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ocumenttasks/documenttask1.xml" ContentType="application/vnd.ms-excel.documenttask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documenttasks/documenttask2.xml" ContentType="application/vnd.ms-excel.documenttasks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znorthernbaysmotors.sharepoint.com/sites/Financial/Shared Documents/Peter Correspondence/Weekly dashboard projects/TNZ Budget cutting/Q124/"/>
    </mc:Choice>
  </mc:AlternateContent>
  <xr:revisionPtr revIDLastSave="4765" documentId="14_{D09C8FA0-390B-4C22-AD16-339293514A2E}" xr6:coauthVersionLast="47" xr6:coauthVersionMax="47" xr10:uidLastSave="{0DCFFF8D-CB92-4EB9-B308-C8B7648A7F8E}"/>
  <bookViews>
    <workbookView xWindow="13920" yWindow="-16320" windowWidth="29040" windowHeight="16440" firstSheet="23" activeTab="30" xr2:uid="{5E9E7B33-18A5-447F-A58E-5C64C72B7F96}"/>
  </bookViews>
  <sheets>
    <sheet name="Manual Page" sheetId="13" r:id="rId1"/>
    <sheet name="TNZ Submitted Budget" sheetId="41" r:id="rId2"/>
    <sheet name="Variance Analysis vs Budget" sheetId="42" r:id="rId3"/>
    <sheet name="Input Sheet" sheetId="19" r:id="rId4"/>
    <sheet name="GP &amp; SE % Contribution" sheetId="44" state="hidden" r:id="rId5"/>
    <sheet name="Parts GP Calc" sheetId="20" state="hidden" r:id="rId6"/>
    <sheet name="Service GP Calc" sheetId="21" state="hidden" r:id="rId7"/>
    <sheet name="TUNZ Extracted TB" sheetId="9" r:id="rId8"/>
    <sheet name="Export" sheetId="1" r:id="rId9"/>
    <sheet name="OVERALL - QTD" sheetId="46" state="hidden" r:id="rId10"/>
    <sheet name="OVERALL" sheetId="8" r:id="rId11"/>
    <sheet name="NEW VEHICLE GROUP" sheetId="23" r:id="rId12"/>
    <sheet name="NS NEW VEHICLE" sheetId="18" r:id="rId13"/>
    <sheet name="NW NEW VEHICLE" sheetId="22" r:id="rId14"/>
    <sheet name="USED VEHICLE GROUP" sheetId="25" r:id="rId15"/>
    <sheet name="NS USED VEHICLE" sheetId="24" r:id="rId16"/>
    <sheet name="NW USED VEHICLE" sheetId="26" r:id="rId17"/>
    <sheet name="F&amp;I GROUP" sheetId="27" r:id="rId18"/>
    <sheet name="NS F&amp;I" sheetId="28" r:id="rId19"/>
    <sheet name="NW F&amp;I" sheetId="29" r:id="rId20"/>
    <sheet name="PARTS GROUP" sheetId="30" r:id="rId21"/>
    <sheet name="NS PARTS 130" sheetId="31" r:id="rId22"/>
    <sheet name="NW PARTS 230" sheetId="32" r:id="rId23"/>
    <sheet name="NW PARTS 330" sheetId="33" r:id="rId24"/>
    <sheet name="NW PARTS 430" sheetId="34" r:id="rId25"/>
    <sheet name="SERVICE GROUP" sheetId="35" r:id="rId26"/>
    <sheet name="NS SERVICE 140" sheetId="36" r:id="rId27"/>
    <sheet name="NS SERVICE 147" sheetId="37" state="hidden" r:id="rId28"/>
    <sheet name="NW SERVICE 240" sheetId="38" r:id="rId29"/>
    <sheet name="NW SERVICE 340" sheetId="39" r:id="rId30"/>
    <sheet name="NW SERVICE 440" sheetId="40" r:id="rId31"/>
    <sheet name="ADMIN &amp; OTHER" sheetId="7" r:id="rId32"/>
    <sheet name="Other Income" sheetId="53" r:id="rId33"/>
    <sheet name="LEX NEW VEHICLE" sheetId="47" r:id="rId34"/>
    <sheet name="LEX USED VEHICLE" sheetId="48" r:id="rId35"/>
    <sheet name="LEX F&amp;I" sheetId="49" r:id="rId36"/>
    <sheet name="LEX PARTS" sheetId="50" r:id="rId37"/>
    <sheet name="LEX SERVICE" sheetId="51" r:id="rId38"/>
    <sheet name="Retail Detailing" sheetId="54" r:id="rId39"/>
    <sheet name="Bridgestone GROUP" sheetId="58" r:id="rId40"/>
    <sheet name="Bridgestone 935" sheetId="59" r:id="rId41"/>
    <sheet name="Bridgestone 936" sheetId="60" r:id="rId42"/>
    <sheet name="LEX ADMIN &amp; OTHER" sheetId="52" r:id="rId43"/>
  </sheets>
  <externalReferences>
    <externalReference r:id="rId44"/>
    <externalReference r:id="rId45"/>
    <externalReference r:id="rId46"/>
  </externalReferences>
  <definedNames>
    <definedName name="_xlnm._FilterDatabase" localSheetId="8" hidden="1">Export!$A$2:$U$5000</definedName>
    <definedName name="_xlnm._FilterDatabase" localSheetId="3" hidden="1">'Input Sheet'!$A$1:$AE$178</definedName>
    <definedName name="_xlnm._FilterDatabase" localSheetId="7" hidden="1">'TUNZ Extracted TB'!$A$1:$R$2055</definedName>
    <definedName name="_xlnm.Print_Area" localSheetId="31">'ADMIN &amp; OTHER'!$A$1:$K$16</definedName>
    <definedName name="_xlnm.Print_Area" localSheetId="40">'Bridgestone 935'!$A$1:$K$36</definedName>
    <definedName name="_xlnm.Print_Area" localSheetId="41">'Bridgestone 936'!$A$1:$K$36</definedName>
    <definedName name="_xlnm.Print_Area" localSheetId="39">'Bridgestone GROUP'!$A$1:$K$35</definedName>
    <definedName name="_xlnm.Print_Area" localSheetId="17">'F&amp;I GROUP'!$A$1:$K$19</definedName>
    <definedName name="_xlnm.Print_Area" localSheetId="42">'LEX ADMIN &amp; OTHER'!$A$1:$K$16</definedName>
    <definedName name="_xlnm.Print_Area" localSheetId="35">'LEX F&amp;I'!$A$1:$K$19</definedName>
    <definedName name="_xlnm.Print_Area" localSheetId="33">'LEX NEW VEHICLE'!$A$1:$K$27</definedName>
    <definedName name="_xlnm.Print_Area" localSheetId="36">'LEX PARTS'!$A$1:$K$36</definedName>
    <definedName name="_xlnm.Print_Area" localSheetId="37">'LEX SERVICE'!$A$1:$K$33</definedName>
    <definedName name="_xlnm.Print_Area" localSheetId="34">'LEX USED VEHICLE'!$A$1:$K$31</definedName>
    <definedName name="_xlnm.Print_Area" localSheetId="11">'NEW VEHICLE GROUP'!$A$1:$K$27</definedName>
    <definedName name="_xlnm.Print_Area" localSheetId="18">'NS F&amp;I'!$A$1:$K$19</definedName>
    <definedName name="_xlnm.Print_Area" localSheetId="12">'NS NEW VEHICLE'!$A$1:$K$27</definedName>
    <definedName name="_xlnm.Print_Area" localSheetId="21">'NS PARTS 130'!$A$1:$K$36</definedName>
    <definedName name="_xlnm.Print_Area" localSheetId="26">'NS SERVICE 140'!$A$1:$K$33</definedName>
    <definedName name="_xlnm.Print_Area" localSheetId="27">'NS SERVICE 147'!$A$1:$I$33</definedName>
    <definedName name="_xlnm.Print_Area" localSheetId="15">'NS USED VEHICLE'!$A$1:$K$39</definedName>
    <definedName name="_xlnm.Print_Area" localSheetId="19">'NW F&amp;I'!$A$1:$K$19</definedName>
    <definedName name="_xlnm.Print_Area" localSheetId="13">'NW NEW VEHICLE'!$A$1:$K$27</definedName>
    <definedName name="_xlnm.Print_Area" localSheetId="22">'NW PARTS 230'!$A$1:$K$36</definedName>
    <definedName name="_xlnm.Print_Area" localSheetId="23">'NW PARTS 330'!$A$1:$K$36</definedName>
    <definedName name="_xlnm.Print_Area" localSheetId="24">'NW PARTS 430'!$A$1:$K$36</definedName>
    <definedName name="_xlnm.Print_Area" localSheetId="28">'NW SERVICE 240'!$A$1:$K$33</definedName>
    <definedName name="_xlnm.Print_Area" localSheetId="29">'NW SERVICE 340'!$A$1:$K$33</definedName>
    <definedName name="_xlnm.Print_Area" localSheetId="30">'NW SERVICE 440'!$A$1:$K$33</definedName>
    <definedName name="_xlnm.Print_Area" localSheetId="16">'NW USED VEHICLE'!$A$1:$K$39</definedName>
    <definedName name="_xlnm.Print_Area" localSheetId="32">'Other Income'!$A$1:$K$20</definedName>
    <definedName name="_xlnm.Print_Area" localSheetId="10">OVERALL!$A$1:$K$26</definedName>
    <definedName name="_xlnm.Print_Area" localSheetId="9">'OVERALL - QTD'!$A$1:$H$26</definedName>
    <definedName name="_xlnm.Print_Area" localSheetId="20">'PARTS GROUP'!$A$1:$K$35</definedName>
    <definedName name="_xlnm.Print_Area" localSheetId="38">'Retail Detailing'!$A$1:$K$33</definedName>
    <definedName name="_xlnm.Print_Area" localSheetId="25">'SERVICE GROUP'!$A$1:$K$33</definedName>
    <definedName name="_xlnm.Print_Area" localSheetId="14">'USED VEHICLE GROUP'!$A$1:$K$39</definedName>
    <definedName name="_xlnm.Print_Titles" localSheetId="31">'ADMIN &amp; OTHER'!$1:$1</definedName>
    <definedName name="_xlnm.Print_Titles" localSheetId="40">'Bridgestone 935'!$1:$1</definedName>
    <definedName name="_xlnm.Print_Titles" localSheetId="41">'Bridgestone 936'!$1:$1</definedName>
    <definedName name="_xlnm.Print_Titles" localSheetId="39">'Bridgestone GROUP'!$1:$1</definedName>
    <definedName name="_xlnm.Print_Titles" localSheetId="17">'F&amp;I GROUP'!$1:$1</definedName>
    <definedName name="_xlnm.Print_Titles" localSheetId="42">'LEX ADMIN &amp; OTHER'!$1:$1</definedName>
    <definedName name="_xlnm.Print_Titles" localSheetId="35">'LEX F&amp;I'!$1:$1</definedName>
    <definedName name="_xlnm.Print_Titles" localSheetId="36">'LEX PARTS'!$1:$1</definedName>
    <definedName name="_xlnm.Print_Titles" localSheetId="37">'LEX SERVICE'!$1:$1</definedName>
    <definedName name="_xlnm.Print_Titles" localSheetId="34">'LEX USED VEHICLE'!$1:$1</definedName>
    <definedName name="_xlnm.Print_Titles" localSheetId="18">'NS F&amp;I'!$1:$1</definedName>
    <definedName name="_xlnm.Print_Titles" localSheetId="21">'NS PARTS 130'!$1:$1</definedName>
    <definedName name="_xlnm.Print_Titles" localSheetId="26">'NS SERVICE 140'!$1:$1</definedName>
    <definedName name="_xlnm.Print_Titles" localSheetId="27">'NS SERVICE 147'!$1:$1</definedName>
    <definedName name="_xlnm.Print_Titles" localSheetId="15">'NS USED VEHICLE'!$1:$1</definedName>
    <definedName name="_xlnm.Print_Titles" localSheetId="19">'NW F&amp;I'!$1:$1</definedName>
    <definedName name="_xlnm.Print_Titles" localSheetId="22">'NW PARTS 230'!$1:$1</definedName>
    <definedName name="_xlnm.Print_Titles" localSheetId="23">'NW PARTS 330'!$1:$1</definedName>
    <definedName name="_xlnm.Print_Titles" localSheetId="24">'NW PARTS 430'!$1:$1</definedName>
    <definedName name="_xlnm.Print_Titles" localSheetId="28">'NW SERVICE 240'!$1:$1</definedName>
    <definedName name="_xlnm.Print_Titles" localSheetId="29">'NW SERVICE 340'!$1:$1</definedName>
    <definedName name="_xlnm.Print_Titles" localSheetId="30">'NW SERVICE 440'!$1:$1</definedName>
    <definedName name="_xlnm.Print_Titles" localSheetId="16">'NW USED VEHICLE'!$1:$1</definedName>
    <definedName name="_xlnm.Print_Titles" localSheetId="32">'Other Income'!$1:$1</definedName>
    <definedName name="_xlnm.Print_Titles" localSheetId="10">OVERALL!$1:$1</definedName>
    <definedName name="_xlnm.Print_Titles" localSheetId="9">'OVERALL - QTD'!$1:$1</definedName>
    <definedName name="_xlnm.Print_Titles" localSheetId="20">'PARTS GROUP'!$1:$1</definedName>
    <definedName name="_xlnm.Print_Titles" localSheetId="38">'Retail Detailing'!$1:$1</definedName>
    <definedName name="_xlnm.Print_Titles" localSheetId="25">'SERVICE GROUP'!$1:$1</definedName>
    <definedName name="_xlnm.Print_Titles" localSheetId="14">'USED VEHICLE GROUP'!$1:$1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" i="8" l="1"/>
  <c r="G7" i="8"/>
  <c r="G8" i="8"/>
  <c r="G20" i="8"/>
  <c r="I6" i="18"/>
  <c r="H5" i="25"/>
  <c r="G5" i="25"/>
  <c r="F5" i="25"/>
  <c r="F8" i="8"/>
  <c r="F20" i="8"/>
  <c r="F7" i="8"/>
  <c r="F6" i="8"/>
  <c r="B6" i="8"/>
  <c r="R5000" i="1" l="1"/>
  <c r="Q5000" i="1"/>
  <c r="P5000" i="1"/>
  <c r="N5000" i="1" s="1"/>
  <c r="K5000" i="1"/>
  <c r="J5000" i="1"/>
  <c r="M2035" i="9" l="1"/>
  <c r="O2035" i="9"/>
  <c r="M2036" i="9"/>
  <c r="O2036" i="9"/>
  <c r="M2037" i="9"/>
  <c r="O2037" i="9"/>
  <c r="M2038" i="9"/>
  <c r="O2038" i="9"/>
  <c r="M2039" i="9"/>
  <c r="O2039" i="9"/>
  <c r="M2040" i="9"/>
  <c r="O2040" i="9"/>
  <c r="M2041" i="9"/>
  <c r="O2041" i="9"/>
  <c r="M2042" i="9"/>
  <c r="O2042" i="9"/>
  <c r="M2043" i="9"/>
  <c r="O2043" i="9"/>
  <c r="M2044" i="9"/>
  <c r="O2044" i="9"/>
  <c r="M2045" i="9"/>
  <c r="O2045" i="9"/>
  <c r="M2046" i="9"/>
  <c r="O2046" i="9"/>
  <c r="M2047" i="9"/>
  <c r="O2047" i="9"/>
  <c r="M2048" i="9"/>
  <c r="O2048" i="9"/>
  <c r="M2049" i="9"/>
  <c r="O2049" i="9"/>
  <c r="M2050" i="9"/>
  <c r="O2050" i="9"/>
  <c r="M2051" i="9"/>
  <c r="O2051" i="9"/>
  <c r="M2052" i="9"/>
  <c r="O2052" i="9"/>
  <c r="M2053" i="9"/>
  <c r="O2053" i="9"/>
  <c r="M2054" i="9"/>
  <c r="O2054" i="9"/>
  <c r="M2055" i="9"/>
  <c r="O2055" i="9"/>
  <c r="M2027" i="9"/>
  <c r="O2027" i="9"/>
  <c r="M2028" i="9"/>
  <c r="O2028" i="9"/>
  <c r="M2029" i="9"/>
  <c r="O2029" i="9"/>
  <c r="M2030" i="9"/>
  <c r="O2030" i="9"/>
  <c r="M2031" i="9"/>
  <c r="O2031" i="9"/>
  <c r="M2032" i="9"/>
  <c r="O2032" i="9"/>
  <c r="M2033" i="9"/>
  <c r="O2033" i="9"/>
  <c r="M2034" i="9"/>
  <c r="O2034" i="9"/>
  <c r="M2026" i="9"/>
  <c r="O2026" i="9"/>
  <c r="J708" i="1"/>
  <c r="J685" i="1"/>
  <c r="J680" i="1"/>
  <c r="C7" i="8" l="1"/>
  <c r="C6" i="8"/>
  <c r="Q2225" i="1" l="1"/>
  <c r="P2225" i="1"/>
  <c r="N2225" i="1" s="1"/>
  <c r="K2225" i="1"/>
  <c r="J2225" i="1"/>
  <c r="R2225" i="1" s="1"/>
  <c r="M1" i="1"/>
  <c r="O1" i="1"/>
  <c r="Q4999" i="1" l="1"/>
  <c r="P4999" i="1"/>
  <c r="N4999" i="1" s="1"/>
  <c r="K4999" i="1"/>
  <c r="J4999" i="1"/>
  <c r="R4999" i="1" s="1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M1982" i="9"/>
  <c r="M1983" i="9"/>
  <c r="M1984" i="9"/>
  <c r="M1985" i="9"/>
  <c r="M1986" i="9"/>
  <c r="M1987" i="9"/>
  <c r="M1988" i="9"/>
  <c r="M1989" i="9"/>
  <c r="M1990" i="9"/>
  <c r="M1991" i="9"/>
  <c r="M1992" i="9"/>
  <c r="M1993" i="9"/>
  <c r="M1994" i="9"/>
  <c r="M1995" i="9"/>
  <c r="M1996" i="9"/>
  <c r="M1997" i="9"/>
  <c r="M1998" i="9"/>
  <c r="M1999" i="9"/>
  <c r="M2000" i="9"/>
  <c r="M2001" i="9"/>
  <c r="M2002" i="9"/>
  <c r="M2003" i="9"/>
  <c r="M2004" i="9"/>
  <c r="M2005" i="9"/>
  <c r="M2006" i="9"/>
  <c r="M2007" i="9"/>
  <c r="M2008" i="9"/>
  <c r="M2009" i="9"/>
  <c r="M2010" i="9"/>
  <c r="M2011" i="9"/>
  <c r="M2012" i="9"/>
  <c r="M2013" i="9"/>
  <c r="M2014" i="9"/>
  <c r="M2015" i="9"/>
  <c r="M2016" i="9"/>
  <c r="M2017" i="9"/>
  <c r="M2018" i="9"/>
  <c r="M2019" i="9"/>
  <c r="M2020" i="9"/>
  <c r="M2021" i="9"/>
  <c r="M2022" i="9"/>
  <c r="M2023" i="9"/>
  <c r="M2024" i="9"/>
  <c r="M2025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1003" i="9"/>
  <c r="M1004" i="9"/>
  <c r="M1005" i="9"/>
  <c r="M1006" i="9"/>
  <c r="M1007" i="9"/>
  <c r="M1008" i="9"/>
  <c r="M1009" i="9"/>
  <c r="M1010" i="9"/>
  <c r="M1011" i="9"/>
  <c r="M1012" i="9"/>
  <c r="M1013" i="9"/>
  <c r="M1014" i="9"/>
  <c r="M1015" i="9"/>
  <c r="M1016" i="9"/>
  <c r="M1017" i="9"/>
  <c r="M1018" i="9"/>
  <c r="M1019" i="9"/>
  <c r="M1020" i="9"/>
  <c r="M1021" i="9"/>
  <c r="M1022" i="9"/>
  <c r="M1023" i="9"/>
  <c r="M1024" i="9"/>
  <c r="M1025" i="9"/>
  <c r="M1026" i="9"/>
  <c r="M1027" i="9"/>
  <c r="M1028" i="9"/>
  <c r="M1029" i="9"/>
  <c r="M1030" i="9"/>
  <c r="M1031" i="9"/>
  <c r="M1032" i="9"/>
  <c r="M1033" i="9"/>
  <c r="M1034" i="9"/>
  <c r="M1035" i="9"/>
  <c r="M1036" i="9"/>
  <c r="M1037" i="9"/>
  <c r="M1038" i="9"/>
  <c r="M1039" i="9"/>
  <c r="M1040" i="9"/>
  <c r="M1041" i="9"/>
  <c r="M1042" i="9"/>
  <c r="M1043" i="9"/>
  <c r="M1044" i="9"/>
  <c r="M1045" i="9"/>
  <c r="M1046" i="9"/>
  <c r="M1047" i="9"/>
  <c r="M1048" i="9"/>
  <c r="M1049" i="9"/>
  <c r="M1050" i="9"/>
  <c r="M1051" i="9"/>
  <c r="M1052" i="9"/>
  <c r="M1053" i="9"/>
  <c r="M1054" i="9"/>
  <c r="M1055" i="9"/>
  <c r="M1056" i="9"/>
  <c r="M1057" i="9"/>
  <c r="M1058" i="9"/>
  <c r="M1059" i="9"/>
  <c r="M1060" i="9"/>
  <c r="M1061" i="9"/>
  <c r="M1062" i="9"/>
  <c r="M1063" i="9"/>
  <c r="M1064" i="9"/>
  <c r="M1065" i="9"/>
  <c r="M1066" i="9"/>
  <c r="M1067" i="9"/>
  <c r="M1068" i="9"/>
  <c r="M1069" i="9"/>
  <c r="M1070" i="9"/>
  <c r="M1071" i="9"/>
  <c r="M1072" i="9"/>
  <c r="M1073" i="9"/>
  <c r="M1074" i="9"/>
  <c r="M1075" i="9"/>
  <c r="M1076" i="9"/>
  <c r="M1077" i="9"/>
  <c r="M1078" i="9"/>
  <c r="M1079" i="9"/>
  <c r="M1080" i="9"/>
  <c r="M1081" i="9"/>
  <c r="M1082" i="9"/>
  <c r="M1083" i="9"/>
  <c r="M1084" i="9"/>
  <c r="M1085" i="9"/>
  <c r="M1086" i="9"/>
  <c r="M1087" i="9"/>
  <c r="M1088" i="9"/>
  <c r="M1089" i="9"/>
  <c r="M1090" i="9"/>
  <c r="M1091" i="9"/>
  <c r="M1092" i="9"/>
  <c r="M1093" i="9"/>
  <c r="M1094" i="9"/>
  <c r="M1095" i="9"/>
  <c r="M1096" i="9"/>
  <c r="M1097" i="9"/>
  <c r="M1098" i="9"/>
  <c r="M1099" i="9"/>
  <c r="M1100" i="9"/>
  <c r="M1101" i="9"/>
  <c r="M1102" i="9"/>
  <c r="M1103" i="9"/>
  <c r="M1104" i="9"/>
  <c r="M1105" i="9"/>
  <c r="M1106" i="9"/>
  <c r="M1107" i="9"/>
  <c r="M1108" i="9"/>
  <c r="M1109" i="9"/>
  <c r="M1110" i="9"/>
  <c r="M1111" i="9"/>
  <c r="M1112" i="9"/>
  <c r="M1113" i="9"/>
  <c r="M1114" i="9"/>
  <c r="M1115" i="9"/>
  <c r="M1116" i="9"/>
  <c r="M1117" i="9"/>
  <c r="M1118" i="9"/>
  <c r="M1119" i="9"/>
  <c r="M1120" i="9"/>
  <c r="M1121" i="9"/>
  <c r="M1122" i="9"/>
  <c r="M1123" i="9"/>
  <c r="M1124" i="9"/>
  <c r="M1125" i="9"/>
  <c r="M1126" i="9"/>
  <c r="M1127" i="9"/>
  <c r="M1128" i="9"/>
  <c r="M1129" i="9"/>
  <c r="M1130" i="9"/>
  <c r="M1131" i="9"/>
  <c r="M1132" i="9"/>
  <c r="M1133" i="9"/>
  <c r="M1134" i="9"/>
  <c r="M1135" i="9"/>
  <c r="M1136" i="9"/>
  <c r="M1137" i="9"/>
  <c r="M1138" i="9"/>
  <c r="M1139" i="9"/>
  <c r="M1140" i="9"/>
  <c r="M1141" i="9"/>
  <c r="M1142" i="9"/>
  <c r="M1143" i="9"/>
  <c r="M1144" i="9"/>
  <c r="M1145" i="9"/>
  <c r="M1146" i="9"/>
  <c r="M1147" i="9"/>
  <c r="M1148" i="9"/>
  <c r="M1149" i="9"/>
  <c r="M1150" i="9"/>
  <c r="M1151" i="9"/>
  <c r="M1152" i="9"/>
  <c r="M1153" i="9"/>
  <c r="M1154" i="9"/>
  <c r="M1155" i="9"/>
  <c r="M1156" i="9"/>
  <c r="M1157" i="9"/>
  <c r="M1158" i="9"/>
  <c r="M1159" i="9"/>
  <c r="M1160" i="9"/>
  <c r="M1161" i="9"/>
  <c r="M1162" i="9"/>
  <c r="M1163" i="9"/>
  <c r="M1164" i="9"/>
  <c r="M1165" i="9"/>
  <c r="M1166" i="9"/>
  <c r="M1167" i="9"/>
  <c r="M1168" i="9"/>
  <c r="M1169" i="9"/>
  <c r="M1170" i="9"/>
  <c r="M1171" i="9"/>
  <c r="M1172" i="9"/>
  <c r="M1173" i="9"/>
  <c r="M1174" i="9"/>
  <c r="M1175" i="9"/>
  <c r="M1176" i="9"/>
  <c r="M1177" i="9"/>
  <c r="M1178" i="9"/>
  <c r="M1179" i="9"/>
  <c r="M1180" i="9"/>
  <c r="M1181" i="9"/>
  <c r="M1182" i="9"/>
  <c r="M1183" i="9"/>
  <c r="M1184" i="9"/>
  <c r="M1185" i="9"/>
  <c r="M1186" i="9"/>
  <c r="M1187" i="9"/>
  <c r="M1188" i="9"/>
  <c r="M1189" i="9"/>
  <c r="M1190" i="9"/>
  <c r="M1191" i="9"/>
  <c r="M1192" i="9"/>
  <c r="M1193" i="9"/>
  <c r="M1194" i="9"/>
  <c r="M1195" i="9"/>
  <c r="M1196" i="9"/>
  <c r="M1197" i="9"/>
  <c r="M1198" i="9"/>
  <c r="M1199" i="9"/>
  <c r="M1200" i="9"/>
  <c r="M1201" i="9"/>
  <c r="M1202" i="9"/>
  <c r="M1203" i="9"/>
  <c r="M1204" i="9"/>
  <c r="M1205" i="9"/>
  <c r="M1206" i="9"/>
  <c r="M1207" i="9"/>
  <c r="M1208" i="9"/>
  <c r="M1209" i="9"/>
  <c r="M1210" i="9"/>
  <c r="M1211" i="9"/>
  <c r="M1212" i="9"/>
  <c r="M1213" i="9"/>
  <c r="M1214" i="9"/>
  <c r="M1215" i="9"/>
  <c r="M1216" i="9"/>
  <c r="M1217" i="9"/>
  <c r="M1218" i="9"/>
  <c r="M1219" i="9"/>
  <c r="M1220" i="9"/>
  <c r="M1221" i="9"/>
  <c r="M1222" i="9"/>
  <c r="M1223" i="9"/>
  <c r="M1224" i="9"/>
  <c r="M1225" i="9"/>
  <c r="M1226" i="9"/>
  <c r="M1227" i="9"/>
  <c r="M1228" i="9"/>
  <c r="M1229" i="9"/>
  <c r="M1230" i="9"/>
  <c r="M1231" i="9"/>
  <c r="M1232" i="9"/>
  <c r="M1233" i="9"/>
  <c r="M1234" i="9"/>
  <c r="M1235" i="9"/>
  <c r="M1236" i="9"/>
  <c r="M1237" i="9"/>
  <c r="M1238" i="9"/>
  <c r="M1239" i="9"/>
  <c r="M1240" i="9"/>
  <c r="M1241" i="9"/>
  <c r="M1242" i="9"/>
  <c r="M1243" i="9"/>
  <c r="M1244" i="9"/>
  <c r="M1245" i="9"/>
  <c r="M1246" i="9"/>
  <c r="M1247" i="9"/>
  <c r="M1248" i="9"/>
  <c r="M1249" i="9"/>
  <c r="M1250" i="9"/>
  <c r="M1251" i="9"/>
  <c r="M1252" i="9"/>
  <c r="M1253" i="9"/>
  <c r="M1254" i="9"/>
  <c r="M1255" i="9"/>
  <c r="M1256" i="9"/>
  <c r="M1257" i="9"/>
  <c r="M1258" i="9"/>
  <c r="M1259" i="9"/>
  <c r="M1260" i="9"/>
  <c r="M1261" i="9"/>
  <c r="M1262" i="9"/>
  <c r="M1263" i="9"/>
  <c r="M1264" i="9"/>
  <c r="M1265" i="9"/>
  <c r="M1266" i="9"/>
  <c r="M1267" i="9"/>
  <c r="M1268" i="9"/>
  <c r="M1269" i="9"/>
  <c r="M1270" i="9"/>
  <c r="M1271" i="9"/>
  <c r="M1272" i="9"/>
  <c r="M1273" i="9"/>
  <c r="M1274" i="9"/>
  <c r="M1275" i="9"/>
  <c r="M1276" i="9"/>
  <c r="M1277" i="9"/>
  <c r="M1278" i="9"/>
  <c r="M1279" i="9"/>
  <c r="M1280" i="9"/>
  <c r="M1281" i="9"/>
  <c r="M1282" i="9"/>
  <c r="M1283" i="9"/>
  <c r="M1284" i="9"/>
  <c r="M1285" i="9"/>
  <c r="M1286" i="9"/>
  <c r="M1287" i="9"/>
  <c r="M1288" i="9"/>
  <c r="M1289" i="9"/>
  <c r="M1290" i="9"/>
  <c r="M1291" i="9"/>
  <c r="M1292" i="9"/>
  <c r="M1293" i="9"/>
  <c r="M1294" i="9"/>
  <c r="M1295" i="9"/>
  <c r="M1296" i="9"/>
  <c r="M1297" i="9"/>
  <c r="M1298" i="9"/>
  <c r="M1299" i="9"/>
  <c r="M1300" i="9"/>
  <c r="M1301" i="9"/>
  <c r="M1302" i="9"/>
  <c r="M1303" i="9"/>
  <c r="M1304" i="9"/>
  <c r="M1305" i="9"/>
  <c r="M1306" i="9"/>
  <c r="M1307" i="9"/>
  <c r="M1308" i="9"/>
  <c r="M1309" i="9"/>
  <c r="M1310" i="9"/>
  <c r="M1311" i="9"/>
  <c r="M1312" i="9"/>
  <c r="M1313" i="9"/>
  <c r="M1314" i="9"/>
  <c r="M1315" i="9"/>
  <c r="M1316" i="9"/>
  <c r="M1317" i="9"/>
  <c r="M1318" i="9"/>
  <c r="M1319" i="9"/>
  <c r="M1320" i="9"/>
  <c r="M1321" i="9"/>
  <c r="M1322" i="9"/>
  <c r="M1323" i="9"/>
  <c r="M1324" i="9"/>
  <c r="M1325" i="9"/>
  <c r="M1326" i="9"/>
  <c r="M1327" i="9"/>
  <c r="M1328" i="9"/>
  <c r="M1329" i="9"/>
  <c r="M1330" i="9"/>
  <c r="M1331" i="9"/>
  <c r="M1332" i="9"/>
  <c r="M1333" i="9"/>
  <c r="M1334" i="9"/>
  <c r="M1335" i="9"/>
  <c r="M1336" i="9"/>
  <c r="M1337" i="9"/>
  <c r="M1338" i="9"/>
  <c r="M1339" i="9"/>
  <c r="M1340" i="9"/>
  <c r="M1341" i="9"/>
  <c r="M1342" i="9"/>
  <c r="M1343" i="9"/>
  <c r="M1344" i="9"/>
  <c r="M1345" i="9"/>
  <c r="M1346" i="9"/>
  <c r="M1347" i="9"/>
  <c r="M1348" i="9"/>
  <c r="M1349" i="9"/>
  <c r="M1350" i="9"/>
  <c r="M1351" i="9"/>
  <c r="M1352" i="9"/>
  <c r="M1353" i="9"/>
  <c r="M1354" i="9"/>
  <c r="M1355" i="9"/>
  <c r="M1356" i="9"/>
  <c r="M1357" i="9"/>
  <c r="M1358" i="9"/>
  <c r="M1359" i="9"/>
  <c r="M1360" i="9"/>
  <c r="M1361" i="9"/>
  <c r="M1362" i="9"/>
  <c r="M1363" i="9"/>
  <c r="M1364" i="9"/>
  <c r="M1365" i="9"/>
  <c r="M1366" i="9"/>
  <c r="M1367" i="9"/>
  <c r="M1368" i="9"/>
  <c r="M1369" i="9"/>
  <c r="M1370" i="9"/>
  <c r="M1371" i="9"/>
  <c r="M1372" i="9"/>
  <c r="M1373" i="9"/>
  <c r="M1374" i="9"/>
  <c r="M1375" i="9"/>
  <c r="M1376" i="9"/>
  <c r="M1377" i="9"/>
  <c r="M1378" i="9"/>
  <c r="M1379" i="9"/>
  <c r="M1380" i="9"/>
  <c r="M1381" i="9"/>
  <c r="M1382" i="9"/>
  <c r="M1383" i="9"/>
  <c r="M1384" i="9"/>
  <c r="M1385" i="9"/>
  <c r="M1386" i="9"/>
  <c r="M1387" i="9"/>
  <c r="M1388" i="9"/>
  <c r="M1389" i="9"/>
  <c r="M1390" i="9"/>
  <c r="M1391" i="9"/>
  <c r="M1392" i="9"/>
  <c r="M1393" i="9"/>
  <c r="M1394" i="9"/>
  <c r="M1395" i="9"/>
  <c r="M1396" i="9"/>
  <c r="M1397" i="9"/>
  <c r="M1398" i="9"/>
  <c r="M1399" i="9"/>
  <c r="M1400" i="9"/>
  <c r="M1401" i="9"/>
  <c r="M1402" i="9"/>
  <c r="M1403" i="9"/>
  <c r="M1404" i="9"/>
  <c r="M1405" i="9"/>
  <c r="M1406" i="9"/>
  <c r="M1407" i="9"/>
  <c r="M1408" i="9"/>
  <c r="M1409" i="9"/>
  <c r="M1410" i="9"/>
  <c r="M1411" i="9"/>
  <c r="M1412" i="9"/>
  <c r="M1413" i="9"/>
  <c r="M1414" i="9"/>
  <c r="M1415" i="9"/>
  <c r="M1416" i="9"/>
  <c r="M1417" i="9"/>
  <c r="M1418" i="9"/>
  <c r="M1419" i="9"/>
  <c r="M1420" i="9"/>
  <c r="M1421" i="9"/>
  <c r="M1422" i="9"/>
  <c r="M1423" i="9"/>
  <c r="M1424" i="9"/>
  <c r="M1425" i="9"/>
  <c r="M1426" i="9"/>
  <c r="M1427" i="9"/>
  <c r="M1428" i="9"/>
  <c r="M1429" i="9"/>
  <c r="M1430" i="9"/>
  <c r="M1431" i="9"/>
  <c r="M1432" i="9"/>
  <c r="M1433" i="9"/>
  <c r="M1434" i="9"/>
  <c r="M1435" i="9"/>
  <c r="M1436" i="9"/>
  <c r="M1437" i="9"/>
  <c r="M1438" i="9"/>
  <c r="M1439" i="9"/>
  <c r="M1440" i="9"/>
  <c r="M1441" i="9"/>
  <c r="M1442" i="9"/>
  <c r="M1443" i="9"/>
  <c r="M1444" i="9"/>
  <c r="M1445" i="9"/>
  <c r="M1446" i="9"/>
  <c r="M1447" i="9"/>
  <c r="M1448" i="9"/>
  <c r="M1449" i="9"/>
  <c r="M1450" i="9"/>
  <c r="M1451" i="9"/>
  <c r="M1452" i="9"/>
  <c r="M1453" i="9"/>
  <c r="M1454" i="9"/>
  <c r="M1455" i="9"/>
  <c r="M1456" i="9"/>
  <c r="M1457" i="9"/>
  <c r="M1458" i="9"/>
  <c r="M1459" i="9"/>
  <c r="M1460" i="9"/>
  <c r="M1461" i="9"/>
  <c r="M1462" i="9"/>
  <c r="M1463" i="9"/>
  <c r="M1464" i="9"/>
  <c r="M1465" i="9"/>
  <c r="M1466" i="9"/>
  <c r="M1467" i="9"/>
  <c r="M1468" i="9"/>
  <c r="M1469" i="9"/>
  <c r="M1470" i="9"/>
  <c r="M1471" i="9"/>
  <c r="M1472" i="9"/>
  <c r="M1473" i="9"/>
  <c r="M1474" i="9"/>
  <c r="M1475" i="9"/>
  <c r="M1476" i="9"/>
  <c r="M1477" i="9"/>
  <c r="M1478" i="9"/>
  <c r="M1479" i="9"/>
  <c r="M1480" i="9"/>
  <c r="M1481" i="9"/>
  <c r="M1482" i="9"/>
  <c r="M1483" i="9"/>
  <c r="M1484" i="9"/>
  <c r="M1485" i="9"/>
  <c r="M1486" i="9"/>
  <c r="M1487" i="9"/>
  <c r="M1488" i="9"/>
  <c r="M1489" i="9"/>
  <c r="M1490" i="9"/>
  <c r="M1491" i="9"/>
  <c r="M1492" i="9"/>
  <c r="M1493" i="9"/>
  <c r="M1494" i="9"/>
  <c r="M1495" i="9"/>
  <c r="M1496" i="9"/>
  <c r="M1497" i="9"/>
  <c r="M1498" i="9"/>
  <c r="M1499" i="9"/>
  <c r="M1500" i="9"/>
  <c r="M1501" i="9"/>
  <c r="M1502" i="9"/>
  <c r="M1503" i="9"/>
  <c r="M1504" i="9"/>
  <c r="M1505" i="9"/>
  <c r="M1506" i="9"/>
  <c r="M1507" i="9"/>
  <c r="M1508" i="9"/>
  <c r="M1509" i="9"/>
  <c r="M1510" i="9"/>
  <c r="M1511" i="9"/>
  <c r="M1512" i="9"/>
  <c r="M1513" i="9"/>
  <c r="M1514" i="9"/>
  <c r="M1515" i="9"/>
  <c r="M1516" i="9"/>
  <c r="M1517" i="9"/>
  <c r="M1518" i="9"/>
  <c r="M1519" i="9"/>
  <c r="M1520" i="9"/>
  <c r="M1521" i="9"/>
  <c r="M1522" i="9"/>
  <c r="M1523" i="9"/>
  <c r="M1524" i="9"/>
  <c r="M1525" i="9"/>
  <c r="M1526" i="9"/>
  <c r="M1527" i="9"/>
  <c r="M1528" i="9"/>
  <c r="M1529" i="9"/>
  <c r="M1530" i="9"/>
  <c r="M1531" i="9"/>
  <c r="M1532" i="9"/>
  <c r="M1533" i="9"/>
  <c r="M1534" i="9"/>
  <c r="M1535" i="9"/>
  <c r="M1536" i="9"/>
  <c r="M1537" i="9"/>
  <c r="M1538" i="9"/>
  <c r="M1539" i="9"/>
  <c r="M1540" i="9"/>
  <c r="M1541" i="9"/>
  <c r="M1542" i="9"/>
  <c r="M1543" i="9"/>
  <c r="M1544" i="9"/>
  <c r="M1545" i="9"/>
  <c r="M1546" i="9"/>
  <c r="M1547" i="9"/>
  <c r="M1548" i="9"/>
  <c r="M1549" i="9"/>
  <c r="M1550" i="9"/>
  <c r="M1551" i="9"/>
  <c r="M1552" i="9"/>
  <c r="M1553" i="9"/>
  <c r="M1554" i="9"/>
  <c r="M1555" i="9"/>
  <c r="M1556" i="9"/>
  <c r="M1557" i="9"/>
  <c r="M1558" i="9"/>
  <c r="M1559" i="9"/>
  <c r="M1560" i="9"/>
  <c r="M1561" i="9"/>
  <c r="M1562" i="9"/>
  <c r="M1563" i="9"/>
  <c r="M1564" i="9"/>
  <c r="M1565" i="9"/>
  <c r="M1566" i="9"/>
  <c r="M1567" i="9"/>
  <c r="M1568" i="9"/>
  <c r="M1569" i="9"/>
  <c r="M1570" i="9"/>
  <c r="M1571" i="9"/>
  <c r="M1572" i="9"/>
  <c r="M1573" i="9"/>
  <c r="M1574" i="9"/>
  <c r="M1575" i="9"/>
  <c r="M1576" i="9"/>
  <c r="M1577" i="9"/>
  <c r="M1578" i="9"/>
  <c r="M1579" i="9"/>
  <c r="M1580" i="9"/>
  <c r="M1581" i="9"/>
  <c r="M1582" i="9"/>
  <c r="M1583" i="9"/>
  <c r="M1584" i="9"/>
  <c r="M1585" i="9"/>
  <c r="M1586" i="9"/>
  <c r="M1587" i="9"/>
  <c r="M1588" i="9"/>
  <c r="M1589" i="9"/>
  <c r="M1590" i="9"/>
  <c r="M1591" i="9"/>
  <c r="M1592" i="9"/>
  <c r="M1593" i="9"/>
  <c r="M1594" i="9"/>
  <c r="M1595" i="9"/>
  <c r="M1596" i="9"/>
  <c r="M1597" i="9"/>
  <c r="M1598" i="9"/>
  <c r="M1599" i="9"/>
  <c r="M1600" i="9"/>
  <c r="M1601" i="9"/>
  <c r="M1602" i="9"/>
  <c r="M1603" i="9"/>
  <c r="M1604" i="9"/>
  <c r="M1605" i="9"/>
  <c r="M1606" i="9"/>
  <c r="M1607" i="9"/>
  <c r="M1608" i="9"/>
  <c r="M1609" i="9"/>
  <c r="M1610" i="9"/>
  <c r="M1611" i="9"/>
  <c r="M1612" i="9"/>
  <c r="M1613" i="9"/>
  <c r="M1614" i="9"/>
  <c r="M1615" i="9"/>
  <c r="M1616" i="9"/>
  <c r="M1617" i="9"/>
  <c r="M1618" i="9"/>
  <c r="M1619" i="9"/>
  <c r="M1620" i="9"/>
  <c r="M1621" i="9"/>
  <c r="M1622" i="9"/>
  <c r="M1623" i="9"/>
  <c r="M1624" i="9"/>
  <c r="M1625" i="9"/>
  <c r="M1626" i="9"/>
  <c r="M1627" i="9"/>
  <c r="M1628" i="9"/>
  <c r="M1629" i="9"/>
  <c r="M1630" i="9"/>
  <c r="M1631" i="9"/>
  <c r="M1632" i="9"/>
  <c r="M1633" i="9"/>
  <c r="M1634" i="9"/>
  <c r="M1635" i="9"/>
  <c r="M1636" i="9"/>
  <c r="M1637" i="9"/>
  <c r="M1638" i="9"/>
  <c r="M1639" i="9"/>
  <c r="M1640" i="9"/>
  <c r="M1641" i="9"/>
  <c r="M1642" i="9"/>
  <c r="M1643" i="9"/>
  <c r="M1644" i="9"/>
  <c r="M1645" i="9"/>
  <c r="M1646" i="9"/>
  <c r="M1647" i="9"/>
  <c r="M1648" i="9"/>
  <c r="M1649" i="9"/>
  <c r="M1650" i="9"/>
  <c r="M1651" i="9"/>
  <c r="M1652" i="9"/>
  <c r="M1653" i="9"/>
  <c r="M1654" i="9"/>
  <c r="M1655" i="9"/>
  <c r="M1656" i="9"/>
  <c r="M1657" i="9"/>
  <c r="M1658" i="9"/>
  <c r="M1659" i="9"/>
  <c r="M1660" i="9"/>
  <c r="M1661" i="9"/>
  <c r="M1662" i="9"/>
  <c r="M1663" i="9"/>
  <c r="M1664" i="9"/>
  <c r="M1665" i="9"/>
  <c r="M1666" i="9"/>
  <c r="M1667" i="9"/>
  <c r="M1668" i="9"/>
  <c r="M1669" i="9"/>
  <c r="M1670" i="9"/>
  <c r="M1671" i="9"/>
  <c r="M1672" i="9"/>
  <c r="M1673" i="9"/>
  <c r="M1674" i="9"/>
  <c r="M1675" i="9"/>
  <c r="M1676" i="9"/>
  <c r="M1677" i="9"/>
  <c r="M1678" i="9"/>
  <c r="M1679" i="9"/>
  <c r="M1680" i="9"/>
  <c r="M1681" i="9"/>
  <c r="M1682" i="9"/>
  <c r="M1683" i="9"/>
  <c r="M1684" i="9"/>
  <c r="M1685" i="9"/>
  <c r="M1686" i="9"/>
  <c r="M1687" i="9"/>
  <c r="M1688" i="9"/>
  <c r="M1689" i="9"/>
  <c r="M1690" i="9"/>
  <c r="M1691" i="9"/>
  <c r="M1692" i="9"/>
  <c r="M1693" i="9"/>
  <c r="M1694" i="9"/>
  <c r="M1695" i="9"/>
  <c r="M1696" i="9"/>
  <c r="M1697" i="9"/>
  <c r="M1698" i="9"/>
  <c r="M1699" i="9"/>
  <c r="M1700" i="9"/>
  <c r="M1701" i="9"/>
  <c r="M1702" i="9"/>
  <c r="M1703" i="9"/>
  <c r="M1704" i="9"/>
  <c r="M1705" i="9"/>
  <c r="M1706" i="9"/>
  <c r="M1707" i="9"/>
  <c r="M1708" i="9"/>
  <c r="M1709" i="9"/>
  <c r="M1710" i="9"/>
  <c r="M1711" i="9"/>
  <c r="M1712" i="9"/>
  <c r="M1713" i="9"/>
  <c r="M1714" i="9"/>
  <c r="M1715" i="9"/>
  <c r="M1716" i="9"/>
  <c r="M1717" i="9"/>
  <c r="M1718" i="9"/>
  <c r="M1719" i="9"/>
  <c r="M1720" i="9"/>
  <c r="M1721" i="9"/>
  <c r="M1722" i="9"/>
  <c r="M1723" i="9"/>
  <c r="M1724" i="9"/>
  <c r="M1725" i="9"/>
  <c r="M1726" i="9"/>
  <c r="M1727" i="9"/>
  <c r="M1728" i="9"/>
  <c r="M1729" i="9"/>
  <c r="M1730" i="9"/>
  <c r="M1731" i="9"/>
  <c r="M1732" i="9"/>
  <c r="M1733" i="9"/>
  <c r="M1734" i="9"/>
  <c r="M1735" i="9"/>
  <c r="M1736" i="9"/>
  <c r="M1737" i="9"/>
  <c r="M1738" i="9"/>
  <c r="M1739" i="9"/>
  <c r="M1740" i="9"/>
  <c r="M1741" i="9"/>
  <c r="M1742" i="9"/>
  <c r="M1743" i="9"/>
  <c r="M1744" i="9"/>
  <c r="M1745" i="9"/>
  <c r="M1746" i="9"/>
  <c r="M1747" i="9"/>
  <c r="M1748" i="9"/>
  <c r="M1749" i="9"/>
  <c r="M1750" i="9"/>
  <c r="M1751" i="9"/>
  <c r="M1752" i="9"/>
  <c r="M1753" i="9"/>
  <c r="M1754" i="9"/>
  <c r="M1755" i="9"/>
  <c r="M1756" i="9"/>
  <c r="M1757" i="9"/>
  <c r="M1758" i="9"/>
  <c r="M1759" i="9"/>
  <c r="M1760" i="9"/>
  <c r="M1761" i="9"/>
  <c r="M1762" i="9"/>
  <c r="M1763" i="9"/>
  <c r="M1764" i="9"/>
  <c r="M1765" i="9"/>
  <c r="M1766" i="9"/>
  <c r="M1767" i="9"/>
  <c r="M1768" i="9"/>
  <c r="M1769" i="9"/>
  <c r="M1770" i="9"/>
  <c r="M1771" i="9"/>
  <c r="M1772" i="9"/>
  <c r="M1773" i="9"/>
  <c r="M1774" i="9"/>
  <c r="M1775" i="9"/>
  <c r="M1776" i="9"/>
  <c r="M1777" i="9"/>
  <c r="M1778" i="9"/>
  <c r="M1779" i="9"/>
  <c r="M1780" i="9"/>
  <c r="M1781" i="9"/>
  <c r="M1782" i="9"/>
  <c r="M1783" i="9"/>
  <c r="M1784" i="9"/>
  <c r="M1785" i="9"/>
  <c r="M1786" i="9"/>
  <c r="M1787" i="9"/>
  <c r="M1788" i="9"/>
  <c r="M1789" i="9"/>
  <c r="M1790" i="9"/>
  <c r="M1791" i="9"/>
  <c r="M1792" i="9"/>
  <c r="M1793" i="9"/>
  <c r="M1794" i="9"/>
  <c r="M1795" i="9"/>
  <c r="M1796" i="9"/>
  <c r="M1797" i="9"/>
  <c r="M1798" i="9"/>
  <c r="M1799" i="9"/>
  <c r="M1800" i="9"/>
  <c r="M1801" i="9"/>
  <c r="M1802" i="9"/>
  <c r="M1803" i="9"/>
  <c r="M1804" i="9"/>
  <c r="M1805" i="9"/>
  <c r="M1806" i="9"/>
  <c r="M1807" i="9"/>
  <c r="M1808" i="9"/>
  <c r="M1809" i="9"/>
  <c r="M1810" i="9"/>
  <c r="M1811" i="9"/>
  <c r="M1812" i="9"/>
  <c r="M1813" i="9"/>
  <c r="M1814" i="9"/>
  <c r="M1815" i="9"/>
  <c r="M1816" i="9"/>
  <c r="M1817" i="9"/>
  <c r="M1818" i="9"/>
  <c r="M1819" i="9"/>
  <c r="M1820" i="9"/>
  <c r="M1821" i="9"/>
  <c r="M1822" i="9"/>
  <c r="M1823" i="9"/>
  <c r="M1824" i="9"/>
  <c r="M1825" i="9"/>
  <c r="M1826" i="9"/>
  <c r="M1827" i="9"/>
  <c r="M1828" i="9"/>
  <c r="M1829" i="9"/>
  <c r="M1830" i="9"/>
  <c r="M1831" i="9"/>
  <c r="M1832" i="9"/>
  <c r="M1833" i="9"/>
  <c r="M1834" i="9"/>
  <c r="M1835" i="9"/>
  <c r="M1836" i="9"/>
  <c r="M1837" i="9"/>
  <c r="M1838" i="9"/>
  <c r="M1839" i="9"/>
  <c r="M1840" i="9"/>
  <c r="M1841" i="9"/>
  <c r="M1842" i="9"/>
  <c r="M1843" i="9"/>
  <c r="M1844" i="9"/>
  <c r="M1845" i="9"/>
  <c r="M1846" i="9"/>
  <c r="M1847" i="9"/>
  <c r="M1848" i="9"/>
  <c r="M1849" i="9"/>
  <c r="M1850" i="9"/>
  <c r="M1851" i="9"/>
  <c r="M1852" i="9"/>
  <c r="M1853" i="9"/>
  <c r="M1854" i="9"/>
  <c r="M1855" i="9"/>
  <c r="M1856" i="9"/>
  <c r="M1857" i="9"/>
  <c r="M1858" i="9"/>
  <c r="M1859" i="9"/>
  <c r="M1860" i="9"/>
  <c r="M1861" i="9"/>
  <c r="M1862" i="9"/>
  <c r="M1863" i="9"/>
  <c r="M1864" i="9"/>
  <c r="M1865" i="9"/>
  <c r="M1866" i="9"/>
  <c r="M1867" i="9"/>
  <c r="M1868" i="9"/>
  <c r="M1869" i="9"/>
  <c r="M1870" i="9"/>
  <c r="M1871" i="9"/>
  <c r="M1872" i="9"/>
  <c r="M1873" i="9"/>
  <c r="M1874" i="9"/>
  <c r="M1875" i="9"/>
  <c r="M1876" i="9"/>
  <c r="M1877" i="9"/>
  <c r="M1878" i="9"/>
  <c r="M1879" i="9"/>
  <c r="M1880" i="9"/>
  <c r="M1881" i="9"/>
  <c r="M1882" i="9"/>
  <c r="M1883" i="9"/>
  <c r="M1884" i="9"/>
  <c r="M1885" i="9"/>
  <c r="M1886" i="9"/>
  <c r="M1887" i="9"/>
  <c r="M1888" i="9"/>
  <c r="M1889" i="9"/>
  <c r="M1890" i="9"/>
  <c r="M1891" i="9"/>
  <c r="M1892" i="9"/>
  <c r="M1893" i="9"/>
  <c r="M1894" i="9"/>
  <c r="M1895" i="9"/>
  <c r="M1896" i="9"/>
  <c r="M1897" i="9"/>
  <c r="M1898" i="9"/>
  <c r="M1899" i="9"/>
  <c r="M1900" i="9"/>
  <c r="M1901" i="9"/>
  <c r="M1902" i="9"/>
  <c r="M1903" i="9"/>
  <c r="M1904" i="9"/>
  <c r="M1905" i="9"/>
  <c r="M1906" i="9"/>
  <c r="M1907" i="9"/>
  <c r="M1908" i="9"/>
  <c r="M1909" i="9"/>
  <c r="M1910" i="9"/>
  <c r="M1911" i="9"/>
  <c r="M1912" i="9"/>
  <c r="M1913" i="9"/>
  <c r="M1914" i="9"/>
  <c r="M1915" i="9"/>
  <c r="M1916" i="9"/>
  <c r="M1917" i="9"/>
  <c r="M1918" i="9"/>
  <c r="M1919" i="9"/>
  <c r="M1920" i="9"/>
  <c r="M1921" i="9"/>
  <c r="M1922" i="9"/>
  <c r="M1923" i="9"/>
  <c r="M1924" i="9"/>
  <c r="M1925" i="9"/>
  <c r="M1926" i="9"/>
  <c r="M1927" i="9"/>
  <c r="M1928" i="9"/>
  <c r="M1929" i="9"/>
  <c r="M1930" i="9"/>
  <c r="M1931" i="9"/>
  <c r="M1932" i="9"/>
  <c r="M1933" i="9"/>
  <c r="M1934" i="9"/>
  <c r="M1935" i="9"/>
  <c r="M1936" i="9"/>
  <c r="M1937" i="9"/>
  <c r="M1938" i="9"/>
  <c r="M1939" i="9"/>
  <c r="M1940" i="9"/>
  <c r="M1941" i="9"/>
  <c r="M1942" i="9"/>
  <c r="M1943" i="9"/>
  <c r="M1944" i="9"/>
  <c r="M1945" i="9"/>
  <c r="M1946" i="9"/>
  <c r="M1947" i="9"/>
  <c r="M1948" i="9"/>
  <c r="M1949" i="9"/>
  <c r="M1950" i="9"/>
  <c r="M1951" i="9"/>
  <c r="M1952" i="9"/>
  <c r="M1953" i="9"/>
  <c r="M1954" i="9"/>
  <c r="M1955" i="9"/>
  <c r="M1956" i="9"/>
  <c r="M1957" i="9"/>
  <c r="M1958" i="9"/>
  <c r="M1959" i="9"/>
  <c r="M1960" i="9"/>
  <c r="M1961" i="9"/>
  <c r="M1962" i="9"/>
  <c r="M1963" i="9"/>
  <c r="M1964" i="9"/>
  <c r="M1965" i="9"/>
  <c r="M1966" i="9"/>
  <c r="M1967" i="9"/>
  <c r="M1968" i="9"/>
  <c r="M1969" i="9"/>
  <c r="M1970" i="9"/>
  <c r="M1971" i="9"/>
  <c r="M1972" i="9"/>
  <c r="M1973" i="9"/>
  <c r="M1974" i="9"/>
  <c r="M1975" i="9"/>
  <c r="M1976" i="9"/>
  <c r="M1977" i="9"/>
  <c r="M1978" i="9"/>
  <c r="M1979" i="9"/>
  <c r="M1980" i="9"/>
  <c r="M1981" i="9"/>
  <c r="M2" i="9"/>
  <c r="L4" i="1" l="1"/>
  <c r="L12" i="1"/>
  <c r="L20" i="1"/>
  <c r="L28" i="1"/>
  <c r="L36" i="1"/>
  <c r="L44" i="1"/>
  <c r="L52" i="1"/>
  <c r="L60" i="1"/>
  <c r="L68" i="1"/>
  <c r="L76" i="1"/>
  <c r="L84" i="1"/>
  <c r="L92" i="1"/>
  <c r="L100" i="1"/>
  <c r="L108" i="1"/>
  <c r="L116" i="1"/>
  <c r="L124" i="1"/>
  <c r="L132" i="1"/>
  <c r="L140" i="1"/>
  <c r="L148" i="1"/>
  <c r="L156" i="1"/>
  <c r="L164" i="1"/>
  <c r="L172" i="1"/>
  <c r="L180" i="1"/>
  <c r="L188" i="1"/>
  <c r="L196" i="1"/>
  <c r="L204" i="1"/>
  <c r="L212" i="1"/>
  <c r="L220" i="1"/>
  <c r="L228" i="1"/>
  <c r="L236" i="1"/>
  <c r="L244" i="1"/>
  <c r="L252" i="1"/>
  <c r="L260" i="1"/>
  <c r="L268" i="1"/>
  <c r="L276" i="1"/>
  <c r="L284" i="1"/>
  <c r="L292" i="1"/>
  <c r="L300" i="1"/>
  <c r="L308" i="1"/>
  <c r="L316" i="1"/>
  <c r="L324" i="1"/>
  <c r="L332" i="1"/>
  <c r="L340" i="1"/>
  <c r="L348" i="1"/>
  <c r="L356" i="1"/>
  <c r="L364" i="1"/>
  <c r="L372" i="1"/>
  <c r="L380" i="1"/>
  <c r="L388" i="1"/>
  <c r="L396" i="1"/>
  <c r="L404" i="1"/>
  <c r="L412" i="1"/>
  <c r="L420" i="1"/>
  <c r="L428" i="1"/>
  <c r="L436" i="1"/>
  <c r="L444" i="1"/>
  <c r="L452" i="1"/>
  <c r="L460" i="1"/>
  <c r="L468" i="1"/>
  <c r="L476" i="1"/>
  <c r="L5" i="1"/>
  <c r="L13" i="1"/>
  <c r="L21" i="1"/>
  <c r="L29" i="1"/>
  <c r="L37" i="1"/>
  <c r="L45" i="1"/>
  <c r="L53" i="1"/>
  <c r="L61" i="1"/>
  <c r="L69" i="1"/>
  <c r="L77" i="1"/>
  <c r="L85" i="1"/>
  <c r="L93" i="1"/>
  <c r="L101" i="1"/>
  <c r="L109" i="1"/>
  <c r="L117" i="1"/>
  <c r="L125" i="1"/>
  <c r="L133" i="1"/>
  <c r="L141" i="1"/>
  <c r="L149" i="1"/>
  <c r="L157" i="1"/>
  <c r="L165" i="1"/>
  <c r="L173" i="1"/>
  <c r="L181" i="1"/>
  <c r="L189" i="1"/>
  <c r="L197" i="1"/>
  <c r="L205" i="1"/>
  <c r="L213" i="1"/>
  <c r="L221" i="1"/>
  <c r="L229" i="1"/>
  <c r="L237" i="1"/>
  <c r="L245" i="1"/>
  <c r="L253" i="1"/>
  <c r="L261" i="1"/>
  <c r="L269" i="1"/>
  <c r="L277" i="1"/>
  <c r="L285" i="1"/>
  <c r="L293" i="1"/>
  <c r="L301" i="1"/>
  <c r="L309" i="1"/>
  <c r="L317" i="1"/>
  <c r="L325" i="1"/>
  <c r="L333" i="1"/>
  <c r="L341" i="1"/>
  <c r="L349" i="1"/>
  <c r="L357" i="1"/>
  <c r="L365" i="1"/>
  <c r="L373" i="1"/>
  <c r="L381" i="1"/>
  <c r="L389" i="1"/>
  <c r="L397" i="1"/>
  <c r="L405" i="1"/>
  <c r="L413" i="1"/>
  <c r="L421" i="1"/>
  <c r="L429" i="1"/>
  <c r="L437" i="1"/>
  <c r="L445" i="1"/>
  <c r="L453" i="1"/>
  <c r="L461" i="1"/>
  <c r="L469" i="1"/>
  <c r="L477" i="1"/>
  <c r="L485" i="1"/>
  <c r="L493" i="1"/>
  <c r="L501" i="1"/>
  <c r="L509" i="1"/>
  <c r="L517" i="1"/>
  <c r="L525" i="1"/>
  <c r="L533" i="1"/>
  <c r="L541" i="1"/>
  <c r="L549" i="1"/>
  <c r="L557" i="1"/>
  <c r="L565" i="1"/>
  <c r="L573" i="1"/>
  <c r="L581" i="1"/>
  <c r="L589" i="1"/>
  <c r="L597" i="1"/>
  <c r="L605" i="1"/>
  <c r="L613" i="1"/>
  <c r="L621" i="1"/>
  <c r="L629" i="1"/>
  <c r="L637" i="1"/>
  <c r="L6" i="1"/>
  <c r="L14" i="1"/>
  <c r="L22" i="1"/>
  <c r="L30" i="1"/>
  <c r="L38" i="1"/>
  <c r="L46" i="1"/>
  <c r="L54" i="1"/>
  <c r="L62" i="1"/>
  <c r="L70" i="1"/>
  <c r="L78" i="1"/>
  <c r="L86" i="1"/>
  <c r="L94" i="1"/>
  <c r="L102" i="1"/>
  <c r="L110" i="1"/>
  <c r="L118" i="1"/>
  <c r="L126" i="1"/>
  <c r="L134" i="1"/>
  <c r="L142" i="1"/>
  <c r="L150" i="1"/>
  <c r="L158" i="1"/>
  <c r="L166" i="1"/>
  <c r="L174" i="1"/>
  <c r="L182" i="1"/>
  <c r="L190" i="1"/>
  <c r="L198" i="1"/>
  <c r="L206" i="1"/>
  <c r="L214" i="1"/>
  <c r="L222" i="1"/>
  <c r="L230" i="1"/>
  <c r="L238" i="1"/>
  <c r="L246" i="1"/>
  <c r="L254" i="1"/>
  <c r="L262" i="1"/>
  <c r="L270" i="1"/>
  <c r="L278" i="1"/>
  <c r="L286" i="1"/>
  <c r="L294" i="1"/>
  <c r="L302" i="1"/>
  <c r="L310" i="1"/>
  <c r="L318" i="1"/>
  <c r="L326" i="1"/>
  <c r="L334" i="1"/>
  <c r="L342" i="1"/>
  <c r="L350" i="1"/>
  <c r="L358" i="1"/>
  <c r="L366" i="1"/>
  <c r="L374" i="1"/>
  <c r="L382" i="1"/>
  <c r="L390" i="1"/>
  <c r="L398" i="1"/>
  <c r="L406" i="1"/>
  <c r="L414" i="1"/>
  <c r="L422" i="1"/>
  <c r="L430" i="1"/>
  <c r="L438" i="1"/>
  <c r="L446" i="1"/>
  <c r="L454" i="1"/>
  <c r="L462" i="1"/>
  <c r="L470" i="1"/>
  <c r="L478" i="1"/>
  <c r="L486" i="1"/>
  <c r="L494" i="1"/>
  <c r="L502" i="1"/>
  <c r="L510" i="1"/>
  <c r="L518" i="1"/>
  <c r="L526" i="1"/>
  <c r="L534" i="1"/>
  <c r="L542" i="1"/>
  <c r="L550" i="1"/>
  <c r="L558" i="1"/>
  <c r="L566" i="1"/>
  <c r="L574" i="1"/>
  <c r="L582" i="1"/>
  <c r="L590" i="1"/>
  <c r="L598" i="1"/>
  <c r="L606" i="1"/>
  <c r="L614" i="1"/>
  <c r="L622" i="1"/>
  <c r="L630" i="1"/>
  <c r="L638" i="1"/>
  <c r="L646" i="1"/>
  <c r="L7" i="1"/>
  <c r="L15" i="1"/>
  <c r="L23" i="1"/>
  <c r="L31" i="1"/>
  <c r="L39" i="1"/>
  <c r="L47" i="1"/>
  <c r="L55" i="1"/>
  <c r="L63" i="1"/>
  <c r="L71" i="1"/>
  <c r="L79" i="1"/>
  <c r="L87" i="1"/>
  <c r="L95" i="1"/>
  <c r="L103" i="1"/>
  <c r="L111" i="1"/>
  <c r="L119" i="1"/>
  <c r="L127" i="1"/>
  <c r="L135" i="1"/>
  <c r="L143" i="1"/>
  <c r="L151" i="1"/>
  <c r="L159" i="1"/>
  <c r="L167" i="1"/>
  <c r="L175" i="1"/>
  <c r="L183" i="1"/>
  <c r="L191" i="1"/>
  <c r="L199" i="1"/>
  <c r="L207" i="1"/>
  <c r="L215" i="1"/>
  <c r="L223" i="1"/>
  <c r="L231" i="1"/>
  <c r="L239" i="1"/>
  <c r="L247" i="1"/>
  <c r="L255" i="1"/>
  <c r="L263" i="1"/>
  <c r="L271" i="1"/>
  <c r="L279" i="1"/>
  <c r="L287" i="1"/>
  <c r="L295" i="1"/>
  <c r="L303" i="1"/>
  <c r="L311" i="1"/>
  <c r="L319" i="1"/>
  <c r="L327" i="1"/>
  <c r="L335" i="1"/>
  <c r="L343" i="1"/>
  <c r="L351" i="1"/>
  <c r="L359" i="1"/>
  <c r="L367" i="1"/>
  <c r="L375" i="1"/>
  <c r="L383" i="1"/>
  <c r="L391" i="1"/>
  <c r="L399" i="1"/>
  <c r="L407" i="1"/>
  <c r="L415" i="1"/>
  <c r="L423" i="1"/>
  <c r="L431" i="1"/>
  <c r="L439" i="1"/>
  <c r="L447" i="1"/>
  <c r="L455" i="1"/>
  <c r="L463" i="1"/>
  <c r="L471" i="1"/>
  <c r="L479" i="1"/>
  <c r="L487" i="1"/>
  <c r="L495" i="1"/>
  <c r="L503" i="1"/>
  <c r="L511" i="1"/>
  <c r="L519" i="1"/>
  <c r="L527" i="1"/>
  <c r="L535" i="1"/>
  <c r="L543" i="1"/>
  <c r="L551" i="1"/>
  <c r="L559" i="1"/>
  <c r="L567" i="1"/>
  <c r="L575" i="1"/>
  <c r="L583" i="1"/>
  <c r="L591" i="1"/>
  <c r="L599" i="1"/>
  <c r="L607" i="1"/>
  <c r="L615" i="1"/>
  <c r="L623" i="1"/>
  <c r="L631" i="1"/>
  <c r="L8" i="1"/>
  <c r="L16" i="1"/>
  <c r="L24" i="1"/>
  <c r="L32" i="1"/>
  <c r="L40" i="1"/>
  <c r="L48" i="1"/>
  <c r="L56" i="1"/>
  <c r="L64" i="1"/>
  <c r="L72" i="1"/>
  <c r="L80" i="1"/>
  <c r="L88" i="1"/>
  <c r="L96" i="1"/>
  <c r="L104" i="1"/>
  <c r="L112" i="1"/>
  <c r="L120" i="1"/>
  <c r="L128" i="1"/>
  <c r="L136" i="1"/>
  <c r="L144" i="1"/>
  <c r="L152" i="1"/>
  <c r="L160" i="1"/>
  <c r="L168" i="1"/>
  <c r="L176" i="1"/>
  <c r="L184" i="1"/>
  <c r="L192" i="1"/>
  <c r="L200" i="1"/>
  <c r="L208" i="1"/>
  <c r="L216" i="1"/>
  <c r="L224" i="1"/>
  <c r="L232" i="1"/>
  <c r="L240" i="1"/>
  <c r="L248" i="1"/>
  <c r="L256" i="1"/>
  <c r="L264" i="1"/>
  <c r="L272" i="1"/>
  <c r="L280" i="1"/>
  <c r="L288" i="1"/>
  <c r="L296" i="1"/>
  <c r="L304" i="1"/>
  <c r="L312" i="1"/>
  <c r="L320" i="1"/>
  <c r="L328" i="1"/>
  <c r="L336" i="1"/>
  <c r="L344" i="1"/>
  <c r="L352" i="1"/>
  <c r="L360" i="1"/>
  <c r="L368" i="1"/>
  <c r="L376" i="1"/>
  <c r="L384" i="1"/>
  <c r="L392" i="1"/>
  <c r="L400" i="1"/>
  <c r="L408" i="1"/>
  <c r="L416" i="1"/>
  <c r="L424" i="1"/>
  <c r="L432" i="1"/>
  <c r="L440" i="1"/>
  <c r="L448" i="1"/>
  <c r="L456" i="1"/>
  <c r="L9" i="1"/>
  <c r="L17" i="1"/>
  <c r="L25" i="1"/>
  <c r="L33" i="1"/>
  <c r="L41" i="1"/>
  <c r="L49" i="1"/>
  <c r="L57" i="1"/>
  <c r="L65" i="1"/>
  <c r="L73" i="1"/>
  <c r="L81" i="1"/>
  <c r="L89" i="1"/>
  <c r="L97" i="1"/>
  <c r="L105" i="1"/>
  <c r="L113" i="1"/>
  <c r="L121" i="1"/>
  <c r="L129" i="1"/>
  <c r="L137" i="1"/>
  <c r="L145" i="1"/>
  <c r="L153" i="1"/>
  <c r="L161" i="1"/>
  <c r="L169" i="1"/>
  <c r="L177" i="1"/>
  <c r="L185" i="1"/>
  <c r="L193" i="1"/>
  <c r="L201" i="1"/>
  <c r="L209" i="1"/>
  <c r="L217" i="1"/>
  <c r="L225" i="1"/>
  <c r="L233" i="1"/>
  <c r="L241" i="1"/>
  <c r="L249" i="1"/>
  <c r="L257" i="1"/>
  <c r="L265" i="1"/>
  <c r="L273" i="1"/>
  <c r="L281" i="1"/>
  <c r="L289" i="1"/>
  <c r="L297" i="1"/>
  <c r="L305" i="1"/>
  <c r="L313" i="1"/>
  <c r="L321" i="1"/>
  <c r="L329" i="1"/>
  <c r="L337" i="1"/>
  <c r="L345" i="1"/>
  <c r="L353" i="1"/>
  <c r="L361" i="1"/>
  <c r="L369" i="1"/>
  <c r="L377" i="1"/>
  <c r="L385" i="1"/>
  <c r="L393" i="1"/>
  <c r="L401" i="1"/>
  <c r="L409" i="1"/>
  <c r="L417" i="1"/>
  <c r="L425" i="1"/>
  <c r="L433" i="1"/>
  <c r="L441" i="1"/>
  <c r="L449" i="1"/>
  <c r="L457" i="1"/>
  <c r="L465" i="1"/>
  <c r="L473" i="1"/>
  <c r="L481" i="1"/>
  <c r="L489" i="1"/>
  <c r="L497" i="1"/>
  <c r="L505" i="1"/>
  <c r="L513" i="1"/>
  <c r="L521" i="1"/>
  <c r="L529" i="1"/>
  <c r="L537" i="1"/>
  <c r="L545" i="1"/>
  <c r="L553" i="1"/>
  <c r="L561" i="1"/>
  <c r="L569" i="1"/>
  <c r="L577" i="1"/>
  <c r="L585" i="1"/>
  <c r="L593" i="1"/>
  <c r="L601" i="1"/>
  <c r="L609" i="1"/>
  <c r="L617" i="1"/>
  <c r="L625" i="1"/>
  <c r="L633" i="1"/>
  <c r="L641" i="1"/>
  <c r="L11" i="1"/>
  <c r="L19" i="1"/>
  <c r="L27" i="1"/>
  <c r="L35" i="1"/>
  <c r="L43" i="1"/>
  <c r="L51" i="1"/>
  <c r="L59" i="1"/>
  <c r="L67" i="1"/>
  <c r="L75" i="1"/>
  <c r="L83" i="1"/>
  <c r="L91" i="1"/>
  <c r="L99" i="1"/>
  <c r="L107" i="1"/>
  <c r="L115" i="1"/>
  <c r="L123" i="1"/>
  <c r="L131" i="1"/>
  <c r="L139" i="1"/>
  <c r="L147" i="1"/>
  <c r="L155" i="1"/>
  <c r="L163" i="1"/>
  <c r="L171" i="1"/>
  <c r="L179" i="1"/>
  <c r="L187" i="1"/>
  <c r="L195" i="1"/>
  <c r="L203" i="1"/>
  <c r="L211" i="1"/>
  <c r="L219" i="1"/>
  <c r="L227" i="1"/>
  <c r="L235" i="1"/>
  <c r="L243" i="1"/>
  <c r="L251" i="1"/>
  <c r="L259" i="1"/>
  <c r="L267" i="1"/>
  <c r="L275" i="1"/>
  <c r="L283" i="1"/>
  <c r="L291" i="1"/>
  <c r="L299" i="1"/>
  <c r="L307" i="1"/>
  <c r="L315" i="1"/>
  <c r="L323" i="1"/>
  <c r="L331" i="1"/>
  <c r="L339" i="1"/>
  <c r="L347" i="1"/>
  <c r="L355" i="1"/>
  <c r="L363" i="1"/>
  <c r="L371" i="1"/>
  <c r="L379" i="1"/>
  <c r="L387" i="1"/>
  <c r="L395" i="1"/>
  <c r="L403" i="1"/>
  <c r="L411" i="1"/>
  <c r="L419" i="1"/>
  <c r="L427" i="1"/>
  <c r="L435" i="1"/>
  <c r="L443" i="1"/>
  <c r="L451" i="1"/>
  <c r="L459" i="1"/>
  <c r="L467" i="1"/>
  <c r="L475" i="1"/>
  <c r="L483" i="1"/>
  <c r="L491" i="1"/>
  <c r="L499" i="1"/>
  <c r="L507" i="1"/>
  <c r="L515" i="1"/>
  <c r="L523" i="1"/>
  <c r="L531" i="1"/>
  <c r="L539" i="1"/>
  <c r="L547" i="1"/>
  <c r="L555" i="1"/>
  <c r="L563" i="1"/>
  <c r="L571" i="1"/>
  <c r="L579" i="1"/>
  <c r="L587" i="1"/>
  <c r="L595" i="1"/>
  <c r="L603" i="1"/>
  <c r="L611" i="1"/>
  <c r="L619" i="1"/>
  <c r="L627" i="1"/>
  <c r="L635" i="1"/>
  <c r="L643" i="1"/>
  <c r="L651" i="1"/>
  <c r="L659" i="1"/>
  <c r="L667" i="1"/>
  <c r="L675" i="1"/>
  <c r="L683" i="1"/>
  <c r="L10" i="1"/>
  <c r="L74" i="1"/>
  <c r="L138" i="1"/>
  <c r="L202" i="1"/>
  <c r="L266" i="1"/>
  <c r="L330" i="1"/>
  <c r="L394" i="1"/>
  <c r="L458" i="1"/>
  <c r="L488" i="1"/>
  <c r="L508" i="1"/>
  <c r="L530" i="1"/>
  <c r="L552" i="1"/>
  <c r="L572" i="1"/>
  <c r="L594" i="1"/>
  <c r="L616" i="1"/>
  <c r="L636" i="1"/>
  <c r="L649" i="1"/>
  <c r="L658" i="1"/>
  <c r="L668" i="1"/>
  <c r="L677" i="1"/>
  <c r="L686" i="1"/>
  <c r="L694" i="1"/>
  <c r="L702" i="1"/>
  <c r="L710" i="1"/>
  <c r="L718" i="1"/>
  <c r="L726" i="1"/>
  <c r="L734" i="1"/>
  <c r="L742" i="1"/>
  <c r="L750" i="1"/>
  <c r="L758" i="1"/>
  <c r="L766" i="1"/>
  <c r="L774" i="1"/>
  <c r="L782" i="1"/>
  <c r="L790" i="1"/>
  <c r="L798" i="1"/>
  <c r="L806" i="1"/>
  <c r="L814" i="1"/>
  <c r="L822" i="1"/>
  <c r="L830" i="1"/>
  <c r="L838" i="1"/>
  <c r="L846" i="1"/>
  <c r="L854" i="1"/>
  <c r="L862" i="1"/>
  <c r="L870" i="1"/>
  <c r="L878" i="1"/>
  <c r="L886" i="1"/>
  <c r="L894" i="1"/>
  <c r="L902" i="1"/>
  <c r="L910" i="1"/>
  <c r="L918" i="1"/>
  <c r="L926" i="1"/>
  <c r="L934" i="1"/>
  <c r="L942" i="1"/>
  <c r="L950" i="1"/>
  <c r="L958" i="1"/>
  <c r="L966" i="1"/>
  <c r="L974" i="1"/>
  <c r="L982" i="1"/>
  <c r="L990" i="1"/>
  <c r="L998" i="1"/>
  <c r="L1006" i="1"/>
  <c r="L1014" i="1"/>
  <c r="L1022" i="1"/>
  <c r="L1030" i="1"/>
  <c r="L1038" i="1"/>
  <c r="L1046" i="1"/>
  <c r="L1054" i="1"/>
  <c r="L1062" i="1"/>
  <c r="L1070" i="1"/>
  <c r="L1078" i="1"/>
  <c r="L1086" i="1"/>
  <c r="L1094" i="1"/>
  <c r="L1102" i="1"/>
  <c r="L1110" i="1"/>
  <c r="L1118" i="1"/>
  <c r="L1126" i="1"/>
  <c r="L1134" i="1"/>
  <c r="L1142" i="1"/>
  <c r="L1150" i="1"/>
  <c r="L1158" i="1"/>
  <c r="L1166" i="1"/>
  <c r="L1174" i="1"/>
  <c r="L1182" i="1"/>
  <c r="L1190" i="1"/>
  <c r="L18" i="1"/>
  <c r="L82" i="1"/>
  <c r="L146" i="1"/>
  <c r="L210" i="1"/>
  <c r="L274" i="1"/>
  <c r="L338" i="1"/>
  <c r="L402" i="1"/>
  <c r="L464" i="1"/>
  <c r="L490" i="1"/>
  <c r="L512" i="1"/>
  <c r="L532" i="1"/>
  <c r="L554" i="1"/>
  <c r="L576" i="1"/>
  <c r="L596" i="1"/>
  <c r="L618" i="1"/>
  <c r="L639" i="1"/>
  <c r="L650" i="1"/>
  <c r="L660" i="1"/>
  <c r="L669" i="1"/>
  <c r="L678" i="1"/>
  <c r="L687" i="1"/>
  <c r="L695" i="1"/>
  <c r="L703" i="1"/>
  <c r="L711" i="1"/>
  <c r="L719" i="1"/>
  <c r="L727" i="1"/>
  <c r="L735" i="1"/>
  <c r="L743" i="1"/>
  <c r="L751" i="1"/>
  <c r="L759" i="1"/>
  <c r="L767" i="1"/>
  <c r="L775" i="1"/>
  <c r="L783" i="1"/>
  <c r="L791" i="1"/>
  <c r="L799" i="1"/>
  <c r="L807" i="1"/>
  <c r="L815" i="1"/>
  <c r="L823" i="1"/>
  <c r="L831" i="1"/>
  <c r="L839" i="1"/>
  <c r="L847" i="1"/>
  <c r="L855" i="1"/>
  <c r="L863" i="1"/>
  <c r="L871" i="1"/>
  <c r="L879" i="1"/>
  <c r="L887" i="1"/>
  <c r="L895" i="1"/>
  <c r="L903" i="1"/>
  <c r="L911" i="1"/>
  <c r="L919" i="1"/>
  <c r="L927" i="1"/>
  <c r="L935" i="1"/>
  <c r="L943" i="1"/>
  <c r="L951" i="1"/>
  <c r="L959" i="1"/>
  <c r="L967" i="1"/>
  <c r="L975" i="1"/>
  <c r="L983" i="1"/>
  <c r="L991" i="1"/>
  <c r="L999" i="1"/>
  <c r="L1007" i="1"/>
  <c r="L1015" i="1"/>
  <c r="L1023" i="1"/>
  <c r="L1031" i="1"/>
  <c r="L1039" i="1"/>
  <c r="L1047" i="1"/>
  <c r="L1055" i="1"/>
  <c r="L1063" i="1"/>
  <c r="L1071" i="1"/>
  <c r="L1079" i="1"/>
  <c r="L1087" i="1"/>
  <c r="L1095" i="1"/>
  <c r="L1103" i="1"/>
  <c r="L1111" i="1"/>
  <c r="L1119" i="1"/>
  <c r="L1127" i="1"/>
  <c r="L1135" i="1"/>
  <c r="L1143" i="1"/>
  <c r="L1151" i="1"/>
  <c r="L1159" i="1"/>
  <c r="L1167" i="1"/>
  <c r="L1175" i="1"/>
  <c r="L1183" i="1"/>
  <c r="L1191" i="1"/>
  <c r="L1199" i="1"/>
  <c r="L26" i="1"/>
  <c r="L90" i="1"/>
  <c r="L154" i="1"/>
  <c r="L218" i="1"/>
  <c r="L282" i="1"/>
  <c r="L346" i="1"/>
  <c r="L410" i="1"/>
  <c r="L466" i="1"/>
  <c r="L492" i="1"/>
  <c r="L514" i="1"/>
  <c r="L536" i="1"/>
  <c r="L556" i="1"/>
  <c r="L578" i="1"/>
  <c r="L600" i="1"/>
  <c r="L620" i="1"/>
  <c r="L640" i="1"/>
  <c r="L652" i="1"/>
  <c r="L661" i="1"/>
  <c r="L670" i="1"/>
  <c r="L679" i="1"/>
  <c r="L688" i="1"/>
  <c r="L696" i="1"/>
  <c r="L704" i="1"/>
  <c r="L712" i="1"/>
  <c r="L720" i="1"/>
  <c r="L728" i="1"/>
  <c r="L736" i="1"/>
  <c r="L744" i="1"/>
  <c r="L752" i="1"/>
  <c r="L760" i="1"/>
  <c r="L768" i="1"/>
  <c r="L776" i="1"/>
  <c r="L784" i="1"/>
  <c r="L792" i="1"/>
  <c r="L800" i="1"/>
  <c r="L808" i="1"/>
  <c r="L816" i="1"/>
  <c r="L824" i="1"/>
  <c r="L832" i="1"/>
  <c r="L840" i="1"/>
  <c r="L848" i="1"/>
  <c r="L856" i="1"/>
  <c r="L864" i="1"/>
  <c r="L872" i="1"/>
  <c r="L880" i="1"/>
  <c r="L888" i="1"/>
  <c r="L896" i="1"/>
  <c r="L904" i="1"/>
  <c r="L912" i="1"/>
  <c r="L920" i="1"/>
  <c r="L928" i="1"/>
  <c r="L936" i="1"/>
  <c r="L944" i="1"/>
  <c r="L952" i="1"/>
  <c r="L960" i="1"/>
  <c r="L968" i="1"/>
  <c r="L976" i="1"/>
  <c r="L984" i="1"/>
  <c r="L992" i="1"/>
  <c r="L1000" i="1"/>
  <c r="L1008" i="1"/>
  <c r="L1016" i="1"/>
  <c r="L1024" i="1"/>
  <c r="L1032" i="1"/>
  <c r="L1040" i="1"/>
  <c r="L1048" i="1"/>
  <c r="L1056" i="1"/>
  <c r="L1064" i="1"/>
  <c r="L1072" i="1"/>
  <c r="L1080" i="1"/>
  <c r="L1088" i="1"/>
  <c r="L1096" i="1"/>
  <c r="L1104" i="1"/>
  <c r="L1112" i="1"/>
  <c r="L1120" i="1"/>
  <c r="L1128" i="1"/>
  <c r="L1136" i="1"/>
  <c r="L1144" i="1"/>
  <c r="L1152" i="1"/>
  <c r="L1160" i="1"/>
  <c r="L1168" i="1"/>
  <c r="L1176" i="1"/>
  <c r="L34" i="1"/>
  <c r="L98" i="1"/>
  <c r="L162" i="1"/>
  <c r="L226" i="1"/>
  <c r="L290" i="1"/>
  <c r="L354" i="1"/>
  <c r="L418" i="1"/>
  <c r="L472" i="1"/>
  <c r="L496" i="1"/>
  <c r="L516" i="1"/>
  <c r="L538" i="1"/>
  <c r="L560" i="1"/>
  <c r="L580" i="1"/>
  <c r="L602" i="1"/>
  <c r="L624" i="1"/>
  <c r="L642" i="1"/>
  <c r="L653" i="1"/>
  <c r="L662" i="1"/>
  <c r="L671" i="1"/>
  <c r="L680" i="1"/>
  <c r="L689" i="1"/>
  <c r="L697" i="1"/>
  <c r="L705" i="1"/>
  <c r="L713" i="1"/>
  <c r="L721" i="1"/>
  <c r="L729" i="1"/>
  <c r="L737" i="1"/>
  <c r="L745" i="1"/>
  <c r="L753" i="1"/>
  <c r="L761" i="1"/>
  <c r="L769" i="1"/>
  <c r="L777" i="1"/>
  <c r="L785" i="1"/>
  <c r="L793" i="1"/>
  <c r="L801" i="1"/>
  <c r="L809" i="1"/>
  <c r="L817" i="1"/>
  <c r="L825" i="1"/>
  <c r="L833" i="1"/>
  <c r="L841" i="1"/>
  <c r="L849" i="1"/>
  <c r="L857" i="1"/>
  <c r="L865" i="1"/>
  <c r="L873" i="1"/>
  <c r="L881" i="1"/>
  <c r="L889" i="1"/>
  <c r="L897" i="1"/>
  <c r="L905" i="1"/>
  <c r="L913" i="1"/>
  <c r="L921" i="1"/>
  <c r="L929" i="1"/>
  <c r="L937" i="1"/>
  <c r="L945" i="1"/>
  <c r="L953" i="1"/>
  <c r="L961" i="1"/>
  <c r="L969" i="1"/>
  <c r="L977" i="1"/>
  <c r="L985" i="1"/>
  <c r="L993" i="1"/>
  <c r="L1001" i="1"/>
  <c r="L1009" i="1"/>
  <c r="L1017" i="1"/>
  <c r="L1025" i="1"/>
  <c r="L1033" i="1"/>
  <c r="L1041" i="1"/>
  <c r="L1049" i="1"/>
  <c r="L1057" i="1"/>
  <c r="L1065" i="1"/>
  <c r="L1073" i="1"/>
  <c r="L1081" i="1"/>
  <c r="L42" i="1"/>
  <c r="L106" i="1"/>
  <c r="L170" i="1"/>
  <c r="L234" i="1"/>
  <c r="L298" i="1"/>
  <c r="L362" i="1"/>
  <c r="L426" i="1"/>
  <c r="L474" i="1"/>
  <c r="L498" i="1"/>
  <c r="L520" i="1"/>
  <c r="L540" i="1"/>
  <c r="L562" i="1"/>
  <c r="L584" i="1"/>
  <c r="L604" i="1"/>
  <c r="L626" i="1"/>
  <c r="L644" i="1"/>
  <c r="L654" i="1"/>
  <c r="L663" i="1"/>
  <c r="L672" i="1"/>
  <c r="L681" i="1"/>
  <c r="L690" i="1"/>
  <c r="L698" i="1"/>
  <c r="L706" i="1"/>
  <c r="L714" i="1"/>
  <c r="L722" i="1"/>
  <c r="L730" i="1"/>
  <c r="L738" i="1"/>
  <c r="L746" i="1"/>
  <c r="L754" i="1"/>
  <c r="L762" i="1"/>
  <c r="L770" i="1"/>
  <c r="L778" i="1"/>
  <c r="L786" i="1"/>
  <c r="L794" i="1"/>
  <c r="L802" i="1"/>
  <c r="L810" i="1"/>
  <c r="L818" i="1"/>
  <c r="L826" i="1"/>
  <c r="L834" i="1"/>
  <c r="L842" i="1"/>
  <c r="L850" i="1"/>
  <c r="L858" i="1"/>
  <c r="L866" i="1"/>
  <c r="L874" i="1"/>
  <c r="L882" i="1"/>
  <c r="L890" i="1"/>
  <c r="L898" i="1"/>
  <c r="L906" i="1"/>
  <c r="L914" i="1"/>
  <c r="L922" i="1"/>
  <c r="L930" i="1"/>
  <c r="L938" i="1"/>
  <c r="L946" i="1"/>
  <c r="L954" i="1"/>
  <c r="L962" i="1"/>
  <c r="L970" i="1"/>
  <c r="L978" i="1"/>
  <c r="L986" i="1"/>
  <c r="L994" i="1"/>
  <c r="L1002" i="1"/>
  <c r="L1010" i="1"/>
  <c r="L1018" i="1"/>
  <c r="L1026" i="1"/>
  <c r="L1034" i="1"/>
  <c r="L1042" i="1"/>
  <c r="L1050" i="1"/>
  <c r="L1058" i="1"/>
  <c r="L1066" i="1"/>
  <c r="L1074" i="1"/>
  <c r="L1082" i="1"/>
  <c r="L1090" i="1"/>
  <c r="L1098" i="1"/>
  <c r="L1106" i="1"/>
  <c r="L66" i="1"/>
  <c r="L130" i="1"/>
  <c r="L194" i="1"/>
  <c r="L258" i="1"/>
  <c r="L322" i="1"/>
  <c r="L386" i="1"/>
  <c r="L450" i="1"/>
  <c r="L484" i="1"/>
  <c r="L506" i="1"/>
  <c r="L528" i="1"/>
  <c r="L548" i="1"/>
  <c r="L570" i="1"/>
  <c r="L592" i="1"/>
  <c r="L612" i="1"/>
  <c r="L634" i="1"/>
  <c r="L648" i="1"/>
  <c r="L657" i="1"/>
  <c r="L666" i="1"/>
  <c r="L676" i="1"/>
  <c r="L685" i="1"/>
  <c r="L693" i="1"/>
  <c r="L701" i="1"/>
  <c r="L709" i="1"/>
  <c r="L717" i="1"/>
  <c r="L725" i="1"/>
  <c r="L733" i="1"/>
  <c r="L741" i="1"/>
  <c r="L749" i="1"/>
  <c r="L757" i="1"/>
  <c r="L765" i="1"/>
  <c r="L773" i="1"/>
  <c r="L781" i="1"/>
  <c r="L789" i="1"/>
  <c r="L797" i="1"/>
  <c r="L805" i="1"/>
  <c r="L813" i="1"/>
  <c r="L821" i="1"/>
  <c r="L829" i="1"/>
  <c r="L837" i="1"/>
  <c r="L845" i="1"/>
  <c r="L853" i="1"/>
  <c r="L861" i="1"/>
  <c r="L869" i="1"/>
  <c r="L877" i="1"/>
  <c r="L885" i="1"/>
  <c r="L893" i="1"/>
  <c r="L901" i="1"/>
  <c r="L909" i="1"/>
  <c r="L917" i="1"/>
  <c r="L925" i="1"/>
  <c r="L933" i="1"/>
  <c r="L941" i="1"/>
  <c r="L949" i="1"/>
  <c r="L957" i="1"/>
  <c r="L965" i="1"/>
  <c r="L973" i="1"/>
  <c r="L981" i="1"/>
  <c r="L989" i="1"/>
  <c r="L997" i="1"/>
  <c r="L1005" i="1"/>
  <c r="L1013" i="1"/>
  <c r="L1021" i="1"/>
  <c r="L1029" i="1"/>
  <c r="L50" i="1"/>
  <c r="L306" i="1"/>
  <c r="L500" i="1"/>
  <c r="L586" i="1"/>
  <c r="L655" i="1"/>
  <c r="L691" i="1"/>
  <c r="L723" i="1"/>
  <c r="L755" i="1"/>
  <c r="L787" i="1"/>
  <c r="L819" i="1"/>
  <c r="L851" i="1"/>
  <c r="L883" i="1"/>
  <c r="L915" i="1"/>
  <c r="L947" i="1"/>
  <c r="L979" i="1"/>
  <c r="L1011" i="1"/>
  <c r="L1037" i="1"/>
  <c r="L1060" i="1"/>
  <c r="L1083" i="1"/>
  <c r="L1099" i="1"/>
  <c r="L1114" i="1"/>
  <c r="L1125" i="1"/>
  <c r="L1139" i="1"/>
  <c r="L1153" i="1"/>
  <c r="L1164" i="1"/>
  <c r="L1178" i="1"/>
  <c r="L1188" i="1"/>
  <c r="L1198" i="1"/>
  <c r="L1207" i="1"/>
  <c r="L1215" i="1"/>
  <c r="L1223" i="1"/>
  <c r="L1231" i="1"/>
  <c r="L1239" i="1"/>
  <c r="L1247" i="1"/>
  <c r="L1255" i="1"/>
  <c r="L1263" i="1"/>
  <c r="L1271" i="1"/>
  <c r="L1279" i="1"/>
  <c r="L1287" i="1"/>
  <c r="L1295" i="1"/>
  <c r="L1303" i="1"/>
  <c r="L1311" i="1"/>
  <c r="L1319" i="1"/>
  <c r="L1327" i="1"/>
  <c r="L1335" i="1"/>
  <c r="L1343" i="1"/>
  <c r="L1351" i="1"/>
  <c r="L1359" i="1"/>
  <c r="L1367" i="1"/>
  <c r="L1375" i="1"/>
  <c r="L1383" i="1"/>
  <c r="L1391" i="1"/>
  <c r="L1399" i="1"/>
  <c r="L1407" i="1"/>
  <c r="L1415" i="1"/>
  <c r="L1423" i="1"/>
  <c r="L1431" i="1"/>
  <c r="L1439" i="1"/>
  <c r="L1447" i="1"/>
  <c r="L1455" i="1"/>
  <c r="L1463" i="1"/>
  <c r="L1471" i="1"/>
  <c r="L1479" i="1"/>
  <c r="L1487" i="1"/>
  <c r="L1495" i="1"/>
  <c r="L1503" i="1"/>
  <c r="L1511" i="1"/>
  <c r="L1519" i="1"/>
  <c r="L1527" i="1"/>
  <c r="L1535" i="1"/>
  <c r="L1543" i="1"/>
  <c r="L1551" i="1"/>
  <c r="L1559" i="1"/>
  <c r="L1567" i="1"/>
  <c r="L1575" i="1"/>
  <c r="L1583" i="1"/>
  <c r="L1591" i="1"/>
  <c r="L1599" i="1"/>
  <c r="L1607" i="1"/>
  <c r="L1615" i="1"/>
  <c r="L58" i="1"/>
  <c r="L314" i="1"/>
  <c r="L504" i="1"/>
  <c r="L588" i="1"/>
  <c r="L656" i="1"/>
  <c r="L692" i="1"/>
  <c r="L724" i="1"/>
  <c r="L756" i="1"/>
  <c r="L788" i="1"/>
  <c r="L820" i="1"/>
  <c r="L852" i="1"/>
  <c r="L884" i="1"/>
  <c r="L916" i="1"/>
  <c r="L948" i="1"/>
  <c r="L980" i="1"/>
  <c r="L1012" i="1"/>
  <c r="L1043" i="1"/>
  <c r="L1061" i="1"/>
  <c r="L1084" i="1"/>
  <c r="L1100" i="1"/>
  <c r="L1115" i="1"/>
  <c r="L1129" i="1"/>
  <c r="L1140" i="1"/>
  <c r="L1154" i="1"/>
  <c r="L1165" i="1"/>
  <c r="L1179" i="1"/>
  <c r="L1189" i="1"/>
  <c r="L1200" i="1"/>
  <c r="L1208" i="1"/>
  <c r="L1216" i="1"/>
  <c r="L1224" i="1"/>
  <c r="L1232" i="1"/>
  <c r="L1240" i="1"/>
  <c r="L1248" i="1"/>
  <c r="L1256" i="1"/>
  <c r="L1264" i="1"/>
  <c r="L1272" i="1"/>
  <c r="L1280" i="1"/>
  <c r="L1288" i="1"/>
  <c r="L1296" i="1"/>
  <c r="L1304" i="1"/>
  <c r="L1312" i="1"/>
  <c r="L1320" i="1"/>
  <c r="L1328" i="1"/>
  <c r="L1336" i="1"/>
  <c r="L1344" i="1"/>
  <c r="L1352" i="1"/>
  <c r="L1360" i="1"/>
  <c r="L1368" i="1"/>
  <c r="L1376" i="1"/>
  <c r="L1384" i="1"/>
  <c r="L1392" i="1"/>
  <c r="L1400" i="1"/>
  <c r="L1408" i="1"/>
  <c r="L1416" i="1"/>
  <c r="L1424" i="1"/>
  <c r="L1432" i="1"/>
  <c r="L1440" i="1"/>
  <c r="L1448" i="1"/>
  <c r="L1456" i="1"/>
  <c r="L1464" i="1"/>
  <c r="L1472" i="1"/>
  <c r="L1480" i="1"/>
  <c r="L1488" i="1"/>
  <c r="L1496" i="1"/>
  <c r="L1504" i="1"/>
  <c r="L1512" i="1"/>
  <c r="L1520" i="1"/>
  <c r="L1528" i="1"/>
  <c r="L1536" i="1"/>
  <c r="L1544" i="1"/>
  <c r="L1552" i="1"/>
  <c r="L1560" i="1"/>
  <c r="L1568" i="1"/>
  <c r="L1576" i="1"/>
  <c r="L1584" i="1"/>
  <c r="L1592" i="1"/>
  <c r="L1600" i="1"/>
  <c r="L114" i="1"/>
  <c r="L370" i="1"/>
  <c r="L522" i="1"/>
  <c r="L608" i="1"/>
  <c r="L664" i="1"/>
  <c r="L699" i="1"/>
  <c r="L731" i="1"/>
  <c r="L763" i="1"/>
  <c r="L795" i="1"/>
  <c r="L827" i="1"/>
  <c r="L859" i="1"/>
  <c r="L891" i="1"/>
  <c r="L923" i="1"/>
  <c r="L955" i="1"/>
  <c r="L987" i="1"/>
  <c r="L1019" i="1"/>
  <c r="L1044" i="1"/>
  <c r="L1067" i="1"/>
  <c r="L1085" i="1"/>
  <c r="L1101" i="1"/>
  <c r="L1116" i="1"/>
  <c r="L1130" i="1"/>
  <c r="L1141" i="1"/>
  <c r="L1155" i="1"/>
  <c r="L1169" i="1"/>
  <c r="L1180" i="1"/>
  <c r="L1192" i="1"/>
  <c r="L1201" i="1"/>
  <c r="L1209" i="1"/>
  <c r="L1217" i="1"/>
  <c r="L1225" i="1"/>
  <c r="L1233" i="1"/>
  <c r="L1241" i="1"/>
  <c r="L1249" i="1"/>
  <c r="L1257" i="1"/>
  <c r="L1265" i="1"/>
  <c r="L1273" i="1"/>
  <c r="L1281" i="1"/>
  <c r="L1289" i="1"/>
  <c r="L1297" i="1"/>
  <c r="L1305" i="1"/>
  <c r="L1313" i="1"/>
  <c r="L1321" i="1"/>
  <c r="L1329" i="1"/>
  <c r="L1337" i="1"/>
  <c r="L1345" i="1"/>
  <c r="L1353" i="1"/>
  <c r="L1361" i="1"/>
  <c r="L1369" i="1"/>
  <c r="L1377" i="1"/>
  <c r="L1385" i="1"/>
  <c r="L1393" i="1"/>
  <c r="L1401" i="1"/>
  <c r="L1409" i="1"/>
  <c r="L1417" i="1"/>
  <c r="L1425" i="1"/>
  <c r="L1433" i="1"/>
  <c r="L1441" i="1"/>
  <c r="L1449" i="1"/>
  <c r="L1457" i="1"/>
  <c r="L1465" i="1"/>
  <c r="L1473" i="1"/>
  <c r="L1481" i="1"/>
  <c r="L1489" i="1"/>
  <c r="L1497" i="1"/>
  <c r="L1505" i="1"/>
  <c r="L1513" i="1"/>
  <c r="L1521" i="1"/>
  <c r="L1529" i="1"/>
  <c r="L1537" i="1"/>
  <c r="L1545" i="1"/>
  <c r="L1553" i="1"/>
  <c r="L1561" i="1"/>
  <c r="L1569" i="1"/>
  <c r="L1577" i="1"/>
  <c r="L1585" i="1"/>
  <c r="L1593" i="1"/>
  <c r="L1601" i="1"/>
  <c r="L1609" i="1"/>
  <c r="L1617" i="1"/>
  <c r="L1625" i="1"/>
  <c r="L1633" i="1"/>
  <c r="L1641" i="1"/>
  <c r="L122" i="1"/>
  <c r="L378" i="1"/>
  <c r="L524" i="1"/>
  <c r="L610" i="1"/>
  <c r="L665" i="1"/>
  <c r="L700" i="1"/>
  <c r="L732" i="1"/>
  <c r="L764" i="1"/>
  <c r="L796" i="1"/>
  <c r="L828" i="1"/>
  <c r="L860" i="1"/>
  <c r="L892" i="1"/>
  <c r="L924" i="1"/>
  <c r="L956" i="1"/>
  <c r="L988" i="1"/>
  <c r="L1020" i="1"/>
  <c r="L1045" i="1"/>
  <c r="L1068" i="1"/>
  <c r="L1089" i="1"/>
  <c r="L1105" i="1"/>
  <c r="L1117" i="1"/>
  <c r="L1131" i="1"/>
  <c r="L1145" i="1"/>
  <c r="L1156" i="1"/>
  <c r="L1170" i="1"/>
  <c r="L1181" i="1"/>
  <c r="L1193" i="1"/>
  <c r="L1202" i="1"/>
  <c r="L1210" i="1"/>
  <c r="L1218" i="1"/>
  <c r="L1226" i="1"/>
  <c r="L1234" i="1"/>
  <c r="L1242" i="1"/>
  <c r="L1250" i="1"/>
  <c r="L1258" i="1"/>
  <c r="L1266" i="1"/>
  <c r="L1274" i="1"/>
  <c r="L1282" i="1"/>
  <c r="L1290" i="1"/>
  <c r="L1298" i="1"/>
  <c r="L1306" i="1"/>
  <c r="L1314" i="1"/>
  <c r="L1322" i="1"/>
  <c r="L1330" i="1"/>
  <c r="L1338" i="1"/>
  <c r="L1346" i="1"/>
  <c r="L1354" i="1"/>
  <c r="L1362" i="1"/>
  <c r="L1370" i="1"/>
  <c r="L1378" i="1"/>
  <c r="L1386" i="1"/>
  <c r="L1394" i="1"/>
  <c r="L1402" i="1"/>
  <c r="L1410" i="1"/>
  <c r="L1418" i="1"/>
  <c r="L1426" i="1"/>
  <c r="L1434" i="1"/>
  <c r="L1442" i="1"/>
  <c r="L1450" i="1"/>
  <c r="L1458" i="1"/>
  <c r="L1466" i="1"/>
  <c r="L1474" i="1"/>
  <c r="L1482" i="1"/>
  <c r="L1490" i="1"/>
  <c r="L1498" i="1"/>
  <c r="L1506" i="1"/>
  <c r="L1514" i="1"/>
  <c r="L1522" i="1"/>
  <c r="L1530" i="1"/>
  <c r="L1538" i="1"/>
  <c r="L1546" i="1"/>
  <c r="L1554" i="1"/>
  <c r="L1562" i="1"/>
  <c r="L1570" i="1"/>
  <c r="L1578" i="1"/>
  <c r="L1586" i="1"/>
  <c r="L1594" i="1"/>
  <c r="L1602" i="1"/>
  <c r="L1610" i="1"/>
  <c r="L1618" i="1"/>
  <c r="L1626" i="1"/>
  <c r="L1634" i="1"/>
  <c r="L1642" i="1"/>
  <c r="L1650" i="1"/>
  <c r="L1658" i="1"/>
  <c r="L178" i="1"/>
  <c r="L434" i="1"/>
  <c r="L544" i="1"/>
  <c r="L628" i="1"/>
  <c r="L673" i="1"/>
  <c r="L707" i="1"/>
  <c r="L739" i="1"/>
  <c r="L771" i="1"/>
  <c r="L803" i="1"/>
  <c r="L835" i="1"/>
  <c r="L867" i="1"/>
  <c r="L899" i="1"/>
  <c r="L931" i="1"/>
  <c r="L963" i="1"/>
  <c r="L995" i="1"/>
  <c r="L1027" i="1"/>
  <c r="L1051" i="1"/>
  <c r="L1069" i="1"/>
  <c r="L1091" i="1"/>
  <c r="L1107" i="1"/>
  <c r="L1121" i="1"/>
  <c r="L1132" i="1"/>
  <c r="L1146" i="1"/>
  <c r="L1157" i="1"/>
  <c r="L1171" i="1"/>
  <c r="L1184" i="1"/>
  <c r="L1194" i="1"/>
  <c r="L1203" i="1"/>
  <c r="L1211" i="1"/>
  <c r="L1219" i="1"/>
  <c r="L1227" i="1"/>
  <c r="L1235" i="1"/>
  <c r="L1243" i="1"/>
  <c r="L1251" i="1"/>
  <c r="L1259" i="1"/>
  <c r="L1267" i="1"/>
  <c r="L1275" i="1"/>
  <c r="L1283" i="1"/>
  <c r="L1291" i="1"/>
  <c r="L1299" i="1"/>
  <c r="L1307" i="1"/>
  <c r="L1315" i="1"/>
  <c r="L1323" i="1"/>
  <c r="L1331" i="1"/>
  <c r="L1339" i="1"/>
  <c r="L1347" i="1"/>
  <c r="L1355" i="1"/>
  <c r="L1363" i="1"/>
  <c r="L1371" i="1"/>
  <c r="L1379" i="1"/>
  <c r="L1387" i="1"/>
  <c r="L1395" i="1"/>
  <c r="L1403" i="1"/>
  <c r="L1411" i="1"/>
  <c r="L1419" i="1"/>
  <c r="L1427" i="1"/>
  <c r="L1435" i="1"/>
  <c r="L1443" i="1"/>
  <c r="L1451" i="1"/>
  <c r="L1459" i="1"/>
  <c r="L1467" i="1"/>
  <c r="L1475" i="1"/>
  <c r="L1483" i="1"/>
  <c r="L1491" i="1"/>
  <c r="L1499" i="1"/>
  <c r="L1507" i="1"/>
  <c r="L1515" i="1"/>
  <c r="L1523" i="1"/>
  <c r="L1531" i="1"/>
  <c r="L1539" i="1"/>
  <c r="L1547" i="1"/>
  <c r="L1555" i="1"/>
  <c r="L1563" i="1"/>
  <c r="L1571" i="1"/>
  <c r="L1579" i="1"/>
  <c r="L1587" i="1"/>
  <c r="L1595" i="1"/>
  <c r="L1603" i="1"/>
  <c r="L186" i="1"/>
  <c r="L442" i="1"/>
  <c r="L546" i="1"/>
  <c r="L632" i="1"/>
  <c r="L674" i="1"/>
  <c r="L708" i="1"/>
  <c r="L740" i="1"/>
  <c r="L772" i="1"/>
  <c r="L804" i="1"/>
  <c r="L836" i="1"/>
  <c r="L868" i="1"/>
  <c r="L900" i="1"/>
  <c r="L932" i="1"/>
  <c r="L964" i="1"/>
  <c r="L996" i="1"/>
  <c r="L1028" i="1"/>
  <c r="L1052" i="1"/>
  <c r="L1075" i="1"/>
  <c r="L1092" i="1"/>
  <c r="L1108" i="1"/>
  <c r="L1122" i="1"/>
  <c r="L1133" i="1"/>
  <c r="L1147" i="1"/>
  <c r="L1161" i="1"/>
  <c r="L1172" i="1"/>
  <c r="L1185" i="1"/>
  <c r="L1195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8" i="1"/>
  <c r="L1556" i="1"/>
  <c r="L1564" i="1"/>
  <c r="L1572" i="1"/>
  <c r="L1580" i="1"/>
  <c r="L1588" i="1"/>
  <c r="L1596" i="1"/>
  <c r="L1604" i="1"/>
  <c r="L1612" i="1"/>
  <c r="L242" i="1"/>
  <c r="L682" i="1"/>
  <c r="L811" i="1"/>
  <c r="L939" i="1"/>
  <c r="L1053" i="1"/>
  <c r="L1123" i="1"/>
  <c r="L1173" i="1"/>
  <c r="L1213" i="1"/>
  <c r="L1245" i="1"/>
  <c r="L1277" i="1"/>
  <c r="L1309" i="1"/>
  <c r="L1341" i="1"/>
  <c r="L1373" i="1"/>
  <c r="L1405" i="1"/>
  <c r="L1437" i="1"/>
  <c r="L1469" i="1"/>
  <c r="L1501" i="1"/>
  <c r="L1533" i="1"/>
  <c r="L1565" i="1"/>
  <c r="L1597" i="1"/>
  <c r="L1616" i="1"/>
  <c r="L1628" i="1"/>
  <c r="L1638" i="1"/>
  <c r="L1648" i="1"/>
  <c r="L1657" i="1"/>
  <c r="L1666" i="1"/>
  <c r="L1674" i="1"/>
  <c r="L1682" i="1"/>
  <c r="L1690" i="1"/>
  <c r="L1698" i="1"/>
  <c r="L1706" i="1"/>
  <c r="L1714" i="1"/>
  <c r="L1722" i="1"/>
  <c r="L1730" i="1"/>
  <c r="L1738" i="1"/>
  <c r="L1746" i="1"/>
  <c r="L1754" i="1"/>
  <c r="L1762" i="1"/>
  <c r="L1770" i="1"/>
  <c r="L1778" i="1"/>
  <c r="L1786" i="1"/>
  <c r="L1794" i="1"/>
  <c r="L1802" i="1"/>
  <c r="L1810" i="1"/>
  <c r="L1818" i="1"/>
  <c r="L1826" i="1"/>
  <c r="L1834" i="1"/>
  <c r="L1842" i="1"/>
  <c r="L1850" i="1"/>
  <c r="L1858" i="1"/>
  <c r="L1866" i="1"/>
  <c r="L1874" i="1"/>
  <c r="L1882" i="1"/>
  <c r="L1890" i="1"/>
  <c r="L1898" i="1"/>
  <c r="L1906" i="1"/>
  <c r="L1914" i="1"/>
  <c r="L1922" i="1"/>
  <c r="L1930" i="1"/>
  <c r="L1938" i="1"/>
  <c r="L1946" i="1"/>
  <c r="L1954" i="1"/>
  <c r="L1962" i="1"/>
  <c r="L1970" i="1"/>
  <c r="L1978" i="1"/>
  <c r="L1986" i="1"/>
  <c r="L1994" i="1"/>
  <c r="L2002" i="1"/>
  <c r="L2010" i="1"/>
  <c r="L2018" i="1"/>
  <c r="L2026" i="1"/>
  <c r="L2034" i="1"/>
  <c r="L2042" i="1"/>
  <c r="L2050" i="1"/>
  <c r="L2058" i="1"/>
  <c r="L2066" i="1"/>
  <c r="L2074" i="1"/>
  <c r="L2082" i="1"/>
  <c r="L2090" i="1"/>
  <c r="L2098" i="1"/>
  <c r="L2106" i="1"/>
  <c r="L2114" i="1"/>
  <c r="L2122" i="1"/>
  <c r="L2130" i="1"/>
  <c r="L2138" i="1"/>
  <c r="L250" i="1"/>
  <c r="L684" i="1"/>
  <c r="L812" i="1"/>
  <c r="L940" i="1"/>
  <c r="L1059" i="1"/>
  <c r="L1124" i="1"/>
  <c r="L1177" i="1"/>
  <c r="L1214" i="1"/>
  <c r="L1246" i="1"/>
  <c r="L1278" i="1"/>
  <c r="L1310" i="1"/>
  <c r="L1342" i="1"/>
  <c r="L1374" i="1"/>
  <c r="L1406" i="1"/>
  <c r="L1438" i="1"/>
  <c r="L1470" i="1"/>
  <c r="L1502" i="1"/>
  <c r="L1534" i="1"/>
  <c r="L1566" i="1"/>
  <c r="L1598" i="1"/>
  <c r="L1619" i="1"/>
  <c r="L1629" i="1"/>
  <c r="L1639" i="1"/>
  <c r="L1649" i="1"/>
  <c r="L1659" i="1"/>
  <c r="L1667" i="1"/>
  <c r="L1675" i="1"/>
  <c r="L1683" i="1"/>
  <c r="L1691" i="1"/>
  <c r="L1699" i="1"/>
  <c r="L1707" i="1"/>
  <c r="L1715" i="1"/>
  <c r="L1723" i="1"/>
  <c r="L1731" i="1"/>
  <c r="L1739" i="1"/>
  <c r="L1747" i="1"/>
  <c r="L1755" i="1"/>
  <c r="L1763" i="1"/>
  <c r="L1771" i="1"/>
  <c r="L1779" i="1"/>
  <c r="L1787" i="1"/>
  <c r="L1795" i="1"/>
  <c r="L1803" i="1"/>
  <c r="L1811" i="1"/>
  <c r="L1819" i="1"/>
  <c r="L1827" i="1"/>
  <c r="L1835" i="1"/>
  <c r="L1843" i="1"/>
  <c r="L1851" i="1"/>
  <c r="L1859" i="1"/>
  <c r="L1867" i="1"/>
  <c r="L1875" i="1"/>
  <c r="L1883" i="1"/>
  <c r="L1891" i="1"/>
  <c r="L1899" i="1"/>
  <c r="L1907" i="1"/>
  <c r="L1915" i="1"/>
  <c r="L1923" i="1"/>
  <c r="L1931" i="1"/>
  <c r="L1939" i="1"/>
  <c r="L1947" i="1"/>
  <c r="L1955" i="1"/>
  <c r="L1963" i="1"/>
  <c r="L1971" i="1"/>
  <c r="L1979" i="1"/>
  <c r="L1987" i="1"/>
  <c r="L1995" i="1"/>
  <c r="L2003" i="1"/>
  <c r="L2011" i="1"/>
  <c r="L2019" i="1"/>
  <c r="L2027" i="1"/>
  <c r="L2035" i="1"/>
  <c r="L2043" i="1"/>
  <c r="L2051" i="1"/>
  <c r="L2059" i="1"/>
  <c r="L2067" i="1"/>
  <c r="L2075" i="1"/>
  <c r="L2083" i="1"/>
  <c r="L2091" i="1"/>
  <c r="L2099" i="1"/>
  <c r="L2107" i="1"/>
  <c r="L2115" i="1"/>
  <c r="L2123" i="1"/>
  <c r="L2131" i="1"/>
  <c r="L2139" i="1"/>
  <c r="L2147" i="1"/>
  <c r="L2155" i="1"/>
  <c r="L2163" i="1"/>
  <c r="L2171" i="1"/>
  <c r="L2179" i="1"/>
  <c r="L2187" i="1"/>
  <c r="L2195" i="1"/>
  <c r="L2203" i="1"/>
  <c r="L2211" i="1"/>
  <c r="L2219" i="1"/>
  <c r="L2227" i="1"/>
  <c r="L2235" i="1"/>
  <c r="L2243" i="1"/>
  <c r="L2251" i="1"/>
  <c r="L2259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480" i="1"/>
  <c r="L715" i="1"/>
  <c r="L843" i="1"/>
  <c r="L971" i="1"/>
  <c r="L1076" i="1"/>
  <c r="L1137" i="1"/>
  <c r="L1186" i="1"/>
  <c r="L1221" i="1"/>
  <c r="L1253" i="1"/>
  <c r="L1285" i="1"/>
  <c r="L1317" i="1"/>
  <c r="L1349" i="1"/>
  <c r="L1381" i="1"/>
  <c r="L1413" i="1"/>
  <c r="L1445" i="1"/>
  <c r="L1477" i="1"/>
  <c r="L1509" i="1"/>
  <c r="L1541" i="1"/>
  <c r="L1573" i="1"/>
  <c r="L1605" i="1"/>
  <c r="L1620" i="1"/>
  <c r="L1630" i="1"/>
  <c r="L1640" i="1"/>
  <c r="L1651" i="1"/>
  <c r="L1660" i="1"/>
  <c r="L1668" i="1"/>
  <c r="L1676" i="1"/>
  <c r="L1684" i="1"/>
  <c r="L1692" i="1"/>
  <c r="L1700" i="1"/>
  <c r="L1708" i="1"/>
  <c r="L1716" i="1"/>
  <c r="L1724" i="1"/>
  <c r="L1732" i="1"/>
  <c r="L1740" i="1"/>
  <c r="L1748" i="1"/>
  <c r="L1756" i="1"/>
  <c r="L1764" i="1"/>
  <c r="L1772" i="1"/>
  <c r="L1780" i="1"/>
  <c r="L1788" i="1"/>
  <c r="L1796" i="1"/>
  <c r="L1804" i="1"/>
  <c r="L1812" i="1"/>
  <c r="L1820" i="1"/>
  <c r="L1828" i="1"/>
  <c r="L1836" i="1"/>
  <c r="L1844" i="1"/>
  <c r="L1852" i="1"/>
  <c r="L1860" i="1"/>
  <c r="L1868" i="1"/>
  <c r="L1876" i="1"/>
  <c r="L1884" i="1"/>
  <c r="L482" i="1"/>
  <c r="L716" i="1"/>
  <c r="L844" i="1"/>
  <c r="L972" i="1"/>
  <c r="L1077" i="1"/>
  <c r="L1138" i="1"/>
  <c r="L1187" i="1"/>
  <c r="L1222" i="1"/>
  <c r="L1254" i="1"/>
  <c r="L1286" i="1"/>
  <c r="L1318" i="1"/>
  <c r="L1350" i="1"/>
  <c r="L1382" i="1"/>
  <c r="L1414" i="1"/>
  <c r="L1446" i="1"/>
  <c r="L1478" i="1"/>
  <c r="L1510" i="1"/>
  <c r="L1542" i="1"/>
  <c r="L1574" i="1"/>
  <c r="L1606" i="1"/>
  <c r="L1621" i="1"/>
  <c r="L1631" i="1"/>
  <c r="L1643" i="1"/>
  <c r="L1652" i="1"/>
  <c r="L1661" i="1"/>
  <c r="L1669" i="1"/>
  <c r="L1677" i="1"/>
  <c r="L1685" i="1"/>
  <c r="L1693" i="1"/>
  <c r="L1701" i="1"/>
  <c r="L1709" i="1"/>
  <c r="L1717" i="1"/>
  <c r="L1725" i="1"/>
  <c r="L1733" i="1"/>
  <c r="L1741" i="1"/>
  <c r="L1749" i="1"/>
  <c r="L1757" i="1"/>
  <c r="L1765" i="1"/>
  <c r="L1773" i="1"/>
  <c r="L1781" i="1"/>
  <c r="L1789" i="1"/>
  <c r="L1797" i="1"/>
  <c r="L1805" i="1"/>
  <c r="L1813" i="1"/>
  <c r="L1821" i="1"/>
  <c r="L1829" i="1"/>
  <c r="L1837" i="1"/>
  <c r="L1845" i="1"/>
  <c r="L1853" i="1"/>
  <c r="L1861" i="1"/>
  <c r="L1869" i="1"/>
  <c r="L1877" i="1"/>
  <c r="L1885" i="1"/>
  <c r="L1893" i="1"/>
  <c r="L1901" i="1"/>
  <c r="L1909" i="1"/>
  <c r="L1917" i="1"/>
  <c r="L1925" i="1"/>
  <c r="L1933" i="1"/>
  <c r="L1941" i="1"/>
  <c r="L1949" i="1"/>
  <c r="L1957" i="1"/>
  <c r="L1965" i="1"/>
  <c r="L1973" i="1"/>
  <c r="L1981" i="1"/>
  <c r="L1989" i="1"/>
  <c r="L1997" i="1"/>
  <c r="L2005" i="1"/>
  <c r="L2013" i="1"/>
  <c r="L2021" i="1"/>
  <c r="L2029" i="1"/>
  <c r="L2037" i="1"/>
  <c r="L2045" i="1"/>
  <c r="L2053" i="1"/>
  <c r="L2061" i="1"/>
  <c r="L2069" i="1"/>
  <c r="L2077" i="1"/>
  <c r="L2085" i="1"/>
  <c r="L2093" i="1"/>
  <c r="L2101" i="1"/>
  <c r="L2109" i="1"/>
  <c r="L2117" i="1"/>
  <c r="L2125" i="1"/>
  <c r="L2133" i="1"/>
  <c r="L2141" i="1"/>
  <c r="L2149" i="1"/>
  <c r="L2157" i="1"/>
  <c r="L2165" i="1"/>
  <c r="L2173" i="1"/>
  <c r="L2181" i="1"/>
  <c r="L2189" i="1"/>
  <c r="L2197" i="1"/>
  <c r="L2205" i="1"/>
  <c r="L2213" i="1"/>
  <c r="L2221" i="1"/>
  <c r="L2229" i="1"/>
  <c r="L2237" i="1"/>
  <c r="L2245" i="1"/>
  <c r="L2253" i="1"/>
  <c r="L2261" i="1"/>
  <c r="L2269" i="1"/>
  <c r="L2277" i="1"/>
  <c r="L2285" i="1"/>
  <c r="L2293" i="1"/>
  <c r="L2301" i="1"/>
  <c r="L2309" i="1"/>
  <c r="L2317" i="1"/>
  <c r="L2325" i="1"/>
  <c r="L2333" i="1"/>
  <c r="L2341" i="1"/>
  <c r="L2349" i="1"/>
  <c r="L2357" i="1"/>
  <c r="L2365" i="1"/>
  <c r="L2373" i="1"/>
  <c r="L2381" i="1"/>
  <c r="L2389" i="1"/>
  <c r="L2397" i="1"/>
  <c r="L2405" i="1"/>
  <c r="L2413" i="1"/>
  <c r="L2421" i="1"/>
  <c r="L2429" i="1"/>
  <c r="L2437" i="1"/>
  <c r="L2445" i="1"/>
  <c r="L2453" i="1"/>
  <c r="L2461" i="1"/>
  <c r="L2469" i="1"/>
  <c r="L2477" i="1"/>
  <c r="L2485" i="1"/>
  <c r="L2493" i="1"/>
  <c r="L2501" i="1"/>
  <c r="L2509" i="1"/>
  <c r="L2517" i="1"/>
  <c r="L2525" i="1"/>
  <c r="L2533" i="1"/>
  <c r="L2541" i="1"/>
  <c r="L2549" i="1"/>
  <c r="L2557" i="1"/>
  <c r="L2565" i="1"/>
  <c r="L2573" i="1"/>
  <c r="L2581" i="1"/>
  <c r="L2589" i="1"/>
  <c r="L2597" i="1"/>
  <c r="L2605" i="1"/>
  <c r="L2613" i="1"/>
  <c r="L2621" i="1"/>
  <c r="L2629" i="1"/>
  <c r="L2637" i="1"/>
  <c r="L2645" i="1"/>
  <c r="L2653" i="1"/>
  <c r="L2661" i="1"/>
  <c r="L2669" i="1"/>
  <c r="L2677" i="1"/>
  <c r="L2685" i="1"/>
  <c r="L2693" i="1"/>
  <c r="L2701" i="1"/>
  <c r="L2709" i="1"/>
  <c r="L2717" i="1"/>
  <c r="L2725" i="1"/>
  <c r="L2733" i="1"/>
  <c r="L2741" i="1"/>
  <c r="L2749" i="1"/>
  <c r="L2757" i="1"/>
  <c r="L2765" i="1"/>
  <c r="L2773" i="1"/>
  <c r="L2781" i="1"/>
  <c r="L2789" i="1"/>
  <c r="L2797" i="1"/>
  <c r="L2805" i="1"/>
  <c r="L2813" i="1"/>
  <c r="L2821" i="1"/>
  <c r="L564" i="1"/>
  <c r="L747" i="1"/>
  <c r="L875" i="1"/>
  <c r="L1003" i="1"/>
  <c r="L1093" i="1"/>
  <c r="L1148" i="1"/>
  <c r="L1196" i="1"/>
  <c r="L1229" i="1"/>
  <c r="L1261" i="1"/>
  <c r="L1293" i="1"/>
  <c r="L1325" i="1"/>
  <c r="L1357" i="1"/>
  <c r="L1389" i="1"/>
  <c r="L1421" i="1"/>
  <c r="L1453" i="1"/>
  <c r="L1485" i="1"/>
  <c r="L1517" i="1"/>
  <c r="L1549" i="1"/>
  <c r="L1581" i="1"/>
  <c r="L1608" i="1"/>
  <c r="L1622" i="1"/>
  <c r="L1632" i="1"/>
  <c r="L1644" i="1"/>
  <c r="L1653" i="1"/>
  <c r="L1662" i="1"/>
  <c r="L1670" i="1"/>
  <c r="L1678" i="1"/>
  <c r="L1686" i="1"/>
  <c r="L1694" i="1"/>
  <c r="L1702" i="1"/>
  <c r="L1710" i="1"/>
  <c r="L1718" i="1"/>
  <c r="L1726" i="1"/>
  <c r="L1734" i="1"/>
  <c r="L1742" i="1"/>
  <c r="L1750" i="1"/>
  <c r="L1758" i="1"/>
  <c r="L1766" i="1"/>
  <c r="L1774" i="1"/>
  <c r="L1782" i="1"/>
  <c r="L1790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568" i="1"/>
  <c r="L748" i="1"/>
  <c r="L876" i="1"/>
  <c r="L1004" i="1"/>
  <c r="L1097" i="1"/>
  <c r="L1149" i="1"/>
  <c r="L1197" i="1"/>
  <c r="L1230" i="1"/>
  <c r="L1262" i="1"/>
  <c r="L1294" i="1"/>
  <c r="L1326" i="1"/>
  <c r="L1358" i="1"/>
  <c r="L1390" i="1"/>
  <c r="L1422" i="1"/>
  <c r="L1454" i="1"/>
  <c r="L1486" i="1"/>
  <c r="L1518" i="1"/>
  <c r="L1550" i="1"/>
  <c r="L1582" i="1"/>
  <c r="L1611" i="1"/>
  <c r="L1623" i="1"/>
  <c r="L1635" i="1"/>
  <c r="L1645" i="1"/>
  <c r="L1654" i="1"/>
  <c r="L1663" i="1"/>
  <c r="L1671" i="1"/>
  <c r="L1679" i="1"/>
  <c r="L1687" i="1"/>
  <c r="L1695" i="1"/>
  <c r="L1703" i="1"/>
  <c r="L1711" i="1"/>
  <c r="L1719" i="1"/>
  <c r="L1727" i="1"/>
  <c r="L1735" i="1"/>
  <c r="L1743" i="1"/>
  <c r="L1751" i="1"/>
  <c r="L1759" i="1"/>
  <c r="L1767" i="1"/>
  <c r="L1775" i="1"/>
  <c r="L1783" i="1"/>
  <c r="L1791" i="1"/>
  <c r="L1799" i="1"/>
  <c r="L1807" i="1"/>
  <c r="L1815" i="1"/>
  <c r="L1823" i="1"/>
  <c r="L1831" i="1"/>
  <c r="L1839" i="1"/>
  <c r="L1847" i="1"/>
  <c r="L1855" i="1"/>
  <c r="L1863" i="1"/>
  <c r="L1871" i="1"/>
  <c r="L1879" i="1"/>
  <c r="L1887" i="1"/>
  <c r="L1895" i="1"/>
  <c r="L1903" i="1"/>
  <c r="L1911" i="1"/>
  <c r="L1919" i="1"/>
  <c r="L1927" i="1"/>
  <c r="L1935" i="1"/>
  <c r="L1943" i="1"/>
  <c r="L1951" i="1"/>
  <c r="L1959" i="1"/>
  <c r="L1967" i="1"/>
  <c r="L1975" i="1"/>
  <c r="L1983" i="1"/>
  <c r="L1991" i="1"/>
  <c r="L1999" i="1"/>
  <c r="L2007" i="1"/>
  <c r="L2015" i="1"/>
  <c r="L2023" i="1"/>
  <c r="L2031" i="1"/>
  <c r="L2039" i="1"/>
  <c r="L2047" i="1"/>
  <c r="L645" i="1"/>
  <c r="L1109" i="1"/>
  <c r="L1269" i="1"/>
  <c r="L1397" i="1"/>
  <c r="L1525" i="1"/>
  <c r="L1624" i="1"/>
  <c r="L1664" i="1"/>
  <c r="L1696" i="1"/>
  <c r="L1728" i="1"/>
  <c r="L1760" i="1"/>
  <c r="L1792" i="1"/>
  <c r="L1824" i="1"/>
  <c r="L1856" i="1"/>
  <c r="L1888" i="1"/>
  <c r="L1908" i="1"/>
  <c r="L1926" i="1"/>
  <c r="L1942" i="1"/>
  <c r="L1958" i="1"/>
  <c r="L1974" i="1"/>
  <c r="L1990" i="1"/>
  <c r="L2006" i="1"/>
  <c r="L2022" i="1"/>
  <c r="L2038" i="1"/>
  <c r="L2054" i="1"/>
  <c r="L2065" i="1"/>
  <c r="L2079" i="1"/>
  <c r="L2092" i="1"/>
  <c r="L2104" i="1"/>
  <c r="L2118" i="1"/>
  <c r="L2129" i="1"/>
  <c r="L2143" i="1"/>
  <c r="L2153" i="1"/>
  <c r="L2164" i="1"/>
  <c r="L2175" i="1"/>
  <c r="L2185" i="1"/>
  <c r="L2196" i="1"/>
  <c r="L2207" i="1"/>
  <c r="L2217" i="1"/>
  <c r="L2228" i="1"/>
  <c r="L2239" i="1"/>
  <c r="L2249" i="1"/>
  <c r="L2260" i="1"/>
  <c r="L2271" i="1"/>
  <c r="L2281" i="1"/>
  <c r="L2292" i="1"/>
  <c r="L2303" i="1"/>
  <c r="L2313" i="1"/>
  <c r="L2324" i="1"/>
  <c r="L2335" i="1"/>
  <c r="L2345" i="1"/>
  <c r="L2356" i="1"/>
  <c r="L2367" i="1"/>
  <c r="L2377" i="1"/>
  <c r="L2388" i="1"/>
  <c r="L2399" i="1"/>
  <c r="L2409" i="1"/>
  <c r="L2419" i="1"/>
  <c r="L2428" i="1"/>
  <c r="L2438" i="1"/>
  <c r="L2447" i="1"/>
  <c r="L2456" i="1"/>
  <c r="L2465" i="1"/>
  <c r="L2474" i="1"/>
  <c r="L2483" i="1"/>
  <c r="L2492" i="1"/>
  <c r="L2502" i="1"/>
  <c r="L2511" i="1"/>
  <c r="L2520" i="1"/>
  <c r="L2529" i="1"/>
  <c r="L2538" i="1"/>
  <c r="L2547" i="1"/>
  <c r="L2556" i="1"/>
  <c r="L2566" i="1"/>
  <c r="L2575" i="1"/>
  <c r="L2584" i="1"/>
  <c r="L2593" i="1"/>
  <c r="L647" i="1"/>
  <c r="L1113" i="1"/>
  <c r="L1270" i="1"/>
  <c r="L1398" i="1"/>
  <c r="L1526" i="1"/>
  <c r="L1627" i="1"/>
  <c r="L1665" i="1"/>
  <c r="L1697" i="1"/>
  <c r="L1729" i="1"/>
  <c r="L1761" i="1"/>
  <c r="L1793" i="1"/>
  <c r="L1825" i="1"/>
  <c r="L1857" i="1"/>
  <c r="L1889" i="1"/>
  <c r="L1912" i="1"/>
  <c r="L1928" i="1"/>
  <c r="L1944" i="1"/>
  <c r="L1960" i="1"/>
  <c r="L1976" i="1"/>
  <c r="L1992" i="1"/>
  <c r="L2008" i="1"/>
  <c r="L2024" i="1"/>
  <c r="L2040" i="1"/>
  <c r="L2055" i="1"/>
  <c r="L2068" i="1"/>
  <c r="L2080" i="1"/>
  <c r="L2094" i="1"/>
  <c r="L2105" i="1"/>
  <c r="L2119" i="1"/>
  <c r="L2132" i="1"/>
  <c r="L2144" i="1"/>
  <c r="L2154" i="1"/>
  <c r="L2166" i="1"/>
  <c r="L2176" i="1"/>
  <c r="L2186" i="1"/>
  <c r="L2198" i="1"/>
  <c r="L2208" i="1"/>
  <c r="L2218" i="1"/>
  <c r="L2230" i="1"/>
  <c r="L2240" i="1"/>
  <c r="L2250" i="1"/>
  <c r="L2262" i="1"/>
  <c r="L2272" i="1"/>
  <c r="L2282" i="1"/>
  <c r="L2294" i="1"/>
  <c r="L2304" i="1"/>
  <c r="L2314" i="1"/>
  <c r="L2326" i="1"/>
  <c r="L2336" i="1"/>
  <c r="L2346" i="1"/>
  <c r="L2358" i="1"/>
  <c r="L2368" i="1"/>
  <c r="L2378" i="1"/>
  <c r="L2390" i="1"/>
  <c r="L2400" i="1"/>
  <c r="L2410" i="1"/>
  <c r="L2420" i="1"/>
  <c r="L2430" i="1"/>
  <c r="L2439" i="1"/>
  <c r="L2448" i="1"/>
  <c r="L2457" i="1"/>
  <c r="L2466" i="1"/>
  <c r="L2475" i="1"/>
  <c r="L2484" i="1"/>
  <c r="L2494" i="1"/>
  <c r="L2503" i="1"/>
  <c r="L2512" i="1"/>
  <c r="L2521" i="1"/>
  <c r="L2530" i="1"/>
  <c r="L2539" i="1"/>
  <c r="L2548" i="1"/>
  <c r="L2558" i="1"/>
  <c r="L2567" i="1"/>
  <c r="L2576" i="1"/>
  <c r="L779" i="1"/>
  <c r="L1162" i="1"/>
  <c r="L1301" i="1"/>
  <c r="L1429" i="1"/>
  <c r="L1557" i="1"/>
  <c r="L1636" i="1"/>
  <c r="L1672" i="1"/>
  <c r="L1704" i="1"/>
  <c r="L1736" i="1"/>
  <c r="L1768" i="1"/>
  <c r="L1800" i="1"/>
  <c r="L1832" i="1"/>
  <c r="L1864" i="1"/>
  <c r="L1892" i="1"/>
  <c r="L1913" i="1"/>
  <c r="L1929" i="1"/>
  <c r="L1945" i="1"/>
  <c r="L1961" i="1"/>
  <c r="L1977" i="1"/>
  <c r="L1993" i="1"/>
  <c r="L2009" i="1"/>
  <c r="L2025" i="1"/>
  <c r="L2041" i="1"/>
  <c r="L2056" i="1"/>
  <c r="L2070" i="1"/>
  <c r="L2081" i="1"/>
  <c r="L2095" i="1"/>
  <c r="L2108" i="1"/>
  <c r="L2120" i="1"/>
  <c r="L2134" i="1"/>
  <c r="L2145" i="1"/>
  <c r="L2156" i="1"/>
  <c r="L2167" i="1"/>
  <c r="L2177" i="1"/>
  <c r="L2188" i="1"/>
  <c r="L2199" i="1"/>
  <c r="L2209" i="1"/>
  <c r="L2220" i="1"/>
  <c r="L2231" i="1"/>
  <c r="L2241" i="1"/>
  <c r="L2252" i="1"/>
  <c r="L2263" i="1"/>
  <c r="L2273" i="1"/>
  <c r="L2284" i="1"/>
  <c r="L2295" i="1"/>
  <c r="L2305" i="1"/>
  <c r="L2316" i="1"/>
  <c r="L2327" i="1"/>
  <c r="L2337" i="1"/>
  <c r="L2348" i="1"/>
  <c r="L2359" i="1"/>
  <c r="L2369" i="1"/>
  <c r="L2380" i="1"/>
  <c r="L2391" i="1"/>
  <c r="L2401" i="1"/>
  <c r="L2412" i="1"/>
  <c r="L2422" i="1"/>
  <c r="L2431" i="1"/>
  <c r="L2440" i="1"/>
  <c r="L2449" i="1"/>
  <c r="L2458" i="1"/>
  <c r="L780" i="1"/>
  <c r="L1163" i="1"/>
  <c r="L1302" i="1"/>
  <c r="L1430" i="1"/>
  <c r="L1558" i="1"/>
  <c r="L1637" i="1"/>
  <c r="L1673" i="1"/>
  <c r="L1705" i="1"/>
  <c r="L1737" i="1"/>
  <c r="L1769" i="1"/>
  <c r="L1801" i="1"/>
  <c r="L1833" i="1"/>
  <c r="L1865" i="1"/>
  <c r="L1896" i="1"/>
  <c r="L1916" i="1"/>
  <c r="L1932" i="1"/>
  <c r="L1948" i="1"/>
  <c r="L1964" i="1"/>
  <c r="L1980" i="1"/>
  <c r="L1996" i="1"/>
  <c r="L2012" i="1"/>
  <c r="L2028" i="1"/>
  <c r="L2044" i="1"/>
  <c r="L2057" i="1"/>
  <c r="L2071" i="1"/>
  <c r="L2084" i="1"/>
  <c r="L2096" i="1"/>
  <c r="L2110" i="1"/>
  <c r="L2121" i="1"/>
  <c r="L2135" i="1"/>
  <c r="L2146" i="1"/>
  <c r="L2158" i="1"/>
  <c r="L2168" i="1"/>
  <c r="L2178" i="1"/>
  <c r="L2190" i="1"/>
  <c r="L2200" i="1"/>
  <c r="L2210" i="1"/>
  <c r="L2222" i="1"/>
  <c r="L2232" i="1"/>
  <c r="L2242" i="1"/>
  <c r="L2254" i="1"/>
  <c r="L2264" i="1"/>
  <c r="L2274" i="1"/>
  <c r="L2286" i="1"/>
  <c r="L2296" i="1"/>
  <c r="L2306" i="1"/>
  <c r="L2318" i="1"/>
  <c r="L2328" i="1"/>
  <c r="L2338" i="1"/>
  <c r="L2350" i="1"/>
  <c r="L2360" i="1"/>
  <c r="L2370" i="1"/>
  <c r="L2382" i="1"/>
  <c r="L2392" i="1"/>
  <c r="L2402" i="1"/>
  <c r="L2414" i="1"/>
  <c r="L2423" i="1"/>
  <c r="L2432" i="1"/>
  <c r="L2441" i="1"/>
  <c r="L2450" i="1"/>
  <c r="L2459" i="1"/>
  <c r="L2468" i="1"/>
  <c r="L2478" i="1"/>
  <c r="L2487" i="1"/>
  <c r="L2496" i="1"/>
  <c r="L2505" i="1"/>
  <c r="L2514" i="1"/>
  <c r="L2523" i="1"/>
  <c r="L2532" i="1"/>
  <c r="L2542" i="1"/>
  <c r="L2551" i="1"/>
  <c r="L2560" i="1"/>
  <c r="L2569" i="1"/>
  <c r="L2578" i="1"/>
  <c r="L2587" i="1"/>
  <c r="L2596" i="1"/>
  <c r="L2606" i="1"/>
  <c r="L2615" i="1"/>
  <c r="L2624" i="1"/>
  <c r="L2633" i="1"/>
  <c r="L2642" i="1"/>
  <c r="L2651" i="1"/>
  <c r="L2660" i="1"/>
  <c r="L907" i="1"/>
  <c r="L1205" i="1"/>
  <c r="L1333" i="1"/>
  <c r="L1461" i="1"/>
  <c r="L1589" i="1"/>
  <c r="L1646" i="1"/>
  <c r="L1680" i="1"/>
  <c r="L1712" i="1"/>
  <c r="L1744" i="1"/>
  <c r="L1776" i="1"/>
  <c r="L1808" i="1"/>
  <c r="L1840" i="1"/>
  <c r="L1872" i="1"/>
  <c r="L1897" i="1"/>
  <c r="L1918" i="1"/>
  <c r="L1934" i="1"/>
  <c r="L1950" i="1"/>
  <c r="L1966" i="1"/>
  <c r="L1982" i="1"/>
  <c r="L1998" i="1"/>
  <c r="L2014" i="1"/>
  <c r="L2030" i="1"/>
  <c r="L2046" i="1"/>
  <c r="L2060" i="1"/>
  <c r="L2072" i="1"/>
  <c r="L2086" i="1"/>
  <c r="L2097" i="1"/>
  <c r="L2111" i="1"/>
  <c r="L2124" i="1"/>
  <c r="L2136" i="1"/>
  <c r="L2148" i="1"/>
  <c r="L2159" i="1"/>
  <c r="L2169" i="1"/>
  <c r="L2180" i="1"/>
  <c r="L2191" i="1"/>
  <c r="L2201" i="1"/>
  <c r="L2212" i="1"/>
  <c r="L2223" i="1"/>
  <c r="L2233" i="1"/>
  <c r="L2244" i="1"/>
  <c r="L2255" i="1"/>
  <c r="L2265" i="1"/>
  <c r="L2276" i="1"/>
  <c r="L2287" i="1"/>
  <c r="L2297" i="1"/>
  <c r="L2308" i="1"/>
  <c r="L2319" i="1"/>
  <c r="L2329" i="1"/>
  <c r="L2340" i="1"/>
  <c r="L2351" i="1"/>
  <c r="L2361" i="1"/>
  <c r="L2372" i="1"/>
  <c r="L2383" i="1"/>
  <c r="L2393" i="1"/>
  <c r="L2404" i="1"/>
  <c r="L2415" i="1"/>
  <c r="L2424" i="1"/>
  <c r="L2433" i="1"/>
  <c r="L2442" i="1"/>
  <c r="L2451" i="1"/>
  <c r="L2460" i="1"/>
  <c r="L2470" i="1"/>
  <c r="L2479" i="1"/>
  <c r="L2488" i="1"/>
  <c r="L2497" i="1"/>
  <c r="L2506" i="1"/>
  <c r="L2515" i="1"/>
  <c r="L2524" i="1"/>
  <c r="L2534" i="1"/>
  <c r="L2543" i="1"/>
  <c r="L2552" i="1"/>
  <c r="L2561" i="1"/>
  <c r="L2570" i="1"/>
  <c r="L2579" i="1"/>
  <c r="L2588" i="1"/>
  <c r="L2598" i="1"/>
  <c r="L2607" i="1"/>
  <c r="L2616" i="1"/>
  <c r="L2625" i="1"/>
  <c r="L2634" i="1"/>
  <c r="L2643" i="1"/>
  <c r="L2652" i="1"/>
  <c r="L2662" i="1"/>
  <c r="L2671" i="1"/>
  <c r="L2680" i="1"/>
  <c r="L1036" i="1"/>
  <c r="L1238" i="1"/>
  <c r="L1366" i="1"/>
  <c r="L1494" i="1"/>
  <c r="L1614" i="1"/>
  <c r="L1656" i="1"/>
  <c r="L1689" i="1"/>
  <c r="L1721" i="1"/>
  <c r="L1753" i="1"/>
  <c r="L1785" i="1"/>
  <c r="L1817" i="1"/>
  <c r="L1849" i="1"/>
  <c r="L1881" i="1"/>
  <c r="L1905" i="1"/>
  <c r="L1924" i="1"/>
  <c r="L1940" i="1"/>
  <c r="L1956" i="1"/>
  <c r="L1972" i="1"/>
  <c r="L1988" i="1"/>
  <c r="L2004" i="1"/>
  <c r="L2020" i="1"/>
  <c r="L2036" i="1"/>
  <c r="L2052" i="1"/>
  <c r="L2064" i="1"/>
  <c r="L2078" i="1"/>
  <c r="L2089" i="1"/>
  <c r="L2103" i="1"/>
  <c r="L2116" i="1"/>
  <c r="L2128" i="1"/>
  <c r="L2142" i="1"/>
  <c r="L2152" i="1"/>
  <c r="L2162" i="1"/>
  <c r="L2174" i="1"/>
  <c r="L2184" i="1"/>
  <c r="L2194" i="1"/>
  <c r="L2206" i="1"/>
  <c r="L2216" i="1"/>
  <c r="L2226" i="1"/>
  <c r="L2238" i="1"/>
  <c r="L2248" i="1"/>
  <c r="L2258" i="1"/>
  <c r="L2270" i="1"/>
  <c r="L2280" i="1"/>
  <c r="L2290" i="1"/>
  <c r="L2302" i="1"/>
  <c r="L2312" i="1"/>
  <c r="L2322" i="1"/>
  <c r="L2334" i="1"/>
  <c r="L2344" i="1"/>
  <c r="L2354" i="1"/>
  <c r="L2366" i="1"/>
  <c r="L908" i="1"/>
  <c r="L1590" i="1"/>
  <c r="L1745" i="1"/>
  <c r="L1873" i="1"/>
  <c r="L1952" i="1"/>
  <c r="L2016" i="1"/>
  <c r="L2073" i="1"/>
  <c r="L2126" i="1"/>
  <c r="L2170" i="1"/>
  <c r="L2214" i="1"/>
  <c r="L2256" i="1"/>
  <c r="L2298" i="1"/>
  <c r="L2342" i="1"/>
  <c r="L2376" i="1"/>
  <c r="L2407" i="1"/>
  <c r="L2434" i="1"/>
  <c r="L2455" i="1"/>
  <c r="L2476" i="1"/>
  <c r="L2495" i="1"/>
  <c r="L2513" i="1"/>
  <c r="L2531" i="1"/>
  <c r="L2550" i="1"/>
  <c r="L2568" i="1"/>
  <c r="L2585" i="1"/>
  <c r="L2600" i="1"/>
  <c r="L2611" i="1"/>
  <c r="L2623" i="1"/>
  <c r="L2636" i="1"/>
  <c r="L2648" i="1"/>
  <c r="L2659" i="1"/>
  <c r="L2672" i="1"/>
  <c r="L2682" i="1"/>
  <c r="L2691" i="1"/>
  <c r="L2700" i="1"/>
  <c r="L2710" i="1"/>
  <c r="L2719" i="1"/>
  <c r="L2728" i="1"/>
  <c r="L2737" i="1"/>
  <c r="L2746" i="1"/>
  <c r="L2755" i="1"/>
  <c r="L2764" i="1"/>
  <c r="L2774" i="1"/>
  <c r="L2783" i="1"/>
  <c r="L2792" i="1"/>
  <c r="L2801" i="1"/>
  <c r="L2810" i="1"/>
  <c r="L2819" i="1"/>
  <c r="L2828" i="1"/>
  <c r="L2836" i="1"/>
  <c r="L2844" i="1"/>
  <c r="L2852" i="1"/>
  <c r="L2860" i="1"/>
  <c r="L2868" i="1"/>
  <c r="L2876" i="1"/>
  <c r="L2884" i="1"/>
  <c r="L2892" i="1"/>
  <c r="L2900" i="1"/>
  <c r="L2908" i="1"/>
  <c r="L2916" i="1"/>
  <c r="L2924" i="1"/>
  <c r="L2932" i="1"/>
  <c r="L2940" i="1"/>
  <c r="L2948" i="1"/>
  <c r="L2956" i="1"/>
  <c r="L2964" i="1"/>
  <c r="L2972" i="1"/>
  <c r="L2980" i="1"/>
  <c r="L2988" i="1"/>
  <c r="L2996" i="1"/>
  <c r="L3004" i="1"/>
  <c r="L3012" i="1"/>
  <c r="L3020" i="1"/>
  <c r="L3028" i="1"/>
  <c r="L3036" i="1"/>
  <c r="L3044" i="1"/>
  <c r="L3052" i="1"/>
  <c r="L3060" i="1"/>
  <c r="L3068" i="1"/>
  <c r="L3076" i="1"/>
  <c r="L3084" i="1"/>
  <c r="L3092" i="1"/>
  <c r="L3100" i="1"/>
  <c r="L3108" i="1"/>
  <c r="L3116" i="1"/>
  <c r="L3124" i="1"/>
  <c r="L3132" i="1"/>
  <c r="L3140" i="1"/>
  <c r="L3148" i="1"/>
  <c r="L3156" i="1"/>
  <c r="L3164" i="1"/>
  <c r="L3172" i="1"/>
  <c r="L3180" i="1"/>
  <c r="L3188" i="1"/>
  <c r="L3196" i="1"/>
  <c r="L3204" i="1"/>
  <c r="L3212" i="1"/>
  <c r="L3220" i="1"/>
  <c r="L3228" i="1"/>
  <c r="L3236" i="1"/>
  <c r="L3244" i="1"/>
  <c r="L3252" i="1"/>
  <c r="L1035" i="1"/>
  <c r="L1613" i="1"/>
  <c r="L1752" i="1"/>
  <c r="L1880" i="1"/>
  <c r="L1953" i="1"/>
  <c r="L2017" i="1"/>
  <c r="L2076" i="1"/>
  <c r="L2127" i="1"/>
  <c r="L2172" i="1"/>
  <c r="L2215" i="1"/>
  <c r="L2257" i="1"/>
  <c r="L2300" i="1"/>
  <c r="L2343" i="1"/>
  <c r="L2384" i="1"/>
  <c r="L2408" i="1"/>
  <c r="L2435" i="1"/>
  <c r="L2462" i="1"/>
  <c r="L2480" i="1"/>
  <c r="L2498" i="1"/>
  <c r="L2516" i="1"/>
  <c r="L2535" i="1"/>
  <c r="L2553" i="1"/>
  <c r="L2571" i="1"/>
  <c r="L2586" i="1"/>
  <c r="L2601" i="1"/>
  <c r="L2612" i="1"/>
  <c r="L2626" i="1"/>
  <c r="L2638" i="1"/>
  <c r="L2649" i="1"/>
  <c r="L2663" i="1"/>
  <c r="L2673" i="1"/>
  <c r="L2683" i="1"/>
  <c r="L2692" i="1"/>
  <c r="L2702" i="1"/>
  <c r="L2711" i="1"/>
  <c r="L2720" i="1"/>
  <c r="L2729" i="1"/>
  <c r="L2738" i="1"/>
  <c r="L2747" i="1"/>
  <c r="L2756" i="1"/>
  <c r="L2766" i="1"/>
  <c r="L2775" i="1"/>
  <c r="L2784" i="1"/>
  <c r="L2793" i="1"/>
  <c r="L2802" i="1"/>
  <c r="L2811" i="1"/>
  <c r="L2820" i="1"/>
  <c r="L2829" i="1"/>
  <c r="L2837" i="1"/>
  <c r="L2845" i="1"/>
  <c r="L2853" i="1"/>
  <c r="L2861" i="1"/>
  <c r="L2869" i="1"/>
  <c r="L2877" i="1"/>
  <c r="L2885" i="1"/>
  <c r="L2893" i="1"/>
  <c r="L2901" i="1"/>
  <c r="L2909" i="1"/>
  <c r="L2917" i="1"/>
  <c r="L2925" i="1"/>
  <c r="L2933" i="1"/>
  <c r="L2941" i="1"/>
  <c r="L2949" i="1"/>
  <c r="L2957" i="1"/>
  <c r="L2965" i="1"/>
  <c r="L2973" i="1"/>
  <c r="L2981" i="1"/>
  <c r="L2989" i="1"/>
  <c r="L2997" i="1"/>
  <c r="L3005" i="1"/>
  <c r="L3013" i="1"/>
  <c r="L3021" i="1"/>
  <c r="L3029" i="1"/>
  <c r="L3037" i="1"/>
  <c r="L3045" i="1"/>
  <c r="L3053" i="1"/>
  <c r="L3061" i="1"/>
  <c r="L3069" i="1"/>
  <c r="L3077" i="1"/>
  <c r="L3085" i="1"/>
  <c r="L3093" i="1"/>
  <c r="L3101" i="1"/>
  <c r="L3109" i="1"/>
  <c r="L3117" i="1"/>
  <c r="L3125" i="1"/>
  <c r="L3133" i="1"/>
  <c r="L3141" i="1"/>
  <c r="L3149" i="1"/>
  <c r="L3157" i="1"/>
  <c r="L3165" i="1"/>
  <c r="L3173" i="1"/>
  <c r="L3181" i="1"/>
  <c r="L3189" i="1"/>
  <c r="L3197" i="1"/>
  <c r="L3205" i="1"/>
  <c r="L3213" i="1"/>
  <c r="L3221" i="1"/>
  <c r="L3229" i="1"/>
  <c r="L3237" i="1"/>
  <c r="L3245" i="1"/>
  <c r="L3253" i="1"/>
  <c r="L3261" i="1"/>
  <c r="L3269" i="1"/>
  <c r="L3277" i="1"/>
  <c r="L3285" i="1"/>
  <c r="L1206" i="1"/>
  <c r="L1647" i="1"/>
  <c r="L1777" i="1"/>
  <c r="L1900" i="1"/>
  <c r="L1968" i="1"/>
  <c r="L2032" i="1"/>
  <c r="L2087" i="1"/>
  <c r="L2137" i="1"/>
  <c r="L2182" i="1"/>
  <c r="L2224" i="1"/>
  <c r="L2266" i="1"/>
  <c r="L2310" i="1"/>
  <c r="L2352" i="1"/>
  <c r="L2385" i="1"/>
  <c r="L2416" i="1"/>
  <c r="L2436" i="1"/>
  <c r="L2463" i="1"/>
  <c r="L2481" i="1"/>
  <c r="L2499" i="1"/>
  <c r="L2518" i="1"/>
  <c r="L2536" i="1"/>
  <c r="L2554" i="1"/>
  <c r="L2572" i="1"/>
  <c r="L2590" i="1"/>
  <c r="L2602" i="1"/>
  <c r="L2614" i="1"/>
  <c r="L2627" i="1"/>
  <c r="L2639" i="1"/>
  <c r="L2650" i="1"/>
  <c r="L2664" i="1"/>
  <c r="L2674" i="1"/>
  <c r="L2684" i="1"/>
  <c r="L2694" i="1"/>
  <c r="L2703" i="1"/>
  <c r="L2712" i="1"/>
  <c r="L2721" i="1"/>
  <c r="L2730" i="1"/>
  <c r="L2739" i="1"/>
  <c r="L2748" i="1"/>
  <c r="L2758" i="1"/>
  <c r="L2767" i="1"/>
  <c r="L2776" i="1"/>
  <c r="L2785" i="1"/>
  <c r="L2794" i="1"/>
  <c r="L2803" i="1"/>
  <c r="L2812" i="1"/>
  <c r="L2822" i="1"/>
  <c r="L2830" i="1"/>
  <c r="L2838" i="1"/>
  <c r="L2846" i="1"/>
  <c r="L2854" i="1"/>
  <c r="L2862" i="1"/>
  <c r="L2870" i="1"/>
  <c r="L2878" i="1"/>
  <c r="L2886" i="1"/>
  <c r="L2894" i="1"/>
  <c r="L2902" i="1"/>
  <c r="L2910" i="1"/>
  <c r="L2918" i="1"/>
  <c r="L2926" i="1"/>
  <c r="L2934" i="1"/>
  <c r="L2942" i="1"/>
  <c r="L2950" i="1"/>
  <c r="L2958" i="1"/>
  <c r="L2966" i="1"/>
  <c r="L2974" i="1"/>
  <c r="L2982" i="1"/>
  <c r="L2990" i="1"/>
  <c r="L2998" i="1"/>
  <c r="L3006" i="1"/>
  <c r="L3014" i="1"/>
  <c r="L3022" i="1"/>
  <c r="L3030" i="1"/>
  <c r="L3038" i="1"/>
  <c r="L3046" i="1"/>
  <c r="L3054" i="1"/>
  <c r="L3062" i="1"/>
  <c r="L3070" i="1"/>
  <c r="L3078" i="1"/>
  <c r="L3086" i="1"/>
  <c r="L3094" i="1"/>
  <c r="L3102" i="1"/>
  <c r="L3110" i="1"/>
  <c r="L3118" i="1"/>
  <c r="L3126" i="1"/>
  <c r="L1237" i="1"/>
  <c r="L1655" i="1"/>
  <c r="L1784" i="1"/>
  <c r="L1904" i="1"/>
  <c r="L1969" i="1"/>
  <c r="L2033" i="1"/>
  <c r="L2088" i="1"/>
  <c r="L2140" i="1"/>
  <c r="L2183" i="1"/>
  <c r="L2225" i="1"/>
  <c r="L2268" i="1"/>
  <c r="L2311" i="1"/>
  <c r="L2353" i="1"/>
  <c r="L2386" i="1"/>
  <c r="L2417" i="1"/>
  <c r="L2443" i="1"/>
  <c r="L2464" i="1"/>
  <c r="L2482" i="1"/>
  <c r="L2500" i="1"/>
  <c r="L2519" i="1"/>
  <c r="L2537" i="1"/>
  <c r="L2555" i="1"/>
  <c r="L2574" i="1"/>
  <c r="L2591" i="1"/>
  <c r="L2603" i="1"/>
  <c r="L2617" i="1"/>
  <c r="L2628" i="1"/>
  <c r="L2640" i="1"/>
  <c r="L2654" i="1"/>
  <c r="L2665" i="1"/>
  <c r="L2675" i="1"/>
  <c r="L2686" i="1"/>
  <c r="L2695" i="1"/>
  <c r="L2704" i="1"/>
  <c r="L2713" i="1"/>
  <c r="L2722" i="1"/>
  <c r="L2731" i="1"/>
  <c r="L2740" i="1"/>
  <c r="L2750" i="1"/>
  <c r="L2759" i="1"/>
  <c r="L2768" i="1"/>
  <c r="L2777" i="1"/>
  <c r="L2786" i="1"/>
  <c r="L2795" i="1"/>
  <c r="L2804" i="1"/>
  <c r="L2814" i="1"/>
  <c r="L2823" i="1"/>
  <c r="L2831" i="1"/>
  <c r="L2839" i="1"/>
  <c r="L2847" i="1"/>
  <c r="L2855" i="1"/>
  <c r="L2863" i="1"/>
  <c r="L2871" i="1"/>
  <c r="L2879" i="1"/>
  <c r="L2887" i="1"/>
  <c r="L2895" i="1"/>
  <c r="L2903" i="1"/>
  <c r="L2911" i="1"/>
  <c r="L2919" i="1"/>
  <c r="L2927" i="1"/>
  <c r="L2935" i="1"/>
  <c r="L2943" i="1"/>
  <c r="L2951" i="1"/>
  <c r="L2959" i="1"/>
  <c r="L2967" i="1"/>
  <c r="L2975" i="1"/>
  <c r="L2983" i="1"/>
  <c r="L2991" i="1"/>
  <c r="L2999" i="1"/>
  <c r="L3007" i="1"/>
  <c r="L3015" i="1"/>
  <c r="L3023" i="1"/>
  <c r="L3031" i="1"/>
  <c r="L3039" i="1"/>
  <c r="L3047" i="1"/>
  <c r="L3055" i="1"/>
  <c r="L3063" i="1"/>
  <c r="L3071" i="1"/>
  <c r="L3079" i="1"/>
  <c r="L3087" i="1"/>
  <c r="L3095" i="1"/>
  <c r="L3103" i="1"/>
  <c r="L3111" i="1"/>
  <c r="L3119" i="1"/>
  <c r="L3127" i="1"/>
  <c r="L3135" i="1"/>
  <c r="L3143" i="1"/>
  <c r="L3151" i="1"/>
  <c r="L3159" i="1"/>
  <c r="L3167" i="1"/>
  <c r="L3175" i="1"/>
  <c r="L3183" i="1"/>
  <c r="L3191" i="1"/>
  <c r="L3199" i="1"/>
  <c r="L3207" i="1"/>
  <c r="L3215" i="1"/>
  <c r="L3223" i="1"/>
  <c r="L1334" i="1"/>
  <c r="L1681" i="1"/>
  <c r="L1809" i="1"/>
  <c r="L1920" i="1"/>
  <c r="L1984" i="1"/>
  <c r="L2048" i="1"/>
  <c r="L2100" i="1"/>
  <c r="L2150" i="1"/>
  <c r="L2192" i="1"/>
  <c r="L2234" i="1"/>
  <c r="L2278" i="1"/>
  <c r="L2320" i="1"/>
  <c r="L2362" i="1"/>
  <c r="L2394" i="1"/>
  <c r="L2418" i="1"/>
  <c r="L2444" i="1"/>
  <c r="L2467" i="1"/>
  <c r="L2486" i="1"/>
  <c r="L2504" i="1"/>
  <c r="L2522" i="1"/>
  <c r="L2540" i="1"/>
  <c r="L2559" i="1"/>
  <c r="L2577" i="1"/>
  <c r="L2592" i="1"/>
  <c r="L2604" i="1"/>
  <c r="L2618" i="1"/>
  <c r="L2630" i="1"/>
  <c r="L2641" i="1"/>
  <c r="L2655" i="1"/>
  <c r="L2666" i="1"/>
  <c r="L2676" i="1"/>
  <c r="L2687" i="1"/>
  <c r="L2696" i="1"/>
  <c r="L2705" i="1"/>
  <c r="L2714" i="1"/>
  <c r="L2723" i="1"/>
  <c r="L2732" i="1"/>
  <c r="L2742" i="1"/>
  <c r="L2751" i="1"/>
  <c r="L2760" i="1"/>
  <c r="L2769" i="1"/>
  <c r="L2778" i="1"/>
  <c r="L2787" i="1"/>
  <c r="L2796" i="1"/>
  <c r="L2806" i="1"/>
  <c r="L2815" i="1"/>
  <c r="L2824" i="1"/>
  <c r="L2832" i="1"/>
  <c r="L2840" i="1"/>
  <c r="L2848" i="1"/>
  <c r="L2856" i="1"/>
  <c r="L2864" i="1"/>
  <c r="L2872" i="1"/>
  <c r="L2880" i="1"/>
  <c r="L2888" i="1"/>
  <c r="L2896" i="1"/>
  <c r="L2904" i="1"/>
  <c r="L2912" i="1"/>
  <c r="L2920" i="1"/>
  <c r="L2928" i="1"/>
  <c r="L2936" i="1"/>
  <c r="L2944" i="1"/>
  <c r="L2952" i="1"/>
  <c r="L2960" i="1"/>
  <c r="L2968" i="1"/>
  <c r="L2976" i="1"/>
  <c r="L2984" i="1"/>
  <c r="L2992" i="1"/>
  <c r="L3000" i="1"/>
  <c r="L3008" i="1"/>
  <c r="L3016" i="1"/>
  <c r="L3024" i="1"/>
  <c r="L3032" i="1"/>
  <c r="L3040" i="1"/>
  <c r="L3048" i="1"/>
  <c r="L3056" i="1"/>
  <c r="L3064" i="1"/>
  <c r="L3072" i="1"/>
  <c r="L3080" i="1"/>
  <c r="L3088" i="1"/>
  <c r="L3096" i="1"/>
  <c r="L3104" i="1"/>
  <c r="L3112" i="1"/>
  <c r="L3120" i="1"/>
  <c r="L3128" i="1"/>
  <c r="L3136" i="1"/>
  <c r="L3144" i="1"/>
  <c r="L3152" i="1"/>
  <c r="L3160" i="1"/>
  <c r="L1493" i="1"/>
  <c r="L1720" i="1"/>
  <c r="L1848" i="1"/>
  <c r="L1937" i="1"/>
  <c r="L2001" i="1"/>
  <c r="L2063" i="1"/>
  <c r="L2113" i="1"/>
  <c r="L2161" i="1"/>
  <c r="L2204" i="1"/>
  <c r="L2247" i="1"/>
  <c r="L2289" i="1"/>
  <c r="L2332" i="1"/>
  <c r="L2375" i="1"/>
  <c r="L2406" i="1"/>
  <c r="L2427" i="1"/>
  <c r="L2454" i="1"/>
  <c r="L2473" i="1"/>
  <c r="L2491" i="1"/>
  <c r="L2510" i="1"/>
  <c r="L2528" i="1"/>
  <c r="L2546" i="1"/>
  <c r="L2564" i="1"/>
  <c r="L2583" i="1"/>
  <c r="L2599" i="1"/>
  <c r="L2610" i="1"/>
  <c r="L2622" i="1"/>
  <c r="L2635" i="1"/>
  <c r="L2647" i="1"/>
  <c r="L2658" i="1"/>
  <c r="L2670" i="1"/>
  <c r="L2681" i="1"/>
  <c r="L2690" i="1"/>
  <c r="L2699" i="1"/>
  <c r="L2708" i="1"/>
  <c r="L2718" i="1"/>
  <c r="L2727" i="1"/>
  <c r="L2736" i="1"/>
  <c r="L2745" i="1"/>
  <c r="L2754" i="1"/>
  <c r="L2763" i="1"/>
  <c r="L2772" i="1"/>
  <c r="L2782" i="1"/>
  <c r="L2791" i="1"/>
  <c r="L2800" i="1"/>
  <c r="L2809" i="1"/>
  <c r="L2818" i="1"/>
  <c r="L2827" i="1"/>
  <c r="L2835" i="1"/>
  <c r="L2843" i="1"/>
  <c r="L2851" i="1"/>
  <c r="L2859" i="1"/>
  <c r="L2867" i="1"/>
  <c r="L2875" i="1"/>
  <c r="L2883" i="1"/>
  <c r="L2891" i="1"/>
  <c r="L2899" i="1"/>
  <c r="L2907" i="1"/>
  <c r="L2915" i="1"/>
  <c r="L2923" i="1"/>
  <c r="L2931" i="1"/>
  <c r="L2939" i="1"/>
  <c r="L2947" i="1"/>
  <c r="L2955" i="1"/>
  <c r="L2963" i="1"/>
  <c r="L2971" i="1"/>
  <c r="L2979" i="1"/>
  <c r="L2987" i="1"/>
  <c r="L2995" i="1"/>
  <c r="L3003" i="1"/>
  <c r="L3011" i="1"/>
  <c r="L3019" i="1"/>
  <c r="L3027" i="1"/>
  <c r="L3035" i="1"/>
  <c r="L3043" i="1"/>
  <c r="L3051" i="1"/>
  <c r="L3059" i="1"/>
  <c r="L3067" i="1"/>
  <c r="L3075" i="1"/>
  <c r="L3083" i="1"/>
  <c r="L3091" i="1"/>
  <c r="L3099" i="1"/>
  <c r="L3107" i="1"/>
  <c r="L3115" i="1"/>
  <c r="L3123" i="1"/>
  <c r="L3131" i="1"/>
  <c r="L3139" i="1"/>
  <c r="L3147" i="1"/>
  <c r="L3155" i="1"/>
  <c r="L3163" i="1"/>
  <c r="L3171" i="1"/>
  <c r="L3179" i="1"/>
  <c r="L3187" i="1"/>
  <c r="L3195" i="1"/>
  <c r="L3203" i="1"/>
  <c r="L3211" i="1"/>
  <c r="L3219" i="1"/>
  <c r="L3227" i="1"/>
  <c r="L3235" i="1"/>
  <c r="L3243" i="1"/>
  <c r="L3251" i="1"/>
  <c r="L3259" i="1"/>
  <c r="L1365" i="1"/>
  <c r="L1985" i="1"/>
  <c r="L2193" i="1"/>
  <c r="L2364" i="1"/>
  <c r="L2471" i="1"/>
  <c r="L2544" i="1"/>
  <c r="L2608" i="1"/>
  <c r="L2656" i="1"/>
  <c r="L2697" i="1"/>
  <c r="L2734" i="1"/>
  <c r="L2770" i="1"/>
  <c r="L2807" i="1"/>
  <c r="L2841" i="1"/>
  <c r="L2873" i="1"/>
  <c r="L2905" i="1"/>
  <c r="L2937" i="1"/>
  <c r="L2969" i="1"/>
  <c r="L3001" i="1"/>
  <c r="L3033" i="1"/>
  <c r="L3065" i="1"/>
  <c r="L3097" i="1"/>
  <c r="L3129" i="1"/>
  <c r="L3150" i="1"/>
  <c r="L3169" i="1"/>
  <c r="L3185" i="1"/>
  <c r="L3201" i="1"/>
  <c r="L3217" i="1"/>
  <c r="L3232" i="1"/>
  <c r="L3246" i="1"/>
  <c r="L3257" i="1"/>
  <c r="L3267" i="1"/>
  <c r="L3276" i="1"/>
  <c r="L3286" i="1"/>
  <c r="L3294" i="1"/>
  <c r="L3302" i="1"/>
  <c r="L3310" i="1"/>
  <c r="L3318" i="1"/>
  <c r="L3326" i="1"/>
  <c r="L3334" i="1"/>
  <c r="L3342" i="1"/>
  <c r="L3350" i="1"/>
  <c r="L3358" i="1"/>
  <c r="L3366" i="1"/>
  <c r="L3374" i="1"/>
  <c r="L3382" i="1"/>
  <c r="L3390" i="1"/>
  <c r="L3398" i="1"/>
  <c r="L3406" i="1"/>
  <c r="L3414" i="1"/>
  <c r="L3422" i="1"/>
  <c r="L3430" i="1"/>
  <c r="L3438" i="1"/>
  <c r="L3446" i="1"/>
  <c r="L3454" i="1"/>
  <c r="L3462" i="1"/>
  <c r="L3470" i="1"/>
  <c r="L3478" i="1"/>
  <c r="L3486" i="1"/>
  <c r="L3494" i="1"/>
  <c r="L3502" i="1"/>
  <c r="L3510" i="1"/>
  <c r="L3518" i="1"/>
  <c r="L3526" i="1"/>
  <c r="L3534" i="1"/>
  <c r="L3542" i="1"/>
  <c r="L3550" i="1"/>
  <c r="L3558" i="1"/>
  <c r="L3566" i="1"/>
  <c r="L3574" i="1"/>
  <c r="L3582" i="1"/>
  <c r="L3590" i="1"/>
  <c r="L3598" i="1"/>
  <c r="L3606" i="1"/>
  <c r="L3614" i="1"/>
  <c r="L3622" i="1"/>
  <c r="L3630" i="1"/>
  <c r="L3638" i="1"/>
  <c r="L3646" i="1"/>
  <c r="L3654" i="1"/>
  <c r="L3662" i="1"/>
  <c r="L3670" i="1"/>
  <c r="L3678" i="1"/>
  <c r="L3686" i="1"/>
  <c r="L3694" i="1"/>
  <c r="L3702" i="1"/>
  <c r="L3710" i="1"/>
  <c r="L3718" i="1"/>
  <c r="L3726" i="1"/>
  <c r="L3734" i="1"/>
  <c r="L3742" i="1"/>
  <c r="L3750" i="1"/>
  <c r="L3758" i="1"/>
  <c r="L3766" i="1"/>
  <c r="L3774" i="1"/>
  <c r="L3782" i="1"/>
  <c r="L3790" i="1"/>
  <c r="L3798" i="1"/>
  <c r="L3806" i="1"/>
  <c r="L3814" i="1"/>
  <c r="L3822" i="1"/>
  <c r="L3830" i="1"/>
  <c r="L3838" i="1"/>
  <c r="L3846" i="1"/>
  <c r="L3854" i="1"/>
  <c r="L3862" i="1"/>
  <c r="L3870" i="1"/>
  <c r="L3878" i="1"/>
  <c r="L3886" i="1"/>
  <c r="L3894" i="1"/>
  <c r="L3902" i="1"/>
  <c r="L3910" i="1"/>
  <c r="L3918" i="1"/>
  <c r="L3926" i="1"/>
  <c r="L3934" i="1"/>
  <c r="L3942" i="1"/>
  <c r="L3950" i="1"/>
  <c r="L3958" i="1"/>
  <c r="L3966" i="1"/>
  <c r="L3974" i="1"/>
  <c r="L3982" i="1"/>
  <c r="L3990" i="1"/>
  <c r="L3998" i="1"/>
  <c r="L4006" i="1"/>
  <c r="L4014" i="1"/>
  <c r="L4022" i="1"/>
  <c r="L4030" i="1"/>
  <c r="L4038" i="1"/>
  <c r="L4046" i="1"/>
  <c r="L4054" i="1"/>
  <c r="L4062" i="1"/>
  <c r="L4070" i="1"/>
  <c r="L4078" i="1"/>
  <c r="L4086" i="1"/>
  <c r="L4094" i="1"/>
  <c r="L4102" i="1"/>
  <c r="L4110" i="1"/>
  <c r="L4118" i="1"/>
  <c r="L4126" i="1"/>
  <c r="L4134" i="1"/>
  <c r="L4142" i="1"/>
  <c r="L4150" i="1"/>
  <c r="L4158" i="1"/>
  <c r="L4166" i="1"/>
  <c r="L4174" i="1"/>
  <c r="L4182" i="1"/>
  <c r="L4190" i="1"/>
  <c r="L4198" i="1"/>
  <c r="L4206" i="1"/>
  <c r="L4214" i="1"/>
  <c r="L4222" i="1"/>
  <c r="L4230" i="1"/>
  <c r="L4238" i="1"/>
  <c r="L4246" i="1"/>
  <c r="L4254" i="1"/>
  <c r="L4262" i="1"/>
  <c r="L4270" i="1"/>
  <c r="L4278" i="1"/>
  <c r="L4286" i="1"/>
  <c r="L4294" i="1"/>
  <c r="L4302" i="1"/>
  <c r="L4310" i="1"/>
  <c r="L4318" i="1"/>
  <c r="L1462" i="1"/>
  <c r="L2000" i="1"/>
  <c r="L2202" i="1"/>
  <c r="L2374" i="1"/>
  <c r="L2472" i="1"/>
  <c r="L2545" i="1"/>
  <c r="L2609" i="1"/>
  <c r="L2657" i="1"/>
  <c r="L2698" i="1"/>
  <c r="L2735" i="1"/>
  <c r="L2771" i="1"/>
  <c r="L2808" i="1"/>
  <c r="L2842" i="1"/>
  <c r="L2874" i="1"/>
  <c r="L2906" i="1"/>
  <c r="L2938" i="1"/>
  <c r="L2970" i="1"/>
  <c r="L3002" i="1"/>
  <c r="L3034" i="1"/>
  <c r="L3066" i="1"/>
  <c r="L3098" i="1"/>
  <c r="L3130" i="1"/>
  <c r="L3153" i="1"/>
  <c r="L3170" i="1"/>
  <c r="L3186" i="1"/>
  <c r="L3202" i="1"/>
  <c r="L3218" i="1"/>
  <c r="L3233" i="1"/>
  <c r="L3247" i="1"/>
  <c r="L3258" i="1"/>
  <c r="L3268" i="1"/>
  <c r="L3278" i="1"/>
  <c r="L3287" i="1"/>
  <c r="L3295" i="1"/>
  <c r="L3303" i="1"/>
  <c r="L3311" i="1"/>
  <c r="L3319" i="1"/>
  <c r="L3327" i="1"/>
  <c r="L3335" i="1"/>
  <c r="L3343" i="1"/>
  <c r="L3351" i="1"/>
  <c r="L3359" i="1"/>
  <c r="L3367" i="1"/>
  <c r="L3375" i="1"/>
  <c r="L3383" i="1"/>
  <c r="L3391" i="1"/>
  <c r="L3399" i="1"/>
  <c r="L3407" i="1"/>
  <c r="L3415" i="1"/>
  <c r="L3423" i="1"/>
  <c r="L3431" i="1"/>
  <c r="L3439" i="1"/>
  <c r="L3447" i="1"/>
  <c r="L3455" i="1"/>
  <c r="L3463" i="1"/>
  <c r="L3471" i="1"/>
  <c r="L3479" i="1"/>
  <c r="L3487" i="1"/>
  <c r="L3495" i="1"/>
  <c r="L3503" i="1"/>
  <c r="L3511" i="1"/>
  <c r="L3519" i="1"/>
  <c r="L3527" i="1"/>
  <c r="L3535" i="1"/>
  <c r="L3543" i="1"/>
  <c r="L3551" i="1"/>
  <c r="L3559" i="1"/>
  <c r="L3567" i="1"/>
  <c r="L3575" i="1"/>
  <c r="L3583" i="1"/>
  <c r="L3591" i="1"/>
  <c r="L3599" i="1"/>
  <c r="L3607" i="1"/>
  <c r="L3615" i="1"/>
  <c r="L3623" i="1"/>
  <c r="L3631" i="1"/>
  <c r="L3639" i="1"/>
  <c r="L3647" i="1"/>
  <c r="L3655" i="1"/>
  <c r="L3663" i="1"/>
  <c r="L3671" i="1"/>
  <c r="L3679" i="1"/>
  <c r="L3687" i="1"/>
  <c r="L3695" i="1"/>
  <c r="L3703" i="1"/>
  <c r="L3711" i="1"/>
  <c r="L3719" i="1"/>
  <c r="L3727" i="1"/>
  <c r="L3735" i="1"/>
  <c r="L3743" i="1"/>
  <c r="L3751" i="1"/>
  <c r="L3759" i="1"/>
  <c r="L3767" i="1"/>
  <c r="L3775" i="1"/>
  <c r="L3783" i="1"/>
  <c r="L3791" i="1"/>
  <c r="L3799" i="1"/>
  <c r="L3807" i="1"/>
  <c r="L3815" i="1"/>
  <c r="L3823" i="1"/>
  <c r="L3831" i="1"/>
  <c r="L3839" i="1"/>
  <c r="L3847" i="1"/>
  <c r="L3855" i="1"/>
  <c r="L3863" i="1"/>
  <c r="L3871" i="1"/>
  <c r="L3879" i="1"/>
  <c r="L3887" i="1"/>
  <c r="L3895" i="1"/>
  <c r="L3903" i="1"/>
  <c r="L3911" i="1"/>
  <c r="L3919" i="1"/>
  <c r="L3927" i="1"/>
  <c r="L3935" i="1"/>
  <c r="L3943" i="1"/>
  <c r="L3951" i="1"/>
  <c r="L3959" i="1"/>
  <c r="L3967" i="1"/>
  <c r="L3975" i="1"/>
  <c r="L3983" i="1"/>
  <c r="L3991" i="1"/>
  <c r="L3999" i="1"/>
  <c r="L4007" i="1"/>
  <c r="L4015" i="1"/>
  <c r="L4023" i="1"/>
  <c r="L4031" i="1"/>
  <c r="L4039" i="1"/>
  <c r="L4047" i="1"/>
  <c r="L4055" i="1"/>
  <c r="L4063" i="1"/>
  <c r="L4071" i="1"/>
  <c r="L4079" i="1"/>
  <c r="L4087" i="1"/>
  <c r="L4095" i="1"/>
  <c r="L4103" i="1"/>
  <c r="L4111" i="1"/>
  <c r="L4119" i="1"/>
  <c r="L4127" i="1"/>
  <c r="L4135" i="1"/>
  <c r="L4143" i="1"/>
  <c r="L4151" i="1"/>
  <c r="L4159" i="1"/>
  <c r="L4167" i="1"/>
  <c r="L4175" i="1"/>
  <c r="L4183" i="1"/>
  <c r="L4191" i="1"/>
  <c r="L4199" i="1"/>
  <c r="L4207" i="1"/>
  <c r="L4215" i="1"/>
  <c r="L1688" i="1"/>
  <c r="L2049" i="1"/>
  <c r="L2236" i="1"/>
  <c r="L2396" i="1"/>
  <c r="L2489" i="1"/>
  <c r="L2562" i="1"/>
  <c r="L2619" i="1"/>
  <c r="L2667" i="1"/>
  <c r="L2706" i="1"/>
  <c r="L2743" i="1"/>
  <c r="L2779" i="1"/>
  <c r="L2816" i="1"/>
  <c r="L2849" i="1"/>
  <c r="L2881" i="1"/>
  <c r="L2913" i="1"/>
  <c r="L2945" i="1"/>
  <c r="L2977" i="1"/>
  <c r="L3009" i="1"/>
  <c r="L3041" i="1"/>
  <c r="L3073" i="1"/>
  <c r="L3105" i="1"/>
  <c r="L3134" i="1"/>
  <c r="L3154" i="1"/>
  <c r="L3174" i="1"/>
  <c r="L3190" i="1"/>
  <c r="L3206" i="1"/>
  <c r="L3222" i="1"/>
  <c r="L3234" i="1"/>
  <c r="L3248" i="1"/>
  <c r="L3260" i="1"/>
  <c r="L3270" i="1"/>
  <c r="L3279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8" i="1"/>
  <c r="L3416" i="1"/>
  <c r="L3424" i="1"/>
  <c r="L3432" i="1"/>
  <c r="L3440" i="1"/>
  <c r="L3448" i="1"/>
  <c r="L3456" i="1"/>
  <c r="L3464" i="1"/>
  <c r="L3472" i="1"/>
  <c r="L3480" i="1"/>
  <c r="L3488" i="1"/>
  <c r="L3496" i="1"/>
  <c r="L3504" i="1"/>
  <c r="L3512" i="1"/>
  <c r="L3520" i="1"/>
  <c r="L3528" i="1"/>
  <c r="L3536" i="1"/>
  <c r="L3544" i="1"/>
  <c r="L3552" i="1"/>
  <c r="L3560" i="1"/>
  <c r="L3568" i="1"/>
  <c r="L3576" i="1"/>
  <c r="L3584" i="1"/>
  <c r="L3592" i="1"/>
  <c r="L3600" i="1"/>
  <c r="L3608" i="1"/>
  <c r="L3616" i="1"/>
  <c r="L3624" i="1"/>
  <c r="L3632" i="1"/>
  <c r="L3640" i="1"/>
  <c r="L3648" i="1"/>
  <c r="L3656" i="1"/>
  <c r="L3664" i="1"/>
  <c r="L3672" i="1"/>
  <c r="L3680" i="1"/>
  <c r="L3688" i="1"/>
  <c r="L3696" i="1"/>
  <c r="L3704" i="1"/>
  <c r="L3712" i="1"/>
  <c r="L3720" i="1"/>
  <c r="L3728" i="1"/>
  <c r="L3736" i="1"/>
  <c r="L3744" i="1"/>
  <c r="L3752" i="1"/>
  <c r="L3760" i="1"/>
  <c r="L3768" i="1"/>
  <c r="L3776" i="1"/>
  <c r="L3784" i="1"/>
  <c r="L3792" i="1"/>
  <c r="L3800" i="1"/>
  <c r="L3808" i="1"/>
  <c r="L3816" i="1"/>
  <c r="L3824" i="1"/>
  <c r="L3832" i="1"/>
  <c r="L3840" i="1"/>
  <c r="L3848" i="1"/>
  <c r="L3856" i="1"/>
  <c r="L3864" i="1"/>
  <c r="L3872" i="1"/>
  <c r="L3880" i="1"/>
  <c r="L3888" i="1"/>
  <c r="L3896" i="1"/>
  <c r="L3904" i="1"/>
  <c r="L3912" i="1"/>
  <c r="L3920" i="1"/>
  <c r="L3928" i="1"/>
  <c r="L3936" i="1"/>
  <c r="L3944" i="1"/>
  <c r="L3952" i="1"/>
  <c r="L3960" i="1"/>
  <c r="L3968" i="1"/>
  <c r="L3976" i="1"/>
  <c r="L3984" i="1"/>
  <c r="L3992" i="1"/>
  <c r="L4000" i="1"/>
  <c r="L4008" i="1"/>
  <c r="L4016" i="1"/>
  <c r="L4024" i="1"/>
  <c r="L4032" i="1"/>
  <c r="L4040" i="1"/>
  <c r="L4048" i="1"/>
  <c r="L4056" i="1"/>
  <c r="L4064" i="1"/>
  <c r="L4072" i="1"/>
  <c r="L4080" i="1"/>
  <c r="L4088" i="1"/>
  <c r="L4096" i="1"/>
  <c r="L4104" i="1"/>
  <c r="L4112" i="1"/>
  <c r="L4120" i="1"/>
  <c r="L4128" i="1"/>
  <c r="L4136" i="1"/>
  <c r="L414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4368" i="1"/>
  <c r="L4376" i="1"/>
  <c r="L4384" i="1"/>
  <c r="L1713" i="1"/>
  <c r="L2062" i="1"/>
  <c r="L2246" i="1"/>
  <c r="L2398" i="1"/>
  <c r="L2490" i="1"/>
  <c r="L2563" i="1"/>
  <c r="L2620" i="1"/>
  <c r="L2668" i="1"/>
  <c r="L2707" i="1"/>
  <c r="L2744" i="1"/>
  <c r="L2780" i="1"/>
  <c r="L2817" i="1"/>
  <c r="L2850" i="1"/>
  <c r="L2882" i="1"/>
  <c r="L2914" i="1"/>
  <c r="L2946" i="1"/>
  <c r="L2978" i="1"/>
  <c r="L3010" i="1"/>
  <c r="L3042" i="1"/>
  <c r="L3074" i="1"/>
  <c r="L3106" i="1"/>
  <c r="L3137" i="1"/>
  <c r="L3158" i="1"/>
  <c r="L3176" i="1"/>
  <c r="L3192" i="1"/>
  <c r="L3208" i="1"/>
  <c r="L3224" i="1"/>
  <c r="L3238" i="1"/>
  <c r="L3249" i="1"/>
  <c r="L3262" i="1"/>
  <c r="L3271" i="1"/>
  <c r="L3280" i="1"/>
  <c r="L3289" i="1"/>
  <c r="L3297" i="1"/>
  <c r="L3305" i="1"/>
  <c r="L3313" i="1"/>
  <c r="L3321" i="1"/>
  <c r="L3329" i="1"/>
  <c r="L3337" i="1"/>
  <c r="L3345" i="1"/>
  <c r="L3353" i="1"/>
  <c r="L3361" i="1"/>
  <c r="L3369" i="1"/>
  <c r="L3377" i="1"/>
  <c r="L3385" i="1"/>
  <c r="L3393" i="1"/>
  <c r="L3401" i="1"/>
  <c r="L3409" i="1"/>
  <c r="L3417" i="1"/>
  <c r="L3425" i="1"/>
  <c r="L3433" i="1"/>
  <c r="L3441" i="1"/>
  <c r="L3449" i="1"/>
  <c r="L3457" i="1"/>
  <c r="L3465" i="1"/>
  <c r="L3473" i="1"/>
  <c r="L3481" i="1"/>
  <c r="L3489" i="1"/>
  <c r="L3497" i="1"/>
  <c r="L3505" i="1"/>
  <c r="L3513" i="1"/>
  <c r="L3521" i="1"/>
  <c r="L3529" i="1"/>
  <c r="L3537" i="1"/>
  <c r="L3545" i="1"/>
  <c r="L3553" i="1"/>
  <c r="L3561" i="1"/>
  <c r="L3569" i="1"/>
  <c r="L3577" i="1"/>
  <c r="L3585" i="1"/>
  <c r="L3593" i="1"/>
  <c r="L3601" i="1"/>
  <c r="L3609" i="1"/>
  <c r="L3617" i="1"/>
  <c r="L3625" i="1"/>
  <c r="L3633" i="1"/>
  <c r="L3641" i="1"/>
  <c r="L3649" i="1"/>
  <c r="L3657" i="1"/>
  <c r="L3665" i="1"/>
  <c r="L3673" i="1"/>
  <c r="L3681" i="1"/>
  <c r="L3689" i="1"/>
  <c r="L3697" i="1"/>
  <c r="L3705" i="1"/>
  <c r="L3713" i="1"/>
  <c r="L3721" i="1"/>
  <c r="L3729" i="1"/>
  <c r="L3737" i="1"/>
  <c r="L3745" i="1"/>
  <c r="L3753" i="1"/>
  <c r="L3761" i="1"/>
  <c r="L3769" i="1"/>
  <c r="L3777" i="1"/>
  <c r="L3785" i="1"/>
  <c r="L3793" i="1"/>
  <c r="L3801" i="1"/>
  <c r="L3809" i="1"/>
  <c r="L3817" i="1"/>
  <c r="L3825" i="1"/>
  <c r="L3833" i="1"/>
  <c r="L3841" i="1"/>
  <c r="L3849" i="1"/>
  <c r="L3857" i="1"/>
  <c r="L3865" i="1"/>
  <c r="L3873" i="1"/>
  <c r="L3881" i="1"/>
  <c r="L3889" i="1"/>
  <c r="L3897" i="1"/>
  <c r="L3905" i="1"/>
  <c r="L3913" i="1"/>
  <c r="L3921" i="1"/>
  <c r="L3929" i="1"/>
  <c r="L3937" i="1"/>
  <c r="L3945" i="1"/>
  <c r="L3953" i="1"/>
  <c r="L3961" i="1"/>
  <c r="L3969" i="1"/>
  <c r="L3977" i="1"/>
  <c r="L3985" i="1"/>
  <c r="L3993" i="1"/>
  <c r="L4001" i="1"/>
  <c r="L4009" i="1"/>
  <c r="L4017" i="1"/>
  <c r="L4025" i="1"/>
  <c r="L4033" i="1"/>
  <c r="L4041" i="1"/>
  <c r="L4049" i="1"/>
  <c r="L4057" i="1"/>
  <c r="L4065" i="1"/>
  <c r="L4073" i="1"/>
  <c r="L4081" i="1"/>
  <c r="L4089" i="1"/>
  <c r="L4097" i="1"/>
  <c r="L4105" i="1"/>
  <c r="L4113" i="1"/>
  <c r="L4121" i="1"/>
  <c r="L4129" i="1"/>
  <c r="L4137" i="1"/>
  <c r="L4145" i="1"/>
  <c r="L4153" i="1"/>
  <c r="L4161" i="1"/>
  <c r="L4169" i="1"/>
  <c r="L4177" i="1"/>
  <c r="L4185" i="1"/>
  <c r="L4193" i="1"/>
  <c r="L4201" i="1"/>
  <c r="L4209" i="1"/>
  <c r="L4217" i="1"/>
  <c r="L4225" i="1"/>
  <c r="L4233" i="1"/>
  <c r="L1816" i="1"/>
  <c r="L2102" i="1"/>
  <c r="L2279" i="1"/>
  <c r="L2425" i="1"/>
  <c r="L2507" i="1"/>
  <c r="L2580" i="1"/>
  <c r="L2631" i="1"/>
  <c r="L2678" i="1"/>
  <c r="L2715" i="1"/>
  <c r="L2752" i="1"/>
  <c r="L2788" i="1"/>
  <c r="L2825" i="1"/>
  <c r="L2857" i="1"/>
  <c r="L2889" i="1"/>
  <c r="L2921" i="1"/>
  <c r="L2953" i="1"/>
  <c r="L2985" i="1"/>
  <c r="L3017" i="1"/>
  <c r="L3049" i="1"/>
  <c r="L3081" i="1"/>
  <c r="L3113" i="1"/>
  <c r="L3138" i="1"/>
  <c r="L3161" i="1"/>
  <c r="L3177" i="1"/>
  <c r="L3193" i="1"/>
  <c r="L3209" i="1"/>
  <c r="L3225" i="1"/>
  <c r="L3239" i="1"/>
  <c r="L3250" i="1"/>
  <c r="L3263" i="1"/>
  <c r="L3272" i="1"/>
  <c r="L3281" i="1"/>
  <c r="L3290" i="1"/>
  <c r="L3298" i="1"/>
  <c r="L3306" i="1"/>
  <c r="L3314" i="1"/>
  <c r="L3322" i="1"/>
  <c r="L3330" i="1"/>
  <c r="L3338" i="1"/>
  <c r="L3346" i="1"/>
  <c r="L3354" i="1"/>
  <c r="L3362" i="1"/>
  <c r="L3370" i="1"/>
  <c r="L3378" i="1"/>
  <c r="L3386" i="1"/>
  <c r="L3394" i="1"/>
  <c r="L3402" i="1"/>
  <c r="L3410" i="1"/>
  <c r="L3418" i="1"/>
  <c r="L3426" i="1"/>
  <c r="L3434" i="1"/>
  <c r="L3442" i="1"/>
  <c r="L3450" i="1"/>
  <c r="L3458" i="1"/>
  <c r="L3466" i="1"/>
  <c r="L3474" i="1"/>
  <c r="L3482" i="1"/>
  <c r="L3490" i="1"/>
  <c r="L3498" i="1"/>
  <c r="L3506" i="1"/>
  <c r="L3514" i="1"/>
  <c r="L3522" i="1"/>
  <c r="L3530" i="1"/>
  <c r="L3538" i="1"/>
  <c r="L3546" i="1"/>
  <c r="L3554" i="1"/>
  <c r="L3562" i="1"/>
  <c r="L3570" i="1"/>
  <c r="L3578" i="1"/>
  <c r="L3586" i="1"/>
  <c r="L3594" i="1"/>
  <c r="L3602" i="1"/>
  <c r="L3610" i="1"/>
  <c r="L3618" i="1"/>
  <c r="L3626" i="1"/>
  <c r="L3634" i="1"/>
  <c r="L3642" i="1"/>
  <c r="L3650" i="1"/>
  <c r="L3658" i="1"/>
  <c r="L3666" i="1"/>
  <c r="L3674" i="1"/>
  <c r="L3682" i="1"/>
  <c r="L3690" i="1"/>
  <c r="L3698" i="1"/>
  <c r="L3706" i="1"/>
  <c r="L3714" i="1"/>
  <c r="L3722" i="1"/>
  <c r="L3730" i="1"/>
  <c r="L3738" i="1"/>
  <c r="L3746" i="1"/>
  <c r="L3754" i="1"/>
  <c r="L3762" i="1"/>
  <c r="L3770" i="1"/>
  <c r="L3778" i="1"/>
  <c r="L3786" i="1"/>
  <c r="L3794" i="1"/>
  <c r="L3802" i="1"/>
  <c r="L3810" i="1"/>
  <c r="L3818" i="1"/>
  <c r="L3826" i="1"/>
  <c r="L3834" i="1"/>
  <c r="L3842" i="1"/>
  <c r="L3850" i="1"/>
  <c r="L3858" i="1"/>
  <c r="L3866" i="1"/>
  <c r="L3874" i="1"/>
  <c r="L3882" i="1"/>
  <c r="L3890" i="1"/>
  <c r="L3898" i="1"/>
  <c r="L3906" i="1"/>
  <c r="L3914" i="1"/>
  <c r="L3922" i="1"/>
  <c r="L3930" i="1"/>
  <c r="L3938" i="1"/>
  <c r="L3946" i="1"/>
  <c r="L3954" i="1"/>
  <c r="L3962" i="1"/>
  <c r="L3970" i="1"/>
  <c r="L3978" i="1"/>
  <c r="L3986" i="1"/>
  <c r="L3994" i="1"/>
  <c r="L4002" i="1"/>
  <c r="L4010" i="1"/>
  <c r="L4018" i="1"/>
  <c r="L4026" i="1"/>
  <c r="L4034" i="1"/>
  <c r="L4042" i="1"/>
  <c r="L4050" i="1"/>
  <c r="L4058" i="1"/>
  <c r="L4066" i="1"/>
  <c r="L4074" i="1"/>
  <c r="L4082" i="1"/>
  <c r="L4090" i="1"/>
  <c r="L4098" i="1"/>
  <c r="L4106" i="1"/>
  <c r="L4114" i="1"/>
  <c r="L4122" i="1"/>
  <c r="L4130" i="1"/>
  <c r="L4138" i="1"/>
  <c r="L4146" i="1"/>
  <c r="L4154" i="1"/>
  <c r="L4162" i="1"/>
  <c r="L4170" i="1"/>
  <c r="L4178" i="1"/>
  <c r="L4186" i="1"/>
  <c r="L4194" i="1"/>
  <c r="L4202" i="1"/>
  <c r="L4210" i="1"/>
  <c r="L1936" i="1"/>
  <c r="L2160" i="1"/>
  <c r="L2330" i="1"/>
  <c r="L2452" i="1"/>
  <c r="L2527" i="1"/>
  <c r="L2595" i="1"/>
  <c r="L2646" i="1"/>
  <c r="L2689" i="1"/>
  <c r="L2726" i="1"/>
  <c r="L2762" i="1"/>
  <c r="L2799" i="1"/>
  <c r="L2834" i="1"/>
  <c r="L2866" i="1"/>
  <c r="L2898" i="1"/>
  <c r="L2930" i="1"/>
  <c r="L2962" i="1"/>
  <c r="L2994" i="1"/>
  <c r="L3026" i="1"/>
  <c r="L3058" i="1"/>
  <c r="L3090" i="1"/>
  <c r="L3122" i="1"/>
  <c r="L3146" i="1"/>
  <c r="L3168" i="1"/>
  <c r="L3184" i="1"/>
  <c r="L3200" i="1"/>
  <c r="L3216" i="1"/>
  <c r="L3231" i="1"/>
  <c r="L3242" i="1"/>
  <c r="L3256" i="1"/>
  <c r="L3266" i="1"/>
  <c r="L3275" i="1"/>
  <c r="L3284" i="1"/>
  <c r="L3293" i="1"/>
  <c r="L3301" i="1"/>
  <c r="L3309" i="1"/>
  <c r="L3317" i="1"/>
  <c r="L3325" i="1"/>
  <c r="L3333" i="1"/>
  <c r="L3341" i="1"/>
  <c r="L3349" i="1"/>
  <c r="L3357" i="1"/>
  <c r="L3365" i="1"/>
  <c r="L3373" i="1"/>
  <c r="L3381" i="1"/>
  <c r="L3389" i="1"/>
  <c r="L3397" i="1"/>
  <c r="L3405" i="1"/>
  <c r="L3413" i="1"/>
  <c r="L3421" i="1"/>
  <c r="L3429" i="1"/>
  <c r="L3437" i="1"/>
  <c r="L3445" i="1"/>
  <c r="L3453" i="1"/>
  <c r="L3461" i="1"/>
  <c r="L3469" i="1"/>
  <c r="L3477" i="1"/>
  <c r="L3485" i="1"/>
  <c r="L3493" i="1"/>
  <c r="L3501" i="1"/>
  <c r="L3509" i="1"/>
  <c r="L3517" i="1"/>
  <c r="L3525" i="1"/>
  <c r="L3533" i="1"/>
  <c r="L3541" i="1"/>
  <c r="L3549" i="1"/>
  <c r="L3557" i="1"/>
  <c r="L3565" i="1"/>
  <c r="L3573" i="1"/>
  <c r="L3581" i="1"/>
  <c r="L3589" i="1"/>
  <c r="L3597" i="1"/>
  <c r="L3605" i="1"/>
  <c r="L3613" i="1"/>
  <c r="L3621" i="1"/>
  <c r="L3629" i="1"/>
  <c r="L3637" i="1"/>
  <c r="L3645" i="1"/>
  <c r="L3653" i="1"/>
  <c r="L3661" i="1"/>
  <c r="L3669" i="1"/>
  <c r="L3677" i="1"/>
  <c r="L3685" i="1"/>
  <c r="L3693" i="1"/>
  <c r="L3701" i="1"/>
  <c r="L3709" i="1"/>
  <c r="L3717" i="1"/>
  <c r="L3725" i="1"/>
  <c r="L3733" i="1"/>
  <c r="L3741" i="1"/>
  <c r="L3749" i="1"/>
  <c r="L3757" i="1"/>
  <c r="L3765" i="1"/>
  <c r="L3773" i="1"/>
  <c r="L3781" i="1"/>
  <c r="L3789" i="1"/>
  <c r="L3797" i="1"/>
  <c r="L3805" i="1"/>
  <c r="L3813" i="1"/>
  <c r="L3821" i="1"/>
  <c r="L3829" i="1"/>
  <c r="L3837" i="1"/>
  <c r="L3845" i="1"/>
  <c r="L3853" i="1"/>
  <c r="L3861" i="1"/>
  <c r="L3869" i="1"/>
  <c r="L3877" i="1"/>
  <c r="L3885" i="1"/>
  <c r="L3893" i="1"/>
  <c r="L3901" i="1"/>
  <c r="L3909" i="1"/>
  <c r="L3917" i="1"/>
  <c r="L3925" i="1"/>
  <c r="L3933" i="1"/>
  <c r="L3941" i="1"/>
  <c r="L3949" i="1"/>
  <c r="L3957" i="1"/>
  <c r="L3965" i="1"/>
  <c r="L3973" i="1"/>
  <c r="L3981" i="1"/>
  <c r="L3989" i="1"/>
  <c r="L3997" i="1"/>
  <c r="L4005" i="1"/>
  <c r="L4013" i="1"/>
  <c r="L4021" i="1"/>
  <c r="L4029" i="1"/>
  <c r="L4037" i="1"/>
  <c r="L4045" i="1"/>
  <c r="L4053" i="1"/>
  <c r="L4061" i="1"/>
  <c r="L4069" i="1"/>
  <c r="L4077" i="1"/>
  <c r="L4085" i="1"/>
  <c r="L4093" i="1"/>
  <c r="L4101" i="1"/>
  <c r="L4109" i="1"/>
  <c r="L4117" i="1"/>
  <c r="L4125" i="1"/>
  <c r="L4133" i="1"/>
  <c r="L4141" i="1"/>
  <c r="L4149" i="1"/>
  <c r="L4157" i="1"/>
  <c r="L4165" i="1"/>
  <c r="L4173" i="1"/>
  <c r="L4181" i="1"/>
  <c r="L4189" i="1"/>
  <c r="L4197" i="1"/>
  <c r="L4205" i="1"/>
  <c r="L4213" i="1"/>
  <c r="L4221" i="1"/>
  <c r="L1841" i="1"/>
  <c r="L2508" i="1"/>
  <c r="L2716" i="1"/>
  <c r="L2858" i="1"/>
  <c r="L2986" i="1"/>
  <c r="L3114" i="1"/>
  <c r="L3194" i="1"/>
  <c r="L3254" i="1"/>
  <c r="L3291" i="1"/>
  <c r="L3323" i="1"/>
  <c r="L3355" i="1"/>
  <c r="L3387" i="1"/>
  <c r="L3419" i="1"/>
  <c r="L3451" i="1"/>
  <c r="L3483" i="1"/>
  <c r="L3515" i="1"/>
  <c r="L3547" i="1"/>
  <c r="L3579" i="1"/>
  <c r="L3611" i="1"/>
  <c r="L3643" i="1"/>
  <c r="L3675" i="1"/>
  <c r="L3707" i="1"/>
  <c r="L3739" i="1"/>
  <c r="L3771" i="1"/>
  <c r="L3803" i="1"/>
  <c r="L3835" i="1"/>
  <c r="L3867" i="1"/>
  <c r="L3899" i="1"/>
  <c r="L3931" i="1"/>
  <c r="L3963" i="1"/>
  <c r="L3995" i="1"/>
  <c r="L4027" i="1"/>
  <c r="L4059" i="1"/>
  <c r="L4091" i="1"/>
  <c r="L4123" i="1"/>
  <c r="L4155" i="1"/>
  <c r="L4187" i="1"/>
  <c r="L4218" i="1"/>
  <c r="L4231" i="1"/>
  <c r="L4243" i="1"/>
  <c r="L4253" i="1"/>
  <c r="L4265" i="1"/>
  <c r="L4275" i="1"/>
  <c r="L4285" i="1"/>
  <c r="L4297" i="1"/>
  <c r="L4307" i="1"/>
  <c r="L4317" i="1"/>
  <c r="L4327" i="1"/>
  <c r="L4337" i="1"/>
  <c r="L4346" i="1"/>
  <c r="L4355" i="1"/>
  <c r="L4364" i="1"/>
  <c r="L4373" i="1"/>
  <c r="L4382" i="1"/>
  <c r="L4391" i="1"/>
  <c r="L4399" i="1"/>
  <c r="L4407" i="1"/>
  <c r="L4415" i="1"/>
  <c r="L4423" i="1"/>
  <c r="L4431" i="1"/>
  <c r="L4439" i="1"/>
  <c r="L4447" i="1"/>
  <c r="L4455" i="1"/>
  <c r="L4463" i="1"/>
  <c r="L4471" i="1"/>
  <c r="L4479" i="1"/>
  <c r="L4487" i="1"/>
  <c r="L4495" i="1"/>
  <c r="L4503" i="1"/>
  <c r="L4511" i="1"/>
  <c r="L4519" i="1"/>
  <c r="L4527" i="1"/>
  <c r="L4535" i="1"/>
  <c r="L4543" i="1"/>
  <c r="L4551" i="1"/>
  <c r="L4559" i="1"/>
  <c r="L4567" i="1"/>
  <c r="L4575" i="1"/>
  <c r="L4583" i="1"/>
  <c r="L4591" i="1"/>
  <c r="L4599" i="1"/>
  <c r="L4607" i="1"/>
  <c r="L4615" i="1"/>
  <c r="L4623" i="1"/>
  <c r="L4631" i="1"/>
  <c r="L4639" i="1"/>
  <c r="L4647" i="1"/>
  <c r="L4655" i="1"/>
  <c r="L4663" i="1"/>
  <c r="L4671" i="1"/>
  <c r="L4679" i="1"/>
  <c r="L4687" i="1"/>
  <c r="L4695" i="1"/>
  <c r="L4703" i="1"/>
  <c r="L4711" i="1"/>
  <c r="L4719" i="1"/>
  <c r="L4727" i="1"/>
  <c r="L4735" i="1"/>
  <c r="L4743" i="1"/>
  <c r="L4751" i="1"/>
  <c r="L4759" i="1"/>
  <c r="L4767" i="1"/>
  <c r="L4775" i="1"/>
  <c r="L4783" i="1"/>
  <c r="L4791" i="1"/>
  <c r="L4799" i="1"/>
  <c r="L4807" i="1"/>
  <c r="L4815" i="1"/>
  <c r="L4823" i="1"/>
  <c r="L4831" i="1"/>
  <c r="L4839" i="1"/>
  <c r="L4847" i="1"/>
  <c r="L4855" i="1"/>
  <c r="L4863" i="1"/>
  <c r="L4871" i="1"/>
  <c r="L4879" i="1"/>
  <c r="L4887" i="1"/>
  <c r="L4895" i="1"/>
  <c r="L4903" i="1"/>
  <c r="L4911" i="1"/>
  <c r="L4919" i="1"/>
  <c r="L4927" i="1"/>
  <c r="L4935" i="1"/>
  <c r="L4943" i="1"/>
  <c r="L4951" i="1"/>
  <c r="L4959" i="1"/>
  <c r="L4967" i="1"/>
  <c r="L4975" i="1"/>
  <c r="L4983" i="1"/>
  <c r="L4991" i="1"/>
  <c r="L4999" i="1"/>
  <c r="L4688" i="1"/>
  <c r="L4704" i="1"/>
  <c r="L4712" i="1"/>
  <c r="L4720" i="1"/>
  <c r="L4728" i="1"/>
  <c r="L4744" i="1"/>
  <c r="L4760" i="1"/>
  <c r="L4776" i="1"/>
  <c r="L4792" i="1"/>
  <c r="L4808" i="1"/>
  <c r="L4824" i="1"/>
  <c r="L4840" i="1"/>
  <c r="L4856" i="1"/>
  <c r="L4864" i="1"/>
  <c r="L4872" i="1"/>
  <c r="L4880" i="1"/>
  <c r="L4896" i="1"/>
  <c r="L4928" i="1"/>
  <c r="L4944" i="1"/>
  <c r="L4960" i="1"/>
  <c r="L4976" i="1"/>
  <c r="L4992" i="1"/>
  <c r="L4577" i="1"/>
  <c r="L4593" i="1"/>
  <c r="L4609" i="1"/>
  <c r="L4625" i="1"/>
  <c r="L4641" i="1"/>
  <c r="L4657" i="1"/>
  <c r="L4673" i="1"/>
  <c r="L4689" i="1"/>
  <c r="L4705" i="1"/>
  <c r="L4721" i="1"/>
  <c r="L4737" i="1"/>
  <c r="L4753" i="1"/>
  <c r="L4777" i="1"/>
  <c r="L4785" i="1"/>
  <c r="L4793" i="1"/>
  <c r="L4801" i="1"/>
  <c r="L4817" i="1"/>
  <c r="L1921" i="1"/>
  <c r="L2526" i="1"/>
  <c r="L2724" i="1"/>
  <c r="L2865" i="1"/>
  <c r="L2993" i="1"/>
  <c r="L3121" i="1"/>
  <c r="L3198" i="1"/>
  <c r="L3255" i="1"/>
  <c r="L3292" i="1"/>
  <c r="L3324" i="1"/>
  <c r="L3356" i="1"/>
  <c r="L3388" i="1"/>
  <c r="L3420" i="1"/>
  <c r="L3452" i="1"/>
  <c r="L3484" i="1"/>
  <c r="L3516" i="1"/>
  <c r="L3548" i="1"/>
  <c r="L3580" i="1"/>
  <c r="L3612" i="1"/>
  <c r="L3644" i="1"/>
  <c r="L3676" i="1"/>
  <c r="L3708" i="1"/>
  <c r="L3740" i="1"/>
  <c r="L3772" i="1"/>
  <c r="L3804" i="1"/>
  <c r="L3836" i="1"/>
  <c r="L3868" i="1"/>
  <c r="L3900" i="1"/>
  <c r="L3932" i="1"/>
  <c r="L3964" i="1"/>
  <c r="L3996" i="1"/>
  <c r="L4028" i="1"/>
  <c r="L4060" i="1"/>
  <c r="L4092" i="1"/>
  <c r="L4124" i="1"/>
  <c r="L4156" i="1"/>
  <c r="L4188" i="1"/>
  <c r="L4219" i="1"/>
  <c r="L4234" i="1"/>
  <c r="L4244" i="1"/>
  <c r="L4255" i="1"/>
  <c r="L4266" i="1"/>
  <c r="L4276" i="1"/>
  <c r="L4287" i="1"/>
  <c r="L4298" i="1"/>
  <c r="L4308" i="1"/>
  <c r="L4319" i="1"/>
  <c r="L4329" i="1"/>
  <c r="L4338" i="1"/>
  <c r="L4347" i="1"/>
  <c r="L4356" i="1"/>
  <c r="L4365" i="1"/>
  <c r="L4374" i="1"/>
  <c r="L4383" i="1"/>
  <c r="L4392" i="1"/>
  <c r="L4400" i="1"/>
  <c r="L4408" i="1"/>
  <c r="L4416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8" i="1"/>
  <c r="L4536" i="1"/>
  <c r="L4544" i="1"/>
  <c r="L4552" i="1"/>
  <c r="L4560" i="1"/>
  <c r="L4568" i="1"/>
  <c r="L4576" i="1"/>
  <c r="L4584" i="1"/>
  <c r="L4592" i="1"/>
  <c r="L4600" i="1"/>
  <c r="L4608" i="1"/>
  <c r="L4616" i="1"/>
  <c r="L4624" i="1"/>
  <c r="L4632" i="1"/>
  <c r="L4640" i="1"/>
  <c r="L4648" i="1"/>
  <c r="L4656" i="1"/>
  <c r="L4664" i="1"/>
  <c r="L4672" i="1"/>
  <c r="L4680" i="1"/>
  <c r="L4696" i="1"/>
  <c r="L4736" i="1"/>
  <c r="L4752" i="1"/>
  <c r="L4768" i="1"/>
  <c r="L4784" i="1"/>
  <c r="L4800" i="1"/>
  <c r="L4816" i="1"/>
  <c r="L4832" i="1"/>
  <c r="L4848" i="1"/>
  <c r="L4888" i="1"/>
  <c r="L4904" i="1"/>
  <c r="L4912" i="1"/>
  <c r="L4920" i="1"/>
  <c r="L4936" i="1"/>
  <c r="L4952" i="1"/>
  <c r="L4968" i="1"/>
  <c r="L4984" i="1"/>
  <c r="L5000" i="1"/>
  <c r="L4585" i="1"/>
  <c r="L4601" i="1"/>
  <c r="L4617" i="1"/>
  <c r="L4633" i="1"/>
  <c r="L4649" i="1"/>
  <c r="L4665" i="1"/>
  <c r="L4681" i="1"/>
  <c r="L4697" i="1"/>
  <c r="L4713" i="1"/>
  <c r="L4729" i="1"/>
  <c r="L4745" i="1"/>
  <c r="L4761" i="1"/>
  <c r="L4769" i="1"/>
  <c r="L4809" i="1"/>
  <c r="L4825" i="1"/>
  <c r="L2112" i="1"/>
  <c r="L2582" i="1"/>
  <c r="L2753" i="1"/>
  <c r="L2890" i="1"/>
  <c r="L3018" i="1"/>
  <c r="L3142" i="1"/>
  <c r="L3210" i="1"/>
  <c r="L3264" i="1"/>
  <c r="L3299" i="1"/>
  <c r="L3331" i="1"/>
  <c r="L3363" i="1"/>
  <c r="L3395" i="1"/>
  <c r="L3427" i="1"/>
  <c r="L3459" i="1"/>
  <c r="L3491" i="1"/>
  <c r="L3523" i="1"/>
  <c r="L3555" i="1"/>
  <c r="L3587" i="1"/>
  <c r="L3619" i="1"/>
  <c r="L3651" i="1"/>
  <c r="L3683" i="1"/>
  <c r="L3715" i="1"/>
  <c r="L3747" i="1"/>
  <c r="L3779" i="1"/>
  <c r="L3811" i="1"/>
  <c r="L3843" i="1"/>
  <c r="L3875" i="1"/>
  <c r="L3907" i="1"/>
  <c r="L3939" i="1"/>
  <c r="L3971" i="1"/>
  <c r="L4003" i="1"/>
  <c r="L4035" i="1"/>
  <c r="L4067" i="1"/>
  <c r="L4099" i="1"/>
  <c r="L4131" i="1"/>
  <c r="L4163" i="1"/>
  <c r="L4195" i="1"/>
  <c r="L4220" i="1"/>
  <c r="L4235" i="1"/>
  <c r="L4245" i="1"/>
  <c r="L4257" i="1"/>
  <c r="L4267" i="1"/>
  <c r="L4277" i="1"/>
  <c r="L4289" i="1"/>
  <c r="L4299" i="1"/>
  <c r="L4309" i="1"/>
  <c r="L4321" i="1"/>
  <c r="L4330" i="1"/>
  <c r="L4339" i="1"/>
  <c r="L4348" i="1"/>
  <c r="L4357" i="1"/>
  <c r="L4366" i="1"/>
  <c r="L4375" i="1"/>
  <c r="L4385" i="1"/>
  <c r="L4393" i="1"/>
  <c r="L4401" i="1"/>
  <c r="L4409" i="1"/>
  <c r="L4417" i="1"/>
  <c r="L4425" i="1"/>
  <c r="L4433" i="1"/>
  <c r="L4441" i="1"/>
  <c r="L4449" i="1"/>
  <c r="L4457" i="1"/>
  <c r="L4465" i="1"/>
  <c r="L4473" i="1"/>
  <c r="L4481" i="1"/>
  <c r="L4489" i="1"/>
  <c r="L4497" i="1"/>
  <c r="L4505" i="1"/>
  <c r="L4513" i="1"/>
  <c r="L4521" i="1"/>
  <c r="L4529" i="1"/>
  <c r="L4537" i="1"/>
  <c r="L4545" i="1"/>
  <c r="L4553" i="1"/>
  <c r="L4561" i="1"/>
  <c r="L4569" i="1"/>
  <c r="L2151" i="1"/>
  <c r="L2594" i="1"/>
  <c r="L2761" i="1"/>
  <c r="L2897" i="1"/>
  <c r="L3025" i="1"/>
  <c r="L3145" i="1"/>
  <c r="L3214" i="1"/>
  <c r="L3265" i="1"/>
  <c r="L3300" i="1"/>
  <c r="L3332" i="1"/>
  <c r="L3364" i="1"/>
  <c r="L3396" i="1"/>
  <c r="L3428" i="1"/>
  <c r="L3460" i="1"/>
  <c r="L3492" i="1"/>
  <c r="L3524" i="1"/>
  <c r="L3556" i="1"/>
  <c r="L3588" i="1"/>
  <c r="L3620" i="1"/>
  <c r="L3652" i="1"/>
  <c r="L3684" i="1"/>
  <c r="L3716" i="1"/>
  <c r="L3748" i="1"/>
  <c r="L3780" i="1"/>
  <c r="L3812" i="1"/>
  <c r="L3844" i="1"/>
  <c r="L3876" i="1"/>
  <c r="L3908" i="1"/>
  <c r="L3940" i="1"/>
  <c r="L3972" i="1"/>
  <c r="L4004" i="1"/>
  <c r="L4036" i="1"/>
  <c r="L4068" i="1"/>
  <c r="L4100" i="1"/>
  <c r="L4132" i="1"/>
  <c r="L4164" i="1"/>
  <c r="L4196" i="1"/>
  <c r="L4223" i="1"/>
  <c r="L4236" i="1"/>
  <c r="L4247" i="1"/>
  <c r="L4258" i="1"/>
  <c r="L4268" i="1"/>
  <c r="L4279" i="1"/>
  <c r="L4290" i="1"/>
  <c r="L4300" i="1"/>
  <c r="L4311" i="1"/>
  <c r="L4322" i="1"/>
  <c r="L4331" i="1"/>
  <c r="L4340" i="1"/>
  <c r="L4349" i="1"/>
  <c r="L4358" i="1"/>
  <c r="L4367" i="1"/>
  <c r="L4377" i="1"/>
  <c r="L4386" i="1"/>
  <c r="L4394" i="1"/>
  <c r="L4402" i="1"/>
  <c r="L4410" i="1"/>
  <c r="L4418" i="1"/>
  <c r="L4426" i="1"/>
  <c r="L4434" i="1"/>
  <c r="L4442" i="1"/>
  <c r="L4450" i="1"/>
  <c r="L4458" i="1"/>
  <c r="L4466" i="1"/>
  <c r="L4474" i="1"/>
  <c r="L4482" i="1"/>
  <c r="L4490" i="1"/>
  <c r="L4498" i="1"/>
  <c r="L4506" i="1"/>
  <c r="L4514" i="1"/>
  <c r="L4522" i="1"/>
  <c r="L4530" i="1"/>
  <c r="L4538" i="1"/>
  <c r="L4546" i="1"/>
  <c r="L4554" i="1"/>
  <c r="L4562" i="1"/>
  <c r="L4570" i="1"/>
  <c r="L4578" i="1"/>
  <c r="L4586" i="1"/>
  <c r="L4594" i="1"/>
  <c r="L4602" i="1"/>
  <c r="L4610" i="1"/>
  <c r="L4618" i="1"/>
  <c r="L4626" i="1"/>
  <c r="L4634" i="1"/>
  <c r="L4642" i="1"/>
  <c r="L4650" i="1"/>
  <c r="L4658" i="1"/>
  <c r="L4666" i="1"/>
  <c r="L4674" i="1"/>
  <c r="L4682" i="1"/>
  <c r="L4690" i="1"/>
  <c r="L4698" i="1"/>
  <c r="L4706" i="1"/>
  <c r="L4714" i="1"/>
  <c r="L4722" i="1"/>
  <c r="L4730" i="1"/>
  <c r="L4738" i="1"/>
  <c r="L4746" i="1"/>
  <c r="L4754" i="1"/>
  <c r="L4762" i="1"/>
  <c r="L4770" i="1"/>
  <c r="L4778" i="1"/>
  <c r="L4786" i="1"/>
  <c r="L4794" i="1"/>
  <c r="L4802" i="1"/>
  <c r="L4810" i="1"/>
  <c r="L4818" i="1"/>
  <c r="L4826" i="1"/>
  <c r="L4834" i="1"/>
  <c r="L4842" i="1"/>
  <c r="L4850" i="1"/>
  <c r="L4858" i="1"/>
  <c r="L4866" i="1"/>
  <c r="L4874" i="1"/>
  <c r="L4882" i="1"/>
  <c r="L4890" i="1"/>
  <c r="L4898" i="1"/>
  <c r="L4906" i="1"/>
  <c r="L4914" i="1"/>
  <c r="L4922" i="1"/>
  <c r="L4930" i="1"/>
  <c r="L4938" i="1"/>
  <c r="L4946" i="1"/>
  <c r="L4954" i="1"/>
  <c r="L4962" i="1"/>
  <c r="L4970" i="1"/>
  <c r="L4978" i="1"/>
  <c r="L4986" i="1"/>
  <c r="L4994" i="1"/>
  <c r="L4907" i="1"/>
  <c r="L4923" i="1"/>
  <c r="L4939" i="1"/>
  <c r="L4955" i="1"/>
  <c r="L4971" i="1"/>
  <c r="L4987" i="1"/>
  <c r="L4564" i="1"/>
  <c r="L4604" i="1"/>
  <c r="L4620" i="1"/>
  <c r="L4636" i="1"/>
  <c r="L4652" i="1"/>
  <c r="L4676" i="1"/>
  <c r="L4692" i="1"/>
  <c r="L4708" i="1"/>
  <c r="L4732" i="1"/>
  <c r="L4748" i="1"/>
  <c r="L4764" i="1"/>
  <c r="L4836" i="1"/>
  <c r="L4852" i="1"/>
  <c r="L4868" i="1"/>
  <c r="L4924" i="1"/>
  <c r="L4948" i="1"/>
  <c r="L4972" i="1"/>
  <c r="L4996" i="1"/>
  <c r="L2288" i="1"/>
  <c r="L2632" i="1"/>
  <c r="L2790" i="1"/>
  <c r="L2922" i="1"/>
  <c r="L3050" i="1"/>
  <c r="L3162" i="1"/>
  <c r="L3226" i="1"/>
  <c r="L3273" i="1"/>
  <c r="L3307" i="1"/>
  <c r="L3339" i="1"/>
  <c r="L3371" i="1"/>
  <c r="L3403" i="1"/>
  <c r="L3435" i="1"/>
  <c r="L3467" i="1"/>
  <c r="L3499" i="1"/>
  <c r="L3531" i="1"/>
  <c r="L3563" i="1"/>
  <c r="L3595" i="1"/>
  <c r="L3627" i="1"/>
  <c r="L3659" i="1"/>
  <c r="L3691" i="1"/>
  <c r="L3723" i="1"/>
  <c r="L3755" i="1"/>
  <c r="L3787" i="1"/>
  <c r="L3819" i="1"/>
  <c r="L3851" i="1"/>
  <c r="L3883" i="1"/>
  <c r="L3915" i="1"/>
  <c r="L3947" i="1"/>
  <c r="L3979" i="1"/>
  <c r="L4011" i="1"/>
  <c r="L4043" i="1"/>
  <c r="L4075" i="1"/>
  <c r="L4107" i="1"/>
  <c r="L4139" i="1"/>
  <c r="L4171" i="1"/>
  <c r="L4203" i="1"/>
  <c r="L4226" i="1"/>
  <c r="L4237" i="1"/>
  <c r="L4249" i="1"/>
  <c r="L4259" i="1"/>
  <c r="L4269" i="1"/>
  <c r="L4281" i="1"/>
  <c r="L4291" i="1"/>
  <c r="L4301" i="1"/>
  <c r="L4313" i="1"/>
  <c r="L4323" i="1"/>
  <c r="L4332" i="1"/>
  <c r="L4341" i="1"/>
  <c r="L4350" i="1"/>
  <c r="L4359" i="1"/>
  <c r="L4369" i="1"/>
  <c r="L4378" i="1"/>
  <c r="L4387" i="1"/>
  <c r="L4395" i="1"/>
  <c r="L4403" i="1"/>
  <c r="L4411" i="1"/>
  <c r="L4419" i="1"/>
  <c r="L4427" i="1"/>
  <c r="L4435" i="1"/>
  <c r="L4443" i="1"/>
  <c r="L4451" i="1"/>
  <c r="L4459" i="1"/>
  <c r="L4467" i="1"/>
  <c r="L4475" i="1"/>
  <c r="L4483" i="1"/>
  <c r="L4491" i="1"/>
  <c r="L4499" i="1"/>
  <c r="L4507" i="1"/>
  <c r="L4515" i="1"/>
  <c r="L4523" i="1"/>
  <c r="L4531" i="1"/>
  <c r="L4539" i="1"/>
  <c r="L4547" i="1"/>
  <c r="L4555" i="1"/>
  <c r="L4563" i="1"/>
  <c r="L4571" i="1"/>
  <c r="L4579" i="1"/>
  <c r="L4587" i="1"/>
  <c r="L4595" i="1"/>
  <c r="L4603" i="1"/>
  <c r="L4611" i="1"/>
  <c r="L4619" i="1"/>
  <c r="L4627" i="1"/>
  <c r="L4635" i="1"/>
  <c r="L4643" i="1"/>
  <c r="L4651" i="1"/>
  <c r="L4659" i="1"/>
  <c r="L4667" i="1"/>
  <c r="L4675" i="1"/>
  <c r="L4683" i="1"/>
  <c r="L4691" i="1"/>
  <c r="L4699" i="1"/>
  <c r="L4707" i="1"/>
  <c r="L4715" i="1"/>
  <c r="L4723" i="1"/>
  <c r="L4731" i="1"/>
  <c r="L4739" i="1"/>
  <c r="L4747" i="1"/>
  <c r="L4755" i="1"/>
  <c r="L4763" i="1"/>
  <c r="L4771" i="1"/>
  <c r="L4779" i="1"/>
  <c r="L4787" i="1"/>
  <c r="L4795" i="1"/>
  <c r="L4803" i="1"/>
  <c r="L4811" i="1"/>
  <c r="L4819" i="1"/>
  <c r="L4827" i="1"/>
  <c r="L4835" i="1"/>
  <c r="L4843" i="1"/>
  <c r="L4851" i="1"/>
  <c r="L4859" i="1"/>
  <c r="L4867" i="1"/>
  <c r="L4875" i="1"/>
  <c r="L4883" i="1"/>
  <c r="L4891" i="1"/>
  <c r="L4899" i="1"/>
  <c r="L4915" i="1"/>
  <c r="L4931" i="1"/>
  <c r="L4947" i="1"/>
  <c r="L4963" i="1"/>
  <c r="L4979" i="1"/>
  <c r="L4995" i="1"/>
  <c r="L4404" i="1"/>
  <c r="L4420" i="1"/>
  <c r="L4428" i="1"/>
  <c r="L4444" i="1"/>
  <c r="L4460" i="1"/>
  <c r="L4476" i="1"/>
  <c r="L4492" i="1"/>
  <c r="L4524" i="1"/>
  <c r="L4532" i="1"/>
  <c r="L4540" i="1"/>
  <c r="L4548" i="1"/>
  <c r="L4572" i="1"/>
  <c r="L4596" i="1"/>
  <c r="L4628" i="1"/>
  <c r="L4644" i="1"/>
  <c r="L4660" i="1"/>
  <c r="L4724" i="1"/>
  <c r="L4740" i="1"/>
  <c r="L4756" i="1"/>
  <c r="L4780" i="1"/>
  <c r="L4796" i="1"/>
  <c r="L4812" i="1"/>
  <c r="L4828" i="1"/>
  <c r="L4844" i="1"/>
  <c r="L4860" i="1"/>
  <c r="L4884" i="1"/>
  <c r="L4892" i="1"/>
  <c r="L4908" i="1"/>
  <c r="L4932" i="1"/>
  <c r="L4956" i="1"/>
  <c r="L4988" i="1"/>
  <c r="L2321" i="1"/>
  <c r="L2644" i="1"/>
  <c r="L2798" i="1"/>
  <c r="L2929" i="1"/>
  <c r="L3057" i="1"/>
  <c r="L3166" i="1"/>
  <c r="L3230" i="1"/>
  <c r="L3274" i="1"/>
  <c r="L3308" i="1"/>
  <c r="L3340" i="1"/>
  <c r="L3372" i="1"/>
  <c r="L3404" i="1"/>
  <c r="L3436" i="1"/>
  <c r="L3468" i="1"/>
  <c r="L3500" i="1"/>
  <c r="L3532" i="1"/>
  <c r="L3564" i="1"/>
  <c r="L3596" i="1"/>
  <c r="L3628" i="1"/>
  <c r="L3660" i="1"/>
  <c r="L3692" i="1"/>
  <c r="L3724" i="1"/>
  <c r="L3756" i="1"/>
  <c r="L3788" i="1"/>
  <c r="L3820" i="1"/>
  <c r="L3852" i="1"/>
  <c r="L3884" i="1"/>
  <c r="L3916" i="1"/>
  <c r="L3948" i="1"/>
  <c r="L3980" i="1"/>
  <c r="L4012" i="1"/>
  <c r="L4044" i="1"/>
  <c r="L4076" i="1"/>
  <c r="L4108" i="1"/>
  <c r="L4140" i="1"/>
  <c r="L4172" i="1"/>
  <c r="L4204" i="1"/>
  <c r="L4227" i="1"/>
  <c r="L4239" i="1"/>
  <c r="L4250" i="1"/>
  <c r="L4260" i="1"/>
  <c r="L4271" i="1"/>
  <c r="L4282" i="1"/>
  <c r="L4292" i="1"/>
  <c r="L4303" i="1"/>
  <c r="L4314" i="1"/>
  <c r="L4324" i="1"/>
  <c r="L4333" i="1"/>
  <c r="L4342" i="1"/>
  <c r="L4351" i="1"/>
  <c r="L4361" i="1"/>
  <c r="L4370" i="1"/>
  <c r="L4379" i="1"/>
  <c r="L4388" i="1"/>
  <c r="L4396" i="1"/>
  <c r="L4412" i="1"/>
  <c r="L4436" i="1"/>
  <c r="L4452" i="1"/>
  <c r="L4468" i="1"/>
  <c r="L4484" i="1"/>
  <c r="L4500" i="1"/>
  <c r="L4508" i="1"/>
  <c r="L4516" i="1"/>
  <c r="L4556" i="1"/>
  <c r="L4580" i="1"/>
  <c r="L4588" i="1"/>
  <c r="L4612" i="1"/>
  <c r="L4668" i="1"/>
  <c r="L4684" i="1"/>
  <c r="L4700" i="1"/>
  <c r="L4716" i="1"/>
  <c r="L4772" i="1"/>
  <c r="L4788" i="1"/>
  <c r="L4804" i="1"/>
  <c r="L4820" i="1"/>
  <c r="L4876" i="1"/>
  <c r="L4900" i="1"/>
  <c r="L4916" i="1"/>
  <c r="L4940" i="1"/>
  <c r="L4964" i="1"/>
  <c r="L4980" i="1"/>
  <c r="L2426" i="1"/>
  <c r="L2446" i="1"/>
  <c r="L2688" i="1"/>
  <c r="L2833" i="1"/>
  <c r="L2961" i="1"/>
  <c r="L3089" i="1"/>
  <c r="L3182" i="1"/>
  <c r="L3241" i="1"/>
  <c r="L3283" i="1"/>
  <c r="L3316" i="1"/>
  <c r="L3348" i="1"/>
  <c r="L3380" i="1"/>
  <c r="L3412" i="1"/>
  <c r="L3444" i="1"/>
  <c r="L3476" i="1"/>
  <c r="L3508" i="1"/>
  <c r="L3540" i="1"/>
  <c r="L3572" i="1"/>
  <c r="L3604" i="1"/>
  <c r="L3636" i="1"/>
  <c r="L3668" i="1"/>
  <c r="L3700" i="1"/>
  <c r="L3732" i="1"/>
  <c r="L3764" i="1"/>
  <c r="L3796" i="1"/>
  <c r="L3828" i="1"/>
  <c r="L3860" i="1"/>
  <c r="L3892" i="1"/>
  <c r="L3924" i="1"/>
  <c r="L3956" i="1"/>
  <c r="L3988" i="1"/>
  <c r="L4020" i="1"/>
  <c r="L4052" i="1"/>
  <c r="L4084" i="1"/>
  <c r="L4116" i="1"/>
  <c r="L4148" i="1"/>
  <c r="L4180" i="1"/>
  <c r="L4212" i="1"/>
  <c r="L4229" i="1"/>
  <c r="L4242" i="1"/>
  <c r="L4252" i="1"/>
  <c r="L4263" i="1"/>
  <c r="L4274" i="1"/>
  <c r="L4284" i="1"/>
  <c r="L4295" i="1"/>
  <c r="L4306" i="1"/>
  <c r="L4316" i="1"/>
  <c r="L4326" i="1"/>
  <c r="L4335" i="1"/>
  <c r="L4345" i="1"/>
  <c r="L4354" i="1"/>
  <c r="L4363" i="1"/>
  <c r="L4372" i="1"/>
  <c r="L4381" i="1"/>
  <c r="L4390" i="1"/>
  <c r="L4398" i="1"/>
  <c r="L4406" i="1"/>
  <c r="L4414" i="1"/>
  <c r="L4422" i="1"/>
  <c r="L4430" i="1"/>
  <c r="L4438" i="1"/>
  <c r="L4446" i="1"/>
  <c r="L4454" i="1"/>
  <c r="L4462" i="1"/>
  <c r="L4470" i="1"/>
  <c r="L4478" i="1"/>
  <c r="L4486" i="1"/>
  <c r="L4494" i="1"/>
  <c r="L4502" i="1"/>
  <c r="L4510" i="1"/>
  <c r="L4518" i="1"/>
  <c r="L4526" i="1"/>
  <c r="L4534" i="1"/>
  <c r="L4542" i="1"/>
  <c r="L4550" i="1"/>
  <c r="L4558" i="1"/>
  <c r="L4566" i="1"/>
  <c r="L4574" i="1"/>
  <c r="L4582" i="1"/>
  <c r="L4590" i="1"/>
  <c r="L4598" i="1"/>
  <c r="L4606" i="1"/>
  <c r="L4614" i="1"/>
  <c r="L4622" i="1"/>
  <c r="L4630" i="1"/>
  <c r="L4638" i="1"/>
  <c r="L4646" i="1"/>
  <c r="L4654" i="1"/>
  <c r="L4662" i="1"/>
  <c r="L4670" i="1"/>
  <c r="L4678" i="1"/>
  <c r="L4686" i="1"/>
  <c r="L4694" i="1"/>
  <c r="L4702" i="1"/>
  <c r="L4710" i="1"/>
  <c r="L2679" i="1"/>
  <c r="L3347" i="1"/>
  <c r="L3603" i="1"/>
  <c r="L3859" i="1"/>
  <c r="L4115" i="1"/>
  <c r="L4273" i="1"/>
  <c r="L4353" i="1"/>
  <c r="L4421" i="1"/>
  <c r="L4485" i="1"/>
  <c r="L4549" i="1"/>
  <c r="L4613" i="1"/>
  <c r="L4677" i="1"/>
  <c r="L4726" i="1"/>
  <c r="L4758" i="1"/>
  <c r="L4790" i="1"/>
  <c r="L4822" i="1"/>
  <c r="L4846" i="1"/>
  <c r="L4869" i="1"/>
  <c r="L4889" i="1"/>
  <c r="L4910" i="1"/>
  <c r="L4933" i="1"/>
  <c r="L4953" i="1"/>
  <c r="L4974" i="1"/>
  <c r="L4997" i="1"/>
  <c r="L4453" i="1"/>
  <c r="L4645" i="1"/>
  <c r="L4806" i="1"/>
  <c r="L4901" i="1"/>
  <c r="L4985" i="1"/>
  <c r="L4661" i="1"/>
  <c r="L4814" i="1"/>
  <c r="L4905" i="1"/>
  <c r="L4990" i="1"/>
  <c r="L3827" i="1"/>
  <c r="L4477" i="1"/>
  <c r="L4757" i="1"/>
  <c r="L4865" i="1"/>
  <c r="L4950" i="1"/>
  <c r="L2826" i="1"/>
  <c r="L3379" i="1"/>
  <c r="L3635" i="1"/>
  <c r="L3891" i="1"/>
  <c r="L4147" i="1"/>
  <c r="L4283" i="1"/>
  <c r="L4362" i="1"/>
  <c r="L4429" i="1"/>
  <c r="L4493" i="1"/>
  <c r="L4557" i="1"/>
  <c r="L4621" i="1"/>
  <c r="L4685" i="1"/>
  <c r="L4733" i="1"/>
  <c r="L4765" i="1"/>
  <c r="L4797" i="1"/>
  <c r="L4829" i="1"/>
  <c r="L4849" i="1"/>
  <c r="L4870" i="1"/>
  <c r="L4893" i="1"/>
  <c r="L4913" i="1"/>
  <c r="L4934" i="1"/>
  <c r="L4957" i="1"/>
  <c r="L4977" i="1"/>
  <c r="L4998" i="1"/>
  <c r="L4873" i="1"/>
  <c r="L4917" i="1"/>
  <c r="L4958" i="1"/>
  <c r="L3987" i="1"/>
  <c r="L4315" i="1"/>
  <c r="L4517" i="1"/>
  <c r="L4709" i="1"/>
  <c r="L4837" i="1"/>
  <c r="L4921" i="1"/>
  <c r="L4926" i="1"/>
  <c r="L3315" i="1"/>
  <c r="L4261" i="1"/>
  <c r="L4541" i="1"/>
  <c r="L4725" i="1"/>
  <c r="L4845" i="1"/>
  <c r="L4929" i="1"/>
  <c r="L2954" i="1"/>
  <c r="L3411" i="1"/>
  <c r="L3667" i="1"/>
  <c r="L3923" i="1"/>
  <c r="L4179" i="1"/>
  <c r="L4293" i="1"/>
  <c r="L4371" i="1"/>
  <c r="L4437" i="1"/>
  <c r="L4501" i="1"/>
  <c r="L4565" i="1"/>
  <c r="L4629" i="1"/>
  <c r="L4693" i="1"/>
  <c r="L4734" i="1"/>
  <c r="L4766" i="1"/>
  <c r="L4798" i="1"/>
  <c r="L4830" i="1"/>
  <c r="L4853" i="1"/>
  <c r="L4894" i="1"/>
  <c r="L4937" i="1"/>
  <c r="L4981" i="1"/>
  <c r="L4228" i="1"/>
  <c r="L4389" i="1"/>
  <c r="L4581" i="1"/>
  <c r="L4742" i="1"/>
  <c r="L4857" i="1"/>
  <c r="L4942" i="1"/>
  <c r="L4469" i="1"/>
  <c r="L4718" i="1"/>
  <c r="L4841" i="1"/>
  <c r="L4605" i="1"/>
  <c r="L4789" i="1"/>
  <c r="L4909" i="1"/>
  <c r="L3082" i="1"/>
  <c r="L3443" i="1"/>
  <c r="L3699" i="1"/>
  <c r="L3955" i="1"/>
  <c r="L4211" i="1"/>
  <c r="L4305" i="1"/>
  <c r="L4380" i="1"/>
  <c r="L4445" i="1"/>
  <c r="L4509" i="1"/>
  <c r="L4573" i="1"/>
  <c r="L4637" i="1"/>
  <c r="L4701" i="1"/>
  <c r="L4741" i="1"/>
  <c r="L4773" i="1"/>
  <c r="L4805" i="1"/>
  <c r="L4833" i="1"/>
  <c r="L4854" i="1"/>
  <c r="L4877" i="1"/>
  <c r="L4897" i="1"/>
  <c r="L4918" i="1"/>
  <c r="L4941" i="1"/>
  <c r="L4961" i="1"/>
  <c r="L4982" i="1"/>
  <c r="L3178" i="1"/>
  <c r="L3475" i="1"/>
  <c r="L3731" i="1"/>
  <c r="L4774" i="1"/>
  <c r="L4878" i="1"/>
  <c r="L4965" i="1"/>
  <c r="L4533" i="1"/>
  <c r="L4782" i="1"/>
  <c r="L4862" i="1"/>
  <c r="L4949" i="1"/>
  <c r="L3571" i="1"/>
  <c r="L4343" i="1"/>
  <c r="L4993" i="1"/>
  <c r="L3240" i="1"/>
  <c r="L3507" i="1"/>
  <c r="L3763" i="1"/>
  <c r="L4019" i="1"/>
  <c r="L4241" i="1"/>
  <c r="L4325" i="1"/>
  <c r="L4397" i="1"/>
  <c r="L4461" i="1"/>
  <c r="L4525" i="1"/>
  <c r="L4589" i="1"/>
  <c r="L4653" i="1"/>
  <c r="L4717" i="1"/>
  <c r="L4749" i="1"/>
  <c r="L4781" i="1"/>
  <c r="L4813" i="1"/>
  <c r="L4838" i="1"/>
  <c r="L4861" i="1"/>
  <c r="L4881" i="1"/>
  <c r="L4902" i="1"/>
  <c r="L4925" i="1"/>
  <c r="L4945" i="1"/>
  <c r="L4966" i="1"/>
  <c r="L4989" i="1"/>
  <c r="L3282" i="1"/>
  <c r="L3539" i="1"/>
  <c r="L3795" i="1"/>
  <c r="L4051" i="1"/>
  <c r="L4251" i="1"/>
  <c r="L4334" i="1"/>
  <c r="L4405" i="1"/>
  <c r="L4597" i="1"/>
  <c r="L4750" i="1"/>
  <c r="L4885" i="1"/>
  <c r="L4969" i="1"/>
  <c r="L4083" i="1"/>
  <c r="L4413" i="1"/>
  <c r="L4669" i="1"/>
  <c r="L4821" i="1"/>
  <c r="L4886" i="1"/>
  <c r="L4973" i="1"/>
  <c r="B33" i="36"/>
  <c r="AE238" i="19"/>
  <c r="AE239" i="19"/>
  <c r="AE240" i="19"/>
  <c r="AE241" i="19"/>
  <c r="AE242" i="19"/>
  <c r="P234" i="19"/>
  <c r="Q234" i="19"/>
  <c r="R234" i="19"/>
  <c r="S234" i="19"/>
  <c r="T234" i="19"/>
  <c r="U234" i="19"/>
  <c r="V234" i="19"/>
  <c r="W234" i="19"/>
  <c r="X234" i="19"/>
  <c r="Y234" i="19"/>
  <c r="Z234" i="19"/>
  <c r="P235" i="19"/>
  <c r="Q235" i="19"/>
  <c r="R235" i="19"/>
  <c r="S235" i="19"/>
  <c r="T235" i="19"/>
  <c r="U235" i="19"/>
  <c r="V235" i="19"/>
  <c r="W235" i="19"/>
  <c r="X235" i="19"/>
  <c r="Y235" i="19"/>
  <c r="Z235" i="19"/>
  <c r="P236" i="19"/>
  <c r="Q236" i="19"/>
  <c r="R236" i="19"/>
  <c r="S236" i="19"/>
  <c r="T236" i="19"/>
  <c r="U236" i="19"/>
  <c r="V236" i="19"/>
  <c r="W236" i="19"/>
  <c r="X236" i="19"/>
  <c r="Y236" i="19"/>
  <c r="Z236" i="19"/>
  <c r="P237" i="19"/>
  <c r="Q237" i="19"/>
  <c r="R237" i="19"/>
  <c r="S237" i="19"/>
  <c r="T237" i="19"/>
  <c r="U237" i="19"/>
  <c r="V237" i="19"/>
  <c r="W237" i="19"/>
  <c r="X237" i="19"/>
  <c r="Y237" i="19"/>
  <c r="Z237" i="19"/>
  <c r="P238" i="19"/>
  <c r="Q238" i="19"/>
  <c r="R238" i="19"/>
  <c r="S238" i="19"/>
  <c r="T238" i="19"/>
  <c r="U238" i="19"/>
  <c r="V238" i="19"/>
  <c r="W238" i="19"/>
  <c r="X238" i="19"/>
  <c r="Y238" i="19"/>
  <c r="Z238" i="19"/>
  <c r="P239" i="19"/>
  <c r="Q239" i="19"/>
  <c r="R239" i="19"/>
  <c r="S239" i="19"/>
  <c r="T239" i="19"/>
  <c r="U239" i="19"/>
  <c r="V239" i="19"/>
  <c r="W239" i="19"/>
  <c r="X239" i="19"/>
  <c r="Y239" i="19"/>
  <c r="Z239" i="19"/>
  <c r="P240" i="19"/>
  <c r="Q240" i="19"/>
  <c r="R240" i="19"/>
  <c r="S240" i="19"/>
  <c r="T240" i="19"/>
  <c r="U240" i="19"/>
  <c r="V240" i="19"/>
  <c r="W240" i="19"/>
  <c r="X240" i="19"/>
  <c r="Y240" i="19"/>
  <c r="Z240" i="19"/>
  <c r="P241" i="19"/>
  <c r="Q241" i="19"/>
  <c r="R241" i="19"/>
  <c r="S241" i="19"/>
  <c r="T241" i="19"/>
  <c r="U241" i="19"/>
  <c r="V241" i="19"/>
  <c r="W241" i="19"/>
  <c r="X241" i="19"/>
  <c r="Y241" i="19"/>
  <c r="Z241" i="19"/>
  <c r="P242" i="19"/>
  <c r="Q242" i="19"/>
  <c r="R242" i="19"/>
  <c r="S242" i="19"/>
  <c r="T242" i="19"/>
  <c r="U242" i="19"/>
  <c r="V242" i="19"/>
  <c r="W242" i="19"/>
  <c r="X242" i="19"/>
  <c r="Y242" i="19"/>
  <c r="Z242" i="19"/>
  <c r="O235" i="19"/>
  <c r="O236" i="19"/>
  <c r="O237" i="19"/>
  <c r="O238" i="19"/>
  <c r="O239" i="19"/>
  <c r="O240" i="19"/>
  <c r="O241" i="19"/>
  <c r="O242" i="19"/>
  <c r="O234" i="19"/>
  <c r="P227" i="19"/>
  <c r="P230" i="19" s="1"/>
  <c r="Q227" i="19"/>
  <c r="Q230" i="19" s="1"/>
  <c r="R227" i="19"/>
  <c r="R230" i="19" s="1"/>
  <c r="S227" i="19"/>
  <c r="S230" i="19" s="1"/>
  <c r="T227" i="19"/>
  <c r="T230" i="19" s="1"/>
  <c r="U227" i="19"/>
  <c r="U230" i="19" s="1"/>
  <c r="V227" i="19"/>
  <c r="V230" i="19" s="1"/>
  <c r="W227" i="19"/>
  <c r="W230" i="19" s="1"/>
  <c r="X227" i="19"/>
  <c r="Y227" i="19"/>
  <c r="Y230" i="19" s="1"/>
  <c r="Z227" i="19"/>
  <c r="Z230" i="19" s="1"/>
  <c r="P228" i="19"/>
  <c r="P231" i="19" s="1"/>
  <c r="Q228" i="19"/>
  <c r="Q231" i="19" s="1"/>
  <c r="R228" i="19"/>
  <c r="R231" i="19" s="1"/>
  <c r="S228" i="19"/>
  <c r="S231" i="19" s="1"/>
  <c r="T228" i="19"/>
  <c r="T231" i="19" s="1"/>
  <c r="U228" i="19"/>
  <c r="U231" i="19" s="1"/>
  <c r="V228" i="19"/>
  <c r="V231" i="19" s="1"/>
  <c r="W228" i="19"/>
  <c r="W231" i="19" s="1"/>
  <c r="X228" i="19"/>
  <c r="Y228" i="19"/>
  <c r="Y231" i="19" s="1"/>
  <c r="Z228" i="19"/>
  <c r="Z231" i="19" s="1"/>
  <c r="P229" i="19"/>
  <c r="P232" i="19" s="1"/>
  <c r="Q229" i="19"/>
  <c r="Q232" i="19" s="1"/>
  <c r="R229" i="19"/>
  <c r="R232" i="19" s="1"/>
  <c r="S229" i="19"/>
  <c r="S232" i="19" s="1"/>
  <c r="T229" i="19"/>
  <c r="T232" i="19" s="1"/>
  <c r="U229" i="19"/>
  <c r="U232" i="19" s="1"/>
  <c r="V229" i="19"/>
  <c r="V232" i="19" s="1"/>
  <c r="W229" i="19"/>
  <c r="W232" i="19" s="1"/>
  <c r="X229" i="19"/>
  <c r="Y229" i="19"/>
  <c r="Y232" i="19" s="1"/>
  <c r="Z229" i="19"/>
  <c r="Z232" i="19" s="1"/>
  <c r="P233" i="19"/>
  <c r="Q233" i="19"/>
  <c r="R233" i="19"/>
  <c r="S233" i="19"/>
  <c r="T233" i="19"/>
  <c r="U233" i="19"/>
  <c r="V233" i="19"/>
  <c r="W233" i="19"/>
  <c r="X233" i="19"/>
  <c r="Y233" i="19"/>
  <c r="Z233" i="19"/>
  <c r="O233" i="19"/>
  <c r="O228" i="19"/>
  <c r="O231" i="19" s="1"/>
  <c r="O229" i="19"/>
  <c r="O232" i="19" s="1"/>
  <c r="O227" i="19"/>
  <c r="O230" i="19" s="1"/>
  <c r="AE228" i="19"/>
  <c r="AE229" i="19"/>
  <c r="AE230" i="19"/>
  <c r="AE231" i="19"/>
  <c r="AE232" i="19"/>
  <c r="AE233" i="19"/>
  <c r="AE234" i="19"/>
  <c r="AE235" i="19"/>
  <c r="AE236" i="19"/>
  <c r="AE237" i="19"/>
  <c r="P226" i="19"/>
  <c r="Q226" i="19"/>
  <c r="R226" i="19"/>
  <c r="S226" i="19"/>
  <c r="T226" i="19"/>
  <c r="U226" i="19"/>
  <c r="V226" i="19"/>
  <c r="W226" i="19"/>
  <c r="X226" i="19"/>
  <c r="Y226" i="19"/>
  <c r="Z226" i="19"/>
  <c r="O226" i="19"/>
  <c r="P220" i="19"/>
  <c r="P223" i="19" s="1"/>
  <c r="Q220" i="19"/>
  <c r="Q223" i="19" s="1"/>
  <c r="R220" i="19"/>
  <c r="R223" i="19" s="1"/>
  <c r="S220" i="19"/>
  <c r="S223" i="19" s="1"/>
  <c r="T220" i="19"/>
  <c r="T223" i="19" s="1"/>
  <c r="U220" i="19"/>
  <c r="U223" i="19" s="1"/>
  <c r="V220" i="19"/>
  <c r="V223" i="19" s="1"/>
  <c r="W220" i="19"/>
  <c r="W223" i="19" s="1"/>
  <c r="X220" i="19"/>
  <c r="Y220" i="19"/>
  <c r="Y223" i="19" s="1"/>
  <c r="Z220" i="19"/>
  <c r="Z223" i="19" s="1"/>
  <c r="P221" i="19"/>
  <c r="P224" i="19" s="1"/>
  <c r="Q221" i="19"/>
  <c r="Q224" i="19" s="1"/>
  <c r="R221" i="19"/>
  <c r="R224" i="19" s="1"/>
  <c r="S221" i="19"/>
  <c r="S224" i="19" s="1"/>
  <c r="T221" i="19"/>
  <c r="T224" i="19" s="1"/>
  <c r="U221" i="19"/>
  <c r="U224" i="19" s="1"/>
  <c r="V221" i="19"/>
  <c r="V224" i="19" s="1"/>
  <c r="W221" i="19"/>
  <c r="W224" i="19" s="1"/>
  <c r="X221" i="19"/>
  <c r="Y221" i="19"/>
  <c r="Y224" i="19" s="1"/>
  <c r="Z221" i="19"/>
  <c r="Z224" i="19" s="1"/>
  <c r="P222" i="19"/>
  <c r="P225" i="19" s="1"/>
  <c r="Q222" i="19"/>
  <c r="Q225" i="19" s="1"/>
  <c r="R222" i="19"/>
  <c r="R225" i="19" s="1"/>
  <c r="S222" i="19"/>
  <c r="S225" i="19" s="1"/>
  <c r="T222" i="19"/>
  <c r="T225" i="19" s="1"/>
  <c r="U222" i="19"/>
  <c r="U225" i="19" s="1"/>
  <c r="V222" i="19"/>
  <c r="V225" i="19" s="1"/>
  <c r="W222" i="19"/>
  <c r="W225" i="19" s="1"/>
  <c r="X222" i="19"/>
  <c r="Y222" i="19"/>
  <c r="Y225" i="19" s="1"/>
  <c r="Z222" i="19"/>
  <c r="Z225" i="19" s="1"/>
  <c r="O221" i="19"/>
  <c r="O224" i="19" s="1"/>
  <c r="O222" i="19"/>
  <c r="O225" i="19" s="1"/>
  <c r="O220" i="19"/>
  <c r="O223" i="19" s="1"/>
  <c r="AE221" i="19"/>
  <c r="AE222" i="19"/>
  <c r="AE223" i="19"/>
  <c r="AE224" i="19"/>
  <c r="AE225" i="19"/>
  <c r="AE226" i="19"/>
  <c r="AE227" i="19"/>
  <c r="AE220" i="19"/>
  <c r="O219" i="19"/>
  <c r="P218" i="19"/>
  <c r="Q218" i="19"/>
  <c r="R218" i="19"/>
  <c r="S218" i="19"/>
  <c r="T218" i="19"/>
  <c r="U218" i="19"/>
  <c r="V218" i="19"/>
  <c r="W218" i="19"/>
  <c r="X218" i="19"/>
  <c r="Y218" i="19"/>
  <c r="Z218" i="19"/>
  <c r="P219" i="19"/>
  <c r="Q219" i="19"/>
  <c r="R219" i="19"/>
  <c r="S219" i="19"/>
  <c r="T219" i="19"/>
  <c r="U219" i="19"/>
  <c r="V219" i="19"/>
  <c r="W219" i="19"/>
  <c r="X219" i="19"/>
  <c r="Y219" i="19"/>
  <c r="Z219" i="19"/>
  <c r="O218" i="19"/>
  <c r="P217" i="19"/>
  <c r="Q217" i="19"/>
  <c r="R217" i="19"/>
  <c r="S217" i="19"/>
  <c r="T217" i="19"/>
  <c r="U217" i="19"/>
  <c r="V217" i="19"/>
  <c r="W217" i="19"/>
  <c r="X217" i="19"/>
  <c r="Y217" i="19"/>
  <c r="Z217" i="19"/>
  <c r="P216" i="19"/>
  <c r="Q216" i="19"/>
  <c r="R216" i="19"/>
  <c r="S216" i="19"/>
  <c r="T216" i="19"/>
  <c r="U216" i="19"/>
  <c r="V216" i="19"/>
  <c r="W216" i="19"/>
  <c r="X216" i="19"/>
  <c r="Y216" i="19"/>
  <c r="Z216" i="19"/>
  <c r="O216" i="19"/>
  <c r="O217" i="19"/>
  <c r="P215" i="19"/>
  <c r="Q215" i="19"/>
  <c r="R215" i="19"/>
  <c r="S215" i="19"/>
  <c r="T215" i="19"/>
  <c r="U215" i="19"/>
  <c r="V215" i="19"/>
  <c r="W215" i="19"/>
  <c r="X215" i="19"/>
  <c r="Y215" i="19"/>
  <c r="Z215" i="19"/>
  <c r="O215" i="19"/>
  <c r="AC215" i="19"/>
  <c r="P213" i="19"/>
  <c r="Q213" i="19"/>
  <c r="R213" i="19"/>
  <c r="S213" i="19"/>
  <c r="T213" i="19"/>
  <c r="U213" i="19"/>
  <c r="V213" i="19"/>
  <c r="W213" i="19"/>
  <c r="X213" i="19"/>
  <c r="Y213" i="19"/>
  <c r="Z213" i="19"/>
  <c r="O213" i="19"/>
  <c r="P212" i="19"/>
  <c r="Q212" i="19"/>
  <c r="R212" i="19"/>
  <c r="S212" i="19"/>
  <c r="T212" i="19"/>
  <c r="U212" i="19"/>
  <c r="V212" i="19"/>
  <c r="W212" i="19"/>
  <c r="X212" i="19"/>
  <c r="Y212" i="19"/>
  <c r="Z212" i="19"/>
  <c r="O212" i="19"/>
  <c r="P210" i="19"/>
  <c r="P211" i="19" s="1"/>
  <c r="Q210" i="19"/>
  <c r="Q211" i="19" s="1"/>
  <c r="R210" i="19"/>
  <c r="R211" i="19" s="1"/>
  <c r="S210" i="19"/>
  <c r="S211" i="19" s="1"/>
  <c r="T210" i="19"/>
  <c r="T211" i="19" s="1"/>
  <c r="U210" i="19"/>
  <c r="U211" i="19" s="1"/>
  <c r="V210" i="19"/>
  <c r="V211" i="19" s="1"/>
  <c r="W210" i="19"/>
  <c r="W211" i="19" s="1"/>
  <c r="X210" i="19"/>
  <c r="Y210" i="19"/>
  <c r="Y211" i="19" s="1"/>
  <c r="Z210" i="19"/>
  <c r="Z211" i="19" s="1"/>
  <c r="P208" i="19"/>
  <c r="P209" i="19" s="1"/>
  <c r="Q208" i="19"/>
  <c r="Q209" i="19" s="1"/>
  <c r="R208" i="19"/>
  <c r="R209" i="19" s="1"/>
  <c r="S208" i="19"/>
  <c r="S209" i="19" s="1"/>
  <c r="T208" i="19"/>
  <c r="T209" i="19" s="1"/>
  <c r="U208" i="19"/>
  <c r="U209" i="19" s="1"/>
  <c r="V208" i="19"/>
  <c r="V209" i="19" s="1"/>
  <c r="W208" i="19"/>
  <c r="W209" i="19" s="1"/>
  <c r="X208" i="19"/>
  <c r="Y208" i="19"/>
  <c r="Y209" i="19" s="1"/>
  <c r="Z208" i="19"/>
  <c r="Z209" i="19" s="1"/>
  <c r="O210" i="19"/>
  <c r="O211" i="19" s="1"/>
  <c r="O208" i="19"/>
  <c r="O209" i="19" s="1"/>
  <c r="P202" i="19"/>
  <c r="P205" i="19" s="1"/>
  <c r="Q202" i="19"/>
  <c r="Q205" i="19" s="1"/>
  <c r="R202" i="19"/>
  <c r="R205" i="19" s="1"/>
  <c r="S202" i="19"/>
  <c r="S205" i="19" s="1"/>
  <c r="T202" i="19"/>
  <c r="T205" i="19" s="1"/>
  <c r="U202" i="19"/>
  <c r="U205" i="19" s="1"/>
  <c r="V202" i="19"/>
  <c r="V205" i="19" s="1"/>
  <c r="W202" i="19"/>
  <c r="W205" i="19" s="1"/>
  <c r="X202" i="19"/>
  <c r="Y202" i="19"/>
  <c r="Y205" i="19" s="1"/>
  <c r="Z202" i="19"/>
  <c r="Z205" i="19" s="1"/>
  <c r="P203" i="19"/>
  <c r="P206" i="19" s="1"/>
  <c r="Q203" i="19"/>
  <c r="Q206" i="19" s="1"/>
  <c r="R203" i="19"/>
  <c r="R206" i="19" s="1"/>
  <c r="S203" i="19"/>
  <c r="S206" i="19" s="1"/>
  <c r="T203" i="19"/>
  <c r="T206" i="19" s="1"/>
  <c r="U203" i="19"/>
  <c r="U206" i="19" s="1"/>
  <c r="V203" i="19"/>
  <c r="V206" i="19" s="1"/>
  <c r="W203" i="19"/>
  <c r="W206" i="19" s="1"/>
  <c r="X203" i="19"/>
  <c r="Y203" i="19"/>
  <c r="Y206" i="19" s="1"/>
  <c r="Z203" i="19"/>
  <c r="Z206" i="19" s="1"/>
  <c r="P204" i="19"/>
  <c r="P207" i="19" s="1"/>
  <c r="Q204" i="19"/>
  <c r="Q207" i="19" s="1"/>
  <c r="R204" i="19"/>
  <c r="R207" i="19" s="1"/>
  <c r="S204" i="19"/>
  <c r="S207" i="19" s="1"/>
  <c r="T204" i="19"/>
  <c r="T207" i="19" s="1"/>
  <c r="U204" i="19"/>
  <c r="U207" i="19" s="1"/>
  <c r="V204" i="19"/>
  <c r="V207" i="19" s="1"/>
  <c r="W204" i="19"/>
  <c r="W207" i="19" s="1"/>
  <c r="X204" i="19"/>
  <c r="Y204" i="19"/>
  <c r="Y207" i="19" s="1"/>
  <c r="Z204" i="19"/>
  <c r="Z207" i="19" s="1"/>
  <c r="O203" i="19"/>
  <c r="O206" i="19" s="1"/>
  <c r="O204" i="19"/>
  <c r="O207" i="19" s="1"/>
  <c r="O202" i="19"/>
  <c r="O205" i="19" s="1"/>
  <c r="R13" i="51" l="1"/>
  <c r="S13" i="51"/>
  <c r="X205" i="19"/>
  <c r="X211" i="19"/>
  <c r="X206" i="19"/>
  <c r="X209" i="19"/>
  <c r="X230" i="19"/>
  <c r="X231" i="19"/>
  <c r="X232" i="19"/>
  <c r="X224" i="19"/>
  <c r="X207" i="19"/>
  <c r="X223" i="19"/>
  <c r="X225" i="19"/>
  <c r="AE201" i="19"/>
  <c r="AE202" i="19"/>
  <c r="AE203" i="19"/>
  <c r="AE204" i="19"/>
  <c r="AE205" i="19"/>
  <c r="AE206" i="19"/>
  <c r="AE207" i="19"/>
  <c r="AE208" i="19"/>
  <c r="AE209" i="19"/>
  <c r="AE210" i="19"/>
  <c r="AE211" i="19"/>
  <c r="AE212" i="19"/>
  <c r="AE213" i="19"/>
  <c r="AE214" i="19"/>
  <c r="AE215" i="19"/>
  <c r="AE216" i="19"/>
  <c r="AE217" i="19"/>
  <c r="AE218" i="19"/>
  <c r="AE219" i="19"/>
  <c r="P201" i="19"/>
  <c r="Q201" i="19"/>
  <c r="R201" i="19"/>
  <c r="S201" i="19"/>
  <c r="T201" i="19"/>
  <c r="U201" i="19"/>
  <c r="V201" i="19"/>
  <c r="W201" i="19"/>
  <c r="X201" i="19"/>
  <c r="Y201" i="19"/>
  <c r="Z201" i="19"/>
  <c r="O201" i="19"/>
  <c r="AC201" i="19"/>
  <c r="AE200" i="19"/>
  <c r="AE199" i="19"/>
  <c r="P194" i="19"/>
  <c r="Q194" i="19"/>
  <c r="R194" i="19"/>
  <c r="S194" i="19"/>
  <c r="T194" i="19"/>
  <c r="U194" i="19"/>
  <c r="V194" i="19"/>
  <c r="W194" i="19"/>
  <c r="X194" i="19"/>
  <c r="Y194" i="19"/>
  <c r="Z194" i="19"/>
  <c r="P195" i="19"/>
  <c r="Q195" i="19"/>
  <c r="R195" i="19"/>
  <c r="S195" i="19"/>
  <c r="T195" i="19"/>
  <c r="U195" i="19"/>
  <c r="V195" i="19"/>
  <c r="W195" i="19"/>
  <c r="X195" i="19"/>
  <c r="Y195" i="19"/>
  <c r="Z195" i="19"/>
  <c r="P196" i="19"/>
  <c r="Q196" i="19"/>
  <c r="R196" i="19"/>
  <c r="S196" i="19"/>
  <c r="T196" i="19"/>
  <c r="U196" i="19"/>
  <c r="V196" i="19"/>
  <c r="W196" i="19"/>
  <c r="X196" i="19"/>
  <c r="Y196" i="19"/>
  <c r="Z196" i="19"/>
  <c r="O195" i="19"/>
  <c r="O196" i="19"/>
  <c r="O194" i="19"/>
  <c r="AE194" i="19"/>
  <c r="AE191" i="19"/>
  <c r="AE192" i="19"/>
  <c r="AE193" i="19"/>
  <c r="AE195" i="19"/>
  <c r="AE196" i="19"/>
  <c r="AE197" i="19"/>
  <c r="AE198" i="19"/>
  <c r="AE184" i="19"/>
  <c r="P185" i="19"/>
  <c r="P189" i="19" s="1"/>
  <c r="Q185" i="19"/>
  <c r="Q186" i="19" s="1"/>
  <c r="R185" i="19"/>
  <c r="R186" i="19" s="1"/>
  <c r="S185" i="19"/>
  <c r="T185" i="19"/>
  <c r="T186" i="19" s="1"/>
  <c r="U185" i="19"/>
  <c r="U186" i="19" s="1"/>
  <c r="V185" i="19"/>
  <c r="V186" i="19" s="1"/>
  <c r="W185" i="19"/>
  <c r="X185" i="19"/>
  <c r="X189" i="19" s="1"/>
  <c r="Y185" i="19"/>
  <c r="Y186" i="19" s="1"/>
  <c r="Z185" i="19"/>
  <c r="Z186" i="19" s="1"/>
  <c r="O185" i="19"/>
  <c r="O186" i="19" s="1"/>
  <c r="P181" i="19"/>
  <c r="Q181" i="19"/>
  <c r="R181" i="19"/>
  <c r="S181" i="19"/>
  <c r="T181" i="19"/>
  <c r="U181" i="19"/>
  <c r="V181" i="19"/>
  <c r="W181" i="19"/>
  <c r="X181" i="19"/>
  <c r="Y181" i="19"/>
  <c r="Z181" i="19"/>
  <c r="O181" i="19"/>
  <c r="T13" i="51" l="1"/>
  <c r="S189" i="19"/>
  <c r="W190" i="19"/>
  <c r="S190" i="19"/>
  <c r="O190" i="19"/>
  <c r="O189" i="19"/>
  <c r="W189" i="19"/>
  <c r="P186" i="19"/>
  <c r="V189" i="19"/>
  <c r="Z190" i="19"/>
  <c r="R190" i="19"/>
  <c r="U189" i="19"/>
  <c r="Y190" i="19"/>
  <c r="Q190" i="19"/>
  <c r="T189" i="19"/>
  <c r="X190" i="19"/>
  <c r="P190" i="19"/>
  <c r="Z189" i="19"/>
  <c r="R189" i="19"/>
  <c r="V190" i="19"/>
  <c r="X186" i="19"/>
  <c r="Y189" i="19"/>
  <c r="Q189" i="19"/>
  <c r="U190" i="19"/>
  <c r="T190" i="19"/>
  <c r="W186" i="19"/>
  <c r="S186" i="19"/>
  <c r="AE181" i="19" l="1"/>
  <c r="AE182" i="19"/>
  <c r="AE183" i="19"/>
  <c r="AE185" i="19"/>
  <c r="AE186" i="19"/>
  <c r="AE187" i="19"/>
  <c r="AE188" i="19"/>
  <c r="AE189" i="19"/>
  <c r="AE190" i="19"/>
  <c r="AE179" i="19"/>
  <c r="AE180" i="19"/>
  <c r="O180" i="19"/>
  <c r="P180" i="19"/>
  <c r="Q180" i="19"/>
  <c r="R180" i="19"/>
  <c r="S180" i="19"/>
  <c r="T180" i="19"/>
  <c r="U180" i="19"/>
  <c r="V180" i="19"/>
  <c r="W180" i="19"/>
  <c r="X180" i="19"/>
  <c r="Y180" i="19"/>
  <c r="Z180" i="19"/>
  <c r="P179" i="19"/>
  <c r="Q179" i="19"/>
  <c r="R179" i="19"/>
  <c r="S179" i="19"/>
  <c r="T179" i="19"/>
  <c r="U179" i="19"/>
  <c r="V179" i="19"/>
  <c r="W179" i="19"/>
  <c r="X179" i="19"/>
  <c r="Y179" i="19"/>
  <c r="Z179" i="19"/>
  <c r="O179" i="19"/>
  <c r="O183" i="19" l="1"/>
  <c r="O182" i="19"/>
  <c r="Z183" i="19"/>
  <c r="Z182" i="19"/>
  <c r="X183" i="19"/>
  <c r="X182" i="19"/>
  <c r="P183" i="19"/>
  <c r="P182" i="19"/>
  <c r="R183" i="19"/>
  <c r="R182" i="19"/>
  <c r="V182" i="19"/>
  <c r="V183" i="19"/>
  <c r="Y182" i="19"/>
  <c r="Y183" i="19"/>
  <c r="U183" i="19"/>
  <c r="U182" i="19"/>
  <c r="S182" i="19"/>
  <c r="S183" i="19"/>
  <c r="Q182" i="19"/>
  <c r="Q183" i="19"/>
  <c r="W183" i="19"/>
  <c r="W182" i="19"/>
  <c r="T182" i="19"/>
  <c r="T183" i="19"/>
  <c r="C33" i="58" l="1"/>
  <c r="B33" i="58"/>
  <c r="W48" i="60"/>
  <c r="I33" i="60"/>
  <c r="J30" i="60"/>
  <c r="K30" i="60" s="1"/>
  <c r="I30" i="60"/>
  <c r="J29" i="60"/>
  <c r="K29" i="60" s="1"/>
  <c r="I29" i="60"/>
  <c r="K28" i="60"/>
  <c r="J28" i="60"/>
  <c r="I28" i="60"/>
  <c r="J27" i="60"/>
  <c r="K27" i="60" s="1"/>
  <c r="I27" i="60"/>
  <c r="AF26" i="60"/>
  <c r="J26" i="60"/>
  <c r="K26" i="60" s="1"/>
  <c r="I26" i="60"/>
  <c r="J25" i="60"/>
  <c r="K25" i="60" s="1"/>
  <c r="I25" i="60"/>
  <c r="J24" i="60"/>
  <c r="K24" i="60" s="1"/>
  <c r="I24" i="60"/>
  <c r="AF23" i="60"/>
  <c r="J23" i="60"/>
  <c r="K23" i="60" s="1"/>
  <c r="I23" i="60"/>
  <c r="J22" i="60"/>
  <c r="K22" i="60" s="1"/>
  <c r="I22" i="60"/>
  <c r="AE21" i="60"/>
  <c r="AD21" i="60"/>
  <c r="K21" i="60"/>
  <c r="J21" i="60"/>
  <c r="I21" i="60"/>
  <c r="AE20" i="60"/>
  <c r="AD20" i="60"/>
  <c r="K20" i="60"/>
  <c r="J20" i="60"/>
  <c r="I20" i="60"/>
  <c r="AE19" i="60"/>
  <c r="AD19" i="60"/>
  <c r="J19" i="60"/>
  <c r="K19" i="60" s="1"/>
  <c r="I19" i="60"/>
  <c r="AE18" i="60"/>
  <c r="AD18" i="60"/>
  <c r="J18" i="60"/>
  <c r="K18" i="60" s="1"/>
  <c r="I18" i="60"/>
  <c r="AE17" i="60"/>
  <c r="AD17" i="60"/>
  <c r="J17" i="60"/>
  <c r="K17" i="60" s="1"/>
  <c r="I17" i="60"/>
  <c r="AE16" i="60"/>
  <c r="AD16" i="60"/>
  <c r="J16" i="60"/>
  <c r="K16" i="60" s="1"/>
  <c r="I16" i="60"/>
  <c r="J15" i="60"/>
  <c r="K15" i="60" s="1"/>
  <c r="I15" i="60"/>
  <c r="J14" i="60"/>
  <c r="K14" i="60" s="1"/>
  <c r="I14" i="60"/>
  <c r="K13" i="60"/>
  <c r="J13" i="60"/>
  <c r="I13" i="60"/>
  <c r="J12" i="60"/>
  <c r="K12" i="60" s="1"/>
  <c r="I12" i="60"/>
  <c r="J11" i="60"/>
  <c r="K11" i="60" s="1"/>
  <c r="I11" i="60"/>
  <c r="J10" i="60"/>
  <c r="K10" i="60" s="1"/>
  <c r="I10" i="60"/>
  <c r="J9" i="60"/>
  <c r="K9" i="60" s="1"/>
  <c r="I9" i="60"/>
  <c r="J8" i="60"/>
  <c r="K8" i="60" s="1"/>
  <c r="I8" i="60"/>
  <c r="J7" i="60"/>
  <c r="K7" i="60" s="1"/>
  <c r="I7" i="60"/>
  <c r="J6" i="60"/>
  <c r="K6" i="60" s="1"/>
  <c r="I6" i="60"/>
  <c r="I5" i="60"/>
  <c r="H5" i="60"/>
  <c r="G5" i="60"/>
  <c r="F5" i="60"/>
  <c r="W48" i="59"/>
  <c r="I33" i="59"/>
  <c r="J30" i="59"/>
  <c r="K30" i="59" s="1"/>
  <c r="I30" i="59"/>
  <c r="J29" i="59"/>
  <c r="K29" i="59" s="1"/>
  <c r="I29" i="59"/>
  <c r="J28" i="59"/>
  <c r="K28" i="59" s="1"/>
  <c r="I28" i="59"/>
  <c r="J27" i="59"/>
  <c r="K27" i="59" s="1"/>
  <c r="I27" i="59"/>
  <c r="AF26" i="59"/>
  <c r="J26" i="59"/>
  <c r="K26" i="59" s="1"/>
  <c r="I26" i="59"/>
  <c r="J25" i="59"/>
  <c r="K25" i="59" s="1"/>
  <c r="I25" i="59"/>
  <c r="J24" i="59"/>
  <c r="K24" i="59" s="1"/>
  <c r="I24" i="59"/>
  <c r="AF23" i="59"/>
  <c r="J23" i="59"/>
  <c r="K23" i="59" s="1"/>
  <c r="I23" i="59"/>
  <c r="J22" i="59"/>
  <c r="K22" i="59" s="1"/>
  <c r="I22" i="59"/>
  <c r="AE21" i="59"/>
  <c r="AD21" i="59"/>
  <c r="J21" i="59"/>
  <c r="K21" i="59" s="1"/>
  <c r="I21" i="59"/>
  <c r="AE20" i="59"/>
  <c r="AD20" i="59"/>
  <c r="J20" i="59"/>
  <c r="K20" i="59" s="1"/>
  <c r="I20" i="59"/>
  <c r="AE19" i="59"/>
  <c r="AD19" i="59"/>
  <c r="J19" i="59"/>
  <c r="K19" i="59" s="1"/>
  <c r="I19" i="59"/>
  <c r="AE18" i="59"/>
  <c r="AD18" i="59"/>
  <c r="J18" i="59"/>
  <c r="K18" i="59" s="1"/>
  <c r="I18" i="59"/>
  <c r="AE17" i="59"/>
  <c r="AD17" i="59"/>
  <c r="J17" i="59"/>
  <c r="K17" i="59" s="1"/>
  <c r="I17" i="59"/>
  <c r="AE16" i="59"/>
  <c r="AD16" i="59"/>
  <c r="K16" i="59"/>
  <c r="J16" i="59"/>
  <c r="I16" i="59"/>
  <c r="J15" i="59"/>
  <c r="K15" i="59" s="1"/>
  <c r="I15" i="59"/>
  <c r="J14" i="59"/>
  <c r="K14" i="59" s="1"/>
  <c r="I14" i="59"/>
  <c r="J13" i="59"/>
  <c r="K13" i="59" s="1"/>
  <c r="I13" i="59"/>
  <c r="J12" i="59"/>
  <c r="K12" i="59" s="1"/>
  <c r="I12" i="59"/>
  <c r="J11" i="59"/>
  <c r="K11" i="59" s="1"/>
  <c r="I11" i="59"/>
  <c r="J10" i="59"/>
  <c r="K10" i="59" s="1"/>
  <c r="I10" i="59"/>
  <c r="J9" i="59"/>
  <c r="K9" i="59" s="1"/>
  <c r="I9" i="59"/>
  <c r="J8" i="59"/>
  <c r="K8" i="59" s="1"/>
  <c r="I8" i="59"/>
  <c r="J7" i="59"/>
  <c r="K7" i="59" s="1"/>
  <c r="I7" i="59"/>
  <c r="J6" i="59"/>
  <c r="K6" i="59" s="1"/>
  <c r="I6" i="59"/>
  <c r="I5" i="59"/>
  <c r="H5" i="59"/>
  <c r="G5" i="59"/>
  <c r="F5" i="59"/>
  <c r="AL35" i="58"/>
  <c r="AF26" i="58"/>
  <c r="AF23" i="58"/>
  <c r="AE21" i="58"/>
  <c r="AD21" i="58"/>
  <c r="AE20" i="58"/>
  <c r="AD20" i="58"/>
  <c r="AE19" i="58"/>
  <c r="AD19" i="58"/>
  <c r="AE18" i="58"/>
  <c r="AD18" i="58"/>
  <c r="AE17" i="58"/>
  <c r="AD17" i="58"/>
  <c r="AE16" i="58"/>
  <c r="AD16" i="58"/>
  <c r="I5" i="58"/>
  <c r="H5" i="58"/>
  <c r="G5" i="58"/>
  <c r="F5" i="58"/>
  <c r="AF22" i="54"/>
  <c r="AE19" i="54"/>
  <c r="AD19" i="54"/>
  <c r="V19" i="54"/>
  <c r="R19" i="54"/>
  <c r="AE18" i="54"/>
  <c r="AD18" i="54"/>
  <c r="W18" i="54"/>
  <c r="V18" i="54"/>
  <c r="S18" i="54"/>
  <c r="R18" i="54"/>
  <c r="AE16" i="54"/>
  <c r="AD16" i="54"/>
  <c r="Z16" i="54"/>
  <c r="W16" i="54"/>
  <c r="V16" i="54"/>
  <c r="S16" i="54"/>
  <c r="R16" i="54"/>
  <c r="AE15" i="54"/>
  <c r="AD15" i="54"/>
  <c r="AE14" i="54"/>
  <c r="AD14" i="54"/>
  <c r="W14" i="54"/>
  <c r="V14" i="54"/>
  <c r="S14" i="54"/>
  <c r="R14" i="54"/>
  <c r="AE13" i="54"/>
  <c r="AD13" i="54"/>
  <c r="I5" i="54"/>
  <c r="H5" i="54"/>
  <c r="G5" i="54"/>
  <c r="F5" i="54"/>
  <c r="W17" i="35"/>
  <c r="S17" i="35"/>
  <c r="C19" i="25"/>
  <c r="C15" i="25"/>
  <c r="J18" i="53"/>
  <c r="K18" i="53" s="1"/>
  <c r="I18" i="53"/>
  <c r="J17" i="53"/>
  <c r="K17" i="53" s="1"/>
  <c r="I17" i="53"/>
  <c r="J14" i="53"/>
  <c r="K14" i="53" s="1"/>
  <c r="I14" i="53"/>
  <c r="J12" i="53"/>
  <c r="K12" i="53" s="1"/>
  <c r="I12" i="53"/>
  <c r="J11" i="53"/>
  <c r="K11" i="53" s="1"/>
  <c r="I11" i="53"/>
  <c r="J10" i="53"/>
  <c r="K10" i="53" s="1"/>
  <c r="I10" i="53"/>
  <c r="J9" i="53"/>
  <c r="K9" i="53" s="1"/>
  <c r="I9" i="53"/>
  <c r="J8" i="53"/>
  <c r="K8" i="53" s="1"/>
  <c r="I8" i="53"/>
  <c r="J7" i="53"/>
  <c r="K7" i="53" s="1"/>
  <c r="I7" i="53"/>
  <c r="I1" i="53"/>
  <c r="H17" i="52"/>
  <c r="I5" i="52"/>
  <c r="H5" i="52"/>
  <c r="G5" i="52"/>
  <c r="F5" i="52"/>
  <c r="AF22" i="51"/>
  <c r="AE19" i="51"/>
  <c r="AD19" i="51"/>
  <c r="AE18" i="51"/>
  <c r="AD18" i="51"/>
  <c r="AE16" i="51"/>
  <c r="AD16" i="51"/>
  <c r="Z16" i="51"/>
  <c r="V16" i="51"/>
  <c r="R16" i="51"/>
  <c r="AE15" i="51"/>
  <c r="AD15" i="51"/>
  <c r="AE14" i="51"/>
  <c r="AD14" i="51"/>
  <c r="AE13" i="51"/>
  <c r="AD13" i="51"/>
  <c r="I5" i="51"/>
  <c r="H5" i="51"/>
  <c r="G5" i="51"/>
  <c r="F5" i="51"/>
  <c r="AF26" i="50"/>
  <c r="AF23" i="50"/>
  <c r="AE21" i="50"/>
  <c r="AD21" i="50"/>
  <c r="AE20" i="50"/>
  <c r="AD20" i="50"/>
  <c r="AE19" i="50"/>
  <c r="AD19" i="50"/>
  <c r="AE18" i="50"/>
  <c r="AD18" i="50"/>
  <c r="AE17" i="50"/>
  <c r="AD17" i="50"/>
  <c r="AE16" i="50"/>
  <c r="AD16" i="50"/>
  <c r="I5" i="50"/>
  <c r="H5" i="50"/>
  <c r="G5" i="50"/>
  <c r="F5" i="50"/>
  <c r="I5" i="49"/>
  <c r="H5" i="49"/>
  <c r="G5" i="49"/>
  <c r="F5" i="49"/>
  <c r="I30" i="48"/>
  <c r="W11" i="48"/>
  <c r="I5" i="48"/>
  <c r="H5" i="48"/>
  <c r="G5" i="48"/>
  <c r="F5" i="48"/>
  <c r="I9" i="47"/>
  <c r="I5" i="47"/>
  <c r="H5" i="47"/>
  <c r="G5" i="47"/>
  <c r="F5" i="47"/>
  <c r="Z18" i="21"/>
  <c r="Y18" i="21"/>
  <c r="X18" i="21"/>
  <c r="W18" i="21"/>
  <c r="V18" i="21"/>
  <c r="U18" i="21"/>
  <c r="T18" i="21"/>
  <c r="S18" i="21"/>
  <c r="R18" i="21"/>
  <c r="Q18" i="21"/>
  <c r="P18" i="21"/>
  <c r="O18" i="21"/>
  <c r="Z21" i="19"/>
  <c r="Y21" i="19"/>
  <c r="X21" i="19"/>
  <c r="W21" i="19"/>
  <c r="V21" i="19"/>
  <c r="U21" i="19"/>
  <c r="T21" i="19"/>
  <c r="S21" i="19"/>
  <c r="R21" i="19"/>
  <c r="Q21" i="19"/>
  <c r="P21" i="19"/>
  <c r="O21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O30" i="19" s="1"/>
  <c r="Z18" i="19"/>
  <c r="Y18" i="19"/>
  <c r="X18" i="19"/>
  <c r="W18" i="19"/>
  <c r="V18" i="19"/>
  <c r="U18" i="19"/>
  <c r="T18" i="19"/>
  <c r="S18" i="19"/>
  <c r="R18" i="19"/>
  <c r="Q18" i="19"/>
  <c r="P18" i="19"/>
  <c r="O18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AB11" i="41"/>
  <c r="Y11" i="41"/>
  <c r="V11" i="41"/>
  <c r="S11" i="41"/>
  <c r="AB9" i="41"/>
  <c r="AA9" i="41"/>
  <c r="Z9" i="41"/>
  <c r="Y9" i="41"/>
  <c r="X9" i="41"/>
  <c r="W9" i="41"/>
  <c r="V9" i="41"/>
  <c r="U9" i="41"/>
  <c r="T9" i="41"/>
  <c r="S9" i="41"/>
  <c r="R9" i="41"/>
  <c r="Q9" i="41"/>
  <c r="M11" i="41"/>
  <c r="M9" i="41"/>
  <c r="L9" i="41"/>
  <c r="K9" i="41"/>
  <c r="AA366" i="19"/>
  <c r="Z366" i="19"/>
  <c r="Y366" i="19"/>
  <c r="X366" i="19"/>
  <c r="W366" i="19"/>
  <c r="V366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AB12" i="41"/>
  <c r="AB29" i="41" s="1"/>
  <c r="AA12" i="41"/>
  <c r="AA29" i="41" s="1"/>
  <c r="Z12" i="41"/>
  <c r="Z29" i="41" s="1"/>
  <c r="Y12" i="41"/>
  <c r="Y29" i="41" s="1"/>
  <c r="X12" i="41"/>
  <c r="W12" i="41"/>
  <c r="W29" i="41" s="1"/>
  <c r="V12" i="41"/>
  <c r="V29" i="41" s="1"/>
  <c r="U12" i="41"/>
  <c r="U29" i="41" s="1"/>
  <c r="T12" i="41"/>
  <c r="T29" i="41" s="1"/>
  <c r="S12" i="41"/>
  <c r="S29" i="41" s="1"/>
  <c r="R12" i="41"/>
  <c r="R29" i="41" s="1"/>
  <c r="Q12" i="41"/>
  <c r="Q29" i="41" s="1"/>
  <c r="M12" i="41"/>
  <c r="M29" i="41" s="1"/>
  <c r="L12" i="41"/>
  <c r="L29" i="41" s="1"/>
  <c r="K12" i="41"/>
  <c r="K29" i="41" s="1"/>
  <c r="J12" i="41"/>
  <c r="J29" i="41" s="1"/>
  <c r="I12" i="41"/>
  <c r="I29" i="41" s="1"/>
  <c r="H12" i="41"/>
  <c r="H29" i="41" s="1"/>
  <c r="G12" i="41"/>
  <c r="G29" i="41" s="1"/>
  <c r="F12" i="41"/>
  <c r="F29" i="41" s="1"/>
  <c r="E12" i="41"/>
  <c r="E29" i="41" s="1"/>
  <c r="D12" i="41"/>
  <c r="D29" i="41" s="1"/>
  <c r="C12" i="41"/>
  <c r="C29" i="41" s="1"/>
  <c r="B12" i="41"/>
  <c r="B29" i="41" s="1"/>
  <c r="Z17" i="21"/>
  <c r="Y17" i="21"/>
  <c r="X17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Z3" i="21"/>
  <c r="Z5" i="21" s="1"/>
  <c r="Y3" i="21"/>
  <c r="Y5" i="21" s="1"/>
  <c r="X3" i="21"/>
  <c r="X5" i="21" s="1"/>
  <c r="W3" i="21"/>
  <c r="W5" i="21" s="1"/>
  <c r="V3" i="21"/>
  <c r="V5" i="21" s="1"/>
  <c r="U3" i="21"/>
  <c r="U5" i="21" s="1"/>
  <c r="T3" i="21"/>
  <c r="T5" i="21" s="1"/>
  <c r="S3" i="21"/>
  <c r="S5" i="21" s="1"/>
  <c r="R3" i="21"/>
  <c r="R5" i="21" s="1"/>
  <c r="Q3" i="21"/>
  <c r="Q5" i="21" s="1"/>
  <c r="P3" i="21"/>
  <c r="P5" i="21" s="1"/>
  <c r="O3" i="21"/>
  <c r="O5" i="21" s="1"/>
  <c r="N3" i="21"/>
  <c r="N5" i="21" s="1"/>
  <c r="M3" i="21"/>
  <c r="M5" i="21" s="1"/>
  <c r="L3" i="21"/>
  <c r="L5" i="21" s="1"/>
  <c r="K3" i="21"/>
  <c r="K5" i="21" s="1"/>
  <c r="J3" i="21"/>
  <c r="J5" i="21" s="1"/>
  <c r="I3" i="21"/>
  <c r="I5" i="21" s="1"/>
  <c r="H3" i="21"/>
  <c r="H5" i="21" s="1"/>
  <c r="G3" i="21"/>
  <c r="G5" i="21" s="1"/>
  <c r="AC20" i="41"/>
  <c r="AB20" i="41"/>
  <c r="AA20" i="41"/>
  <c r="Z20" i="41"/>
  <c r="Y20" i="41"/>
  <c r="X20" i="41"/>
  <c r="W20" i="41"/>
  <c r="V20" i="41"/>
  <c r="U20" i="41"/>
  <c r="T20" i="41"/>
  <c r="S20" i="41"/>
  <c r="R20" i="41"/>
  <c r="Q20" i="41"/>
  <c r="N20" i="41"/>
  <c r="M20" i="41"/>
  <c r="L20" i="41"/>
  <c r="K20" i="41"/>
  <c r="J20" i="41"/>
  <c r="I20" i="41"/>
  <c r="H20" i="41"/>
  <c r="G20" i="41"/>
  <c r="F20" i="41"/>
  <c r="E20" i="41"/>
  <c r="D20" i="41"/>
  <c r="C20" i="41"/>
  <c r="B20" i="41"/>
  <c r="AB8" i="41"/>
  <c r="AB28" i="41" s="1"/>
  <c r="AA8" i="41"/>
  <c r="AA28" i="41" s="1"/>
  <c r="Z8" i="41"/>
  <c r="Z28" i="41" s="1"/>
  <c r="Y8" i="41"/>
  <c r="Y28" i="41" s="1"/>
  <c r="X8" i="41"/>
  <c r="W8" i="41"/>
  <c r="W28" i="41" s="1"/>
  <c r="V8" i="41"/>
  <c r="V28" i="41" s="1"/>
  <c r="U8" i="41"/>
  <c r="U28" i="41" s="1"/>
  <c r="T8" i="41"/>
  <c r="T28" i="41" s="1"/>
  <c r="S8" i="41"/>
  <c r="S28" i="41" s="1"/>
  <c r="R8" i="41"/>
  <c r="R28" i="41" s="1"/>
  <c r="Q8" i="41"/>
  <c r="Q28" i="41" s="1"/>
  <c r="M8" i="41"/>
  <c r="M28" i="41" s="1"/>
  <c r="L8" i="41"/>
  <c r="L28" i="41" s="1"/>
  <c r="K8" i="41"/>
  <c r="K28" i="41" s="1"/>
  <c r="J8" i="41"/>
  <c r="J28" i="41" s="1"/>
  <c r="I8" i="41"/>
  <c r="I28" i="41" s="1"/>
  <c r="H8" i="41"/>
  <c r="H28" i="41" s="1"/>
  <c r="G8" i="41"/>
  <c r="G28" i="41" s="1"/>
  <c r="F8" i="41"/>
  <c r="F28" i="41" s="1"/>
  <c r="E8" i="41"/>
  <c r="E28" i="41" s="1"/>
  <c r="D8" i="41"/>
  <c r="D28" i="41" s="1"/>
  <c r="C8" i="41"/>
  <c r="C28" i="41" s="1"/>
  <c r="B8" i="41"/>
  <c r="B28" i="41" s="1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Z3" i="20"/>
  <c r="Z6" i="20" s="1"/>
  <c r="Y3" i="20"/>
  <c r="Y6" i="20" s="1"/>
  <c r="X3" i="20"/>
  <c r="X6" i="20" s="1"/>
  <c r="W3" i="20"/>
  <c r="W6" i="20" s="1"/>
  <c r="V3" i="20"/>
  <c r="V6" i="20" s="1"/>
  <c r="U3" i="20"/>
  <c r="U6" i="20" s="1"/>
  <c r="T3" i="20"/>
  <c r="T6" i="20" s="1"/>
  <c r="S3" i="20"/>
  <c r="S6" i="20" s="1"/>
  <c r="R3" i="20"/>
  <c r="R6" i="20" s="1"/>
  <c r="Q3" i="20"/>
  <c r="Q6" i="20" s="1"/>
  <c r="P3" i="20"/>
  <c r="P6" i="20" s="1"/>
  <c r="O3" i="20"/>
  <c r="O6" i="20" s="1"/>
  <c r="N3" i="20"/>
  <c r="N6" i="20" s="1"/>
  <c r="M3" i="20"/>
  <c r="M6" i="20" s="1"/>
  <c r="L3" i="20"/>
  <c r="L6" i="20" s="1"/>
  <c r="K3" i="20"/>
  <c r="J3" i="20"/>
  <c r="I3" i="20"/>
  <c r="H3" i="20"/>
  <c r="G3" i="20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AC19" i="41"/>
  <c r="AB19" i="41"/>
  <c r="AA19" i="41"/>
  <c r="Z19" i="41"/>
  <c r="Y19" i="41"/>
  <c r="X19" i="41"/>
  <c r="W19" i="41"/>
  <c r="V19" i="41"/>
  <c r="U19" i="41"/>
  <c r="T19" i="41"/>
  <c r="S19" i="41"/>
  <c r="R19" i="41"/>
  <c r="Q19" i="41"/>
  <c r="N19" i="41"/>
  <c r="M19" i="41"/>
  <c r="L19" i="41"/>
  <c r="K19" i="41"/>
  <c r="J19" i="41"/>
  <c r="I19" i="41"/>
  <c r="H19" i="41"/>
  <c r="G19" i="41"/>
  <c r="F19" i="41"/>
  <c r="E19" i="41"/>
  <c r="D19" i="41"/>
  <c r="C19" i="41"/>
  <c r="B19" i="41"/>
  <c r="AB7" i="41"/>
  <c r="AB27" i="41" s="1"/>
  <c r="AA7" i="41"/>
  <c r="AA27" i="41" s="1"/>
  <c r="Z7" i="41"/>
  <c r="Z27" i="41" s="1"/>
  <c r="Y7" i="41"/>
  <c r="Y27" i="41" s="1"/>
  <c r="X7" i="41"/>
  <c r="W7" i="41"/>
  <c r="W27" i="41" s="1"/>
  <c r="V7" i="41"/>
  <c r="V27" i="41" s="1"/>
  <c r="U7" i="41"/>
  <c r="U27" i="41" s="1"/>
  <c r="T7" i="41"/>
  <c r="T27" i="41" s="1"/>
  <c r="S7" i="41"/>
  <c r="S27" i="41" s="1"/>
  <c r="R7" i="41"/>
  <c r="R27" i="41" s="1"/>
  <c r="Q7" i="41"/>
  <c r="Q27" i="41" s="1"/>
  <c r="M7" i="41"/>
  <c r="M27" i="41" s="1"/>
  <c r="L7" i="41"/>
  <c r="L27" i="41" s="1"/>
  <c r="K7" i="41"/>
  <c r="K27" i="41" s="1"/>
  <c r="J7" i="41"/>
  <c r="J27" i="41" s="1"/>
  <c r="I7" i="41"/>
  <c r="I27" i="41" s="1"/>
  <c r="H7" i="41"/>
  <c r="H27" i="41" s="1"/>
  <c r="G7" i="41"/>
  <c r="G27" i="41" s="1"/>
  <c r="F7" i="41"/>
  <c r="F27" i="41" s="1"/>
  <c r="E7" i="41"/>
  <c r="E27" i="41" s="1"/>
  <c r="D7" i="41"/>
  <c r="D27" i="41" s="1"/>
  <c r="C7" i="41"/>
  <c r="C27" i="41" s="1"/>
  <c r="B7" i="41"/>
  <c r="B27" i="41" s="1"/>
  <c r="AC18" i="41"/>
  <c r="AB18" i="41"/>
  <c r="AA18" i="41"/>
  <c r="Z18" i="41"/>
  <c r="Y18" i="41"/>
  <c r="X18" i="41"/>
  <c r="W18" i="41"/>
  <c r="V18" i="41"/>
  <c r="U18" i="41"/>
  <c r="T18" i="41"/>
  <c r="S18" i="41"/>
  <c r="R18" i="41"/>
  <c r="Q18" i="41"/>
  <c r="N18" i="41"/>
  <c r="M18" i="41"/>
  <c r="L18" i="41"/>
  <c r="K18" i="41"/>
  <c r="J18" i="41"/>
  <c r="I18" i="41"/>
  <c r="H18" i="41"/>
  <c r="G18" i="41"/>
  <c r="F18" i="41"/>
  <c r="E18" i="41"/>
  <c r="D18" i="41"/>
  <c r="C18" i="41"/>
  <c r="B18" i="41"/>
  <c r="AB6" i="41"/>
  <c r="AB26" i="41" s="1"/>
  <c r="AA6" i="41"/>
  <c r="AA26" i="41" s="1"/>
  <c r="Z6" i="41"/>
  <c r="Z26" i="41" s="1"/>
  <c r="Y6" i="41"/>
  <c r="Y26" i="41" s="1"/>
  <c r="X6" i="41"/>
  <c r="W6" i="41"/>
  <c r="W26" i="41" s="1"/>
  <c r="V6" i="41"/>
  <c r="V26" i="41" s="1"/>
  <c r="U6" i="41"/>
  <c r="U26" i="41" s="1"/>
  <c r="T6" i="41"/>
  <c r="T26" i="41" s="1"/>
  <c r="S6" i="41"/>
  <c r="S26" i="41" s="1"/>
  <c r="R6" i="41"/>
  <c r="R26" i="41" s="1"/>
  <c r="Q6" i="41"/>
  <c r="Q26" i="41" s="1"/>
  <c r="M6" i="41"/>
  <c r="M26" i="41" s="1"/>
  <c r="L6" i="41"/>
  <c r="L26" i="41" s="1"/>
  <c r="K6" i="41"/>
  <c r="K26" i="41" s="1"/>
  <c r="J6" i="41"/>
  <c r="J26" i="41" s="1"/>
  <c r="I6" i="41"/>
  <c r="I26" i="41" s="1"/>
  <c r="H6" i="41"/>
  <c r="H26" i="41" s="1"/>
  <c r="G6" i="41"/>
  <c r="G26" i="41" s="1"/>
  <c r="F6" i="41"/>
  <c r="F26" i="41" s="1"/>
  <c r="E6" i="41"/>
  <c r="E26" i="41" s="1"/>
  <c r="D6" i="41"/>
  <c r="D26" i="41" s="1"/>
  <c r="C6" i="41"/>
  <c r="C26" i="41" s="1"/>
  <c r="B6" i="41"/>
  <c r="B26" i="41" s="1"/>
  <c r="N21" i="19"/>
  <c r="M21" i="19"/>
  <c r="L21" i="19"/>
  <c r="K21" i="19"/>
  <c r="J21" i="19"/>
  <c r="I21" i="19"/>
  <c r="H20" i="19"/>
  <c r="G20" i="19"/>
  <c r="N19" i="19"/>
  <c r="M19" i="19"/>
  <c r="L19" i="19"/>
  <c r="K19" i="19"/>
  <c r="J19" i="19"/>
  <c r="I19" i="19"/>
  <c r="H18" i="19"/>
  <c r="G18" i="19"/>
  <c r="N17" i="19"/>
  <c r="M17" i="19"/>
  <c r="L17" i="19"/>
  <c r="K17" i="19"/>
  <c r="J17" i="19"/>
  <c r="I17" i="19"/>
  <c r="H16" i="19"/>
  <c r="G16" i="19"/>
  <c r="N14" i="19"/>
  <c r="N16" i="19" s="1"/>
  <c r="M14" i="19"/>
  <c r="M20" i="19" s="1"/>
  <c r="L14" i="19"/>
  <c r="L20" i="19" s="1"/>
  <c r="K14" i="19"/>
  <c r="K18" i="19" s="1"/>
  <c r="J14" i="19"/>
  <c r="J16" i="19" s="1"/>
  <c r="I14" i="19"/>
  <c r="I16" i="19" s="1"/>
  <c r="H14" i="19"/>
  <c r="G14" i="19"/>
  <c r="AC17" i="41"/>
  <c r="AB17" i="41"/>
  <c r="AA17" i="41"/>
  <c r="Z17" i="41"/>
  <c r="Y17" i="41"/>
  <c r="X17" i="41"/>
  <c r="W17" i="41"/>
  <c r="V17" i="41"/>
  <c r="U17" i="41"/>
  <c r="T17" i="41"/>
  <c r="S17" i="41"/>
  <c r="R17" i="41"/>
  <c r="Q17" i="41"/>
  <c r="N17" i="41"/>
  <c r="M17" i="41"/>
  <c r="L17" i="41"/>
  <c r="K17" i="41"/>
  <c r="J17" i="41"/>
  <c r="I17" i="41"/>
  <c r="H17" i="41"/>
  <c r="G17" i="41"/>
  <c r="F17" i="41"/>
  <c r="E17" i="41"/>
  <c r="D17" i="41"/>
  <c r="C17" i="41"/>
  <c r="B17" i="41"/>
  <c r="AB5" i="41"/>
  <c r="AB25" i="41" s="1"/>
  <c r="AA5" i="41"/>
  <c r="AA25" i="41" s="1"/>
  <c r="Z5" i="41"/>
  <c r="Z25" i="41" s="1"/>
  <c r="Y5" i="41"/>
  <c r="Y25" i="41" s="1"/>
  <c r="X5" i="41"/>
  <c r="W5" i="41"/>
  <c r="W25" i="41" s="1"/>
  <c r="V5" i="41"/>
  <c r="V25" i="41" s="1"/>
  <c r="U5" i="41"/>
  <c r="U25" i="41" s="1"/>
  <c r="T5" i="41"/>
  <c r="T25" i="41" s="1"/>
  <c r="S5" i="41"/>
  <c r="S25" i="41" s="1"/>
  <c r="R5" i="41"/>
  <c r="R25" i="41" s="1"/>
  <c r="Q5" i="41"/>
  <c r="Q25" i="41" s="1"/>
  <c r="M5" i="41"/>
  <c r="M25" i="41" s="1"/>
  <c r="L5" i="41"/>
  <c r="L25" i="41" s="1"/>
  <c r="K5" i="41"/>
  <c r="K25" i="41" s="1"/>
  <c r="J5" i="41"/>
  <c r="J25" i="41" s="1"/>
  <c r="I5" i="41"/>
  <c r="I25" i="41" s="1"/>
  <c r="H5" i="41"/>
  <c r="H25" i="41" s="1"/>
  <c r="G5" i="41"/>
  <c r="G25" i="41" s="1"/>
  <c r="F5" i="41"/>
  <c r="F25" i="41" s="1"/>
  <c r="E5" i="41"/>
  <c r="E25" i="41" s="1"/>
  <c r="D5" i="41"/>
  <c r="D25" i="41" s="1"/>
  <c r="C5" i="41"/>
  <c r="C25" i="41" s="1"/>
  <c r="B5" i="41"/>
  <c r="B25" i="41" s="1"/>
  <c r="H12" i="19"/>
  <c r="G12" i="19"/>
  <c r="Z4" i="19"/>
  <c r="Z12" i="19" s="1"/>
  <c r="Y4" i="19"/>
  <c r="Y12" i="19" s="1"/>
  <c r="X4" i="19"/>
  <c r="W4" i="19"/>
  <c r="W13" i="19" s="1"/>
  <c r="V4" i="19"/>
  <c r="V13" i="19" s="1"/>
  <c r="U4" i="19"/>
  <c r="U13" i="19" s="1"/>
  <c r="T4" i="19"/>
  <c r="T13" i="19" s="1"/>
  <c r="S4" i="19"/>
  <c r="S12" i="19" s="1"/>
  <c r="R4" i="19"/>
  <c r="R12" i="19" s="1"/>
  <c r="Q4" i="19"/>
  <c r="Q12" i="19" s="1"/>
  <c r="P4" i="19"/>
  <c r="P13" i="19" s="1"/>
  <c r="O4" i="19"/>
  <c r="O13" i="19" s="1"/>
  <c r="N4" i="19"/>
  <c r="N13" i="19" s="1"/>
  <c r="M4" i="19"/>
  <c r="M13" i="19" s="1"/>
  <c r="L4" i="19"/>
  <c r="L13" i="19" s="1"/>
  <c r="K4" i="19"/>
  <c r="K12" i="19" s="1"/>
  <c r="J4" i="19"/>
  <c r="J12" i="19" s="1"/>
  <c r="I4" i="19"/>
  <c r="I12" i="19" s="1"/>
  <c r="H4" i="19"/>
  <c r="G4" i="19"/>
  <c r="Z3" i="19"/>
  <c r="Y3" i="19"/>
  <c r="X3" i="19"/>
  <c r="X7" i="19" s="1"/>
  <c r="W3" i="19"/>
  <c r="V3" i="19"/>
  <c r="U3" i="19"/>
  <c r="T3" i="19"/>
  <c r="S3" i="19"/>
  <c r="R3" i="19"/>
  <c r="Q3" i="19"/>
  <c r="P3" i="19"/>
  <c r="P7" i="19" s="1"/>
  <c r="O3" i="19"/>
  <c r="N3" i="19"/>
  <c r="M3" i="19"/>
  <c r="L3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H2" i="19"/>
  <c r="G2" i="19"/>
  <c r="AC16" i="41"/>
  <c r="AB16" i="41"/>
  <c r="AA16" i="41"/>
  <c r="Z16" i="41"/>
  <c r="Y16" i="41"/>
  <c r="X16" i="41"/>
  <c r="W16" i="41"/>
  <c r="V16" i="41"/>
  <c r="U16" i="41"/>
  <c r="T16" i="41"/>
  <c r="S16" i="41"/>
  <c r="R16" i="41"/>
  <c r="Q16" i="41"/>
  <c r="N16" i="41"/>
  <c r="M16" i="41"/>
  <c r="L16" i="41"/>
  <c r="K16" i="41"/>
  <c r="J16" i="41"/>
  <c r="I16" i="41"/>
  <c r="H16" i="41"/>
  <c r="G16" i="41"/>
  <c r="F16" i="41"/>
  <c r="E16" i="41"/>
  <c r="D16" i="41"/>
  <c r="C16" i="41"/>
  <c r="B16" i="41"/>
  <c r="AB4" i="41"/>
  <c r="AB24" i="41" s="1"/>
  <c r="AA4" i="41"/>
  <c r="AA24" i="41" s="1"/>
  <c r="Z4" i="41"/>
  <c r="Z24" i="41" s="1"/>
  <c r="Y4" i="41"/>
  <c r="Y24" i="41" s="1"/>
  <c r="X4" i="41"/>
  <c r="W4" i="41"/>
  <c r="W24" i="41" s="1"/>
  <c r="V4" i="41"/>
  <c r="V24" i="41" s="1"/>
  <c r="U4" i="41"/>
  <c r="U24" i="41" s="1"/>
  <c r="T4" i="41"/>
  <c r="T24" i="41" s="1"/>
  <c r="S4" i="41"/>
  <c r="S24" i="41" s="1"/>
  <c r="R4" i="41"/>
  <c r="R24" i="41" s="1"/>
  <c r="Q4" i="41"/>
  <c r="Q24" i="41" s="1"/>
  <c r="M4" i="41"/>
  <c r="M24" i="41" s="1"/>
  <c r="L4" i="41"/>
  <c r="L24" i="41" s="1"/>
  <c r="K4" i="41"/>
  <c r="K24" i="41" s="1"/>
  <c r="J4" i="41"/>
  <c r="J24" i="41" s="1"/>
  <c r="I4" i="41"/>
  <c r="I24" i="41" s="1"/>
  <c r="H4" i="41"/>
  <c r="H24" i="41" s="1"/>
  <c r="G4" i="41"/>
  <c r="G24" i="41" s="1"/>
  <c r="F4" i="41"/>
  <c r="F24" i="41" s="1"/>
  <c r="E4" i="41"/>
  <c r="E24" i="41" s="1"/>
  <c r="D4" i="41"/>
  <c r="D24" i="41" s="1"/>
  <c r="C4" i="41"/>
  <c r="C24" i="41" s="1"/>
  <c r="B4" i="41"/>
  <c r="B24" i="41" s="1"/>
  <c r="J37" i="19" l="1"/>
  <c r="AF19" i="60"/>
  <c r="X28" i="41"/>
  <c r="X24" i="41"/>
  <c r="X25" i="41"/>
  <c r="X29" i="41"/>
  <c r="X27" i="41"/>
  <c r="X26" i="41"/>
  <c r="K37" i="19"/>
  <c r="V41" i="19"/>
  <c r="O6" i="19"/>
  <c r="W6" i="19"/>
  <c r="S6" i="19"/>
  <c r="L6" i="19"/>
  <c r="O36" i="19"/>
  <c r="W36" i="19"/>
  <c r="AF21" i="58"/>
  <c r="AF18" i="60"/>
  <c r="AF20" i="60"/>
  <c r="AF19" i="58"/>
  <c r="AF20" i="58"/>
  <c r="AF17" i="60"/>
  <c r="AF19" i="59"/>
  <c r="AD22" i="60"/>
  <c r="AE22" i="60"/>
  <c r="AF21" i="60"/>
  <c r="AF16" i="58"/>
  <c r="AF20" i="59"/>
  <c r="AF16" i="60"/>
  <c r="AF17" i="59"/>
  <c r="AE22" i="59"/>
  <c r="AF18" i="59"/>
  <c r="AF21" i="59"/>
  <c r="AD22" i="59"/>
  <c r="AE22" i="58"/>
  <c r="AF17" i="58"/>
  <c r="AF18" i="58"/>
  <c r="AF16" i="59"/>
  <c r="AD22" i="58"/>
  <c r="AF15" i="54"/>
  <c r="AF16" i="54"/>
  <c r="T18" i="54"/>
  <c r="AF14" i="54"/>
  <c r="AD17" i="54"/>
  <c r="AD21" i="54" s="1"/>
  <c r="AF19" i="54"/>
  <c r="X14" i="54"/>
  <c r="C14" i="54" s="1"/>
  <c r="X16" i="54"/>
  <c r="X18" i="54"/>
  <c r="C18" i="54" s="1"/>
  <c r="AF18" i="54"/>
  <c r="AF13" i="54"/>
  <c r="T14" i="54"/>
  <c r="T16" i="54"/>
  <c r="AF19" i="51"/>
  <c r="AE22" i="50"/>
  <c r="AF13" i="51"/>
  <c r="AF15" i="51"/>
  <c r="AF18" i="51"/>
  <c r="AF16" i="50"/>
  <c r="AF17" i="50"/>
  <c r="AF18" i="50"/>
  <c r="AF19" i="50"/>
  <c r="AF20" i="50"/>
  <c r="AF21" i="50"/>
  <c r="AD17" i="51"/>
  <c r="AD21" i="51" s="1"/>
  <c r="AF14" i="51"/>
  <c r="AF16" i="51"/>
  <c r="J23" i="50"/>
  <c r="K23" i="50" s="1"/>
  <c r="I23" i="50"/>
  <c r="AD22" i="50"/>
  <c r="I29" i="48"/>
  <c r="I14" i="48"/>
  <c r="J14" i="48"/>
  <c r="K14" i="48" s="1"/>
  <c r="J6" i="48"/>
  <c r="K6" i="48" s="1"/>
  <c r="I6" i="48"/>
  <c r="I31" i="48"/>
  <c r="J19" i="47"/>
  <c r="K19" i="47" s="1"/>
  <c r="I19" i="47"/>
  <c r="J24" i="47"/>
  <c r="K24" i="47" s="1"/>
  <c r="I24" i="47"/>
  <c r="S37" i="19"/>
  <c r="Q41" i="19"/>
  <c r="Y40" i="19"/>
  <c r="R40" i="19"/>
  <c r="Z40" i="19"/>
  <c r="Q40" i="19"/>
  <c r="U34" i="19"/>
  <c r="Y41" i="19"/>
  <c r="M41" i="19"/>
  <c r="V37" i="19"/>
  <c r="N11" i="19"/>
  <c r="Z6" i="19"/>
  <c r="T34" i="19"/>
  <c r="T35" i="19"/>
  <c r="X37" i="19"/>
  <c r="V11" i="19"/>
  <c r="L12" i="19"/>
  <c r="H36" i="19"/>
  <c r="K3" i="19"/>
  <c r="K41" i="19" s="1"/>
  <c r="L8" i="19"/>
  <c r="T8" i="19"/>
  <c r="V34" i="19"/>
  <c r="U37" i="19"/>
  <c r="P34" i="19"/>
  <c r="X34" i="19"/>
  <c r="T40" i="19"/>
  <c r="O35" i="19"/>
  <c r="W35" i="19"/>
  <c r="U41" i="19"/>
  <c r="Q36" i="19"/>
  <c r="Y36" i="19"/>
  <c r="P35" i="19"/>
  <c r="X35" i="19"/>
  <c r="R36" i="19"/>
  <c r="Z36" i="19"/>
  <c r="Q35" i="19"/>
  <c r="Y35" i="19"/>
  <c r="S34" i="19"/>
  <c r="W34" i="19"/>
  <c r="R35" i="19"/>
  <c r="Z35" i="19"/>
  <c r="N41" i="19"/>
  <c r="T12" i="19"/>
  <c r="I37" i="19"/>
  <c r="L18" i="19"/>
  <c r="H34" i="19"/>
  <c r="G40" i="19"/>
  <c r="G6" i="19"/>
  <c r="I13" i="19"/>
  <c r="N20" i="19"/>
  <c r="H40" i="19"/>
  <c r="J13" i="19"/>
  <c r="I2" i="19"/>
  <c r="I10" i="19" s="1"/>
  <c r="I3" i="19"/>
  <c r="I41" i="19" s="1"/>
  <c r="G8" i="19"/>
  <c r="Q13" i="19"/>
  <c r="L37" i="19"/>
  <c r="L11" i="19"/>
  <c r="T11" i="19"/>
  <c r="J3" i="19"/>
  <c r="J41" i="19" s="1"/>
  <c r="R10" i="19"/>
  <c r="Z10" i="19"/>
  <c r="R6" i="19"/>
  <c r="G10" i="19"/>
  <c r="R13" i="19"/>
  <c r="M37" i="19"/>
  <c r="P41" i="19"/>
  <c r="M11" i="19"/>
  <c r="U11" i="19"/>
  <c r="S10" i="19"/>
  <c r="Y13" i="19"/>
  <c r="N37" i="19"/>
  <c r="X11" i="19"/>
  <c r="T6" i="19"/>
  <c r="Z13" i="19"/>
  <c r="G36" i="19"/>
  <c r="O34" i="19"/>
  <c r="S36" i="19"/>
  <c r="S35" i="19"/>
  <c r="O37" i="19"/>
  <c r="W37" i="19"/>
  <c r="T36" i="19"/>
  <c r="X41" i="19"/>
  <c r="Q34" i="19"/>
  <c r="Y34" i="19"/>
  <c r="U36" i="19"/>
  <c r="U35" i="19"/>
  <c r="Q37" i="19"/>
  <c r="Y37" i="19"/>
  <c r="R34" i="19"/>
  <c r="Z34" i="19"/>
  <c r="V36" i="19"/>
  <c r="V35" i="19"/>
  <c r="R37" i="19"/>
  <c r="Z37" i="19"/>
  <c r="P40" i="19"/>
  <c r="X40" i="19"/>
  <c r="P39" i="19"/>
  <c r="O41" i="19"/>
  <c r="W41" i="19"/>
  <c r="X39" i="19"/>
  <c r="P36" i="19"/>
  <c r="X36" i="19"/>
  <c r="T37" i="19"/>
  <c r="P37" i="19"/>
  <c r="O40" i="19"/>
  <c r="W40" i="19"/>
  <c r="T38" i="19"/>
  <c r="S40" i="19"/>
  <c r="M6" i="19"/>
  <c r="U6" i="19"/>
  <c r="Q7" i="19"/>
  <c r="Y7" i="19"/>
  <c r="M8" i="19"/>
  <c r="U8" i="19"/>
  <c r="Q9" i="19"/>
  <c r="Y9" i="19"/>
  <c r="M10" i="19"/>
  <c r="U10" i="19"/>
  <c r="Q11" i="19"/>
  <c r="Y11" i="19"/>
  <c r="M12" i="19"/>
  <c r="U12" i="19"/>
  <c r="K13" i="19"/>
  <c r="S13" i="19"/>
  <c r="K16" i="19"/>
  <c r="M18" i="19"/>
  <c r="I35" i="19"/>
  <c r="U38" i="19"/>
  <c r="Q39" i="19"/>
  <c r="Y39" i="19"/>
  <c r="U40" i="19"/>
  <c r="N6" i="19"/>
  <c r="V6" i="19"/>
  <c r="R7" i="19"/>
  <c r="Z7" i="19"/>
  <c r="N8" i="19"/>
  <c r="V8" i="19"/>
  <c r="R9" i="19"/>
  <c r="Z9" i="19"/>
  <c r="N10" i="19"/>
  <c r="V10" i="19"/>
  <c r="R11" i="19"/>
  <c r="Z11" i="19"/>
  <c r="N12" i="19"/>
  <c r="V12" i="19"/>
  <c r="L16" i="19"/>
  <c r="N18" i="19"/>
  <c r="J35" i="19"/>
  <c r="V38" i="19"/>
  <c r="R39" i="19"/>
  <c r="Z39" i="19"/>
  <c r="V40" i="19"/>
  <c r="R41" i="19"/>
  <c r="Z41" i="19"/>
  <c r="X9" i="19"/>
  <c r="S7" i="19"/>
  <c r="O8" i="19"/>
  <c r="W8" i="19"/>
  <c r="S9" i="19"/>
  <c r="O10" i="19"/>
  <c r="W10" i="19"/>
  <c r="S11" i="19"/>
  <c r="O12" i="19"/>
  <c r="W12" i="19"/>
  <c r="M16" i="19"/>
  <c r="I20" i="19"/>
  <c r="K35" i="19"/>
  <c r="G38" i="19"/>
  <c r="O38" i="19"/>
  <c r="W38" i="19"/>
  <c r="S39" i="19"/>
  <c r="S41" i="19"/>
  <c r="J2" i="19"/>
  <c r="H6" i="19"/>
  <c r="P6" i="19"/>
  <c r="X6" i="19"/>
  <c r="L7" i="19"/>
  <c r="T7" i="19"/>
  <c r="H8" i="19"/>
  <c r="P8" i="19"/>
  <c r="X8" i="19"/>
  <c r="L9" i="19"/>
  <c r="T9" i="19"/>
  <c r="H10" i="19"/>
  <c r="P10" i="19"/>
  <c r="X10" i="19"/>
  <c r="P12" i="19"/>
  <c r="X12" i="19"/>
  <c r="J20" i="19"/>
  <c r="L35" i="19"/>
  <c r="H38" i="19"/>
  <c r="P38" i="19"/>
  <c r="X38" i="19"/>
  <c r="L39" i="19"/>
  <c r="T39" i="19"/>
  <c r="L41" i="19"/>
  <c r="T41" i="19"/>
  <c r="L10" i="19"/>
  <c r="P11" i="19"/>
  <c r="K2" i="19"/>
  <c r="Q6" i="19"/>
  <c r="Y6" i="19"/>
  <c r="M7" i="19"/>
  <c r="U7" i="19"/>
  <c r="Q8" i="19"/>
  <c r="Y8" i="19"/>
  <c r="M9" i="19"/>
  <c r="U9" i="19"/>
  <c r="Q10" i="19"/>
  <c r="Y10" i="19"/>
  <c r="I18" i="19"/>
  <c r="K20" i="19"/>
  <c r="M35" i="19"/>
  <c r="Q38" i="19"/>
  <c r="Y38" i="19"/>
  <c r="M39" i="19"/>
  <c r="U39" i="19"/>
  <c r="P9" i="19"/>
  <c r="T10" i="19"/>
  <c r="N7" i="19"/>
  <c r="V7" i="19"/>
  <c r="R8" i="19"/>
  <c r="Z8" i="19"/>
  <c r="N9" i="19"/>
  <c r="V9" i="19"/>
  <c r="X13" i="19"/>
  <c r="J18" i="19"/>
  <c r="N35" i="19"/>
  <c r="R38" i="19"/>
  <c r="Z38" i="19"/>
  <c r="N39" i="19"/>
  <c r="V39" i="19"/>
  <c r="O7" i="19"/>
  <c r="W7" i="19"/>
  <c r="S8" i="19"/>
  <c r="O9" i="19"/>
  <c r="W9" i="19"/>
  <c r="O11" i="19"/>
  <c r="W11" i="19"/>
  <c r="G34" i="19"/>
  <c r="S38" i="19"/>
  <c r="O39" i="19"/>
  <c r="W39" i="19"/>
  <c r="K9" i="19" l="1"/>
  <c r="K39" i="19"/>
  <c r="K11" i="19"/>
  <c r="K7" i="19"/>
  <c r="I6" i="19"/>
  <c r="J34" i="19"/>
  <c r="I36" i="19"/>
  <c r="B18" i="54"/>
  <c r="B14" i="54"/>
  <c r="AF22" i="58"/>
  <c r="AF22" i="60"/>
  <c r="AF22" i="59"/>
  <c r="I27" i="58"/>
  <c r="J9" i="58"/>
  <c r="K9" i="58" s="1"/>
  <c r="J8" i="58"/>
  <c r="K8" i="58" s="1"/>
  <c r="I8" i="58"/>
  <c r="J7" i="58"/>
  <c r="K7" i="58" s="1"/>
  <c r="I7" i="58"/>
  <c r="J17" i="58"/>
  <c r="K17" i="58" s="1"/>
  <c r="I17" i="58"/>
  <c r="I21" i="58"/>
  <c r="J21" i="58"/>
  <c r="K21" i="58" s="1"/>
  <c r="J6" i="58"/>
  <c r="K6" i="58" s="1"/>
  <c r="I6" i="58"/>
  <c r="J13" i="58"/>
  <c r="K13" i="58" s="1"/>
  <c r="I13" i="58"/>
  <c r="J11" i="58"/>
  <c r="K11" i="58" s="1"/>
  <c r="I11" i="58"/>
  <c r="I20" i="58"/>
  <c r="J20" i="58"/>
  <c r="K20" i="58" s="1"/>
  <c r="J10" i="58"/>
  <c r="K10" i="58" s="1"/>
  <c r="I10" i="58"/>
  <c r="J26" i="58"/>
  <c r="K26" i="58" s="1"/>
  <c r="I26" i="58"/>
  <c r="I18" i="58"/>
  <c r="J18" i="58"/>
  <c r="K18" i="58" s="1"/>
  <c r="J28" i="58"/>
  <c r="K28" i="58" s="1"/>
  <c r="J19" i="58"/>
  <c r="K19" i="58" s="1"/>
  <c r="I19" i="58"/>
  <c r="AF17" i="54"/>
  <c r="AF21" i="54" s="1"/>
  <c r="J7" i="19"/>
  <c r="AF17" i="51"/>
  <c r="AF21" i="51" s="1"/>
  <c r="AF22" i="50"/>
  <c r="J19" i="50"/>
  <c r="K19" i="50" s="1"/>
  <c r="I19" i="50"/>
  <c r="J21" i="50"/>
  <c r="K21" i="50" s="1"/>
  <c r="I21" i="50"/>
  <c r="J20" i="50"/>
  <c r="K20" i="50" s="1"/>
  <c r="I20" i="50"/>
  <c r="J17" i="50"/>
  <c r="K17" i="50" s="1"/>
  <c r="I17" i="50"/>
  <c r="J18" i="50"/>
  <c r="K18" i="50" s="1"/>
  <c r="I18" i="50"/>
  <c r="J8" i="48"/>
  <c r="K8" i="48" s="1"/>
  <c r="I8" i="48"/>
  <c r="J7" i="48"/>
  <c r="K7" i="48" s="1"/>
  <c r="I7" i="48"/>
  <c r="I9" i="48" s="1"/>
  <c r="J14" i="47"/>
  <c r="K14" i="47" s="1"/>
  <c r="I14" i="47"/>
  <c r="J7" i="47"/>
  <c r="K7" i="47" s="1"/>
  <c r="J18" i="47"/>
  <c r="K18" i="47" s="1"/>
  <c r="I18" i="47"/>
  <c r="J6" i="47"/>
  <c r="K6" i="47" s="1"/>
  <c r="I6" i="47"/>
  <c r="J17" i="47"/>
  <c r="K17" i="47" s="1"/>
  <c r="I17" i="47"/>
  <c r="J9" i="47"/>
  <c r="K9" i="47" s="1"/>
  <c r="I8" i="19"/>
  <c r="N40" i="19"/>
  <c r="I11" i="19"/>
  <c r="J9" i="19"/>
  <c r="I7" i="19"/>
  <c r="J39" i="19"/>
  <c r="J11" i="19"/>
  <c r="I39" i="19"/>
  <c r="I9" i="19"/>
  <c r="I34" i="19"/>
  <c r="M36" i="19"/>
  <c r="M34" i="19"/>
  <c r="L38" i="19"/>
  <c r="L36" i="19"/>
  <c r="L34" i="19"/>
  <c r="L40" i="19"/>
  <c r="M38" i="19"/>
  <c r="N34" i="19"/>
  <c r="N36" i="19"/>
  <c r="I38" i="19"/>
  <c r="K40" i="19"/>
  <c r="K38" i="19"/>
  <c r="K10" i="19"/>
  <c r="K8" i="19"/>
  <c r="K6" i="19"/>
  <c r="M40" i="19"/>
  <c r="I40" i="19"/>
  <c r="J36" i="19"/>
  <c r="J40" i="19"/>
  <c r="J38" i="19"/>
  <c r="J10" i="19"/>
  <c r="J8" i="19"/>
  <c r="J6" i="19"/>
  <c r="N38" i="19"/>
  <c r="K36" i="19"/>
  <c r="K34" i="19"/>
  <c r="D14" i="54" l="1"/>
  <c r="E14" i="54" s="1"/>
  <c r="D18" i="54"/>
  <c r="E18" i="54" s="1"/>
  <c r="J14" i="54"/>
  <c r="K14" i="54" s="1"/>
  <c r="I14" i="54"/>
  <c r="J18" i="54"/>
  <c r="K18" i="54" s="1"/>
  <c r="I18" i="54"/>
  <c r="I9" i="58"/>
  <c r="J12" i="58"/>
  <c r="K12" i="58" s="1"/>
  <c r="I16" i="58"/>
  <c r="J16" i="58"/>
  <c r="K16" i="58" s="1"/>
  <c r="J15" i="50"/>
  <c r="K15" i="50" s="1"/>
  <c r="I15" i="50"/>
  <c r="J8" i="50"/>
  <c r="K8" i="50" s="1"/>
  <c r="I8" i="50"/>
  <c r="J10" i="50"/>
  <c r="K10" i="50" s="1"/>
  <c r="I10" i="50"/>
  <c r="J13" i="50"/>
  <c r="K13" i="50" s="1"/>
  <c r="I13" i="50"/>
  <c r="I27" i="50"/>
  <c r="J27" i="50"/>
  <c r="K27" i="50" s="1"/>
  <c r="J11" i="50"/>
  <c r="K11" i="50" s="1"/>
  <c r="I11" i="50"/>
  <c r="J7" i="50"/>
  <c r="K7" i="50" s="1"/>
  <c r="I7" i="50"/>
  <c r="J9" i="50"/>
  <c r="K9" i="50" s="1"/>
  <c r="I9" i="50"/>
  <c r="J16" i="50"/>
  <c r="K16" i="50" s="1"/>
  <c r="I16" i="50"/>
  <c r="J6" i="50"/>
  <c r="K6" i="50" s="1"/>
  <c r="I6" i="50"/>
  <c r="J9" i="48"/>
  <c r="K9" i="48" s="1"/>
  <c r="J11" i="48"/>
  <c r="K11" i="48" s="1"/>
  <c r="I11" i="48"/>
  <c r="I13" i="48"/>
  <c r="J13" i="48"/>
  <c r="K13" i="48" s="1"/>
  <c r="J21" i="48"/>
  <c r="K21" i="48" s="1"/>
  <c r="I21" i="48"/>
  <c r="J13" i="47"/>
  <c r="K13" i="47" s="1"/>
  <c r="I13" i="47"/>
  <c r="I15" i="47" s="1"/>
  <c r="J10" i="47"/>
  <c r="K10" i="47" s="1"/>
  <c r="I10" i="47"/>
  <c r="J8" i="47"/>
  <c r="K8" i="47" s="1"/>
  <c r="I8" i="47"/>
  <c r="J16" i="47"/>
  <c r="K16" i="47" s="1"/>
  <c r="I16" i="47"/>
  <c r="I20" i="47" s="1"/>
  <c r="J20" i="47"/>
  <c r="K20" i="47" s="1"/>
  <c r="P43" i="1"/>
  <c r="N43" i="1" s="1"/>
  <c r="P1901" i="1"/>
  <c r="N1901" i="1" s="1"/>
  <c r="K4345" i="1"/>
  <c r="K4722" i="1"/>
  <c r="K4884" i="1"/>
  <c r="K4888" i="1"/>
  <c r="K1605" i="1"/>
  <c r="K43" i="1"/>
  <c r="K1901" i="1"/>
  <c r="K2411" i="1"/>
  <c r="K2165" i="1"/>
  <c r="J43" i="1"/>
  <c r="R43" i="1" s="1"/>
  <c r="Q43" i="1"/>
  <c r="Q2411" i="1"/>
  <c r="P2411" i="1"/>
  <c r="N2411" i="1" s="1"/>
  <c r="J2411" i="1"/>
  <c r="R2411" i="1" s="1"/>
  <c r="Q1901" i="1"/>
  <c r="J1901" i="1"/>
  <c r="R1901" i="1" s="1"/>
  <c r="Q2165" i="1"/>
  <c r="P2165" i="1"/>
  <c r="N2165" i="1" s="1"/>
  <c r="J2165" i="1"/>
  <c r="R2165" i="1" s="1"/>
  <c r="I12" i="58" l="1"/>
  <c r="I22" i="58"/>
  <c r="J22" i="58"/>
  <c r="K22" i="58" s="1"/>
  <c r="J14" i="50"/>
  <c r="K14" i="50" s="1"/>
  <c r="I14" i="50"/>
  <c r="J28" i="50"/>
  <c r="K28" i="50" s="1"/>
  <c r="I28" i="50"/>
  <c r="J24" i="50"/>
  <c r="K24" i="50" s="1"/>
  <c r="I24" i="50"/>
  <c r="J12" i="50"/>
  <c r="K12" i="50" s="1"/>
  <c r="I12" i="50"/>
  <c r="J26" i="50"/>
  <c r="K26" i="50" s="1"/>
  <c r="I26" i="50"/>
  <c r="J30" i="50"/>
  <c r="K30" i="50" s="1"/>
  <c r="I30" i="50"/>
  <c r="J22" i="50"/>
  <c r="K22" i="50" s="1"/>
  <c r="I22" i="50"/>
  <c r="J12" i="48"/>
  <c r="K12" i="48" s="1"/>
  <c r="I12" i="48"/>
  <c r="J20" i="48"/>
  <c r="K20" i="48" s="1"/>
  <c r="I20" i="48"/>
  <c r="J24" i="48"/>
  <c r="K24" i="48" s="1"/>
  <c r="J22" i="48"/>
  <c r="K22" i="48" s="1"/>
  <c r="I22" i="48"/>
  <c r="J18" i="48"/>
  <c r="K18" i="48" s="1"/>
  <c r="I18" i="48"/>
  <c r="J23" i="48"/>
  <c r="K23" i="48" s="1"/>
  <c r="I23" i="48"/>
  <c r="I17" i="48"/>
  <c r="J17" i="48"/>
  <c r="K17" i="48" s="1"/>
  <c r="I21" i="47"/>
  <c r="J21" i="47"/>
  <c r="K21" i="47" s="1"/>
  <c r="J11" i="47"/>
  <c r="I11" i="47"/>
  <c r="C38" i="40"/>
  <c r="C38" i="39"/>
  <c r="C38" i="38"/>
  <c r="C38" i="36"/>
  <c r="C38" i="34"/>
  <c r="C38" i="33"/>
  <c r="C38" i="32"/>
  <c r="C38" i="31"/>
  <c r="C38" i="30" l="1"/>
  <c r="C38" i="35"/>
  <c r="J25" i="50"/>
  <c r="K25" i="50" s="1"/>
  <c r="I25" i="50"/>
  <c r="I19" i="48"/>
  <c r="I24" i="48"/>
  <c r="I15" i="48"/>
  <c r="J15" i="48"/>
  <c r="K15" i="48" s="1"/>
  <c r="I22" i="47"/>
  <c r="J12" i="47"/>
  <c r="K12" i="47" s="1"/>
  <c r="I12" i="47"/>
  <c r="J22" i="47"/>
  <c r="K22" i="47" s="1"/>
  <c r="K11" i="47"/>
  <c r="W48" i="31"/>
  <c r="H17" i="7"/>
  <c r="I25" i="47" l="1"/>
  <c r="J29" i="50"/>
  <c r="K29" i="50" s="1"/>
  <c r="I29" i="50"/>
  <c r="J26" i="48"/>
  <c r="K26" i="48" s="1"/>
  <c r="I25" i="48"/>
  <c r="I26" i="48" s="1"/>
  <c r="I16" i="48"/>
  <c r="J16" i="48"/>
  <c r="K16" i="48" s="1"/>
  <c r="J23" i="47"/>
  <c r="I23" i="47"/>
  <c r="Q1605" i="1"/>
  <c r="P1605" i="1"/>
  <c r="N1605" i="1" s="1"/>
  <c r="J1605" i="1"/>
  <c r="R1605" i="1" s="1"/>
  <c r="P4722" i="1"/>
  <c r="N4722" i="1" s="1"/>
  <c r="Q4722" i="1"/>
  <c r="P4884" i="1"/>
  <c r="N4884" i="1" s="1"/>
  <c r="Q4884" i="1"/>
  <c r="P4888" i="1"/>
  <c r="N4888" i="1" s="1"/>
  <c r="Q4888" i="1"/>
  <c r="Q4345" i="1"/>
  <c r="P4345" i="1"/>
  <c r="N4345" i="1" s="1"/>
  <c r="J4722" i="1"/>
  <c r="R4722" i="1" s="1"/>
  <c r="J4884" i="1"/>
  <c r="R4884" i="1" s="1"/>
  <c r="J4888" i="1"/>
  <c r="R4888" i="1" s="1"/>
  <c r="J4345" i="1"/>
  <c r="R4345" i="1" s="1"/>
  <c r="J27" i="48" l="1"/>
  <c r="K27" i="48" s="1"/>
  <c r="I27" i="48"/>
  <c r="J25" i="47"/>
  <c r="K25" i="47" s="1"/>
  <c r="K23" i="47"/>
  <c r="Q186" i="1"/>
  <c r="P186" i="1"/>
  <c r="N186" i="1" s="1"/>
  <c r="K186" i="1"/>
  <c r="J186" i="1"/>
  <c r="R186" i="1" s="1"/>
  <c r="Z368" i="19"/>
  <c r="W368" i="19"/>
  <c r="T368" i="19"/>
  <c r="AE172" i="19"/>
  <c r="AE173" i="19"/>
  <c r="AE174" i="19"/>
  <c r="AE175" i="19"/>
  <c r="AE176" i="19"/>
  <c r="AE177" i="19"/>
  <c r="AE178" i="19"/>
  <c r="AE171" i="19" l="1"/>
  <c r="AC171" i="19"/>
  <c r="AE170" i="19"/>
  <c r="AE169" i="19"/>
  <c r="AE168" i="19"/>
  <c r="AE167" i="19"/>
  <c r="AE166" i="19"/>
  <c r="AE165" i="19"/>
  <c r="AE164" i="19"/>
  <c r="AC170" i="19"/>
  <c r="AC169" i="19"/>
  <c r="AC168" i="19"/>
  <c r="AC167" i="19"/>
  <c r="AC166" i="19"/>
  <c r="AC165" i="19"/>
  <c r="AC164" i="19"/>
  <c r="P1608" i="1" l="1"/>
  <c r="N1608" i="1" s="1"/>
  <c r="Q1608" i="1"/>
  <c r="K1608" i="1"/>
  <c r="J1608" i="1"/>
  <c r="R1608" i="1" s="1"/>
  <c r="Q1610" i="1"/>
  <c r="P1610" i="1"/>
  <c r="N1610" i="1" s="1"/>
  <c r="K1610" i="1"/>
  <c r="J1610" i="1"/>
  <c r="R1610" i="1" s="1"/>
  <c r="Q3249" i="1"/>
  <c r="P3249" i="1"/>
  <c r="N3249" i="1" s="1"/>
  <c r="Q2961" i="1"/>
  <c r="P2961" i="1"/>
  <c r="N2961" i="1" s="1"/>
  <c r="Q1902" i="1"/>
  <c r="P1902" i="1"/>
  <c r="N1902" i="1" s="1"/>
  <c r="P945" i="1"/>
  <c r="N945" i="1" s="1"/>
  <c r="Q945" i="1"/>
  <c r="K3249" i="1"/>
  <c r="K2961" i="1"/>
  <c r="K1902" i="1"/>
  <c r="K945" i="1"/>
  <c r="J3249" i="1"/>
  <c r="R3249" i="1" s="1"/>
  <c r="J2961" i="1"/>
  <c r="R2961" i="1" s="1"/>
  <c r="J1902" i="1"/>
  <c r="R1902" i="1" s="1"/>
  <c r="J945" i="1"/>
  <c r="R945" i="1" s="1"/>
  <c r="I1" i="23" l="1"/>
  <c r="I5" i="7"/>
  <c r="H5" i="7"/>
  <c r="G5" i="7"/>
  <c r="I5" i="40"/>
  <c r="H5" i="40"/>
  <c r="G5" i="40"/>
  <c r="I5" i="39"/>
  <c r="H5" i="39"/>
  <c r="G5" i="39"/>
  <c r="I5" i="38"/>
  <c r="H5" i="38"/>
  <c r="G5" i="38"/>
  <c r="I5" i="36"/>
  <c r="H5" i="36"/>
  <c r="G5" i="36"/>
  <c r="I5" i="35"/>
  <c r="H5" i="35"/>
  <c r="G5" i="35"/>
  <c r="I5" i="34"/>
  <c r="H5" i="34"/>
  <c r="G5" i="34"/>
  <c r="I5" i="33"/>
  <c r="H5" i="33"/>
  <c r="G5" i="33"/>
  <c r="I5" i="32"/>
  <c r="H5" i="32"/>
  <c r="G5" i="32"/>
  <c r="I5" i="31"/>
  <c r="H5" i="31"/>
  <c r="G5" i="31"/>
  <c r="I5" i="30"/>
  <c r="H5" i="30"/>
  <c r="G5" i="30"/>
  <c r="I5" i="29"/>
  <c r="H5" i="29"/>
  <c r="G5" i="29"/>
  <c r="I5" i="28"/>
  <c r="H5" i="28"/>
  <c r="G5" i="28"/>
  <c r="I5" i="27"/>
  <c r="H5" i="27"/>
  <c r="G5" i="27"/>
  <c r="I5" i="26"/>
  <c r="H5" i="26"/>
  <c r="G5" i="26"/>
  <c r="I5" i="24"/>
  <c r="H5" i="24"/>
  <c r="G5" i="24"/>
  <c r="I5" i="25"/>
  <c r="G5" i="22"/>
  <c r="I5" i="22"/>
  <c r="H5" i="22"/>
  <c r="F5" i="22"/>
  <c r="I5" i="18"/>
  <c r="H5" i="18"/>
  <c r="G5" i="18"/>
  <c r="F5" i="18"/>
  <c r="H5" i="23"/>
  <c r="G5" i="23"/>
  <c r="F5" i="23"/>
  <c r="I5" i="23"/>
  <c r="P57" i="1" l="1"/>
  <c r="N57" i="1" s="1"/>
  <c r="Q57" i="1"/>
  <c r="P56" i="1"/>
  <c r="N56" i="1" s="1"/>
  <c r="Q56" i="1"/>
  <c r="P3277" i="1"/>
  <c r="N3277" i="1" s="1"/>
  <c r="Q3277" i="1"/>
  <c r="P2676" i="1"/>
  <c r="N2676" i="1" s="1"/>
  <c r="Q2676" i="1"/>
  <c r="K2676" i="1"/>
  <c r="J2676" i="1"/>
  <c r="R2676" i="1" s="1"/>
  <c r="K3277" i="1"/>
  <c r="J3277" i="1"/>
  <c r="R3277" i="1" s="1"/>
  <c r="K56" i="1"/>
  <c r="J56" i="1"/>
  <c r="R56" i="1" s="1"/>
  <c r="K57" i="1"/>
  <c r="J57" i="1"/>
  <c r="R57" i="1" s="1"/>
  <c r="AE19" i="21" l="1"/>
  <c r="I38" i="26" l="1"/>
  <c r="I38" i="24"/>
  <c r="I38" i="25"/>
  <c r="I7" i="8"/>
  <c r="I6" i="8"/>
  <c r="K58" i="1" l="1"/>
  <c r="J58" i="1"/>
  <c r="R58" i="1" s="1"/>
  <c r="P916" i="1"/>
  <c r="N916" i="1" s="1"/>
  <c r="Q916" i="1"/>
  <c r="P1981" i="1"/>
  <c r="N1981" i="1" s="1"/>
  <c r="Q1981" i="1"/>
  <c r="P2860" i="1"/>
  <c r="N2860" i="1" s="1"/>
  <c r="Q2860" i="1"/>
  <c r="P2484" i="1"/>
  <c r="N2484" i="1" s="1"/>
  <c r="Q2484" i="1"/>
  <c r="J1981" i="1"/>
  <c r="R1981" i="1" s="1"/>
  <c r="K1981" i="1"/>
  <c r="J2860" i="1"/>
  <c r="R2860" i="1" s="1"/>
  <c r="K2860" i="1"/>
  <c r="J2484" i="1"/>
  <c r="R2484" i="1" s="1"/>
  <c r="K2484" i="1"/>
  <c r="K916" i="1"/>
  <c r="J916" i="1"/>
  <c r="R916" i="1" s="1"/>
  <c r="P58" i="1"/>
  <c r="N58" i="1" s="1"/>
  <c r="Q58" i="1"/>
  <c r="P102" i="21" l="1"/>
  <c r="Q102" i="21"/>
  <c r="R102" i="21"/>
  <c r="S102" i="21"/>
  <c r="T102" i="21"/>
  <c r="U102" i="21"/>
  <c r="V102" i="21"/>
  <c r="W102" i="21"/>
  <c r="X102" i="21"/>
  <c r="Y102" i="21"/>
  <c r="Z102" i="21"/>
  <c r="O102" i="21"/>
  <c r="I1" i="8" l="1"/>
  <c r="AE7" i="20"/>
  <c r="J1" i="23" l="1"/>
  <c r="J1" i="51"/>
  <c r="C33" i="51" s="1"/>
  <c r="J1" i="59"/>
  <c r="I1" i="51"/>
  <c r="J1" i="47"/>
  <c r="J1" i="58"/>
  <c r="J1" i="52"/>
  <c r="J1" i="49"/>
  <c r="J1" i="48"/>
  <c r="I1" i="54"/>
  <c r="I1" i="58"/>
  <c r="I1" i="52"/>
  <c r="I1" i="49"/>
  <c r="I1" i="48"/>
  <c r="I1" i="50"/>
  <c r="J1" i="60"/>
  <c r="J1" i="54"/>
  <c r="C33" i="54" s="1"/>
  <c r="J1" i="50"/>
  <c r="I1" i="59"/>
  <c r="I1" i="60"/>
  <c r="I1" i="7"/>
  <c r="I1" i="32"/>
  <c r="I1" i="25"/>
  <c r="I1" i="36"/>
  <c r="I1" i="27"/>
  <c r="I1" i="24"/>
  <c r="I1" i="40"/>
  <c r="I1" i="31"/>
  <c r="I1" i="22"/>
  <c r="I1" i="29"/>
  <c r="I1" i="28"/>
  <c r="I1" i="34"/>
  <c r="I1" i="33"/>
  <c r="I1" i="39"/>
  <c r="I1" i="30"/>
  <c r="I1" i="38"/>
  <c r="I1" i="35"/>
  <c r="I1" i="26"/>
  <c r="AE38" i="21"/>
  <c r="AE34" i="21"/>
  <c r="AE30" i="21"/>
  <c r="AE26" i="21"/>
  <c r="AE22" i="21"/>
  <c r="C6" i="47" l="1"/>
  <c r="C27" i="47"/>
  <c r="C6" i="48"/>
  <c r="C7" i="48" s="1"/>
  <c r="C29" i="48"/>
  <c r="J29" i="1"/>
  <c r="R29" i="1" s="1"/>
  <c r="K29" i="1"/>
  <c r="P29" i="1"/>
  <c r="N29" i="1" s="1"/>
  <c r="Q29" i="1"/>
  <c r="J25" i="1"/>
  <c r="R25" i="1" s="1"/>
  <c r="K25" i="1"/>
  <c r="P25" i="1"/>
  <c r="N25" i="1" s="1"/>
  <c r="Q25" i="1"/>
  <c r="J21" i="1"/>
  <c r="R21" i="1" s="1"/>
  <c r="K21" i="1"/>
  <c r="P21" i="1"/>
  <c r="N21" i="1" s="1"/>
  <c r="Q21" i="1"/>
  <c r="J26" i="1"/>
  <c r="R26" i="1" s="1"/>
  <c r="K26" i="1"/>
  <c r="P26" i="1"/>
  <c r="N26" i="1" s="1"/>
  <c r="Q26" i="1"/>
  <c r="J27" i="1"/>
  <c r="R27" i="1" s="1"/>
  <c r="K27" i="1"/>
  <c r="P27" i="1"/>
  <c r="N27" i="1" s="1"/>
  <c r="Q27" i="1"/>
  <c r="J40" i="1"/>
  <c r="R40" i="1" s="1"/>
  <c r="K40" i="1"/>
  <c r="P40" i="1"/>
  <c r="N40" i="1" s="1"/>
  <c r="Q40" i="1"/>
  <c r="J28" i="1"/>
  <c r="R28" i="1" s="1"/>
  <c r="K28" i="1"/>
  <c r="P28" i="1"/>
  <c r="N28" i="1" s="1"/>
  <c r="Q28" i="1"/>
  <c r="C17" i="48" l="1"/>
  <c r="C19" i="48" s="1"/>
  <c r="C21" i="48"/>
  <c r="C24" i="48" s="1"/>
  <c r="C7" i="47"/>
  <c r="C12" i="49"/>
  <c r="C9" i="48"/>
  <c r="N11" i="41"/>
  <c r="C25" i="48" l="1"/>
  <c r="E21" i="41"/>
  <c r="M21" i="41"/>
  <c r="W21" i="41"/>
  <c r="L21" i="41"/>
  <c r="D21" i="41"/>
  <c r="V21" i="41"/>
  <c r="B21" i="41"/>
  <c r="J21" i="41"/>
  <c r="T21" i="41"/>
  <c r="AB21" i="41"/>
  <c r="C21" i="41"/>
  <c r="K21" i="41"/>
  <c r="U21" i="41"/>
  <c r="AC21" i="41"/>
  <c r="AC12" i="41"/>
  <c r="AC29" i="41" s="1"/>
  <c r="F21" i="41"/>
  <c r="N21" i="41"/>
  <c r="X21" i="41"/>
  <c r="G21" i="41"/>
  <c r="Q21" i="41"/>
  <c r="Y21" i="41"/>
  <c r="I21" i="41"/>
  <c r="S21" i="41"/>
  <c r="AA21" i="41"/>
  <c r="F10" i="41"/>
  <c r="F13" i="41" s="1"/>
  <c r="G10" i="41"/>
  <c r="G13" i="41" s="1"/>
  <c r="H10" i="41"/>
  <c r="H13" i="41" s="1"/>
  <c r="I10" i="41"/>
  <c r="I13" i="41" s="1"/>
  <c r="N6" i="41"/>
  <c r="N26" i="41" s="1"/>
  <c r="S10" i="41"/>
  <c r="S13" i="41" s="1"/>
  <c r="Y10" i="41"/>
  <c r="Y13" i="41" s="1"/>
  <c r="AA10" i="41"/>
  <c r="AA13" i="41" s="1"/>
  <c r="H21" i="41"/>
  <c r="R21" i="41"/>
  <c r="Z21" i="41"/>
  <c r="R10" i="41"/>
  <c r="R13" i="41" s="1"/>
  <c r="Z10" i="41"/>
  <c r="Z13" i="41" s="1"/>
  <c r="AC11" i="41"/>
  <c r="N9" i="41"/>
  <c r="Q10" i="41"/>
  <c r="Q13" i="41" s="1"/>
  <c r="X10" i="41"/>
  <c r="X13" i="41" s="1"/>
  <c r="AC4" i="41"/>
  <c r="AC24" i="41" s="1"/>
  <c r="AC8" i="41"/>
  <c r="AC28" i="41" s="1"/>
  <c r="AC5" i="41"/>
  <c r="AC25" i="41" s="1"/>
  <c r="B10" i="41"/>
  <c r="J10" i="41"/>
  <c r="J13" i="41" s="1"/>
  <c r="T10" i="41"/>
  <c r="T13" i="41" s="1"/>
  <c r="AB10" i="41"/>
  <c r="AB13" i="41" s="1"/>
  <c r="N7" i="41"/>
  <c r="N27" i="41" s="1"/>
  <c r="N4" i="41"/>
  <c r="N24" i="41" s="1"/>
  <c r="N8" i="41"/>
  <c r="N28" i="41" s="1"/>
  <c r="C10" i="41"/>
  <c r="C13" i="41" s="1"/>
  <c r="K10" i="41"/>
  <c r="K13" i="41" s="1"/>
  <c r="U10" i="41"/>
  <c r="U13" i="41" s="1"/>
  <c r="N12" i="41"/>
  <c r="N29" i="41" s="1"/>
  <c r="AC9" i="41"/>
  <c r="AC6" i="41"/>
  <c r="AC26" i="41" s="1"/>
  <c r="D10" i="41"/>
  <c r="D13" i="41" s="1"/>
  <c r="L10" i="41"/>
  <c r="L13" i="41" s="1"/>
  <c r="V10" i="41"/>
  <c r="V13" i="41" s="1"/>
  <c r="N5" i="41"/>
  <c r="N25" i="41" s="1"/>
  <c r="E10" i="41"/>
  <c r="E13" i="41" s="1"/>
  <c r="M10" i="41"/>
  <c r="M13" i="41" s="1"/>
  <c r="W10" i="41"/>
  <c r="W13" i="41" s="1"/>
  <c r="AC7" i="41"/>
  <c r="AC27" i="41" s="1"/>
  <c r="N10" i="41" l="1"/>
  <c r="B13" i="41"/>
  <c r="N13" i="41" s="1"/>
  <c r="AC13" i="41"/>
  <c r="AC10" i="41"/>
  <c r="P63" i="1" l="1"/>
  <c r="N63" i="1" s="1"/>
  <c r="Q63" i="1"/>
  <c r="P64" i="1"/>
  <c r="N64" i="1" s="1"/>
  <c r="Q64" i="1"/>
  <c r="K64" i="1"/>
  <c r="K63" i="1"/>
  <c r="J63" i="1"/>
  <c r="R63" i="1" s="1"/>
  <c r="J64" i="1"/>
  <c r="R64" i="1" s="1"/>
  <c r="P4183" i="1" l="1"/>
  <c r="N4183" i="1" s="1"/>
  <c r="Q4183" i="1"/>
  <c r="P4187" i="1"/>
  <c r="N4187" i="1" s="1"/>
  <c r="Q4187" i="1"/>
  <c r="P4717" i="1"/>
  <c r="N4717" i="1" s="1"/>
  <c r="Q4717" i="1"/>
  <c r="J4187" i="1"/>
  <c r="R4187" i="1" s="1"/>
  <c r="K4187" i="1"/>
  <c r="J4717" i="1"/>
  <c r="R4717" i="1" s="1"/>
  <c r="K4717" i="1"/>
  <c r="K4183" i="1"/>
  <c r="J4183" i="1"/>
  <c r="R4183" i="1" s="1"/>
  <c r="P24" i="1"/>
  <c r="N24" i="1" s="1"/>
  <c r="Q24" i="1"/>
  <c r="J24" i="1"/>
  <c r="R24" i="1" s="1"/>
  <c r="K24" i="1"/>
  <c r="R23" i="19" l="1"/>
  <c r="R25" i="19" s="1"/>
  <c r="Z23" i="19"/>
  <c r="Z25" i="19" s="1"/>
  <c r="V27" i="19"/>
  <c r="O31" i="19"/>
  <c r="O33" i="19" s="1"/>
  <c r="W31" i="19"/>
  <c r="W33" i="19" s="1"/>
  <c r="X23" i="19"/>
  <c r="Y23" i="19"/>
  <c r="Y25" i="19" s="1"/>
  <c r="X31" i="19"/>
  <c r="Z26" i="19"/>
  <c r="Z28" i="19" s="1"/>
  <c r="W6" i="21"/>
  <c r="P6" i="21"/>
  <c r="V31" i="19"/>
  <c r="U31" i="19"/>
  <c r="U33" i="19" s="1"/>
  <c r="T31" i="19"/>
  <c r="T33" i="19" s="1"/>
  <c r="P31" i="19"/>
  <c r="P33" i="19" s="1"/>
  <c r="T23" i="19"/>
  <c r="T25" i="19" s="1"/>
  <c r="S23" i="19"/>
  <c r="S25" i="19" s="1"/>
  <c r="Q23" i="19"/>
  <c r="Q25" i="19" s="1"/>
  <c r="P23" i="19"/>
  <c r="P25" i="19" s="1"/>
  <c r="W27" i="19"/>
  <c r="W29" i="19" s="1"/>
  <c r="U27" i="19"/>
  <c r="U29" i="19" s="1"/>
  <c r="T27" i="19"/>
  <c r="T29" i="19" s="1"/>
  <c r="Q27" i="19"/>
  <c r="Q29" i="19" s="1"/>
  <c r="O27" i="19"/>
  <c r="O29" i="19" s="1"/>
  <c r="AF19" i="21"/>
  <c r="AF7" i="20"/>
  <c r="F5" i="40"/>
  <c r="F5" i="39"/>
  <c r="F5" i="38"/>
  <c r="F5" i="37"/>
  <c r="F5" i="36"/>
  <c r="F5" i="34"/>
  <c r="F5" i="33"/>
  <c r="F5" i="32"/>
  <c r="F5" i="31"/>
  <c r="F5" i="29"/>
  <c r="F5" i="28"/>
  <c r="F5" i="26"/>
  <c r="F5" i="24"/>
  <c r="X33" i="19" l="1"/>
  <c r="X25" i="19"/>
  <c r="V33" i="19"/>
  <c r="V29" i="19"/>
  <c r="AE28" i="20"/>
  <c r="AE22" i="20"/>
  <c r="AE16" i="20"/>
  <c r="AE10" i="20"/>
  <c r="X13" i="21"/>
  <c r="X14" i="21" s="1"/>
  <c r="W13" i="21"/>
  <c r="Q4" i="20"/>
  <c r="P13" i="21"/>
  <c r="Z7" i="20"/>
  <c r="V7" i="20"/>
  <c r="Z27" i="19"/>
  <c r="Z29" i="19" s="1"/>
  <c r="O23" i="19"/>
  <c r="O25" i="19" s="1"/>
  <c r="W23" i="19"/>
  <c r="W25" i="19" s="1"/>
  <c r="U4" i="20"/>
  <c r="U7" i="20"/>
  <c r="Y27" i="19"/>
  <c r="Y29" i="19" s="1"/>
  <c r="O4" i="20"/>
  <c r="W4" i="20"/>
  <c r="W7" i="20"/>
  <c r="O13" i="21"/>
  <c r="O14" i="21" s="1"/>
  <c r="U30" i="19"/>
  <c r="U32" i="19" s="1"/>
  <c r="R30" i="19"/>
  <c r="R32" i="19" s="1"/>
  <c r="X6" i="21"/>
  <c r="P30" i="19"/>
  <c r="P32" i="19" s="1"/>
  <c r="U22" i="19"/>
  <c r="U24" i="19" s="1"/>
  <c r="W4" i="21"/>
  <c r="Y13" i="21"/>
  <c r="Y14" i="21" s="1"/>
  <c r="R4" i="20"/>
  <c r="T13" i="21"/>
  <c r="T14" i="21" s="1"/>
  <c r="Z4" i="20"/>
  <c r="U13" i="21"/>
  <c r="Q13" i="21"/>
  <c r="Q14" i="21" s="1"/>
  <c r="T6" i="21"/>
  <c r="T4" i="21"/>
  <c r="V4" i="21"/>
  <c r="V13" i="21"/>
  <c r="V14" i="21" s="1"/>
  <c r="O6" i="21"/>
  <c r="O4" i="21"/>
  <c r="U4" i="21"/>
  <c r="U6" i="21"/>
  <c r="Z13" i="21"/>
  <c r="Z14" i="21" s="1"/>
  <c r="S13" i="21"/>
  <c r="R13" i="21"/>
  <c r="Y6" i="21"/>
  <c r="Y4" i="21"/>
  <c r="Q6" i="21"/>
  <c r="Q4" i="21"/>
  <c r="P4" i="21"/>
  <c r="X4" i="20"/>
  <c r="X7" i="20"/>
  <c r="P4" i="20"/>
  <c r="P7" i="20"/>
  <c r="R7" i="20"/>
  <c r="V4" i="20"/>
  <c r="O7" i="20"/>
  <c r="T4" i="20"/>
  <c r="S4" i="20"/>
  <c r="Y4" i="20"/>
  <c r="R22" i="19"/>
  <c r="R24" i="19" s="1"/>
  <c r="Z30" i="19"/>
  <c r="Z32" i="19" s="1"/>
  <c r="S27" i="19"/>
  <c r="S29" i="19" s="1"/>
  <c r="Y30" i="19"/>
  <c r="Y32" i="19" s="1"/>
  <c r="R27" i="19"/>
  <c r="R29" i="19" s="1"/>
  <c r="X30" i="19"/>
  <c r="R26" i="19"/>
  <c r="R28" i="19" s="1"/>
  <c r="Q26" i="19"/>
  <c r="Q28" i="19" s="1"/>
  <c r="Y22" i="19"/>
  <c r="Y24" i="19" s="1"/>
  <c r="Q22" i="19"/>
  <c r="Q24" i="19" s="1"/>
  <c r="U26" i="19"/>
  <c r="U28" i="19" s="1"/>
  <c r="S31" i="19"/>
  <c r="S33" i="19" s="1"/>
  <c r="W22" i="19"/>
  <c r="W24" i="19" s="1"/>
  <c r="X27" i="19"/>
  <c r="P27" i="19"/>
  <c r="P29" i="19" s="1"/>
  <c r="Q30" i="19"/>
  <c r="Q32" i="19" s="1"/>
  <c r="O22" i="19"/>
  <c r="O24" i="19" s="1"/>
  <c r="S26" i="19"/>
  <c r="S28" i="19" s="1"/>
  <c r="X26" i="19"/>
  <c r="W30" i="19"/>
  <c r="W32" i="19" s="1"/>
  <c r="O32" i="19"/>
  <c r="P26" i="19"/>
  <c r="P28" i="19" s="1"/>
  <c r="V30" i="19"/>
  <c r="T30" i="19"/>
  <c r="T32" i="19" s="1"/>
  <c r="V23" i="19"/>
  <c r="U23" i="19"/>
  <c r="U25" i="19" s="1"/>
  <c r="R31" i="19"/>
  <c r="R33" i="19" s="1"/>
  <c r="Q31" i="19"/>
  <c r="Q33" i="19" s="1"/>
  <c r="F5" i="7"/>
  <c r="F5" i="35"/>
  <c r="F5" i="30"/>
  <c r="F5" i="27"/>
  <c r="X28" i="19" l="1"/>
  <c r="X29" i="19"/>
  <c r="X32" i="19"/>
  <c r="V25" i="19"/>
  <c r="V32" i="19"/>
  <c r="W14" i="21"/>
  <c r="W19" i="21" s="1"/>
  <c r="U14" i="21"/>
  <c r="U19" i="21" s="1"/>
  <c r="R14" i="21"/>
  <c r="R19" i="21" s="1"/>
  <c r="S14" i="21"/>
  <c r="S10" i="21" s="1"/>
  <c r="P14" i="21"/>
  <c r="P19" i="21" s="1"/>
  <c r="T15" i="21"/>
  <c r="T19" i="21"/>
  <c r="Q10" i="21"/>
  <c r="Q9" i="21" s="1"/>
  <c r="Q19" i="21"/>
  <c r="O15" i="21"/>
  <c r="O19" i="21"/>
  <c r="Z15" i="21"/>
  <c r="Z19" i="21"/>
  <c r="X15" i="21"/>
  <c r="X19" i="21"/>
  <c r="V15" i="21"/>
  <c r="V19" i="21"/>
  <c r="Y15" i="21"/>
  <c r="Y19" i="21"/>
  <c r="Y10" i="21"/>
  <c r="Y11" i="21" s="1"/>
  <c r="T10" i="21"/>
  <c r="T9" i="21" s="1"/>
  <c r="Y31" i="19"/>
  <c r="Y33" i="19" s="1"/>
  <c r="X4" i="21"/>
  <c r="V10" i="21"/>
  <c r="V9" i="21" s="1"/>
  <c r="V6" i="21"/>
  <c r="Z31" i="19"/>
  <c r="Z33" i="19" s="1"/>
  <c r="Q15" i="21"/>
  <c r="O10" i="21"/>
  <c r="O11" i="21" s="1"/>
  <c r="X10" i="21"/>
  <c r="Z6" i="21"/>
  <c r="Z4" i="21"/>
  <c r="R6" i="21"/>
  <c r="R4" i="21"/>
  <c r="Z10" i="21"/>
  <c r="S6" i="21"/>
  <c r="S4" i="21"/>
  <c r="T7" i="20"/>
  <c r="Y7" i="20"/>
  <c r="S7" i="20"/>
  <c r="Q7" i="20"/>
  <c r="X22" i="19"/>
  <c r="Z22" i="19"/>
  <c r="Z24" i="19" s="1"/>
  <c r="O26" i="19"/>
  <c r="O28" i="19" s="1"/>
  <c r="W26" i="19"/>
  <c r="W28" i="19" s="1"/>
  <c r="V26" i="19"/>
  <c r="Y26" i="19"/>
  <c r="Y28" i="19" s="1"/>
  <c r="P22" i="19"/>
  <c r="P24" i="19" s="1"/>
  <c r="T26" i="19"/>
  <c r="T28" i="19" s="1"/>
  <c r="T22" i="19"/>
  <c r="T24" i="19" s="1"/>
  <c r="S22" i="19"/>
  <c r="S24" i="19" s="1"/>
  <c r="S30" i="19"/>
  <c r="S32" i="19" s="1"/>
  <c r="V22" i="19"/>
  <c r="X24" i="19" l="1"/>
  <c r="U10" i="21"/>
  <c r="U9" i="21" s="1"/>
  <c r="R15" i="21"/>
  <c r="V28" i="19"/>
  <c r="V24" i="19"/>
  <c r="P15" i="21"/>
  <c r="R10" i="21"/>
  <c r="R9" i="21" s="1"/>
  <c r="W15" i="21"/>
  <c r="W10" i="21"/>
  <c r="W11" i="21" s="1"/>
  <c r="P10" i="21"/>
  <c r="P9" i="21" s="1"/>
  <c r="U15" i="21"/>
  <c r="S19" i="21"/>
  <c r="S15" i="21"/>
  <c r="Q11" i="21"/>
  <c r="T11" i="21"/>
  <c r="Y9" i="21"/>
  <c r="V11" i="21"/>
  <c r="O9" i="21"/>
  <c r="X11" i="21"/>
  <c r="X9" i="21"/>
  <c r="S11" i="21"/>
  <c r="S9" i="21"/>
  <c r="Z9" i="21"/>
  <c r="Z11" i="21"/>
  <c r="U11" i="21" l="1"/>
  <c r="R11" i="21"/>
  <c r="W9" i="21"/>
  <c r="P11" i="21"/>
  <c r="J3537" i="1"/>
  <c r="R3537" i="1" s="1"/>
  <c r="J2712" i="1"/>
  <c r="R2712" i="1" s="1"/>
  <c r="P681" i="1"/>
  <c r="N681" i="1" s="1"/>
  <c r="Q681" i="1"/>
  <c r="P726" i="1"/>
  <c r="N726" i="1" s="1"/>
  <c r="Q726" i="1"/>
  <c r="P2423" i="1"/>
  <c r="N2423" i="1" s="1"/>
  <c r="Q2423" i="1"/>
  <c r="P2712" i="1"/>
  <c r="N2712" i="1" s="1"/>
  <c r="Q2712" i="1"/>
  <c r="P3537" i="1"/>
  <c r="N3537" i="1" s="1"/>
  <c r="Q3537" i="1"/>
  <c r="P2452" i="1"/>
  <c r="N2452" i="1" s="1"/>
  <c r="Q2452" i="1"/>
  <c r="K681" i="1"/>
  <c r="K726" i="1"/>
  <c r="K2423" i="1"/>
  <c r="K2712" i="1"/>
  <c r="K3537" i="1"/>
  <c r="K2452" i="1"/>
  <c r="J2452" i="1"/>
  <c r="R2452" i="1" s="1"/>
  <c r="J2423" i="1"/>
  <c r="R2423" i="1" s="1"/>
  <c r="J726" i="1"/>
  <c r="R726" i="1" s="1"/>
  <c r="J681" i="1"/>
  <c r="R681" i="1" s="1"/>
  <c r="R16" i="39" l="1"/>
  <c r="Q184" i="1" l="1"/>
  <c r="P184" i="1"/>
  <c r="N184" i="1" s="1"/>
  <c r="J184" i="1"/>
  <c r="R184" i="1" s="1"/>
  <c r="K184" i="1"/>
  <c r="J2265" i="1" l="1"/>
  <c r="J2296" i="1"/>
  <c r="J2390" i="1"/>
  <c r="Q30" i="1"/>
  <c r="Q1728" i="1"/>
  <c r="Q1724" i="1"/>
  <c r="Q1722" i="1"/>
  <c r="Q1729" i="1"/>
  <c r="Q1768" i="1"/>
  <c r="Q2372" i="1"/>
  <c r="Q2343" i="1"/>
  <c r="Q2342" i="1"/>
  <c r="Q2340" i="1"/>
  <c r="Q2344" i="1"/>
  <c r="Q3669" i="1"/>
  <c r="Q3637" i="1"/>
  <c r="Q3668" i="1"/>
  <c r="Q3667" i="1"/>
  <c r="Q3638" i="1"/>
  <c r="Q3778" i="1"/>
  <c r="Q3746" i="1"/>
  <c r="Q3776" i="1"/>
  <c r="Q3775" i="1"/>
  <c r="Q3747" i="1"/>
  <c r="Q1485" i="1"/>
  <c r="Q1481" i="1"/>
  <c r="Q1487" i="1"/>
  <c r="Q1483" i="1"/>
  <c r="Q1488" i="1"/>
  <c r="Q1504" i="1"/>
  <c r="Q1509" i="1"/>
  <c r="Q1502" i="1"/>
  <c r="Q1510" i="1"/>
  <c r="Q1538" i="1"/>
  <c r="Q1543" i="1"/>
  <c r="Q1536" i="1"/>
  <c r="Q1544" i="1"/>
  <c r="Q1613" i="1"/>
  <c r="Q1618" i="1"/>
  <c r="Q1612" i="1"/>
  <c r="Q1619" i="1"/>
  <c r="Q1658" i="1"/>
  <c r="Q1661" i="1"/>
  <c r="Q1656" i="1"/>
  <c r="Q1654" i="1"/>
  <c r="Q1662" i="1"/>
  <c r="Q1772" i="1"/>
  <c r="Q1765" i="1"/>
  <c r="Q1770" i="1"/>
  <c r="Q1774" i="1"/>
  <c r="Q1939" i="1"/>
  <c r="Q1942" i="1"/>
  <c r="Q1937" i="1"/>
  <c r="Q1936" i="1"/>
  <c r="Q1943" i="1"/>
  <c r="Q3598" i="1"/>
  <c r="Q3568" i="1"/>
  <c r="Q3597" i="1"/>
  <c r="Q3569" i="1"/>
  <c r="Q2173" i="1"/>
  <c r="Q2152" i="1"/>
  <c r="Q2175" i="1"/>
  <c r="Q2171" i="1"/>
  <c r="Q2169" i="1"/>
  <c r="Q2192" i="1"/>
  <c r="Q2194" i="1"/>
  <c r="Q2190" i="1"/>
  <c r="Q2189" i="1"/>
  <c r="Q2195" i="1"/>
  <c r="Q3245" i="1"/>
  <c r="Q3225" i="1"/>
  <c r="Q3242" i="1"/>
  <c r="Q3244" i="1"/>
  <c r="Q3226" i="1"/>
  <c r="Q3270" i="1"/>
  <c r="Q3451" i="1"/>
  <c r="Q3418" i="1"/>
  <c r="Q3447" i="1"/>
  <c r="Q3450" i="1"/>
  <c r="Q3419" i="1"/>
  <c r="Q3813" i="1"/>
  <c r="Q3781" i="1"/>
  <c r="Q3811" i="1"/>
  <c r="Q3810" i="1"/>
  <c r="Q3782" i="1"/>
  <c r="Q3306" i="1"/>
  <c r="Q3284" i="1"/>
  <c r="Q3303" i="1"/>
  <c r="Q3285" i="1"/>
  <c r="Q3305" i="1"/>
  <c r="Q2299" i="1"/>
  <c r="Q2280" i="1"/>
  <c r="Q2281" i="1"/>
  <c r="Q2279" i="1"/>
  <c r="Q2277" i="1"/>
  <c r="Q3140" i="1"/>
  <c r="Q3178" i="1"/>
  <c r="Q3206" i="1"/>
  <c r="Q3209" i="1"/>
  <c r="Q3179" i="1"/>
  <c r="Q3341" i="1"/>
  <c r="Q3339" i="1"/>
  <c r="Q3322" i="1"/>
  <c r="Q3337" i="1"/>
  <c r="Q3323" i="1"/>
  <c r="Q3379" i="1"/>
  <c r="Q3378" i="1"/>
  <c r="Q3347" i="1"/>
  <c r="Q3375" i="1"/>
  <c r="Q3348" i="1"/>
  <c r="Q1156" i="1"/>
  <c r="Q2955" i="1"/>
  <c r="Q2954" i="1"/>
  <c r="Q2936" i="1"/>
  <c r="Q2959" i="1"/>
  <c r="Q2971" i="1"/>
  <c r="Q3007" i="1"/>
  <c r="Q2974" i="1"/>
  <c r="Q3005" i="1"/>
  <c r="Q3003" i="1"/>
  <c r="Q2983" i="1"/>
  <c r="Q3632" i="1"/>
  <c r="Q1683" i="1"/>
  <c r="Q1677" i="1"/>
  <c r="Q1681" i="1"/>
  <c r="Q1680" i="1"/>
  <c r="Q1686" i="1"/>
  <c r="Q2336" i="1"/>
  <c r="Q2308" i="1"/>
  <c r="Q2306" i="1"/>
  <c r="Q2309" i="1"/>
  <c r="Q2434" i="1"/>
  <c r="Q2425" i="1"/>
  <c r="Q4994" i="1"/>
  <c r="Q4974" i="1"/>
  <c r="Q4992" i="1"/>
  <c r="Q4975" i="1"/>
  <c r="Q3089" i="1"/>
  <c r="Q3087" i="1"/>
  <c r="Q3415" i="1"/>
  <c r="Q3386" i="1"/>
  <c r="Q3411" i="1"/>
  <c r="Q3414" i="1"/>
  <c r="Q3387" i="1"/>
  <c r="Q1987" i="1"/>
  <c r="Q1989" i="1"/>
  <c r="Q1985" i="1"/>
  <c r="Q1983" i="1"/>
  <c r="Q1990" i="1"/>
  <c r="Q2817" i="1"/>
  <c r="Q2785" i="1"/>
  <c r="Q2809" i="1"/>
  <c r="Q2816" i="1"/>
  <c r="Q2786" i="1"/>
  <c r="Q3630" i="1"/>
  <c r="Q3674" i="1"/>
  <c r="Q3684" i="1"/>
  <c r="Q3702" i="1"/>
  <c r="Q3740" i="1"/>
  <c r="Q3849" i="1"/>
  <c r="Q3839" i="1"/>
  <c r="Q3845" i="1"/>
  <c r="Q3840" i="1"/>
  <c r="Q2745" i="1"/>
  <c r="Q2716" i="1"/>
  <c r="Q2717" i="1"/>
  <c r="Q2744" i="1"/>
  <c r="Q2719" i="1"/>
  <c r="Q2783" i="1"/>
  <c r="Q2781" i="1"/>
  <c r="Q2760" i="1"/>
  <c r="Q2779" i="1"/>
  <c r="Q2762" i="1"/>
  <c r="Q2258" i="1"/>
  <c r="Q2409" i="1"/>
  <c r="Q2393" i="1"/>
  <c r="Q2392" i="1"/>
  <c r="Q2394" i="1"/>
  <c r="Q2613" i="1"/>
  <c r="Q2587" i="1"/>
  <c r="Q2582" i="1"/>
  <c r="Q2584" i="1"/>
  <c r="Q2588" i="1"/>
  <c r="Q3488" i="1"/>
  <c r="Q3456" i="1"/>
  <c r="Q3484" i="1"/>
  <c r="Q3487" i="1"/>
  <c r="Q3457" i="1"/>
  <c r="Q3493" i="1"/>
  <c r="Q3496" i="1"/>
  <c r="Q3498" i="1"/>
  <c r="Q3500" i="1"/>
  <c r="Q3504" i="1"/>
  <c r="Q3175" i="1"/>
  <c r="Q3155" i="1"/>
  <c r="Q3172" i="1"/>
  <c r="Q3174" i="1"/>
  <c r="Q3156" i="1"/>
  <c r="Q3079" i="1"/>
  <c r="Q3075" i="1"/>
  <c r="Q3049" i="1"/>
  <c r="Q3077" i="1"/>
  <c r="Q3059" i="1"/>
  <c r="Q2887" i="1"/>
  <c r="Q2888" i="1"/>
  <c r="Q2866" i="1"/>
  <c r="Q2884" i="1"/>
  <c r="Q2867" i="1"/>
  <c r="Q4959" i="1"/>
  <c r="Q4930" i="1"/>
  <c r="Q4957" i="1"/>
  <c r="Q4963" i="1"/>
  <c r="Q4931" i="1"/>
  <c r="Q3133" i="1"/>
  <c r="Q3112" i="1"/>
  <c r="Q3131" i="1"/>
  <c r="Q3129" i="1"/>
  <c r="Q3113" i="1"/>
  <c r="Q1180" i="1"/>
  <c r="Q1184" i="1"/>
  <c r="Q1185" i="1"/>
  <c r="Q1305" i="1"/>
  <c r="Q1301" i="1"/>
  <c r="Q1290" i="1"/>
  <c r="Q1303" i="1"/>
  <c r="Q1307" i="1"/>
  <c r="Q2506" i="1"/>
  <c r="Q2489" i="1"/>
  <c r="Q2488" i="1"/>
  <c r="Q2486" i="1"/>
  <c r="Q2490" i="1"/>
  <c r="Q2542" i="1"/>
  <c r="Q2516" i="1"/>
  <c r="Q2514" i="1"/>
  <c r="Q2513" i="1"/>
  <c r="Q2517" i="1"/>
  <c r="Q2579" i="1"/>
  <c r="Q2559" i="1"/>
  <c r="Q2558" i="1"/>
  <c r="Q2556" i="1"/>
  <c r="Q2560" i="1"/>
  <c r="Q2616" i="1"/>
  <c r="Q2618" i="1"/>
  <c r="Q2619" i="1"/>
  <c r="Q2848" i="1"/>
  <c r="Q2672" i="1"/>
  <c r="Q2653" i="1"/>
  <c r="Q2651" i="1"/>
  <c r="Q2654" i="1"/>
  <c r="Q2655" i="1"/>
  <c r="Q2708" i="1"/>
  <c r="Q2679" i="1"/>
  <c r="Q2677" i="1"/>
  <c r="Q2684" i="1"/>
  <c r="Q2682" i="1"/>
  <c r="Q2078" i="1"/>
  <c r="Q2083" i="1"/>
  <c r="Q2076" i="1"/>
  <c r="Q2075" i="1"/>
  <c r="Q1068" i="1"/>
  <c r="Q3538" i="1"/>
  <c r="Q4356" i="1"/>
  <c r="Q4358" i="1"/>
  <c r="Q223" i="1"/>
  <c r="Q220" i="1"/>
  <c r="Q228" i="1"/>
  <c r="Q233" i="1"/>
  <c r="Q293" i="1"/>
  <c r="Q298" i="1"/>
  <c r="Q61" i="1"/>
  <c r="Q3729" i="1"/>
  <c r="Q4366" i="1"/>
  <c r="Q4369" i="1"/>
  <c r="Q242" i="1"/>
  <c r="Q244" i="1"/>
  <c r="Q250" i="1"/>
  <c r="Q259" i="1"/>
  <c r="Q1090" i="1"/>
  <c r="Q1125" i="1"/>
  <c r="Q1798" i="1"/>
  <c r="Q1833" i="1"/>
  <c r="Q1883" i="1"/>
  <c r="Q1914" i="1"/>
  <c r="Q2013" i="1"/>
  <c r="Q2048" i="1"/>
  <c r="Q2241" i="1"/>
  <c r="Q2428" i="1"/>
  <c r="Q2892" i="1"/>
  <c r="Q3009" i="1"/>
  <c r="Q3608" i="1"/>
  <c r="Q3677" i="1"/>
  <c r="Q3708" i="1"/>
  <c r="Q922" i="1"/>
  <c r="Q940" i="1"/>
  <c r="Q971" i="1"/>
  <c r="Q978" i="1"/>
  <c r="Q1224" i="1"/>
  <c r="Q1265" i="1"/>
  <c r="Q1331" i="1"/>
  <c r="Q1365" i="1"/>
  <c r="Q1410" i="1"/>
  <c r="Q1436" i="1"/>
  <c r="Q1575" i="1"/>
  <c r="Q75" i="1"/>
  <c r="Q81" i="1"/>
  <c r="Q286" i="1"/>
  <c r="Q288" i="1"/>
  <c r="Q4375" i="1"/>
  <c r="Q4381" i="1"/>
  <c r="Q265" i="1"/>
  <c r="Q266" i="1"/>
  <c r="Q271" i="1"/>
  <c r="Q281" i="1"/>
  <c r="Q65" i="1"/>
  <c r="Q2829" i="1"/>
  <c r="Q1058" i="1"/>
  <c r="Q2055" i="1"/>
  <c r="Q2103" i="1"/>
  <c r="Q3042" i="1"/>
  <c r="Q955" i="1"/>
  <c r="Q1237" i="1"/>
  <c r="Q1434" i="1"/>
  <c r="Q4578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8" i="1"/>
  <c r="Q532" i="1"/>
  <c r="Q1067" i="1"/>
  <c r="Q4889" i="1"/>
  <c r="Q4899" i="1"/>
  <c r="Q1099" i="1"/>
  <c r="Q1840" i="1"/>
  <c r="Q1888" i="1"/>
  <c r="Q62" i="1"/>
  <c r="Q3745" i="1"/>
  <c r="Q3730" i="1"/>
  <c r="Q1134" i="1"/>
  <c r="Q3606" i="1"/>
  <c r="Q1583" i="1"/>
  <c r="Q1913" i="1"/>
  <c r="Q2011" i="1"/>
  <c r="Q3008" i="1"/>
  <c r="Q961" i="1"/>
  <c r="Q993" i="1"/>
  <c r="Q1019" i="1"/>
  <c r="Q1796" i="1"/>
  <c r="Q2853" i="1"/>
  <c r="Q2894" i="1"/>
  <c r="Q920" i="1"/>
  <c r="Q1170" i="1"/>
  <c r="Q1271" i="1"/>
  <c r="Q1343" i="1"/>
  <c r="Q1372" i="1"/>
  <c r="Q1409" i="1"/>
  <c r="Q4036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2824" i="1"/>
  <c r="Q2128" i="1"/>
  <c r="Q3558" i="1"/>
  <c r="Q873" i="1"/>
  <c r="Q880" i="1"/>
  <c r="Q902" i="1"/>
  <c r="Q780" i="1"/>
  <c r="Q799" i="1"/>
  <c r="Q896" i="1"/>
  <c r="Q856" i="1"/>
  <c r="Q858" i="1"/>
  <c r="Q890" i="1"/>
  <c r="Q787" i="1"/>
  <c r="Q792" i="1"/>
  <c r="Q830" i="1"/>
  <c r="Q838" i="1"/>
  <c r="Q2904" i="1"/>
  <c r="Q2922" i="1"/>
  <c r="Q807" i="1"/>
  <c r="Q813" i="1"/>
  <c r="Q819" i="1"/>
  <c r="Q827" i="1"/>
  <c r="Q885" i="1"/>
  <c r="Q2239" i="1"/>
  <c r="Q847" i="1"/>
  <c r="Q3741" i="1"/>
  <c r="Q1089" i="1"/>
  <c r="Q4902" i="1"/>
  <c r="Q4913" i="1"/>
  <c r="Q1123" i="1"/>
  <c r="Q1793" i="1"/>
  <c r="Q1828" i="1"/>
  <c r="Q1879" i="1"/>
  <c r="Q1909" i="1"/>
  <c r="Q2008" i="1"/>
  <c r="Q2043" i="1"/>
  <c r="Q2144" i="1"/>
  <c r="Q2427" i="1"/>
  <c r="Q2934" i="1"/>
  <c r="Q3039" i="1"/>
  <c r="Q917" i="1"/>
  <c r="Q954" i="1"/>
  <c r="Q1234" i="1"/>
  <c r="Q1262" i="1"/>
  <c r="Q1340" i="1"/>
  <c r="Q1360" i="1"/>
  <c r="Q1406" i="1"/>
  <c r="Q1431" i="1"/>
  <c r="Q1570" i="1"/>
  <c r="Q418" i="1"/>
  <c r="Q439" i="1"/>
  <c r="Q523" i="1"/>
  <c r="Q495" i="1"/>
  <c r="Q502" i="1"/>
  <c r="Q516" i="1"/>
  <c r="Q3703" i="1"/>
  <c r="Q425" i="1"/>
  <c r="Q432" i="1"/>
  <c r="Q474" i="1"/>
  <c r="Q482" i="1"/>
  <c r="Q446" i="1"/>
  <c r="Q453" i="1"/>
  <c r="Q460" i="1"/>
  <c r="Q467" i="1"/>
  <c r="Q510" i="1"/>
  <c r="Q489" i="1"/>
  <c r="Q2850" i="1"/>
  <c r="Q1063" i="1"/>
  <c r="Q2100" i="1"/>
  <c r="Q2126" i="1"/>
  <c r="Q3560" i="1"/>
  <c r="Q724" i="1"/>
  <c r="Q730" i="1"/>
  <c r="Q758" i="1"/>
  <c r="Q764" i="1"/>
  <c r="Q769" i="1"/>
  <c r="Q749" i="1"/>
  <c r="Q740" i="1"/>
  <c r="Q680" i="1"/>
  <c r="Q685" i="1"/>
  <c r="Q692" i="1"/>
  <c r="Q699" i="1"/>
  <c r="Q708" i="1"/>
  <c r="Q2237" i="1"/>
  <c r="Q715" i="1"/>
  <c r="Q1359" i="1"/>
  <c r="Q1404" i="1"/>
  <c r="Q1430" i="1"/>
  <c r="Q988" i="1"/>
  <c r="Q1010" i="1"/>
  <c r="Q1036" i="1"/>
  <c r="Q4909" i="1"/>
  <c r="Q1792" i="1"/>
  <c r="Q1827" i="1"/>
  <c r="Q1877" i="1"/>
  <c r="Q1908" i="1"/>
  <c r="Q2007" i="1"/>
  <c r="Q2042" i="1"/>
  <c r="Q2142" i="1"/>
  <c r="Q2454" i="1"/>
  <c r="Q4998" i="1"/>
  <c r="Q2906" i="1"/>
  <c r="Q3038" i="1"/>
  <c r="Q3269" i="1"/>
  <c r="Q950" i="1"/>
  <c r="Q1229" i="1"/>
  <c r="Q1259" i="1"/>
  <c r="Q1337" i="1"/>
  <c r="Q370" i="1"/>
  <c r="Q378" i="1"/>
  <c r="Q23" i="1"/>
  <c r="Q398" i="1"/>
  <c r="Q405" i="1"/>
  <c r="Q412" i="1"/>
  <c r="Q388" i="1"/>
  <c r="Q304" i="1"/>
  <c r="Q312" i="1"/>
  <c r="Q319" i="1"/>
  <c r="Q326" i="1"/>
  <c r="Q335" i="1"/>
  <c r="Q342" i="1"/>
  <c r="Q349" i="1"/>
  <c r="Q356" i="1"/>
  <c r="Q363" i="1"/>
  <c r="Q2852" i="1"/>
  <c r="Q1059" i="1"/>
  <c r="Q2106" i="1"/>
  <c r="Q3542" i="1"/>
  <c r="Q942" i="1"/>
  <c r="Q1268" i="1"/>
  <c r="Q1580" i="1"/>
  <c r="Q216" i="1"/>
  <c r="Q562" i="1"/>
  <c r="Q571" i="1"/>
  <c r="Q578" i="1"/>
  <c r="Q586" i="1"/>
  <c r="Q597" i="1"/>
  <c r="Q604" i="1"/>
  <c r="Q644" i="1"/>
  <c r="Q654" i="1"/>
  <c r="Q663" i="1"/>
  <c r="Q2242" i="1"/>
  <c r="Q615" i="1"/>
  <c r="Q621" i="1"/>
  <c r="Q629" i="1"/>
  <c r="Q637" i="1"/>
  <c r="Q66" i="1"/>
  <c r="Q67" i="1"/>
  <c r="Q68" i="1"/>
  <c r="Q69" i="1"/>
  <c r="Q1165" i="1"/>
  <c r="Q3601" i="1"/>
  <c r="Q1095" i="1"/>
  <c r="Q4914" i="1"/>
  <c r="Q1130" i="1"/>
  <c r="Q1803" i="1"/>
  <c r="Q2018" i="1"/>
  <c r="Q2053" i="1"/>
  <c r="Q2432" i="1"/>
  <c r="Q3014" i="1"/>
  <c r="Q987" i="1"/>
  <c r="Q1009" i="1"/>
  <c r="Q1031" i="1"/>
  <c r="Q4903" i="1"/>
  <c r="Q1838" i="1"/>
  <c r="Q1865" i="1"/>
  <c r="Q1899" i="1"/>
  <c r="Q2893" i="1"/>
  <c r="Q2913" i="1"/>
  <c r="Q912" i="1"/>
  <c r="Q1226" i="1"/>
  <c r="Q1346" i="1"/>
  <c r="Q1370" i="1"/>
  <c r="Q1414" i="1"/>
  <c r="Q1441" i="1"/>
  <c r="Q82" i="1"/>
  <c r="Q91" i="1"/>
  <c r="Q107" i="1"/>
  <c r="Q109" i="1"/>
  <c r="Q117" i="1"/>
  <c r="Q126" i="1"/>
  <c r="Q134" i="1"/>
  <c r="Q143" i="1"/>
  <c r="Q151" i="1"/>
  <c r="Q160" i="1"/>
  <c r="Q2105" i="1"/>
  <c r="Q3096" i="1"/>
  <c r="Q2759" i="1"/>
  <c r="Q1304" i="1"/>
  <c r="Q1300" i="1"/>
  <c r="Q1284" i="1"/>
  <c r="Q1730" i="1"/>
  <c r="Q1285" i="1"/>
  <c r="Q1286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26" i="1"/>
  <c r="Q1727" i="1"/>
  <c r="Q1748" i="1"/>
  <c r="Q1749" i="1"/>
  <c r="Q1750" i="1"/>
  <c r="Q2339" i="1"/>
  <c r="Q2341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70" i="1"/>
  <c r="Q3672" i="1"/>
  <c r="Q3659" i="1"/>
  <c r="Q3660" i="1"/>
  <c r="Q3671" i="1"/>
  <c r="Q3666" i="1"/>
  <c r="Q3661" i="1"/>
  <c r="Q3662" i="1"/>
  <c r="Q3663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79" i="1"/>
  <c r="Q3780" i="1"/>
  <c r="Q3768" i="1"/>
  <c r="Q3769" i="1"/>
  <c r="Q3777" i="1"/>
  <c r="Q3774" i="1"/>
  <c r="Q3770" i="1"/>
  <c r="Q3771" i="1"/>
  <c r="Q1302" i="1"/>
  <c r="Q1287" i="1"/>
  <c r="Q1288" i="1"/>
  <c r="Q1308" i="1"/>
  <c r="Q1291" i="1"/>
  <c r="Q1294" i="1"/>
  <c r="Q1289" i="1"/>
  <c r="Q1296" i="1"/>
  <c r="Q1297" i="1"/>
  <c r="Q1298" i="1"/>
  <c r="Q1293" i="1"/>
  <c r="Q1480" i="1"/>
  <c r="Q1471" i="1"/>
  <c r="Q1484" i="1"/>
  <c r="Q1464" i="1"/>
  <c r="Q1489" i="1"/>
  <c r="Q1490" i="1"/>
  <c r="Q1491" i="1"/>
  <c r="Q1492" i="1"/>
  <c r="Q1493" i="1"/>
  <c r="Q1494" i="1"/>
  <c r="Q1482" i="1"/>
  <c r="Q1495" i="1"/>
  <c r="Q1496" i="1"/>
  <c r="Q1497" i="1"/>
  <c r="Q1498" i="1"/>
  <c r="Q1499" i="1"/>
  <c r="Q1486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05" i="1"/>
  <c r="Q1506" i="1"/>
  <c r="Q1531" i="1"/>
  <c r="Q1532" i="1"/>
  <c r="Q1503" i="1"/>
  <c r="Q1501" i="1"/>
  <c r="Q1533" i="1"/>
  <c r="Q153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39" i="1"/>
  <c r="Q1540" i="1"/>
  <c r="Q1565" i="1"/>
  <c r="Q1566" i="1"/>
  <c r="Q1537" i="1"/>
  <c r="Q1535" i="1"/>
  <c r="Q1567" i="1"/>
  <c r="Q1568" i="1"/>
  <c r="Q1596" i="1"/>
  <c r="Q1620" i="1"/>
  <c r="Q1621" i="1"/>
  <c r="Q1622" i="1"/>
  <c r="Q1623" i="1"/>
  <c r="Q1606" i="1"/>
  <c r="Q1604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07" i="1"/>
  <c r="Q1636" i="1"/>
  <c r="Q1614" i="1"/>
  <c r="Q1615" i="1"/>
  <c r="Q1637" i="1"/>
  <c r="Q1638" i="1"/>
  <c r="Q1611" i="1"/>
  <c r="Q1609" i="1"/>
  <c r="Q1639" i="1"/>
  <c r="Q1640" i="1"/>
  <c r="Q1465" i="1"/>
  <c r="Q1474" i="1"/>
  <c r="Q1472" i="1"/>
  <c r="Q1469" i="1"/>
  <c r="Q1473" i="1"/>
  <c r="Q1470" i="1"/>
  <c r="Q1500" i="1"/>
  <c r="Q1475" i="1"/>
  <c r="Q1466" i="1"/>
  <c r="Q1477" i="1"/>
  <c r="Q1478" i="1"/>
  <c r="Q1467" i="1"/>
  <c r="Q1663" i="1"/>
  <c r="Q1664" i="1"/>
  <c r="Q1665" i="1"/>
  <c r="Q1666" i="1"/>
  <c r="Q1667" i="1"/>
  <c r="Q1668" i="1"/>
  <c r="Q1669" i="1"/>
  <c r="Q1670" i="1"/>
  <c r="Q1657" i="1"/>
  <c r="Q1671" i="1"/>
  <c r="Q1672" i="1"/>
  <c r="Q1673" i="1"/>
  <c r="Q1674" i="1"/>
  <c r="Q1675" i="1"/>
  <c r="Q1676" i="1"/>
  <c r="Q1659" i="1"/>
  <c r="Q1646" i="1"/>
  <c r="Q1645" i="1"/>
  <c r="Q1653" i="1"/>
  <c r="Q1655" i="1"/>
  <c r="Q1644" i="1"/>
  <c r="Q1641" i="1"/>
  <c r="Q1642" i="1"/>
  <c r="Q1648" i="1"/>
  <c r="Q1647" i="1"/>
  <c r="Q1650" i="1"/>
  <c r="Q1649" i="1"/>
  <c r="Q1651" i="1"/>
  <c r="Q1687" i="1"/>
  <c r="Q1688" i="1"/>
  <c r="Q1775" i="1"/>
  <c r="Q1776" i="1"/>
  <c r="Q1777" i="1"/>
  <c r="Q1778" i="1"/>
  <c r="Q1779" i="1"/>
  <c r="Q1780" i="1"/>
  <c r="Q1781" i="1"/>
  <c r="Q1782" i="1"/>
  <c r="Q1783" i="1"/>
  <c r="Q1784" i="1"/>
  <c r="Q1785" i="1"/>
  <c r="Q1773" i="1"/>
  <c r="Q1684" i="1"/>
  <c r="Q1689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38" i="1"/>
  <c r="Q1935" i="1"/>
  <c r="Q1966" i="1"/>
  <c r="Q1967" i="1"/>
  <c r="Q1968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9" i="1"/>
  <c r="Q3600" i="1"/>
  <c r="Q3590" i="1"/>
  <c r="Q3591" i="1"/>
  <c r="Q3595" i="1"/>
  <c r="Q3596" i="1"/>
  <c r="Q3592" i="1"/>
  <c r="Q3593" i="1"/>
  <c r="Q3594" i="1"/>
  <c r="Q1690" i="1"/>
  <c r="Q1715" i="1"/>
  <c r="Q1721" i="1"/>
  <c r="Q1716" i="1"/>
  <c r="Q1723" i="1"/>
  <c r="Q1717" i="1"/>
  <c r="Q2166" i="1"/>
  <c r="Q1751" i="1"/>
  <c r="Q1767" i="1"/>
  <c r="Q1761" i="1"/>
  <c r="Q1771" i="1"/>
  <c r="Q1756" i="1"/>
  <c r="Q1759" i="1"/>
  <c r="Q2176" i="1"/>
  <c r="Q1786" i="1"/>
  <c r="Q1769" i="1"/>
  <c r="Q2177" i="1"/>
  <c r="Q2178" i="1"/>
  <c r="Q2179" i="1"/>
  <c r="Q2180" i="1"/>
  <c r="Q2181" i="1"/>
  <c r="Q2182" i="1"/>
  <c r="Q2183" i="1"/>
  <c r="Q2184" i="1"/>
  <c r="Q2185" i="1"/>
  <c r="Q2186" i="1"/>
  <c r="Q2187" i="1"/>
  <c r="Q2174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193" i="1"/>
  <c r="Q2216" i="1"/>
  <c r="Q2217" i="1"/>
  <c r="Q2218" i="1"/>
  <c r="Q2191" i="1"/>
  <c r="Q2188" i="1"/>
  <c r="Q2219" i="1"/>
  <c r="Q2220" i="1"/>
  <c r="Q1753" i="1"/>
  <c r="Q1752" i="1"/>
  <c r="Q1757" i="1"/>
  <c r="Q1755" i="1"/>
  <c r="Q1754" i="1"/>
  <c r="Q1760" i="1"/>
  <c r="Q1758" i="1"/>
  <c r="Q1764" i="1"/>
  <c r="Q1789" i="1"/>
  <c r="Q1762" i="1"/>
  <c r="Q1982" i="1"/>
  <c r="Q1984" i="1"/>
  <c r="Q1986" i="1"/>
  <c r="Q3227" i="1"/>
  <c r="Q3228" i="1"/>
  <c r="Q3229" i="1"/>
  <c r="Q3230" i="1"/>
  <c r="Q3231" i="1"/>
  <c r="Q3232" i="1"/>
  <c r="Q3233" i="1"/>
  <c r="Q3234" i="1"/>
  <c r="Q3235" i="1"/>
  <c r="Q3236" i="1"/>
  <c r="Q3237" i="1"/>
  <c r="Q3223" i="1"/>
  <c r="Q3238" i="1"/>
  <c r="Q3247" i="1"/>
  <c r="Q3239" i="1"/>
  <c r="Q3250" i="1"/>
  <c r="Q1973" i="1"/>
  <c r="Q3251" i="1"/>
  <c r="Q3271" i="1"/>
  <c r="Q3252" i="1"/>
  <c r="Q3267" i="1"/>
  <c r="Q3253" i="1"/>
  <c r="Q3254" i="1"/>
  <c r="Q3255" i="1"/>
  <c r="Q3256" i="1"/>
  <c r="Q3257" i="1"/>
  <c r="Q3258" i="1"/>
  <c r="Q3259" i="1"/>
  <c r="Q1969" i="1"/>
  <c r="Q3260" i="1"/>
  <c r="Q3261" i="1"/>
  <c r="Q3262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52" i="1"/>
  <c r="Q3453" i="1"/>
  <c r="Q3440" i="1"/>
  <c r="Q3441" i="1"/>
  <c r="Q3448" i="1"/>
  <c r="Q3449" i="1"/>
  <c r="Q3442" i="1"/>
  <c r="Q3443" i="1"/>
  <c r="Q3444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14" i="1"/>
  <c r="Q3815" i="1"/>
  <c r="Q3803" i="1"/>
  <c r="Q3804" i="1"/>
  <c r="Q3812" i="1"/>
  <c r="Q3809" i="1"/>
  <c r="Q3805" i="1"/>
  <c r="Q3806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47" i="1"/>
  <c r="Q3848" i="1"/>
  <c r="Q3844" i="1"/>
  <c r="Q3828" i="1"/>
  <c r="Q3829" i="1"/>
  <c r="Q3850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42" i="1"/>
  <c r="Q3744" i="1"/>
  <c r="Q3727" i="1"/>
  <c r="Q3728" i="1"/>
  <c r="Q1971" i="1"/>
  <c r="Q1970" i="1"/>
  <c r="Q1980" i="1"/>
  <c r="Q1972" i="1"/>
  <c r="Q1974" i="1"/>
  <c r="Q3287" i="1"/>
  <c r="Q1976" i="1"/>
  <c r="Q1979" i="1"/>
  <c r="Q2151" i="1"/>
  <c r="Q2172" i="1"/>
  <c r="Q2168" i="1"/>
  <c r="Q2170" i="1"/>
  <c r="Q2154" i="1"/>
  <c r="Q2158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8" i="1"/>
  <c r="Q2155" i="1"/>
  <c r="Q2282" i="1"/>
  <c r="Q2160" i="1"/>
  <c r="Q2159" i="1"/>
  <c r="Q2156" i="1"/>
  <c r="Q2161" i="1"/>
  <c r="Q2164" i="1"/>
  <c r="Q2283" i="1"/>
  <c r="Q2157" i="1"/>
  <c r="Q2167" i="1"/>
  <c r="Q2226" i="1"/>
  <c r="Q2240" i="1"/>
  <c r="Q2238" i="1"/>
  <c r="Q2228" i="1"/>
  <c r="Q2229" i="1"/>
  <c r="Q2230" i="1"/>
  <c r="Q2284" i="1"/>
  <c r="Q2273" i="1"/>
  <c r="Q2285" i="1"/>
  <c r="Q2286" i="1"/>
  <c r="Q2287" i="1"/>
  <c r="Q2288" i="1"/>
  <c r="Q2289" i="1"/>
  <c r="Q2290" i="1"/>
  <c r="Q2291" i="1"/>
  <c r="Q2292" i="1"/>
  <c r="Q2293" i="1"/>
  <c r="Q2294" i="1"/>
  <c r="Q2295" i="1"/>
  <c r="Q2300" i="1"/>
  <c r="Q3135" i="1"/>
  <c r="Q3136" i="1"/>
  <c r="Q3137" i="1"/>
  <c r="Q3139" i="1"/>
  <c r="Q3138" i="1"/>
  <c r="Q1204" i="1"/>
  <c r="Q1205" i="1"/>
  <c r="Q1206" i="1"/>
  <c r="Q1179" i="1"/>
  <c r="Q1207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10" i="1"/>
  <c r="Q3211" i="1"/>
  <c r="Q3200" i="1"/>
  <c r="Q3207" i="1"/>
  <c r="Q3208" i="1"/>
  <c r="Q3201" i="1"/>
  <c r="Q3202" i="1"/>
  <c r="Q3203" i="1"/>
  <c r="Q2232" i="1"/>
  <c r="Q2276" i="1"/>
  <c r="Q2278" i="1"/>
  <c r="Q2298" i="1"/>
  <c r="Q2268" i="1"/>
  <c r="Q2263" i="1"/>
  <c r="Q2266" i="1"/>
  <c r="Q2270" i="1"/>
  <c r="Q2265" i="1"/>
  <c r="Q2271" i="1"/>
  <c r="Q2274" i="1"/>
  <c r="Q2272" i="1"/>
  <c r="Q2269" i="1"/>
  <c r="Q2296" i="1"/>
  <c r="Q3324" i="1"/>
  <c r="Q3325" i="1"/>
  <c r="Q3326" i="1"/>
  <c r="Q3327" i="1"/>
  <c r="Q3328" i="1"/>
  <c r="Q3329" i="1"/>
  <c r="Q3343" i="1"/>
  <c r="Q3345" i="1"/>
  <c r="Q3330" i="1"/>
  <c r="Q3331" i="1"/>
  <c r="Q3332" i="1"/>
  <c r="Q3333" i="1"/>
  <c r="Q3334" i="1"/>
  <c r="Q3342" i="1"/>
  <c r="Q2275" i="1"/>
  <c r="Q3377" i="1"/>
  <c r="Q3349" i="1"/>
  <c r="Q3380" i="1"/>
  <c r="Q3350" i="1"/>
  <c r="Q3351" i="1"/>
  <c r="Q3352" i="1"/>
  <c r="Q3376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81" i="1"/>
  <c r="Q3371" i="1"/>
  <c r="Q1157" i="1"/>
  <c r="Q1158" i="1"/>
  <c r="Q1159" i="1"/>
  <c r="Q1160" i="1"/>
  <c r="Q1161" i="1"/>
  <c r="Q1162" i="1"/>
  <c r="Q1163" i="1"/>
  <c r="Q1164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57" i="1"/>
  <c r="Q2949" i="1"/>
  <c r="Q2960" i="1"/>
  <c r="Q2950" i="1"/>
  <c r="Q2951" i="1"/>
  <c r="Q2304" i="1"/>
  <c r="Q2310" i="1"/>
  <c r="Q2380" i="1"/>
  <c r="Q2389" i="1"/>
  <c r="Q2391" i="1"/>
  <c r="Q2970" i="1"/>
  <c r="Q2373" i="1"/>
  <c r="Q2408" i="1"/>
  <c r="Q2381" i="1"/>
  <c r="Q2382" i="1"/>
  <c r="Q2378" i="1"/>
  <c r="Q2374" i="1"/>
  <c r="Q2375" i="1"/>
  <c r="Q2383" i="1"/>
  <c r="Q2379" i="1"/>
  <c r="Q2386" i="1"/>
  <c r="Q2387" i="1"/>
  <c r="Q2984" i="1"/>
  <c r="Q2985" i="1"/>
  <c r="Q2986" i="1"/>
  <c r="Q2987" i="1"/>
  <c r="Q2978" i="1"/>
  <c r="Q2988" i="1"/>
  <c r="Q2989" i="1"/>
  <c r="Q2990" i="1"/>
  <c r="Q2991" i="1"/>
  <c r="Q2992" i="1"/>
  <c r="Q3092" i="1"/>
  <c r="Q3093" i="1"/>
  <c r="Q3094" i="1"/>
  <c r="Q3095" i="1"/>
  <c r="Q3" i="1"/>
  <c r="Q1016" i="1"/>
  <c r="Q1096" i="1"/>
  <c r="Q4915" i="1"/>
  <c r="Q2384" i="1"/>
  <c r="Q2395" i="1"/>
  <c r="Q2390" i="1"/>
  <c r="Q2376" i="1"/>
  <c r="Q1679" i="1"/>
  <c r="Q1691" i="1"/>
  <c r="Q2459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685" i="1"/>
  <c r="Q1710" i="1"/>
  <c r="Q1711" i="1"/>
  <c r="Q1682" i="1"/>
  <c r="Q1712" i="1"/>
  <c r="Q1839" i="1"/>
  <c r="Q2054" i="1"/>
  <c r="Q2337" i="1"/>
  <c r="Q2485" i="1"/>
  <c r="Q2311" i="1"/>
  <c r="Q2307" i="1"/>
  <c r="Q2312" i="1"/>
  <c r="Q2302" i="1"/>
  <c r="Q2303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8" i="1"/>
  <c r="Q2305" i="1"/>
  <c r="Q2333" i="1"/>
  <c r="Q2433" i="1"/>
  <c r="Q2460" i="1"/>
  <c r="Q2461" i="1"/>
  <c r="Q2462" i="1"/>
  <c r="Q2463" i="1"/>
  <c r="Q2505" i="1"/>
  <c r="Q2464" i="1"/>
  <c r="Q2858" i="1"/>
  <c r="Q2861" i="1"/>
  <c r="Q2862" i="1"/>
  <c r="Q2863" i="1"/>
  <c r="Q4965" i="1"/>
  <c r="Q2487" i="1"/>
  <c r="Q2473" i="1"/>
  <c r="Q2475" i="1"/>
  <c r="Q2472" i="1"/>
  <c r="Q4969" i="1"/>
  <c r="Q4971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6" i="1"/>
  <c r="Q2928" i="1"/>
  <c r="Q3081" i="1"/>
  <c r="Q3082" i="1"/>
  <c r="Q3090" i="1"/>
  <c r="Q3091" i="1"/>
  <c r="Q3083" i="1"/>
  <c r="Q3088" i="1"/>
  <c r="Q3086" i="1"/>
  <c r="Q3084" i="1"/>
  <c r="Q3085" i="1"/>
  <c r="Q3264" i="1"/>
  <c r="Q3413" i="1"/>
  <c r="Q3416" i="1"/>
  <c r="Q3388" i="1"/>
  <c r="Q3382" i="1"/>
  <c r="Q3412" i="1"/>
  <c r="Q3389" i="1"/>
  <c r="Q3390" i="1"/>
  <c r="Q3391" i="1"/>
  <c r="Q3383" i="1"/>
  <c r="Q3392" i="1"/>
  <c r="Q3393" i="1"/>
  <c r="Q3394" i="1"/>
  <c r="Q3395" i="1"/>
  <c r="Q3396" i="1"/>
  <c r="Q3397" i="1"/>
  <c r="Q3398" i="1"/>
  <c r="Q3399" i="1"/>
  <c r="Q3400" i="1"/>
  <c r="Q3401" i="1"/>
  <c r="Q3384" i="1"/>
  <c r="Q3402" i="1"/>
  <c r="Q3403" i="1"/>
  <c r="Q3404" i="1"/>
  <c r="Q3405" i="1"/>
  <c r="Q3406" i="1"/>
  <c r="Q3407" i="1"/>
  <c r="Q3408" i="1"/>
  <c r="Q3417" i="1"/>
  <c r="Q3409" i="1"/>
  <c r="Q3830" i="1"/>
  <c r="Q3831" i="1"/>
  <c r="Q3832" i="1"/>
  <c r="Q3833" i="1"/>
  <c r="Q3834" i="1"/>
  <c r="Q3835" i="1"/>
  <c r="Q3836" i="1"/>
  <c r="Q2471" i="1"/>
  <c r="Q2479" i="1"/>
  <c r="Q2476" i="1"/>
  <c r="Q2477" i="1"/>
  <c r="Q2478" i="1"/>
  <c r="Q2481" i="1"/>
  <c r="Q1991" i="1"/>
  <c r="Q2512" i="1"/>
  <c r="Q2508" i="1"/>
  <c r="Q2518" i="1"/>
  <c r="Q2510" i="1"/>
  <c r="Q2550" i="1"/>
  <c r="Q2578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1988" i="1"/>
  <c r="Q2787" i="1"/>
  <c r="Q2818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19" i="1"/>
  <c r="Q2807" i="1"/>
  <c r="Q2808" i="1"/>
  <c r="Q2814" i="1"/>
  <c r="Q2815" i="1"/>
  <c r="Q2810" i="1"/>
  <c r="Q2811" i="1"/>
  <c r="Q4110" i="1"/>
  <c r="Q4120" i="1"/>
  <c r="Q4128" i="1"/>
  <c r="Q4138" i="1"/>
  <c r="Q4147" i="1"/>
  <c r="Q4156" i="1"/>
  <c r="Q4165" i="1"/>
  <c r="Q320" i="1"/>
  <c r="Q329" i="1"/>
  <c r="Q346" i="1"/>
  <c r="Q350" i="1"/>
  <c r="Q357" i="1"/>
  <c r="Q364" i="1"/>
  <c r="Q371" i="1"/>
  <c r="Q379" i="1"/>
  <c r="Q384" i="1"/>
  <c r="Q389" i="1"/>
  <c r="Q394" i="1"/>
  <c r="Q399" i="1"/>
  <c r="Q4387" i="1"/>
  <c r="Q4390" i="1"/>
  <c r="Q413" i="1"/>
  <c r="Q682" i="1"/>
  <c r="Q696" i="1"/>
  <c r="Q717" i="1"/>
  <c r="Q727" i="1"/>
  <c r="Q731" i="1"/>
  <c r="Q743" i="1"/>
  <c r="Q750" i="1"/>
  <c r="Q759" i="1"/>
  <c r="Q995" i="1"/>
  <c r="Q2224" i="1"/>
  <c r="Q2915" i="1"/>
  <c r="Q3615" i="1"/>
  <c r="Q3616" i="1"/>
  <c r="Q3617" i="1"/>
  <c r="Q3618" i="1"/>
  <c r="Q3619" i="1"/>
  <c r="Q3620" i="1"/>
  <c r="Q3633" i="1"/>
  <c r="Q3631" i="1"/>
  <c r="Q3621" i="1"/>
  <c r="Q3622" i="1"/>
  <c r="Q3685" i="1"/>
  <c r="Q2713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6" i="1"/>
  <c r="Q2747" i="1"/>
  <c r="Q2740" i="1"/>
  <c r="Q2741" i="1"/>
  <c r="Q2742" i="1"/>
  <c r="Q2743" i="1"/>
  <c r="Q2718" i="1"/>
  <c r="Q2555" i="1"/>
  <c r="Q2545" i="1"/>
  <c r="Q2546" i="1"/>
  <c r="Q2547" i="1"/>
  <c r="Q2548" i="1"/>
  <c r="Q2551" i="1"/>
  <c r="Q2549" i="1"/>
  <c r="Q2557" i="1"/>
  <c r="Q2561" i="1"/>
  <c r="Q2552" i="1"/>
  <c r="Q2763" i="1"/>
  <c r="Q2758" i="1"/>
  <c r="Q2764" i="1"/>
  <c r="Q2683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84" i="1"/>
  <c r="Q2680" i="1"/>
  <c r="Q2709" i="1"/>
  <c r="Q2681" i="1"/>
  <c r="Q2243" i="1"/>
  <c r="Q2685" i="1"/>
  <c r="Q2686" i="1"/>
  <c r="Q2687" i="1"/>
  <c r="Q2244" i="1"/>
  <c r="Q2688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62" i="1"/>
  <c r="Q2259" i="1"/>
  <c r="Q2689" i="1"/>
  <c r="Q2690" i="1"/>
  <c r="Q2691" i="1"/>
  <c r="Q2692" i="1"/>
  <c r="Q2693" i="1"/>
  <c r="Q2694" i="1"/>
  <c r="Q2780" i="1"/>
  <c r="Q2748" i="1"/>
  <c r="Q2782" i="1"/>
  <c r="Q2761" i="1"/>
  <c r="Q2750" i="1"/>
  <c r="Q2752" i="1"/>
  <c r="Q2749" i="1"/>
  <c r="Q2755" i="1"/>
  <c r="Q2753" i="1"/>
  <c r="Q2751" i="1"/>
  <c r="Q2778" i="1"/>
  <c r="Q2396" i="1"/>
  <c r="Q2397" i="1"/>
  <c r="Q2398" i="1"/>
  <c r="Q2399" i="1"/>
  <c r="Q2400" i="1"/>
  <c r="Q2401" i="1"/>
  <c r="Q2402" i="1"/>
  <c r="Q2403" i="1"/>
  <c r="Q2404" i="1"/>
  <c r="Q2405" i="1"/>
  <c r="Q2406" i="1"/>
  <c r="Q2410" i="1"/>
  <c r="Q2407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14" i="1"/>
  <c r="Q2615" i="1"/>
  <c r="Q2609" i="1"/>
  <c r="Q2610" i="1"/>
  <c r="Q2583" i="1"/>
  <c r="Q2581" i="1"/>
  <c r="Q2611" i="1"/>
  <c r="Q2612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89" i="1"/>
  <c r="Q3490" i="1"/>
  <c r="Q3478" i="1"/>
  <c r="Q3479" i="1"/>
  <c r="Q3485" i="1"/>
  <c r="Q3486" i="1"/>
  <c r="Q3480" i="1"/>
  <c r="Q3481" i="1"/>
  <c r="Q3482" i="1"/>
  <c r="Q4995" i="1"/>
  <c r="Q4970" i="1"/>
  <c r="Q4972" i="1"/>
  <c r="Q4993" i="1"/>
  <c r="Q2963" i="1"/>
  <c r="Q2968" i="1"/>
  <c r="Q2958" i="1"/>
  <c r="Q2962" i="1"/>
  <c r="Q2952" i="1"/>
  <c r="Q2966" i="1"/>
  <c r="Q2965" i="1"/>
  <c r="Q3506" i="1"/>
  <c r="Q3509" i="1"/>
  <c r="Q2969" i="1"/>
  <c r="Q3519" i="1"/>
  <c r="Q3520" i="1"/>
  <c r="Q3521" i="1"/>
  <c r="Q3522" i="1"/>
  <c r="Q2956" i="1"/>
  <c r="Q2953" i="1"/>
  <c r="Q3525" i="1"/>
  <c r="Q3513" i="1"/>
  <c r="Q3514" i="1"/>
  <c r="Q3515" i="1"/>
  <c r="Q3004" i="1"/>
  <c r="Q3518" i="1"/>
  <c r="Q3491" i="1"/>
  <c r="Q3002" i="1"/>
  <c r="Q2977" i="1"/>
  <c r="Q2979" i="1"/>
  <c r="Q2980" i="1"/>
  <c r="Q2993" i="1"/>
  <c r="Q3078" i="1"/>
  <c r="Q3157" i="1"/>
  <c r="Q3044" i="1"/>
  <c r="Q3045" i="1"/>
  <c r="Q3074" i="1"/>
  <c r="Q3047" i="1"/>
  <c r="Q3046" i="1"/>
  <c r="Q3048" i="1"/>
  <c r="Q3158" i="1"/>
  <c r="Q3076" i="1"/>
  <c r="Q3159" i="1"/>
  <c r="Q3160" i="1"/>
  <c r="Q3161" i="1"/>
  <c r="Q3162" i="1"/>
  <c r="Q3163" i="1"/>
  <c r="Q3164" i="1"/>
  <c r="Q3060" i="1"/>
  <c r="Q3052" i="1"/>
  <c r="Q3165" i="1"/>
  <c r="Q3166" i="1"/>
  <c r="Q3167" i="1"/>
  <c r="Q3168" i="1"/>
  <c r="Q3169" i="1"/>
  <c r="Q3177" i="1"/>
  <c r="Q3054" i="1"/>
  <c r="Q3055" i="1"/>
  <c r="Q3056" i="1"/>
  <c r="Q3057" i="1"/>
  <c r="Q3050" i="1"/>
  <c r="Q3132" i="1"/>
  <c r="Q3128" i="1"/>
  <c r="Q3103" i="1"/>
  <c r="Q3061" i="1"/>
  <c r="Q3104" i="1"/>
  <c r="Q3130" i="1"/>
  <c r="Q3108" i="1"/>
  <c r="Q3109" i="1"/>
  <c r="Q3100" i="1"/>
  <c r="Q3105" i="1"/>
  <c r="Q3062" i="1"/>
  <c r="Q3063" i="1"/>
  <c r="Q3064" i="1"/>
  <c r="Q3065" i="1"/>
  <c r="Q3066" i="1"/>
  <c r="Q3067" i="1"/>
  <c r="Q3068" i="1"/>
  <c r="Q3069" i="1"/>
  <c r="Q3070" i="1"/>
  <c r="Q3071" i="1"/>
  <c r="Q3072" i="1"/>
  <c r="Q3080" i="1"/>
  <c r="Q3073" i="1"/>
  <c r="Q1925" i="1"/>
  <c r="Q2868" i="1"/>
  <c r="Q2885" i="1"/>
  <c r="Q2869" i="1"/>
  <c r="Q2857" i="1"/>
  <c r="Q2889" i="1"/>
  <c r="Q2870" i="1"/>
  <c r="Q2871" i="1"/>
  <c r="Q2872" i="1"/>
  <c r="Q2873" i="1"/>
  <c r="Q2874" i="1"/>
  <c r="Q2875" i="1"/>
  <c r="Q2876" i="1"/>
  <c r="Q2877" i="1"/>
  <c r="Q2878" i="1"/>
  <c r="Q2879" i="1"/>
  <c r="Q2880" i="1"/>
  <c r="Q2890" i="1"/>
  <c r="Q288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60" i="1"/>
  <c r="Q4961" i="1"/>
  <c r="Q4949" i="1"/>
  <c r="Q4950" i="1"/>
  <c r="Q4958" i="1"/>
  <c r="Q4951" i="1"/>
  <c r="Q4952" i="1"/>
  <c r="Q3106" i="1"/>
  <c r="Q3110" i="1"/>
  <c r="Q3107" i="1"/>
  <c r="Q3101" i="1"/>
  <c r="Q3142" i="1"/>
  <c r="Q3141" i="1"/>
  <c r="Q3144" i="1"/>
  <c r="Q3176" i="1"/>
  <c r="Q3173" i="1"/>
  <c r="Q3145" i="1"/>
  <c r="Q3150" i="1"/>
  <c r="Q3147" i="1"/>
  <c r="Q3114" i="1"/>
  <c r="Q3171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34" i="1"/>
  <c r="Q3127" i="1"/>
  <c r="Q958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181" i="1"/>
  <c r="Q1200" i="1"/>
  <c r="Q1201" i="1"/>
  <c r="Q1183" i="1"/>
  <c r="Q1202" i="1"/>
  <c r="Q1203" i="1"/>
  <c r="Q3170" i="1"/>
  <c r="Q3152" i="1"/>
  <c r="Q3153" i="1"/>
  <c r="Q3151" i="1"/>
  <c r="Q3143" i="1"/>
  <c r="Q3146" i="1"/>
  <c r="Q3243" i="1"/>
  <c r="Q1309" i="1"/>
  <c r="Q3246" i="1"/>
  <c r="Q3216" i="1"/>
  <c r="Q3241" i="1"/>
  <c r="Q3215" i="1"/>
  <c r="Q3212" i="1"/>
  <c r="Q3214" i="1"/>
  <c r="Q3221" i="1"/>
  <c r="Q3217" i="1"/>
  <c r="Q1310" i="1"/>
  <c r="Q1311" i="1"/>
  <c r="Q1312" i="1"/>
  <c r="Q1313" i="1"/>
  <c r="Q1314" i="1"/>
  <c r="Q1315" i="1"/>
  <c r="Q1316" i="1"/>
  <c r="Q1317" i="1"/>
  <c r="Q1318" i="1"/>
  <c r="Q1319" i="1"/>
  <c r="Q1320" i="1"/>
  <c r="Q1306" i="1"/>
  <c r="Q3218" i="1"/>
  <c r="Q3219" i="1"/>
  <c r="Q3220" i="1"/>
  <c r="Q3240" i="1"/>
  <c r="Q3268" i="1"/>
  <c r="Q3263" i="1"/>
  <c r="Q3304" i="1"/>
  <c r="Q3272" i="1"/>
  <c r="Q3302" i="1"/>
  <c r="Q3307" i="1"/>
  <c r="Q3274" i="1"/>
  <c r="Q3276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480" i="1"/>
  <c r="Q2503" i="1"/>
  <c r="Q2507" i="1"/>
  <c r="Q2504" i="1"/>
  <c r="Q3273" i="1"/>
  <c r="Q3278" i="1"/>
  <c r="Q3279" i="1"/>
  <c r="Q3280" i="1"/>
  <c r="Q2509" i="1"/>
  <c r="Q2515" i="1"/>
  <c r="Q2543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44" i="1"/>
  <c r="Q2537" i="1"/>
  <c r="Q2538" i="1"/>
  <c r="Q2539" i="1"/>
  <c r="Q3301" i="1"/>
  <c r="Q3281" i="1"/>
  <c r="Q3282" i="1"/>
  <c r="Q3340" i="1"/>
  <c r="Q3309" i="1"/>
  <c r="Q3310" i="1"/>
  <c r="Q3311" i="1"/>
  <c r="Q3314" i="1"/>
  <c r="Q3338" i="1"/>
  <c r="Q2562" i="1"/>
  <c r="Q3336" i="1"/>
  <c r="Q3316" i="1"/>
  <c r="Q3313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80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17" i="1"/>
  <c r="Q2634" i="1"/>
  <c r="Q2645" i="1"/>
  <c r="Q2671" i="1"/>
  <c r="Q2641" i="1"/>
  <c r="Q2656" i="1"/>
  <c r="Q2657" i="1"/>
  <c r="Q2642" i="1"/>
  <c r="Q2658" i="1"/>
  <c r="Q2637" i="1"/>
  <c r="Q2638" i="1"/>
  <c r="Q2659" i="1"/>
  <c r="Q2660" i="1"/>
  <c r="Q2661" i="1"/>
  <c r="Q2662" i="1"/>
  <c r="Q2663" i="1"/>
  <c r="Q2639" i="1"/>
  <c r="Q2640" i="1"/>
  <c r="Q2664" i="1"/>
  <c r="Q2665" i="1"/>
  <c r="Q2666" i="1"/>
  <c r="Q2667" i="1"/>
  <c r="Q2668" i="1"/>
  <c r="Q2673" i="1"/>
  <c r="Q2643" i="1"/>
  <c r="Q2669" i="1"/>
  <c r="Q2650" i="1"/>
  <c r="Q2652" i="1"/>
  <c r="Q2670" i="1"/>
  <c r="Q2644" i="1"/>
  <c r="Q4920" i="1"/>
  <c r="Q4921" i="1"/>
  <c r="Q4922" i="1"/>
  <c r="Q4923" i="1"/>
  <c r="Q3315" i="1"/>
  <c r="Q3335" i="1"/>
  <c r="Q3317" i="1"/>
  <c r="Q3344" i="1"/>
  <c r="Q3318" i="1"/>
  <c r="Q3320" i="1"/>
  <c r="Q3372" i="1"/>
  <c r="Q3494" i="1"/>
  <c r="Q3507" i="1"/>
  <c r="Q3508" i="1"/>
  <c r="Q2695" i="1"/>
  <c r="Q3510" i="1"/>
  <c r="Q3511" i="1"/>
  <c r="Q3492" i="1"/>
  <c r="Q2696" i="1"/>
  <c r="Q3497" i="1"/>
  <c r="Q2697" i="1"/>
  <c r="Q2698" i="1"/>
  <c r="Q2699" i="1"/>
  <c r="Q2700" i="1"/>
  <c r="Q2701" i="1"/>
  <c r="Q2702" i="1"/>
  <c r="Q2703" i="1"/>
  <c r="Q2704" i="1"/>
  <c r="Q2705" i="1"/>
  <c r="Q2706" i="1"/>
  <c r="Q2707" i="1"/>
  <c r="Q2710" i="1"/>
  <c r="Q4924" i="1"/>
  <c r="Q4925" i="1"/>
  <c r="Q4926" i="1"/>
  <c r="Q4927" i="1"/>
  <c r="Q2084" i="1"/>
  <c r="Q2085" i="1"/>
  <c r="Q2086" i="1"/>
  <c r="Q2087" i="1"/>
  <c r="Q2088" i="1"/>
  <c r="Q2089" i="1"/>
  <c r="Q2090" i="1"/>
  <c r="Q2079" i="1"/>
  <c r="Q2080" i="1"/>
  <c r="Q2091" i="1"/>
  <c r="Q2092" i="1"/>
  <c r="Q2077" i="1"/>
  <c r="Q2074" i="1"/>
  <c r="Q2093" i="1"/>
  <c r="Q2297" i="1"/>
  <c r="Q1069" i="1"/>
  <c r="Q2097" i="1"/>
  <c r="Q2124" i="1"/>
  <c r="Q2132" i="1"/>
  <c r="Q2133" i="1"/>
  <c r="Q3531" i="1"/>
  <c r="Q3539" i="1"/>
  <c r="Q3540" i="1"/>
  <c r="Q3541" i="1"/>
  <c r="Q4893" i="1"/>
  <c r="Q4894" i="1"/>
  <c r="Q664" i="1"/>
  <c r="Q665" i="1"/>
  <c r="Q666" i="1"/>
  <c r="Q667" i="1"/>
  <c r="Q668" i="1"/>
  <c r="Q690" i="1"/>
  <c r="Q4353" i="1"/>
  <c r="Q4354" i="1"/>
  <c r="Q4357" i="1"/>
  <c r="Q4355" i="1"/>
  <c r="Q4359" i="1"/>
  <c r="Q4360" i="1"/>
  <c r="Q4361" i="1"/>
  <c r="Q4362" i="1"/>
  <c r="Q217" i="1"/>
  <c r="Q218" i="1"/>
  <c r="Q219" i="1"/>
  <c r="Q221" i="1"/>
  <c r="Q222" i="1"/>
  <c r="Q224" i="1"/>
  <c r="Q225" i="1"/>
  <c r="Q226" i="1"/>
  <c r="Q227" i="1"/>
  <c r="Q229" i="1"/>
  <c r="Q230" i="1"/>
  <c r="Q231" i="1"/>
  <c r="Q232" i="1"/>
  <c r="Q234" i="1"/>
  <c r="Q235" i="1"/>
  <c r="Q236" i="1"/>
  <c r="Q237" i="1"/>
  <c r="Q294" i="1"/>
  <c r="Q295" i="1"/>
  <c r="Q297" i="1"/>
  <c r="Q296" i="1"/>
  <c r="Q299" i="1"/>
  <c r="Q300" i="1"/>
  <c r="Q301" i="1"/>
  <c r="Q302" i="1"/>
  <c r="Q59" i="1"/>
  <c r="Q60" i="1"/>
  <c r="Q4363" i="1"/>
  <c r="Q4364" i="1"/>
  <c r="Q4365" i="1"/>
  <c r="Q4368" i="1"/>
  <c r="Q4367" i="1"/>
  <c r="Q4370" i="1"/>
  <c r="Q4371" i="1"/>
  <c r="Q4372" i="1"/>
  <c r="Q4373" i="1"/>
  <c r="Q4374" i="1"/>
  <c r="Q255" i="1"/>
  <c r="Q256" i="1"/>
  <c r="Q257" i="1"/>
  <c r="Q258" i="1"/>
  <c r="Q277" i="1"/>
  <c r="Q278" i="1"/>
  <c r="Q279" i="1"/>
  <c r="Q280" i="1"/>
  <c r="Q238" i="1"/>
  <c r="Q239" i="1"/>
  <c r="Q240" i="1"/>
  <c r="Q241" i="1"/>
  <c r="Q243" i="1"/>
  <c r="Q245" i="1"/>
  <c r="Q246" i="1"/>
  <c r="Q247" i="1"/>
  <c r="Q248" i="1"/>
  <c r="Q249" i="1"/>
  <c r="Q251" i="1"/>
  <c r="Q252" i="1"/>
  <c r="Q253" i="1"/>
  <c r="Q254" i="1"/>
  <c r="Q1041" i="1"/>
  <c r="Q1091" i="1"/>
  <c r="Q1092" i="1"/>
  <c r="Q1093" i="1"/>
  <c r="Q1094" i="1"/>
  <c r="Q1126" i="1"/>
  <c r="Q1127" i="1"/>
  <c r="Q1128" i="1"/>
  <c r="Q1129" i="1"/>
  <c r="Q1799" i="1"/>
  <c r="Q1800" i="1"/>
  <c r="Q1801" i="1"/>
  <c r="Q1802" i="1"/>
  <c r="Q1834" i="1"/>
  <c r="Q1835" i="1"/>
  <c r="Q1836" i="1"/>
  <c r="Q1837" i="1"/>
  <c r="Q1868" i="1"/>
  <c r="Q1869" i="1"/>
  <c r="Q1884" i="1"/>
  <c r="Q1885" i="1"/>
  <c r="Q1915" i="1"/>
  <c r="Q1916" i="1"/>
  <c r="Q1917" i="1"/>
  <c r="Q1904" i="1"/>
  <c r="Q2014" i="1"/>
  <c r="Q2015" i="1"/>
  <c r="Q2016" i="1"/>
  <c r="Q2017" i="1"/>
  <c r="Q2049" i="1"/>
  <c r="Q2050" i="1"/>
  <c r="Q2051" i="1"/>
  <c r="Q2052" i="1"/>
  <c r="Q2145" i="1"/>
  <c r="Q2416" i="1"/>
  <c r="Q2429" i="1"/>
  <c r="Q2430" i="1"/>
  <c r="Q2431" i="1"/>
  <c r="Q2456" i="1"/>
  <c r="Q2457" i="1"/>
  <c r="Q2458" i="1"/>
  <c r="Q3010" i="1"/>
  <c r="Q3011" i="1"/>
  <c r="Q3012" i="1"/>
  <c r="Q3013" i="1"/>
  <c r="Q3609" i="1"/>
  <c r="Q3610" i="1"/>
  <c r="Q3611" i="1"/>
  <c r="Q3612" i="1"/>
  <c r="Q3678" i="1"/>
  <c r="Q3679" i="1"/>
  <c r="Q3680" i="1"/>
  <c r="Q3681" i="1"/>
  <c r="Q3709" i="1"/>
  <c r="Q3710" i="1"/>
  <c r="Q3711" i="1"/>
  <c r="Q3712" i="1"/>
  <c r="Q3713" i="1"/>
  <c r="Q913" i="1"/>
  <c r="Q923" i="1"/>
  <c r="Q924" i="1"/>
  <c r="Q914" i="1"/>
  <c r="Q937" i="1"/>
  <c r="Q939" i="1"/>
  <c r="Q972" i="1"/>
  <c r="Q973" i="1"/>
  <c r="Q974" i="1"/>
  <c r="Q975" i="1"/>
  <c r="Q976" i="1"/>
  <c r="Q979" i="1"/>
  <c r="Q980" i="1"/>
  <c r="Q981" i="1"/>
  <c r="Q982" i="1"/>
  <c r="Q983" i="1"/>
  <c r="Q1225" i="1"/>
  <c r="Q1223" i="1"/>
  <c r="Q1235" i="1"/>
  <c r="Q1236" i="1"/>
  <c r="Q1281" i="1"/>
  <c r="Q1254" i="1"/>
  <c r="Q1266" i="1"/>
  <c r="Q1267" i="1"/>
  <c r="Q1329" i="1"/>
  <c r="Q1328" i="1"/>
  <c r="Q1344" i="1"/>
  <c r="Q1345" i="1"/>
  <c r="Q1366" i="1"/>
  <c r="Q1367" i="1"/>
  <c r="Q1368" i="1"/>
  <c r="Q1369" i="1"/>
  <c r="Q1400" i="1"/>
  <c r="Q1411" i="1"/>
  <c r="Q1412" i="1"/>
  <c r="Q1413" i="1"/>
  <c r="Q1437" i="1"/>
  <c r="Q1438" i="1"/>
  <c r="Q1439" i="1"/>
  <c r="Q1440" i="1"/>
  <c r="Q1576" i="1"/>
  <c r="Q1577" i="1"/>
  <c r="Q1578" i="1"/>
  <c r="Q1579" i="1"/>
  <c r="Q72" i="1"/>
  <c r="Q73" i="1"/>
  <c r="Q74" i="1"/>
  <c r="Q76" i="1"/>
  <c r="Q77" i="1"/>
  <c r="Q78" i="1"/>
  <c r="Q79" i="1"/>
  <c r="Q80" i="1"/>
  <c r="Q282" i="1"/>
  <c r="Q283" i="1"/>
  <c r="Q284" i="1"/>
  <c r="Q285" i="1"/>
  <c r="Q287" i="1"/>
  <c r="Q289" i="1"/>
  <c r="Q290" i="1"/>
  <c r="Q291" i="1"/>
  <c r="Q292" i="1"/>
  <c r="Q406" i="1"/>
  <c r="Q4376" i="1"/>
  <c r="Q4377" i="1"/>
  <c r="Q4378" i="1"/>
  <c r="Q4379" i="1"/>
  <c r="Q4380" i="1"/>
  <c r="Q4382" i="1"/>
  <c r="Q4383" i="1"/>
  <c r="Q4384" i="1"/>
  <c r="Q4385" i="1"/>
  <c r="Q4386" i="1"/>
  <c r="Q262" i="1"/>
  <c r="Q263" i="1"/>
  <c r="Q264" i="1"/>
  <c r="Q261" i="1"/>
  <c r="Q260" i="1"/>
  <c r="Q267" i="1"/>
  <c r="Q268" i="1"/>
  <c r="Q269" i="1"/>
  <c r="Q270" i="1"/>
  <c r="Q272" i="1"/>
  <c r="Q273" i="1"/>
  <c r="Q274" i="1"/>
  <c r="Q275" i="1"/>
  <c r="Q276" i="1"/>
  <c r="Q314" i="1"/>
  <c r="Q337" i="1"/>
  <c r="Q2830" i="1"/>
  <c r="Q2831" i="1"/>
  <c r="Q2832" i="1"/>
  <c r="Q2833" i="1"/>
  <c r="Q1044" i="1"/>
  <c r="Q1043" i="1"/>
  <c r="Q4904" i="1"/>
  <c r="Q1065" i="1"/>
  <c r="Q1066" i="1"/>
  <c r="Q4911" i="1"/>
  <c r="Q2045" i="1"/>
  <c r="Q2046" i="1"/>
  <c r="Q2094" i="1"/>
  <c r="Q2056" i="1"/>
  <c r="Q2116" i="1"/>
  <c r="Q2104" i="1"/>
  <c r="Q3016" i="1"/>
  <c r="Q3017" i="1"/>
  <c r="Q3041" i="1"/>
  <c r="Q3543" i="1"/>
  <c r="Q938" i="1"/>
  <c r="Q956" i="1"/>
  <c r="Q4901" i="1"/>
  <c r="Q957" i="1"/>
  <c r="Q959" i="1"/>
  <c r="Q4910" i="1"/>
  <c r="Q1264" i="1"/>
  <c r="Q1232" i="1"/>
  <c r="Q1239" i="1"/>
  <c r="Q1260" i="1"/>
  <c r="Q1263" i="1"/>
  <c r="Q1238" i="1"/>
  <c r="Q1444" i="1"/>
  <c r="Q1572" i="1"/>
  <c r="Q1573" i="1"/>
  <c r="Q1574" i="1"/>
  <c r="Q1581" i="1"/>
  <c r="Q1582" i="1"/>
  <c r="Q1442" i="1"/>
  <c r="Q1443" i="1"/>
  <c r="Q19" i="1"/>
  <c r="Q20" i="1"/>
  <c r="Q5" i="1"/>
  <c r="Q4" i="1"/>
  <c r="Q45" i="1"/>
  <c r="Q46" i="1"/>
  <c r="Q47" i="1"/>
  <c r="Q44" i="1"/>
  <c r="Q49" i="1"/>
  <c r="Q50" i="1"/>
  <c r="Q51" i="1"/>
  <c r="Q48" i="1"/>
  <c r="Q53" i="1"/>
  <c r="Q54" i="1"/>
  <c r="Q55" i="1"/>
  <c r="Q52" i="1"/>
  <c r="Q4876" i="1"/>
  <c r="Q4877" i="1"/>
  <c r="Q4878" i="1"/>
  <c r="Q540" i="1"/>
  <c r="Q541" i="1"/>
  <c r="Q542" i="1"/>
  <c r="Q539" i="1"/>
  <c r="Q548" i="1"/>
  <c r="Q547" i="1"/>
  <c r="Q549" i="1"/>
  <c r="Q550" i="1"/>
  <c r="Q551" i="1"/>
  <c r="Q552" i="1"/>
  <c r="Q553" i="1"/>
  <c r="Q554" i="1"/>
  <c r="Q556" i="1"/>
  <c r="Q555" i="1"/>
  <c r="Q557" i="1"/>
  <c r="Q558" i="1"/>
  <c r="Q673" i="1"/>
  <c r="Q674" i="1"/>
  <c r="Q675" i="1"/>
  <c r="Q672" i="1"/>
  <c r="Q7" i="1"/>
  <c r="Q10" i="1"/>
  <c r="Q11" i="1"/>
  <c r="Q12" i="1"/>
  <c r="Q14" i="1"/>
  <c r="Q6" i="1"/>
  <c r="Q9" i="1"/>
  <c r="Q18" i="1"/>
  <c r="Q530" i="1"/>
  <c r="Q531" i="1"/>
  <c r="Q534" i="1"/>
  <c r="Q535" i="1"/>
  <c r="Q536" i="1"/>
  <c r="Q537" i="1"/>
  <c r="Q538" i="1"/>
  <c r="Q533" i="1"/>
  <c r="Q1072" i="1"/>
  <c r="Q1086" i="1"/>
  <c r="Q1087" i="1"/>
  <c r="Q1088" i="1"/>
  <c r="Q1097" i="1"/>
  <c r="Q1098" i="1"/>
  <c r="Q1070" i="1"/>
  <c r="Q1071" i="1"/>
  <c r="Q4890" i="1"/>
  <c r="Q4891" i="1"/>
  <c r="Q4892" i="1"/>
  <c r="Q4900" i="1"/>
  <c r="Q1102" i="1"/>
  <c r="Q1120" i="1"/>
  <c r="Q1121" i="1"/>
  <c r="Q1122" i="1"/>
  <c r="Q1131" i="1"/>
  <c r="Q1132" i="1"/>
  <c r="Q1100" i="1"/>
  <c r="Q1101" i="1"/>
  <c r="Q1133" i="1"/>
  <c r="Q1831" i="1"/>
  <c r="Q1841" i="1"/>
  <c r="Q1875" i="1"/>
  <c r="Q1880" i="1"/>
  <c r="Q1881" i="1"/>
  <c r="Q1882" i="1"/>
  <c r="Q1886" i="1"/>
  <c r="Q1842" i="1"/>
  <c r="Q1890" i="1"/>
  <c r="Q1911" i="1"/>
  <c r="Q1912" i="1"/>
  <c r="Q1889" i="1"/>
  <c r="Q168" i="1"/>
  <c r="Q169" i="1"/>
  <c r="Q170" i="1"/>
  <c r="Q171" i="1"/>
  <c r="Q172" i="1"/>
  <c r="Q70" i="1"/>
  <c r="Q71" i="1"/>
  <c r="Q173" i="1"/>
  <c r="Q176" i="1"/>
  <c r="Q174" i="1"/>
  <c r="Q177" i="1"/>
  <c r="Q175" i="1"/>
  <c r="Q1137" i="1"/>
  <c r="Q1153" i="1"/>
  <c r="Q1154" i="1"/>
  <c r="Q1155" i="1"/>
  <c r="Q1166" i="1"/>
  <c r="Q1167" i="1"/>
  <c r="Q1135" i="1"/>
  <c r="Q1136" i="1"/>
  <c r="Q2995" i="1"/>
  <c r="Q2908" i="1"/>
  <c r="Q2914" i="1"/>
  <c r="Q2924" i="1"/>
  <c r="Q2929" i="1"/>
  <c r="Q2973" i="1"/>
  <c r="Q2994" i="1"/>
  <c r="Q2996" i="1"/>
  <c r="Q3676" i="1"/>
  <c r="Q3705" i="1"/>
  <c r="Q3675" i="1"/>
  <c r="Q3706" i="1"/>
  <c r="Q3856" i="1"/>
  <c r="Q3857" i="1"/>
  <c r="Q3858" i="1"/>
  <c r="Q3852" i="1"/>
  <c r="Q3864" i="1"/>
  <c r="Q3865" i="1"/>
  <c r="Q3860" i="1"/>
  <c r="Q3866" i="1"/>
  <c r="Q3872" i="1"/>
  <c r="Q3873" i="1"/>
  <c r="Q3874" i="1"/>
  <c r="Q3868" i="1"/>
  <c r="Q3880" i="1"/>
  <c r="Q3881" i="1"/>
  <c r="Q3882" i="1"/>
  <c r="Q3876" i="1"/>
  <c r="Q3888" i="1"/>
  <c r="Q3889" i="1"/>
  <c r="Q3890" i="1"/>
  <c r="Q3884" i="1"/>
  <c r="Q3896" i="1"/>
  <c r="Q3897" i="1"/>
  <c r="Q3898" i="1"/>
  <c r="Q3892" i="1"/>
  <c r="Q3904" i="1"/>
  <c r="Q3905" i="1"/>
  <c r="Q3906" i="1"/>
  <c r="Q3900" i="1"/>
  <c r="Q3912" i="1"/>
  <c r="Q3913" i="1"/>
  <c r="Q3914" i="1"/>
  <c r="Q3908" i="1"/>
  <c r="Q3920" i="1"/>
  <c r="Q3921" i="1"/>
  <c r="Q3922" i="1"/>
  <c r="Q3916" i="1"/>
  <c r="Q3928" i="1"/>
  <c r="Q3929" i="1"/>
  <c r="Q3930" i="1"/>
  <c r="Q3924" i="1"/>
  <c r="Q3936" i="1"/>
  <c r="Q3937" i="1"/>
  <c r="Q3938" i="1"/>
  <c r="Q3932" i="1"/>
  <c r="Q3944" i="1"/>
  <c r="Q3945" i="1"/>
  <c r="Q3940" i="1"/>
  <c r="Q3946" i="1"/>
  <c r="Q3952" i="1"/>
  <c r="Q3953" i="1"/>
  <c r="Q3954" i="1"/>
  <c r="Q3948" i="1"/>
  <c r="Q3960" i="1"/>
  <c r="Q3961" i="1"/>
  <c r="Q3962" i="1"/>
  <c r="Q3956" i="1"/>
  <c r="Q3968" i="1"/>
  <c r="Q3969" i="1"/>
  <c r="Q3970" i="1"/>
  <c r="Q3964" i="1"/>
  <c r="Q3976" i="1"/>
  <c r="Q3977" i="1"/>
  <c r="Q3978" i="1"/>
  <c r="Q3972" i="1"/>
  <c r="Q3984" i="1"/>
  <c r="Q3985" i="1"/>
  <c r="Q3986" i="1"/>
  <c r="Q3980" i="1"/>
  <c r="Q3992" i="1"/>
  <c r="Q3993" i="1"/>
  <c r="Q3994" i="1"/>
  <c r="Q3988" i="1"/>
  <c r="Q4000" i="1"/>
  <c r="Q4001" i="1"/>
  <c r="Q4002" i="1"/>
  <c r="Q3996" i="1"/>
  <c r="Q4008" i="1"/>
  <c r="Q4009" i="1"/>
  <c r="Q4010" i="1"/>
  <c r="Q4004" i="1"/>
  <c r="Q4016" i="1"/>
  <c r="Q4017" i="1"/>
  <c r="Q4018" i="1"/>
  <c r="Q4012" i="1"/>
  <c r="Q4024" i="1"/>
  <c r="Q4025" i="1"/>
  <c r="Q4026" i="1"/>
  <c r="Q4020" i="1"/>
  <c r="Q4032" i="1"/>
  <c r="Q4033" i="1"/>
  <c r="Q4034" i="1"/>
  <c r="Q4028" i="1"/>
  <c r="Q4100" i="1"/>
  <c r="Q4101" i="1"/>
  <c r="Q4102" i="1"/>
  <c r="Q4099" i="1"/>
  <c r="Q4108" i="1"/>
  <c r="Q4109" i="1"/>
  <c r="Q4111" i="1"/>
  <c r="Q4104" i="1"/>
  <c r="Q4117" i="1"/>
  <c r="Q4118" i="1"/>
  <c r="Q4113" i="1"/>
  <c r="Q4119" i="1"/>
  <c r="Q4126" i="1"/>
  <c r="Q4127" i="1"/>
  <c r="Q4129" i="1"/>
  <c r="Q4121" i="1"/>
  <c r="Q4135" i="1"/>
  <c r="Q4136" i="1"/>
  <c r="Q4137" i="1"/>
  <c r="Q4131" i="1"/>
  <c r="Q4144" i="1"/>
  <c r="Q4145" i="1"/>
  <c r="Q4146" i="1"/>
  <c r="Q4140" i="1"/>
  <c r="Q4153" i="1"/>
  <c r="Q4154" i="1"/>
  <c r="Q4155" i="1"/>
  <c r="Q4149" i="1"/>
  <c r="Q4162" i="1"/>
  <c r="Q4163" i="1"/>
  <c r="Q4164" i="1"/>
  <c r="Q4158" i="1"/>
  <c r="Q4179" i="1"/>
  <c r="Q4180" i="1"/>
  <c r="Q4181" i="1"/>
  <c r="Q4174" i="1"/>
  <c r="Q4189" i="1"/>
  <c r="Q4190" i="1"/>
  <c r="Q4191" i="1"/>
  <c r="Q4188" i="1"/>
  <c r="Q4197" i="1"/>
  <c r="Q4198" i="1"/>
  <c r="Q4199" i="1"/>
  <c r="Q4193" i="1"/>
  <c r="Q4205" i="1"/>
  <c r="Q4206" i="1"/>
  <c r="Q4207" i="1"/>
  <c r="Q4201" i="1"/>
  <c r="Q4212" i="1"/>
  <c r="Q4213" i="1"/>
  <c r="Q4214" i="1"/>
  <c r="Q4209" i="1"/>
  <c r="Q4221" i="1"/>
  <c r="Q4222" i="1"/>
  <c r="Q4223" i="1"/>
  <c r="Q4217" i="1"/>
  <c r="Q4229" i="1"/>
  <c r="Q4230" i="1"/>
  <c r="Q4231" i="1"/>
  <c r="Q4225" i="1"/>
  <c r="Q4237" i="1"/>
  <c r="Q4238" i="1"/>
  <c r="Q4239" i="1"/>
  <c r="Q4233" i="1"/>
  <c r="Q4244" i="1"/>
  <c r="Q4245" i="1"/>
  <c r="Q4246" i="1"/>
  <c r="Q4241" i="1"/>
  <c r="Q4253" i="1"/>
  <c r="Q4254" i="1"/>
  <c r="Q4255" i="1"/>
  <c r="Q4249" i="1"/>
  <c r="Q4261" i="1"/>
  <c r="Q4262" i="1"/>
  <c r="Q4263" i="1"/>
  <c r="Q4257" i="1"/>
  <c r="Q4269" i="1"/>
  <c r="Q4270" i="1"/>
  <c r="Q4265" i="1"/>
  <c r="Q4271" i="1"/>
  <c r="Q4277" i="1"/>
  <c r="Q4278" i="1"/>
  <c r="Q4279" i="1"/>
  <c r="Q4273" i="1"/>
  <c r="Q4285" i="1"/>
  <c r="Q4286" i="1"/>
  <c r="Q4281" i="1"/>
  <c r="Q4287" i="1"/>
  <c r="Q4292" i="1"/>
  <c r="Q4293" i="1"/>
  <c r="Q4294" i="1"/>
  <c r="Q4289" i="1"/>
  <c r="Q4301" i="1"/>
  <c r="Q4302" i="1"/>
  <c r="Q4303" i="1"/>
  <c r="Q4297" i="1"/>
  <c r="Q4309" i="1"/>
  <c r="Q4310" i="1"/>
  <c r="Q4311" i="1"/>
  <c r="Q4305" i="1"/>
  <c r="Q4317" i="1"/>
  <c r="Q4318" i="1"/>
  <c r="Q4319" i="1"/>
  <c r="Q4313" i="1"/>
  <c r="Q4325" i="1"/>
  <c r="Q4326" i="1"/>
  <c r="Q4327" i="1"/>
  <c r="Q4321" i="1"/>
  <c r="Q4333" i="1"/>
  <c r="Q4334" i="1"/>
  <c r="Q4335" i="1"/>
  <c r="Q4329" i="1"/>
  <c r="Q4341" i="1"/>
  <c r="Q4342" i="1"/>
  <c r="Q4343" i="1"/>
  <c r="Q4337" i="1"/>
  <c r="Q33" i="1"/>
  <c r="Q34" i="1"/>
  <c r="Q35" i="1"/>
  <c r="Q36" i="1"/>
  <c r="Q37" i="1"/>
  <c r="Q38" i="1"/>
  <c r="Q31" i="1"/>
  <c r="Q32" i="1"/>
  <c r="Q4349" i="1"/>
  <c r="Q4350" i="1"/>
  <c r="Q4351" i="1"/>
  <c r="Q4352" i="1"/>
  <c r="Q4394" i="1"/>
  <c r="Q4399" i="1"/>
  <c r="Q4400" i="1"/>
  <c r="Q4393" i="1"/>
  <c r="Q4402" i="1"/>
  <c r="Q4407" i="1"/>
  <c r="Q4408" i="1"/>
  <c r="Q4406" i="1"/>
  <c r="Q4410" i="1"/>
  <c r="Q4415" i="1"/>
  <c r="Q4416" i="1"/>
  <c r="Q4409" i="1"/>
  <c r="Q4418" i="1"/>
  <c r="Q4422" i="1"/>
  <c r="Q4423" i="1"/>
  <c r="Q4424" i="1"/>
  <c r="Q4430" i="1"/>
  <c r="Q4431" i="1"/>
  <c r="Q4432" i="1"/>
  <c r="Q4426" i="1"/>
  <c r="Q4434" i="1"/>
  <c r="Q4438" i="1"/>
  <c r="Q4439" i="1"/>
  <c r="Q4440" i="1"/>
  <c r="Q4446" i="1"/>
  <c r="Q4447" i="1"/>
  <c r="Q4448" i="1"/>
  <c r="Q4442" i="1"/>
  <c r="Q4454" i="1"/>
  <c r="Q4450" i="1"/>
  <c r="Q4455" i="1"/>
  <c r="Q4456" i="1"/>
  <c r="Q4462" i="1"/>
  <c r="Q4463" i="1"/>
  <c r="Q4464" i="1"/>
  <c r="Q4458" i="1"/>
  <c r="Q4470" i="1"/>
  <c r="Q4471" i="1"/>
  <c r="Q4472" i="1"/>
  <c r="Q4466" i="1"/>
  <c r="Q4478" i="1"/>
  <c r="Q4479" i="1"/>
  <c r="Q4480" i="1"/>
  <c r="Q4474" i="1"/>
  <c r="Q4486" i="1"/>
  <c r="Q4487" i="1"/>
  <c r="Q4488" i="1"/>
  <c r="Q4482" i="1"/>
  <c r="Q4494" i="1"/>
  <c r="Q4495" i="1"/>
  <c r="Q4496" i="1"/>
  <c r="Q4489" i="1"/>
  <c r="Q4502" i="1"/>
  <c r="Q4503" i="1"/>
  <c r="Q4504" i="1"/>
  <c r="Q4498" i="1"/>
  <c r="Q4510" i="1"/>
  <c r="Q4511" i="1"/>
  <c r="Q4512" i="1"/>
  <c r="Q4506" i="1"/>
  <c r="Q4518" i="1"/>
  <c r="Q4519" i="1"/>
  <c r="Q4520" i="1"/>
  <c r="Q4514" i="1"/>
  <c r="Q4526" i="1"/>
  <c r="Q4527" i="1"/>
  <c r="Q4528" i="1"/>
  <c r="Q4522" i="1"/>
  <c r="Q4534" i="1"/>
  <c r="Q4535" i="1"/>
  <c r="Q4536" i="1"/>
  <c r="Q4530" i="1"/>
  <c r="Q4542" i="1"/>
  <c r="Q4543" i="1"/>
  <c r="Q4544" i="1"/>
  <c r="Q4538" i="1"/>
  <c r="Q4550" i="1"/>
  <c r="Q4551" i="1"/>
  <c r="Q4552" i="1"/>
  <c r="Q4546" i="1"/>
  <c r="Q4558" i="1"/>
  <c r="Q4559" i="1"/>
  <c r="Q4560" i="1"/>
  <c r="Q4554" i="1"/>
  <c r="Q4566" i="1"/>
  <c r="Q4567" i="1"/>
  <c r="Q4568" i="1"/>
  <c r="Q4562" i="1"/>
  <c r="Q4574" i="1"/>
  <c r="Q4575" i="1"/>
  <c r="Q4576" i="1"/>
  <c r="Q4570" i="1"/>
  <c r="Q4642" i="1"/>
  <c r="Q4641" i="1"/>
  <c r="Q4643" i="1"/>
  <c r="Q4644" i="1"/>
  <c r="Q4646" i="1"/>
  <c r="Q4651" i="1"/>
  <c r="Q4652" i="1"/>
  <c r="Q4645" i="1"/>
  <c r="Q4654" i="1"/>
  <c r="Q4658" i="1"/>
  <c r="Q4659" i="1"/>
  <c r="Q4660" i="1"/>
  <c r="Q4663" i="1"/>
  <c r="Q4667" i="1"/>
  <c r="Q4668" i="1"/>
  <c r="Q4661" i="1"/>
  <c r="Q4674" i="1"/>
  <c r="Q4675" i="1"/>
  <c r="Q4676" i="1"/>
  <c r="Q4670" i="1"/>
  <c r="Q4682" i="1"/>
  <c r="Q4683" i="1"/>
  <c r="Q4684" i="1"/>
  <c r="Q4678" i="1"/>
  <c r="Q4690" i="1"/>
  <c r="Q4691" i="1"/>
  <c r="Q4692" i="1"/>
  <c r="Q4686" i="1"/>
  <c r="Q4694" i="1"/>
  <c r="Q4698" i="1"/>
  <c r="Q4699" i="1"/>
  <c r="Q4700" i="1"/>
  <c r="Q4714" i="1"/>
  <c r="Q4715" i="1"/>
  <c r="Q4716" i="1"/>
  <c r="Q4710" i="1"/>
  <c r="Q4724" i="1"/>
  <c r="Q4723" i="1"/>
  <c r="Q4725" i="1"/>
  <c r="Q4726" i="1"/>
  <c r="Q4728" i="1"/>
  <c r="Q4733" i="1"/>
  <c r="Q4734" i="1"/>
  <c r="Q4727" i="1"/>
  <c r="Q4740" i="1"/>
  <c r="Q4736" i="1"/>
  <c r="Q4741" i="1"/>
  <c r="Q4742" i="1"/>
  <c r="Q4745" i="1"/>
  <c r="Q4749" i="1"/>
  <c r="Q4750" i="1"/>
  <c r="Q4744" i="1"/>
  <c r="Q4755" i="1"/>
  <c r="Q4752" i="1"/>
  <c r="Q4756" i="1"/>
  <c r="Q4757" i="1"/>
  <c r="Q4760" i="1"/>
  <c r="Q4765" i="1"/>
  <c r="Q4766" i="1"/>
  <c r="Q4759" i="1"/>
  <c r="Q4768" i="1"/>
  <c r="Q4772" i="1"/>
  <c r="Q4773" i="1"/>
  <c r="Q4774" i="1"/>
  <c r="Q4780" i="1"/>
  <c r="Q4781" i="1"/>
  <c r="Q4782" i="1"/>
  <c r="Q4777" i="1"/>
  <c r="Q4787" i="1"/>
  <c r="Q4784" i="1"/>
  <c r="Q4788" i="1"/>
  <c r="Q4789" i="1"/>
  <c r="Q4792" i="1"/>
  <c r="Q4797" i="1"/>
  <c r="Q4798" i="1"/>
  <c r="Q4791" i="1"/>
  <c r="Q4800" i="1"/>
  <c r="Q4804" i="1"/>
  <c r="Q4805" i="1"/>
  <c r="Q4806" i="1"/>
  <c r="Q4808" i="1"/>
  <c r="Q4813" i="1"/>
  <c r="Q4814" i="1"/>
  <c r="Q4807" i="1"/>
  <c r="Q4816" i="1"/>
  <c r="Q4820" i="1"/>
  <c r="Q4821" i="1"/>
  <c r="Q4822" i="1"/>
  <c r="Q4825" i="1"/>
  <c r="Q4829" i="1"/>
  <c r="Q4830" i="1"/>
  <c r="Q4824" i="1"/>
  <c r="Q4836" i="1"/>
  <c r="Q4837" i="1"/>
  <c r="Q4838" i="1"/>
  <c r="Q4831" i="1"/>
  <c r="Q4844" i="1"/>
  <c r="Q4845" i="1"/>
  <c r="Q4846" i="1"/>
  <c r="Q4840" i="1"/>
  <c r="Q4852" i="1"/>
  <c r="Q4853" i="1"/>
  <c r="Q4854" i="1"/>
  <c r="Q4848" i="1"/>
  <c r="Q4860" i="1"/>
  <c r="Q4861" i="1"/>
  <c r="Q4862" i="1"/>
  <c r="Q4856" i="1"/>
  <c r="Q4868" i="1"/>
  <c r="Q4869" i="1"/>
  <c r="Q4870" i="1"/>
  <c r="Q4864" i="1"/>
  <c r="Q4872" i="1"/>
  <c r="Q3544" i="1"/>
  <c r="Q3545" i="1"/>
  <c r="Q3562" i="1"/>
  <c r="Q3563" i="1"/>
  <c r="Q3602" i="1"/>
  <c r="Q3603" i="1"/>
  <c r="Q3604" i="1"/>
  <c r="Q3605" i="1"/>
  <c r="Q3607" i="1"/>
  <c r="Q3634" i="1"/>
  <c r="Q3635" i="1"/>
  <c r="Q3636" i="1"/>
  <c r="Q1585" i="1"/>
  <c r="Q1586" i="1"/>
  <c r="Q1795" i="1"/>
  <c r="Q1584" i="1"/>
  <c r="Q1887" i="1"/>
  <c r="Q1919" i="1"/>
  <c r="Q1920" i="1"/>
  <c r="Q2010" i="1"/>
  <c r="Q1918" i="1"/>
  <c r="Q2020" i="1"/>
  <c r="Q2021" i="1"/>
  <c r="Q2019" i="1"/>
  <c r="Q2134" i="1"/>
  <c r="Q2129" i="1"/>
  <c r="Q2130" i="1"/>
  <c r="Q2131" i="1"/>
  <c r="Q2435" i="1"/>
  <c r="Q2997" i="1"/>
  <c r="Q2998" i="1"/>
  <c r="Q3006" i="1"/>
  <c r="Q3015" i="1"/>
  <c r="Q960" i="1"/>
  <c r="Q989" i="1"/>
  <c r="Q991" i="1"/>
  <c r="Q992" i="1"/>
  <c r="Q985" i="1"/>
  <c r="Q1012" i="1"/>
  <c r="Q1013" i="1"/>
  <c r="Q1017" i="1"/>
  <c r="Q994" i="1"/>
  <c r="Q1028" i="1"/>
  <c r="Q1018" i="1"/>
  <c r="Q1039" i="1"/>
  <c r="Q1040" i="1"/>
  <c r="Q1038" i="1"/>
  <c r="Q1042" i="1"/>
  <c r="Q1805" i="1"/>
  <c r="Q1806" i="1"/>
  <c r="Q1830" i="1"/>
  <c r="Q1804" i="1"/>
  <c r="Q2836" i="1"/>
  <c r="Q2854" i="1"/>
  <c r="Q2855" i="1"/>
  <c r="Q2907" i="1"/>
  <c r="Q919" i="1"/>
  <c r="Q910" i="1"/>
  <c r="Q925" i="1"/>
  <c r="Q926" i="1"/>
  <c r="Q927" i="1"/>
  <c r="Q921" i="1"/>
  <c r="Q1169" i="1"/>
  <c r="Q1168" i="1"/>
  <c r="Q1222" i="1"/>
  <c r="Q1230" i="1"/>
  <c r="Q1231" i="1"/>
  <c r="Q1171" i="1"/>
  <c r="Q1270" i="1"/>
  <c r="Q1269" i="1"/>
  <c r="Q1330" i="1"/>
  <c r="Q1341" i="1"/>
  <c r="Q1342" i="1"/>
  <c r="Q1283" i="1"/>
  <c r="Q1348" i="1"/>
  <c r="Q1349" i="1"/>
  <c r="Q1362" i="1"/>
  <c r="Q1347" i="1"/>
  <c r="Q1373" i="1"/>
  <c r="Q1363" i="1"/>
  <c r="Q1401" i="1"/>
  <c r="Q1407" i="1"/>
  <c r="Q1408" i="1"/>
  <c r="Q1371" i="1"/>
  <c r="Q1416" i="1"/>
  <c r="Q1417" i="1"/>
  <c r="Q1433" i="1"/>
  <c r="Q1415" i="1"/>
  <c r="Q2834" i="1"/>
  <c r="Q2436" i="1"/>
  <c r="Q2446" i="1"/>
  <c r="Q2447" i="1"/>
  <c r="Q2448" i="1"/>
  <c r="Q2835" i="1"/>
  <c r="Q1074" i="1"/>
  <c r="Q1064" i="1"/>
  <c r="Q2101" i="1"/>
  <c r="Q2108" i="1"/>
  <c r="Q2127" i="1"/>
  <c r="Q2118" i="1"/>
  <c r="Q2120" i="1"/>
  <c r="Q3557" i="1"/>
  <c r="Q3532" i="1"/>
  <c r="Q3546" i="1"/>
  <c r="Q3547" i="1"/>
  <c r="Q872" i="1"/>
  <c r="Q871" i="1"/>
  <c r="Q876" i="1"/>
  <c r="Q870" i="1"/>
  <c r="Q882" i="1"/>
  <c r="Q877" i="1"/>
  <c r="Q878" i="1"/>
  <c r="Q879" i="1"/>
  <c r="Q906" i="1"/>
  <c r="Q907" i="1"/>
  <c r="Q903" i="1"/>
  <c r="Q1105" i="1"/>
  <c r="Q1106" i="1"/>
  <c r="Q1107" i="1"/>
  <c r="Q1085" i="1"/>
  <c r="Q774" i="1"/>
  <c r="Q779" i="1"/>
  <c r="Q777" i="1"/>
  <c r="Q778" i="1"/>
  <c r="Q798" i="1"/>
  <c r="Q795" i="1"/>
  <c r="Q796" i="1"/>
  <c r="Q797" i="1"/>
  <c r="Q867" i="1"/>
  <c r="Q868" i="1"/>
  <c r="Q869" i="1"/>
  <c r="Q900" i="1"/>
  <c r="Q901" i="1"/>
  <c r="Q897" i="1"/>
  <c r="Q851" i="1"/>
  <c r="Q855" i="1"/>
  <c r="Q853" i="1"/>
  <c r="Q854" i="1"/>
  <c r="Q859" i="1"/>
  <c r="Q862" i="1"/>
  <c r="Q863" i="1"/>
  <c r="Q864" i="1"/>
  <c r="Q837" i="1"/>
  <c r="Q841" i="1"/>
  <c r="Q842" i="1"/>
  <c r="Q843" i="1"/>
  <c r="Q894" i="1"/>
  <c r="Q895" i="1"/>
  <c r="Q891" i="1"/>
  <c r="Q786" i="1"/>
  <c r="Q781" i="1"/>
  <c r="Q782" i="1"/>
  <c r="Q784" i="1"/>
  <c r="Q791" i="1"/>
  <c r="Q789" i="1"/>
  <c r="Q793" i="1"/>
  <c r="Q794" i="1"/>
  <c r="Q834" i="1"/>
  <c r="Q835" i="1"/>
  <c r="Q836" i="1"/>
  <c r="Q831" i="1"/>
  <c r="Q888" i="1"/>
  <c r="Q889" i="1"/>
  <c r="Q884" i="1"/>
  <c r="Q2910" i="1"/>
  <c r="Q2911" i="1"/>
  <c r="Q2912" i="1"/>
  <c r="Q2905" i="1"/>
  <c r="Q2916" i="1"/>
  <c r="Q2917" i="1"/>
  <c r="Q2918" i="1"/>
  <c r="Q2923" i="1"/>
  <c r="Q2933" i="1"/>
  <c r="Q2925" i="1"/>
  <c r="Q2927" i="1"/>
  <c r="Q2926" i="1"/>
  <c r="Q806" i="1"/>
  <c r="Q802" i="1"/>
  <c r="Q803" i="1"/>
  <c r="Q804" i="1"/>
  <c r="Q812" i="1"/>
  <c r="Q810" i="1"/>
  <c r="Q809" i="1"/>
  <c r="Q811" i="1"/>
  <c r="Q816" i="1"/>
  <c r="Q817" i="1"/>
  <c r="Q818" i="1"/>
  <c r="Q822" i="1"/>
  <c r="Q826" i="1"/>
  <c r="Q825" i="1"/>
  <c r="Q824" i="1"/>
  <c r="Q823" i="1"/>
  <c r="Q848" i="1"/>
  <c r="Q844" i="1"/>
  <c r="Q845" i="1"/>
  <c r="Q846" i="1"/>
  <c r="Q179" i="1"/>
  <c r="Q180" i="1"/>
  <c r="Q181" i="1"/>
  <c r="Q178" i="1"/>
  <c r="Q185" i="1"/>
  <c r="Q187" i="1"/>
  <c r="Q188" i="1"/>
  <c r="Q189" i="1"/>
  <c r="Q182" i="1"/>
  <c r="Q183" i="1"/>
  <c r="Q3733" i="1"/>
  <c r="Q3734" i="1"/>
  <c r="Q3735" i="1"/>
  <c r="Q3736" i="1"/>
  <c r="Q3737" i="1"/>
  <c r="Q3743" i="1"/>
  <c r="Q3739" i="1"/>
  <c r="Q3738" i="1"/>
  <c r="Q1037" i="1"/>
  <c r="Q1047" i="1"/>
  <c r="Q1034" i="1"/>
  <c r="Q1140" i="1"/>
  <c r="Q1141" i="1"/>
  <c r="Q1142" i="1"/>
  <c r="Q1124" i="1"/>
  <c r="Q1794" i="1"/>
  <c r="Q1809" i="1"/>
  <c r="Q1810" i="1"/>
  <c r="Q1811" i="1"/>
  <c r="Q1845" i="1"/>
  <c r="Q1846" i="1"/>
  <c r="Q1847" i="1"/>
  <c r="Q1829" i="1"/>
  <c r="Q1878" i="1"/>
  <c r="Q1867" i="1"/>
  <c r="Q1871" i="1"/>
  <c r="Q1872" i="1"/>
  <c r="Q1910" i="1"/>
  <c r="Q1922" i="1"/>
  <c r="Q1923" i="1"/>
  <c r="Q1924" i="1"/>
  <c r="Q2024" i="1"/>
  <c r="Q2025" i="1"/>
  <c r="Q2026" i="1"/>
  <c r="Q2009" i="1"/>
  <c r="Q2059" i="1"/>
  <c r="Q2060" i="1"/>
  <c r="Q2061" i="1"/>
  <c r="Q2044" i="1"/>
  <c r="Q2140" i="1"/>
  <c r="Q2143" i="1"/>
  <c r="Q2148" i="1"/>
  <c r="Q2149" i="1"/>
  <c r="Q2426" i="1"/>
  <c r="Q2417" i="1"/>
  <c r="Q2422" i="1"/>
  <c r="Q2437" i="1"/>
  <c r="Q2455" i="1"/>
  <c r="Q2466" i="1"/>
  <c r="Q2467" i="1"/>
  <c r="Q3020" i="1"/>
  <c r="Q3021" i="1"/>
  <c r="Q3022" i="1"/>
  <c r="Q3040" i="1"/>
  <c r="Q3841" i="1"/>
  <c r="Q3842" i="1"/>
  <c r="Q3843" i="1"/>
  <c r="Q3846" i="1"/>
  <c r="Q928" i="1"/>
  <c r="Q918" i="1"/>
  <c r="Q953" i="1"/>
  <c r="Q946" i="1"/>
  <c r="Q951" i="1"/>
  <c r="Q952" i="1"/>
  <c r="Q1233" i="1"/>
  <c r="Q1217" i="1"/>
  <c r="Q1240" i="1"/>
  <c r="Q1227" i="1"/>
  <c r="Q1261" i="1"/>
  <c r="Q1251" i="1"/>
  <c r="Q1257" i="1"/>
  <c r="Q1272" i="1"/>
  <c r="Q1339" i="1"/>
  <c r="Q1326" i="1"/>
  <c r="Q1332" i="1"/>
  <c r="Q1333" i="1"/>
  <c r="Q1376" i="1"/>
  <c r="Q1377" i="1"/>
  <c r="Q1378" i="1"/>
  <c r="Q1361" i="1"/>
  <c r="Q1405" i="1"/>
  <c r="Q1398" i="1"/>
  <c r="Q1419" i="1"/>
  <c r="Q1420" i="1"/>
  <c r="Q1447" i="1"/>
  <c r="Q1448" i="1"/>
  <c r="Q1449" i="1"/>
  <c r="Q1432" i="1"/>
  <c r="Q1589" i="1"/>
  <c r="Q1590" i="1"/>
  <c r="Q1591" i="1"/>
  <c r="Q1571" i="1"/>
  <c r="Q420" i="1"/>
  <c r="Q421" i="1"/>
  <c r="Q419" i="1"/>
  <c r="Q423" i="1"/>
  <c r="Q443" i="1"/>
  <c r="Q444" i="1"/>
  <c r="Q445" i="1"/>
  <c r="Q440" i="1"/>
  <c r="Q527" i="1"/>
  <c r="Q528" i="1"/>
  <c r="Q529" i="1"/>
  <c r="Q524" i="1"/>
  <c r="Q498" i="1"/>
  <c r="Q499" i="1"/>
  <c r="Q496" i="1"/>
  <c r="Q501" i="1"/>
  <c r="Q506" i="1"/>
  <c r="Q507" i="1"/>
  <c r="Q508" i="1"/>
  <c r="Q503" i="1"/>
  <c r="Q485" i="1"/>
  <c r="Q486" i="1"/>
  <c r="Q487" i="1"/>
  <c r="Q481" i="1"/>
  <c r="Q520" i="1"/>
  <c r="Q521" i="1"/>
  <c r="Q522" i="1"/>
  <c r="Q517" i="1"/>
  <c r="Q3686" i="1"/>
  <c r="Q3687" i="1"/>
  <c r="Q3688" i="1"/>
  <c r="Q3704" i="1"/>
  <c r="Q428" i="1"/>
  <c r="Q430" i="1"/>
  <c r="Q431" i="1"/>
  <c r="Q426" i="1"/>
  <c r="Q434" i="1"/>
  <c r="Q435" i="1"/>
  <c r="Q437" i="1"/>
  <c r="Q433" i="1"/>
  <c r="Q478" i="1"/>
  <c r="Q479" i="1"/>
  <c r="Q480" i="1"/>
  <c r="Q475" i="1"/>
  <c r="Q513" i="1"/>
  <c r="Q514" i="1"/>
  <c r="Q515" i="1"/>
  <c r="Q509" i="1"/>
  <c r="Q450" i="1"/>
  <c r="Q451" i="1"/>
  <c r="Q452" i="1"/>
  <c r="Q447" i="1"/>
  <c r="Q457" i="1"/>
  <c r="Q459" i="1"/>
  <c r="Q458" i="1"/>
  <c r="Q454" i="1"/>
  <c r="Q464" i="1"/>
  <c r="Q461" i="1"/>
  <c r="Q465" i="1"/>
  <c r="Q466" i="1"/>
  <c r="Q473" i="1"/>
  <c r="Q471" i="1"/>
  <c r="Q472" i="1"/>
  <c r="Q468" i="1"/>
  <c r="Q492" i="1"/>
  <c r="Q493" i="1"/>
  <c r="Q494" i="1"/>
  <c r="Q488" i="1"/>
  <c r="Q2849" i="1"/>
  <c r="Q2825" i="1"/>
  <c r="Q2827" i="1"/>
  <c r="Q2828" i="1"/>
  <c r="Q1075" i="1"/>
  <c r="Q1060" i="1"/>
  <c r="Q1076" i="1"/>
  <c r="Q1062" i="1"/>
  <c r="Q1077" i="1"/>
  <c r="Q2099" i="1"/>
  <c r="Q2109" i="1"/>
  <c r="Q2110" i="1"/>
  <c r="Q2111" i="1"/>
  <c r="Q2112" i="1"/>
  <c r="Q2119" i="1"/>
  <c r="Q2125" i="1"/>
  <c r="Q2121" i="1"/>
  <c r="Q2117" i="1"/>
  <c r="Q2135" i="1"/>
  <c r="Q3097" i="1"/>
  <c r="Q3559" i="1"/>
  <c r="Q3528" i="1"/>
  <c r="Q3534" i="1"/>
  <c r="Q3548" i="1"/>
  <c r="Q3549" i="1"/>
  <c r="Q721" i="1"/>
  <c r="Q728" i="1"/>
  <c r="Q723" i="1"/>
  <c r="Q722" i="1"/>
  <c r="Q725" i="1"/>
  <c r="Q732" i="1"/>
  <c r="Q733" i="1"/>
  <c r="Q734" i="1"/>
  <c r="Q729" i="1"/>
  <c r="Q735" i="1"/>
  <c r="Q1020" i="1"/>
  <c r="Q757" i="1"/>
  <c r="Q756" i="1"/>
  <c r="Q754" i="1"/>
  <c r="Q755" i="1"/>
  <c r="Q760" i="1"/>
  <c r="Q4895" i="1"/>
  <c r="Q4896" i="1"/>
  <c r="Q4897" i="1"/>
  <c r="Q4898" i="1"/>
  <c r="Q763" i="1"/>
  <c r="Q761" i="1"/>
  <c r="Q765" i="1"/>
  <c r="Q766" i="1"/>
  <c r="Q767" i="1"/>
  <c r="Q770" i="1"/>
  <c r="Q771" i="1"/>
  <c r="Q772" i="1"/>
  <c r="Q773" i="1"/>
  <c r="Q768" i="1"/>
  <c r="Q748" i="1"/>
  <c r="Q745" i="1"/>
  <c r="Q751" i="1"/>
  <c r="Q747" i="1"/>
  <c r="Q746" i="1"/>
  <c r="Q752" i="1"/>
  <c r="Q753" i="1"/>
  <c r="Q385" i="1"/>
  <c r="Q386" i="1"/>
  <c r="Q739" i="1"/>
  <c r="Q736" i="1"/>
  <c r="Q738" i="1"/>
  <c r="Q744" i="1"/>
  <c r="Q737" i="1"/>
  <c r="Q679" i="1"/>
  <c r="Q676" i="1"/>
  <c r="Q677" i="1"/>
  <c r="Q678" i="1"/>
  <c r="Q683" i="1"/>
  <c r="Q684" i="1"/>
  <c r="Q687" i="1"/>
  <c r="Q686" i="1"/>
  <c r="Q688" i="1"/>
  <c r="Q689" i="1"/>
  <c r="Q691" i="1"/>
  <c r="Q697" i="1"/>
  <c r="Q694" i="1"/>
  <c r="Q693" i="1"/>
  <c r="Q695" i="1"/>
  <c r="Q702" i="1"/>
  <c r="Q703" i="1"/>
  <c r="Q704" i="1"/>
  <c r="Q698" i="1"/>
  <c r="Q705" i="1"/>
  <c r="Q711" i="1"/>
  <c r="Q707" i="1"/>
  <c r="Q706" i="1"/>
  <c r="Q709" i="1"/>
  <c r="Q710" i="1"/>
  <c r="Q719" i="1"/>
  <c r="Q720" i="1"/>
  <c r="Q2223" i="1"/>
  <c r="Q2236" i="1"/>
  <c r="Q2231" i="1"/>
  <c r="Q2233" i="1"/>
  <c r="Q2260" i="1"/>
  <c r="Q2261" i="1"/>
  <c r="Q714" i="1"/>
  <c r="Q712" i="1"/>
  <c r="Q713" i="1"/>
  <c r="Q716" i="1"/>
  <c r="Q718" i="1"/>
  <c r="Q1379" i="1"/>
  <c r="Q1380" i="1"/>
  <c r="Q1381" i="1"/>
  <c r="Q1358" i="1"/>
  <c r="Q1382" i="1"/>
  <c r="Q1403" i="1"/>
  <c r="Q1394" i="1"/>
  <c r="Q1396" i="1"/>
  <c r="Q1395" i="1"/>
  <c r="Q1421" i="1"/>
  <c r="Q1450" i="1"/>
  <c r="Q1451" i="1"/>
  <c r="Q1452" i="1"/>
  <c r="Q1429" i="1"/>
  <c r="Q1453" i="1"/>
  <c r="Q1032" i="1"/>
  <c r="Q1035" i="1"/>
  <c r="Q1030" i="1"/>
  <c r="Q1027" i="1"/>
  <c r="Q1048" i="1"/>
  <c r="Q1108" i="1"/>
  <c r="Q1109" i="1"/>
  <c r="Q1110" i="1"/>
  <c r="Q1084" i="1"/>
  <c r="Q1111" i="1"/>
  <c r="Q4908" i="1"/>
  <c r="Q4905" i="1"/>
  <c r="Q4919" i="1"/>
  <c r="Q4916" i="1"/>
  <c r="Q1143" i="1"/>
  <c r="Q1144" i="1"/>
  <c r="Q1145" i="1"/>
  <c r="Q1119" i="1"/>
  <c r="Q1146" i="1"/>
  <c r="Q1791" i="1"/>
  <c r="Q1812" i="1"/>
  <c r="Q1813" i="1"/>
  <c r="Q1814" i="1"/>
  <c r="Q1815" i="1"/>
  <c r="Q1848" i="1"/>
  <c r="Q1849" i="1"/>
  <c r="Q1850" i="1"/>
  <c r="Q1826" i="1"/>
  <c r="Q1851" i="1"/>
  <c r="Q1876" i="1"/>
  <c r="Q1864" i="1"/>
  <c r="Q1863" i="1"/>
  <c r="Q1891" i="1"/>
  <c r="Q1873" i="1"/>
  <c r="Q1907" i="1"/>
  <c r="Q1898" i="1"/>
  <c r="Q1897" i="1"/>
  <c r="Q1905" i="1"/>
  <c r="Q1926" i="1"/>
  <c r="Q2027" i="1"/>
  <c r="Q2028" i="1"/>
  <c r="Q2029" i="1"/>
  <c r="Q2006" i="1"/>
  <c r="Q2030" i="1"/>
  <c r="Q2062" i="1"/>
  <c r="Q2063" i="1"/>
  <c r="Q2064" i="1"/>
  <c r="Q2041" i="1"/>
  <c r="Q2065" i="1"/>
  <c r="Q2141" i="1"/>
  <c r="Q2137" i="1"/>
  <c r="Q2138" i="1"/>
  <c r="Q2139" i="1"/>
  <c r="Q2150" i="1"/>
  <c r="Q2418" i="1"/>
  <c r="Q2415" i="1"/>
  <c r="Q2420" i="1"/>
  <c r="Q2438" i="1"/>
  <c r="Q2424" i="1"/>
  <c r="Q2453" i="1"/>
  <c r="Q2468" i="1"/>
  <c r="Q2449" i="1"/>
  <c r="Q2469" i="1"/>
  <c r="Q2470" i="1"/>
  <c r="Q2882" i="1"/>
  <c r="Q2859" i="1"/>
  <c r="Q2886" i="1"/>
  <c r="Q2856" i="1"/>
  <c r="Q2883" i="1"/>
  <c r="Q4953" i="1"/>
  <c r="Q4954" i="1"/>
  <c r="Q4955" i="1"/>
  <c r="Q4962" i="1"/>
  <c r="Q4956" i="1"/>
  <c r="Q4997" i="1"/>
  <c r="Q4964" i="1"/>
  <c r="Q4966" i="1"/>
  <c r="Q4991" i="1"/>
  <c r="Q4967" i="1"/>
  <c r="Q2896" i="1"/>
  <c r="Q2897" i="1"/>
  <c r="Q2898" i="1"/>
  <c r="Q2899" i="1"/>
  <c r="Q2919" i="1"/>
  <c r="Q2930" i="1"/>
  <c r="Q3023" i="1"/>
  <c r="Q3024" i="1"/>
  <c r="Q3025" i="1"/>
  <c r="Q3037" i="1"/>
  <c r="Q3026" i="1"/>
  <c r="Q915" i="1"/>
  <c r="Q929" i="1"/>
  <c r="Q949" i="1"/>
  <c r="Q943" i="1"/>
  <c r="Q970" i="1"/>
  <c r="Q962" i="1"/>
  <c r="Q944" i="1"/>
  <c r="Q977" i="1"/>
  <c r="Q984" i="1"/>
  <c r="Q996" i="1"/>
  <c r="Q997" i="1"/>
  <c r="Q1228" i="1"/>
  <c r="Q1215" i="1"/>
  <c r="Q1213" i="1"/>
  <c r="Q1241" i="1"/>
  <c r="Q1214" i="1"/>
  <c r="Q1258" i="1"/>
  <c r="Q1249" i="1"/>
  <c r="Q1252" i="1"/>
  <c r="Q1273" i="1"/>
  <c r="Q1255" i="1"/>
  <c r="Q1336" i="1"/>
  <c r="Q1324" i="1"/>
  <c r="Q1323" i="1"/>
  <c r="Q1322" i="1"/>
  <c r="Q1350" i="1"/>
  <c r="Q1592" i="1"/>
  <c r="Q1593" i="1"/>
  <c r="Q1594" i="1"/>
  <c r="Q1569" i="1"/>
  <c r="Q1595" i="1"/>
  <c r="Q373" i="1"/>
  <c r="Q374" i="1"/>
  <c r="Q369" i="1"/>
  <c r="Q372" i="1"/>
  <c r="Q376" i="1"/>
  <c r="Q380" i="1"/>
  <c r="Q381" i="1"/>
  <c r="Q382" i="1"/>
  <c r="Q377" i="1"/>
  <c r="Q383" i="1"/>
  <c r="Q41" i="1"/>
  <c r="Q39" i="1"/>
  <c r="Q22" i="1"/>
  <c r="Q400" i="1"/>
  <c r="Q401" i="1"/>
  <c r="Q402" i="1"/>
  <c r="Q403" i="1"/>
  <c r="Q397" i="1"/>
  <c r="Q4388" i="1"/>
  <c r="Q4389" i="1"/>
  <c r="Q4391" i="1"/>
  <c r="Q4392" i="1"/>
  <c r="Q407" i="1"/>
  <c r="Q408" i="1"/>
  <c r="Q409" i="1"/>
  <c r="Q410" i="1"/>
  <c r="Q404" i="1"/>
  <c r="Q414" i="1"/>
  <c r="Q415" i="1"/>
  <c r="Q416" i="1"/>
  <c r="Q411" i="1"/>
  <c r="Q417" i="1"/>
  <c r="Q3673" i="1"/>
  <c r="Q3689" i="1"/>
  <c r="Q3701" i="1"/>
  <c r="Q3690" i="1"/>
  <c r="Q392" i="1"/>
  <c r="Q391" i="1"/>
  <c r="Q390" i="1"/>
  <c r="Q393" i="1"/>
  <c r="Q387" i="1"/>
  <c r="Q395" i="1"/>
  <c r="Q396" i="1"/>
  <c r="Q305" i="1"/>
  <c r="Q306" i="1"/>
  <c r="Q308" i="1"/>
  <c r="Q309" i="1"/>
  <c r="Q310" i="1"/>
  <c r="Q303" i="1"/>
  <c r="Q313" i="1"/>
  <c r="Q315" i="1"/>
  <c r="Q317" i="1"/>
  <c r="Q316" i="1"/>
  <c r="Q311" i="1"/>
  <c r="Q323" i="1"/>
  <c r="Q322" i="1"/>
  <c r="Q324" i="1"/>
  <c r="Q321" i="1"/>
  <c r="Q318" i="1"/>
  <c r="Q330" i="1"/>
  <c r="Q331" i="1"/>
  <c r="Q332" i="1"/>
  <c r="Q325" i="1"/>
  <c r="Q333" i="1"/>
  <c r="Q334" i="1"/>
  <c r="Q340" i="1"/>
  <c r="Q339" i="1"/>
  <c r="Q338" i="1"/>
  <c r="Q336" i="1"/>
  <c r="Q344" i="1"/>
  <c r="Q341" i="1"/>
  <c r="Q345" i="1"/>
  <c r="Q343" i="1"/>
  <c r="Q347" i="1"/>
  <c r="Q351" i="1"/>
  <c r="Q352" i="1"/>
  <c r="Q353" i="1"/>
  <c r="Q348" i="1"/>
  <c r="Q354" i="1"/>
  <c r="Q359" i="1"/>
  <c r="Q361" i="1"/>
  <c r="Q360" i="1"/>
  <c r="Q355" i="1"/>
  <c r="Q358" i="1"/>
  <c r="Q365" i="1"/>
  <c r="Q366" i="1"/>
  <c r="Q367" i="1"/>
  <c r="Q368" i="1"/>
  <c r="Q362" i="1"/>
  <c r="Q2851" i="1"/>
  <c r="Q2820" i="1"/>
  <c r="Q2839" i="1"/>
  <c r="Q2821" i="1"/>
  <c r="Q2822" i="1"/>
  <c r="Q1061" i="1"/>
  <c r="Q1057" i="1"/>
  <c r="Q1078" i="1"/>
  <c r="Q1079" i="1"/>
  <c r="Q1080" i="1"/>
  <c r="Q1081" i="1"/>
  <c r="Q1082" i="1"/>
  <c r="Q1083" i="1"/>
  <c r="Q2096" i="1"/>
  <c r="Q2095" i="1"/>
  <c r="Q2102" i="1"/>
  <c r="Q2113" i="1"/>
  <c r="Q2114" i="1"/>
  <c r="Q2115" i="1"/>
  <c r="Q2136" i="1"/>
  <c r="Q3529" i="1"/>
  <c r="Q3561" i="1"/>
  <c r="Q3530" i="1"/>
  <c r="Q3533" i="1"/>
  <c r="Q3550" i="1"/>
  <c r="Q3551" i="1"/>
  <c r="Q3552" i="1"/>
  <c r="Q3553" i="1"/>
  <c r="Q3554" i="1"/>
  <c r="Q3555" i="1"/>
  <c r="Q3556" i="1"/>
  <c r="Q4395" i="1"/>
  <c r="Q4396" i="1"/>
  <c r="Q4397" i="1"/>
  <c r="Q4398" i="1"/>
  <c r="Q4403" i="1"/>
  <c r="Q4404" i="1"/>
  <c r="Q4405" i="1"/>
  <c r="Q4401" i="1"/>
  <c r="Q4411" i="1"/>
  <c r="Q4412" i="1"/>
  <c r="Q4413" i="1"/>
  <c r="Q4414" i="1"/>
  <c r="Q4419" i="1"/>
  <c r="Q4420" i="1"/>
  <c r="Q4421" i="1"/>
  <c r="Q4417" i="1"/>
  <c r="Q4425" i="1"/>
  <c r="Q4427" i="1"/>
  <c r="Q4428" i="1"/>
  <c r="Q4429" i="1"/>
  <c r="Q4435" i="1"/>
  <c r="Q4436" i="1"/>
  <c r="Q4437" i="1"/>
  <c r="Q4433" i="1"/>
  <c r="Q4443" i="1"/>
  <c r="Q4441" i="1"/>
  <c r="Q4444" i="1"/>
  <c r="Q4445" i="1"/>
  <c r="Q4451" i="1"/>
  <c r="Q4452" i="1"/>
  <c r="Q4453" i="1"/>
  <c r="Q4449" i="1"/>
  <c r="Q4457" i="1"/>
  <c r="Q4459" i="1"/>
  <c r="Q4460" i="1"/>
  <c r="Q4461" i="1"/>
  <c r="Q4467" i="1"/>
  <c r="Q4468" i="1"/>
  <c r="Q4469" i="1"/>
  <c r="Q4465" i="1"/>
  <c r="Q4475" i="1"/>
  <c r="Q4476" i="1"/>
  <c r="Q4477" i="1"/>
  <c r="Q4473" i="1"/>
  <c r="Q4483" i="1"/>
  <c r="Q4484" i="1"/>
  <c r="Q4485" i="1"/>
  <c r="Q4481" i="1"/>
  <c r="Q4490" i="1"/>
  <c r="Q4491" i="1"/>
  <c r="Q4492" i="1"/>
  <c r="Q4493" i="1"/>
  <c r="Q4499" i="1"/>
  <c r="Q4500" i="1"/>
  <c r="Q4501" i="1"/>
  <c r="Q4497" i="1"/>
  <c r="Q4507" i="1"/>
  <c r="Q4505" i="1"/>
  <c r="Q4508" i="1"/>
  <c r="Q4509" i="1"/>
  <c r="Q4515" i="1"/>
  <c r="Q4516" i="1"/>
  <c r="Q4517" i="1"/>
  <c r="Q4513" i="1"/>
  <c r="Q4521" i="1"/>
  <c r="Q4523" i="1"/>
  <c r="Q4524" i="1"/>
  <c r="Q4525" i="1"/>
  <c r="Q4531" i="1"/>
  <c r="Q4532" i="1"/>
  <c r="Q4533" i="1"/>
  <c r="Q4529" i="1"/>
  <c r="Q4539" i="1"/>
  <c r="Q4540" i="1"/>
  <c r="Q4541" i="1"/>
  <c r="Q4537" i="1"/>
  <c r="Q4547" i="1"/>
  <c r="Q4548" i="1"/>
  <c r="Q4549" i="1"/>
  <c r="Q4545" i="1"/>
  <c r="Q4555" i="1"/>
  <c r="Q4556" i="1"/>
  <c r="Q4557" i="1"/>
  <c r="Q4553" i="1"/>
  <c r="Q4563" i="1"/>
  <c r="Q4564" i="1"/>
  <c r="Q4565" i="1"/>
  <c r="Q4561" i="1"/>
  <c r="Q4569" i="1"/>
  <c r="Q4571" i="1"/>
  <c r="Q4572" i="1"/>
  <c r="Q4573" i="1"/>
  <c r="Q4579" i="1"/>
  <c r="Q4580" i="1"/>
  <c r="Q4581" i="1"/>
  <c r="Q4577" i="1"/>
  <c r="Q4648" i="1"/>
  <c r="Q4649" i="1"/>
  <c r="Q4650" i="1"/>
  <c r="Q4647" i="1"/>
  <c r="Q4655" i="1"/>
  <c r="Q4656" i="1"/>
  <c r="Q4657" i="1"/>
  <c r="Q4653" i="1"/>
  <c r="Q4662" i="1"/>
  <c r="Q4664" i="1"/>
  <c r="Q4665" i="1"/>
  <c r="Q4666" i="1"/>
  <c r="Q4671" i="1"/>
  <c r="Q4672" i="1"/>
  <c r="Q4673" i="1"/>
  <c r="Q4669" i="1"/>
  <c r="Q4679" i="1"/>
  <c r="Q4680" i="1"/>
  <c r="Q4681" i="1"/>
  <c r="Q4677" i="1"/>
  <c r="Q4687" i="1"/>
  <c r="Q4688" i="1"/>
  <c r="Q4689" i="1"/>
  <c r="Q4685" i="1"/>
  <c r="Q4693" i="1"/>
  <c r="Q4695" i="1"/>
  <c r="Q4696" i="1"/>
  <c r="Q4697" i="1"/>
  <c r="Q4703" i="1"/>
  <c r="Q4704" i="1"/>
  <c r="Q4705" i="1"/>
  <c r="Q4706" i="1"/>
  <c r="Q4707" i="1"/>
  <c r="Q4708" i="1"/>
  <c r="Q4701" i="1"/>
  <c r="Q4702" i="1"/>
  <c r="Q4711" i="1"/>
  <c r="Q4709" i="1"/>
  <c r="Q4712" i="1"/>
  <c r="Q4713" i="1"/>
  <c r="Q4719" i="1"/>
  <c r="Q4720" i="1"/>
  <c r="Q4718" i="1"/>
  <c r="Q4721" i="1"/>
  <c r="Q4729" i="1"/>
  <c r="Q4730" i="1"/>
  <c r="Q4731" i="1"/>
  <c r="Q4732" i="1"/>
  <c r="Q4737" i="1"/>
  <c r="Q4738" i="1"/>
  <c r="Q4739" i="1"/>
  <c r="Q4735" i="1"/>
  <c r="Q4746" i="1"/>
  <c r="Q4743" i="1"/>
  <c r="Q4747" i="1"/>
  <c r="Q4748" i="1"/>
  <c r="Q4753" i="1"/>
  <c r="Q4754" i="1"/>
  <c r="Q4758" i="1"/>
  <c r="Q4751" i="1"/>
  <c r="Q4761" i="1"/>
  <c r="Q4762" i="1"/>
  <c r="Q4763" i="1"/>
  <c r="Q4764" i="1"/>
  <c r="Q4769" i="1"/>
  <c r="Q4770" i="1"/>
  <c r="Q4771" i="1"/>
  <c r="Q4767" i="1"/>
  <c r="Q4776" i="1"/>
  <c r="Q4775" i="1"/>
  <c r="Q4778" i="1"/>
  <c r="Q4779" i="1"/>
  <c r="Q4785" i="1"/>
  <c r="Q4786" i="1"/>
  <c r="Q4790" i="1"/>
  <c r="Q4783" i="1"/>
  <c r="Q4794" i="1"/>
  <c r="Q4793" i="1"/>
  <c r="Q4795" i="1"/>
  <c r="Q4796" i="1"/>
  <c r="Q4801" i="1"/>
  <c r="Q4802" i="1"/>
  <c r="Q4803" i="1"/>
  <c r="Q4799" i="1"/>
  <c r="Q4809" i="1"/>
  <c r="Q4810" i="1"/>
  <c r="Q4811" i="1"/>
  <c r="Q4812" i="1"/>
  <c r="Q4817" i="1"/>
  <c r="Q4818" i="1"/>
  <c r="Q4819" i="1"/>
  <c r="Q4815" i="1"/>
  <c r="Q4823" i="1"/>
  <c r="Q4826" i="1"/>
  <c r="Q4827" i="1"/>
  <c r="Q4828" i="1"/>
  <c r="Q4833" i="1"/>
  <c r="Q4834" i="1"/>
  <c r="Q4835" i="1"/>
  <c r="Q4832" i="1"/>
  <c r="Q4841" i="1"/>
  <c r="Q4842" i="1"/>
  <c r="Q4843" i="1"/>
  <c r="Q4839" i="1"/>
  <c r="Q4849" i="1"/>
  <c r="Q4850" i="1"/>
  <c r="Q4851" i="1"/>
  <c r="Q4847" i="1"/>
  <c r="Q4857" i="1"/>
  <c r="Q4858" i="1"/>
  <c r="Q4859" i="1"/>
  <c r="Q4855" i="1"/>
  <c r="Q4865" i="1"/>
  <c r="Q4866" i="1"/>
  <c r="Q4867" i="1"/>
  <c r="Q4863" i="1"/>
  <c r="Q4873" i="1"/>
  <c r="Q4874" i="1"/>
  <c r="Q4875" i="1"/>
  <c r="Q4871" i="1"/>
  <c r="Q4880" i="1"/>
  <c r="Q4881" i="1"/>
  <c r="Q4882" i="1"/>
  <c r="Q4879" i="1"/>
  <c r="Q4885" i="1"/>
  <c r="Q4886" i="1"/>
  <c r="Q4887" i="1"/>
  <c r="Q4883" i="1"/>
  <c r="Q1006" i="1"/>
  <c r="Q1011" i="1"/>
  <c r="Q1014" i="1"/>
  <c r="Q1015" i="1"/>
  <c r="Q543" i="1"/>
  <c r="Q544" i="1"/>
  <c r="Q545" i="1"/>
  <c r="Q546" i="1"/>
  <c r="Q577" i="1"/>
  <c r="Q579" i="1"/>
  <c r="Q580" i="1"/>
  <c r="Q581" i="1"/>
  <c r="Q582" i="1"/>
  <c r="Q583" i="1"/>
  <c r="Q584" i="1"/>
  <c r="Q585" i="1"/>
  <c r="Q587" i="1"/>
  <c r="Q588" i="1"/>
  <c r="Q589" i="1"/>
  <c r="Q590" i="1"/>
  <c r="Q591" i="1"/>
  <c r="Q592" i="1"/>
  <c r="Q593" i="1"/>
  <c r="Q594" i="1"/>
  <c r="Q595" i="1"/>
  <c r="Q596" i="1"/>
  <c r="Q598" i="1"/>
  <c r="Q599" i="1"/>
  <c r="Q600" i="1"/>
  <c r="Q601" i="1"/>
  <c r="Q602" i="1"/>
  <c r="Q603" i="1"/>
  <c r="Q605" i="1"/>
  <c r="Q606" i="1"/>
  <c r="Q607" i="1"/>
  <c r="Q608" i="1"/>
  <c r="Q609" i="1"/>
  <c r="Q610" i="1"/>
  <c r="Q611" i="1"/>
  <c r="Q645" i="1"/>
  <c r="Q646" i="1"/>
  <c r="Q647" i="1"/>
  <c r="Q936" i="1"/>
  <c r="Q963" i="1"/>
  <c r="Q941" i="1"/>
  <c r="Q964" i="1"/>
  <c r="Q965" i="1"/>
  <c r="Q966" i="1"/>
  <c r="Q967" i="1"/>
  <c r="Q968" i="1"/>
  <c r="Q969" i="1"/>
  <c r="Q1250" i="1"/>
  <c r="Q1282" i="1"/>
  <c r="Q1274" i="1"/>
  <c r="Q1275" i="1"/>
  <c r="Q1276" i="1"/>
  <c r="Q1277" i="1"/>
  <c r="Q1278" i="1"/>
  <c r="Q1279" i="1"/>
  <c r="Q1280" i="1"/>
  <c r="Q1597" i="1"/>
  <c r="Q1598" i="1"/>
  <c r="Q1599" i="1"/>
  <c r="Q1600" i="1"/>
  <c r="Q1601" i="1"/>
  <c r="Q1602" i="1"/>
  <c r="Q1603" i="1"/>
  <c r="Q568" i="1"/>
  <c r="Q569" i="1"/>
  <c r="Q570" i="1"/>
  <c r="Q572" i="1"/>
  <c r="Q573" i="1"/>
  <c r="Q574" i="1"/>
  <c r="Q575" i="1"/>
  <c r="Q576" i="1"/>
  <c r="Q559" i="1"/>
  <c r="Q560" i="1"/>
  <c r="Q563" i="1"/>
  <c r="Q564" i="1"/>
  <c r="Q565" i="1"/>
  <c r="Q566" i="1"/>
  <c r="Q567" i="1"/>
  <c r="Q561" i="1"/>
  <c r="Q612" i="1"/>
  <c r="Q613" i="1"/>
  <c r="Q614" i="1"/>
  <c r="Q616" i="1"/>
  <c r="Q617" i="1"/>
  <c r="Q618" i="1"/>
  <c r="Q619" i="1"/>
  <c r="Q620" i="1"/>
  <c r="Q622" i="1"/>
  <c r="Q623" i="1"/>
  <c r="Q624" i="1"/>
  <c r="Q625" i="1"/>
  <c r="Q626" i="1"/>
  <c r="Q627" i="1"/>
  <c r="Q630" i="1"/>
  <c r="Q628" i="1"/>
  <c r="Q631" i="1"/>
  <c r="Q632" i="1"/>
  <c r="Q633" i="1"/>
  <c r="Q634" i="1"/>
  <c r="Q635" i="1"/>
  <c r="Q636" i="1"/>
  <c r="Q638" i="1"/>
  <c r="Q639" i="1"/>
  <c r="Q640" i="1"/>
  <c r="Q641" i="1"/>
  <c r="Q642" i="1"/>
  <c r="Q643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1172" i="1"/>
  <c r="Q1173" i="1"/>
  <c r="Q1174" i="1"/>
  <c r="Q1175" i="1"/>
  <c r="Q1176" i="1"/>
  <c r="Q1177" i="1"/>
  <c r="Q1178" i="1"/>
  <c r="Q2972" i="1"/>
  <c r="Q2975" i="1"/>
  <c r="Q2976" i="1"/>
  <c r="Q3000" i="1"/>
  <c r="Q3001" i="1"/>
  <c r="Q3623" i="1"/>
  <c r="Q3624" i="1"/>
  <c r="Q3625" i="1"/>
  <c r="Q3626" i="1"/>
  <c r="Q3627" i="1"/>
  <c r="Q3628" i="1"/>
  <c r="Q3629" i="1"/>
  <c r="Q648" i="1"/>
  <c r="Q649" i="1"/>
  <c r="Q650" i="1"/>
  <c r="Q651" i="1"/>
  <c r="Q652" i="1"/>
  <c r="Q653" i="1"/>
  <c r="Q3707" i="1"/>
  <c r="Q3691" i="1"/>
  <c r="Q3692" i="1"/>
  <c r="Q3693" i="1"/>
  <c r="Q3694" i="1"/>
  <c r="Q3695" i="1"/>
  <c r="Q3696" i="1"/>
  <c r="Q3697" i="1"/>
  <c r="Q3698" i="1"/>
  <c r="Q3699" i="1"/>
  <c r="Q3700" i="1"/>
  <c r="Q1112" i="1"/>
  <c r="Q1113" i="1"/>
  <c r="Q1114" i="1"/>
  <c r="Q1115" i="1"/>
  <c r="Q1116" i="1"/>
  <c r="Q1117" i="1"/>
  <c r="Q1118" i="1"/>
  <c r="Q4906" i="1"/>
  <c r="Q4907" i="1"/>
  <c r="Q4912" i="1"/>
  <c r="Q4917" i="1"/>
  <c r="Q4918" i="1"/>
  <c r="Q1147" i="1"/>
  <c r="Q1148" i="1"/>
  <c r="Q1149" i="1"/>
  <c r="Q1150" i="1"/>
  <c r="Q1151" i="1"/>
  <c r="Q1152" i="1"/>
  <c r="Q1790" i="1"/>
  <c r="Q1797" i="1"/>
  <c r="Q1816" i="1"/>
  <c r="Q1817" i="1"/>
  <c r="Q1818" i="1"/>
  <c r="Q1819" i="1"/>
  <c r="Q1820" i="1"/>
  <c r="Q1821" i="1"/>
  <c r="Q1822" i="1"/>
  <c r="Q1823" i="1"/>
  <c r="Q1824" i="1"/>
  <c r="Q1825" i="1"/>
  <c r="Q1861" i="1"/>
  <c r="Q1862" i="1"/>
  <c r="Q1896" i="1"/>
  <c r="Q1892" i="1"/>
  <c r="Q1893" i="1"/>
  <c r="Q1894" i="1"/>
  <c r="Q1895" i="1"/>
  <c r="Q1927" i="1"/>
  <c r="Q1928" i="1"/>
  <c r="Q1903" i="1"/>
  <c r="Q1906" i="1"/>
  <c r="Q1929" i="1"/>
  <c r="Q1930" i="1"/>
  <c r="Q1931" i="1"/>
  <c r="Q1932" i="1"/>
  <c r="Q1933" i="1"/>
  <c r="Q1934" i="1"/>
  <c r="Q2031" i="1"/>
  <c r="Q2032" i="1"/>
  <c r="Q2033" i="1"/>
  <c r="Q2034" i="1"/>
  <c r="Q2035" i="1"/>
  <c r="Q2036" i="1"/>
  <c r="Q2037" i="1"/>
  <c r="Q2038" i="1"/>
  <c r="Q2012" i="1"/>
  <c r="Q2039" i="1"/>
  <c r="Q2040" i="1"/>
  <c r="Q2066" i="1"/>
  <c r="Q2067" i="1"/>
  <c r="Q2068" i="1"/>
  <c r="Q2069" i="1"/>
  <c r="Q2070" i="1"/>
  <c r="Q2071" i="1"/>
  <c r="Q2072" i="1"/>
  <c r="Q2047" i="1"/>
  <c r="Q2073" i="1"/>
  <c r="Q2412" i="1"/>
  <c r="Q2439" i="1"/>
  <c r="Q2413" i="1"/>
  <c r="Q2414" i="1"/>
  <c r="Q2440" i="1"/>
  <c r="Q2441" i="1"/>
  <c r="Q2442" i="1"/>
  <c r="Q2443" i="1"/>
  <c r="Q2444" i="1"/>
  <c r="Q2445" i="1"/>
  <c r="Q2931" i="1"/>
  <c r="Q2932" i="1"/>
  <c r="Q3027" i="1"/>
  <c r="Q3028" i="1"/>
  <c r="Q3029" i="1"/>
  <c r="Q3030" i="1"/>
  <c r="Q3031" i="1"/>
  <c r="Q3032" i="1"/>
  <c r="Q3033" i="1"/>
  <c r="Q3034" i="1"/>
  <c r="Q3043" i="1"/>
  <c r="Q3035" i="1"/>
  <c r="Q3036" i="1"/>
  <c r="Q655" i="1"/>
  <c r="Q656" i="1"/>
  <c r="Q657" i="1"/>
  <c r="Q658" i="1"/>
  <c r="Q659" i="1"/>
  <c r="Q660" i="1"/>
  <c r="Q661" i="1"/>
  <c r="Q662" i="1"/>
  <c r="Q669" i="1"/>
  <c r="Q670" i="1"/>
  <c r="Q671" i="1"/>
  <c r="Q998" i="1"/>
  <c r="Q986" i="1"/>
  <c r="Q990" i="1"/>
  <c r="Q999" i="1"/>
  <c r="Q1000" i="1"/>
  <c r="Q1001" i="1"/>
  <c r="Q1002" i="1"/>
  <c r="Q1003" i="1"/>
  <c r="Q1004" i="1"/>
  <c r="Q1005" i="1"/>
  <c r="Q1008" i="1"/>
  <c r="Q1007" i="1"/>
  <c r="Q1021" i="1"/>
  <c r="Q1022" i="1"/>
  <c r="Q1023" i="1"/>
  <c r="Q1024" i="1"/>
  <c r="Q1025" i="1"/>
  <c r="Q1026" i="1"/>
  <c r="Q1029" i="1"/>
  <c r="Q1033" i="1"/>
  <c r="Q1049" i="1"/>
  <c r="Q1050" i="1"/>
  <c r="Q1051" i="1"/>
  <c r="Q1052" i="1"/>
  <c r="Q1053" i="1"/>
  <c r="Q1054" i="1"/>
  <c r="Q1055" i="1"/>
  <c r="Q1852" i="1"/>
  <c r="Q1853" i="1"/>
  <c r="Q1854" i="1"/>
  <c r="Q1855" i="1"/>
  <c r="Q1856" i="1"/>
  <c r="Q1857" i="1"/>
  <c r="Q1858" i="1"/>
  <c r="Q1859" i="1"/>
  <c r="Q1832" i="1"/>
  <c r="Q1860" i="1"/>
  <c r="Q2900" i="1"/>
  <c r="Q2901" i="1"/>
  <c r="Q2909" i="1"/>
  <c r="Q2902" i="1"/>
  <c r="Q2903" i="1"/>
  <c r="Q2920" i="1"/>
  <c r="Q2921" i="1"/>
  <c r="Q909" i="1"/>
  <c r="Q908" i="1"/>
  <c r="Q911" i="1"/>
  <c r="Q930" i="1"/>
  <c r="Q931" i="1"/>
  <c r="Q932" i="1"/>
  <c r="Q933" i="1"/>
  <c r="Q934" i="1"/>
  <c r="Q935" i="1"/>
  <c r="Q1210" i="1"/>
  <c r="Q1211" i="1"/>
  <c r="Q1212" i="1"/>
  <c r="Q1182" i="1"/>
  <c r="Q1242" i="1"/>
  <c r="Q1219" i="1"/>
  <c r="Q1221" i="1"/>
  <c r="Q1243" i="1"/>
  <c r="Q1244" i="1"/>
  <c r="Q1245" i="1"/>
  <c r="Q1246" i="1"/>
  <c r="Q1247" i="1"/>
  <c r="Q1248" i="1"/>
  <c r="Q1327" i="1"/>
  <c r="Q1335" i="1"/>
  <c r="Q1351" i="1"/>
  <c r="Q1352" i="1"/>
  <c r="Q1353" i="1"/>
  <c r="Q1354" i="1"/>
  <c r="Q1355" i="1"/>
  <c r="Q1356" i="1"/>
  <c r="Q1357" i="1"/>
  <c r="Q1383" i="1"/>
  <c r="Q1384" i="1"/>
  <c r="Q1385" i="1"/>
  <c r="Q1386" i="1"/>
  <c r="Q1387" i="1"/>
  <c r="Q1388" i="1"/>
  <c r="Q1389" i="1"/>
  <c r="Q1390" i="1"/>
  <c r="Q1364" i="1"/>
  <c r="Q1391" i="1"/>
  <c r="Q1392" i="1"/>
  <c r="Q1399" i="1"/>
  <c r="Q1397" i="1"/>
  <c r="Q1428" i="1"/>
  <c r="Q1422" i="1"/>
  <c r="Q1423" i="1"/>
  <c r="Q1424" i="1"/>
  <c r="Q1425" i="1"/>
  <c r="Q1426" i="1"/>
  <c r="Q1427" i="1"/>
  <c r="Q1454" i="1"/>
  <c r="Q1455" i="1"/>
  <c r="Q1456" i="1"/>
  <c r="Q1457" i="1"/>
  <c r="Q1458" i="1"/>
  <c r="Q1459" i="1"/>
  <c r="Q1460" i="1"/>
  <c r="Q1461" i="1"/>
  <c r="Q1435" i="1"/>
  <c r="Q1462" i="1"/>
  <c r="Q1463" i="1"/>
  <c r="Q3853" i="1"/>
  <c r="Q3854" i="1"/>
  <c r="Q3855" i="1"/>
  <c r="Q3851" i="1"/>
  <c r="Q3861" i="1"/>
  <c r="Q3862" i="1"/>
  <c r="Q3863" i="1"/>
  <c r="Q3859" i="1"/>
  <c r="Q3869" i="1"/>
  <c r="Q3870" i="1"/>
  <c r="Q3871" i="1"/>
  <c r="Q3867" i="1"/>
  <c r="Q3877" i="1"/>
  <c r="Q3878" i="1"/>
  <c r="Q3879" i="1"/>
  <c r="Q3875" i="1"/>
  <c r="Q3885" i="1"/>
  <c r="Q3886" i="1"/>
  <c r="Q3887" i="1"/>
  <c r="Q3883" i="1"/>
  <c r="Q3893" i="1"/>
  <c r="Q3891" i="1"/>
  <c r="Q3894" i="1"/>
  <c r="Q3895" i="1"/>
  <c r="Q3901" i="1"/>
  <c r="Q3902" i="1"/>
  <c r="Q3899" i="1"/>
  <c r="Q3903" i="1"/>
  <c r="Q3909" i="1"/>
  <c r="Q3907" i="1"/>
  <c r="Q3910" i="1"/>
  <c r="Q3911" i="1"/>
  <c r="Q3917" i="1"/>
  <c r="Q3918" i="1"/>
  <c r="Q3919" i="1"/>
  <c r="Q3915" i="1"/>
  <c r="Q3925" i="1"/>
  <c r="Q3926" i="1"/>
  <c r="Q3927" i="1"/>
  <c r="Q3923" i="1"/>
  <c r="Q3933" i="1"/>
  <c r="Q3934" i="1"/>
  <c r="Q3935" i="1"/>
  <c r="Q3931" i="1"/>
  <c r="Q3941" i="1"/>
  <c r="Q3942" i="1"/>
  <c r="Q3943" i="1"/>
  <c r="Q3939" i="1"/>
  <c r="Q3949" i="1"/>
  <c r="Q3950" i="1"/>
  <c r="Q3951" i="1"/>
  <c r="Q3947" i="1"/>
  <c r="Q3957" i="1"/>
  <c r="Q3958" i="1"/>
  <c r="Q3959" i="1"/>
  <c r="Q3955" i="1"/>
  <c r="Q3965" i="1"/>
  <c r="Q3966" i="1"/>
  <c r="Q3967" i="1"/>
  <c r="Q3963" i="1"/>
  <c r="Q3971" i="1"/>
  <c r="Q3973" i="1"/>
  <c r="Q3974" i="1"/>
  <c r="Q3975" i="1"/>
  <c r="Q3981" i="1"/>
  <c r="Q3982" i="1"/>
  <c r="Q3983" i="1"/>
  <c r="Q3979" i="1"/>
  <c r="Q3989" i="1"/>
  <c r="Q3990" i="1"/>
  <c r="Q3991" i="1"/>
  <c r="Q3987" i="1"/>
  <c r="Q3997" i="1"/>
  <c r="Q3998" i="1"/>
  <c r="Q3999" i="1"/>
  <c r="Q3995" i="1"/>
  <c r="Q4005" i="1"/>
  <c r="Q4006" i="1"/>
  <c r="Q4007" i="1"/>
  <c r="Q4003" i="1"/>
  <c r="Q4013" i="1"/>
  <c r="Q4014" i="1"/>
  <c r="Q4015" i="1"/>
  <c r="Q4011" i="1"/>
  <c r="Q4021" i="1"/>
  <c r="Q4022" i="1"/>
  <c r="Q4023" i="1"/>
  <c r="Q4019" i="1"/>
  <c r="Q4029" i="1"/>
  <c r="Q4030" i="1"/>
  <c r="Q4031" i="1"/>
  <c r="Q4027" i="1"/>
  <c r="Q4035" i="1"/>
  <c r="Q4037" i="1"/>
  <c r="Q4038" i="1"/>
  <c r="Q4039" i="1"/>
  <c r="Q4105" i="1"/>
  <c r="Q4106" i="1"/>
  <c r="Q4107" i="1"/>
  <c r="Q4103" i="1"/>
  <c r="Q4114" i="1"/>
  <c r="Q4115" i="1"/>
  <c r="Q4116" i="1"/>
  <c r="Q4112" i="1"/>
  <c r="Q4123" i="1"/>
  <c r="Q4124" i="1"/>
  <c r="Q4125" i="1"/>
  <c r="Q4122" i="1"/>
  <c r="Q4132" i="1"/>
  <c r="Q4133" i="1"/>
  <c r="Q4134" i="1"/>
  <c r="Q4130" i="1"/>
  <c r="Q4141" i="1"/>
  <c r="Q4142" i="1"/>
  <c r="Q4143" i="1"/>
  <c r="Q4139" i="1"/>
  <c r="Q4150" i="1"/>
  <c r="Q4151" i="1"/>
  <c r="Q4152" i="1"/>
  <c r="Q4148" i="1"/>
  <c r="Q4159" i="1"/>
  <c r="Q4160" i="1"/>
  <c r="Q4161" i="1"/>
  <c r="Q4157" i="1"/>
  <c r="Q4168" i="1"/>
  <c r="Q4169" i="1"/>
  <c r="Q4170" i="1"/>
  <c r="Q4171" i="1"/>
  <c r="Q4172" i="1"/>
  <c r="Q4173" i="1"/>
  <c r="Q4166" i="1"/>
  <c r="Q4167" i="1"/>
  <c r="Q4176" i="1"/>
  <c r="Q4177" i="1"/>
  <c r="Q4175" i="1"/>
  <c r="Q4178" i="1"/>
  <c r="Q4184" i="1"/>
  <c r="Q4185" i="1"/>
  <c r="Q4186" i="1"/>
  <c r="Q4182" i="1"/>
  <c r="Q4194" i="1"/>
  <c r="Q4195" i="1"/>
  <c r="Q4196" i="1"/>
  <c r="Q4192" i="1"/>
  <c r="Q4200" i="1"/>
  <c r="Q4202" i="1"/>
  <c r="Q4203" i="1"/>
  <c r="Q4204" i="1"/>
  <c r="Q4210" i="1"/>
  <c r="Q4211" i="1"/>
  <c r="Q4215" i="1"/>
  <c r="Q4208" i="1"/>
  <c r="Q4218" i="1"/>
  <c r="Q4216" i="1"/>
  <c r="Q4219" i="1"/>
  <c r="Q4220" i="1"/>
  <c r="Q4226" i="1"/>
  <c r="Q4227" i="1"/>
  <c r="Q4228" i="1"/>
  <c r="Q4224" i="1"/>
  <c r="Q4234" i="1"/>
  <c r="Q4232" i="1"/>
  <c r="Q4235" i="1"/>
  <c r="Q4236" i="1"/>
  <c r="Q4242" i="1"/>
  <c r="Q4243" i="1"/>
  <c r="Q4247" i="1"/>
  <c r="Q4240" i="1"/>
  <c r="Q4250" i="1"/>
  <c r="Q4251" i="1"/>
  <c r="Q4252" i="1"/>
  <c r="Q4248" i="1"/>
  <c r="Q4258" i="1"/>
  <c r="Q4259" i="1"/>
  <c r="Q4256" i="1"/>
  <c r="Q4260" i="1"/>
  <c r="Q4266" i="1"/>
  <c r="Q4267" i="1"/>
  <c r="Q4268" i="1"/>
  <c r="Q4264" i="1"/>
  <c r="Q4274" i="1"/>
  <c r="Q4275" i="1"/>
  <c r="Q4276" i="1"/>
  <c r="Q4272" i="1"/>
  <c r="Q4280" i="1"/>
  <c r="Q4282" i="1"/>
  <c r="Q4283" i="1"/>
  <c r="Q4284" i="1"/>
  <c r="Q4290" i="1"/>
  <c r="Q4291" i="1"/>
  <c r="Q4288" i="1"/>
  <c r="Q4295" i="1"/>
  <c r="Q4296" i="1"/>
  <c r="Q4298" i="1"/>
  <c r="Q4299" i="1"/>
  <c r="Q4300" i="1"/>
  <c r="Q4306" i="1"/>
  <c r="Q4307" i="1"/>
  <c r="Q4308" i="1"/>
  <c r="Q4304" i="1"/>
  <c r="Q4314" i="1"/>
  <c r="Q4315" i="1"/>
  <c r="Q4316" i="1"/>
  <c r="Q4312" i="1"/>
  <c r="Q4322" i="1"/>
  <c r="Q4323" i="1"/>
  <c r="Q4324" i="1"/>
  <c r="Q4320" i="1"/>
  <c r="Q4330" i="1"/>
  <c r="Q4331" i="1"/>
  <c r="Q4332" i="1"/>
  <c r="Q4328" i="1"/>
  <c r="Q4338" i="1"/>
  <c r="Q4339" i="1"/>
  <c r="Q4340" i="1"/>
  <c r="Q4336" i="1"/>
  <c r="Q4346" i="1"/>
  <c r="Q4347" i="1"/>
  <c r="Q4348" i="1"/>
  <c r="Q4344" i="1"/>
  <c r="Q15" i="1"/>
  <c r="Q16" i="1"/>
  <c r="Q17" i="1"/>
  <c r="Q13" i="1"/>
  <c r="Q100" i="1"/>
  <c r="Q101" i="1"/>
  <c r="Q102" i="1"/>
  <c r="Q103" i="1"/>
  <c r="Q104" i="1"/>
  <c r="Q105" i="1"/>
  <c r="Q106" i="1"/>
  <c r="Q108" i="1"/>
  <c r="Q110" i="1"/>
  <c r="Q111" i="1"/>
  <c r="Q112" i="1"/>
  <c r="Q113" i="1"/>
  <c r="Q114" i="1"/>
  <c r="Q115" i="1"/>
  <c r="Q116" i="1"/>
  <c r="Q118" i="1"/>
  <c r="Q119" i="1"/>
  <c r="Q120" i="1"/>
  <c r="Q121" i="1"/>
  <c r="Q122" i="1"/>
  <c r="Q123" i="1"/>
  <c r="Q124" i="1"/>
  <c r="Q125" i="1"/>
  <c r="Q127" i="1"/>
  <c r="Q128" i="1"/>
  <c r="Q129" i="1"/>
  <c r="Q130" i="1"/>
  <c r="Q131" i="1"/>
  <c r="Q132" i="1"/>
  <c r="Q133" i="1"/>
  <c r="Q92" i="1"/>
  <c r="Q93" i="1"/>
  <c r="Q94" i="1"/>
  <c r="Q95" i="1"/>
  <c r="Q96" i="1"/>
  <c r="Q97" i="1"/>
  <c r="Q98" i="1"/>
  <c r="Q99" i="1"/>
  <c r="Q83" i="1"/>
  <c r="Q84" i="1"/>
  <c r="Q85" i="1"/>
  <c r="Q86" i="1"/>
  <c r="Q87" i="1"/>
  <c r="Q88" i="1"/>
  <c r="Q89" i="1"/>
  <c r="Q90" i="1"/>
  <c r="Q135" i="1"/>
  <c r="Q136" i="1"/>
  <c r="Q137" i="1"/>
  <c r="Q138" i="1"/>
  <c r="Q139" i="1"/>
  <c r="Q140" i="1"/>
  <c r="Q141" i="1"/>
  <c r="Q142" i="1"/>
  <c r="Q144" i="1"/>
  <c r="Q145" i="1"/>
  <c r="Q146" i="1"/>
  <c r="Q147" i="1"/>
  <c r="Q148" i="1"/>
  <c r="Q149" i="1"/>
  <c r="Q150" i="1"/>
  <c r="Q152" i="1"/>
  <c r="Q153" i="1"/>
  <c r="Q154" i="1"/>
  <c r="Q155" i="1"/>
  <c r="Q156" i="1"/>
  <c r="Q157" i="1"/>
  <c r="Q159" i="1"/>
  <c r="Q158" i="1"/>
  <c r="Q161" i="1"/>
  <c r="Q162" i="1"/>
  <c r="Q163" i="1"/>
  <c r="Q164" i="1"/>
  <c r="Q165" i="1"/>
  <c r="Q166" i="1"/>
  <c r="Q167" i="1"/>
  <c r="Q2826" i="1"/>
  <c r="Q2823" i="1"/>
  <c r="Q2841" i="1"/>
  <c r="Q2842" i="1"/>
  <c r="Q2843" i="1"/>
  <c r="Q2844" i="1"/>
  <c r="Q2845" i="1"/>
  <c r="Q2846" i="1"/>
  <c r="Q2847" i="1"/>
  <c r="Q327" i="1"/>
  <c r="Q328" i="1"/>
  <c r="Q422" i="1"/>
  <c r="Q424" i="1"/>
  <c r="Q429" i="1"/>
  <c r="Q427" i="1"/>
  <c r="Q436" i="1"/>
  <c r="Q438" i="1"/>
  <c r="Q442" i="1"/>
  <c r="Q441" i="1"/>
  <c r="Q448" i="1"/>
  <c r="Q449" i="1"/>
  <c r="Q455" i="1"/>
  <c r="Q456" i="1"/>
  <c r="Q462" i="1"/>
  <c r="Q463" i="1"/>
  <c r="Q469" i="1"/>
  <c r="Q470" i="1"/>
  <c r="Q476" i="1"/>
  <c r="Q477" i="1"/>
  <c r="Q483" i="1"/>
  <c r="Q484" i="1"/>
  <c r="Q490" i="1"/>
  <c r="Q491" i="1"/>
  <c r="Q497" i="1"/>
  <c r="Q500" i="1"/>
  <c r="Q504" i="1"/>
  <c r="Q505" i="1"/>
  <c r="Q511" i="1"/>
  <c r="Q512" i="1"/>
  <c r="Q518" i="1"/>
  <c r="Q519" i="1"/>
  <c r="Q525" i="1"/>
  <c r="Q526" i="1"/>
  <c r="Q700" i="1"/>
  <c r="Q701" i="1"/>
  <c r="Q741" i="1"/>
  <c r="Q742" i="1"/>
  <c r="Q776" i="1"/>
  <c r="Q775" i="1"/>
  <c r="Q783" i="1"/>
  <c r="Q785" i="1"/>
  <c r="Q790" i="1"/>
  <c r="Q788" i="1"/>
  <c r="Q800" i="1"/>
  <c r="Q801" i="1"/>
  <c r="Q805" i="1"/>
  <c r="Q808" i="1"/>
  <c r="Q814" i="1"/>
  <c r="Q815" i="1"/>
  <c r="Q820" i="1"/>
  <c r="Q821" i="1"/>
  <c r="Q828" i="1"/>
  <c r="Q829" i="1"/>
  <c r="Q832" i="1"/>
  <c r="Q833" i="1"/>
  <c r="Q839" i="1"/>
  <c r="Q840" i="1"/>
  <c r="Q849" i="1"/>
  <c r="Q850" i="1"/>
  <c r="Q857" i="1"/>
  <c r="Q852" i="1"/>
  <c r="Q860" i="1"/>
  <c r="Q861" i="1"/>
  <c r="Q865" i="1"/>
  <c r="Q866" i="1"/>
  <c r="Q874" i="1"/>
  <c r="Q875" i="1"/>
  <c r="Q881" i="1"/>
  <c r="Q883" i="1"/>
  <c r="Q886" i="1"/>
  <c r="Q887" i="1"/>
  <c r="Q892" i="1"/>
  <c r="Q893" i="1"/>
  <c r="Q898" i="1"/>
  <c r="Q899" i="1"/>
  <c r="Q904" i="1"/>
  <c r="Q905" i="1"/>
  <c r="Q948" i="1"/>
  <c r="Q947" i="1"/>
  <c r="Q1045" i="1"/>
  <c r="Q1046" i="1"/>
  <c r="Q1073" i="1"/>
  <c r="Q1056" i="1"/>
  <c r="Q1103" i="1"/>
  <c r="Q1104" i="1"/>
  <c r="Q1138" i="1"/>
  <c r="Q1139" i="1"/>
  <c r="Q1208" i="1"/>
  <c r="Q1209" i="1"/>
  <c r="Q1220" i="1"/>
  <c r="Q1218" i="1"/>
  <c r="Q1256" i="1"/>
  <c r="Q1253" i="1"/>
  <c r="Q1299" i="1"/>
  <c r="Q1292" i="1"/>
  <c r="Q1334" i="1"/>
  <c r="Q1325" i="1"/>
  <c r="Q1374" i="1"/>
  <c r="Q1375" i="1"/>
  <c r="Q1402" i="1"/>
  <c r="Q1418" i="1"/>
  <c r="Q1445" i="1"/>
  <c r="Q1446" i="1"/>
  <c r="Q1476" i="1"/>
  <c r="Q1468" i="1"/>
  <c r="Q1507" i="1"/>
  <c r="Q1508" i="1"/>
  <c r="Q1541" i="1"/>
  <c r="Q1542" i="1"/>
  <c r="Q1587" i="1"/>
  <c r="Q1588" i="1"/>
  <c r="Q1616" i="1"/>
  <c r="Q1617" i="1"/>
  <c r="Q1660" i="1"/>
  <c r="Q1643" i="1"/>
  <c r="Q1713" i="1"/>
  <c r="Q1714" i="1"/>
  <c r="Q1718" i="1"/>
  <c r="Q1719" i="1"/>
  <c r="Q1788" i="1"/>
  <c r="Q1787" i="1"/>
  <c r="Q1807" i="1"/>
  <c r="Q1808" i="1"/>
  <c r="Q1843" i="1"/>
  <c r="Q1844" i="1"/>
  <c r="Q1866" i="1"/>
  <c r="Q1870" i="1"/>
  <c r="Q1921" i="1"/>
  <c r="Q1900" i="1"/>
  <c r="Q1940" i="1"/>
  <c r="Q1941" i="1"/>
  <c r="Q1975" i="1"/>
  <c r="Q1977" i="1"/>
  <c r="Q2022" i="1"/>
  <c r="Q2023" i="1"/>
  <c r="Q2057" i="1"/>
  <c r="Q2058" i="1"/>
  <c r="Q2081" i="1"/>
  <c r="Q2082" i="1"/>
  <c r="Q2107" i="1"/>
  <c r="Q2098" i="1"/>
  <c r="Q2122" i="1"/>
  <c r="Q2123" i="1"/>
  <c r="Q2146" i="1"/>
  <c r="Q2147" i="1"/>
  <c r="Q2163" i="1"/>
  <c r="Q2153" i="1"/>
  <c r="Q2221" i="1"/>
  <c r="Q2222" i="1"/>
  <c r="Q2234" i="1"/>
  <c r="Q2235" i="1"/>
  <c r="Q2334" i="1"/>
  <c r="Q2335" i="1"/>
  <c r="Q2370" i="1"/>
  <c r="Q2371" i="1"/>
  <c r="Q2385" i="1"/>
  <c r="Q2377" i="1"/>
  <c r="Q2419" i="1"/>
  <c r="Q2421" i="1"/>
  <c r="Q2465" i="1"/>
  <c r="Q2450" i="1"/>
  <c r="Q2474" i="1"/>
  <c r="Q2482" i="1"/>
  <c r="Q2540" i="1"/>
  <c r="Q2541" i="1"/>
  <c r="Q2577" i="1"/>
  <c r="Q2553" i="1"/>
  <c r="Q2585" i="1"/>
  <c r="Q2586" i="1"/>
  <c r="Q2635" i="1"/>
  <c r="Q2636" i="1"/>
  <c r="Q2646" i="1"/>
  <c r="Q2647" i="1"/>
  <c r="Q2678" i="1"/>
  <c r="Q2674" i="1"/>
  <c r="Q2714" i="1"/>
  <c r="Q2715" i="1"/>
  <c r="Q2756" i="1"/>
  <c r="Q2754" i="1"/>
  <c r="Q2812" i="1"/>
  <c r="Q2813" i="1"/>
  <c r="Q2837" i="1"/>
  <c r="Q2838" i="1"/>
  <c r="Q2864" i="1"/>
  <c r="Q2865" i="1"/>
  <c r="Q4928" i="1"/>
  <c r="Q4929" i="1"/>
  <c r="Q4990" i="1"/>
  <c r="Q4968" i="1"/>
  <c r="Q2895" i="1"/>
  <c r="Q2891" i="1"/>
  <c r="Q2967" i="1"/>
  <c r="Q2964" i="1"/>
  <c r="Q2999" i="1"/>
  <c r="Q2981" i="1"/>
  <c r="Q3018" i="1"/>
  <c r="Q3019" i="1"/>
  <c r="Q3053" i="1"/>
  <c r="Q3051" i="1"/>
  <c r="Q3099" i="1"/>
  <c r="Q3102" i="1"/>
  <c r="Q3148" i="1"/>
  <c r="Q3149" i="1"/>
  <c r="Q3204" i="1"/>
  <c r="Q3205" i="1"/>
  <c r="Q3222" i="1"/>
  <c r="Q3213" i="1"/>
  <c r="Q3265" i="1"/>
  <c r="Q3266" i="1"/>
  <c r="Q3275" i="1"/>
  <c r="Q3283" i="1"/>
  <c r="Q3312" i="1"/>
  <c r="Q3319" i="1"/>
  <c r="Q3373" i="1"/>
  <c r="Q3374" i="1"/>
  <c r="Q3410" i="1"/>
  <c r="Q3385" i="1"/>
  <c r="Q3445" i="1"/>
  <c r="Q3446" i="1"/>
  <c r="Q3454" i="1"/>
  <c r="Q3455" i="1"/>
  <c r="Q3527" i="1"/>
  <c r="Q3526" i="1"/>
  <c r="Q3535" i="1"/>
  <c r="Q3536" i="1"/>
  <c r="Q3564" i="1"/>
  <c r="Q3565" i="1"/>
  <c r="Q3566" i="1"/>
  <c r="Q3567" i="1"/>
  <c r="Q3613" i="1"/>
  <c r="Q3614" i="1"/>
  <c r="Q3664" i="1"/>
  <c r="Q3665" i="1"/>
  <c r="Q3682" i="1"/>
  <c r="Q3683" i="1"/>
  <c r="Q3731" i="1"/>
  <c r="Q3732" i="1"/>
  <c r="Q3772" i="1"/>
  <c r="Q3773" i="1"/>
  <c r="Q3807" i="1"/>
  <c r="Q3808" i="1"/>
  <c r="Q3837" i="1"/>
  <c r="Q3838" i="1"/>
  <c r="Q1321" i="1"/>
  <c r="Q1393" i="1"/>
  <c r="Q3499" i="1"/>
  <c r="Q3495" i="1"/>
  <c r="Q3517" i="1"/>
  <c r="Q2840" i="1"/>
  <c r="Q1216" i="1"/>
  <c r="Q3501" i="1"/>
  <c r="Q3512" i="1"/>
  <c r="Q3523" i="1"/>
  <c r="Q3524" i="1"/>
  <c r="Q3516" i="1"/>
  <c r="Q375" i="1"/>
  <c r="Q3503" i="1"/>
  <c r="Q3483" i="1"/>
  <c r="Q3502" i="1"/>
  <c r="Q307" i="1"/>
  <c r="Q762" i="1"/>
  <c r="Q2451" i="1"/>
  <c r="Q2267" i="1"/>
  <c r="Q2648" i="1"/>
  <c r="Q3111" i="1"/>
  <c r="Q1338" i="1"/>
  <c r="Q1766" i="1"/>
  <c r="Q2649" i="1"/>
  <c r="Q42" i="1"/>
  <c r="Q1874" i="1"/>
  <c r="Q1479" i="1"/>
  <c r="Q1652" i="1"/>
  <c r="Q1763" i="1"/>
  <c r="Q2264" i="1"/>
  <c r="Q2301" i="1"/>
  <c r="Q1678" i="1"/>
  <c r="Q1978" i="1"/>
  <c r="Q2511" i="1"/>
  <c r="Q2757" i="1"/>
  <c r="Q4973" i="1"/>
  <c r="Q2935" i="1"/>
  <c r="Q2982" i="1"/>
  <c r="Q3286" i="1"/>
  <c r="Q1295" i="1"/>
  <c r="Q1720" i="1"/>
  <c r="Q2162" i="1"/>
  <c r="Q2227" i="1"/>
  <c r="Q2388" i="1"/>
  <c r="Q2483" i="1"/>
  <c r="Q2554" i="1"/>
  <c r="Q2675" i="1"/>
  <c r="Q3058" i="1"/>
  <c r="Q3098" i="1"/>
  <c r="Q3154" i="1"/>
  <c r="Q3224" i="1"/>
  <c r="Q3248" i="1"/>
  <c r="Q3321" i="1"/>
  <c r="Q3346" i="1"/>
  <c r="Q3505" i="1"/>
  <c r="Q2711" i="1"/>
  <c r="P2711" i="1" l="1"/>
  <c r="N2711" i="1" s="1"/>
  <c r="K2711" i="1"/>
  <c r="J2711" i="1"/>
  <c r="R2711" i="1" s="1"/>
  <c r="L4" i="20" l="1"/>
  <c r="K23" i="19" l="1"/>
  <c r="K25" i="19" s="1"/>
  <c r="P1057" i="1"/>
  <c r="N1057" i="1" s="1"/>
  <c r="P1078" i="1"/>
  <c r="N1078" i="1" s="1"/>
  <c r="P1079" i="1"/>
  <c r="N1079" i="1" s="1"/>
  <c r="P1080" i="1"/>
  <c r="N1080" i="1" s="1"/>
  <c r="P1081" i="1"/>
  <c r="N1081" i="1" s="1"/>
  <c r="P1082" i="1"/>
  <c r="N1082" i="1" s="1"/>
  <c r="P1083" i="1"/>
  <c r="N1083" i="1" s="1"/>
  <c r="P2096" i="1"/>
  <c r="N2096" i="1" s="1"/>
  <c r="P2095" i="1"/>
  <c r="N2095" i="1" s="1"/>
  <c r="P2102" i="1"/>
  <c r="N2102" i="1" s="1"/>
  <c r="P2113" i="1"/>
  <c r="N2113" i="1" s="1"/>
  <c r="P2114" i="1"/>
  <c r="N2114" i="1" s="1"/>
  <c r="P2115" i="1"/>
  <c r="N2115" i="1" s="1"/>
  <c r="P2136" i="1"/>
  <c r="N2136" i="1" s="1"/>
  <c r="P3529" i="1"/>
  <c r="N3529" i="1" s="1"/>
  <c r="P3561" i="1"/>
  <c r="N3561" i="1" s="1"/>
  <c r="P3530" i="1"/>
  <c r="N3530" i="1" s="1"/>
  <c r="P3533" i="1"/>
  <c r="N3533" i="1" s="1"/>
  <c r="P3550" i="1"/>
  <c r="N3550" i="1" s="1"/>
  <c r="P3551" i="1"/>
  <c r="N3551" i="1" s="1"/>
  <c r="P3552" i="1"/>
  <c r="N3552" i="1" s="1"/>
  <c r="P3553" i="1"/>
  <c r="N3553" i="1" s="1"/>
  <c r="P3554" i="1"/>
  <c r="N3554" i="1" s="1"/>
  <c r="P3555" i="1"/>
  <c r="N3555" i="1" s="1"/>
  <c r="P3556" i="1"/>
  <c r="N3556" i="1" s="1"/>
  <c r="P4395" i="1"/>
  <c r="N4395" i="1" s="1"/>
  <c r="P4396" i="1"/>
  <c r="N4396" i="1" s="1"/>
  <c r="P4397" i="1"/>
  <c r="N4397" i="1" s="1"/>
  <c r="P4398" i="1"/>
  <c r="N4398" i="1" s="1"/>
  <c r="P4403" i="1"/>
  <c r="N4403" i="1" s="1"/>
  <c r="P4404" i="1"/>
  <c r="N4404" i="1" s="1"/>
  <c r="P4405" i="1"/>
  <c r="N4405" i="1" s="1"/>
  <c r="P4401" i="1"/>
  <c r="N4401" i="1" s="1"/>
  <c r="P4411" i="1"/>
  <c r="N4411" i="1" s="1"/>
  <c r="P4412" i="1"/>
  <c r="N4412" i="1" s="1"/>
  <c r="P4413" i="1"/>
  <c r="N4413" i="1" s="1"/>
  <c r="P4414" i="1"/>
  <c r="N4414" i="1" s="1"/>
  <c r="P4419" i="1"/>
  <c r="N4419" i="1" s="1"/>
  <c r="P4420" i="1"/>
  <c r="N4420" i="1" s="1"/>
  <c r="P4421" i="1"/>
  <c r="N4421" i="1" s="1"/>
  <c r="P4417" i="1"/>
  <c r="N4417" i="1" s="1"/>
  <c r="P4425" i="1"/>
  <c r="N4425" i="1" s="1"/>
  <c r="P4427" i="1"/>
  <c r="N4427" i="1" s="1"/>
  <c r="P4428" i="1"/>
  <c r="N4428" i="1" s="1"/>
  <c r="P4429" i="1"/>
  <c r="N4429" i="1" s="1"/>
  <c r="P4435" i="1"/>
  <c r="N4435" i="1" s="1"/>
  <c r="P4436" i="1"/>
  <c r="N4436" i="1" s="1"/>
  <c r="P4437" i="1"/>
  <c r="N4437" i="1" s="1"/>
  <c r="P4433" i="1"/>
  <c r="N4433" i="1" s="1"/>
  <c r="P4443" i="1"/>
  <c r="N4443" i="1" s="1"/>
  <c r="P4441" i="1"/>
  <c r="N4441" i="1" s="1"/>
  <c r="P4444" i="1"/>
  <c r="N4444" i="1" s="1"/>
  <c r="P4445" i="1"/>
  <c r="N4445" i="1" s="1"/>
  <c r="P4451" i="1"/>
  <c r="N4451" i="1" s="1"/>
  <c r="P4452" i="1"/>
  <c r="N4452" i="1" s="1"/>
  <c r="P4453" i="1"/>
  <c r="N4453" i="1" s="1"/>
  <c r="P4449" i="1"/>
  <c r="N4449" i="1" s="1"/>
  <c r="P4457" i="1"/>
  <c r="N4457" i="1" s="1"/>
  <c r="P4459" i="1"/>
  <c r="N4459" i="1" s="1"/>
  <c r="P4460" i="1"/>
  <c r="N4460" i="1" s="1"/>
  <c r="P4461" i="1"/>
  <c r="N4461" i="1" s="1"/>
  <c r="P4467" i="1"/>
  <c r="N4467" i="1" s="1"/>
  <c r="P4468" i="1"/>
  <c r="N4468" i="1" s="1"/>
  <c r="P4469" i="1"/>
  <c r="N4469" i="1" s="1"/>
  <c r="P4465" i="1"/>
  <c r="N4465" i="1" s="1"/>
  <c r="P4475" i="1"/>
  <c r="N4475" i="1" s="1"/>
  <c r="P4476" i="1"/>
  <c r="N4476" i="1" s="1"/>
  <c r="P4477" i="1"/>
  <c r="N4477" i="1" s="1"/>
  <c r="P4473" i="1"/>
  <c r="N4473" i="1" s="1"/>
  <c r="P4483" i="1"/>
  <c r="N4483" i="1" s="1"/>
  <c r="P4484" i="1"/>
  <c r="N4484" i="1" s="1"/>
  <c r="P4485" i="1"/>
  <c r="N4485" i="1" s="1"/>
  <c r="P4481" i="1"/>
  <c r="N4481" i="1" s="1"/>
  <c r="P4490" i="1"/>
  <c r="N4490" i="1" s="1"/>
  <c r="P4491" i="1"/>
  <c r="N4491" i="1" s="1"/>
  <c r="P4492" i="1"/>
  <c r="N4492" i="1" s="1"/>
  <c r="P4493" i="1"/>
  <c r="N4493" i="1" s="1"/>
  <c r="P4499" i="1"/>
  <c r="N4499" i="1" s="1"/>
  <c r="P4500" i="1"/>
  <c r="N4500" i="1" s="1"/>
  <c r="P4501" i="1"/>
  <c r="N4501" i="1" s="1"/>
  <c r="P4497" i="1"/>
  <c r="N4497" i="1" s="1"/>
  <c r="P4507" i="1"/>
  <c r="N4507" i="1" s="1"/>
  <c r="P4505" i="1"/>
  <c r="N4505" i="1" s="1"/>
  <c r="P4508" i="1"/>
  <c r="N4508" i="1" s="1"/>
  <c r="P4509" i="1"/>
  <c r="N4509" i="1" s="1"/>
  <c r="P4515" i="1"/>
  <c r="N4515" i="1" s="1"/>
  <c r="P4516" i="1"/>
  <c r="N4516" i="1" s="1"/>
  <c r="P4517" i="1"/>
  <c r="N4517" i="1" s="1"/>
  <c r="P4513" i="1"/>
  <c r="N4513" i="1" s="1"/>
  <c r="P4521" i="1"/>
  <c r="N4521" i="1" s="1"/>
  <c r="P4523" i="1"/>
  <c r="N4523" i="1" s="1"/>
  <c r="P4524" i="1"/>
  <c r="N4524" i="1" s="1"/>
  <c r="P4525" i="1"/>
  <c r="N4525" i="1" s="1"/>
  <c r="P4531" i="1"/>
  <c r="N4531" i="1" s="1"/>
  <c r="P4532" i="1"/>
  <c r="N4532" i="1" s="1"/>
  <c r="P4533" i="1"/>
  <c r="N4533" i="1" s="1"/>
  <c r="P4529" i="1"/>
  <c r="N4529" i="1" s="1"/>
  <c r="P4539" i="1"/>
  <c r="N4539" i="1" s="1"/>
  <c r="P4540" i="1"/>
  <c r="N4540" i="1" s="1"/>
  <c r="P4541" i="1"/>
  <c r="N4541" i="1" s="1"/>
  <c r="P4537" i="1"/>
  <c r="N4537" i="1" s="1"/>
  <c r="P4547" i="1"/>
  <c r="N4547" i="1" s="1"/>
  <c r="P4548" i="1"/>
  <c r="N4548" i="1" s="1"/>
  <c r="P4549" i="1"/>
  <c r="N4549" i="1" s="1"/>
  <c r="P4545" i="1"/>
  <c r="N4545" i="1" s="1"/>
  <c r="P4555" i="1"/>
  <c r="N4555" i="1" s="1"/>
  <c r="P4556" i="1"/>
  <c r="N4556" i="1" s="1"/>
  <c r="P4557" i="1"/>
  <c r="N4557" i="1" s="1"/>
  <c r="P4553" i="1"/>
  <c r="N4553" i="1" s="1"/>
  <c r="P4563" i="1"/>
  <c r="N4563" i="1" s="1"/>
  <c r="P4564" i="1"/>
  <c r="N4564" i="1" s="1"/>
  <c r="P4565" i="1"/>
  <c r="N4565" i="1" s="1"/>
  <c r="P4561" i="1"/>
  <c r="N4561" i="1" s="1"/>
  <c r="P4569" i="1"/>
  <c r="N4569" i="1" s="1"/>
  <c r="P4571" i="1"/>
  <c r="N4571" i="1" s="1"/>
  <c r="P4572" i="1"/>
  <c r="N4572" i="1" s="1"/>
  <c r="P4573" i="1"/>
  <c r="N4573" i="1" s="1"/>
  <c r="P4579" i="1"/>
  <c r="N4579" i="1" s="1"/>
  <c r="P4580" i="1"/>
  <c r="N4580" i="1" s="1"/>
  <c r="P4581" i="1"/>
  <c r="N4581" i="1" s="1"/>
  <c r="P4577" i="1"/>
  <c r="N4577" i="1" s="1"/>
  <c r="P4648" i="1"/>
  <c r="N4648" i="1" s="1"/>
  <c r="P4649" i="1"/>
  <c r="N4649" i="1" s="1"/>
  <c r="P4650" i="1"/>
  <c r="N4650" i="1" s="1"/>
  <c r="P4647" i="1"/>
  <c r="N4647" i="1" s="1"/>
  <c r="P4655" i="1"/>
  <c r="N4655" i="1" s="1"/>
  <c r="P4656" i="1"/>
  <c r="N4656" i="1" s="1"/>
  <c r="P4657" i="1"/>
  <c r="N4657" i="1" s="1"/>
  <c r="P4653" i="1"/>
  <c r="N4653" i="1" s="1"/>
  <c r="P4662" i="1"/>
  <c r="N4662" i="1" s="1"/>
  <c r="P4664" i="1"/>
  <c r="N4664" i="1" s="1"/>
  <c r="P4665" i="1"/>
  <c r="N4665" i="1" s="1"/>
  <c r="P4666" i="1"/>
  <c r="N4666" i="1" s="1"/>
  <c r="P4671" i="1"/>
  <c r="N4671" i="1" s="1"/>
  <c r="P4672" i="1"/>
  <c r="N4672" i="1" s="1"/>
  <c r="P4673" i="1"/>
  <c r="N4673" i="1" s="1"/>
  <c r="P4669" i="1"/>
  <c r="N4669" i="1" s="1"/>
  <c r="P4679" i="1"/>
  <c r="N4679" i="1" s="1"/>
  <c r="P4680" i="1"/>
  <c r="N4680" i="1" s="1"/>
  <c r="P4681" i="1"/>
  <c r="N4681" i="1" s="1"/>
  <c r="P4677" i="1"/>
  <c r="N4677" i="1" s="1"/>
  <c r="P4687" i="1"/>
  <c r="N4687" i="1" s="1"/>
  <c r="P4688" i="1"/>
  <c r="N4688" i="1" s="1"/>
  <c r="P4689" i="1"/>
  <c r="N4689" i="1" s="1"/>
  <c r="P4685" i="1"/>
  <c r="N4685" i="1" s="1"/>
  <c r="P4693" i="1"/>
  <c r="N4693" i="1" s="1"/>
  <c r="P4695" i="1"/>
  <c r="N4695" i="1" s="1"/>
  <c r="P4696" i="1"/>
  <c r="N4696" i="1" s="1"/>
  <c r="P4697" i="1"/>
  <c r="N4697" i="1" s="1"/>
  <c r="P4703" i="1"/>
  <c r="N4703" i="1" s="1"/>
  <c r="P4704" i="1"/>
  <c r="N4704" i="1" s="1"/>
  <c r="P4705" i="1"/>
  <c r="N4705" i="1" s="1"/>
  <c r="P4706" i="1"/>
  <c r="N4706" i="1" s="1"/>
  <c r="P4707" i="1"/>
  <c r="N4707" i="1" s="1"/>
  <c r="P4708" i="1"/>
  <c r="N4708" i="1" s="1"/>
  <c r="P4701" i="1"/>
  <c r="N4701" i="1" s="1"/>
  <c r="P4702" i="1"/>
  <c r="N4702" i="1" s="1"/>
  <c r="P4711" i="1"/>
  <c r="N4711" i="1" s="1"/>
  <c r="P4709" i="1"/>
  <c r="N4709" i="1" s="1"/>
  <c r="P4712" i="1"/>
  <c r="N4712" i="1" s="1"/>
  <c r="P4713" i="1"/>
  <c r="N4713" i="1" s="1"/>
  <c r="P4719" i="1"/>
  <c r="N4719" i="1" s="1"/>
  <c r="P4720" i="1"/>
  <c r="N4720" i="1" s="1"/>
  <c r="P4718" i="1"/>
  <c r="N4718" i="1" s="1"/>
  <c r="P4721" i="1"/>
  <c r="N4721" i="1" s="1"/>
  <c r="P4729" i="1"/>
  <c r="N4729" i="1" s="1"/>
  <c r="P4730" i="1"/>
  <c r="N4730" i="1" s="1"/>
  <c r="P4731" i="1"/>
  <c r="N4731" i="1" s="1"/>
  <c r="P4732" i="1"/>
  <c r="N4732" i="1" s="1"/>
  <c r="P4737" i="1"/>
  <c r="N4737" i="1" s="1"/>
  <c r="P4738" i="1"/>
  <c r="N4738" i="1" s="1"/>
  <c r="P4739" i="1"/>
  <c r="N4739" i="1" s="1"/>
  <c r="P4735" i="1"/>
  <c r="N4735" i="1" s="1"/>
  <c r="P4746" i="1"/>
  <c r="N4746" i="1" s="1"/>
  <c r="P4743" i="1"/>
  <c r="N4743" i="1" s="1"/>
  <c r="P4747" i="1"/>
  <c r="N4747" i="1" s="1"/>
  <c r="P4748" i="1"/>
  <c r="N4748" i="1" s="1"/>
  <c r="P4753" i="1"/>
  <c r="N4753" i="1" s="1"/>
  <c r="P4754" i="1"/>
  <c r="N4754" i="1" s="1"/>
  <c r="P4758" i="1"/>
  <c r="N4758" i="1" s="1"/>
  <c r="P4751" i="1"/>
  <c r="N4751" i="1" s="1"/>
  <c r="P4761" i="1"/>
  <c r="N4761" i="1" s="1"/>
  <c r="P4762" i="1"/>
  <c r="N4762" i="1" s="1"/>
  <c r="P4763" i="1"/>
  <c r="N4763" i="1" s="1"/>
  <c r="P4764" i="1"/>
  <c r="N4764" i="1" s="1"/>
  <c r="P4769" i="1"/>
  <c r="N4769" i="1" s="1"/>
  <c r="P4770" i="1"/>
  <c r="N4770" i="1" s="1"/>
  <c r="P4771" i="1"/>
  <c r="N4771" i="1" s="1"/>
  <c r="P4767" i="1"/>
  <c r="N4767" i="1" s="1"/>
  <c r="P4776" i="1"/>
  <c r="N4776" i="1" s="1"/>
  <c r="P4775" i="1"/>
  <c r="N4775" i="1" s="1"/>
  <c r="P4778" i="1"/>
  <c r="N4778" i="1" s="1"/>
  <c r="P4779" i="1"/>
  <c r="N4779" i="1" s="1"/>
  <c r="P4785" i="1"/>
  <c r="N4785" i="1" s="1"/>
  <c r="P4786" i="1"/>
  <c r="N4786" i="1" s="1"/>
  <c r="P4790" i="1"/>
  <c r="N4790" i="1" s="1"/>
  <c r="P4783" i="1"/>
  <c r="N4783" i="1" s="1"/>
  <c r="P4794" i="1"/>
  <c r="N4794" i="1" s="1"/>
  <c r="P4793" i="1"/>
  <c r="N4793" i="1" s="1"/>
  <c r="P4795" i="1"/>
  <c r="N4795" i="1" s="1"/>
  <c r="P4796" i="1"/>
  <c r="N4796" i="1" s="1"/>
  <c r="P4801" i="1"/>
  <c r="N4801" i="1" s="1"/>
  <c r="P4802" i="1"/>
  <c r="N4802" i="1" s="1"/>
  <c r="P4803" i="1"/>
  <c r="N4803" i="1" s="1"/>
  <c r="P4799" i="1"/>
  <c r="N4799" i="1" s="1"/>
  <c r="P4809" i="1"/>
  <c r="N4809" i="1" s="1"/>
  <c r="P4810" i="1"/>
  <c r="N4810" i="1" s="1"/>
  <c r="P4811" i="1"/>
  <c r="N4811" i="1" s="1"/>
  <c r="P4812" i="1"/>
  <c r="N4812" i="1" s="1"/>
  <c r="P4817" i="1"/>
  <c r="N4817" i="1" s="1"/>
  <c r="P4818" i="1"/>
  <c r="N4818" i="1" s="1"/>
  <c r="P4819" i="1"/>
  <c r="N4819" i="1" s="1"/>
  <c r="P4815" i="1"/>
  <c r="N4815" i="1" s="1"/>
  <c r="P4823" i="1"/>
  <c r="N4823" i="1" s="1"/>
  <c r="P4826" i="1"/>
  <c r="N4826" i="1" s="1"/>
  <c r="P4827" i="1"/>
  <c r="N4827" i="1" s="1"/>
  <c r="P4828" i="1"/>
  <c r="N4828" i="1" s="1"/>
  <c r="P4833" i="1"/>
  <c r="N4833" i="1" s="1"/>
  <c r="P4834" i="1"/>
  <c r="N4834" i="1" s="1"/>
  <c r="P4835" i="1"/>
  <c r="N4835" i="1" s="1"/>
  <c r="P4832" i="1"/>
  <c r="N4832" i="1" s="1"/>
  <c r="P4841" i="1"/>
  <c r="N4841" i="1" s="1"/>
  <c r="P4842" i="1"/>
  <c r="N4842" i="1" s="1"/>
  <c r="P4843" i="1"/>
  <c r="N4843" i="1" s="1"/>
  <c r="P4839" i="1"/>
  <c r="N4839" i="1" s="1"/>
  <c r="P4849" i="1"/>
  <c r="N4849" i="1" s="1"/>
  <c r="P4850" i="1"/>
  <c r="N4850" i="1" s="1"/>
  <c r="P4851" i="1"/>
  <c r="N4851" i="1" s="1"/>
  <c r="P4847" i="1"/>
  <c r="N4847" i="1" s="1"/>
  <c r="P4857" i="1"/>
  <c r="N4857" i="1" s="1"/>
  <c r="P4858" i="1"/>
  <c r="N4858" i="1" s="1"/>
  <c r="P4859" i="1"/>
  <c r="N4859" i="1" s="1"/>
  <c r="P4855" i="1"/>
  <c r="N4855" i="1" s="1"/>
  <c r="P4865" i="1"/>
  <c r="N4865" i="1" s="1"/>
  <c r="P4866" i="1"/>
  <c r="N4866" i="1" s="1"/>
  <c r="P4867" i="1"/>
  <c r="N4867" i="1" s="1"/>
  <c r="P4863" i="1"/>
  <c r="N4863" i="1" s="1"/>
  <c r="P4873" i="1"/>
  <c r="N4873" i="1" s="1"/>
  <c r="P4874" i="1"/>
  <c r="N4874" i="1" s="1"/>
  <c r="P4875" i="1"/>
  <c r="N4875" i="1" s="1"/>
  <c r="P4871" i="1"/>
  <c r="N4871" i="1" s="1"/>
  <c r="P4880" i="1"/>
  <c r="N4880" i="1" s="1"/>
  <c r="P4881" i="1"/>
  <c r="N4881" i="1" s="1"/>
  <c r="P4882" i="1"/>
  <c r="N4882" i="1" s="1"/>
  <c r="P4879" i="1"/>
  <c r="N4879" i="1" s="1"/>
  <c r="P4885" i="1"/>
  <c r="N4885" i="1" s="1"/>
  <c r="P4886" i="1"/>
  <c r="N4886" i="1" s="1"/>
  <c r="P4887" i="1"/>
  <c r="N4887" i="1" s="1"/>
  <c r="P4883" i="1"/>
  <c r="N4883" i="1" s="1"/>
  <c r="P1006" i="1"/>
  <c r="N1006" i="1" s="1"/>
  <c r="P1011" i="1"/>
  <c r="N1011" i="1" s="1"/>
  <c r="P1014" i="1"/>
  <c r="N1014" i="1" s="1"/>
  <c r="P1015" i="1"/>
  <c r="N1015" i="1" s="1"/>
  <c r="P543" i="1"/>
  <c r="N543" i="1" s="1"/>
  <c r="P544" i="1"/>
  <c r="N544" i="1" s="1"/>
  <c r="P545" i="1"/>
  <c r="N545" i="1" s="1"/>
  <c r="P546" i="1"/>
  <c r="N546" i="1" s="1"/>
  <c r="P577" i="1"/>
  <c r="N577" i="1" s="1"/>
  <c r="P579" i="1"/>
  <c r="N579" i="1" s="1"/>
  <c r="P580" i="1"/>
  <c r="N580" i="1" s="1"/>
  <c r="P581" i="1"/>
  <c r="N581" i="1" s="1"/>
  <c r="P582" i="1"/>
  <c r="N582" i="1" s="1"/>
  <c r="P583" i="1"/>
  <c r="N583" i="1" s="1"/>
  <c r="P584" i="1"/>
  <c r="N584" i="1" s="1"/>
  <c r="P585" i="1"/>
  <c r="N585" i="1" s="1"/>
  <c r="P587" i="1"/>
  <c r="N587" i="1" s="1"/>
  <c r="P588" i="1"/>
  <c r="N588" i="1" s="1"/>
  <c r="P589" i="1"/>
  <c r="N589" i="1" s="1"/>
  <c r="P590" i="1"/>
  <c r="N590" i="1" s="1"/>
  <c r="P591" i="1"/>
  <c r="N591" i="1" s="1"/>
  <c r="P592" i="1"/>
  <c r="N592" i="1" s="1"/>
  <c r="P593" i="1"/>
  <c r="N593" i="1" s="1"/>
  <c r="P594" i="1"/>
  <c r="N594" i="1" s="1"/>
  <c r="P595" i="1"/>
  <c r="N595" i="1" s="1"/>
  <c r="P596" i="1"/>
  <c r="N596" i="1" s="1"/>
  <c r="P598" i="1"/>
  <c r="N598" i="1" s="1"/>
  <c r="P599" i="1"/>
  <c r="N599" i="1" s="1"/>
  <c r="P600" i="1"/>
  <c r="N600" i="1" s="1"/>
  <c r="P601" i="1"/>
  <c r="N601" i="1" s="1"/>
  <c r="P602" i="1"/>
  <c r="N602" i="1" s="1"/>
  <c r="P603" i="1"/>
  <c r="N603" i="1" s="1"/>
  <c r="P605" i="1"/>
  <c r="N605" i="1" s="1"/>
  <c r="P606" i="1"/>
  <c r="N606" i="1" s="1"/>
  <c r="P607" i="1"/>
  <c r="N607" i="1" s="1"/>
  <c r="P608" i="1"/>
  <c r="N608" i="1" s="1"/>
  <c r="P609" i="1"/>
  <c r="N609" i="1" s="1"/>
  <c r="P610" i="1"/>
  <c r="N610" i="1" s="1"/>
  <c r="P611" i="1"/>
  <c r="N611" i="1" s="1"/>
  <c r="P645" i="1"/>
  <c r="N645" i="1" s="1"/>
  <c r="P646" i="1"/>
  <c r="N646" i="1" s="1"/>
  <c r="P647" i="1"/>
  <c r="N647" i="1" s="1"/>
  <c r="P936" i="1"/>
  <c r="N936" i="1" s="1"/>
  <c r="P963" i="1"/>
  <c r="N963" i="1" s="1"/>
  <c r="P941" i="1"/>
  <c r="N941" i="1" s="1"/>
  <c r="P964" i="1"/>
  <c r="N964" i="1" s="1"/>
  <c r="P965" i="1"/>
  <c r="N965" i="1" s="1"/>
  <c r="P966" i="1"/>
  <c r="N966" i="1" s="1"/>
  <c r="P967" i="1"/>
  <c r="N967" i="1" s="1"/>
  <c r="P968" i="1"/>
  <c r="N968" i="1" s="1"/>
  <c r="P969" i="1"/>
  <c r="N969" i="1" s="1"/>
  <c r="P1250" i="1"/>
  <c r="N1250" i="1" s="1"/>
  <c r="P1282" i="1"/>
  <c r="N1282" i="1" s="1"/>
  <c r="P1274" i="1"/>
  <c r="N1274" i="1" s="1"/>
  <c r="P1275" i="1"/>
  <c r="N1275" i="1" s="1"/>
  <c r="P1276" i="1"/>
  <c r="N1276" i="1" s="1"/>
  <c r="P1277" i="1"/>
  <c r="N1277" i="1" s="1"/>
  <c r="P1278" i="1"/>
  <c r="N1278" i="1" s="1"/>
  <c r="P1279" i="1"/>
  <c r="N1279" i="1" s="1"/>
  <c r="P1280" i="1"/>
  <c r="N1280" i="1" s="1"/>
  <c r="P1597" i="1"/>
  <c r="N1597" i="1" s="1"/>
  <c r="P1598" i="1"/>
  <c r="N1598" i="1" s="1"/>
  <c r="P1599" i="1"/>
  <c r="N1599" i="1" s="1"/>
  <c r="P1600" i="1"/>
  <c r="N1600" i="1" s="1"/>
  <c r="P1601" i="1"/>
  <c r="N1601" i="1" s="1"/>
  <c r="P1602" i="1"/>
  <c r="N1602" i="1" s="1"/>
  <c r="P1603" i="1"/>
  <c r="N1603" i="1" s="1"/>
  <c r="P568" i="1"/>
  <c r="N568" i="1" s="1"/>
  <c r="P569" i="1"/>
  <c r="N569" i="1" s="1"/>
  <c r="P570" i="1"/>
  <c r="N570" i="1" s="1"/>
  <c r="P572" i="1"/>
  <c r="N572" i="1" s="1"/>
  <c r="P573" i="1"/>
  <c r="N573" i="1" s="1"/>
  <c r="P574" i="1"/>
  <c r="N574" i="1" s="1"/>
  <c r="P575" i="1"/>
  <c r="N575" i="1" s="1"/>
  <c r="P576" i="1"/>
  <c r="N576" i="1" s="1"/>
  <c r="P559" i="1"/>
  <c r="N559" i="1" s="1"/>
  <c r="P560" i="1"/>
  <c r="N560" i="1" s="1"/>
  <c r="P563" i="1"/>
  <c r="N563" i="1" s="1"/>
  <c r="P564" i="1"/>
  <c r="N564" i="1" s="1"/>
  <c r="P565" i="1"/>
  <c r="N565" i="1" s="1"/>
  <c r="P566" i="1"/>
  <c r="N566" i="1" s="1"/>
  <c r="P567" i="1"/>
  <c r="N567" i="1" s="1"/>
  <c r="P561" i="1"/>
  <c r="N561" i="1" s="1"/>
  <c r="P612" i="1"/>
  <c r="N612" i="1" s="1"/>
  <c r="P613" i="1"/>
  <c r="N613" i="1" s="1"/>
  <c r="P614" i="1"/>
  <c r="N614" i="1" s="1"/>
  <c r="P616" i="1"/>
  <c r="N616" i="1" s="1"/>
  <c r="P617" i="1"/>
  <c r="N617" i="1" s="1"/>
  <c r="P618" i="1"/>
  <c r="N618" i="1" s="1"/>
  <c r="P619" i="1"/>
  <c r="N619" i="1" s="1"/>
  <c r="P620" i="1"/>
  <c r="N620" i="1" s="1"/>
  <c r="P622" i="1"/>
  <c r="N622" i="1" s="1"/>
  <c r="P623" i="1"/>
  <c r="N623" i="1" s="1"/>
  <c r="P624" i="1"/>
  <c r="N624" i="1" s="1"/>
  <c r="P625" i="1"/>
  <c r="N625" i="1" s="1"/>
  <c r="P626" i="1"/>
  <c r="N626" i="1" s="1"/>
  <c r="P627" i="1"/>
  <c r="N627" i="1" s="1"/>
  <c r="P630" i="1"/>
  <c r="N630" i="1" s="1"/>
  <c r="P628" i="1"/>
  <c r="N628" i="1" s="1"/>
  <c r="P631" i="1"/>
  <c r="N631" i="1" s="1"/>
  <c r="P632" i="1"/>
  <c r="N632" i="1" s="1"/>
  <c r="P633" i="1"/>
  <c r="N633" i="1" s="1"/>
  <c r="P634" i="1"/>
  <c r="N634" i="1" s="1"/>
  <c r="P635" i="1"/>
  <c r="N635" i="1" s="1"/>
  <c r="P636" i="1"/>
  <c r="N636" i="1" s="1"/>
  <c r="P638" i="1"/>
  <c r="N638" i="1" s="1"/>
  <c r="P639" i="1"/>
  <c r="N639" i="1" s="1"/>
  <c r="P640" i="1"/>
  <c r="N640" i="1" s="1"/>
  <c r="P641" i="1"/>
  <c r="N641" i="1" s="1"/>
  <c r="P642" i="1"/>
  <c r="N642" i="1" s="1"/>
  <c r="P643" i="1"/>
  <c r="N643" i="1" s="1"/>
  <c r="P190" i="1"/>
  <c r="N190" i="1" s="1"/>
  <c r="P191" i="1"/>
  <c r="N191" i="1" s="1"/>
  <c r="P192" i="1"/>
  <c r="N192" i="1" s="1"/>
  <c r="P193" i="1"/>
  <c r="N193" i="1" s="1"/>
  <c r="P194" i="1"/>
  <c r="N194" i="1" s="1"/>
  <c r="P195" i="1"/>
  <c r="N195" i="1" s="1"/>
  <c r="P196" i="1"/>
  <c r="N196" i="1" s="1"/>
  <c r="P197" i="1"/>
  <c r="N197" i="1" s="1"/>
  <c r="P198" i="1"/>
  <c r="N198" i="1" s="1"/>
  <c r="P199" i="1"/>
  <c r="N199" i="1" s="1"/>
  <c r="P200" i="1"/>
  <c r="N200" i="1" s="1"/>
  <c r="P201" i="1"/>
  <c r="N201" i="1" s="1"/>
  <c r="P202" i="1"/>
  <c r="N202" i="1" s="1"/>
  <c r="P203" i="1"/>
  <c r="N203" i="1" s="1"/>
  <c r="P204" i="1"/>
  <c r="N204" i="1" s="1"/>
  <c r="P205" i="1"/>
  <c r="N205" i="1" s="1"/>
  <c r="P206" i="1"/>
  <c r="N206" i="1" s="1"/>
  <c r="P207" i="1"/>
  <c r="N207" i="1" s="1"/>
  <c r="P208" i="1"/>
  <c r="N208" i="1" s="1"/>
  <c r="P209" i="1"/>
  <c r="N209" i="1" s="1"/>
  <c r="P210" i="1"/>
  <c r="N210" i="1" s="1"/>
  <c r="P211" i="1"/>
  <c r="N211" i="1" s="1"/>
  <c r="P212" i="1"/>
  <c r="N212" i="1" s="1"/>
  <c r="P213" i="1"/>
  <c r="N213" i="1" s="1"/>
  <c r="P214" i="1"/>
  <c r="N214" i="1" s="1"/>
  <c r="P215" i="1"/>
  <c r="N215" i="1" s="1"/>
  <c r="P1172" i="1"/>
  <c r="N1172" i="1" s="1"/>
  <c r="P1173" i="1"/>
  <c r="N1173" i="1" s="1"/>
  <c r="P1174" i="1"/>
  <c r="N1174" i="1" s="1"/>
  <c r="P1175" i="1"/>
  <c r="N1175" i="1" s="1"/>
  <c r="P1176" i="1"/>
  <c r="N1176" i="1" s="1"/>
  <c r="P1177" i="1"/>
  <c r="N1177" i="1" s="1"/>
  <c r="P1178" i="1"/>
  <c r="N1178" i="1" s="1"/>
  <c r="P2972" i="1"/>
  <c r="N2972" i="1" s="1"/>
  <c r="P2975" i="1"/>
  <c r="N2975" i="1" s="1"/>
  <c r="P2976" i="1"/>
  <c r="N2976" i="1" s="1"/>
  <c r="P3000" i="1"/>
  <c r="N3000" i="1" s="1"/>
  <c r="P3001" i="1"/>
  <c r="N3001" i="1" s="1"/>
  <c r="P3623" i="1"/>
  <c r="N3623" i="1" s="1"/>
  <c r="P3624" i="1"/>
  <c r="N3624" i="1" s="1"/>
  <c r="P3625" i="1"/>
  <c r="N3625" i="1" s="1"/>
  <c r="P3626" i="1"/>
  <c r="N3626" i="1" s="1"/>
  <c r="P3627" i="1"/>
  <c r="N3627" i="1" s="1"/>
  <c r="P3628" i="1"/>
  <c r="N3628" i="1" s="1"/>
  <c r="P3629" i="1"/>
  <c r="N3629" i="1" s="1"/>
  <c r="P648" i="1"/>
  <c r="N648" i="1" s="1"/>
  <c r="P649" i="1"/>
  <c r="N649" i="1" s="1"/>
  <c r="P650" i="1"/>
  <c r="N650" i="1" s="1"/>
  <c r="P651" i="1"/>
  <c r="N651" i="1" s="1"/>
  <c r="P652" i="1"/>
  <c r="N652" i="1" s="1"/>
  <c r="P653" i="1"/>
  <c r="N653" i="1" s="1"/>
  <c r="P3707" i="1"/>
  <c r="N3707" i="1" s="1"/>
  <c r="P3691" i="1"/>
  <c r="N3691" i="1" s="1"/>
  <c r="P3692" i="1"/>
  <c r="N3692" i="1" s="1"/>
  <c r="P3693" i="1"/>
  <c r="N3693" i="1" s="1"/>
  <c r="P3694" i="1"/>
  <c r="N3694" i="1" s="1"/>
  <c r="P3695" i="1"/>
  <c r="N3695" i="1" s="1"/>
  <c r="P3696" i="1"/>
  <c r="N3696" i="1" s="1"/>
  <c r="P3697" i="1"/>
  <c r="N3697" i="1" s="1"/>
  <c r="P3698" i="1"/>
  <c r="N3698" i="1" s="1"/>
  <c r="P3699" i="1"/>
  <c r="N3699" i="1" s="1"/>
  <c r="P3700" i="1"/>
  <c r="N3700" i="1" s="1"/>
  <c r="P1112" i="1"/>
  <c r="N1112" i="1" s="1"/>
  <c r="P1113" i="1"/>
  <c r="N1113" i="1" s="1"/>
  <c r="P1114" i="1"/>
  <c r="N1114" i="1" s="1"/>
  <c r="P1115" i="1"/>
  <c r="N1115" i="1" s="1"/>
  <c r="P1116" i="1"/>
  <c r="N1116" i="1" s="1"/>
  <c r="P1117" i="1"/>
  <c r="N1117" i="1" s="1"/>
  <c r="P1118" i="1"/>
  <c r="N1118" i="1" s="1"/>
  <c r="P4906" i="1"/>
  <c r="N4906" i="1" s="1"/>
  <c r="P4907" i="1"/>
  <c r="N4907" i="1" s="1"/>
  <c r="P4912" i="1"/>
  <c r="N4912" i="1" s="1"/>
  <c r="P4917" i="1"/>
  <c r="N4917" i="1" s="1"/>
  <c r="P4918" i="1"/>
  <c r="N4918" i="1" s="1"/>
  <c r="P1147" i="1"/>
  <c r="N1147" i="1" s="1"/>
  <c r="P1148" i="1"/>
  <c r="N1148" i="1" s="1"/>
  <c r="P1149" i="1"/>
  <c r="N1149" i="1" s="1"/>
  <c r="P1150" i="1"/>
  <c r="N1150" i="1" s="1"/>
  <c r="P1151" i="1"/>
  <c r="N1151" i="1" s="1"/>
  <c r="P1152" i="1"/>
  <c r="N1152" i="1" s="1"/>
  <c r="P1790" i="1"/>
  <c r="N1790" i="1" s="1"/>
  <c r="P1797" i="1"/>
  <c r="N1797" i="1" s="1"/>
  <c r="P1816" i="1"/>
  <c r="N1816" i="1" s="1"/>
  <c r="P1817" i="1"/>
  <c r="N1817" i="1" s="1"/>
  <c r="P1818" i="1"/>
  <c r="N1818" i="1" s="1"/>
  <c r="P1819" i="1"/>
  <c r="N1819" i="1" s="1"/>
  <c r="P1820" i="1"/>
  <c r="N1820" i="1" s="1"/>
  <c r="P1821" i="1"/>
  <c r="N1821" i="1" s="1"/>
  <c r="P1822" i="1"/>
  <c r="N1822" i="1" s="1"/>
  <c r="P1823" i="1"/>
  <c r="N1823" i="1" s="1"/>
  <c r="P1824" i="1"/>
  <c r="N1824" i="1" s="1"/>
  <c r="P1825" i="1"/>
  <c r="N1825" i="1" s="1"/>
  <c r="P1861" i="1"/>
  <c r="N1861" i="1" s="1"/>
  <c r="P1862" i="1"/>
  <c r="N1862" i="1" s="1"/>
  <c r="P1896" i="1"/>
  <c r="N1896" i="1" s="1"/>
  <c r="P1892" i="1"/>
  <c r="N1892" i="1" s="1"/>
  <c r="P1893" i="1"/>
  <c r="N1893" i="1" s="1"/>
  <c r="P1894" i="1"/>
  <c r="N1894" i="1" s="1"/>
  <c r="P1895" i="1"/>
  <c r="N1895" i="1" s="1"/>
  <c r="P1927" i="1"/>
  <c r="N1927" i="1" s="1"/>
  <c r="P1928" i="1"/>
  <c r="N1928" i="1" s="1"/>
  <c r="P1903" i="1"/>
  <c r="N1903" i="1" s="1"/>
  <c r="P1906" i="1"/>
  <c r="N1906" i="1" s="1"/>
  <c r="P1929" i="1"/>
  <c r="N1929" i="1" s="1"/>
  <c r="P1930" i="1"/>
  <c r="N1930" i="1" s="1"/>
  <c r="P1931" i="1"/>
  <c r="N1931" i="1" s="1"/>
  <c r="P1932" i="1"/>
  <c r="N1932" i="1" s="1"/>
  <c r="P1933" i="1"/>
  <c r="N1933" i="1" s="1"/>
  <c r="P1934" i="1"/>
  <c r="N1934" i="1" s="1"/>
  <c r="P2031" i="1"/>
  <c r="N2031" i="1" s="1"/>
  <c r="P2032" i="1"/>
  <c r="N2032" i="1" s="1"/>
  <c r="P2033" i="1"/>
  <c r="N2033" i="1" s="1"/>
  <c r="P2034" i="1"/>
  <c r="N2034" i="1" s="1"/>
  <c r="P2035" i="1"/>
  <c r="N2035" i="1" s="1"/>
  <c r="P2036" i="1"/>
  <c r="N2036" i="1" s="1"/>
  <c r="P2037" i="1"/>
  <c r="N2037" i="1" s="1"/>
  <c r="P2038" i="1"/>
  <c r="N2038" i="1" s="1"/>
  <c r="P2012" i="1"/>
  <c r="N2012" i="1" s="1"/>
  <c r="P2039" i="1"/>
  <c r="N2039" i="1" s="1"/>
  <c r="P2040" i="1"/>
  <c r="N2040" i="1" s="1"/>
  <c r="P2066" i="1"/>
  <c r="N2066" i="1" s="1"/>
  <c r="P2067" i="1"/>
  <c r="N2067" i="1" s="1"/>
  <c r="P2068" i="1"/>
  <c r="N2068" i="1" s="1"/>
  <c r="P2069" i="1"/>
  <c r="N2069" i="1" s="1"/>
  <c r="P2070" i="1"/>
  <c r="N2070" i="1" s="1"/>
  <c r="P2071" i="1"/>
  <c r="N2071" i="1" s="1"/>
  <c r="P2072" i="1"/>
  <c r="N2072" i="1" s="1"/>
  <c r="P2047" i="1"/>
  <c r="N2047" i="1" s="1"/>
  <c r="P2073" i="1"/>
  <c r="N2073" i="1" s="1"/>
  <c r="P2412" i="1"/>
  <c r="N2412" i="1" s="1"/>
  <c r="P2439" i="1"/>
  <c r="N2439" i="1" s="1"/>
  <c r="P2413" i="1"/>
  <c r="N2413" i="1" s="1"/>
  <c r="P2414" i="1"/>
  <c r="N2414" i="1" s="1"/>
  <c r="P2440" i="1"/>
  <c r="N2440" i="1" s="1"/>
  <c r="P2441" i="1"/>
  <c r="N2441" i="1" s="1"/>
  <c r="P2442" i="1"/>
  <c r="N2442" i="1" s="1"/>
  <c r="P2443" i="1"/>
  <c r="N2443" i="1" s="1"/>
  <c r="P2444" i="1"/>
  <c r="N2444" i="1" s="1"/>
  <c r="P2445" i="1"/>
  <c r="N2445" i="1" s="1"/>
  <c r="P2931" i="1"/>
  <c r="N2931" i="1" s="1"/>
  <c r="P2932" i="1"/>
  <c r="N2932" i="1" s="1"/>
  <c r="P3027" i="1"/>
  <c r="N3027" i="1" s="1"/>
  <c r="P3028" i="1"/>
  <c r="N3028" i="1" s="1"/>
  <c r="P3029" i="1"/>
  <c r="N3029" i="1" s="1"/>
  <c r="P3030" i="1"/>
  <c r="N3030" i="1" s="1"/>
  <c r="P3031" i="1"/>
  <c r="N3031" i="1" s="1"/>
  <c r="P3032" i="1"/>
  <c r="N3032" i="1" s="1"/>
  <c r="P3033" i="1"/>
  <c r="N3033" i="1" s="1"/>
  <c r="P3034" i="1"/>
  <c r="N3034" i="1" s="1"/>
  <c r="P3043" i="1"/>
  <c r="N3043" i="1" s="1"/>
  <c r="P3035" i="1"/>
  <c r="N3035" i="1" s="1"/>
  <c r="P3036" i="1"/>
  <c r="N3036" i="1" s="1"/>
  <c r="P655" i="1"/>
  <c r="N655" i="1" s="1"/>
  <c r="P656" i="1"/>
  <c r="N656" i="1" s="1"/>
  <c r="P657" i="1"/>
  <c r="N657" i="1" s="1"/>
  <c r="P658" i="1"/>
  <c r="N658" i="1" s="1"/>
  <c r="P659" i="1"/>
  <c r="N659" i="1" s="1"/>
  <c r="P660" i="1"/>
  <c r="N660" i="1" s="1"/>
  <c r="P661" i="1"/>
  <c r="N661" i="1" s="1"/>
  <c r="P662" i="1"/>
  <c r="N662" i="1" s="1"/>
  <c r="P669" i="1"/>
  <c r="N669" i="1" s="1"/>
  <c r="P670" i="1"/>
  <c r="N670" i="1" s="1"/>
  <c r="P671" i="1"/>
  <c r="N671" i="1" s="1"/>
  <c r="P998" i="1"/>
  <c r="N998" i="1" s="1"/>
  <c r="P986" i="1"/>
  <c r="N986" i="1" s="1"/>
  <c r="P990" i="1"/>
  <c r="N990" i="1" s="1"/>
  <c r="P999" i="1"/>
  <c r="N999" i="1" s="1"/>
  <c r="P1000" i="1"/>
  <c r="N1000" i="1" s="1"/>
  <c r="P1001" i="1"/>
  <c r="N1001" i="1" s="1"/>
  <c r="P1002" i="1"/>
  <c r="N1002" i="1" s="1"/>
  <c r="P1003" i="1"/>
  <c r="N1003" i="1" s="1"/>
  <c r="P1004" i="1"/>
  <c r="N1004" i="1" s="1"/>
  <c r="P1005" i="1"/>
  <c r="N1005" i="1" s="1"/>
  <c r="P1008" i="1"/>
  <c r="N1008" i="1" s="1"/>
  <c r="P1007" i="1"/>
  <c r="N1007" i="1" s="1"/>
  <c r="P1021" i="1"/>
  <c r="N1021" i="1" s="1"/>
  <c r="P1022" i="1"/>
  <c r="N1022" i="1" s="1"/>
  <c r="P1023" i="1"/>
  <c r="N1023" i="1" s="1"/>
  <c r="P1024" i="1"/>
  <c r="N1024" i="1" s="1"/>
  <c r="P1025" i="1"/>
  <c r="N1025" i="1" s="1"/>
  <c r="P1026" i="1"/>
  <c r="N1026" i="1" s="1"/>
  <c r="P1029" i="1"/>
  <c r="N1029" i="1" s="1"/>
  <c r="P1033" i="1"/>
  <c r="N1033" i="1" s="1"/>
  <c r="P1049" i="1"/>
  <c r="N1049" i="1" s="1"/>
  <c r="P1050" i="1"/>
  <c r="N1050" i="1" s="1"/>
  <c r="P1051" i="1"/>
  <c r="N1051" i="1" s="1"/>
  <c r="P1052" i="1"/>
  <c r="N1052" i="1" s="1"/>
  <c r="P1053" i="1"/>
  <c r="N1053" i="1" s="1"/>
  <c r="P1054" i="1"/>
  <c r="N1054" i="1" s="1"/>
  <c r="P1055" i="1"/>
  <c r="N1055" i="1" s="1"/>
  <c r="P1852" i="1"/>
  <c r="N1852" i="1" s="1"/>
  <c r="P1853" i="1"/>
  <c r="N1853" i="1" s="1"/>
  <c r="P1854" i="1"/>
  <c r="N1854" i="1" s="1"/>
  <c r="P1855" i="1"/>
  <c r="N1855" i="1" s="1"/>
  <c r="P1856" i="1"/>
  <c r="N1856" i="1" s="1"/>
  <c r="P1857" i="1"/>
  <c r="N1857" i="1" s="1"/>
  <c r="P1858" i="1"/>
  <c r="N1858" i="1" s="1"/>
  <c r="P1859" i="1"/>
  <c r="N1859" i="1" s="1"/>
  <c r="P1832" i="1"/>
  <c r="N1832" i="1" s="1"/>
  <c r="P1860" i="1"/>
  <c r="N1860" i="1" s="1"/>
  <c r="P2900" i="1"/>
  <c r="N2900" i="1" s="1"/>
  <c r="P2901" i="1"/>
  <c r="N2901" i="1" s="1"/>
  <c r="P2909" i="1"/>
  <c r="N2909" i="1" s="1"/>
  <c r="P2902" i="1"/>
  <c r="N2902" i="1" s="1"/>
  <c r="P2903" i="1"/>
  <c r="N2903" i="1" s="1"/>
  <c r="P2920" i="1"/>
  <c r="N2920" i="1" s="1"/>
  <c r="P2921" i="1"/>
  <c r="N2921" i="1" s="1"/>
  <c r="P909" i="1"/>
  <c r="N909" i="1" s="1"/>
  <c r="P908" i="1"/>
  <c r="N908" i="1" s="1"/>
  <c r="P911" i="1"/>
  <c r="N911" i="1" s="1"/>
  <c r="P930" i="1"/>
  <c r="N930" i="1" s="1"/>
  <c r="P931" i="1"/>
  <c r="N931" i="1" s="1"/>
  <c r="P932" i="1"/>
  <c r="N932" i="1" s="1"/>
  <c r="P933" i="1"/>
  <c r="N933" i="1" s="1"/>
  <c r="P934" i="1"/>
  <c r="N934" i="1" s="1"/>
  <c r="P935" i="1"/>
  <c r="N935" i="1" s="1"/>
  <c r="P1210" i="1"/>
  <c r="N1210" i="1" s="1"/>
  <c r="P1211" i="1"/>
  <c r="N1211" i="1" s="1"/>
  <c r="P1212" i="1"/>
  <c r="N1212" i="1" s="1"/>
  <c r="P1182" i="1"/>
  <c r="N1182" i="1" s="1"/>
  <c r="P1242" i="1"/>
  <c r="N1242" i="1" s="1"/>
  <c r="P1219" i="1"/>
  <c r="N1219" i="1" s="1"/>
  <c r="P1221" i="1"/>
  <c r="N1221" i="1" s="1"/>
  <c r="P1243" i="1"/>
  <c r="N1243" i="1" s="1"/>
  <c r="P1244" i="1"/>
  <c r="N1244" i="1" s="1"/>
  <c r="P1245" i="1"/>
  <c r="N1245" i="1" s="1"/>
  <c r="P1246" i="1"/>
  <c r="N1246" i="1" s="1"/>
  <c r="P1247" i="1"/>
  <c r="N1247" i="1" s="1"/>
  <c r="P1248" i="1"/>
  <c r="N1248" i="1" s="1"/>
  <c r="P1327" i="1"/>
  <c r="N1327" i="1" s="1"/>
  <c r="P1335" i="1"/>
  <c r="N1335" i="1" s="1"/>
  <c r="P1351" i="1"/>
  <c r="N1351" i="1" s="1"/>
  <c r="P1352" i="1"/>
  <c r="N1352" i="1" s="1"/>
  <c r="P1353" i="1"/>
  <c r="N1353" i="1" s="1"/>
  <c r="P1354" i="1"/>
  <c r="N1354" i="1" s="1"/>
  <c r="P1355" i="1"/>
  <c r="N1355" i="1" s="1"/>
  <c r="P1356" i="1"/>
  <c r="N1356" i="1" s="1"/>
  <c r="P1357" i="1"/>
  <c r="N1357" i="1" s="1"/>
  <c r="P1383" i="1"/>
  <c r="N1383" i="1" s="1"/>
  <c r="P1384" i="1"/>
  <c r="N1384" i="1" s="1"/>
  <c r="P1385" i="1"/>
  <c r="N1385" i="1" s="1"/>
  <c r="P1386" i="1"/>
  <c r="N1386" i="1" s="1"/>
  <c r="P1387" i="1"/>
  <c r="N1387" i="1" s="1"/>
  <c r="P1388" i="1"/>
  <c r="N1388" i="1" s="1"/>
  <c r="P1389" i="1"/>
  <c r="N1389" i="1" s="1"/>
  <c r="P1390" i="1"/>
  <c r="N1390" i="1" s="1"/>
  <c r="P1364" i="1"/>
  <c r="N1364" i="1" s="1"/>
  <c r="P1391" i="1"/>
  <c r="N1391" i="1" s="1"/>
  <c r="P1392" i="1"/>
  <c r="N1392" i="1" s="1"/>
  <c r="P1399" i="1"/>
  <c r="N1399" i="1" s="1"/>
  <c r="P1397" i="1"/>
  <c r="N1397" i="1" s="1"/>
  <c r="P1428" i="1"/>
  <c r="N1428" i="1" s="1"/>
  <c r="P1422" i="1"/>
  <c r="N1422" i="1" s="1"/>
  <c r="P1423" i="1"/>
  <c r="N1423" i="1" s="1"/>
  <c r="P1424" i="1"/>
  <c r="N1424" i="1" s="1"/>
  <c r="P1425" i="1"/>
  <c r="N1425" i="1" s="1"/>
  <c r="P1426" i="1"/>
  <c r="N1426" i="1" s="1"/>
  <c r="P1427" i="1"/>
  <c r="N1427" i="1" s="1"/>
  <c r="P1454" i="1"/>
  <c r="N1454" i="1" s="1"/>
  <c r="P1455" i="1"/>
  <c r="N1455" i="1" s="1"/>
  <c r="P1456" i="1"/>
  <c r="N1456" i="1" s="1"/>
  <c r="P1457" i="1"/>
  <c r="N1457" i="1" s="1"/>
  <c r="P1458" i="1"/>
  <c r="N1458" i="1" s="1"/>
  <c r="P1459" i="1"/>
  <c r="N1459" i="1" s="1"/>
  <c r="P1460" i="1"/>
  <c r="N1460" i="1" s="1"/>
  <c r="P1461" i="1"/>
  <c r="N1461" i="1" s="1"/>
  <c r="P1435" i="1"/>
  <c r="N1435" i="1" s="1"/>
  <c r="P1462" i="1"/>
  <c r="N1462" i="1" s="1"/>
  <c r="P1463" i="1"/>
  <c r="N1463" i="1" s="1"/>
  <c r="P3853" i="1"/>
  <c r="N3853" i="1" s="1"/>
  <c r="P3854" i="1"/>
  <c r="N3854" i="1" s="1"/>
  <c r="P3855" i="1"/>
  <c r="N3855" i="1" s="1"/>
  <c r="P3851" i="1"/>
  <c r="N3851" i="1" s="1"/>
  <c r="P3861" i="1"/>
  <c r="N3861" i="1" s="1"/>
  <c r="P3862" i="1"/>
  <c r="N3862" i="1" s="1"/>
  <c r="P3863" i="1"/>
  <c r="N3863" i="1" s="1"/>
  <c r="P3859" i="1"/>
  <c r="N3859" i="1" s="1"/>
  <c r="P3869" i="1"/>
  <c r="N3869" i="1" s="1"/>
  <c r="P3870" i="1"/>
  <c r="N3870" i="1" s="1"/>
  <c r="P3871" i="1"/>
  <c r="N3871" i="1" s="1"/>
  <c r="P3867" i="1"/>
  <c r="N3867" i="1" s="1"/>
  <c r="P3877" i="1"/>
  <c r="N3877" i="1" s="1"/>
  <c r="P3878" i="1"/>
  <c r="N3878" i="1" s="1"/>
  <c r="P3879" i="1"/>
  <c r="N3879" i="1" s="1"/>
  <c r="P3875" i="1"/>
  <c r="N3875" i="1" s="1"/>
  <c r="P3885" i="1"/>
  <c r="N3885" i="1" s="1"/>
  <c r="P3886" i="1"/>
  <c r="N3886" i="1" s="1"/>
  <c r="P3887" i="1"/>
  <c r="N3887" i="1" s="1"/>
  <c r="P3883" i="1"/>
  <c r="N3883" i="1" s="1"/>
  <c r="P3893" i="1"/>
  <c r="N3893" i="1" s="1"/>
  <c r="P3891" i="1"/>
  <c r="N3891" i="1" s="1"/>
  <c r="P3894" i="1"/>
  <c r="N3894" i="1" s="1"/>
  <c r="P3895" i="1"/>
  <c r="N3895" i="1" s="1"/>
  <c r="P3901" i="1"/>
  <c r="N3901" i="1" s="1"/>
  <c r="P3902" i="1"/>
  <c r="N3902" i="1" s="1"/>
  <c r="P3899" i="1"/>
  <c r="N3899" i="1" s="1"/>
  <c r="P3903" i="1"/>
  <c r="N3903" i="1" s="1"/>
  <c r="P3909" i="1"/>
  <c r="N3909" i="1" s="1"/>
  <c r="P3907" i="1"/>
  <c r="N3907" i="1" s="1"/>
  <c r="P3910" i="1"/>
  <c r="N3910" i="1" s="1"/>
  <c r="P3911" i="1"/>
  <c r="N3911" i="1" s="1"/>
  <c r="P3917" i="1"/>
  <c r="N3917" i="1" s="1"/>
  <c r="P3918" i="1"/>
  <c r="N3918" i="1" s="1"/>
  <c r="P3919" i="1"/>
  <c r="N3919" i="1" s="1"/>
  <c r="P3915" i="1"/>
  <c r="N3915" i="1" s="1"/>
  <c r="P3925" i="1"/>
  <c r="N3925" i="1" s="1"/>
  <c r="P3926" i="1"/>
  <c r="N3926" i="1" s="1"/>
  <c r="P3927" i="1"/>
  <c r="N3927" i="1" s="1"/>
  <c r="P3923" i="1"/>
  <c r="N3923" i="1" s="1"/>
  <c r="P3933" i="1"/>
  <c r="N3933" i="1" s="1"/>
  <c r="P3934" i="1"/>
  <c r="N3934" i="1" s="1"/>
  <c r="P3935" i="1"/>
  <c r="N3935" i="1" s="1"/>
  <c r="P3931" i="1"/>
  <c r="N3931" i="1" s="1"/>
  <c r="P3941" i="1"/>
  <c r="N3941" i="1" s="1"/>
  <c r="P3942" i="1"/>
  <c r="N3942" i="1" s="1"/>
  <c r="P3943" i="1"/>
  <c r="N3943" i="1" s="1"/>
  <c r="P3939" i="1"/>
  <c r="N3939" i="1" s="1"/>
  <c r="P3949" i="1"/>
  <c r="N3949" i="1" s="1"/>
  <c r="P3950" i="1"/>
  <c r="N3950" i="1" s="1"/>
  <c r="P3951" i="1"/>
  <c r="N3951" i="1" s="1"/>
  <c r="P3947" i="1"/>
  <c r="N3947" i="1" s="1"/>
  <c r="P3957" i="1"/>
  <c r="N3957" i="1" s="1"/>
  <c r="P3958" i="1"/>
  <c r="N3958" i="1" s="1"/>
  <c r="P3959" i="1"/>
  <c r="N3959" i="1" s="1"/>
  <c r="P3955" i="1"/>
  <c r="N3955" i="1" s="1"/>
  <c r="P3965" i="1"/>
  <c r="N3965" i="1" s="1"/>
  <c r="P3966" i="1"/>
  <c r="N3966" i="1" s="1"/>
  <c r="P3967" i="1"/>
  <c r="N3967" i="1" s="1"/>
  <c r="P3963" i="1"/>
  <c r="N3963" i="1" s="1"/>
  <c r="P3971" i="1"/>
  <c r="N3971" i="1" s="1"/>
  <c r="P3973" i="1"/>
  <c r="N3973" i="1" s="1"/>
  <c r="P3974" i="1"/>
  <c r="N3974" i="1" s="1"/>
  <c r="P3975" i="1"/>
  <c r="N3975" i="1" s="1"/>
  <c r="P3981" i="1"/>
  <c r="N3981" i="1" s="1"/>
  <c r="P3982" i="1"/>
  <c r="N3982" i="1" s="1"/>
  <c r="P3983" i="1"/>
  <c r="N3983" i="1" s="1"/>
  <c r="P3979" i="1"/>
  <c r="N3979" i="1" s="1"/>
  <c r="P3989" i="1"/>
  <c r="N3989" i="1" s="1"/>
  <c r="P3990" i="1"/>
  <c r="N3990" i="1" s="1"/>
  <c r="P3991" i="1"/>
  <c r="N3991" i="1" s="1"/>
  <c r="P3987" i="1"/>
  <c r="N3987" i="1" s="1"/>
  <c r="P3997" i="1"/>
  <c r="N3997" i="1" s="1"/>
  <c r="P3998" i="1"/>
  <c r="N3998" i="1" s="1"/>
  <c r="P3999" i="1"/>
  <c r="N3999" i="1" s="1"/>
  <c r="P3995" i="1"/>
  <c r="N3995" i="1" s="1"/>
  <c r="P4005" i="1"/>
  <c r="N4005" i="1" s="1"/>
  <c r="P4006" i="1"/>
  <c r="N4006" i="1" s="1"/>
  <c r="P4007" i="1"/>
  <c r="N4007" i="1" s="1"/>
  <c r="P4003" i="1"/>
  <c r="N4003" i="1" s="1"/>
  <c r="P4013" i="1"/>
  <c r="N4013" i="1" s="1"/>
  <c r="P4014" i="1"/>
  <c r="N4014" i="1" s="1"/>
  <c r="P4015" i="1"/>
  <c r="N4015" i="1" s="1"/>
  <c r="P4011" i="1"/>
  <c r="N4011" i="1" s="1"/>
  <c r="P4021" i="1"/>
  <c r="N4021" i="1" s="1"/>
  <c r="P4022" i="1"/>
  <c r="N4022" i="1" s="1"/>
  <c r="P4023" i="1"/>
  <c r="N4023" i="1" s="1"/>
  <c r="P4019" i="1"/>
  <c r="N4019" i="1" s="1"/>
  <c r="P4029" i="1"/>
  <c r="N4029" i="1" s="1"/>
  <c r="P4030" i="1"/>
  <c r="N4030" i="1" s="1"/>
  <c r="P4031" i="1"/>
  <c r="N4031" i="1" s="1"/>
  <c r="P4027" i="1"/>
  <c r="N4027" i="1" s="1"/>
  <c r="P4035" i="1"/>
  <c r="N4035" i="1" s="1"/>
  <c r="P4037" i="1"/>
  <c r="N4037" i="1" s="1"/>
  <c r="P4038" i="1"/>
  <c r="N4038" i="1" s="1"/>
  <c r="P4039" i="1"/>
  <c r="N4039" i="1" s="1"/>
  <c r="P4105" i="1"/>
  <c r="N4105" i="1" s="1"/>
  <c r="P4106" i="1"/>
  <c r="N4106" i="1" s="1"/>
  <c r="P4107" i="1"/>
  <c r="N4107" i="1" s="1"/>
  <c r="P4103" i="1"/>
  <c r="N4103" i="1" s="1"/>
  <c r="P4114" i="1"/>
  <c r="N4114" i="1" s="1"/>
  <c r="P4115" i="1"/>
  <c r="N4115" i="1" s="1"/>
  <c r="P4116" i="1"/>
  <c r="N4116" i="1" s="1"/>
  <c r="P4112" i="1"/>
  <c r="N4112" i="1" s="1"/>
  <c r="P4123" i="1"/>
  <c r="N4123" i="1" s="1"/>
  <c r="P4124" i="1"/>
  <c r="N4124" i="1" s="1"/>
  <c r="P4125" i="1"/>
  <c r="N4125" i="1" s="1"/>
  <c r="P4122" i="1"/>
  <c r="N4122" i="1" s="1"/>
  <c r="P4132" i="1"/>
  <c r="N4132" i="1" s="1"/>
  <c r="P4133" i="1"/>
  <c r="N4133" i="1" s="1"/>
  <c r="P4134" i="1"/>
  <c r="N4134" i="1" s="1"/>
  <c r="P4130" i="1"/>
  <c r="N4130" i="1" s="1"/>
  <c r="P4141" i="1"/>
  <c r="N4141" i="1" s="1"/>
  <c r="P4142" i="1"/>
  <c r="N4142" i="1" s="1"/>
  <c r="P4143" i="1"/>
  <c r="N4143" i="1" s="1"/>
  <c r="P4139" i="1"/>
  <c r="N4139" i="1" s="1"/>
  <c r="P4150" i="1"/>
  <c r="N4150" i="1" s="1"/>
  <c r="P4151" i="1"/>
  <c r="N4151" i="1" s="1"/>
  <c r="P4152" i="1"/>
  <c r="N4152" i="1" s="1"/>
  <c r="P4148" i="1"/>
  <c r="N4148" i="1" s="1"/>
  <c r="P4159" i="1"/>
  <c r="N4159" i="1" s="1"/>
  <c r="P4160" i="1"/>
  <c r="N4160" i="1" s="1"/>
  <c r="P4161" i="1"/>
  <c r="N4161" i="1" s="1"/>
  <c r="P4157" i="1"/>
  <c r="N4157" i="1" s="1"/>
  <c r="P4168" i="1"/>
  <c r="N4168" i="1" s="1"/>
  <c r="P4169" i="1"/>
  <c r="N4169" i="1" s="1"/>
  <c r="P4170" i="1"/>
  <c r="N4170" i="1" s="1"/>
  <c r="P4171" i="1"/>
  <c r="N4171" i="1" s="1"/>
  <c r="P4172" i="1"/>
  <c r="N4172" i="1" s="1"/>
  <c r="P4173" i="1"/>
  <c r="N4173" i="1" s="1"/>
  <c r="P4166" i="1"/>
  <c r="N4166" i="1" s="1"/>
  <c r="P4167" i="1"/>
  <c r="N4167" i="1" s="1"/>
  <c r="P4176" i="1"/>
  <c r="N4176" i="1" s="1"/>
  <c r="P4177" i="1"/>
  <c r="N4177" i="1" s="1"/>
  <c r="P4175" i="1"/>
  <c r="N4175" i="1" s="1"/>
  <c r="P4178" i="1"/>
  <c r="N4178" i="1" s="1"/>
  <c r="P4184" i="1"/>
  <c r="N4184" i="1" s="1"/>
  <c r="P4185" i="1"/>
  <c r="N4185" i="1" s="1"/>
  <c r="P4186" i="1"/>
  <c r="N4186" i="1" s="1"/>
  <c r="P4182" i="1"/>
  <c r="N4182" i="1" s="1"/>
  <c r="P4194" i="1"/>
  <c r="N4194" i="1" s="1"/>
  <c r="P4195" i="1"/>
  <c r="N4195" i="1" s="1"/>
  <c r="P4196" i="1"/>
  <c r="N4196" i="1" s="1"/>
  <c r="P4192" i="1"/>
  <c r="N4192" i="1" s="1"/>
  <c r="P4200" i="1"/>
  <c r="N4200" i="1" s="1"/>
  <c r="P4202" i="1"/>
  <c r="N4202" i="1" s="1"/>
  <c r="P4203" i="1"/>
  <c r="N4203" i="1" s="1"/>
  <c r="P4204" i="1"/>
  <c r="N4204" i="1" s="1"/>
  <c r="P4210" i="1"/>
  <c r="N4210" i="1" s="1"/>
  <c r="P4211" i="1"/>
  <c r="N4211" i="1" s="1"/>
  <c r="P4215" i="1"/>
  <c r="N4215" i="1" s="1"/>
  <c r="P4208" i="1"/>
  <c r="N4208" i="1" s="1"/>
  <c r="P4218" i="1"/>
  <c r="N4218" i="1" s="1"/>
  <c r="P4216" i="1"/>
  <c r="N4216" i="1" s="1"/>
  <c r="P4219" i="1"/>
  <c r="N4219" i="1" s="1"/>
  <c r="P4220" i="1"/>
  <c r="N4220" i="1" s="1"/>
  <c r="P4226" i="1"/>
  <c r="N4226" i="1" s="1"/>
  <c r="P4227" i="1"/>
  <c r="N4227" i="1" s="1"/>
  <c r="P4228" i="1"/>
  <c r="N4228" i="1" s="1"/>
  <c r="P4224" i="1"/>
  <c r="N4224" i="1" s="1"/>
  <c r="P4234" i="1"/>
  <c r="N4234" i="1" s="1"/>
  <c r="P4232" i="1"/>
  <c r="N4232" i="1" s="1"/>
  <c r="P4235" i="1"/>
  <c r="N4235" i="1" s="1"/>
  <c r="P4236" i="1"/>
  <c r="N4236" i="1" s="1"/>
  <c r="P4242" i="1"/>
  <c r="N4242" i="1" s="1"/>
  <c r="P4243" i="1"/>
  <c r="N4243" i="1" s="1"/>
  <c r="P4247" i="1"/>
  <c r="N4247" i="1" s="1"/>
  <c r="P4240" i="1"/>
  <c r="N4240" i="1" s="1"/>
  <c r="P4250" i="1"/>
  <c r="N4250" i="1" s="1"/>
  <c r="P4251" i="1"/>
  <c r="N4251" i="1" s="1"/>
  <c r="P4252" i="1"/>
  <c r="N4252" i="1" s="1"/>
  <c r="P4248" i="1"/>
  <c r="N4248" i="1" s="1"/>
  <c r="P4258" i="1"/>
  <c r="N4258" i="1" s="1"/>
  <c r="P4259" i="1"/>
  <c r="N4259" i="1" s="1"/>
  <c r="P4256" i="1"/>
  <c r="N4256" i="1" s="1"/>
  <c r="P4260" i="1"/>
  <c r="N4260" i="1" s="1"/>
  <c r="P4266" i="1"/>
  <c r="N4266" i="1" s="1"/>
  <c r="P4267" i="1"/>
  <c r="N4267" i="1" s="1"/>
  <c r="P4268" i="1"/>
  <c r="N4268" i="1" s="1"/>
  <c r="P4264" i="1"/>
  <c r="N4264" i="1" s="1"/>
  <c r="P4274" i="1"/>
  <c r="N4274" i="1" s="1"/>
  <c r="P4275" i="1"/>
  <c r="N4275" i="1" s="1"/>
  <c r="P4276" i="1"/>
  <c r="N4276" i="1" s="1"/>
  <c r="P4272" i="1"/>
  <c r="N4272" i="1" s="1"/>
  <c r="P4280" i="1"/>
  <c r="N4280" i="1" s="1"/>
  <c r="P4282" i="1"/>
  <c r="N4282" i="1" s="1"/>
  <c r="P4283" i="1"/>
  <c r="N4283" i="1" s="1"/>
  <c r="P4284" i="1"/>
  <c r="N4284" i="1" s="1"/>
  <c r="P4290" i="1"/>
  <c r="N4290" i="1" s="1"/>
  <c r="P4291" i="1"/>
  <c r="N4291" i="1" s="1"/>
  <c r="P4288" i="1"/>
  <c r="N4288" i="1" s="1"/>
  <c r="P4295" i="1"/>
  <c r="N4295" i="1" s="1"/>
  <c r="P4296" i="1"/>
  <c r="N4296" i="1" s="1"/>
  <c r="P4298" i="1"/>
  <c r="N4298" i="1" s="1"/>
  <c r="P4299" i="1"/>
  <c r="N4299" i="1" s="1"/>
  <c r="P4300" i="1"/>
  <c r="N4300" i="1" s="1"/>
  <c r="P4306" i="1"/>
  <c r="N4306" i="1" s="1"/>
  <c r="P4307" i="1"/>
  <c r="N4307" i="1" s="1"/>
  <c r="P4308" i="1"/>
  <c r="N4308" i="1" s="1"/>
  <c r="P4304" i="1"/>
  <c r="N4304" i="1" s="1"/>
  <c r="P4314" i="1"/>
  <c r="N4314" i="1" s="1"/>
  <c r="P4315" i="1"/>
  <c r="N4315" i="1" s="1"/>
  <c r="P4316" i="1"/>
  <c r="N4316" i="1" s="1"/>
  <c r="P4312" i="1"/>
  <c r="N4312" i="1" s="1"/>
  <c r="P4322" i="1"/>
  <c r="N4322" i="1" s="1"/>
  <c r="P4323" i="1"/>
  <c r="N4323" i="1" s="1"/>
  <c r="P4324" i="1"/>
  <c r="N4324" i="1" s="1"/>
  <c r="P4320" i="1"/>
  <c r="N4320" i="1" s="1"/>
  <c r="P4330" i="1"/>
  <c r="N4330" i="1" s="1"/>
  <c r="P4331" i="1"/>
  <c r="N4331" i="1" s="1"/>
  <c r="P4332" i="1"/>
  <c r="N4332" i="1" s="1"/>
  <c r="P4328" i="1"/>
  <c r="N4328" i="1" s="1"/>
  <c r="P4338" i="1"/>
  <c r="N4338" i="1" s="1"/>
  <c r="P4339" i="1"/>
  <c r="N4339" i="1" s="1"/>
  <c r="P4340" i="1"/>
  <c r="N4340" i="1" s="1"/>
  <c r="P4336" i="1"/>
  <c r="N4336" i="1" s="1"/>
  <c r="P4346" i="1"/>
  <c r="N4346" i="1" s="1"/>
  <c r="P4347" i="1"/>
  <c r="N4347" i="1" s="1"/>
  <c r="P4348" i="1"/>
  <c r="N4348" i="1" s="1"/>
  <c r="P4344" i="1"/>
  <c r="N4344" i="1" s="1"/>
  <c r="P15" i="1"/>
  <c r="N15" i="1" s="1"/>
  <c r="P16" i="1"/>
  <c r="N16" i="1" s="1"/>
  <c r="P17" i="1"/>
  <c r="N17" i="1" s="1"/>
  <c r="P13" i="1"/>
  <c r="N13" i="1" s="1"/>
  <c r="P100" i="1"/>
  <c r="N100" i="1" s="1"/>
  <c r="P101" i="1"/>
  <c r="N101" i="1" s="1"/>
  <c r="P102" i="1"/>
  <c r="N102" i="1" s="1"/>
  <c r="P103" i="1"/>
  <c r="N103" i="1" s="1"/>
  <c r="P104" i="1"/>
  <c r="N104" i="1" s="1"/>
  <c r="P105" i="1"/>
  <c r="N105" i="1" s="1"/>
  <c r="P106" i="1"/>
  <c r="N106" i="1" s="1"/>
  <c r="P108" i="1"/>
  <c r="N108" i="1" s="1"/>
  <c r="P110" i="1"/>
  <c r="N110" i="1" s="1"/>
  <c r="P111" i="1"/>
  <c r="N111" i="1" s="1"/>
  <c r="P112" i="1"/>
  <c r="N112" i="1" s="1"/>
  <c r="P113" i="1"/>
  <c r="N113" i="1" s="1"/>
  <c r="P114" i="1"/>
  <c r="N114" i="1" s="1"/>
  <c r="P115" i="1"/>
  <c r="N115" i="1" s="1"/>
  <c r="P116" i="1"/>
  <c r="N116" i="1" s="1"/>
  <c r="P118" i="1"/>
  <c r="N118" i="1" s="1"/>
  <c r="P119" i="1"/>
  <c r="N119" i="1" s="1"/>
  <c r="P120" i="1"/>
  <c r="N120" i="1" s="1"/>
  <c r="P121" i="1"/>
  <c r="N121" i="1" s="1"/>
  <c r="P122" i="1"/>
  <c r="N122" i="1" s="1"/>
  <c r="P123" i="1"/>
  <c r="N123" i="1" s="1"/>
  <c r="P124" i="1"/>
  <c r="N124" i="1" s="1"/>
  <c r="P125" i="1"/>
  <c r="N125" i="1" s="1"/>
  <c r="P127" i="1"/>
  <c r="N127" i="1" s="1"/>
  <c r="P128" i="1"/>
  <c r="N128" i="1" s="1"/>
  <c r="P129" i="1"/>
  <c r="N129" i="1" s="1"/>
  <c r="P130" i="1"/>
  <c r="N130" i="1" s="1"/>
  <c r="P131" i="1"/>
  <c r="N131" i="1" s="1"/>
  <c r="P132" i="1"/>
  <c r="N132" i="1" s="1"/>
  <c r="P133" i="1"/>
  <c r="N133" i="1" s="1"/>
  <c r="P92" i="1"/>
  <c r="N92" i="1" s="1"/>
  <c r="P93" i="1"/>
  <c r="N93" i="1" s="1"/>
  <c r="P94" i="1"/>
  <c r="N94" i="1" s="1"/>
  <c r="P95" i="1"/>
  <c r="N95" i="1" s="1"/>
  <c r="P96" i="1"/>
  <c r="N96" i="1" s="1"/>
  <c r="P97" i="1"/>
  <c r="N97" i="1" s="1"/>
  <c r="P98" i="1"/>
  <c r="N98" i="1" s="1"/>
  <c r="P99" i="1"/>
  <c r="N99" i="1" s="1"/>
  <c r="P83" i="1"/>
  <c r="N83" i="1" s="1"/>
  <c r="P84" i="1"/>
  <c r="N84" i="1" s="1"/>
  <c r="P85" i="1"/>
  <c r="N85" i="1" s="1"/>
  <c r="P86" i="1"/>
  <c r="N86" i="1" s="1"/>
  <c r="P87" i="1"/>
  <c r="N87" i="1" s="1"/>
  <c r="P88" i="1"/>
  <c r="N88" i="1" s="1"/>
  <c r="P89" i="1"/>
  <c r="N89" i="1" s="1"/>
  <c r="P90" i="1"/>
  <c r="N90" i="1" s="1"/>
  <c r="P135" i="1"/>
  <c r="N135" i="1" s="1"/>
  <c r="P136" i="1"/>
  <c r="N136" i="1" s="1"/>
  <c r="P137" i="1"/>
  <c r="N137" i="1" s="1"/>
  <c r="P138" i="1"/>
  <c r="N138" i="1" s="1"/>
  <c r="P139" i="1"/>
  <c r="N139" i="1" s="1"/>
  <c r="P140" i="1"/>
  <c r="N140" i="1" s="1"/>
  <c r="P141" i="1"/>
  <c r="N141" i="1" s="1"/>
  <c r="P142" i="1"/>
  <c r="N142" i="1" s="1"/>
  <c r="P144" i="1"/>
  <c r="N144" i="1" s="1"/>
  <c r="P145" i="1"/>
  <c r="N145" i="1" s="1"/>
  <c r="P146" i="1"/>
  <c r="N146" i="1" s="1"/>
  <c r="P147" i="1"/>
  <c r="N147" i="1" s="1"/>
  <c r="P148" i="1"/>
  <c r="N148" i="1" s="1"/>
  <c r="P149" i="1"/>
  <c r="N149" i="1" s="1"/>
  <c r="P150" i="1"/>
  <c r="N150" i="1" s="1"/>
  <c r="P152" i="1"/>
  <c r="N152" i="1" s="1"/>
  <c r="P153" i="1"/>
  <c r="N153" i="1" s="1"/>
  <c r="P154" i="1"/>
  <c r="N154" i="1" s="1"/>
  <c r="P155" i="1"/>
  <c r="N155" i="1" s="1"/>
  <c r="P156" i="1"/>
  <c r="N156" i="1" s="1"/>
  <c r="P157" i="1"/>
  <c r="N157" i="1" s="1"/>
  <c r="P159" i="1"/>
  <c r="N159" i="1" s="1"/>
  <c r="P158" i="1"/>
  <c r="N158" i="1" s="1"/>
  <c r="P161" i="1"/>
  <c r="N161" i="1" s="1"/>
  <c r="P162" i="1"/>
  <c r="N162" i="1" s="1"/>
  <c r="P163" i="1"/>
  <c r="N163" i="1" s="1"/>
  <c r="P164" i="1"/>
  <c r="N164" i="1" s="1"/>
  <c r="P165" i="1"/>
  <c r="N165" i="1" s="1"/>
  <c r="P166" i="1"/>
  <c r="N166" i="1" s="1"/>
  <c r="P167" i="1"/>
  <c r="N167" i="1" s="1"/>
  <c r="P2826" i="1"/>
  <c r="N2826" i="1" s="1"/>
  <c r="P2823" i="1"/>
  <c r="N2823" i="1" s="1"/>
  <c r="P2841" i="1"/>
  <c r="N2841" i="1" s="1"/>
  <c r="P2842" i="1"/>
  <c r="N2842" i="1" s="1"/>
  <c r="P2843" i="1"/>
  <c r="N2843" i="1" s="1"/>
  <c r="P2844" i="1"/>
  <c r="N2844" i="1" s="1"/>
  <c r="P2845" i="1"/>
  <c r="N2845" i="1" s="1"/>
  <c r="P2846" i="1"/>
  <c r="N2846" i="1" s="1"/>
  <c r="P2847" i="1"/>
  <c r="N2847" i="1" s="1"/>
  <c r="L26" i="19" l="1"/>
  <c r="L28" i="19" s="1"/>
  <c r="K30" i="19"/>
  <c r="K32" i="19" s="1"/>
  <c r="K27" i="19"/>
  <c r="K29" i="19" s="1"/>
  <c r="K31" i="19"/>
  <c r="K33" i="19" s="1"/>
  <c r="K26" i="19" l="1"/>
  <c r="K28" i="19" s="1"/>
  <c r="K22" i="19"/>
  <c r="K24" i="19" s="1"/>
  <c r="P774" i="1" l="1"/>
  <c r="P779" i="1"/>
  <c r="P777" i="1"/>
  <c r="P778" i="1"/>
  <c r="P2451" i="1"/>
  <c r="N2451" i="1" s="1"/>
  <c r="K2451" i="1"/>
  <c r="J2451" i="1"/>
  <c r="P3505" i="1"/>
  <c r="N3505" i="1" s="1"/>
  <c r="K3505" i="1"/>
  <c r="J3505" i="1"/>
  <c r="R3505" i="1" s="1"/>
  <c r="P3346" i="1"/>
  <c r="N3346" i="1" s="1"/>
  <c r="K3346" i="1"/>
  <c r="J3346" i="1"/>
  <c r="R3346" i="1" s="1"/>
  <c r="P3321" i="1"/>
  <c r="N3321" i="1" s="1"/>
  <c r="K3321" i="1"/>
  <c r="J3321" i="1"/>
  <c r="R3321" i="1" s="1"/>
  <c r="P3248" i="1"/>
  <c r="N3248" i="1" s="1"/>
  <c r="K3248" i="1"/>
  <c r="J3248" i="1"/>
  <c r="R3248" i="1" s="1"/>
  <c r="P3224" i="1"/>
  <c r="N3224" i="1" s="1"/>
  <c r="K3224" i="1"/>
  <c r="J3224" i="1"/>
  <c r="R3224" i="1" s="1"/>
  <c r="P3154" i="1"/>
  <c r="N3154" i="1" s="1"/>
  <c r="K3154" i="1"/>
  <c r="J3154" i="1"/>
  <c r="R3154" i="1" s="1"/>
  <c r="P3098" i="1"/>
  <c r="N3098" i="1" s="1"/>
  <c r="K3098" i="1"/>
  <c r="J3098" i="1"/>
  <c r="R3098" i="1" s="1"/>
  <c r="P3058" i="1"/>
  <c r="N3058" i="1" s="1"/>
  <c r="K3058" i="1"/>
  <c r="J3058" i="1"/>
  <c r="R3058" i="1" s="1"/>
  <c r="P2675" i="1"/>
  <c r="N2675" i="1" s="1"/>
  <c r="K2675" i="1"/>
  <c r="J2675" i="1"/>
  <c r="R2675" i="1" s="1"/>
  <c r="P2554" i="1"/>
  <c r="N2554" i="1" s="1"/>
  <c r="K2554" i="1"/>
  <c r="J2554" i="1"/>
  <c r="R2554" i="1" s="1"/>
  <c r="P2483" i="1"/>
  <c r="N2483" i="1" s="1"/>
  <c r="K2483" i="1"/>
  <c r="J2483" i="1"/>
  <c r="R2483" i="1" s="1"/>
  <c r="P2388" i="1"/>
  <c r="N2388" i="1" s="1"/>
  <c r="K2388" i="1"/>
  <c r="J2388" i="1"/>
  <c r="R2388" i="1" s="1"/>
  <c r="P2227" i="1"/>
  <c r="N2227" i="1" s="1"/>
  <c r="K2227" i="1"/>
  <c r="J2227" i="1"/>
  <c r="R2227" i="1" s="1"/>
  <c r="P2162" i="1"/>
  <c r="N2162" i="1" s="1"/>
  <c r="K2162" i="1"/>
  <c r="J2162" i="1"/>
  <c r="R2162" i="1" s="1"/>
  <c r="P1720" i="1"/>
  <c r="N1720" i="1" s="1"/>
  <c r="K1720" i="1"/>
  <c r="J1720" i="1"/>
  <c r="R1720" i="1" s="1"/>
  <c r="P1295" i="1"/>
  <c r="N1295" i="1" s="1"/>
  <c r="K1295" i="1"/>
  <c r="J1295" i="1"/>
  <c r="R1295" i="1" s="1"/>
  <c r="P3286" i="1"/>
  <c r="N3286" i="1" s="1"/>
  <c r="K3286" i="1"/>
  <c r="J3286" i="1"/>
  <c r="R3286" i="1" s="1"/>
  <c r="P2982" i="1"/>
  <c r="N2982" i="1" s="1"/>
  <c r="K2982" i="1"/>
  <c r="J2982" i="1"/>
  <c r="R2982" i="1" s="1"/>
  <c r="P2935" i="1"/>
  <c r="N2935" i="1" s="1"/>
  <c r="K2935" i="1"/>
  <c r="J2935" i="1"/>
  <c r="R2935" i="1" s="1"/>
  <c r="P4973" i="1"/>
  <c r="N4973" i="1" s="1"/>
  <c r="K4973" i="1"/>
  <c r="J4973" i="1"/>
  <c r="R4973" i="1" s="1"/>
  <c r="P2757" i="1"/>
  <c r="N2757" i="1" s="1"/>
  <c r="K2757" i="1"/>
  <c r="J2757" i="1"/>
  <c r="R2757" i="1" s="1"/>
  <c r="P2511" i="1"/>
  <c r="N2511" i="1" s="1"/>
  <c r="K2511" i="1"/>
  <c r="J2511" i="1"/>
  <c r="R2511" i="1" s="1"/>
  <c r="P1978" i="1"/>
  <c r="N1978" i="1" s="1"/>
  <c r="K1978" i="1"/>
  <c r="J1978" i="1"/>
  <c r="R1978" i="1" s="1"/>
  <c r="P1678" i="1"/>
  <c r="N1678" i="1" s="1"/>
  <c r="K1678" i="1"/>
  <c r="J1678" i="1"/>
  <c r="R1678" i="1" s="1"/>
  <c r="P2301" i="1"/>
  <c r="N2301" i="1" s="1"/>
  <c r="K2301" i="1"/>
  <c r="J2301" i="1"/>
  <c r="R2301" i="1" s="1"/>
  <c r="P2264" i="1"/>
  <c r="N2264" i="1" s="1"/>
  <c r="K2264" i="1"/>
  <c r="J2264" i="1"/>
  <c r="R2264" i="1" s="1"/>
  <c r="P1763" i="1"/>
  <c r="N1763" i="1" s="1"/>
  <c r="K1763" i="1"/>
  <c r="J1763" i="1"/>
  <c r="R1763" i="1" s="1"/>
  <c r="P1652" i="1"/>
  <c r="N1652" i="1" s="1"/>
  <c r="K1652" i="1"/>
  <c r="J1652" i="1"/>
  <c r="R1652" i="1" s="1"/>
  <c r="P1479" i="1"/>
  <c r="N1479" i="1" s="1"/>
  <c r="K1479" i="1"/>
  <c r="J1479" i="1"/>
  <c r="R1479" i="1" s="1"/>
  <c r="B6" i="25"/>
  <c r="N1996" i="9"/>
  <c r="O1996" i="9" s="1"/>
  <c r="N1995" i="9"/>
  <c r="O1995" i="9" s="1"/>
  <c r="N1994" i="9"/>
  <c r="O1994" i="9" s="1"/>
  <c r="N1993" i="9"/>
  <c r="O1993" i="9" s="1"/>
  <c r="N1992" i="9"/>
  <c r="O1992" i="9" s="1"/>
  <c r="N1991" i="9"/>
  <c r="O1991" i="9" s="1"/>
  <c r="N1990" i="9"/>
  <c r="O1990" i="9" s="1"/>
  <c r="N1989" i="9"/>
  <c r="O1989" i="9" s="1"/>
  <c r="N1988" i="9"/>
  <c r="O1988" i="9" s="1"/>
  <c r="N1987" i="9"/>
  <c r="O1987" i="9" s="1"/>
  <c r="N1986" i="9"/>
  <c r="O1986" i="9" s="1"/>
  <c r="N1985" i="9"/>
  <c r="O1985" i="9" s="1"/>
  <c r="N1984" i="9"/>
  <c r="O1984" i="9" s="1"/>
  <c r="N1983" i="9"/>
  <c r="O1983" i="9" s="1"/>
  <c r="N1982" i="9"/>
  <c r="O1982" i="9" s="1"/>
  <c r="N1981" i="9"/>
  <c r="O1981" i="9" s="1"/>
  <c r="N1980" i="9"/>
  <c r="O1980" i="9" s="1"/>
  <c r="N1979" i="9"/>
  <c r="O1979" i="9" s="1"/>
  <c r="N1978" i="9"/>
  <c r="O1978" i="9" s="1"/>
  <c r="N1977" i="9"/>
  <c r="O1977" i="9" s="1"/>
  <c r="N1976" i="9"/>
  <c r="O1976" i="9" s="1"/>
  <c r="N1975" i="9"/>
  <c r="O1975" i="9" s="1"/>
  <c r="N1974" i="9"/>
  <c r="O1974" i="9" s="1"/>
  <c r="N1973" i="9"/>
  <c r="O1973" i="9" s="1"/>
  <c r="N1972" i="9"/>
  <c r="O1972" i="9" s="1"/>
  <c r="N1971" i="9"/>
  <c r="O1971" i="9" s="1"/>
  <c r="N1970" i="9"/>
  <c r="O1970" i="9" s="1"/>
  <c r="N1969" i="9"/>
  <c r="O1969" i="9" s="1"/>
  <c r="N1968" i="9"/>
  <c r="O1968" i="9" s="1"/>
  <c r="N1967" i="9"/>
  <c r="O1967" i="9" s="1"/>
  <c r="N1966" i="9"/>
  <c r="O1966" i="9" s="1"/>
  <c r="N1965" i="9"/>
  <c r="O1965" i="9" s="1"/>
  <c r="N1964" i="9"/>
  <c r="O1964" i="9" s="1"/>
  <c r="N1963" i="9"/>
  <c r="O1963" i="9" s="1"/>
  <c r="N1962" i="9"/>
  <c r="O1962" i="9" s="1"/>
  <c r="N1961" i="9"/>
  <c r="O1961" i="9" s="1"/>
  <c r="N1960" i="9"/>
  <c r="O1960" i="9" s="1"/>
  <c r="N1959" i="9"/>
  <c r="O1959" i="9" s="1"/>
  <c r="N1958" i="9"/>
  <c r="O1958" i="9" s="1"/>
  <c r="N1957" i="9"/>
  <c r="O1957" i="9" s="1"/>
  <c r="N1956" i="9"/>
  <c r="O1956" i="9" s="1"/>
  <c r="N1955" i="9"/>
  <c r="O1955" i="9" s="1"/>
  <c r="N1954" i="9"/>
  <c r="O1954" i="9" s="1"/>
  <c r="N1953" i="9"/>
  <c r="O1953" i="9" s="1"/>
  <c r="N1952" i="9"/>
  <c r="O1952" i="9" s="1"/>
  <c r="N1951" i="9"/>
  <c r="O1951" i="9" s="1"/>
  <c r="N1950" i="9"/>
  <c r="O1950" i="9" s="1"/>
  <c r="N1949" i="9"/>
  <c r="O1949" i="9" s="1"/>
  <c r="N1948" i="9"/>
  <c r="O1948" i="9" s="1"/>
  <c r="N1947" i="9"/>
  <c r="O1947" i="9" s="1"/>
  <c r="N1946" i="9"/>
  <c r="O1946" i="9" s="1"/>
  <c r="N1945" i="9"/>
  <c r="O1945" i="9" s="1"/>
  <c r="N1944" i="9"/>
  <c r="O1944" i="9" s="1"/>
  <c r="N1943" i="9"/>
  <c r="O1943" i="9" s="1"/>
  <c r="N1942" i="9"/>
  <c r="O1942" i="9" s="1"/>
  <c r="N1941" i="9"/>
  <c r="O1941" i="9" s="1"/>
  <c r="N1940" i="9"/>
  <c r="O1940" i="9" s="1"/>
  <c r="N1939" i="9"/>
  <c r="O1939" i="9" s="1"/>
  <c r="N1938" i="9"/>
  <c r="O1938" i="9" s="1"/>
  <c r="N1937" i="9"/>
  <c r="O1937" i="9" s="1"/>
  <c r="N1936" i="9"/>
  <c r="O1936" i="9" s="1"/>
  <c r="N1935" i="9"/>
  <c r="O1935" i="9" s="1"/>
  <c r="N1934" i="9"/>
  <c r="O1934" i="9" s="1"/>
  <c r="N1933" i="9"/>
  <c r="O1933" i="9" s="1"/>
  <c r="N1932" i="9"/>
  <c r="O1932" i="9" s="1"/>
  <c r="N1931" i="9"/>
  <c r="O1931" i="9" s="1"/>
  <c r="N1930" i="9"/>
  <c r="O1930" i="9" s="1"/>
  <c r="N1929" i="9"/>
  <c r="O1929" i="9" s="1"/>
  <c r="N1928" i="9"/>
  <c r="O1928" i="9" s="1"/>
  <c r="N1927" i="9"/>
  <c r="O1927" i="9" s="1"/>
  <c r="N1926" i="9"/>
  <c r="O1926" i="9" s="1"/>
  <c r="N1925" i="9"/>
  <c r="O1925" i="9" s="1"/>
  <c r="N1924" i="9"/>
  <c r="O1924" i="9" s="1"/>
  <c r="N1923" i="9"/>
  <c r="O1923" i="9" s="1"/>
  <c r="N1922" i="9"/>
  <c r="O1922" i="9" s="1"/>
  <c r="N1921" i="9"/>
  <c r="O1921" i="9" s="1"/>
  <c r="N1920" i="9"/>
  <c r="O1920" i="9" s="1"/>
  <c r="N1919" i="9"/>
  <c r="O1919" i="9" s="1"/>
  <c r="N1918" i="9"/>
  <c r="O1918" i="9" s="1"/>
  <c r="N1917" i="9"/>
  <c r="O1917" i="9" s="1"/>
  <c r="N1916" i="9"/>
  <c r="O1916" i="9" s="1"/>
  <c r="N1915" i="9"/>
  <c r="O1915" i="9" s="1"/>
  <c r="N1914" i="9"/>
  <c r="O1914" i="9" s="1"/>
  <c r="N1913" i="9"/>
  <c r="O1913" i="9" s="1"/>
  <c r="N1912" i="9"/>
  <c r="O1912" i="9" s="1"/>
  <c r="N1911" i="9"/>
  <c r="O1911" i="9" s="1"/>
  <c r="N1910" i="9"/>
  <c r="O1910" i="9" s="1"/>
  <c r="N1909" i="9"/>
  <c r="O1909" i="9" s="1"/>
  <c r="N1908" i="9"/>
  <c r="O1908" i="9" s="1"/>
  <c r="N1907" i="9"/>
  <c r="O1907" i="9" s="1"/>
  <c r="N1906" i="9"/>
  <c r="O1906" i="9" s="1"/>
  <c r="N1905" i="9"/>
  <c r="O1905" i="9" s="1"/>
  <c r="N1904" i="9"/>
  <c r="O1904" i="9" s="1"/>
  <c r="N1903" i="9"/>
  <c r="O1903" i="9" s="1"/>
  <c r="N1902" i="9"/>
  <c r="O1902" i="9" s="1"/>
  <c r="N1901" i="9"/>
  <c r="O1901" i="9" s="1"/>
  <c r="N1900" i="9"/>
  <c r="O1900" i="9" s="1"/>
  <c r="N1899" i="9"/>
  <c r="O1899" i="9" s="1"/>
  <c r="N1898" i="9"/>
  <c r="O1898" i="9" s="1"/>
  <c r="N1897" i="9"/>
  <c r="O1897" i="9" s="1"/>
  <c r="N1896" i="9"/>
  <c r="O1896" i="9" s="1"/>
  <c r="N1895" i="9"/>
  <c r="O1895" i="9" s="1"/>
  <c r="N1894" i="9"/>
  <c r="O1894" i="9" s="1"/>
  <c r="N1893" i="9"/>
  <c r="O1893" i="9" s="1"/>
  <c r="N1892" i="9"/>
  <c r="O1892" i="9" s="1"/>
  <c r="N1891" i="9"/>
  <c r="O1891" i="9" s="1"/>
  <c r="N1890" i="9"/>
  <c r="O1890" i="9" s="1"/>
  <c r="N1889" i="9"/>
  <c r="O1889" i="9" s="1"/>
  <c r="N1888" i="9"/>
  <c r="O1888" i="9" s="1"/>
  <c r="N1887" i="9"/>
  <c r="O1887" i="9" s="1"/>
  <c r="N1886" i="9"/>
  <c r="O1886" i="9" s="1"/>
  <c r="N1885" i="9"/>
  <c r="O1885" i="9" s="1"/>
  <c r="N1884" i="9"/>
  <c r="O1884" i="9" s="1"/>
  <c r="N1883" i="9"/>
  <c r="O1883" i="9" s="1"/>
  <c r="N1882" i="9"/>
  <c r="O1882" i="9" s="1"/>
  <c r="N1881" i="9"/>
  <c r="O1881" i="9" s="1"/>
  <c r="N1880" i="9"/>
  <c r="O1880" i="9" s="1"/>
  <c r="N1879" i="9"/>
  <c r="O1879" i="9" s="1"/>
  <c r="N1878" i="9"/>
  <c r="O1878" i="9" s="1"/>
  <c r="N1877" i="9"/>
  <c r="O1877" i="9" s="1"/>
  <c r="N1876" i="9"/>
  <c r="O1876" i="9" s="1"/>
  <c r="N1875" i="9"/>
  <c r="O1875" i="9" s="1"/>
  <c r="N1874" i="9"/>
  <c r="O1874" i="9" s="1"/>
  <c r="N1873" i="9"/>
  <c r="O1873" i="9" s="1"/>
  <c r="N1872" i="9"/>
  <c r="O1872" i="9" s="1"/>
  <c r="N1871" i="9"/>
  <c r="O1871" i="9" s="1"/>
  <c r="N1870" i="9"/>
  <c r="O1870" i="9" s="1"/>
  <c r="N1869" i="9"/>
  <c r="O1869" i="9" s="1"/>
  <c r="N1868" i="9"/>
  <c r="O1868" i="9" s="1"/>
  <c r="N1867" i="9"/>
  <c r="O1867" i="9" s="1"/>
  <c r="N1866" i="9"/>
  <c r="O1866" i="9" s="1"/>
  <c r="N1865" i="9"/>
  <c r="O1865" i="9" s="1"/>
  <c r="N1864" i="9"/>
  <c r="O1864" i="9" s="1"/>
  <c r="N1863" i="9"/>
  <c r="O1863" i="9" s="1"/>
  <c r="N1862" i="9"/>
  <c r="O1862" i="9" s="1"/>
  <c r="N1861" i="9"/>
  <c r="O1861" i="9" s="1"/>
  <c r="N1860" i="9"/>
  <c r="O1860" i="9" s="1"/>
  <c r="N1859" i="9"/>
  <c r="O1859" i="9" s="1"/>
  <c r="N1858" i="9"/>
  <c r="O1858" i="9" s="1"/>
  <c r="N1857" i="9"/>
  <c r="O1857" i="9" s="1"/>
  <c r="N1856" i="9"/>
  <c r="O1856" i="9" s="1"/>
  <c r="N1855" i="9"/>
  <c r="O1855" i="9" s="1"/>
  <c r="N1854" i="9"/>
  <c r="O1854" i="9" s="1"/>
  <c r="N1853" i="9"/>
  <c r="O1853" i="9" s="1"/>
  <c r="N1852" i="9"/>
  <c r="O1852" i="9" s="1"/>
  <c r="N1851" i="9"/>
  <c r="O1851" i="9" s="1"/>
  <c r="N1850" i="9"/>
  <c r="O1850" i="9" s="1"/>
  <c r="N1849" i="9"/>
  <c r="O1849" i="9" s="1"/>
  <c r="N1848" i="9"/>
  <c r="O1848" i="9" s="1"/>
  <c r="N1847" i="9"/>
  <c r="O1847" i="9" s="1"/>
  <c r="N1846" i="9"/>
  <c r="O1846" i="9" s="1"/>
  <c r="N1845" i="9"/>
  <c r="O1845" i="9" s="1"/>
  <c r="N1844" i="9"/>
  <c r="O1844" i="9" s="1"/>
  <c r="N1843" i="9"/>
  <c r="O1843" i="9" s="1"/>
  <c r="N1842" i="9"/>
  <c r="O1842" i="9" s="1"/>
  <c r="N1841" i="9"/>
  <c r="O1841" i="9" s="1"/>
  <c r="N1840" i="9"/>
  <c r="O1840" i="9" s="1"/>
  <c r="N1839" i="9"/>
  <c r="O1839" i="9" s="1"/>
  <c r="N1838" i="9"/>
  <c r="O1838" i="9" s="1"/>
  <c r="N1837" i="9"/>
  <c r="O1837" i="9" s="1"/>
  <c r="N1836" i="9"/>
  <c r="O1836" i="9" s="1"/>
  <c r="N1835" i="9"/>
  <c r="O1835" i="9" s="1"/>
  <c r="N1834" i="9"/>
  <c r="O1834" i="9" s="1"/>
  <c r="N1833" i="9"/>
  <c r="O1833" i="9" s="1"/>
  <c r="N1832" i="9"/>
  <c r="O1832" i="9" s="1"/>
  <c r="N1831" i="9"/>
  <c r="O1831" i="9" s="1"/>
  <c r="N1830" i="9"/>
  <c r="O1830" i="9" s="1"/>
  <c r="N1829" i="9"/>
  <c r="O1829" i="9" s="1"/>
  <c r="N1828" i="9"/>
  <c r="O1828" i="9" s="1"/>
  <c r="N1827" i="9"/>
  <c r="O1827" i="9" s="1"/>
  <c r="N1826" i="9"/>
  <c r="O1826" i="9" s="1"/>
  <c r="N1825" i="9"/>
  <c r="O1825" i="9" s="1"/>
  <c r="N1824" i="9"/>
  <c r="O1824" i="9" s="1"/>
  <c r="N1823" i="9"/>
  <c r="O1823" i="9" s="1"/>
  <c r="N1822" i="9"/>
  <c r="O1822" i="9" s="1"/>
  <c r="N1821" i="9"/>
  <c r="O1821" i="9" s="1"/>
  <c r="N1820" i="9"/>
  <c r="O1820" i="9" s="1"/>
  <c r="N1819" i="9"/>
  <c r="O1819" i="9" s="1"/>
  <c r="N1818" i="9"/>
  <c r="O1818" i="9" s="1"/>
  <c r="N1817" i="9"/>
  <c r="O1817" i="9" s="1"/>
  <c r="N1816" i="9"/>
  <c r="O1816" i="9" s="1"/>
  <c r="N1815" i="9"/>
  <c r="O1815" i="9" s="1"/>
  <c r="N1814" i="9"/>
  <c r="O1814" i="9" s="1"/>
  <c r="N1813" i="9"/>
  <c r="O1813" i="9" s="1"/>
  <c r="N1812" i="9"/>
  <c r="O1812" i="9" s="1"/>
  <c r="N1811" i="9"/>
  <c r="O1811" i="9" s="1"/>
  <c r="N1810" i="9"/>
  <c r="O1810" i="9" s="1"/>
  <c r="N1809" i="9"/>
  <c r="O1809" i="9" s="1"/>
  <c r="N1808" i="9"/>
  <c r="O1808" i="9" s="1"/>
  <c r="N1807" i="9"/>
  <c r="O1807" i="9" s="1"/>
  <c r="N1806" i="9"/>
  <c r="O1806" i="9" s="1"/>
  <c r="N1805" i="9"/>
  <c r="O1805" i="9" s="1"/>
  <c r="N1804" i="9"/>
  <c r="O1804" i="9" s="1"/>
  <c r="N1803" i="9"/>
  <c r="O1803" i="9" s="1"/>
  <c r="N1802" i="9"/>
  <c r="O1802" i="9" s="1"/>
  <c r="N1801" i="9"/>
  <c r="O1801" i="9" s="1"/>
  <c r="N1800" i="9"/>
  <c r="O1800" i="9" s="1"/>
  <c r="N1799" i="9"/>
  <c r="O1799" i="9" s="1"/>
  <c r="N1798" i="9"/>
  <c r="O1798" i="9" s="1"/>
  <c r="N1797" i="9"/>
  <c r="O1797" i="9" s="1"/>
  <c r="N1796" i="9"/>
  <c r="O1796" i="9" s="1"/>
  <c r="N1795" i="9"/>
  <c r="O1795" i="9" s="1"/>
  <c r="N1794" i="9"/>
  <c r="O1794" i="9" s="1"/>
  <c r="N1793" i="9"/>
  <c r="O1793" i="9" s="1"/>
  <c r="N1792" i="9"/>
  <c r="O1792" i="9" s="1"/>
  <c r="N1791" i="9"/>
  <c r="O1791" i="9" s="1"/>
  <c r="N1790" i="9"/>
  <c r="O1790" i="9" s="1"/>
  <c r="N1789" i="9"/>
  <c r="O1789" i="9" s="1"/>
  <c r="N1788" i="9"/>
  <c r="O1788" i="9" s="1"/>
  <c r="N1787" i="9"/>
  <c r="O1787" i="9" s="1"/>
  <c r="N1786" i="9"/>
  <c r="O1786" i="9" s="1"/>
  <c r="N1785" i="9"/>
  <c r="O1785" i="9" s="1"/>
  <c r="N1784" i="9"/>
  <c r="O1784" i="9" s="1"/>
  <c r="N1783" i="9"/>
  <c r="O1783" i="9" s="1"/>
  <c r="N1782" i="9"/>
  <c r="O1782" i="9" s="1"/>
  <c r="N1781" i="9"/>
  <c r="O1781" i="9" s="1"/>
  <c r="N1780" i="9"/>
  <c r="O1780" i="9" s="1"/>
  <c r="N1779" i="9"/>
  <c r="O1779" i="9" s="1"/>
  <c r="N1778" i="9"/>
  <c r="O1778" i="9" s="1"/>
  <c r="N1777" i="9"/>
  <c r="O1777" i="9" s="1"/>
  <c r="N1776" i="9"/>
  <c r="O1776" i="9" s="1"/>
  <c r="N1775" i="9"/>
  <c r="O1775" i="9" s="1"/>
  <c r="N1774" i="9"/>
  <c r="O1774" i="9" s="1"/>
  <c r="N1773" i="9"/>
  <c r="O1773" i="9" s="1"/>
  <c r="N1772" i="9"/>
  <c r="O1772" i="9" s="1"/>
  <c r="N1771" i="9"/>
  <c r="O1771" i="9" s="1"/>
  <c r="N1770" i="9"/>
  <c r="O1770" i="9" s="1"/>
  <c r="N1769" i="9"/>
  <c r="O1769" i="9" s="1"/>
  <c r="N1768" i="9"/>
  <c r="O1768" i="9" s="1"/>
  <c r="N1767" i="9"/>
  <c r="O1767" i="9" s="1"/>
  <c r="N1766" i="9"/>
  <c r="O1766" i="9" s="1"/>
  <c r="N1765" i="9"/>
  <c r="O1765" i="9" s="1"/>
  <c r="N1764" i="9"/>
  <c r="O1764" i="9" s="1"/>
  <c r="N1763" i="9"/>
  <c r="O1763" i="9" s="1"/>
  <c r="N1762" i="9"/>
  <c r="O1762" i="9" s="1"/>
  <c r="N1761" i="9"/>
  <c r="O1761" i="9" s="1"/>
  <c r="N1760" i="9"/>
  <c r="O1760" i="9" s="1"/>
  <c r="N1759" i="9"/>
  <c r="O1759" i="9" s="1"/>
  <c r="N1758" i="9"/>
  <c r="O1758" i="9" s="1"/>
  <c r="N1757" i="9"/>
  <c r="O1757" i="9" s="1"/>
  <c r="N1756" i="9"/>
  <c r="O1756" i="9" s="1"/>
  <c r="N1755" i="9"/>
  <c r="O1755" i="9" s="1"/>
  <c r="N1754" i="9"/>
  <c r="O1754" i="9" s="1"/>
  <c r="N1753" i="9"/>
  <c r="O1753" i="9" s="1"/>
  <c r="N1752" i="9"/>
  <c r="O1752" i="9" s="1"/>
  <c r="N1751" i="9"/>
  <c r="O1751" i="9" s="1"/>
  <c r="N1750" i="9"/>
  <c r="O1750" i="9" s="1"/>
  <c r="N1749" i="9"/>
  <c r="O1749" i="9" s="1"/>
  <c r="N1748" i="9"/>
  <c r="O1748" i="9" s="1"/>
  <c r="N1747" i="9"/>
  <c r="O1747" i="9" s="1"/>
  <c r="N1746" i="9"/>
  <c r="O1746" i="9" s="1"/>
  <c r="N1745" i="9"/>
  <c r="O1745" i="9" s="1"/>
  <c r="N1744" i="9"/>
  <c r="O1744" i="9" s="1"/>
  <c r="N1743" i="9"/>
  <c r="O1743" i="9" s="1"/>
  <c r="N1742" i="9"/>
  <c r="O1742" i="9" s="1"/>
  <c r="N1741" i="9"/>
  <c r="O1741" i="9" s="1"/>
  <c r="N1740" i="9"/>
  <c r="O1740" i="9" s="1"/>
  <c r="N1739" i="9"/>
  <c r="O1739" i="9" s="1"/>
  <c r="N1738" i="9"/>
  <c r="O1738" i="9" s="1"/>
  <c r="N1737" i="9"/>
  <c r="O1737" i="9" s="1"/>
  <c r="N1736" i="9"/>
  <c r="O1736" i="9" s="1"/>
  <c r="N1735" i="9"/>
  <c r="O1735" i="9" s="1"/>
  <c r="N1734" i="9"/>
  <c r="O1734" i="9" s="1"/>
  <c r="N1733" i="9"/>
  <c r="O1733" i="9" s="1"/>
  <c r="N1732" i="9"/>
  <c r="O1732" i="9" s="1"/>
  <c r="N1731" i="9"/>
  <c r="O1731" i="9" s="1"/>
  <c r="N1730" i="9"/>
  <c r="O1730" i="9" s="1"/>
  <c r="N1729" i="9"/>
  <c r="O1729" i="9" s="1"/>
  <c r="N1728" i="9"/>
  <c r="O1728" i="9" s="1"/>
  <c r="N1727" i="9"/>
  <c r="O1727" i="9" s="1"/>
  <c r="N1726" i="9"/>
  <c r="O1726" i="9" s="1"/>
  <c r="N1725" i="9"/>
  <c r="O1725" i="9" s="1"/>
  <c r="N1724" i="9"/>
  <c r="O1724" i="9" s="1"/>
  <c r="N1723" i="9"/>
  <c r="O1723" i="9" s="1"/>
  <c r="N1722" i="9"/>
  <c r="O1722" i="9" s="1"/>
  <c r="N1721" i="9"/>
  <c r="O1721" i="9" s="1"/>
  <c r="N1720" i="9"/>
  <c r="O1720" i="9" s="1"/>
  <c r="N1719" i="9"/>
  <c r="O1719" i="9" s="1"/>
  <c r="N1718" i="9"/>
  <c r="O1718" i="9" s="1"/>
  <c r="N1717" i="9"/>
  <c r="O1717" i="9" s="1"/>
  <c r="N1716" i="9"/>
  <c r="O1716" i="9" s="1"/>
  <c r="N1715" i="9"/>
  <c r="O1715" i="9" s="1"/>
  <c r="N1714" i="9"/>
  <c r="O1714" i="9" s="1"/>
  <c r="N1713" i="9"/>
  <c r="O1713" i="9" s="1"/>
  <c r="N1712" i="9"/>
  <c r="O1712" i="9" s="1"/>
  <c r="N1711" i="9"/>
  <c r="O1711" i="9" s="1"/>
  <c r="N1710" i="9"/>
  <c r="O1710" i="9" s="1"/>
  <c r="N1709" i="9"/>
  <c r="O1709" i="9" s="1"/>
  <c r="N1708" i="9"/>
  <c r="O1708" i="9" s="1"/>
  <c r="N1707" i="9"/>
  <c r="O1707" i="9" s="1"/>
  <c r="N1706" i="9"/>
  <c r="O1706" i="9" s="1"/>
  <c r="N1705" i="9"/>
  <c r="O1705" i="9" s="1"/>
  <c r="N1704" i="9"/>
  <c r="O1704" i="9" s="1"/>
  <c r="N1703" i="9"/>
  <c r="O1703" i="9" s="1"/>
  <c r="N1702" i="9"/>
  <c r="O1702" i="9" s="1"/>
  <c r="N1701" i="9"/>
  <c r="O1701" i="9" s="1"/>
  <c r="N1700" i="9"/>
  <c r="O1700" i="9" s="1"/>
  <c r="N1699" i="9"/>
  <c r="O1699" i="9" s="1"/>
  <c r="N1698" i="9"/>
  <c r="O1698" i="9" s="1"/>
  <c r="N1697" i="9"/>
  <c r="O1697" i="9" s="1"/>
  <c r="N1696" i="9"/>
  <c r="O1696" i="9" s="1"/>
  <c r="N1695" i="9"/>
  <c r="O1695" i="9" s="1"/>
  <c r="N1694" i="9"/>
  <c r="O1694" i="9" s="1"/>
  <c r="N1693" i="9"/>
  <c r="O1693" i="9" s="1"/>
  <c r="N1692" i="9"/>
  <c r="O1692" i="9" s="1"/>
  <c r="N1691" i="9"/>
  <c r="O1691" i="9" s="1"/>
  <c r="N1690" i="9"/>
  <c r="O1690" i="9" s="1"/>
  <c r="N1689" i="9"/>
  <c r="O1689" i="9" s="1"/>
  <c r="N1688" i="9"/>
  <c r="O1688" i="9" s="1"/>
  <c r="N1687" i="9"/>
  <c r="O1687" i="9" s="1"/>
  <c r="N1686" i="9"/>
  <c r="O1686" i="9" s="1"/>
  <c r="N1685" i="9"/>
  <c r="O1685" i="9" s="1"/>
  <c r="N1684" i="9"/>
  <c r="O1684" i="9" s="1"/>
  <c r="N1683" i="9"/>
  <c r="O1683" i="9" s="1"/>
  <c r="N1682" i="9"/>
  <c r="O1682" i="9" s="1"/>
  <c r="N1681" i="9"/>
  <c r="O1681" i="9" s="1"/>
  <c r="N1680" i="9"/>
  <c r="O1680" i="9" s="1"/>
  <c r="N1679" i="9"/>
  <c r="O1679" i="9" s="1"/>
  <c r="N1678" i="9"/>
  <c r="O1678" i="9" s="1"/>
  <c r="N1677" i="9"/>
  <c r="O1677" i="9" s="1"/>
  <c r="N1676" i="9"/>
  <c r="O1676" i="9" s="1"/>
  <c r="N1675" i="9"/>
  <c r="O1675" i="9" s="1"/>
  <c r="N1674" i="9"/>
  <c r="O1674" i="9" s="1"/>
  <c r="N1673" i="9"/>
  <c r="O1673" i="9" s="1"/>
  <c r="N1672" i="9"/>
  <c r="O1672" i="9" s="1"/>
  <c r="N1671" i="9"/>
  <c r="O1671" i="9" s="1"/>
  <c r="N1670" i="9"/>
  <c r="O1670" i="9" s="1"/>
  <c r="N1669" i="9"/>
  <c r="O1669" i="9" s="1"/>
  <c r="N1668" i="9"/>
  <c r="O1668" i="9" s="1"/>
  <c r="N1667" i="9"/>
  <c r="O1667" i="9" s="1"/>
  <c r="N1666" i="9"/>
  <c r="O1666" i="9" s="1"/>
  <c r="N1665" i="9"/>
  <c r="O1665" i="9" s="1"/>
  <c r="N1664" i="9"/>
  <c r="O1664" i="9" s="1"/>
  <c r="N1663" i="9"/>
  <c r="O1663" i="9" s="1"/>
  <c r="N1662" i="9"/>
  <c r="O1662" i="9" s="1"/>
  <c r="N1661" i="9"/>
  <c r="O1661" i="9" s="1"/>
  <c r="N1660" i="9"/>
  <c r="O1660" i="9" s="1"/>
  <c r="N1659" i="9"/>
  <c r="O1659" i="9" s="1"/>
  <c r="N1658" i="9"/>
  <c r="O1658" i="9" s="1"/>
  <c r="N1657" i="9"/>
  <c r="O1657" i="9" s="1"/>
  <c r="N1656" i="9"/>
  <c r="O1656" i="9" s="1"/>
  <c r="N1655" i="9"/>
  <c r="O1655" i="9" s="1"/>
  <c r="N1654" i="9"/>
  <c r="O1654" i="9" s="1"/>
  <c r="N1653" i="9"/>
  <c r="O1653" i="9" s="1"/>
  <c r="N1652" i="9"/>
  <c r="O1652" i="9" s="1"/>
  <c r="N1651" i="9"/>
  <c r="O1651" i="9" s="1"/>
  <c r="N1650" i="9"/>
  <c r="O1650" i="9" s="1"/>
  <c r="N1649" i="9"/>
  <c r="O1649" i="9" s="1"/>
  <c r="N1648" i="9"/>
  <c r="O1648" i="9" s="1"/>
  <c r="N1647" i="9"/>
  <c r="O1647" i="9" s="1"/>
  <c r="N1646" i="9"/>
  <c r="O1646" i="9" s="1"/>
  <c r="N1645" i="9"/>
  <c r="O1645" i="9" s="1"/>
  <c r="N1644" i="9"/>
  <c r="O1644" i="9" s="1"/>
  <c r="N1643" i="9"/>
  <c r="O1643" i="9" s="1"/>
  <c r="N1642" i="9"/>
  <c r="O1642" i="9" s="1"/>
  <c r="N1641" i="9"/>
  <c r="O1641" i="9" s="1"/>
  <c r="N1640" i="9"/>
  <c r="O1640" i="9" s="1"/>
  <c r="N1639" i="9"/>
  <c r="O1639" i="9" s="1"/>
  <c r="N1638" i="9"/>
  <c r="O1638" i="9" s="1"/>
  <c r="N1637" i="9"/>
  <c r="O1637" i="9" s="1"/>
  <c r="N1636" i="9"/>
  <c r="O1636" i="9" s="1"/>
  <c r="N1635" i="9"/>
  <c r="O1635" i="9" s="1"/>
  <c r="N1634" i="9"/>
  <c r="O1634" i="9" s="1"/>
  <c r="N1633" i="9"/>
  <c r="O1633" i="9" s="1"/>
  <c r="N1632" i="9"/>
  <c r="O1632" i="9" s="1"/>
  <c r="N1631" i="9"/>
  <c r="O1631" i="9" s="1"/>
  <c r="N1630" i="9"/>
  <c r="O1630" i="9" s="1"/>
  <c r="N1629" i="9"/>
  <c r="O1629" i="9" s="1"/>
  <c r="N1628" i="9"/>
  <c r="O1628" i="9" s="1"/>
  <c r="N1627" i="9"/>
  <c r="O1627" i="9" s="1"/>
  <c r="N1626" i="9"/>
  <c r="O1626" i="9" s="1"/>
  <c r="N1625" i="9"/>
  <c r="O1625" i="9" s="1"/>
  <c r="N1624" i="9"/>
  <c r="O1624" i="9" s="1"/>
  <c r="N1623" i="9"/>
  <c r="O1623" i="9" s="1"/>
  <c r="N1622" i="9"/>
  <c r="O1622" i="9" s="1"/>
  <c r="N1621" i="9"/>
  <c r="O1621" i="9" s="1"/>
  <c r="N1620" i="9"/>
  <c r="O1620" i="9" s="1"/>
  <c r="N1619" i="9"/>
  <c r="O1619" i="9" s="1"/>
  <c r="N1618" i="9"/>
  <c r="O1618" i="9" s="1"/>
  <c r="N1617" i="9"/>
  <c r="O1617" i="9" s="1"/>
  <c r="N1616" i="9"/>
  <c r="O1616" i="9" s="1"/>
  <c r="N1615" i="9"/>
  <c r="O1615" i="9" s="1"/>
  <c r="N1614" i="9"/>
  <c r="O1614" i="9" s="1"/>
  <c r="N1613" i="9"/>
  <c r="O1613" i="9" s="1"/>
  <c r="N1612" i="9"/>
  <c r="O1612" i="9" s="1"/>
  <c r="N1611" i="9"/>
  <c r="O1611" i="9" s="1"/>
  <c r="N1610" i="9"/>
  <c r="O1610" i="9" s="1"/>
  <c r="N1609" i="9"/>
  <c r="O1609" i="9" s="1"/>
  <c r="N1608" i="9"/>
  <c r="O1608" i="9" s="1"/>
  <c r="N1607" i="9"/>
  <c r="O1607" i="9" s="1"/>
  <c r="N1606" i="9"/>
  <c r="O1606" i="9" s="1"/>
  <c r="N1605" i="9"/>
  <c r="O1605" i="9" s="1"/>
  <c r="N1604" i="9"/>
  <c r="O1604" i="9" s="1"/>
  <c r="N1603" i="9"/>
  <c r="O1603" i="9" s="1"/>
  <c r="N1602" i="9"/>
  <c r="O1602" i="9" s="1"/>
  <c r="N1601" i="9"/>
  <c r="O1601" i="9" s="1"/>
  <c r="N1600" i="9"/>
  <c r="O1600" i="9" s="1"/>
  <c r="N1599" i="9"/>
  <c r="O1599" i="9" s="1"/>
  <c r="N1598" i="9"/>
  <c r="O1598" i="9" s="1"/>
  <c r="N1597" i="9"/>
  <c r="O1597" i="9" s="1"/>
  <c r="N1596" i="9"/>
  <c r="O1596" i="9" s="1"/>
  <c r="N1595" i="9"/>
  <c r="O1595" i="9" s="1"/>
  <c r="N1594" i="9"/>
  <c r="O1594" i="9" s="1"/>
  <c r="N1593" i="9"/>
  <c r="O1593" i="9" s="1"/>
  <c r="N1592" i="9"/>
  <c r="O1592" i="9" s="1"/>
  <c r="N1591" i="9"/>
  <c r="O1591" i="9" s="1"/>
  <c r="N1590" i="9"/>
  <c r="O1590" i="9" s="1"/>
  <c r="N1589" i="9"/>
  <c r="O1589" i="9" s="1"/>
  <c r="N1588" i="9"/>
  <c r="O1588" i="9" s="1"/>
  <c r="N1587" i="9"/>
  <c r="O1587" i="9" s="1"/>
  <c r="N1586" i="9"/>
  <c r="O1586" i="9" s="1"/>
  <c r="N1585" i="9"/>
  <c r="O1585" i="9" s="1"/>
  <c r="N1584" i="9"/>
  <c r="O1584" i="9" s="1"/>
  <c r="N1583" i="9"/>
  <c r="O1583" i="9" s="1"/>
  <c r="N1582" i="9"/>
  <c r="O1582" i="9" s="1"/>
  <c r="N1581" i="9"/>
  <c r="O1581" i="9" s="1"/>
  <c r="N1580" i="9"/>
  <c r="O1580" i="9" s="1"/>
  <c r="N1579" i="9"/>
  <c r="O1579" i="9" s="1"/>
  <c r="N1578" i="9"/>
  <c r="O1578" i="9" s="1"/>
  <c r="N1577" i="9"/>
  <c r="O1577" i="9" s="1"/>
  <c r="N1576" i="9"/>
  <c r="O1576" i="9" s="1"/>
  <c r="N1575" i="9"/>
  <c r="O1575" i="9" s="1"/>
  <c r="N1574" i="9"/>
  <c r="O1574" i="9" s="1"/>
  <c r="N1573" i="9"/>
  <c r="O1573" i="9" s="1"/>
  <c r="N1572" i="9"/>
  <c r="O1572" i="9" s="1"/>
  <c r="N1571" i="9"/>
  <c r="O1571" i="9" s="1"/>
  <c r="N1570" i="9"/>
  <c r="O1570" i="9" s="1"/>
  <c r="N1569" i="9"/>
  <c r="O1569" i="9" s="1"/>
  <c r="N1568" i="9"/>
  <c r="O1568" i="9" s="1"/>
  <c r="N1567" i="9"/>
  <c r="O1567" i="9" s="1"/>
  <c r="N1566" i="9"/>
  <c r="O1566" i="9" s="1"/>
  <c r="N1565" i="9"/>
  <c r="O1565" i="9" s="1"/>
  <c r="N1564" i="9"/>
  <c r="O1564" i="9" s="1"/>
  <c r="N1563" i="9"/>
  <c r="O1563" i="9" s="1"/>
  <c r="N1562" i="9"/>
  <c r="O1562" i="9" s="1"/>
  <c r="N1561" i="9"/>
  <c r="O1561" i="9" s="1"/>
  <c r="N1560" i="9"/>
  <c r="O1560" i="9" s="1"/>
  <c r="N1559" i="9"/>
  <c r="O1559" i="9" s="1"/>
  <c r="N1558" i="9"/>
  <c r="O1558" i="9" s="1"/>
  <c r="N1557" i="9"/>
  <c r="O1557" i="9" s="1"/>
  <c r="N1556" i="9"/>
  <c r="O1556" i="9" s="1"/>
  <c r="N1555" i="9"/>
  <c r="O1555" i="9" s="1"/>
  <c r="N1554" i="9"/>
  <c r="O1554" i="9" s="1"/>
  <c r="N1553" i="9"/>
  <c r="O1553" i="9" s="1"/>
  <c r="N1552" i="9"/>
  <c r="O1552" i="9" s="1"/>
  <c r="N1551" i="9"/>
  <c r="O1551" i="9" s="1"/>
  <c r="N1550" i="9"/>
  <c r="O1550" i="9" s="1"/>
  <c r="N1549" i="9"/>
  <c r="O1549" i="9" s="1"/>
  <c r="N1548" i="9"/>
  <c r="O1548" i="9" s="1"/>
  <c r="N1547" i="9"/>
  <c r="O1547" i="9" s="1"/>
  <c r="N1546" i="9"/>
  <c r="O1546" i="9" s="1"/>
  <c r="N1545" i="9"/>
  <c r="O1545" i="9" s="1"/>
  <c r="N1544" i="9"/>
  <c r="O1544" i="9" s="1"/>
  <c r="N1543" i="9"/>
  <c r="O1543" i="9" s="1"/>
  <c r="N1542" i="9"/>
  <c r="O1542" i="9" s="1"/>
  <c r="N1541" i="9"/>
  <c r="O1541" i="9" s="1"/>
  <c r="N1540" i="9"/>
  <c r="O1540" i="9" s="1"/>
  <c r="N1539" i="9"/>
  <c r="O1539" i="9" s="1"/>
  <c r="N1538" i="9"/>
  <c r="O1538" i="9" s="1"/>
  <c r="N1537" i="9"/>
  <c r="O1537" i="9" s="1"/>
  <c r="N1536" i="9"/>
  <c r="O1536" i="9" s="1"/>
  <c r="N1535" i="9"/>
  <c r="O1535" i="9" s="1"/>
  <c r="N1534" i="9"/>
  <c r="O1534" i="9" s="1"/>
  <c r="N1533" i="9"/>
  <c r="O1533" i="9" s="1"/>
  <c r="N1532" i="9"/>
  <c r="O1532" i="9" s="1"/>
  <c r="N1531" i="9"/>
  <c r="O1531" i="9" s="1"/>
  <c r="N1530" i="9"/>
  <c r="O1530" i="9" s="1"/>
  <c r="N1529" i="9"/>
  <c r="O1529" i="9" s="1"/>
  <c r="N1528" i="9"/>
  <c r="O1528" i="9" s="1"/>
  <c r="N1527" i="9"/>
  <c r="O1527" i="9" s="1"/>
  <c r="N1526" i="9"/>
  <c r="O1526" i="9" s="1"/>
  <c r="N1525" i="9"/>
  <c r="O1525" i="9" s="1"/>
  <c r="N1524" i="9"/>
  <c r="O1524" i="9" s="1"/>
  <c r="N1523" i="9"/>
  <c r="O1523" i="9" s="1"/>
  <c r="N1522" i="9"/>
  <c r="O1522" i="9" s="1"/>
  <c r="N1521" i="9"/>
  <c r="O1521" i="9" s="1"/>
  <c r="N1520" i="9"/>
  <c r="O1520" i="9" s="1"/>
  <c r="N1519" i="9"/>
  <c r="O1519" i="9" s="1"/>
  <c r="N1518" i="9"/>
  <c r="O1518" i="9" s="1"/>
  <c r="N1517" i="9"/>
  <c r="O1517" i="9" s="1"/>
  <c r="N1516" i="9"/>
  <c r="O1516" i="9" s="1"/>
  <c r="N1515" i="9"/>
  <c r="O1515" i="9" s="1"/>
  <c r="N1514" i="9"/>
  <c r="O1514" i="9" s="1"/>
  <c r="N1513" i="9"/>
  <c r="O1513" i="9" s="1"/>
  <c r="N1512" i="9"/>
  <c r="O1512" i="9" s="1"/>
  <c r="N1511" i="9"/>
  <c r="O1511" i="9" s="1"/>
  <c r="N1510" i="9"/>
  <c r="O1510" i="9" s="1"/>
  <c r="N1509" i="9"/>
  <c r="O1509" i="9" s="1"/>
  <c r="N1508" i="9"/>
  <c r="O1508" i="9" s="1"/>
  <c r="N1507" i="9"/>
  <c r="O1507" i="9" s="1"/>
  <c r="N1506" i="9"/>
  <c r="O1506" i="9" s="1"/>
  <c r="N1505" i="9"/>
  <c r="O1505" i="9" s="1"/>
  <c r="N1504" i="9"/>
  <c r="O1504" i="9" s="1"/>
  <c r="N1503" i="9"/>
  <c r="O1503" i="9" s="1"/>
  <c r="N1502" i="9"/>
  <c r="O1502" i="9" s="1"/>
  <c r="N1501" i="9"/>
  <c r="O1501" i="9" s="1"/>
  <c r="N1500" i="9"/>
  <c r="O1500" i="9" s="1"/>
  <c r="N1499" i="9"/>
  <c r="O1499" i="9" s="1"/>
  <c r="N1498" i="9"/>
  <c r="O1498" i="9" s="1"/>
  <c r="N1497" i="9"/>
  <c r="O1497" i="9" s="1"/>
  <c r="N1496" i="9"/>
  <c r="O1496" i="9" s="1"/>
  <c r="N1495" i="9"/>
  <c r="O1495" i="9" s="1"/>
  <c r="N1494" i="9"/>
  <c r="O1494" i="9" s="1"/>
  <c r="N1493" i="9"/>
  <c r="O1493" i="9" s="1"/>
  <c r="N1492" i="9"/>
  <c r="O1492" i="9" s="1"/>
  <c r="N1491" i="9"/>
  <c r="O1491" i="9" s="1"/>
  <c r="N1490" i="9"/>
  <c r="O1490" i="9" s="1"/>
  <c r="N1489" i="9"/>
  <c r="O1489" i="9" s="1"/>
  <c r="N1488" i="9"/>
  <c r="O1488" i="9" s="1"/>
  <c r="N1487" i="9"/>
  <c r="O1487" i="9" s="1"/>
  <c r="N1486" i="9"/>
  <c r="O1486" i="9" s="1"/>
  <c r="N1485" i="9"/>
  <c r="O1485" i="9" s="1"/>
  <c r="N1484" i="9"/>
  <c r="O1484" i="9" s="1"/>
  <c r="N1483" i="9"/>
  <c r="O1483" i="9" s="1"/>
  <c r="N1482" i="9"/>
  <c r="O1482" i="9" s="1"/>
  <c r="N1481" i="9"/>
  <c r="O1481" i="9" s="1"/>
  <c r="N1480" i="9"/>
  <c r="O1480" i="9" s="1"/>
  <c r="N1479" i="9"/>
  <c r="O1479" i="9" s="1"/>
  <c r="N1478" i="9"/>
  <c r="O1478" i="9" s="1"/>
  <c r="N1477" i="9"/>
  <c r="O1477" i="9" s="1"/>
  <c r="N1476" i="9"/>
  <c r="O1476" i="9" s="1"/>
  <c r="N1475" i="9"/>
  <c r="O1475" i="9" s="1"/>
  <c r="N1474" i="9"/>
  <c r="O1474" i="9" s="1"/>
  <c r="N1473" i="9"/>
  <c r="O1473" i="9" s="1"/>
  <c r="N1472" i="9"/>
  <c r="O1472" i="9" s="1"/>
  <c r="N1471" i="9"/>
  <c r="O1471" i="9" s="1"/>
  <c r="N1470" i="9"/>
  <c r="O1470" i="9" s="1"/>
  <c r="N1469" i="9"/>
  <c r="O1469" i="9" s="1"/>
  <c r="N1468" i="9"/>
  <c r="O1468" i="9" s="1"/>
  <c r="N1467" i="9"/>
  <c r="O1467" i="9" s="1"/>
  <c r="N1466" i="9"/>
  <c r="O1466" i="9" s="1"/>
  <c r="N1465" i="9"/>
  <c r="O1465" i="9" s="1"/>
  <c r="N1464" i="9"/>
  <c r="O1464" i="9" s="1"/>
  <c r="N1463" i="9"/>
  <c r="O1463" i="9" s="1"/>
  <c r="N1462" i="9"/>
  <c r="O1462" i="9" s="1"/>
  <c r="N1461" i="9"/>
  <c r="O1461" i="9" s="1"/>
  <c r="N1460" i="9"/>
  <c r="O1460" i="9" s="1"/>
  <c r="N1459" i="9"/>
  <c r="O1459" i="9" s="1"/>
  <c r="N1458" i="9"/>
  <c r="O1458" i="9" s="1"/>
  <c r="N1457" i="9"/>
  <c r="O1457" i="9" s="1"/>
  <c r="N1456" i="9"/>
  <c r="O1456" i="9" s="1"/>
  <c r="N1455" i="9"/>
  <c r="O1455" i="9" s="1"/>
  <c r="N1454" i="9"/>
  <c r="O1454" i="9" s="1"/>
  <c r="N1453" i="9"/>
  <c r="O1453" i="9" s="1"/>
  <c r="N1452" i="9"/>
  <c r="O1452" i="9" s="1"/>
  <c r="N1451" i="9"/>
  <c r="O1451" i="9" s="1"/>
  <c r="N1450" i="9"/>
  <c r="O1450" i="9" s="1"/>
  <c r="N1449" i="9"/>
  <c r="O1449" i="9" s="1"/>
  <c r="N1448" i="9"/>
  <c r="O1448" i="9" s="1"/>
  <c r="N1447" i="9"/>
  <c r="O1447" i="9" s="1"/>
  <c r="N1446" i="9"/>
  <c r="O1446" i="9" s="1"/>
  <c r="N1445" i="9"/>
  <c r="O1445" i="9" s="1"/>
  <c r="N1444" i="9"/>
  <c r="O1444" i="9" s="1"/>
  <c r="N1443" i="9"/>
  <c r="O1443" i="9" s="1"/>
  <c r="N1442" i="9"/>
  <c r="O1442" i="9" s="1"/>
  <c r="N1441" i="9"/>
  <c r="O1441" i="9" s="1"/>
  <c r="N1440" i="9"/>
  <c r="O1440" i="9" s="1"/>
  <c r="N1439" i="9"/>
  <c r="O1439" i="9" s="1"/>
  <c r="N1438" i="9"/>
  <c r="O1438" i="9" s="1"/>
  <c r="N1437" i="9"/>
  <c r="O1437" i="9" s="1"/>
  <c r="N1436" i="9"/>
  <c r="O1436" i="9" s="1"/>
  <c r="N1435" i="9"/>
  <c r="O1435" i="9" s="1"/>
  <c r="N1434" i="9"/>
  <c r="O1434" i="9" s="1"/>
  <c r="N1433" i="9"/>
  <c r="O1433" i="9" s="1"/>
  <c r="N1432" i="9"/>
  <c r="O1432" i="9" s="1"/>
  <c r="N1431" i="9"/>
  <c r="O1431" i="9" s="1"/>
  <c r="N1430" i="9"/>
  <c r="O1430" i="9" s="1"/>
  <c r="N1429" i="9"/>
  <c r="O1429" i="9" s="1"/>
  <c r="N1428" i="9"/>
  <c r="O1428" i="9" s="1"/>
  <c r="N1427" i="9"/>
  <c r="O1427" i="9" s="1"/>
  <c r="N1426" i="9"/>
  <c r="O1426" i="9" s="1"/>
  <c r="N1425" i="9"/>
  <c r="O1425" i="9" s="1"/>
  <c r="N1424" i="9"/>
  <c r="O1424" i="9" s="1"/>
  <c r="N1423" i="9"/>
  <c r="O1423" i="9" s="1"/>
  <c r="N1422" i="9"/>
  <c r="O1422" i="9" s="1"/>
  <c r="N1421" i="9"/>
  <c r="O1421" i="9" s="1"/>
  <c r="N1420" i="9"/>
  <c r="O1420" i="9" s="1"/>
  <c r="N1419" i="9"/>
  <c r="O1419" i="9" s="1"/>
  <c r="N1418" i="9"/>
  <c r="O1418" i="9" s="1"/>
  <c r="N1417" i="9"/>
  <c r="O1417" i="9" s="1"/>
  <c r="N1416" i="9"/>
  <c r="O1416" i="9" s="1"/>
  <c r="N1415" i="9"/>
  <c r="O1415" i="9" s="1"/>
  <c r="N1414" i="9"/>
  <c r="O1414" i="9" s="1"/>
  <c r="N1413" i="9"/>
  <c r="O1413" i="9" s="1"/>
  <c r="N1412" i="9"/>
  <c r="O1412" i="9" s="1"/>
  <c r="N1411" i="9"/>
  <c r="O1411" i="9" s="1"/>
  <c r="N1410" i="9"/>
  <c r="O1410" i="9" s="1"/>
  <c r="N1409" i="9"/>
  <c r="O1409" i="9" s="1"/>
  <c r="N1408" i="9"/>
  <c r="O1408" i="9" s="1"/>
  <c r="N1407" i="9"/>
  <c r="O1407" i="9" s="1"/>
  <c r="N1406" i="9"/>
  <c r="O1406" i="9" s="1"/>
  <c r="N1405" i="9"/>
  <c r="O1405" i="9" s="1"/>
  <c r="N1404" i="9"/>
  <c r="O1404" i="9" s="1"/>
  <c r="N1403" i="9"/>
  <c r="O1403" i="9" s="1"/>
  <c r="N1402" i="9"/>
  <c r="O1402" i="9" s="1"/>
  <c r="N1401" i="9"/>
  <c r="O1401" i="9" s="1"/>
  <c r="N1400" i="9"/>
  <c r="O1400" i="9" s="1"/>
  <c r="N1399" i="9"/>
  <c r="O1399" i="9" s="1"/>
  <c r="N1398" i="9"/>
  <c r="O1398" i="9" s="1"/>
  <c r="N1397" i="9"/>
  <c r="O1397" i="9" s="1"/>
  <c r="N1396" i="9"/>
  <c r="O1396" i="9" s="1"/>
  <c r="N1395" i="9"/>
  <c r="O1395" i="9" s="1"/>
  <c r="N1394" i="9"/>
  <c r="O1394" i="9" s="1"/>
  <c r="N1393" i="9"/>
  <c r="O1393" i="9" s="1"/>
  <c r="N1392" i="9"/>
  <c r="O1392" i="9" s="1"/>
  <c r="N1391" i="9"/>
  <c r="O1391" i="9" s="1"/>
  <c r="N1390" i="9"/>
  <c r="O1390" i="9" s="1"/>
  <c r="N1389" i="9"/>
  <c r="O1389" i="9" s="1"/>
  <c r="N1388" i="9"/>
  <c r="O1388" i="9" s="1"/>
  <c r="N1387" i="9"/>
  <c r="O1387" i="9" s="1"/>
  <c r="N1386" i="9"/>
  <c r="O1386" i="9" s="1"/>
  <c r="N1385" i="9"/>
  <c r="O1385" i="9" s="1"/>
  <c r="N1384" i="9"/>
  <c r="O1384" i="9" s="1"/>
  <c r="N1383" i="9"/>
  <c r="O1383" i="9" s="1"/>
  <c r="N1382" i="9"/>
  <c r="O1382" i="9" s="1"/>
  <c r="N1381" i="9"/>
  <c r="O1381" i="9" s="1"/>
  <c r="N1380" i="9"/>
  <c r="O1380" i="9" s="1"/>
  <c r="N1379" i="9"/>
  <c r="O1379" i="9" s="1"/>
  <c r="N1378" i="9"/>
  <c r="O1378" i="9" s="1"/>
  <c r="N1377" i="9"/>
  <c r="O1377" i="9" s="1"/>
  <c r="N1376" i="9"/>
  <c r="O1376" i="9" s="1"/>
  <c r="N1375" i="9"/>
  <c r="O1375" i="9" s="1"/>
  <c r="N1374" i="9"/>
  <c r="O1374" i="9" s="1"/>
  <c r="N1373" i="9"/>
  <c r="O1373" i="9" s="1"/>
  <c r="N1372" i="9"/>
  <c r="O1372" i="9" s="1"/>
  <c r="N1371" i="9"/>
  <c r="O1371" i="9" s="1"/>
  <c r="N1370" i="9"/>
  <c r="O1370" i="9" s="1"/>
  <c r="N1369" i="9"/>
  <c r="O1369" i="9" s="1"/>
  <c r="N1368" i="9"/>
  <c r="O1368" i="9" s="1"/>
  <c r="N1367" i="9"/>
  <c r="O1367" i="9" s="1"/>
  <c r="N1366" i="9"/>
  <c r="O1366" i="9" s="1"/>
  <c r="N1365" i="9"/>
  <c r="O1365" i="9" s="1"/>
  <c r="N1364" i="9"/>
  <c r="O1364" i="9" s="1"/>
  <c r="N1363" i="9"/>
  <c r="O1363" i="9" s="1"/>
  <c r="N1362" i="9"/>
  <c r="O1362" i="9" s="1"/>
  <c r="N1361" i="9"/>
  <c r="O1361" i="9" s="1"/>
  <c r="N1360" i="9"/>
  <c r="O1360" i="9" s="1"/>
  <c r="N1359" i="9"/>
  <c r="O1359" i="9" s="1"/>
  <c r="N1358" i="9"/>
  <c r="O1358" i="9" s="1"/>
  <c r="N1357" i="9"/>
  <c r="O1357" i="9" s="1"/>
  <c r="N1356" i="9"/>
  <c r="O1356" i="9" s="1"/>
  <c r="N1355" i="9"/>
  <c r="O1355" i="9" s="1"/>
  <c r="N1354" i="9"/>
  <c r="O1354" i="9" s="1"/>
  <c r="N1353" i="9"/>
  <c r="O1353" i="9" s="1"/>
  <c r="N1352" i="9"/>
  <c r="O1352" i="9" s="1"/>
  <c r="N1351" i="9"/>
  <c r="O1351" i="9" s="1"/>
  <c r="N1350" i="9"/>
  <c r="O1350" i="9" s="1"/>
  <c r="N1349" i="9"/>
  <c r="O1349" i="9" s="1"/>
  <c r="N1348" i="9"/>
  <c r="O1348" i="9" s="1"/>
  <c r="N1347" i="9"/>
  <c r="O1347" i="9" s="1"/>
  <c r="N1346" i="9"/>
  <c r="O1346" i="9" s="1"/>
  <c r="N1345" i="9"/>
  <c r="O1345" i="9" s="1"/>
  <c r="N1344" i="9"/>
  <c r="O1344" i="9" s="1"/>
  <c r="N1343" i="9"/>
  <c r="O1343" i="9" s="1"/>
  <c r="N1342" i="9"/>
  <c r="O1342" i="9" s="1"/>
  <c r="N1341" i="9"/>
  <c r="O1341" i="9" s="1"/>
  <c r="N1340" i="9"/>
  <c r="O1340" i="9" s="1"/>
  <c r="N1339" i="9"/>
  <c r="O1339" i="9" s="1"/>
  <c r="N1338" i="9"/>
  <c r="O1338" i="9" s="1"/>
  <c r="N1337" i="9"/>
  <c r="O1337" i="9" s="1"/>
  <c r="N1336" i="9"/>
  <c r="O1336" i="9" s="1"/>
  <c r="N1335" i="9"/>
  <c r="O1335" i="9" s="1"/>
  <c r="N1334" i="9"/>
  <c r="O1334" i="9" s="1"/>
  <c r="N1333" i="9"/>
  <c r="O1333" i="9" s="1"/>
  <c r="N1332" i="9"/>
  <c r="O1332" i="9" s="1"/>
  <c r="N1331" i="9"/>
  <c r="O1331" i="9" s="1"/>
  <c r="N1330" i="9"/>
  <c r="O1330" i="9" s="1"/>
  <c r="N1329" i="9"/>
  <c r="O1329" i="9" s="1"/>
  <c r="N1328" i="9"/>
  <c r="O1328" i="9" s="1"/>
  <c r="N1327" i="9"/>
  <c r="O1327" i="9" s="1"/>
  <c r="N1326" i="9"/>
  <c r="O1326" i="9" s="1"/>
  <c r="N1325" i="9"/>
  <c r="O1325" i="9" s="1"/>
  <c r="N1324" i="9"/>
  <c r="O1324" i="9" s="1"/>
  <c r="N1323" i="9"/>
  <c r="O1323" i="9" s="1"/>
  <c r="N1322" i="9"/>
  <c r="O1322" i="9" s="1"/>
  <c r="N1321" i="9"/>
  <c r="O1321" i="9" s="1"/>
  <c r="N1320" i="9"/>
  <c r="O1320" i="9" s="1"/>
  <c r="N1319" i="9"/>
  <c r="O1319" i="9" s="1"/>
  <c r="N1318" i="9"/>
  <c r="O1318" i="9" s="1"/>
  <c r="N1317" i="9"/>
  <c r="O1317" i="9" s="1"/>
  <c r="N1316" i="9"/>
  <c r="O1316" i="9" s="1"/>
  <c r="N1315" i="9"/>
  <c r="O1315" i="9" s="1"/>
  <c r="N1314" i="9"/>
  <c r="O1314" i="9" s="1"/>
  <c r="N1313" i="9"/>
  <c r="O1313" i="9" s="1"/>
  <c r="N1312" i="9"/>
  <c r="O1312" i="9" s="1"/>
  <c r="N1311" i="9"/>
  <c r="O1311" i="9" s="1"/>
  <c r="N1310" i="9"/>
  <c r="O1310" i="9" s="1"/>
  <c r="N1309" i="9"/>
  <c r="O1309" i="9" s="1"/>
  <c r="N1308" i="9"/>
  <c r="O1308" i="9" s="1"/>
  <c r="N1307" i="9"/>
  <c r="O1307" i="9" s="1"/>
  <c r="N1306" i="9"/>
  <c r="O1306" i="9" s="1"/>
  <c r="N1305" i="9"/>
  <c r="O1305" i="9" s="1"/>
  <c r="N1304" i="9"/>
  <c r="O1304" i="9" s="1"/>
  <c r="N1303" i="9"/>
  <c r="O1303" i="9" s="1"/>
  <c r="N1302" i="9"/>
  <c r="O1302" i="9" s="1"/>
  <c r="N1301" i="9"/>
  <c r="O1301" i="9" s="1"/>
  <c r="N1300" i="9"/>
  <c r="O1300" i="9" s="1"/>
  <c r="N1299" i="9"/>
  <c r="O1299" i="9" s="1"/>
  <c r="N1298" i="9"/>
  <c r="O1298" i="9" s="1"/>
  <c r="N1297" i="9"/>
  <c r="O1297" i="9" s="1"/>
  <c r="N1296" i="9"/>
  <c r="O1296" i="9" s="1"/>
  <c r="N1295" i="9"/>
  <c r="O1295" i="9" s="1"/>
  <c r="N1294" i="9"/>
  <c r="O1294" i="9" s="1"/>
  <c r="N1293" i="9"/>
  <c r="O1293" i="9" s="1"/>
  <c r="N1292" i="9"/>
  <c r="O1292" i="9" s="1"/>
  <c r="N1291" i="9"/>
  <c r="O1291" i="9" s="1"/>
  <c r="N1290" i="9"/>
  <c r="O1290" i="9" s="1"/>
  <c r="N1289" i="9"/>
  <c r="O1289" i="9" s="1"/>
  <c r="N1288" i="9"/>
  <c r="O1288" i="9" s="1"/>
  <c r="N1287" i="9"/>
  <c r="O1287" i="9" s="1"/>
  <c r="N1286" i="9"/>
  <c r="O1286" i="9" s="1"/>
  <c r="N1285" i="9"/>
  <c r="O1285" i="9" s="1"/>
  <c r="N1284" i="9"/>
  <c r="O1284" i="9" s="1"/>
  <c r="N1283" i="9"/>
  <c r="O1283" i="9" s="1"/>
  <c r="N1282" i="9"/>
  <c r="O1282" i="9" s="1"/>
  <c r="N1281" i="9"/>
  <c r="O1281" i="9" s="1"/>
  <c r="N1280" i="9"/>
  <c r="O1280" i="9" s="1"/>
  <c r="N1279" i="9"/>
  <c r="O1279" i="9" s="1"/>
  <c r="N1278" i="9"/>
  <c r="O1278" i="9" s="1"/>
  <c r="N1277" i="9"/>
  <c r="O1277" i="9" s="1"/>
  <c r="N1276" i="9"/>
  <c r="O1276" i="9" s="1"/>
  <c r="N1275" i="9"/>
  <c r="O1275" i="9" s="1"/>
  <c r="N1274" i="9"/>
  <c r="O1274" i="9" s="1"/>
  <c r="N1273" i="9"/>
  <c r="O1273" i="9" s="1"/>
  <c r="N1272" i="9"/>
  <c r="O1272" i="9" s="1"/>
  <c r="N1271" i="9"/>
  <c r="O1271" i="9" s="1"/>
  <c r="N1270" i="9"/>
  <c r="O1270" i="9" s="1"/>
  <c r="N1269" i="9"/>
  <c r="O1269" i="9" s="1"/>
  <c r="N1268" i="9"/>
  <c r="O1268" i="9" s="1"/>
  <c r="N1267" i="9"/>
  <c r="O1267" i="9" s="1"/>
  <c r="N1266" i="9"/>
  <c r="O1266" i="9" s="1"/>
  <c r="N1265" i="9"/>
  <c r="O1265" i="9" s="1"/>
  <c r="N1264" i="9"/>
  <c r="O1264" i="9" s="1"/>
  <c r="N1263" i="9"/>
  <c r="O1263" i="9" s="1"/>
  <c r="N1262" i="9"/>
  <c r="O1262" i="9" s="1"/>
  <c r="N1261" i="9"/>
  <c r="O1261" i="9" s="1"/>
  <c r="N1260" i="9"/>
  <c r="O1260" i="9" s="1"/>
  <c r="N1259" i="9"/>
  <c r="O1259" i="9" s="1"/>
  <c r="N1258" i="9"/>
  <c r="O1258" i="9" s="1"/>
  <c r="N1257" i="9"/>
  <c r="O1257" i="9" s="1"/>
  <c r="N1256" i="9"/>
  <c r="O1256" i="9" s="1"/>
  <c r="N1255" i="9"/>
  <c r="O1255" i="9" s="1"/>
  <c r="N1254" i="9"/>
  <c r="O1254" i="9" s="1"/>
  <c r="N1253" i="9"/>
  <c r="O1253" i="9" s="1"/>
  <c r="N1252" i="9"/>
  <c r="O1252" i="9" s="1"/>
  <c r="N1251" i="9"/>
  <c r="O1251" i="9" s="1"/>
  <c r="N1250" i="9"/>
  <c r="O1250" i="9" s="1"/>
  <c r="N1249" i="9"/>
  <c r="O1249" i="9" s="1"/>
  <c r="N1248" i="9"/>
  <c r="O1248" i="9" s="1"/>
  <c r="N1247" i="9"/>
  <c r="O1247" i="9" s="1"/>
  <c r="N1246" i="9"/>
  <c r="O1246" i="9" s="1"/>
  <c r="N1245" i="9"/>
  <c r="O1245" i="9" s="1"/>
  <c r="N1244" i="9"/>
  <c r="O1244" i="9" s="1"/>
  <c r="N1243" i="9"/>
  <c r="O1243" i="9" s="1"/>
  <c r="N1242" i="9"/>
  <c r="O1242" i="9" s="1"/>
  <c r="N1241" i="9"/>
  <c r="O1241" i="9" s="1"/>
  <c r="N1240" i="9"/>
  <c r="O1240" i="9" s="1"/>
  <c r="N1239" i="9"/>
  <c r="O1239" i="9" s="1"/>
  <c r="N1238" i="9"/>
  <c r="O1238" i="9" s="1"/>
  <c r="N1237" i="9"/>
  <c r="O1237" i="9" s="1"/>
  <c r="N1236" i="9"/>
  <c r="O1236" i="9" s="1"/>
  <c r="N1235" i="9"/>
  <c r="O1235" i="9" s="1"/>
  <c r="N1234" i="9"/>
  <c r="O1234" i="9" s="1"/>
  <c r="N1233" i="9"/>
  <c r="O1233" i="9" s="1"/>
  <c r="N1232" i="9"/>
  <c r="O1232" i="9" s="1"/>
  <c r="N1231" i="9"/>
  <c r="O1231" i="9" s="1"/>
  <c r="N1230" i="9"/>
  <c r="O1230" i="9" s="1"/>
  <c r="N1229" i="9"/>
  <c r="O1229" i="9" s="1"/>
  <c r="N1228" i="9"/>
  <c r="O1228" i="9" s="1"/>
  <c r="N1227" i="9"/>
  <c r="O1227" i="9" s="1"/>
  <c r="N1226" i="9"/>
  <c r="O1226" i="9" s="1"/>
  <c r="N1225" i="9"/>
  <c r="O1225" i="9" s="1"/>
  <c r="N1224" i="9"/>
  <c r="O1224" i="9" s="1"/>
  <c r="N1223" i="9"/>
  <c r="O1223" i="9" s="1"/>
  <c r="N1222" i="9"/>
  <c r="O1222" i="9" s="1"/>
  <c r="N1221" i="9"/>
  <c r="O1221" i="9" s="1"/>
  <c r="N1220" i="9"/>
  <c r="O1220" i="9" s="1"/>
  <c r="N1219" i="9"/>
  <c r="O1219" i="9" s="1"/>
  <c r="N1218" i="9"/>
  <c r="O1218" i="9" s="1"/>
  <c r="N1217" i="9"/>
  <c r="O1217" i="9" s="1"/>
  <c r="N1216" i="9"/>
  <c r="O1216" i="9" s="1"/>
  <c r="N1215" i="9"/>
  <c r="O1215" i="9" s="1"/>
  <c r="N1214" i="9"/>
  <c r="O1214" i="9" s="1"/>
  <c r="N1213" i="9"/>
  <c r="O1213" i="9" s="1"/>
  <c r="N1212" i="9"/>
  <c r="O1212" i="9" s="1"/>
  <c r="N1211" i="9"/>
  <c r="O1211" i="9" s="1"/>
  <c r="N1210" i="9"/>
  <c r="O1210" i="9" s="1"/>
  <c r="N1209" i="9"/>
  <c r="O1209" i="9" s="1"/>
  <c r="N1208" i="9"/>
  <c r="O1208" i="9" s="1"/>
  <c r="N1207" i="9"/>
  <c r="O1207" i="9" s="1"/>
  <c r="N1206" i="9"/>
  <c r="O1206" i="9" s="1"/>
  <c r="N1205" i="9"/>
  <c r="O1205" i="9" s="1"/>
  <c r="N1204" i="9"/>
  <c r="O1204" i="9" s="1"/>
  <c r="N1203" i="9"/>
  <c r="O1203" i="9" s="1"/>
  <c r="N1202" i="9"/>
  <c r="O1202" i="9" s="1"/>
  <c r="N1201" i="9"/>
  <c r="O1201" i="9" s="1"/>
  <c r="N1200" i="9"/>
  <c r="O1200" i="9" s="1"/>
  <c r="N1199" i="9"/>
  <c r="O1199" i="9" s="1"/>
  <c r="N1198" i="9"/>
  <c r="O1198" i="9" s="1"/>
  <c r="N1197" i="9"/>
  <c r="O1197" i="9" s="1"/>
  <c r="N1196" i="9"/>
  <c r="O1196" i="9" s="1"/>
  <c r="N1195" i="9"/>
  <c r="O1195" i="9" s="1"/>
  <c r="N1194" i="9"/>
  <c r="O1194" i="9" s="1"/>
  <c r="N1193" i="9"/>
  <c r="O1193" i="9" s="1"/>
  <c r="N1192" i="9"/>
  <c r="O1192" i="9" s="1"/>
  <c r="N1191" i="9"/>
  <c r="O1191" i="9" s="1"/>
  <c r="N1190" i="9"/>
  <c r="O1190" i="9" s="1"/>
  <c r="N1189" i="9"/>
  <c r="O1189" i="9" s="1"/>
  <c r="N1188" i="9"/>
  <c r="O1188" i="9" s="1"/>
  <c r="N1187" i="9"/>
  <c r="O1187" i="9" s="1"/>
  <c r="N1186" i="9"/>
  <c r="O1186" i="9" s="1"/>
  <c r="N1185" i="9"/>
  <c r="O1185" i="9" s="1"/>
  <c r="N1184" i="9"/>
  <c r="O1184" i="9" s="1"/>
  <c r="N1183" i="9"/>
  <c r="O1183" i="9" s="1"/>
  <c r="N1182" i="9"/>
  <c r="O1182" i="9" s="1"/>
  <c r="N1181" i="9"/>
  <c r="O1181" i="9" s="1"/>
  <c r="N1180" i="9"/>
  <c r="O1180" i="9" s="1"/>
  <c r="N1179" i="9"/>
  <c r="O1179" i="9" s="1"/>
  <c r="N1178" i="9"/>
  <c r="O1178" i="9" s="1"/>
  <c r="N1177" i="9"/>
  <c r="O1177" i="9" s="1"/>
  <c r="N1176" i="9"/>
  <c r="O1176" i="9" s="1"/>
  <c r="N1175" i="9"/>
  <c r="O1175" i="9" s="1"/>
  <c r="N1174" i="9"/>
  <c r="O1174" i="9" s="1"/>
  <c r="N1173" i="9"/>
  <c r="O1173" i="9" s="1"/>
  <c r="N1172" i="9"/>
  <c r="O1172" i="9" s="1"/>
  <c r="N1171" i="9"/>
  <c r="O1171" i="9" s="1"/>
  <c r="N1170" i="9"/>
  <c r="O1170" i="9" s="1"/>
  <c r="N1169" i="9"/>
  <c r="O1169" i="9" s="1"/>
  <c r="N1168" i="9"/>
  <c r="O1168" i="9" s="1"/>
  <c r="N1167" i="9"/>
  <c r="O1167" i="9" s="1"/>
  <c r="N1166" i="9"/>
  <c r="O1166" i="9" s="1"/>
  <c r="N1165" i="9"/>
  <c r="O1165" i="9" s="1"/>
  <c r="N1164" i="9"/>
  <c r="O1164" i="9" s="1"/>
  <c r="N1163" i="9"/>
  <c r="O1163" i="9" s="1"/>
  <c r="N1162" i="9"/>
  <c r="O1162" i="9" s="1"/>
  <c r="N1161" i="9"/>
  <c r="O1161" i="9" s="1"/>
  <c r="N1160" i="9"/>
  <c r="O1160" i="9" s="1"/>
  <c r="N1159" i="9"/>
  <c r="O1159" i="9" s="1"/>
  <c r="N1158" i="9"/>
  <c r="O1158" i="9" s="1"/>
  <c r="N1157" i="9"/>
  <c r="O1157" i="9" s="1"/>
  <c r="N1156" i="9"/>
  <c r="O1156" i="9" s="1"/>
  <c r="N1155" i="9"/>
  <c r="O1155" i="9" s="1"/>
  <c r="N1154" i="9"/>
  <c r="O1154" i="9" s="1"/>
  <c r="N1153" i="9"/>
  <c r="O1153" i="9" s="1"/>
  <c r="N1152" i="9"/>
  <c r="O1152" i="9" s="1"/>
  <c r="N1151" i="9"/>
  <c r="O1151" i="9" s="1"/>
  <c r="N1150" i="9"/>
  <c r="O1150" i="9" s="1"/>
  <c r="N1149" i="9"/>
  <c r="O1149" i="9" s="1"/>
  <c r="N1148" i="9"/>
  <c r="O1148" i="9" s="1"/>
  <c r="N1147" i="9"/>
  <c r="O1147" i="9" s="1"/>
  <c r="N1146" i="9"/>
  <c r="O1146" i="9" s="1"/>
  <c r="N1145" i="9"/>
  <c r="O1145" i="9" s="1"/>
  <c r="N1144" i="9"/>
  <c r="O1144" i="9" s="1"/>
  <c r="N1143" i="9"/>
  <c r="O1143" i="9" s="1"/>
  <c r="N1142" i="9"/>
  <c r="O1142" i="9" s="1"/>
  <c r="N1141" i="9"/>
  <c r="O1141" i="9" s="1"/>
  <c r="N1140" i="9"/>
  <c r="O1140" i="9" s="1"/>
  <c r="N1139" i="9"/>
  <c r="O1139" i="9" s="1"/>
  <c r="N1138" i="9"/>
  <c r="O1138" i="9" s="1"/>
  <c r="N1137" i="9"/>
  <c r="O1137" i="9" s="1"/>
  <c r="N1136" i="9"/>
  <c r="O1136" i="9" s="1"/>
  <c r="N1135" i="9"/>
  <c r="O1135" i="9" s="1"/>
  <c r="N1134" i="9"/>
  <c r="O1134" i="9" s="1"/>
  <c r="N1133" i="9"/>
  <c r="O1133" i="9" s="1"/>
  <c r="N1132" i="9"/>
  <c r="O1132" i="9" s="1"/>
  <c r="N1131" i="9"/>
  <c r="O1131" i="9" s="1"/>
  <c r="N1130" i="9"/>
  <c r="O1130" i="9" s="1"/>
  <c r="N1129" i="9"/>
  <c r="O1129" i="9" s="1"/>
  <c r="N1128" i="9"/>
  <c r="O1128" i="9" s="1"/>
  <c r="N1127" i="9"/>
  <c r="O1127" i="9" s="1"/>
  <c r="N1126" i="9"/>
  <c r="O1126" i="9" s="1"/>
  <c r="N1125" i="9"/>
  <c r="O1125" i="9" s="1"/>
  <c r="N1124" i="9"/>
  <c r="O1124" i="9" s="1"/>
  <c r="N1123" i="9"/>
  <c r="O1123" i="9" s="1"/>
  <c r="N1122" i="9"/>
  <c r="O1122" i="9" s="1"/>
  <c r="N1121" i="9"/>
  <c r="O1121" i="9" s="1"/>
  <c r="N1120" i="9"/>
  <c r="O1120" i="9" s="1"/>
  <c r="N1119" i="9"/>
  <c r="O1119" i="9" s="1"/>
  <c r="N1118" i="9"/>
  <c r="O1118" i="9" s="1"/>
  <c r="N1117" i="9"/>
  <c r="O1117" i="9" s="1"/>
  <c r="N1116" i="9"/>
  <c r="O1116" i="9" s="1"/>
  <c r="N1115" i="9"/>
  <c r="O1115" i="9" s="1"/>
  <c r="N1114" i="9"/>
  <c r="O1114" i="9" s="1"/>
  <c r="N1113" i="9"/>
  <c r="O1113" i="9" s="1"/>
  <c r="N1112" i="9"/>
  <c r="O1112" i="9" s="1"/>
  <c r="N1111" i="9"/>
  <c r="O1111" i="9" s="1"/>
  <c r="N1110" i="9"/>
  <c r="O1110" i="9" s="1"/>
  <c r="N1109" i="9"/>
  <c r="O1109" i="9" s="1"/>
  <c r="N1108" i="9"/>
  <c r="O1108" i="9" s="1"/>
  <c r="N1107" i="9"/>
  <c r="O1107" i="9" s="1"/>
  <c r="N1106" i="9"/>
  <c r="O1106" i="9" s="1"/>
  <c r="N1105" i="9"/>
  <c r="O1105" i="9" s="1"/>
  <c r="N1104" i="9"/>
  <c r="O1104" i="9" s="1"/>
  <c r="N1103" i="9"/>
  <c r="O1103" i="9" s="1"/>
  <c r="N1102" i="9"/>
  <c r="O1102" i="9" s="1"/>
  <c r="N1101" i="9"/>
  <c r="O1101" i="9" s="1"/>
  <c r="N1100" i="9"/>
  <c r="O1100" i="9" s="1"/>
  <c r="N1099" i="9"/>
  <c r="O1099" i="9" s="1"/>
  <c r="N1098" i="9"/>
  <c r="O1098" i="9" s="1"/>
  <c r="N1097" i="9"/>
  <c r="O1097" i="9" s="1"/>
  <c r="N1096" i="9"/>
  <c r="O1096" i="9" s="1"/>
  <c r="N1095" i="9"/>
  <c r="O1095" i="9" s="1"/>
  <c r="N1094" i="9"/>
  <c r="O1094" i="9" s="1"/>
  <c r="N1093" i="9"/>
  <c r="O1093" i="9" s="1"/>
  <c r="N1092" i="9"/>
  <c r="O1092" i="9" s="1"/>
  <c r="N1091" i="9"/>
  <c r="O1091" i="9" s="1"/>
  <c r="N1090" i="9"/>
  <c r="O1090" i="9" s="1"/>
  <c r="N1089" i="9"/>
  <c r="O1089" i="9" s="1"/>
  <c r="N1088" i="9"/>
  <c r="O1088" i="9" s="1"/>
  <c r="N1087" i="9"/>
  <c r="O1087" i="9" s="1"/>
  <c r="N1086" i="9"/>
  <c r="O1086" i="9" s="1"/>
  <c r="N1085" i="9"/>
  <c r="O1085" i="9" s="1"/>
  <c r="N1084" i="9"/>
  <c r="O1084" i="9" s="1"/>
  <c r="N1083" i="9"/>
  <c r="O1083" i="9" s="1"/>
  <c r="N1082" i="9"/>
  <c r="O1082" i="9" s="1"/>
  <c r="N1081" i="9"/>
  <c r="O1081" i="9" s="1"/>
  <c r="N1080" i="9"/>
  <c r="O1080" i="9" s="1"/>
  <c r="N1079" i="9"/>
  <c r="O1079" i="9" s="1"/>
  <c r="N1078" i="9"/>
  <c r="O1078" i="9" s="1"/>
  <c r="N1077" i="9"/>
  <c r="O1077" i="9" s="1"/>
  <c r="N1076" i="9"/>
  <c r="O1076" i="9" s="1"/>
  <c r="N1075" i="9"/>
  <c r="O1075" i="9" s="1"/>
  <c r="N1074" i="9"/>
  <c r="O1074" i="9" s="1"/>
  <c r="N1073" i="9"/>
  <c r="O1073" i="9" s="1"/>
  <c r="N1072" i="9"/>
  <c r="O1072" i="9" s="1"/>
  <c r="N1071" i="9"/>
  <c r="O1071" i="9" s="1"/>
  <c r="N1070" i="9"/>
  <c r="O1070" i="9" s="1"/>
  <c r="N1069" i="9"/>
  <c r="O1069" i="9" s="1"/>
  <c r="N1068" i="9"/>
  <c r="O1068" i="9" s="1"/>
  <c r="N1067" i="9"/>
  <c r="O1067" i="9" s="1"/>
  <c r="N1066" i="9"/>
  <c r="O1066" i="9" s="1"/>
  <c r="N1065" i="9"/>
  <c r="O1065" i="9" s="1"/>
  <c r="N1064" i="9"/>
  <c r="O1064" i="9" s="1"/>
  <c r="N1063" i="9"/>
  <c r="O1063" i="9" s="1"/>
  <c r="N1062" i="9"/>
  <c r="O1062" i="9" s="1"/>
  <c r="N1061" i="9"/>
  <c r="O1061" i="9" s="1"/>
  <c r="N1060" i="9"/>
  <c r="O1060" i="9" s="1"/>
  <c r="N1059" i="9"/>
  <c r="O1059" i="9" s="1"/>
  <c r="N1058" i="9"/>
  <c r="O1058" i="9" s="1"/>
  <c r="N1057" i="9"/>
  <c r="O1057" i="9" s="1"/>
  <c r="N1056" i="9"/>
  <c r="O1056" i="9" s="1"/>
  <c r="N1055" i="9"/>
  <c r="O1055" i="9" s="1"/>
  <c r="N1054" i="9"/>
  <c r="O1054" i="9" s="1"/>
  <c r="N1053" i="9"/>
  <c r="O1053" i="9" s="1"/>
  <c r="N1052" i="9"/>
  <c r="O1052" i="9" s="1"/>
  <c r="N1051" i="9"/>
  <c r="O1051" i="9" s="1"/>
  <c r="N1050" i="9"/>
  <c r="O1050" i="9" s="1"/>
  <c r="N1049" i="9"/>
  <c r="O1049" i="9" s="1"/>
  <c r="N1048" i="9"/>
  <c r="O1048" i="9" s="1"/>
  <c r="N1047" i="9"/>
  <c r="O1047" i="9" s="1"/>
  <c r="N1046" i="9"/>
  <c r="O1046" i="9" s="1"/>
  <c r="N1045" i="9"/>
  <c r="O1045" i="9" s="1"/>
  <c r="N1044" i="9"/>
  <c r="O1044" i="9" s="1"/>
  <c r="N1043" i="9"/>
  <c r="O1043" i="9" s="1"/>
  <c r="N1042" i="9"/>
  <c r="O1042" i="9" s="1"/>
  <c r="N1041" i="9"/>
  <c r="O1041" i="9" s="1"/>
  <c r="N1040" i="9"/>
  <c r="O1040" i="9" s="1"/>
  <c r="N1039" i="9"/>
  <c r="O1039" i="9" s="1"/>
  <c r="N1038" i="9"/>
  <c r="O1038" i="9" s="1"/>
  <c r="N1037" i="9"/>
  <c r="O1037" i="9" s="1"/>
  <c r="N1036" i="9"/>
  <c r="O1036" i="9" s="1"/>
  <c r="N1035" i="9"/>
  <c r="O1035" i="9" s="1"/>
  <c r="N1034" i="9"/>
  <c r="O1034" i="9" s="1"/>
  <c r="N1033" i="9"/>
  <c r="O1033" i="9" s="1"/>
  <c r="N1032" i="9"/>
  <c r="O1032" i="9" s="1"/>
  <c r="N1031" i="9"/>
  <c r="O1031" i="9" s="1"/>
  <c r="N1030" i="9"/>
  <c r="O1030" i="9" s="1"/>
  <c r="N1029" i="9"/>
  <c r="O1029" i="9" s="1"/>
  <c r="N1028" i="9"/>
  <c r="O1028" i="9" s="1"/>
  <c r="N1027" i="9"/>
  <c r="O1027" i="9" s="1"/>
  <c r="N1026" i="9"/>
  <c r="O1026" i="9" s="1"/>
  <c r="N1025" i="9"/>
  <c r="O1025" i="9" s="1"/>
  <c r="N1024" i="9"/>
  <c r="O1024" i="9" s="1"/>
  <c r="N1023" i="9"/>
  <c r="O1023" i="9" s="1"/>
  <c r="N1022" i="9"/>
  <c r="O1022" i="9" s="1"/>
  <c r="N1021" i="9"/>
  <c r="O1021" i="9" s="1"/>
  <c r="N1020" i="9"/>
  <c r="O1020" i="9" s="1"/>
  <c r="N1019" i="9"/>
  <c r="O1019" i="9" s="1"/>
  <c r="N1018" i="9"/>
  <c r="O1018" i="9" s="1"/>
  <c r="N1017" i="9"/>
  <c r="O1017" i="9" s="1"/>
  <c r="N1016" i="9"/>
  <c r="O1016" i="9" s="1"/>
  <c r="N1015" i="9"/>
  <c r="O1015" i="9" s="1"/>
  <c r="N1014" i="9"/>
  <c r="O1014" i="9" s="1"/>
  <c r="N1013" i="9"/>
  <c r="O1013" i="9" s="1"/>
  <c r="N1012" i="9"/>
  <c r="O1012" i="9" s="1"/>
  <c r="N1011" i="9"/>
  <c r="O1011" i="9" s="1"/>
  <c r="N1010" i="9"/>
  <c r="O1010" i="9" s="1"/>
  <c r="N1009" i="9"/>
  <c r="O1009" i="9" s="1"/>
  <c r="N1008" i="9"/>
  <c r="O1008" i="9" s="1"/>
  <c r="N1007" i="9"/>
  <c r="O1007" i="9" s="1"/>
  <c r="N1006" i="9"/>
  <c r="O1006" i="9" s="1"/>
  <c r="N1005" i="9"/>
  <c r="O1005" i="9" s="1"/>
  <c r="N1004" i="9"/>
  <c r="O1004" i="9" s="1"/>
  <c r="N1003" i="9"/>
  <c r="O1003" i="9" s="1"/>
  <c r="N1002" i="9"/>
  <c r="O1002" i="9" s="1"/>
  <c r="N1001" i="9"/>
  <c r="O1001" i="9" s="1"/>
  <c r="N1000" i="9"/>
  <c r="O1000" i="9" s="1"/>
  <c r="N999" i="9"/>
  <c r="O999" i="9" s="1"/>
  <c r="N998" i="9"/>
  <c r="O998" i="9" s="1"/>
  <c r="N997" i="9"/>
  <c r="O997" i="9" s="1"/>
  <c r="N996" i="9"/>
  <c r="O996" i="9" s="1"/>
  <c r="N995" i="9"/>
  <c r="O995" i="9" s="1"/>
  <c r="N994" i="9"/>
  <c r="O994" i="9" s="1"/>
  <c r="N993" i="9"/>
  <c r="O993" i="9" s="1"/>
  <c r="N992" i="9"/>
  <c r="O992" i="9" s="1"/>
  <c r="N991" i="9"/>
  <c r="O991" i="9" s="1"/>
  <c r="N990" i="9"/>
  <c r="O990" i="9" s="1"/>
  <c r="N989" i="9"/>
  <c r="O989" i="9" s="1"/>
  <c r="N988" i="9"/>
  <c r="O988" i="9" s="1"/>
  <c r="N987" i="9"/>
  <c r="O987" i="9" s="1"/>
  <c r="N986" i="9"/>
  <c r="O986" i="9" s="1"/>
  <c r="N985" i="9"/>
  <c r="O985" i="9" s="1"/>
  <c r="N984" i="9"/>
  <c r="O984" i="9" s="1"/>
  <c r="N983" i="9"/>
  <c r="O983" i="9" s="1"/>
  <c r="N982" i="9"/>
  <c r="O982" i="9" s="1"/>
  <c r="N981" i="9"/>
  <c r="O981" i="9" s="1"/>
  <c r="N980" i="9"/>
  <c r="O980" i="9" s="1"/>
  <c r="N979" i="9"/>
  <c r="O979" i="9" s="1"/>
  <c r="N978" i="9"/>
  <c r="O978" i="9" s="1"/>
  <c r="N977" i="9"/>
  <c r="O977" i="9" s="1"/>
  <c r="N976" i="9"/>
  <c r="O976" i="9" s="1"/>
  <c r="N975" i="9"/>
  <c r="O975" i="9" s="1"/>
  <c r="N974" i="9"/>
  <c r="O974" i="9" s="1"/>
  <c r="N973" i="9"/>
  <c r="O973" i="9" s="1"/>
  <c r="N972" i="9"/>
  <c r="O972" i="9" s="1"/>
  <c r="N971" i="9"/>
  <c r="O971" i="9" s="1"/>
  <c r="N970" i="9"/>
  <c r="O970" i="9" s="1"/>
  <c r="N969" i="9"/>
  <c r="O969" i="9" s="1"/>
  <c r="N968" i="9"/>
  <c r="O968" i="9" s="1"/>
  <c r="N967" i="9"/>
  <c r="O967" i="9" s="1"/>
  <c r="N966" i="9"/>
  <c r="O966" i="9" s="1"/>
  <c r="N965" i="9"/>
  <c r="O965" i="9" s="1"/>
  <c r="N964" i="9"/>
  <c r="O964" i="9" s="1"/>
  <c r="N963" i="9"/>
  <c r="O963" i="9" s="1"/>
  <c r="N962" i="9"/>
  <c r="O962" i="9" s="1"/>
  <c r="N961" i="9"/>
  <c r="O961" i="9" s="1"/>
  <c r="N960" i="9"/>
  <c r="O960" i="9" s="1"/>
  <c r="N959" i="9"/>
  <c r="O959" i="9" s="1"/>
  <c r="N958" i="9"/>
  <c r="O958" i="9" s="1"/>
  <c r="N957" i="9"/>
  <c r="O957" i="9" s="1"/>
  <c r="N956" i="9"/>
  <c r="O956" i="9" s="1"/>
  <c r="N955" i="9"/>
  <c r="O955" i="9" s="1"/>
  <c r="N954" i="9"/>
  <c r="O954" i="9" s="1"/>
  <c r="N953" i="9"/>
  <c r="O953" i="9" s="1"/>
  <c r="N952" i="9"/>
  <c r="O952" i="9" s="1"/>
  <c r="N951" i="9"/>
  <c r="O951" i="9" s="1"/>
  <c r="N950" i="9"/>
  <c r="O950" i="9" s="1"/>
  <c r="N949" i="9"/>
  <c r="O949" i="9" s="1"/>
  <c r="N948" i="9"/>
  <c r="O948" i="9" s="1"/>
  <c r="N947" i="9"/>
  <c r="O947" i="9" s="1"/>
  <c r="N946" i="9"/>
  <c r="O946" i="9" s="1"/>
  <c r="N945" i="9"/>
  <c r="O945" i="9" s="1"/>
  <c r="N944" i="9"/>
  <c r="O944" i="9" s="1"/>
  <c r="N943" i="9"/>
  <c r="O943" i="9" s="1"/>
  <c r="N942" i="9"/>
  <c r="O942" i="9" s="1"/>
  <c r="N941" i="9"/>
  <c r="O941" i="9" s="1"/>
  <c r="N940" i="9"/>
  <c r="O940" i="9" s="1"/>
  <c r="N939" i="9"/>
  <c r="O939" i="9" s="1"/>
  <c r="N938" i="9"/>
  <c r="O938" i="9" s="1"/>
  <c r="N937" i="9"/>
  <c r="O937" i="9" s="1"/>
  <c r="N936" i="9"/>
  <c r="O936" i="9" s="1"/>
  <c r="N935" i="9"/>
  <c r="O935" i="9" s="1"/>
  <c r="N934" i="9"/>
  <c r="O934" i="9" s="1"/>
  <c r="N933" i="9"/>
  <c r="O933" i="9" s="1"/>
  <c r="N932" i="9"/>
  <c r="O932" i="9" s="1"/>
  <c r="N931" i="9"/>
  <c r="O931" i="9" s="1"/>
  <c r="N930" i="9"/>
  <c r="O930" i="9" s="1"/>
  <c r="N929" i="9"/>
  <c r="O929" i="9" s="1"/>
  <c r="N928" i="9"/>
  <c r="O928" i="9" s="1"/>
  <c r="N927" i="9"/>
  <c r="O927" i="9" s="1"/>
  <c r="N926" i="9"/>
  <c r="O926" i="9" s="1"/>
  <c r="N925" i="9"/>
  <c r="O925" i="9" s="1"/>
  <c r="N924" i="9"/>
  <c r="O924" i="9" s="1"/>
  <c r="N923" i="9"/>
  <c r="O923" i="9" s="1"/>
  <c r="N922" i="9"/>
  <c r="O922" i="9" s="1"/>
  <c r="N921" i="9"/>
  <c r="O921" i="9" s="1"/>
  <c r="N920" i="9"/>
  <c r="O920" i="9" s="1"/>
  <c r="N919" i="9"/>
  <c r="O919" i="9" s="1"/>
  <c r="N918" i="9"/>
  <c r="O918" i="9" s="1"/>
  <c r="N917" i="9"/>
  <c r="O917" i="9" s="1"/>
  <c r="N916" i="9"/>
  <c r="O916" i="9" s="1"/>
  <c r="N915" i="9"/>
  <c r="O915" i="9" s="1"/>
  <c r="N914" i="9"/>
  <c r="O914" i="9" s="1"/>
  <c r="N913" i="9"/>
  <c r="O913" i="9" s="1"/>
  <c r="N912" i="9"/>
  <c r="O912" i="9" s="1"/>
  <c r="N911" i="9"/>
  <c r="O911" i="9" s="1"/>
  <c r="N910" i="9"/>
  <c r="O910" i="9" s="1"/>
  <c r="N909" i="9"/>
  <c r="O909" i="9" s="1"/>
  <c r="N908" i="9"/>
  <c r="O908" i="9" s="1"/>
  <c r="N907" i="9"/>
  <c r="O907" i="9" s="1"/>
  <c r="N906" i="9"/>
  <c r="O906" i="9" s="1"/>
  <c r="N905" i="9"/>
  <c r="O905" i="9" s="1"/>
  <c r="N904" i="9"/>
  <c r="O904" i="9" s="1"/>
  <c r="N903" i="9"/>
  <c r="O903" i="9" s="1"/>
  <c r="N902" i="9"/>
  <c r="O902" i="9" s="1"/>
  <c r="N901" i="9"/>
  <c r="O901" i="9" s="1"/>
  <c r="N900" i="9"/>
  <c r="O900" i="9" s="1"/>
  <c r="N899" i="9"/>
  <c r="O899" i="9" s="1"/>
  <c r="N898" i="9"/>
  <c r="O898" i="9" s="1"/>
  <c r="N897" i="9"/>
  <c r="O897" i="9" s="1"/>
  <c r="N896" i="9"/>
  <c r="O896" i="9" s="1"/>
  <c r="N895" i="9"/>
  <c r="O895" i="9" s="1"/>
  <c r="N894" i="9"/>
  <c r="O894" i="9" s="1"/>
  <c r="N893" i="9"/>
  <c r="O893" i="9" s="1"/>
  <c r="N892" i="9"/>
  <c r="O892" i="9" s="1"/>
  <c r="N891" i="9"/>
  <c r="O891" i="9" s="1"/>
  <c r="N890" i="9"/>
  <c r="O890" i="9" s="1"/>
  <c r="N889" i="9"/>
  <c r="O889" i="9" s="1"/>
  <c r="N888" i="9"/>
  <c r="O888" i="9" s="1"/>
  <c r="N887" i="9"/>
  <c r="O887" i="9" s="1"/>
  <c r="N886" i="9"/>
  <c r="O886" i="9" s="1"/>
  <c r="N885" i="9"/>
  <c r="O885" i="9" s="1"/>
  <c r="N884" i="9"/>
  <c r="O884" i="9" s="1"/>
  <c r="N883" i="9"/>
  <c r="O883" i="9" s="1"/>
  <c r="N882" i="9"/>
  <c r="O882" i="9" s="1"/>
  <c r="N881" i="9"/>
  <c r="O881" i="9" s="1"/>
  <c r="N880" i="9"/>
  <c r="O880" i="9" s="1"/>
  <c r="N879" i="9"/>
  <c r="O879" i="9" s="1"/>
  <c r="N878" i="9"/>
  <c r="O878" i="9" s="1"/>
  <c r="N877" i="9"/>
  <c r="O877" i="9" s="1"/>
  <c r="N876" i="9"/>
  <c r="O876" i="9" s="1"/>
  <c r="N875" i="9"/>
  <c r="O875" i="9" s="1"/>
  <c r="N874" i="9"/>
  <c r="O874" i="9" s="1"/>
  <c r="N873" i="9"/>
  <c r="O873" i="9" s="1"/>
  <c r="N872" i="9"/>
  <c r="O872" i="9" s="1"/>
  <c r="N871" i="9"/>
  <c r="O871" i="9" s="1"/>
  <c r="N870" i="9"/>
  <c r="O870" i="9" s="1"/>
  <c r="N869" i="9"/>
  <c r="O869" i="9" s="1"/>
  <c r="N868" i="9"/>
  <c r="O868" i="9" s="1"/>
  <c r="N867" i="9"/>
  <c r="O867" i="9" s="1"/>
  <c r="N866" i="9"/>
  <c r="O866" i="9" s="1"/>
  <c r="N865" i="9"/>
  <c r="O865" i="9" s="1"/>
  <c r="N864" i="9"/>
  <c r="O864" i="9" s="1"/>
  <c r="N863" i="9"/>
  <c r="O863" i="9" s="1"/>
  <c r="N862" i="9"/>
  <c r="O862" i="9" s="1"/>
  <c r="N861" i="9"/>
  <c r="O861" i="9" s="1"/>
  <c r="N860" i="9"/>
  <c r="O860" i="9" s="1"/>
  <c r="N859" i="9"/>
  <c r="O859" i="9" s="1"/>
  <c r="N858" i="9"/>
  <c r="O858" i="9" s="1"/>
  <c r="N857" i="9"/>
  <c r="O857" i="9" s="1"/>
  <c r="N856" i="9"/>
  <c r="O856" i="9" s="1"/>
  <c r="N855" i="9"/>
  <c r="O855" i="9" s="1"/>
  <c r="N854" i="9"/>
  <c r="O854" i="9" s="1"/>
  <c r="N853" i="9"/>
  <c r="O853" i="9" s="1"/>
  <c r="N852" i="9"/>
  <c r="O852" i="9" s="1"/>
  <c r="N851" i="9"/>
  <c r="O851" i="9" s="1"/>
  <c r="N850" i="9"/>
  <c r="O850" i="9" s="1"/>
  <c r="N849" i="9"/>
  <c r="O849" i="9" s="1"/>
  <c r="N848" i="9"/>
  <c r="O848" i="9" s="1"/>
  <c r="N847" i="9"/>
  <c r="O847" i="9" s="1"/>
  <c r="N846" i="9"/>
  <c r="O846" i="9" s="1"/>
  <c r="N845" i="9"/>
  <c r="O845" i="9" s="1"/>
  <c r="N844" i="9"/>
  <c r="O844" i="9" s="1"/>
  <c r="N843" i="9"/>
  <c r="O843" i="9" s="1"/>
  <c r="N842" i="9"/>
  <c r="O842" i="9" s="1"/>
  <c r="N841" i="9"/>
  <c r="O841" i="9" s="1"/>
  <c r="N840" i="9"/>
  <c r="O840" i="9" s="1"/>
  <c r="N839" i="9"/>
  <c r="O839" i="9" s="1"/>
  <c r="N838" i="9"/>
  <c r="O838" i="9" s="1"/>
  <c r="N837" i="9"/>
  <c r="O837" i="9" s="1"/>
  <c r="N836" i="9"/>
  <c r="O836" i="9" s="1"/>
  <c r="N835" i="9"/>
  <c r="O835" i="9" s="1"/>
  <c r="N834" i="9"/>
  <c r="O834" i="9" s="1"/>
  <c r="N833" i="9"/>
  <c r="O833" i="9" s="1"/>
  <c r="N832" i="9"/>
  <c r="O832" i="9" s="1"/>
  <c r="N831" i="9"/>
  <c r="O831" i="9" s="1"/>
  <c r="N830" i="9"/>
  <c r="O830" i="9" s="1"/>
  <c r="N829" i="9"/>
  <c r="O829" i="9" s="1"/>
  <c r="N828" i="9"/>
  <c r="O828" i="9" s="1"/>
  <c r="N827" i="9"/>
  <c r="O827" i="9" s="1"/>
  <c r="N826" i="9"/>
  <c r="O826" i="9" s="1"/>
  <c r="N825" i="9"/>
  <c r="O825" i="9" s="1"/>
  <c r="N824" i="9"/>
  <c r="O824" i="9" s="1"/>
  <c r="N823" i="9"/>
  <c r="O823" i="9" s="1"/>
  <c r="N822" i="9"/>
  <c r="O822" i="9" s="1"/>
  <c r="N821" i="9"/>
  <c r="O821" i="9" s="1"/>
  <c r="N820" i="9"/>
  <c r="O820" i="9" s="1"/>
  <c r="N819" i="9"/>
  <c r="O819" i="9" s="1"/>
  <c r="N818" i="9"/>
  <c r="O818" i="9" s="1"/>
  <c r="N817" i="9"/>
  <c r="O817" i="9" s="1"/>
  <c r="N816" i="9"/>
  <c r="O816" i="9" s="1"/>
  <c r="N815" i="9"/>
  <c r="O815" i="9" s="1"/>
  <c r="N814" i="9"/>
  <c r="O814" i="9" s="1"/>
  <c r="N813" i="9"/>
  <c r="O813" i="9" s="1"/>
  <c r="N812" i="9"/>
  <c r="O812" i="9" s="1"/>
  <c r="N811" i="9"/>
  <c r="O811" i="9" s="1"/>
  <c r="N810" i="9"/>
  <c r="O810" i="9" s="1"/>
  <c r="N809" i="9"/>
  <c r="O809" i="9" s="1"/>
  <c r="N808" i="9"/>
  <c r="O808" i="9" s="1"/>
  <c r="N807" i="9"/>
  <c r="O807" i="9" s="1"/>
  <c r="N806" i="9"/>
  <c r="O806" i="9" s="1"/>
  <c r="N805" i="9"/>
  <c r="O805" i="9" s="1"/>
  <c r="N804" i="9"/>
  <c r="O804" i="9" s="1"/>
  <c r="N803" i="9"/>
  <c r="O803" i="9" s="1"/>
  <c r="N802" i="9"/>
  <c r="O802" i="9" s="1"/>
  <c r="N801" i="9"/>
  <c r="O801" i="9" s="1"/>
  <c r="N800" i="9"/>
  <c r="O800" i="9" s="1"/>
  <c r="N799" i="9"/>
  <c r="O799" i="9" s="1"/>
  <c r="N798" i="9"/>
  <c r="O798" i="9" s="1"/>
  <c r="N797" i="9"/>
  <c r="O797" i="9" s="1"/>
  <c r="N796" i="9"/>
  <c r="O796" i="9" s="1"/>
  <c r="N795" i="9"/>
  <c r="O795" i="9" s="1"/>
  <c r="N794" i="9"/>
  <c r="O794" i="9" s="1"/>
  <c r="N793" i="9"/>
  <c r="O793" i="9" s="1"/>
  <c r="N792" i="9"/>
  <c r="O792" i="9" s="1"/>
  <c r="N791" i="9"/>
  <c r="O791" i="9" s="1"/>
  <c r="N790" i="9"/>
  <c r="O790" i="9" s="1"/>
  <c r="N789" i="9"/>
  <c r="O789" i="9" s="1"/>
  <c r="N788" i="9"/>
  <c r="O788" i="9" s="1"/>
  <c r="N787" i="9"/>
  <c r="O787" i="9" s="1"/>
  <c r="N786" i="9"/>
  <c r="O786" i="9" s="1"/>
  <c r="N785" i="9"/>
  <c r="O785" i="9" s="1"/>
  <c r="N784" i="9"/>
  <c r="O784" i="9" s="1"/>
  <c r="N783" i="9"/>
  <c r="O783" i="9" s="1"/>
  <c r="N782" i="9"/>
  <c r="O782" i="9" s="1"/>
  <c r="N781" i="9"/>
  <c r="O781" i="9" s="1"/>
  <c r="N780" i="9"/>
  <c r="O780" i="9" s="1"/>
  <c r="N779" i="9"/>
  <c r="O779" i="9" s="1"/>
  <c r="N778" i="9"/>
  <c r="O778" i="9" s="1"/>
  <c r="N777" i="9"/>
  <c r="O777" i="9" s="1"/>
  <c r="N776" i="9"/>
  <c r="O776" i="9" s="1"/>
  <c r="N775" i="9"/>
  <c r="O775" i="9" s="1"/>
  <c r="N774" i="9"/>
  <c r="O774" i="9" s="1"/>
  <c r="N773" i="9"/>
  <c r="O773" i="9" s="1"/>
  <c r="N772" i="9"/>
  <c r="O772" i="9" s="1"/>
  <c r="N771" i="9"/>
  <c r="O771" i="9" s="1"/>
  <c r="N770" i="9"/>
  <c r="O770" i="9" s="1"/>
  <c r="N769" i="9"/>
  <c r="O769" i="9" s="1"/>
  <c r="N768" i="9"/>
  <c r="O768" i="9" s="1"/>
  <c r="N767" i="9"/>
  <c r="O767" i="9" s="1"/>
  <c r="N766" i="9"/>
  <c r="O766" i="9" s="1"/>
  <c r="N765" i="9"/>
  <c r="O765" i="9" s="1"/>
  <c r="N764" i="9"/>
  <c r="O764" i="9" s="1"/>
  <c r="N763" i="9"/>
  <c r="O763" i="9" s="1"/>
  <c r="N762" i="9"/>
  <c r="O762" i="9" s="1"/>
  <c r="N761" i="9"/>
  <c r="O761" i="9" s="1"/>
  <c r="N760" i="9"/>
  <c r="O760" i="9" s="1"/>
  <c r="N759" i="9"/>
  <c r="O759" i="9" s="1"/>
  <c r="N758" i="9"/>
  <c r="O758" i="9" s="1"/>
  <c r="N757" i="9"/>
  <c r="O757" i="9" s="1"/>
  <c r="N756" i="9"/>
  <c r="O756" i="9" s="1"/>
  <c r="N755" i="9"/>
  <c r="O755" i="9" s="1"/>
  <c r="N754" i="9"/>
  <c r="O754" i="9" s="1"/>
  <c r="N753" i="9"/>
  <c r="O753" i="9" s="1"/>
  <c r="N752" i="9"/>
  <c r="O752" i="9" s="1"/>
  <c r="N751" i="9"/>
  <c r="O751" i="9" s="1"/>
  <c r="N750" i="9"/>
  <c r="O750" i="9" s="1"/>
  <c r="N749" i="9"/>
  <c r="O749" i="9" s="1"/>
  <c r="N748" i="9"/>
  <c r="O748" i="9" s="1"/>
  <c r="N747" i="9"/>
  <c r="O747" i="9" s="1"/>
  <c r="N746" i="9"/>
  <c r="O746" i="9" s="1"/>
  <c r="N745" i="9"/>
  <c r="O745" i="9" s="1"/>
  <c r="N744" i="9"/>
  <c r="O744" i="9" s="1"/>
  <c r="N743" i="9"/>
  <c r="O743" i="9" s="1"/>
  <c r="N742" i="9"/>
  <c r="O742" i="9" s="1"/>
  <c r="N741" i="9"/>
  <c r="O741" i="9" s="1"/>
  <c r="N740" i="9"/>
  <c r="O740" i="9" s="1"/>
  <c r="N739" i="9"/>
  <c r="O739" i="9" s="1"/>
  <c r="N738" i="9"/>
  <c r="O738" i="9" s="1"/>
  <c r="N737" i="9"/>
  <c r="O737" i="9" s="1"/>
  <c r="N736" i="9"/>
  <c r="O736" i="9" s="1"/>
  <c r="N735" i="9"/>
  <c r="O735" i="9" s="1"/>
  <c r="N734" i="9"/>
  <c r="O734" i="9" s="1"/>
  <c r="N733" i="9"/>
  <c r="O733" i="9" s="1"/>
  <c r="N732" i="9"/>
  <c r="O732" i="9" s="1"/>
  <c r="N731" i="9"/>
  <c r="O731" i="9" s="1"/>
  <c r="N730" i="9"/>
  <c r="O730" i="9" s="1"/>
  <c r="N729" i="9"/>
  <c r="O729" i="9" s="1"/>
  <c r="N728" i="9"/>
  <c r="O728" i="9" s="1"/>
  <c r="N727" i="9"/>
  <c r="O727" i="9" s="1"/>
  <c r="N726" i="9"/>
  <c r="O726" i="9" s="1"/>
  <c r="N725" i="9"/>
  <c r="O725" i="9" s="1"/>
  <c r="N724" i="9"/>
  <c r="O724" i="9" s="1"/>
  <c r="N723" i="9"/>
  <c r="O723" i="9" s="1"/>
  <c r="N722" i="9"/>
  <c r="O722" i="9" s="1"/>
  <c r="N721" i="9"/>
  <c r="O721" i="9" s="1"/>
  <c r="N720" i="9"/>
  <c r="O720" i="9" s="1"/>
  <c r="N719" i="9"/>
  <c r="O719" i="9" s="1"/>
  <c r="N718" i="9"/>
  <c r="O718" i="9" s="1"/>
  <c r="N717" i="9"/>
  <c r="O717" i="9" s="1"/>
  <c r="N716" i="9"/>
  <c r="O716" i="9" s="1"/>
  <c r="N715" i="9"/>
  <c r="O715" i="9" s="1"/>
  <c r="N714" i="9"/>
  <c r="O714" i="9" s="1"/>
  <c r="N713" i="9"/>
  <c r="O713" i="9" s="1"/>
  <c r="N712" i="9"/>
  <c r="O712" i="9" s="1"/>
  <c r="N711" i="9"/>
  <c r="O711" i="9" s="1"/>
  <c r="N710" i="9"/>
  <c r="O710" i="9" s="1"/>
  <c r="N709" i="9"/>
  <c r="O709" i="9" s="1"/>
  <c r="N708" i="9"/>
  <c r="O708" i="9" s="1"/>
  <c r="N707" i="9"/>
  <c r="O707" i="9" s="1"/>
  <c r="N706" i="9"/>
  <c r="O706" i="9" s="1"/>
  <c r="N705" i="9"/>
  <c r="O705" i="9" s="1"/>
  <c r="N704" i="9"/>
  <c r="O704" i="9" s="1"/>
  <c r="N703" i="9"/>
  <c r="O703" i="9" s="1"/>
  <c r="N702" i="9"/>
  <c r="O702" i="9" s="1"/>
  <c r="N701" i="9"/>
  <c r="O701" i="9" s="1"/>
  <c r="N700" i="9"/>
  <c r="O700" i="9" s="1"/>
  <c r="N699" i="9"/>
  <c r="O699" i="9" s="1"/>
  <c r="N698" i="9"/>
  <c r="O698" i="9" s="1"/>
  <c r="N697" i="9"/>
  <c r="O697" i="9" s="1"/>
  <c r="N696" i="9"/>
  <c r="O696" i="9" s="1"/>
  <c r="N695" i="9"/>
  <c r="O695" i="9" s="1"/>
  <c r="N694" i="9"/>
  <c r="O694" i="9" s="1"/>
  <c r="N693" i="9"/>
  <c r="O693" i="9" s="1"/>
  <c r="N692" i="9"/>
  <c r="O692" i="9" s="1"/>
  <c r="N691" i="9"/>
  <c r="O691" i="9" s="1"/>
  <c r="N690" i="9"/>
  <c r="O690" i="9" s="1"/>
  <c r="N689" i="9"/>
  <c r="O689" i="9" s="1"/>
  <c r="N688" i="9"/>
  <c r="O688" i="9" s="1"/>
  <c r="N687" i="9"/>
  <c r="O687" i="9" s="1"/>
  <c r="N686" i="9"/>
  <c r="O686" i="9" s="1"/>
  <c r="N685" i="9"/>
  <c r="O685" i="9" s="1"/>
  <c r="N684" i="9"/>
  <c r="O684" i="9" s="1"/>
  <c r="N683" i="9"/>
  <c r="O683" i="9" s="1"/>
  <c r="N682" i="9"/>
  <c r="O682" i="9" s="1"/>
  <c r="N681" i="9"/>
  <c r="O681" i="9" s="1"/>
  <c r="N680" i="9"/>
  <c r="O680" i="9" s="1"/>
  <c r="N679" i="9"/>
  <c r="O679" i="9" s="1"/>
  <c r="N678" i="9"/>
  <c r="O678" i="9" s="1"/>
  <c r="N677" i="9"/>
  <c r="O677" i="9" s="1"/>
  <c r="N676" i="9"/>
  <c r="O676" i="9" s="1"/>
  <c r="N675" i="9"/>
  <c r="O675" i="9" s="1"/>
  <c r="N674" i="9"/>
  <c r="O674" i="9" s="1"/>
  <c r="N673" i="9"/>
  <c r="O673" i="9" s="1"/>
  <c r="N672" i="9"/>
  <c r="O672" i="9" s="1"/>
  <c r="N671" i="9"/>
  <c r="O671" i="9" s="1"/>
  <c r="N670" i="9"/>
  <c r="O670" i="9" s="1"/>
  <c r="N669" i="9"/>
  <c r="O669" i="9" s="1"/>
  <c r="N668" i="9"/>
  <c r="O668" i="9" s="1"/>
  <c r="N667" i="9"/>
  <c r="O667" i="9" s="1"/>
  <c r="N666" i="9"/>
  <c r="O666" i="9" s="1"/>
  <c r="N665" i="9"/>
  <c r="O665" i="9" s="1"/>
  <c r="N664" i="9"/>
  <c r="O664" i="9" s="1"/>
  <c r="N663" i="9"/>
  <c r="O663" i="9" s="1"/>
  <c r="N662" i="9"/>
  <c r="O662" i="9" s="1"/>
  <c r="N661" i="9"/>
  <c r="O661" i="9" s="1"/>
  <c r="N660" i="9"/>
  <c r="O660" i="9" s="1"/>
  <c r="N659" i="9"/>
  <c r="O659" i="9" s="1"/>
  <c r="N658" i="9"/>
  <c r="O658" i="9" s="1"/>
  <c r="N657" i="9"/>
  <c r="O657" i="9" s="1"/>
  <c r="N656" i="9"/>
  <c r="O656" i="9" s="1"/>
  <c r="N655" i="9"/>
  <c r="O655" i="9" s="1"/>
  <c r="N654" i="9"/>
  <c r="O654" i="9" s="1"/>
  <c r="N653" i="9"/>
  <c r="O653" i="9" s="1"/>
  <c r="N652" i="9"/>
  <c r="O652" i="9" s="1"/>
  <c r="N651" i="9"/>
  <c r="O651" i="9" s="1"/>
  <c r="N650" i="9"/>
  <c r="O650" i="9" s="1"/>
  <c r="N649" i="9"/>
  <c r="O649" i="9" s="1"/>
  <c r="N648" i="9"/>
  <c r="O648" i="9" s="1"/>
  <c r="N647" i="9"/>
  <c r="O647" i="9" s="1"/>
  <c r="N646" i="9"/>
  <c r="O646" i="9" s="1"/>
  <c r="N645" i="9"/>
  <c r="O645" i="9" s="1"/>
  <c r="N644" i="9"/>
  <c r="O644" i="9" s="1"/>
  <c r="N643" i="9"/>
  <c r="O643" i="9" s="1"/>
  <c r="N642" i="9"/>
  <c r="O642" i="9" s="1"/>
  <c r="N641" i="9"/>
  <c r="O641" i="9" s="1"/>
  <c r="N640" i="9"/>
  <c r="O640" i="9" s="1"/>
  <c r="N639" i="9"/>
  <c r="O639" i="9" s="1"/>
  <c r="N638" i="9"/>
  <c r="O638" i="9" s="1"/>
  <c r="N637" i="9"/>
  <c r="O637" i="9" s="1"/>
  <c r="N636" i="9"/>
  <c r="O636" i="9" s="1"/>
  <c r="N635" i="9"/>
  <c r="O635" i="9" s="1"/>
  <c r="N634" i="9"/>
  <c r="O634" i="9" s="1"/>
  <c r="N633" i="9"/>
  <c r="O633" i="9" s="1"/>
  <c r="N632" i="9"/>
  <c r="O632" i="9" s="1"/>
  <c r="N631" i="9"/>
  <c r="O631" i="9" s="1"/>
  <c r="N630" i="9"/>
  <c r="O630" i="9" s="1"/>
  <c r="N629" i="9"/>
  <c r="O629" i="9" s="1"/>
  <c r="N628" i="9"/>
  <c r="O628" i="9" s="1"/>
  <c r="N627" i="9"/>
  <c r="O627" i="9" s="1"/>
  <c r="N626" i="9"/>
  <c r="O626" i="9" s="1"/>
  <c r="N625" i="9"/>
  <c r="O625" i="9" s="1"/>
  <c r="N624" i="9"/>
  <c r="O624" i="9" s="1"/>
  <c r="N623" i="9"/>
  <c r="O623" i="9" s="1"/>
  <c r="N622" i="9"/>
  <c r="O622" i="9" s="1"/>
  <c r="N621" i="9"/>
  <c r="O621" i="9" s="1"/>
  <c r="N620" i="9"/>
  <c r="O620" i="9" s="1"/>
  <c r="N619" i="9"/>
  <c r="O619" i="9" s="1"/>
  <c r="N618" i="9"/>
  <c r="O618" i="9" s="1"/>
  <c r="N617" i="9"/>
  <c r="O617" i="9" s="1"/>
  <c r="N616" i="9"/>
  <c r="O616" i="9" s="1"/>
  <c r="N615" i="9"/>
  <c r="O615" i="9" s="1"/>
  <c r="N614" i="9"/>
  <c r="O614" i="9" s="1"/>
  <c r="N613" i="9"/>
  <c r="O613" i="9" s="1"/>
  <c r="N612" i="9"/>
  <c r="O612" i="9" s="1"/>
  <c r="N611" i="9"/>
  <c r="O611" i="9" s="1"/>
  <c r="N610" i="9"/>
  <c r="O610" i="9" s="1"/>
  <c r="N609" i="9"/>
  <c r="O609" i="9" s="1"/>
  <c r="N608" i="9"/>
  <c r="O608" i="9" s="1"/>
  <c r="N607" i="9"/>
  <c r="O607" i="9" s="1"/>
  <c r="N606" i="9"/>
  <c r="O606" i="9" s="1"/>
  <c r="N605" i="9"/>
  <c r="O605" i="9" s="1"/>
  <c r="N604" i="9"/>
  <c r="O604" i="9" s="1"/>
  <c r="N603" i="9"/>
  <c r="O603" i="9" s="1"/>
  <c r="N602" i="9"/>
  <c r="O602" i="9" s="1"/>
  <c r="N601" i="9"/>
  <c r="O601" i="9" s="1"/>
  <c r="N600" i="9"/>
  <c r="O600" i="9" s="1"/>
  <c r="N599" i="9"/>
  <c r="O599" i="9" s="1"/>
  <c r="N598" i="9"/>
  <c r="O598" i="9" s="1"/>
  <c r="N597" i="9"/>
  <c r="O597" i="9" s="1"/>
  <c r="N596" i="9"/>
  <c r="O596" i="9" s="1"/>
  <c r="N595" i="9"/>
  <c r="O595" i="9" s="1"/>
  <c r="N594" i="9"/>
  <c r="O594" i="9" s="1"/>
  <c r="N593" i="9"/>
  <c r="O593" i="9" s="1"/>
  <c r="N592" i="9"/>
  <c r="O592" i="9" s="1"/>
  <c r="N591" i="9"/>
  <c r="O591" i="9" s="1"/>
  <c r="N590" i="9"/>
  <c r="O590" i="9" s="1"/>
  <c r="N589" i="9"/>
  <c r="O589" i="9" s="1"/>
  <c r="N588" i="9"/>
  <c r="O588" i="9" s="1"/>
  <c r="N587" i="9"/>
  <c r="O587" i="9" s="1"/>
  <c r="N586" i="9"/>
  <c r="O586" i="9" s="1"/>
  <c r="N585" i="9"/>
  <c r="O585" i="9" s="1"/>
  <c r="N584" i="9"/>
  <c r="O584" i="9" s="1"/>
  <c r="N583" i="9"/>
  <c r="O583" i="9" s="1"/>
  <c r="N582" i="9"/>
  <c r="O582" i="9" s="1"/>
  <c r="N581" i="9"/>
  <c r="O581" i="9" s="1"/>
  <c r="N580" i="9"/>
  <c r="O580" i="9" s="1"/>
  <c r="N579" i="9"/>
  <c r="O579" i="9" s="1"/>
  <c r="N578" i="9"/>
  <c r="O578" i="9" s="1"/>
  <c r="N577" i="9"/>
  <c r="O577" i="9" s="1"/>
  <c r="N576" i="9"/>
  <c r="O576" i="9" s="1"/>
  <c r="N575" i="9"/>
  <c r="O575" i="9" s="1"/>
  <c r="N574" i="9"/>
  <c r="O574" i="9" s="1"/>
  <c r="N573" i="9"/>
  <c r="O573" i="9" s="1"/>
  <c r="N572" i="9"/>
  <c r="O572" i="9" s="1"/>
  <c r="N571" i="9"/>
  <c r="O571" i="9" s="1"/>
  <c r="N570" i="9"/>
  <c r="O570" i="9" s="1"/>
  <c r="N569" i="9"/>
  <c r="O569" i="9" s="1"/>
  <c r="N568" i="9"/>
  <c r="O568" i="9" s="1"/>
  <c r="N567" i="9"/>
  <c r="O567" i="9" s="1"/>
  <c r="N566" i="9"/>
  <c r="O566" i="9" s="1"/>
  <c r="N565" i="9"/>
  <c r="O565" i="9" s="1"/>
  <c r="N564" i="9"/>
  <c r="O564" i="9" s="1"/>
  <c r="N563" i="9"/>
  <c r="O563" i="9" s="1"/>
  <c r="N562" i="9"/>
  <c r="O562" i="9" s="1"/>
  <c r="N561" i="9"/>
  <c r="O561" i="9" s="1"/>
  <c r="N560" i="9"/>
  <c r="O560" i="9" s="1"/>
  <c r="N559" i="9"/>
  <c r="O559" i="9" s="1"/>
  <c r="N558" i="9"/>
  <c r="O558" i="9" s="1"/>
  <c r="N557" i="9"/>
  <c r="O557" i="9" s="1"/>
  <c r="N556" i="9"/>
  <c r="O556" i="9" s="1"/>
  <c r="N555" i="9"/>
  <c r="O555" i="9" s="1"/>
  <c r="N554" i="9"/>
  <c r="O554" i="9" s="1"/>
  <c r="N553" i="9"/>
  <c r="O553" i="9" s="1"/>
  <c r="N552" i="9"/>
  <c r="O552" i="9" s="1"/>
  <c r="N551" i="9"/>
  <c r="O551" i="9" s="1"/>
  <c r="N550" i="9"/>
  <c r="O550" i="9" s="1"/>
  <c r="N549" i="9"/>
  <c r="O549" i="9" s="1"/>
  <c r="N548" i="9"/>
  <c r="O548" i="9" s="1"/>
  <c r="N547" i="9"/>
  <c r="O547" i="9" s="1"/>
  <c r="N546" i="9"/>
  <c r="O546" i="9" s="1"/>
  <c r="N545" i="9"/>
  <c r="O545" i="9" s="1"/>
  <c r="N544" i="9"/>
  <c r="O544" i="9" s="1"/>
  <c r="N543" i="9"/>
  <c r="O543" i="9" s="1"/>
  <c r="N542" i="9"/>
  <c r="O542" i="9" s="1"/>
  <c r="N541" i="9"/>
  <c r="O541" i="9" s="1"/>
  <c r="N540" i="9"/>
  <c r="O540" i="9" s="1"/>
  <c r="N539" i="9"/>
  <c r="O539" i="9" s="1"/>
  <c r="N538" i="9"/>
  <c r="O538" i="9" s="1"/>
  <c r="N537" i="9"/>
  <c r="O537" i="9" s="1"/>
  <c r="N536" i="9"/>
  <c r="O536" i="9" s="1"/>
  <c r="N535" i="9"/>
  <c r="O535" i="9" s="1"/>
  <c r="N534" i="9"/>
  <c r="O534" i="9" s="1"/>
  <c r="N533" i="9"/>
  <c r="O533" i="9" s="1"/>
  <c r="N532" i="9"/>
  <c r="O532" i="9" s="1"/>
  <c r="N531" i="9"/>
  <c r="O531" i="9" s="1"/>
  <c r="N530" i="9"/>
  <c r="O530" i="9" s="1"/>
  <c r="N529" i="9"/>
  <c r="O529" i="9" s="1"/>
  <c r="N528" i="9"/>
  <c r="O528" i="9" s="1"/>
  <c r="N527" i="9"/>
  <c r="O527" i="9" s="1"/>
  <c r="N526" i="9"/>
  <c r="O526" i="9" s="1"/>
  <c r="N525" i="9"/>
  <c r="O525" i="9" s="1"/>
  <c r="N524" i="9"/>
  <c r="O524" i="9" s="1"/>
  <c r="N523" i="9"/>
  <c r="O523" i="9" s="1"/>
  <c r="N522" i="9"/>
  <c r="O522" i="9" s="1"/>
  <c r="N521" i="9"/>
  <c r="O521" i="9" s="1"/>
  <c r="N520" i="9"/>
  <c r="O520" i="9" s="1"/>
  <c r="N519" i="9"/>
  <c r="O519" i="9" s="1"/>
  <c r="N518" i="9"/>
  <c r="O518" i="9" s="1"/>
  <c r="N517" i="9"/>
  <c r="O517" i="9" s="1"/>
  <c r="N516" i="9"/>
  <c r="O516" i="9" s="1"/>
  <c r="N515" i="9"/>
  <c r="O515" i="9" s="1"/>
  <c r="N514" i="9"/>
  <c r="O514" i="9" s="1"/>
  <c r="N513" i="9"/>
  <c r="O513" i="9" s="1"/>
  <c r="N512" i="9"/>
  <c r="O512" i="9" s="1"/>
  <c r="N511" i="9"/>
  <c r="O511" i="9" s="1"/>
  <c r="N510" i="9"/>
  <c r="O510" i="9" s="1"/>
  <c r="N509" i="9"/>
  <c r="O509" i="9" s="1"/>
  <c r="N508" i="9"/>
  <c r="O508" i="9" s="1"/>
  <c r="N507" i="9"/>
  <c r="O507" i="9" s="1"/>
  <c r="N506" i="9"/>
  <c r="O506" i="9" s="1"/>
  <c r="N505" i="9"/>
  <c r="O505" i="9" s="1"/>
  <c r="N504" i="9"/>
  <c r="O504" i="9" s="1"/>
  <c r="N503" i="9"/>
  <c r="O503" i="9" s="1"/>
  <c r="N502" i="9"/>
  <c r="O502" i="9" s="1"/>
  <c r="N501" i="9"/>
  <c r="O501" i="9" s="1"/>
  <c r="N500" i="9"/>
  <c r="O500" i="9" s="1"/>
  <c r="N499" i="9"/>
  <c r="O499" i="9" s="1"/>
  <c r="N498" i="9"/>
  <c r="O498" i="9" s="1"/>
  <c r="N497" i="9"/>
  <c r="O497" i="9" s="1"/>
  <c r="N496" i="9"/>
  <c r="O496" i="9" s="1"/>
  <c r="N495" i="9"/>
  <c r="O495" i="9" s="1"/>
  <c r="N494" i="9"/>
  <c r="O494" i="9" s="1"/>
  <c r="N493" i="9"/>
  <c r="O493" i="9" s="1"/>
  <c r="N492" i="9"/>
  <c r="O492" i="9" s="1"/>
  <c r="N491" i="9"/>
  <c r="O491" i="9" s="1"/>
  <c r="N490" i="9"/>
  <c r="O490" i="9" s="1"/>
  <c r="N489" i="9"/>
  <c r="O489" i="9" s="1"/>
  <c r="N488" i="9"/>
  <c r="O488" i="9" s="1"/>
  <c r="N487" i="9"/>
  <c r="O487" i="9" s="1"/>
  <c r="N486" i="9"/>
  <c r="O486" i="9" s="1"/>
  <c r="N485" i="9"/>
  <c r="O485" i="9" s="1"/>
  <c r="N484" i="9"/>
  <c r="O484" i="9" s="1"/>
  <c r="N483" i="9"/>
  <c r="O483" i="9" s="1"/>
  <c r="N482" i="9"/>
  <c r="O482" i="9" s="1"/>
  <c r="N481" i="9"/>
  <c r="O481" i="9" s="1"/>
  <c r="N480" i="9"/>
  <c r="O480" i="9" s="1"/>
  <c r="N479" i="9"/>
  <c r="O479" i="9" s="1"/>
  <c r="N478" i="9"/>
  <c r="O478" i="9" s="1"/>
  <c r="N477" i="9"/>
  <c r="O477" i="9" s="1"/>
  <c r="N476" i="9"/>
  <c r="O476" i="9" s="1"/>
  <c r="N475" i="9"/>
  <c r="O475" i="9" s="1"/>
  <c r="N474" i="9"/>
  <c r="O474" i="9" s="1"/>
  <c r="N473" i="9"/>
  <c r="O473" i="9" s="1"/>
  <c r="N472" i="9"/>
  <c r="O472" i="9" s="1"/>
  <c r="N471" i="9"/>
  <c r="O471" i="9" s="1"/>
  <c r="N470" i="9"/>
  <c r="O470" i="9" s="1"/>
  <c r="N469" i="9"/>
  <c r="O469" i="9" s="1"/>
  <c r="N468" i="9"/>
  <c r="O468" i="9" s="1"/>
  <c r="N467" i="9"/>
  <c r="O467" i="9" s="1"/>
  <c r="N466" i="9"/>
  <c r="O466" i="9" s="1"/>
  <c r="N465" i="9"/>
  <c r="O465" i="9" s="1"/>
  <c r="N464" i="9"/>
  <c r="O464" i="9" s="1"/>
  <c r="N463" i="9"/>
  <c r="O463" i="9" s="1"/>
  <c r="N462" i="9"/>
  <c r="O462" i="9" s="1"/>
  <c r="N461" i="9"/>
  <c r="O461" i="9" s="1"/>
  <c r="N460" i="9"/>
  <c r="O460" i="9" s="1"/>
  <c r="N459" i="9"/>
  <c r="O459" i="9" s="1"/>
  <c r="N458" i="9"/>
  <c r="O458" i="9" s="1"/>
  <c r="N457" i="9"/>
  <c r="O457" i="9" s="1"/>
  <c r="N456" i="9"/>
  <c r="O456" i="9" s="1"/>
  <c r="N455" i="9"/>
  <c r="O455" i="9" s="1"/>
  <c r="N454" i="9"/>
  <c r="O454" i="9" s="1"/>
  <c r="N453" i="9"/>
  <c r="O453" i="9" s="1"/>
  <c r="N452" i="9"/>
  <c r="O452" i="9" s="1"/>
  <c r="N451" i="9"/>
  <c r="O451" i="9" s="1"/>
  <c r="N450" i="9"/>
  <c r="O450" i="9" s="1"/>
  <c r="N449" i="9"/>
  <c r="O449" i="9" s="1"/>
  <c r="N448" i="9"/>
  <c r="O448" i="9" s="1"/>
  <c r="N447" i="9"/>
  <c r="O447" i="9" s="1"/>
  <c r="N446" i="9"/>
  <c r="O446" i="9" s="1"/>
  <c r="N445" i="9"/>
  <c r="O445" i="9" s="1"/>
  <c r="N444" i="9"/>
  <c r="O444" i="9" s="1"/>
  <c r="N443" i="9"/>
  <c r="O443" i="9" s="1"/>
  <c r="N442" i="9"/>
  <c r="O442" i="9" s="1"/>
  <c r="N441" i="9"/>
  <c r="O441" i="9" s="1"/>
  <c r="N440" i="9"/>
  <c r="O440" i="9" s="1"/>
  <c r="N439" i="9"/>
  <c r="O439" i="9" s="1"/>
  <c r="N438" i="9"/>
  <c r="O438" i="9" s="1"/>
  <c r="N437" i="9"/>
  <c r="O437" i="9" s="1"/>
  <c r="N436" i="9"/>
  <c r="O436" i="9" s="1"/>
  <c r="N435" i="9"/>
  <c r="O435" i="9" s="1"/>
  <c r="N434" i="9"/>
  <c r="O434" i="9" s="1"/>
  <c r="N433" i="9"/>
  <c r="O433" i="9" s="1"/>
  <c r="N432" i="9"/>
  <c r="O432" i="9" s="1"/>
  <c r="N431" i="9"/>
  <c r="O431" i="9" s="1"/>
  <c r="N430" i="9"/>
  <c r="O430" i="9" s="1"/>
  <c r="N429" i="9"/>
  <c r="O429" i="9" s="1"/>
  <c r="N428" i="9"/>
  <c r="O428" i="9" s="1"/>
  <c r="N427" i="9"/>
  <c r="O427" i="9" s="1"/>
  <c r="N426" i="9"/>
  <c r="O426" i="9" s="1"/>
  <c r="N425" i="9"/>
  <c r="O425" i="9" s="1"/>
  <c r="N424" i="9"/>
  <c r="O424" i="9" s="1"/>
  <c r="N423" i="9"/>
  <c r="O423" i="9" s="1"/>
  <c r="N422" i="9"/>
  <c r="O422" i="9" s="1"/>
  <c r="N421" i="9"/>
  <c r="O421" i="9" s="1"/>
  <c r="N420" i="9"/>
  <c r="O420" i="9" s="1"/>
  <c r="N419" i="9"/>
  <c r="O419" i="9" s="1"/>
  <c r="N418" i="9"/>
  <c r="O418" i="9" s="1"/>
  <c r="N417" i="9"/>
  <c r="O417" i="9" s="1"/>
  <c r="N416" i="9"/>
  <c r="O416" i="9" s="1"/>
  <c r="N415" i="9"/>
  <c r="O415" i="9" s="1"/>
  <c r="N414" i="9"/>
  <c r="O414" i="9" s="1"/>
  <c r="N413" i="9"/>
  <c r="O413" i="9" s="1"/>
  <c r="N412" i="9"/>
  <c r="O412" i="9" s="1"/>
  <c r="N411" i="9"/>
  <c r="O411" i="9" s="1"/>
  <c r="N410" i="9"/>
  <c r="O410" i="9" s="1"/>
  <c r="N409" i="9"/>
  <c r="O409" i="9" s="1"/>
  <c r="N408" i="9"/>
  <c r="O408" i="9" s="1"/>
  <c r="N407" i="9"/>
  <c r="O407" i="9" s="1"/>
  <c r="N406" i="9"/>
  <c r="O406" i="9" s="1"/>
  <c r="N405" i="9"/>
  <c r="O405" i="9" s="1"/>
  <c r="N404" i="9"/>
  <c r="O404" i="9" s="1"/>
  <c r="N403" i="9"/>
  <c r="O403" i="9" s="1"/>
  <c r="N402" i="9"/>
  <c r="O402" i="9" s="1"/>
  <c r="N401" i="9"/>
  <c r="O401" i="9" s="1"/>
  <c r="N400" i="9"/>
  <c r="O400" i="9" s="1"/>
  <c r="N399" i="9"/>
  <c r="O399" i="9" s="1"/>
  <c r="N398" i="9"/>
  <c r="O398" i="9" s="1"/>
  <c r="N397" i="9"/>
  <c r="O397" i="9" s="1"/>
  <c r="N396" i="9"/>
  <c r="O396" i="9" s="1"/>
  <c r="N395" i="9"/>
  <c r="O395" i="9" s="1"/>
  <c r="N394" i="9"/>
  <c r="O394" i="9" s="1"/>
  <c r="N393" i="9"/>
  <c r="O393" i="9" s="1"/>
  <c r="N392" i="9"/>
  <c r="O392" i="9" s="1"/>
  <c r="N391" i="9"/>
  <c r="O391" i="9" s="1"/>
  <c r="N390" i="9"/>
  <c r="O390" i="9" s="1"/>
  <c r="N389" i="9"/>
  <c r="O389" i="9" s="1"/>
  <c r="N388" i="9"/>
  <c r="O388" i="9" s="1"/>
  <c r="N387" i="9"/>
  <c r="O387" i="9" s="1"/>
  <c r="N386" i="9"/>
  <c r="O386" i="9" s="1"/>
  <c r="N385" i="9"/>
  <c r="O385" i="9" s="1"/>
  <c r="N384" i="9"/>
  <c r="O384" i="9" s="1"/>
  <c r="N383" i="9"/>
  <c r="O383" i="9" s="1"/>
  <c r="N382" i="9"/>
  <c r="O382" i="9" s="1"/>
  <c r="N381" i="9"/>
  <c r="O381" i="9" s="1"/>
  <c r="N380" i="9"/>
  <c r="O380" i="9" s="1"/>
  <c r="N379" i="9"/>
  <c r="O379" i="9" s="1"/>
  <c r="N378" i="9"/>
  <c r="O378" i="9" s="1"/>
  <c r="N377" i="9"/>
  <c r="O377" i="9" s="1"/>
  <c r="N376" i="9"/>
  <c r="O376" i="9" s="1"/>
  <c r="N375" i="9"/>
  <c r="O375" i="9" s="1"/>
  <c r="N374" i="9"/>
  <c r="O374" i="9" s="1"/>
  <c r="N373" i="9"/>
  <c r="O373" i="9" s="1"/>
  <c r="N372" i="9"/>
  <c r="O372" i="9" s="1"/>
  <c r="N371" i="9"/>
  <c r="O371" i="9" s="1"/>
  <c r="N370" i="9"/>
  <c r="O370" i="9" s="1"/>
  <c r="N369" i="9"/>
  <c r="O369" i="9" s="1"/>
  <c r="N368" i="9"/>
  <c r="O368" i="9" s="1"/>
  <c r="N367" i="9"/>
  <c r="O367" i="9" s="1"/>
  <c r="N366" i="9"/>
  <c r="O366" i="9" s="1"/>
  <c r="N365" i="9"/>
  <c r="O365" i="9" s="1"/>
  <c r="N364" i="9"/>
  <c r="O364" i="9" s="1"/>
  <c r="N363" i="9"/>
  <c r="O363" i="9" s="1"/>
  <c r="N362" i="9"/>
  <c r="O362" i="9" s="1"/>
  <c r="N361" i="9"/>
  <c r="O361" i="9" s="1"/>
  <c r="N360" i="9"/>
  <c r="O360" i="9" s="1"/>
  <c r="N359" i="9"/>
  <c r="O359" i="9" s="1"/>
  <c r="N358" i="9"/>
  <c r="O358" i="9" s="1"/>
  <c r="N357" i="9"/>
  <c r="O357" i="9" s="1"/>
  <c r="N356" i="9"/>
  <c r="O356" i="9" s="1"/>
  <c r="N355" i="9"/>
  <c r="O355" i="9" s="1"/>
  <c r="N354" i="9"/>
  <c r="O354" i="9" s="1"/>
  <c r="N353" i="9"/>
  <c r="O353" i="9" s="1"/>
  <c r="N352" i="9"/>
  <c r="O352" i="9" s="1"/>
  <c r="N351" i="9"/>
  <c r="O351" i="9" s="1"/>
  <c r="N350" i="9"/>
  <c r="O350" i="9" s="1"/>
  <c r="N349" i="9"/>
  <c r="O349" i="9" s="1"/>
  <c r="N348" i="9"/>
  <c r="O348" i="9" s="1"/>
  <c r="N347" i="9"/>
  <c r="O347" i="9" s="1"/>
  <c r="N346" i="9"/>
  <c r="O346" i="9" s="1"/>
  <c r="N345" i="9"/>
  <c r="O345" i="9" s="1"/>
  <c r="N344" i="9"/>
  <c r="O344" i="9" s="1"/>
  <c r="N343" i="9"/>
  <c r="O343" i="9" s="1"/>
  <c r="N342" i="9"/>
  <c r="O342" i="9" s="1"/>
  <c r="N341" i="9"/>
  <c r="O341" i="9" s="1"/>
  <c r="N340" i="9"/>
  <c r="O340" i="9" s="1"/>
  <c r="N339" i="9"/>
  <c r="O339" i="9" s="1"/>
  <c r="N338" i="9"/>
  <c r="O338" i="9" s="1"/>
  <c r="N337" i="9"/>
  <c r="O337" i="9" s="1"/>
  <c r="N336" i="9"/>
  <c r="O336" i="9" s="1"/>
  <c r="N335" i="9"/>
  <c r="O335" i="9" s="1"/>
  <c r="N334" i="9"/>
  <c r="O334" i="9" s="1"/>
  <c r="N333" i="9"/>
  <c r="O333" i="9" s="1"/>
  <c r="N332" i="9"/>
  <c r="O332" i="9" s="1"/>
  <c r="N331" i="9"/>
  <c r="O331" i="9" s="1"/>
  <c r="N330" i="9"/>
  <c r="O330" i="9" s="1"/>
  <c r="N329" i="9"/>
  <c r="O329" i="9" s="1"/>
  <c r="N328" i="9"/>
  <c r="O328" i="9" s="1"/>
  <c r="N327" i="9"/>
  <c r="O327" i="9" s="1"/>
  <c r="N326" i="9"/>
  <c r="O326" i="9" s="1"/>
  <c r="N325" i="9"/>
  <c r="O325" i="9" s="1"/>
  <c r="N324" i="9"/>
  <c r="O324" i="9" s="1"/>
  <c r="N323" i="9"/>
  <c r="O323" i="9" s="1"/>
  <c r="N322" i="9"/>
  <c r="O322" i="9" s="1"/>
  <c r="N321" i="9"/>
  <c r="O321" i="9" s="1"/>
  <c r="N320" i="9"/>
  <c r="O320" i="9" s="1"/>
  <c r="N319" i="9"/>
  <c r="O319" i="9" s="1"/>
  <c r="N318" i="9"/>
  <c r="O318" i="9" s="1"/>
  <c r="N317" i="9"/>
  <c r="O317" i="9" s="1"/>
  <c r="N316" i="9"/>
  <c r="O316" i="9" s="1"/>
  <c r="N315" i="9"/>
  <c r="O315" i="9" s="1"/>
  <c r="N314" i="9"/>
  <c r="O314" i="9" s="1"/>
  <c r="N313" i="9"/>
  <c r="O313" i="9" s="1"/>
  <c r="N312" i="9"/>
  <c r="O312" i="9" s="1"/>
  <c r="N311" i="9"/>
  <c r="O311" i="9" s="1"/>
  <c r="N310" i="9"/>
  <c r="O310" i="9" s="1"/>
  <c r="N309" i="9"/>
  <c r="O309" i="9" s="1"/>
  <c r="N308" i="9"/>
  <c r="O308" i="9" s="1"/>
  <c r="N307" i="9"/>
  <c r="O307" i="9" s="1"/>
  <c r="N306" i="9"/>
  <c r="O306" i="9" s="1"/>
  <c r="N305" i="9"/>
  <c r="O305" i="9" s="1"/>
  <c r="N304" i="9"/>
  <c r="O304" i="9" s="1"/>
  <c r="N303" i="9"/>
  <c r="O303" i="9" s="1"/>
  <c r="N302" i="9"/>
  <c r="O302" i="9" s="1"/>
  <c r="N301" i="9"/>
  <c r="O301" i="9" s="1"/>
  <c r="N300" i="9"/>
  <c r="O300" i="9" s="1"/>
  <c r="N299" i="9"/>
  <c r="O299" i="9" s="1"/>
  <c r="N298" i="9"/>
  <c r="O298" i="9" s="1"/>
  <c r="N297" i="9"/>
  <c r="O297" i="9" s="1"/>
  <c r="N296" i="9"/>
  <c r="O296" i="9" s="1"/>
  <c r="N295" i="9"/>
  <c r="O295" i="9" s="1"/>
  <c r="N294" i="9"/>
  <c r="O294" i="9" s="1"/>
  <c r="N293" i="9"/>
  <c r="O293" i="9" s="1"/>
  <c r="N292" i="9"/>
  <c r="O292" i="9" s="1"/>
  <c r="N291" i="9"/>
  <c r="O291" i="9" s="1"/>
  <c r="N290" i="9"/>
  <c r="O290" i="9" s="1"/>
  <c r="N289" i="9"/>
  <c r="O289" i="9" s="1"/>
  <c r="N288" i="9"/>
  <c r="O288" i="9" s="1"/>
  <c r="N287" i="9"/>
  <c r="O287" i="9" s="1"/>
  <c r="N286" i="9"/>
  <c r="O286" i="9" s="1"/>
  <c r="N285" i="9"/>
  <c r="O285" i="9" s="1"/>
  <c r="N284" i="9"/>
  <c r="O284" i="9" s="1"/>
  <c r="N283" i="9"/>
  <c r="O283" i="9" s="1"/>
  <c r="N282" i="9"/>
  <c r="O282" i="9" s="1"/>
  <c r="N281" i="9"/>
  <c r="O281" i="9" s="1"/>
  <c r="N280" i="9"/>
  <c r="O280" i="9" s="1"/>
  <c r="N279" i="9"/>
  <c r="O279" i="9" s="1"/>
  <c r="N278" i="9"/>
  <c r="O278" i="9" s="1"/>
  <c r="N277" i="9"/>
  <c r="O277" i="9" s="1"/>
  <c r="N276" i="9"/>
  <c r="O276" i="9" s="1"/>
  <c r="N275" i="9"/>
  <c r="O275" i="9" s="1"/>
  <c r="N274" i="9"/>
  <c r="O274" i="9" s="1"/>
  <c r="N273" i="9"/>
  <c r="O273" i="9" s="1"/>
  <c r="N272" i="9"/>
  <c r="O272" i="9" s="1"/>
  <c r="N271" i="9"/>
  <c r="O271" i="9" s="1"/>
  <c r="N270" i="9"/>
  <c r="O270" i="9" s="1"/>
  <c r="N269" i="9"/>
  <c r="O269" i="9" s="1"/>
  <c r="N268" i="9"/>
  <c r="O268" i="9" s="1"/>
  <c r="N267" i="9"/>
  <c r="O267" i="9" s="1"/>
  <c r="N266" i="9"/>
  <c r="O266" i="9" s="1"/>
  <c r="N265" i="9"/>
  <c r="O265" i="9" s="1"/>
  <c r="N264" i="9"/>
  <c r="O264" i="9" s="1"/>
  <c r="N263" i="9"/>
  <c r="O263" i="9" s="1"/>
  <c r="N262" i="9"/>
  <c r="O262" i="9" s="1"/>
  <c r="N261" i="9"/>
  <c r="O261" i="9" s="1"/>
  <c r="N260" i="9"/>
  <c r="O260" i="9" s="1"/>
  <c r="N259" i="9"/>
  <c r="O259" i="9" s="1"/>
  <c r="N258" i="9"/>
  <c r="O258" i="9" s="1"/>
  <c r="N257" i="9"/>
  <c r="O257" i="9" s="1"/>
  <c r="N256" i="9"/>
  <c r="O256" i="9" s="1"/>
  <c r="N255" i="9"/>
  <c r="O255" i="9" s="1"/>
  <c r="N254" i="9"/>
  <c r="O254" i="9" s="1"/>
  <c r="N253" i="9"/>
  <c r="O253" i="9" s="1"/>
  <c r="N252" i="9"/>
  <c r="O252" i="9" s="1"/>
  <c r="N251" i="9"/>
  <c r="O251" i="9" s="1"/>
  <c r="N250" i="9"/>
  <c r="O250" i="9" s="1"/>
  <c r="N249" i="9"/>
  <c r="O249" i="9" s="1"/>
  <c r="N248" i="9"/>
  <c r="O248" i="9" s="1"/>
  <c r="N247" i="9"/>
  <c r="O247" i="9" s="1"/>
  <c r="N246" i="9"/>
  <c r="O246" i="9" s="1"/>
  <c r="N245" i="9"/>
  <c r="O245" i="9" s="1"/>
  <c r="N244" i="9"/>
  <c r="O244" i="9" s="1"/>
  <c r="N243" i="9"/>
  <c r="O243" i="9" s="1"/>
  <c r="N242" i="9"/>
  <c r="O242" i="9" s="1"/>
  <c r="N241" i="9"/>
  <c r="O241" i="9" s="1"/>
  <c r="N240" i="9"/>
  <c r="O240" i="9" s="1"/>
  <c r="N239" i="9"/>
  <c r="O239" i="9" s="1"/>
  <c r="N238" i="9"/>
  <c r="O238" i="9" s="1"/>
  <c r="N237" i="9"/>
  <c r="O237" i="9" s="1"/>
  <c r="N236" i="9"/>
  <c r="O236" i="9" s="1"/>
  <c r="N235" i="9"/>
  <c r="O235" i="9" s="1"/>
  <c r="N234" i="9"/>
  <c r="O234" i="9" s="1"/>
  <c r="N233" i="9"/>
  <c r="O233" i="9" s="1"/>
  <c r="N232" i="9"/>
  <c r="O232" i="9" s="1"/>
  <c r="N231" i="9"/>
  <c r="O231" i="9" s="1"/>
  <c r="N230" i="9"/>
  <c r="O230" i="9" s="1"/>
  <c r="N229" i="9"/>
  <c r="O229" i="9" s="1"/>
  <c r="N228" i="9"/>
  <c r="O228" i="9" s="1"/>
  <c r="N227" i="9"/>
  <c r="O227" i="9" s="1"/>
  <c r="N226" i="9"/>
  <c r="O226" i="9" s="1"/>
  <c r="N225" i="9"/>
  <c r="O225" i="9" s="1"/>
  <c r="N224" i="9"/>
  <c r="O224" i="9" s="1"/>
  <c r="N223" i="9"/>
  <c r="O223" i="9" s="1"/>
  <c r="N222" i="9"/>
  <c r="O222" i="9" s="1"/>
  <c r="N221" i="9"/>
  <c r="O221" i="9" s="1"/>
  <c r="N220" i="9"/>
  <c r="O220" i="9" s="1"/>
  <c r="N219" i="9"/>
  <c r="O219" i="9" s="1"/>
  <c r="N218" i="9"/>
  <c r="O218" i="9" s="1"/>
  <c r="N217" i="9"/>
  <c r="O217" i="9" s="1"/>
  <c r="N216" i="9"/>
  <c r="O216" i="9" s="1"/>
  <c r="N215" i="9"/>
  <c r="O215" i="9" s="1"/>
  <c r="N214" i="9"/>
  <c r="O214" i="9" s="1"/>
  <c r="N213" i="9"/>
  <c r="O213" i="9" s="1"/>
  <c r="N212" i="9"/>
  <c r="O212" i="9" s="1"/>
  <c r="N211" i="9"/>
  <c r="O211" i="9" s="1"/>
  <c r="N210" i="9"/>
  <c r="O210" i="9" s="1"/>
  <c r="N209" i="9"/>
  <c r="O209" i="9" s="1"/>
  <c r="N208" i="9"/>
  <c r="O208" i="9" s="1"/>
  <c r="N207" i="9"/>
  <c r="O207" i="9" s="1"/>
  <c r="N206" i="9"/>
  <c r="O206" i="9" s="1"/>
  <c r="N205" i="9"/>
  <c r="O205" i="9" s="1"/>
  <c r="N204" i="9"/>
  <c r="O204" i="9" s="1"/>
  <c r="N203" i="9"/>
  <c r="O203" i="9" s="1"/>
  <c r="N202" i="9"/>
  <c r="O202" i="9" s="1"/>
  <c r="N201" i="9"/>
  <c r="O201" i="9" s="1"/>
  <c r="N200" i="9"/>
  <c r="O200" i="9" s="1"/>
  <c r="N199" i="9"/>
  <c r="O199" i="9" s="1"/>
  <c r="N198" i="9"/>
  <c r="O198" i="9" s="1"/>
  <c r="N197" i="9"/>
  <c r="O197" i="9" s="1"/>
  <c r="N196" i="9"/>
  <c r="O196" i="9" s="1"/>
  <c r="N195" i="9"/>
  <c r="O195" i="9" s="1"/>
  <c r="N194" i="9"/>
  <c r="O194" i="9" s="1"/>
  <c r="N193" i="9"/>
  <c r="O193" i="9" s="1"/>
  <c r="N192" i="9"/>
  <c r="O192" i="9" s="1"/>
  <c r="N191" i="9"/>
  <c r="O191" i="9" s="1"/>
  <c r="N190" i="9"/>
  <c r="O190" i="9" s="1"/>
  <c r="N189" i="9"/>
  <c r="O189" i="9" s="1"/>
  <c r="N188" i="9"/>
  <c r="O188" i="9" s="1"/>
  <c r="N187" i="9"/>
  <c r="O187" i="9" s="1"/>
  <c r="N186" i="9"/>
  <c r="O186" i="9" s="1"/>
  <c r="N185" i="9"/>
  <c r="O185" i="9" s="1"/>
  <c r="N184" i="9"/>
  <c r="O184" i="9" s="1"/>
  <c r="N183" i="9"/>
  <c r="O183" i="9" s="1"/>
  <c r="N182" i="9"/>
  <c r="O182" i="9" s="1"/>
  <c r="N181" i="9"/>
  <c r="O181" i="9" s="1"/>
  <c r="N180" i="9"/>
  <c r="O180" i="9" s="1"/>
  <c r="N179" i="9"/>
  <c r="O179" i="9" s="1"/>
  <c r="N178" i="9"/>
  <c r="O178" i="9" s="1"/>
  <c r="N177" i="9"/>
  <c r="O177" i="9" s="1"/>
  <c r="N176" i="9"/>
  <c r="O176" i="9" s="1"/>
  <c r="N175" i="9"/>
  <c r="O175" i="9" s="1"/>
  <c r="N174" i="9"/>
  <c r="O174" i="9" s="1"/>
  <c r="N173" i="9"/>
  <c r="O173" i="9" s="1"/>
  <c r="N172" i="9"/>
  <c r="O172" i="9" s="1"/>
  <c r="N171" i="9"/>
  <c r="O171" i="9" s="1"/>
  <c r="N170" i="9"/>
  <c r="O170" i="9" s="1"/>
  <c r="N169" i="9"/>
  <c r="O169" i="9" s="1"/>
  <c r="N168" i="9"/>
  <c r="O168" i="9" s="1"/>
  <c r="N167" i="9"/>
  <c r="O167" i="9" s="1"/>
  <c r="N166" i="9"/>
  <c r="O166" i="9" s="1"/>
  <c r="N165" i="9"/>
  <c r="O165" i="9" s="1"/>
  <c r="N164" i="9"/>
  <c r="O164" i="9" s="1"/>
  <c r="N163" i="9"/>
  <c r="O163" i="9" s="1"/>
  <c r="N162" i="9"/>
  <c r="O162" i="9" s="1"/>
  <c r="N161" i="9"/>
  <c r="O161" i="9" s="1"/>
  <c r="N160" i="9"/>
  <c r="O160" i="9" s="1"/>
  <c r="N159" i="9"/>
  <c r="O159" i="9" s="1"/>
  <c r="N158" i="9"/>
  <c r="O158" i="9" s="1"/>
  <c r="N157" i="9"/>
  <c r="O157" i="9" s="1"/>
  <c r="N156" i="9"/>
  <c r="O156" i="9" s="1"/>
  <c r="N155" i="9"/>
  <c r="O155" i="9" s="1"/>
  <c r="N154" i="9"/>
  <c r="O154" i="9" s="1"/>
  <c r="N153" i="9"/>
  <c r="O153" i="9" s="1"/>
  <c r="N152" i="9"/>
  <c r="O152" i="9" s="1"/>
  <c r="N151" i="9"/>
  <c r="O151" i="9" s="1"/>
  <c r="N150" i="9"/>
  <c r="O150" i="9" s="1"/>
  <c r="N149" i="9"/>
  <c r="O149" i="9" s="1"/>
  <c r="N148" i="9"/>
  <c r="O148" i="9" s="1"/>
  <c r="N147" i="9"/>
  <c r="O147" i="9" s="1"/>
  <c r="N146" i="9"/>
  <c r="O146" i="9" s="1"/>
  <c r="N145" i="9"/>
  <c r="O145" i="9" s="1"/>
  <c r="N144" i="9"/>
  <c r="O144" i="9" s="1"/>
  <c r="N143" i="9"/>
  <c r="O143" i="9" s="1"/>
  <c r="N142" i="9"/>
  <c r="O142" i="9" s="1"/>
  <c r="N141" i="9"/>
  <c r="O141" i="9" s="1"/>
  <c r="N140" i="9"/>
  <c r="O140" i="9" s="1"/>
  <c r="N139" i="9"/>
  <c r="O139" i="9" s="1"/>
  <c r="N138" i="9"/>
  <c r="O138" i="9" s="1"/>
  <c r="N137" i="9"/>
  <c r="O137" i="9" s="1"/>
  <c r="N136" i="9"/>
  <c r="O136" i="9" s="1"/>
  <c r="N135" i="9"/>
  <c r="O135" i="9" s="1"/>
  <c r="N134" i="9"/>
  <c r="O134" i="9" s="1"/>
  <c r="N133" i="9"/>
  <c r="O133" i="9" s="1"/>
  <c r="N132" i="9"/>
  <c r="O132" i="9" s="1"/>
  <c r="N131" i="9"/>
  <c r="O131" i="9" s="1"/>
  <c r="N130" i="9"/>
  <c r="O130" i="9" s="1"/>
  <c r="N129" i="9"/>
  <c r="O129" i="9" s="1"/>
  <c r="N128" i="9"/>
  <c r="O128" i="9" s="1"/>
  <c r="N127" i="9"/>
  <c r="O127" i="9" s="1"/>
  <c r="N126" i="9"/>
  <c r="O126" i="9" s="1"/>
  <c r="N125" i="9"/>
  <c r="O125" i="9" s="1"/>
  <c r="N124" i="9"/>
  <c r="O124" i="9" s="1"/>
  <c r="N123" i="9"/>
  <c r="O123" i="9" s="1"/>
  <c r="N122" i="9"/>
  <c r="O122" i="9" s="1"/>
  <c r="N121" i="9"/>
  <c r="O121" i="9" s="1"/>
  <c r="N120" i="9"/>
  <c r="O120" i="9" s="1"/>
  <c r="N119" i="9"/>
  <c r="O119" i="9" s="1"/>
  <c r="N118" i="9"/>
  <c r="O118" i="9" s="1"/>
  <c r="N117" i="9"/>
  <c r="O117" i="9" s="1"/>
  <c r="N116" i="9"/>
  <c r="O116" i="9" s="1"/>
  <c r="N115" i="9"/>
  <c r="O115" i="9" s="1"/>
  <c r="N114" i="9"/>
  <c r="O114" i="9" s="1"/>
  <c r="N113" i="9"/>
  <c r="O113" i="9" s="1"/>
  <c r="N112" i="9"/>
  <c r="O112" i="9" s="1"/>
  <c r="N111" i="9"/>
  <c r="O111" i="9" s="1"/>
  <c r="N110" i="9"/>
  <c r="O110" i="9" s="1"/>
  <c r="N109" i="9"/>
  <c r="O109" i="9" s="1"/>
  <c r="N108" i="9"/>
  <c r="O108" i="9" s="1"/>
  <c r="N107" i="9"/>
  <c r="O107" i="9" s="1"/>
  <c r="N106" i="9"/>
  <c r="O106" i="9" s="1"/>
  <c r="N105" i="9"/>
  <c r="O105" i="9" s="1"/>
  <c r="N104" i="9"/>
  <c r="O104" i="9" s="1"/>
  <c r="N103" i="9"/>
  <c r="O103" i="9" s="1"/>
  <c r="N102" i="9"/>
  <c r="O102" i="9" s="1"/>
  <c r="N101" i="9"/>
  <c r="O101" i="9" s="1"/>
  <c r="N100" i="9"/>
  <c r="O100" i="9" s="1"/>
  <c r="N99" i="9"/>
  <c r="O99" i="9" s="1"/>
  <c r="N98" i="9"/>
  <c r="O98" i="9" s="1"/>
  <c r="N97" i="9"/>
  <c r="O97" i="9" s="1"/>
  <c r="N96" i="9"/>
  <c r="O96" i="9" s="1"/>
  <c r="N95" i="9"/>
  <c r="O95" i="9" s="1"/>
  <c r="N94" i="9"/>
  <c r="O94" i="9" s="1"/>
  <c r="N93" i="9"/>
  <c r="O93" i="9" s="1"/>
  <c r="N92" i="9"/>
  <c r="O92" i="9" s="1"/>
  <c r="N91" i="9"/>
  <c r="O91" i="9" s="1"/>
  <c r="N90" i="9"/>
  <c r="O90" i="9" s="1"/>
  <c r="N89" i="9"/>
  <c r="O89" i="9" s="1"/>
  <c r="N88" i="9"/>
  <c r="O88" i="9" s="1"/>
  <c r="N87" i="9"/>
  <c r="O87" i="9" s="1"/>
  <c r="N86" i="9"/>
  <c r="O86" i="9" s="1"/>
  <c r="N85" i="9"/>
  <c r="O85" i="9" s="1"/>
  <c r="N84" i="9"/>
  <c r="O84" i="9" s="1"/>
  <c r="N83" i="9"/>
  <c r="O83" i="9" s="1"/>
  <c r="N82" i="9"/>
  <c r="O82" i="9" s="1"/>
  <c r="N81" i="9"/>
  <c r="O81" i="9" s="1"/>
  <c r="N80" i="9"/>
  <c r="O80" i="9" s="1"/>
  <c r="N79" i="9"/>
  <c r="O79" i="9" s="1"/>
  <c r="N78" i="9"/>
  <c r="O78" i="9" s="1"/>
  <c r="N77" i="9"/>
  <c r="O77" i="9" s="1"/>
  <c r="N76" i="9"/>
  <c r="O76" i="9" s="1"/>
  <c r="N75" i="9"/>
  <c r="O75" i="9" s="1"/>
  <c r="N74" i="9"/>
  <c r="O74" i="9" s="1"/>
  <c r="N73" i="9"/>
  <c r="O73" i="9" s="1"/>
  <c r="N72" i="9"/>
  <c r="O72" i="9" s="1"/>
  <c r="N71" i="9"/>
  <c r="O71" i="9" s="1"/>
  <c r="N70" i="9"/>
  <c r="O70" i="9" s="1"/>
  <c r="N69" i="9"/>
  <c r="O69" i="9" s="1"/>
  <c r="N68" i="9"/>
  <c r="O68" i="9" s="1"/>
  <c r="N67" i="9"/>
  <c r="O67" i="9" s="1"/>
  <c r="N66" i="9"/>
  <c r="O66" i="9" s="1"/>
  <c r="N65" i="9"/>
  <c r="O65" i="9" s="1"/>
  <c r="N64" i="9"/>
  <c r="O64" i="9" s="1"/>
  <c r="N63" i="9"/>
  <c r="O63" i="9" s="1"/>
  <c r="N62" i="9"/>
  <c r="O62" i="9" s="1"/>
  <c r="N61" i="9"/>
  <c r="O61" i="9" s="1"/>
  <c r="N60" i="9"/>
  <c r="O60" i="9" s="1"/>
  <c r="N59" i="9"/>
  <c r="O59" i="9" s="1"/>
  <c r="N58" i="9"/>
  <c r="O58" i="9" s="1"/>
  <c r="N57" i="9"/>
  <c r="O57" i="9" s="1"/>
  <c r="N56" i="9"/>
  <c r="O56" i="9" s="1"/>
  <c r="N55" i="9"/>
  <c r="O55" i="9" s="1"/>
  <c r="N54" i="9"/>
  <c r="O54" i="9" s="1"/>
  <c r="N53" i="9"/>
  <c r="O53" i="9" s="1"/>
  <c r="N52" i="9"/>
  <c r="O52" i="9" s="1"/>
  <c r="N51" i="9"/>
  <c r="O51" i="9" s="1"/>
  <c r="N50" i="9"/>
  <c r="O50" i="9" s="1"/>
  <c r="N49" i="9"/>
  <c r="O49" i="9" s="1"/>
  <c r="N48" i="9"/>
  <c r="O48" i="9" s="1"/>
  <c r="N47" i="9"/>
  <c r="O47" i="9" s="1"/>
  <c r="N46" i="9"/>
  <c r="O46" i="9" s="1"/>
  <c r="N45" i="9"/>
  <c r="O45" i="9" s="1"/>
  <c r="N44" i="9"/>
  <c r="O44" i="9" s="1"/>
  <c r="N43" i="9"/>
  <c r="O43" i="9" s="1"/>
  <c r="N42" i="9"/>
  <c r="O42" i="9" s="1"/>
  <c r="N41" i="9"/>
  <c r="O41" i="9" s="1"/>
  <c r="N40" i="9"/>
  <c r="O40" i="9" s="1"/>
  <c r="N39" i="9"/>
  <c r="O39" i="9" s="1"/>
  <c r="N38" i="9"/>
  <c r="O38" i="9" s="1"/>
  <c r="N37" i="9"/>
  <c r="O37" i="9" s="1"/>
  <c r="N36" i="9"/>
  <c r="O36" i="9" s="1"/>
  <c r="N35" i="9"/>
  <c r="O35" i="9" s="1"/>
  <c r="N34" i="9"/>
  <c r="O34" i="9" s="1"/>
  <c r="N33" i="9"/>
  <c r="O33" i="9" s="1"/>
  <c r="N32" i="9"/>
  <c r="O32" i="9" s="1"/>
  <c r="N31" i="9"/>
  <c r="O31" i="9" s="1"/>
  <c r="N30" i="9"/>
  <c r="O30" i="9" s="1"/>
  <c r="N29" i="9"/>
  <c r="O29" i="9" s="1"/>
  <c r="N28" i="9"/>
  <c r="O28" i="9" s="1"/>
  <c r="N27" i="9"/>
  <c r="O27" i="9" s="1"/>
  <c r="N26" i="9"/>
  <c r="O26" i="9" s="1"/>
  <c r="N25" i="9"/>
  <c r="O25" i="9" s="1"/>
  <c r="N24" i="9"/>
  <c r="O24" i="9" s="1"/>
  <c r="N23" i="9"/>
  <c r="O23" i="9" s="1"/>
  <c r="N22" i="9"/>
  <c r="O22" i="9" s="1"/>
  <c r="N21" i="9"/>
  <c r="O21" i="9" s="1"/>
  <c r="N20" i="9"/>
  <c r="O20" i="9" s="1"/>
  <c r="N19" i="9"/>
  <c r="O19" i="9" s="1"/>
  <c r="N18" i="9"/>
  <c r="O18" i="9" s="1"/>
  <c r="N17" i="9"/>
  <c r="O17" i="9" s="1"/>
  <c r="N16" i="9"/>
  <c r="O16" i="9" s="1"/>
  <c r="N15" i="9"/>
  <c r="O15" i="9" s="1"/>
  <c r="N14" i="9"/>
  <c r="O14" i="9" s="1"/>
  <c r="N13" i="9"/>
  <c r="O13" i="9" s="1"/>
  <c r="N12" i="9"/>
  <c r="O12" i="9" s="1"/>
  <c r="N11" i="9"/>
  <c r="O11" i="9" s="1"/>
  <c r="N10" i="9"/>
  <c r="O10" i="9" s="1"/>
  <c r="N9" i="9"/>
  <c r="O9" i="9" s="1"/>
  <c r="N8" i="9"/>
  <c r="O8" i="9" s="1"/>
  <c r="N7" i="9"/>
  <c r="O7" i="9" s="1"/>
  <c r="N6" i="9"/>
  <c r="O6" i="9" s="1"/>
  <c r="N5" i="9"/>
  <c r="O5" i="9" s="1"/>
  <c r="N4" i="9"/>
  <c r="O4" i="9" s="1"/>
  <c r="N3" i="9"/>
  <c r="O3" i="9" s="1"/>
  <c r="N2" i="9"/>
  <c r="O2" i="9" s="1"/>
  <c r="J6" i="25" l="1"/>
  <c r="K6" i="25" s="1"/>
  <c r="B8" i="25"/>
  <c r="B7" i="8"/>
  <c r="Q1725" i="1"/>
  <c r="I6" i="25" l="1"/>
  <c r="I8" i="25"/>
  <c r="AC63" i="20"/>
  <c r="AC64" i="20"/>
  <c r="AC65" i="20"/>
  <c r="AC62" i="20"/>
  <c r="AC84" i="21"/>
  <c r="AC85" i="21"/>
  <c r="AC86" i="21"/>
  <c r="AC87" i="21"/>
  <c r="AC90" i="21"/>
  <c r="AC91" i="21"/>
  <c r="AC92" i="21"/>
  <c r="AC93" i="21"/>
  <c r="AC94" i="21"/>
  <c r="AC95" i="21"/>
  <c r="AC96" i="21"/>
  <c r="AC97" i="21"/>
  <c r="AC98" i="21"/>
  <c r="AC99" i="21"/>
  <c r="AC78" i="21"/>
  <c r="AC79" i="21"/>
  <c r="AC80" i="21"/>
  <c r="AC81" i="21"/>
  <c r="AC83" i="21"/>
  <c r="AC77" i="21"/>
  <c r="AC74" i="21" l="1"/>
  <c r="AC73" i="21"/>
  <c r="AC72" i="21"/>
  <c r="AC71" i="21"/>
  <c r="AC70" i="21"/>
  <c r="AC68" i="21"/>
  <c r="AC67" i="21"/>
  <c r="AC66" i="21"/>
  <c r="AC65" i="21"/>
  <c r="AC64" i="21"/>
  <c r="AC61" i="21" l="1"/>
  <c r="AC60" i="21"/>
  <c r="AC59" i="21"/>
  <c r="AC57" i="21"/>
  <c r="AC56" i="21"/>
  <c r="AC55" i="21"/>
  <c r="AC53" i="21"/>
  <c r="AC52" i="21"/>
  <c r="AC51" i="21"/>
  <c r="AC49" i="21"/>
  <c r="AC48" i="21"/>
  <c r="AC47" i="21"/>
  <c r="AC45" i="21"/>
  <c r="AC44" i="21"/>
  <c r="AC43" i="21"/>
  <c r="AC38" i="20"/>
  <c r="AC39" i="20"/>
  <c r="AC40" i="20"/>
  <c r="AC42" i="20"/>
  <c r="AC43" i="20"/>
  <c r="AC44" i="20"/>
  <c r="AC45" i="20"/>
  <c r="AC46" i="20"/>
  <c r="AC48" i="20"/>
  <c r="AC49" i="20"/>
  <c r="AC50" i="20"/>
  <c r="AC51" i="20"/>
  <c r="AC52" i="20"/>
  <c r="AC54" i="20"/>
  <c r="AC55" i="20"/>
  <c r="AC56" i="20"/>
  <c r="AC57" i="20"/>
  <c r="AC58" i="20"/>
  <c r="AC36" i="20" l="1"/>
  <c r="AC37" i="20"/>
  <c r="AC23" i="21" l="1"/>
  <c r="AC24" i="21"/>
  <c r="AC26" i="21"/>
  <c r="AC27" i="21"/>
  <c r="AC28" i="21"/>
  <c r="AC30" i="21"/>
  <c r="AC31" i="21"/>
  <c r="AC32" i="21"/>
  <c r="AC34" i="21"/>
  <c r="AC35" i="21"/>
  <c r="AC36" i="21"/>
  <c r="AC38" i="21"/>
  <c r="AC39" i="21"/>
  <c r="AC40" i="21"/>
  <c r="AC22" i="21"/>
  <c r="AC11" i="20"/>
  <c r="AC12" i="20"/>
  <c r="AC13" i="20"/>
  <c r="AC14" i="20"/>
  <c r="AC16" i="20"/>
  <c r="AC17" i="20"/>
  <c r="AC18" i="20"/>
  <c r="AC19" i="20"/>
  <c r="AC20" i="20"/>
  <c r="AC22" i="20"/>
  <c r="AC23" i="20"/>
  <c r="AC24" i="20"/>
  <c r="AC25" i="20"/>
  <c r="AC26" i="20"/>
  <c r="AC28" i="20"/>
  <c r="AC29" i="20"/>
  <c r="AC30" i="20"/>
  <c r="AC31" i="20"/>
  <c r="AC32" i="20"/>
  <c r="AC10" i="20"/>
  <c r="P1725" i="1"/>
  <c r="N1725" i="1" s="1"/>
  <c r="P30" i="1"/>
  <c r="N30" i="1" s="1"/>
  <c r="P1728" i="1"/>
  <c r="N1728" i="1" s="1"/>
  <c r="P1724" i="1"/>
  <c r="N1724" i="1" s="1"/>
  <c r="P1722" i="1"/>
  <c r="N1722" i="1" s="1"/>
  <c r="P1729" i="1"/>
  <c r="N1729" i="1" s="1"/>
  <c r="P1768" i="1"/>
  <c r="N1768" i="1" s="1"/>
  <c r="P2372" i="1"/>
  <c r="N2372" i="1" s="1"/>
  <c r="P2343" i="1"/>
  <c r="N2343" i="1" s="1"/>
  <c r="P2342" i="1"/>
  <c r="N2342" i="1" s="1"/>
  <c r="P2340" i="1"/>
  <c r="N2340" i="1" s="1"/>
  <c r="P2344" i="1"/>
  <c r="N2344" i="1" s="1"/>
  <c r="P3669" i="1"/>
  <c r="N3669" i="1" s="1"/>
  <c r="P3637" i="1"/>
  <c r="N3637" i="1" s="1"/>
  <c r="P3668" i="1"/>
  <c r="N3668" i="1" s="1"/>
  <c r="P3667" i="1"/>
  <c r="N3667" i="1" s="1"/>
  <c r="P3638" i="1"/>
  <c r="N3638" i="1" s="1"/>
  <c r="P3778" i="1"/>
  <c r="N3778" i="1" s="1"/>
  <c r="P3746" i="1"/>
  <c r="N3746" i="1" s="1"/>
  <c r="P3776" i="1"/>
  <c r="N3776" i="1" s="1"/>
  <c r="P3775" i="1"/>
  <c r="N3775" i="1" s="1"/>
  <c r="P3747" i="1"/>
  <c r="N3747" i="1" s="1"/>
  <c r="P1485" i="1"/>
  <c r="N1485" i="1" s="1"/>
  <c r="P1481" i="1"/>
  <c r="N1481" i="1" s="1"/>
  <c r="P1487" i="1"/>
  <c r="N1487" i="1" s="1"/>
  <c r="P1483" i="1"/>
  <c r="N1483" i="1" s="1"/>
  <c r="P1488" i="1"/>
  <c r="N1488" i="1" s="1"/>
  <c r="P1504" i="1"/>
  <c r="N1504" i="1" s="1"/>
  <c r="P1509" i="1"/>
  <c r="N1509" i="1" s="1"/>
  <c r="P1502" i="1"/>
  <c r="N1502" i="1" s="1"/>
  <c r="P1510" i="1"/>
  <c r="N1510" i="1" s="1"/>
  <c r="P1538" i="1"/>
  <c r="N1538" i="1" s="1"/>
  <c r="P1543" i="1"/>
  <c r="N1543" i="1" s="1"/>
  <c r="P1536" i="1"/>
  <c r="N1536" i="1" s="1"/>
  <c r="P1544" i="1"/>
  <c r="N1544" i="1" s="1"/>
  <c r="P1613" i="1"/>
  <c r="N1613" i="1" s="1"/>
  <c r="P1618" i="1"/>
  <c r="N1618" i="1" s="1"/>
  <c r="P1612" i="1"/>
  <c r="N1612" i="1" s="1"/>
  <c r="P1619" i="1"/>
  <c r="N1619" i="1" s="1"/>
  <c r="P1658" i="1"/>
  <c r="N1658" i="1" s="1"/>
  <c r="P1661" i="1"/>
  <c r="N1661" i="1" s="1"/>
  <c r="P1656" i="1"/>
  <c r="N1656" i="1" s="1"/>
  <c r="P1654" i="1"/>
  <c r="N1654" i="1" s="1"/>
  <c r="P1662" i="1"/>
  <c r="N1662" i="1" s="1"/>
  <c r="P1772" i="1"/>
  <c r="N1772" i="1" s="1"/>
  <c r="P1765" i="1"/>
  <c r="N1765" i="1" s="1"/>
  <c r="P1770" i="1"/>
  <c r="N1770" i="1" s="1"/>
  <c r="P1774" i="1"/>
  <c r="N1774" i="1" s="1"/>
  <c r="P1939" i="1"/>
  <c r="N1939" i="1" s="1"/>
  <c r="P1942" i="1"/>
  <c r="N1942" i="1" s="1"/>
  <c r="P1937" i="1"/>
  <c r="N1937" i="1" s="1"/>
  <c r="P1936" i="1"/>
  <c r="N1936" i="1" s="1"/>
  <c r="P1943" i="1"/>
  <c r="N1943" i="1" s="1"/>
  <c r="P3598" i="1"/>
  <c r="N3598" i="1" s="1"/>
  <c r="P3568" i="1"/>
  <c r="N3568" i="1" s="1"/>
  <c r="P3597" i="1"/>
  <c r="N3597" i="1" s="1"/>
  <c r="P3569" i="1"/>
  <c r="N3569" i="1" s="1"/>
  <c r="P2173" i="1"/>
  <c r="N2173" i="1" s="1"/>
  <c r="P2152" i="1"/>
  <c r="N2152" i="1" s="1"/>
  <c r="P2175" i="1"/>
  <c r="N2175" i="1" s="1"/>
  <c r="P2171" i="1"/>
  <c r="N2171" i="1" s="1"/>
  <c r="P2169" i="1"/>
  <c r="N2169" i="1" s="1"/>
  <c r="P2192" i="1"/>
  <c r="N2192" i="1" s="1"/>
  <c r="P2194" i="1"/>
  <c r="N2194" i="1" s="1"/>
  <c r="P2190" i="1"/>
  <c r="N2190" i="1" s="1"/>
  <c r="P2189" i="1"/>
  <c r="N2189" i="1" s="1"/>
  <c r="P2195" i="1"/>
  <c r="N2195" i="1" s="1"/>
  <c r="P3245" i="1"/>
  <c r="N3245" i="1" s="1"/>
  <c r="P3225" i="1"/>
  <c r="N3225" i="1" s="1"/>
  <c r="P3242" i="1"/>
  <c r="N3242" i="1" s="1"/>
  <c r="P3244" i="1"/>
  <c r="N3244" i="1" s="1"/>
  <c r="P3226" i="1"/>
  <c r="N3226" i="1" s="1"/>
  <c r="P3270" i="1"/>
  <c r="N3270" i="1" s="1"/>
  <c r="P3451" i="1"/>
  <c r="N3451" i="1" s="1"/>
  <c r="P3418" i="1"/>
  <c r="N3418" i="1" s="1"/>
  <c r="P3447" i="1"/>
  <c r="N3447" i="1" s="1"/>
  <c r="P3450" i="1"/>
  <c r="N3450" i="1" s="1"/>
  <c r="P3419" i="1"/>
  <c r="N3419" i="1" s="1"/>
  <c r="P3813" i="1"/>
  <c r="N3813" i="1" s="1"/>
  <c r="P3781" i="1"/>
  <c r="N3781" i="1" s="1"/>
  <c r="P3811" i="1"/>
  <c r="N3811" i="1" s="1"/>
  <c r="P3810" i="1"/>
  <c r="N3810" i="1" s="1"/>
  <c r="P3782" i="1"/>
  <c r="N3782" i="1" s="1"/>
  <c r="P3306" i="1"/>
  <c r="N3306" i="1" s="1"/>
  <c r="P3284" i="1"/>
  <c r="N3284" i="1" s="1"/>
  <c r="P3303" i="1"/>
  <c r="N3303" i="1" s="1"/>
  <c r="P3285" i="1"/>
  <c r="N3285" i="1" s="1"/>
  <c r="P3305" i="1"/>
  <c r="N3305" i="1" s="1"/>
  <c r="P2299" i="1"/>
  <c r="N2299" i="1" s="1"/>
  <c r="P2280" i="1"/>
  <c r="N2280" i="1" s="1"/>
  <c r="P2281" i="1"/>
  <c r="N2281" i="1" s="1"/>
  <c r="P2279" i="1"/>
  <c r="N2279" i="1" s="1"/>
  <c r="P2277" i="1"/>
  <c r="N2277" i="1" s="1"/>
  <c r="P3140" i="1"/>
  <c r="N3140" i="1" s="1"/>
  <c r="P3178" i="1"/>
  <c r="N3178" i="1" s="1"/>
  <c r="P3206" i="1"/>
  <c r="N3206" i="1" s="1"/>
  <c r="P3209" i="1"/>
  <c r="N3209" i="1" s="1"/>
  <c r="P3179" i="1"/>
  <c r="N3179" i="1" s="1"/>
  <c r="P3341" i="1"/>
  <c r="N3341" i="1" s="1"/>
  <c r="P3339" i="1"/>
  <c r="N3339" i="1" s="1"/>
  <c r="P3322" i="1"/>
  <c r="N3322" i="1" s="1"/>
  <c r="P3337" i="1"/>
  <c r="N3337" i="1" s="1"/>
  <c r="P3323" i="1"/>
  <c r="N3323" i="1" s="1"/>
  <c r="P3379" i="1"/>
  <c r="N3379" i="1" s="1"/>
  <c r="P3378" i="1"/>
  <c r="N3378" i="1" s="1"/>
  <c r="P3347" i="1"/>
  <c r="N3347" i="1" s="1"/>
  <c r="P3375" i="1"/>
  <c r="N3375" i="1" s="1"/>
  <c r="P3348" i="1"/>
  <c r="N3348" i="1" s="1"/>
  <c r="P1156" i="1"/>
  <c r="N1156" i="1" s="1"/>
  <c r="P2955" i="1"/>
  <c r="N2955" i="1" s="1"/>
  <c r="P2954" i="1"/>
  <c r="N2954" i="1" s="1"/>
  <c r="P2936" i="1"/>
  <c r="N2936" i="1" s="1"/>
  <c r="P2959" i="1"/>
  <c r="N2959" i="1" s="1"/>
  <c r="P2971" i="1"/>
  <c r="N2971" i="1" s="1"/>
  <c r="P3007" i="1"/>
  <c r="N3007" i="1" s="1"/>
  <c r="P2974" i="1"/>
  <c r="N2974" i="1" s="1"/>
  <c r="P3005" i="1"/>
  <c r="N3005" i="1" s="1"/>
  <c r="P3003" i="1"/>
  <c r="N3003" i="1" s="1"/>
  <c r="P2983" i="1"/>
  <c r="N2983" i="1" s="1"/>
  <c r="P3632" i="1"/>
  <c r="N3632" i="1" s="1"/>
  <c r="P1683" i="1"/>
  <c r="N1683" i="1" s="1"/>
  <c r="P1677" i="1"/>
  <c r="N1677" i="1" s="1"/>
  <c r="P1681" i="1"/>
  <c r="N1681" i="1" s="1"/>
  <c r="P1680" i="1"/>
  <c r="N1680" i="1" s="1"/>
  <c r="P1686" i="1"/>
  <c r="N1686" i="1" s="1"/>
  <c r="P2336" i="1"/>
  <c r="N2336" i="1" s="1"/>
  <c r="P2308" i="1"/>
  <c r="N2308" i="1" s="1"/>
  <c r="P2306" i="1"/>
  <c r="N2306" i="1" s="1"/>
  <c r="P2309" i="1"/>
  <c r="N2309" i="1" s="1"/>
  <c r="P2434" i="1"/>
  <c r="N2434" i="1" s="1"/>
  <c r="P2425" i="1"/>
  <c r="N2425" i="1" s="1"/>
  <c r="P4994" i="1"/>
  <c r="N4994" i="1" s="1"/>
  <c r="P4974" i="1"/>
  <c r="N4974" i="1" s="1"/>
  <c r="P4992" i="1"/>
  <c r="N4992" i="1" s="1"/>
  <c r="P4975" i="1"/>
  <c r="N4975" i="1" s="1"/>
  <c r="P3089" i="1"/>
  <c r="N3089" i="1" s="1"/>
  <c r="P3087" i="1"/>
  <c r="N3087" i="1" s="1"/>
  <c r="P3415" i="1"/>
  <c r="N3415" i="1" s="1"/>
  <c r="P3386" i="1"/>
  <c r="N3386" i="1" s="1"/>
  <c r="P3411" i="1"/>
  <c r="N3411" i="1" s="1"/>
  <c r="P3414" i="1"/>
  <c r="N3414" i="1" s="1"/>
  <c r="P3387" i="1"/>
  <c r="N3387" i="1" s="1"/>
  <c r="P1987" i="1"/>
  <c r="N1987" i="1" s="1"/>
  <c r="P1989" i="1"/>
  <c r="N1989" i="1" s="1"/>
  <c r="P1985" i="1"/>
  <c r="N1985" i="1" s="1"/>
  <c r="P1983" i="1"/>
  <c r="N1983" i="1" s="1"/>
  <c r="P1990" i="1"/>
  <c r="N1990" i="1" s="1"/>
  <c r="P2817" i="1"/>
  <c r="N2817" i="1" s="1"/>
  <c r="P2785" i="1"/>
  <c r="N2785" i="1" s="1"/>
  <c r="P2809" i="1"/>
  <c r="N2809" i="1" s="1"/>
  <c r="P2816" i="1"/>
  <c r="N2816" i="1" s="1"/>
  <c r="P2786" i="1"/>
  <c r="N2786" i="1" s="1"/>
  <c r="P3630" i="1"/>
  <c r="N3630" i="1" s="1"/>
  <c r="P3674" i="1"/>
  <c r="N3674" i="1" s="1"/>
  <c r="P3684" i="1"/>
  <c r="N3684" i="1" s="1"/>
  <c r="P3702" i="1"/>
  <c r="N3702" i="1" s="1"/>
  <c r="P3740" i="1"/>
  <c r="N3740" i="1" s="1"/>
  <c r="P3849" i="1"/>
  <c r="N3849" i="1" s="1"/>
  <c r="P3839" i="1"/>
  <c r="N3839" i="1" s="1"/>
  <c r="P3845" i="1"/>
  <c r="N3845" i="1" s="1"/>
  <c r="P3840" i="1"/>
  <c r="N3840" i="1" s="1"/>
  <c r="P2745" i="1"/>
  <c r="N2745" i="1" s="1"/>
  <c r="P2716" i="1"/>
  <c r="N2716" i="1" s="1"/>
  <c r="P2717" i="1"/>
  <c r="N2717" i="1" s="1"/>
  <c r="P2744" i="1"/>
  <c r="N2744" i="1" s="1"/>
  <c r="P2719" i="1"/>
  <c r="N2719" i="1" s="1"/>
  <c r="P2783" i="1"/>
  <c r="N2783" i="1" s="1"/>
  <c r="P2781" i="1"/>
  <c r="N2781" i="1" s="1"/>
  <c r="P2760" i="1"/>
  <c r="N2760" i="1" s="1"/>
  <c r="P2779" i="1"/>
  <c r="N2779" i="1" s="1"/>
  <c r="P2762" i="1"/>
  <c r="N2762" i="1" s="1"/>
  <c r="P2258" i="1"/>
  <c r="N2258" i="1" s="1"/>
  <c r="P2409" i="1"/>
  <c r="N2409" i="1" s="1"/>
  <c r="P2393" i="1"/>
  <c r="N2393" i="1" s="1"/>
  <c r="P2392" i="1"/>
  <c r="N2392" i="1" s="1"/>
  <c r="P2394" i="1"/>
  <c r="N2394" i="1" s="1"/>
  <c r="P2613" i="1"/>
  <c r="N2613" i="1" s="1"/>
  <c r="P2587" i="1"/>
  <c r="N2587" i="1" s="1"/>
  <c r="P2582" i="1"/>
  <c r="N2582" i="1" s="1"/>
  <c r="P2584" i="1"/>
  <c r="N2584" i="1" s="1"/>
  <c r="P2588" i="1"/>
  <c r="N2588" i="1" s="1"/>
  <c r="P3488" i="1"/>
  <c r="N3488" i="1" s="1"/>
  <c r="P3456" i="1"/>
  <c r="N3456" i="1" s="1"/>
  <c r="P3484" i="1"/>
  <c r="N3484" i="1" s="1"/>
  <c r="P3487" i="1"/>
  <c r="N3487" i="1" s="1"/>
  <c r="P3457" i="1"/>
  <c r="N3457" i="1" s="1"/>
  <c r="P3493" i="1"/>
  <c r="N3493" i="1" s="1"/>
  <c r="P3496" i="1"/>
  <c r="N3496" i="1" s="1"/>
  <c r="P3498" i="1"/>
  <c r="N3498" i="1" s="1"/>
  <c r="P3500" i="1"/>
  <c r="N3500" i="1" s="1"/>
  <c r="P3504" i="1"/>
  <c r="N3504" i="1" s="1"/>
  <c r="P3175" i="1"/>
  <c r="N3175" i="1" s="1"/>
  <c r="P3155" i="1"/>
  <c r="N3155" i="1" s="1"/>
  <c r="P3172" i="1"/>
  <c r="N3172" i="1" s="1"/>
  <c r="P3174" i="1"/>
  <c r="N3174" i="1" s="1"/>
  <c r="P3156" i="1"/>
  <c r="N3156" i="1" s="1"/>
  <c r="P3079" i="1"/>
  <c r="N3079" i="1" s="1"/>
  <c r="P3075" i="1"/>
  <c r="N3075" i="1" s="1"/>
  <c r="P3049" i="1"/>
  <c r="N3049" i="1" s="1"/>
  <c r="P3077" i="1"/>
  <c r="N3077" i="1" s="1"/>
  <c r="P3059" i="1"/>
  <c r="N3059" i="1" s="1"/>
  <c r="P2887" i="1"/>
  <c r="N2887" i="1" s="1"/>
  <c r="P2888" i="1"/>
  <c r="N2888" i="1" s="1"/>
  <c r="P2866" i="1"/>
  <c r="N2866" i="1" s="1"/>
  <c r="P2884" i="1"/>
  <c r="N2884" i="1" s="1"/>
  <c r="P2867" i="1"/>
  <c r="N2867" i="1" s="1"/>
  <c r="P4959" i="1"/>
  <c r="N4959" i="1" s="1"/>
  <c r="P4930" i="1"/>
  <c r="N4930" i="1" s="1"/>
  <c r="P4957" i="1"/>
  <c r="N4957" i="1" s="1"/>
  <c r="P4963" i="1"/>
  <c r="N4963" i="1" s="1"/>
  <c r="P4931" i="1"/>
  <c r="N4931" i="1" s="1"/>
  <c r="P3133" i="1"/>
  <c r="N3133" i="1" s="1"/>
  <c r="P3112" i="1"/>
  <c r="N3112" i="1" s="1"/>
  <c r="P3131" i="1"/>
  <c r="N3131" i="1" s="1"/>
  <c r="P3129" i="1"/>
  <c r="N3129" i="1" s="1"/>
  <c r="P3113" i="1"/>
  <c r="N3113" i="1" s="1"/>
  <c r="P1180" i="1"/>
  <c r="N1180" i="1" s="1"/>
  <c r="P1184" i="1"/>
  <c r="N1184" i="1" s="1"/>
  <c r="P1185" i="1"/>
  <c r="N1185" i="1" s="1"/>
  <c r="P1305" i="1"/>
  <c r="N1305" i="1" s="1"/>
  <c r="P1301" i="1"/>
  <c r="N1301" i="1" s="1"/>
  <c r="P1290" i="1"/>
  <c r="N1290" i="1" s="1"/>
  <c r="P1303" i="1"/>
  <c r="N1303" i="1" s="1"/>
  <c r="P1307" i="1"/>
  <c r="N1307" i="1" s="1"/>
  <c r="P2506" i="1"/>
  <c r="N2506" i="1" s="1"/>
  <c r="P2489" i="1"/>
  <c r="N2489" i="1" s="1"/>
  <c r="P2488" i="1"/>
  <c r="N2488" i="1" s="1"/>
  <c r="P2486" i="1"/>
  <c r="N2486" i="1" s="1"/>
  <c r="P2490" i="1"/>
  <c r="N2490" i="1" s="1"/>
  <c r="P2542" i="1"/>
  <c r="N2542" i="1" s="1"/>
  <c r="P2516" i="1"/>
  <c r="N2516" i="1" s="1"/>
  <c r="P2514" i="1"/>
  <c r="N2514" i="1" s="1"/>
  <c r="P2513" i="1"/>
  <c r="N2513" i="1" s="1"/>
  <c r="P2517" i="1"/>
  <c r="N2517" i="1" s="1"/>
  <c r="P2579" i="1"/>
  <c r="N2579" i="1" s="1"/>
  <c r="P2559" i="1"/>
  <c r="N2559" i="1" s="1"/>
  <c r="P2558" i="1"/>
  <c r="N2558" i="1" s="1"/>
  <c r="P2556" i="1"/>
  <c r="N2556" i="1" s="1"/>
  <c r="P2560" i="1"/>
  <c r="N2560" i="1" s="1"/>
  <c r="P2616" i="1"/>
  <c r="N2616" i="1" s="1"/>
  <c r="P2618" i="1"/>
  <c r="N2618" i="1" s="1"/>
  <c r="P2619" i="1"/>
  <c r="N2619" i="1" s="1"/>
  <c r="P2848" i="1"/>
  <c r="N2848" i="1" s="1"/>
  <c r="P2672" i="1"/>
  <c r="N2672" i="1" s="1"/>
  <c r="P2653" i="1"/>
  <c r="N2653" i="1" s="1"/>
  <c r="P2651" i="1"/>
  <c r="N2651" i="1" s="1"/>
  <c r="P2654" i="1"/>
  <c r="N2654" i="1" s="1"/>
  <c r="P2655" i="1"/>
  <c r="N2655" i="1" s="1"/>
  <c r="P2708" i="1"/>
  <c r="N2708" i="1" s="1"/>
  <c r="P2679" i="1"/>
  <c r="N2679" i="1" s="1"/>
  <c r="P2677" i="1"/>
  <c r="N2677" i="1" s="1"/>
  <c r="P2684" i="1"/>
  <c r="N2684" i="1" s="1"/>
  <c r="P2682" i="1"/>
  <c r="N2682" i="1" s="1"/>
  <c r="P2078" i="1"/>
  <c r="N2078" i="1" s="1"/>
  <c r="P2083" i="1"/>
  <c r="N2083" i="1" s="1"/>
  <c r="P2076" i="1"/>
  <c r="N2076" i="1" s="1"/>
  <c r="P2075" i="1"/>
  <c r="N2075" i="1" s="1"/>
  <c r="P1068" i="1"/>
  <c r="N1068" i="1" s="1"/>
  <c r="P3538" i="1"/>
  <c r="N3538" i="1" s="1"/>
  <c r="P4356" i="1"/>
  <c r="P4358" i="1"/>
  <c r="N4358" i="1" s="1"/>
  <c r="P223" i="1"/>
  <c r="N223" i="1" s="1"/>
  <c r="P220" i="1"/>
  <c r="N220" i="1" s="1"/>
  <c r="P228" i="1"/>
  <c r="N228" i="1" s="1"/>
  <c r="P233" i="1"/>
  <c r="N233" i="1" s="1"/>
  <c r="P293" i="1"/>
  <c r="N293" i="1" s="1"/>
  <c r="P298" i="1"/>
  <c r="N298" i="1" s="1"/>
  <c r="P61" i="1"/>
  <c r="N61" i="1" s="1"/>
  <c r="P3729" i="1"/>
  <c r="N3729" i="1" s="1"/>
  <c r="P4366" i="1"/>
  <c r="N4366" i="1" s="1"/>
  <c r="P4369" i="1"/>
  <c r="N4369" i="1" s="1"/>
  <c r="P242" i="1"/>
  <c r="N242" i="1" s="1"/>
  <c r="P244" i="1"/>
  <c r="N244" i="1" s="1"/>
  <c r="P250" i="1"/>
  <c r="N250" i="1" s="1"/>
  <c r="P259" i="1"/>
  <c r="N259" i="1" s="1"/>
  <c r="P1090" i="1"/>
  <c r="N1090" i="1" s="1"/>
  <c r="P1125" i="1"/>
  <c r="N1125" i="1" s="1"/>
  <c r="P1798" i="1"/>
  <c r="N1798" i="1" s="1"/>
  <c r="P1833" i="1"/>
  <c r="N1833" i="1" s="1"/>
  <c r="P1883" i="1"/>
  <c r="N1883" i="1" s="1"/>
  <c r="P1914" i="1"/>
  <c r="N1914" i="1" s="1"/>
  <c r="P2013" i="1"/>
  <c r="N2013" i="1" s="1"/>
  <c r="P2048" i="1"/>
  <c r="N2048" i="1" s="1"/>
  <c r="P2241" i="1"/>
  <c r="N2241" i="1" s="1"/>
  <c r="P2428" i="1"/>
  <c r="N2428" i="1" s="1"/>
  <c r="P2892" i="1"/>
  <c r="N2892" i="1" s="1"/>
  <c r="P3009" i="1"/>
  <c r="N3009" i="1" s="1"/>
  <c r="P3608" i="1"/>
  <c r="N3608" i="1" s="1"/>
  <c r="P3677" i="1"/>
  <c r="N3677" i="1" s="1"/>
  <c r="P3708" i="1"/>
  <c r="N3708" i="1" s="1"/>
  <c r="P922" i="1"/>
  <c r="N922" i="1" s="1"/>
  <c r="P940" i="1"/>
  <c r="P971" i="1"/>
  <c r="N971" i="1" s="1"/>
  <c r="P978" i="1"/>
  <c r="N978" i="1" s="1"/>
  <c r="P1224" i="1"/>
  <c r="N1224" i="1" s="1"/>
  <c r="P1265" i="1"/>
  <c r="N1265" i="1" s="1"/>
  <c r="P1331" i="1"/>
  <c r="N1331" i="1" s="1"/>
  <c r="P1365" i="1"/>
  <c r="N1365" i="1" s="1"/>
  <c r="P1410" i="1"/>
  <c r="N1410" i="1" s="1"/>
  <c r="P1436" i="1"/>
  <c r="N1436" i="1" s="1"/>
  <c r="P1575" i="1"/>
  <c r="N1575" i="1" s="1"/>
  <c r="P75" i="1"/>
  <c r="N75" i="1" s="1"/>
  <c r="P81" i="1"/>
  <c r="N81" i="1" s="1"/>
  <c r="P286" i="1"/>
  <c r="N286" i="1" s="1"/>
  <c r="P288" i="1"/>
  <c r="N288" i="1" s="1"/>
  <c r="P4375" i="1"/>
  <c r="N4375" i="1" s="1"/>
  <c r="P4381" i="1"/>
  <c r="N4381" i="1" s="1"/>
  <c r="P265" i="1"/>
  <c r="N265" i="1" s="1"/>
  <c r="P266" i="1"/>
  <c r="N266" i="1" s="1"/>
  <c r="P271" i="1"/>
  <c r="N271" i="1" s="1"/>
  <c r="P281" i="1"/>
  <c r="N281" i="1" s="1"/>
  <c r="P65" i="1"/>
  <c r="N65" i="1" s="1"/>
  <c r="P2829" i="1"/>
  <c r="N2829" i="1" s="1"/>
  <c r="P1058" i="1"/>
  <c r="N1058" i="1" s="1"/>
  <c r="P2055" i="1"/>
  <c r="N2055" i="1" s="1"/>
  <c r="P2103" i="1"/>
  <c r="N2103" i="1" s="1"/>
  <c r="P3042" i="1"/>
  <c r="N3042" i="1" s="1"/>
  <c r="P955" i="1"/>
  <c r="N955" i="1" s="1"/>
  <c r="P1237" i="1"/>
  <c r="N1237" i="1" s="1"/>
  <c r="P1434" i="1"/>
  <c r="N1434" i="1" s="1"/>
  <c r="P4578" i="1"/>
  <c r="N4578" i="1" s="1"/>
  <c r="P4582" i="1"/>
  <c r="N4582" i="1" s="1"/>
  <c r="P4583" i="1"/>
  <c r="N4583" i="1" s="1"/>
  <c r="P4584" i="1"/>
  <c r="N4584" i="1" s="1"/>
  <c r="P4585" i="1"/>
  <c r="N4585" i="1" s="1"/>
  <c r="P4586" i="1"/>
  <c r="N4586" i="1" s="1"/>
  <c r="P4587" i="1"/>
  <c r="N4587" i="1" s="1"/>
  <c r="P4588" i="1"/>
  <c r="N4588" i="1" s="1"/>
  <c r="P4589" i="1"/>
  <c r="N4589" i="1" s="1"/>
  <c r="P4590" i="1"/>
  <c r="N4590" i="1" s="1"/>
  <c r="P4591" i="1"/>
  <c r="N4591" i="1" s="1"/>
  <c r="P4592" i="1"/>
  <c r="N4592" i="1" s="1"/>
  <c r="P4593" i="1"/>
  <c r="N4593" i="1" s="1"/>
  <c r="P4594" i="1"/>
  <c r="N4594" i="1" s="1"/>
  <c r="P4595" i="1"/>
  <c r="N4595" i="1" s="1"/>
  <c r="P4596" i="1"/>
  <c r="N4596" i="1" s="1"/>
  <c r="P4597" i="1"/>
  <c r="N4597" i="1" s="1"/>
  <c r="P4598" i="1"/>
  <c r="N4598" i="1" s="1"/>
  <c r="P4599" i="1"/>
  <c r="N4599" i="1" s="1"/>
  <c r="P4600" i="1"/>
  <c r="N4600" i="1" s="1"/>
  <c r="P4601" i="1"/>
  <c r="N4601" i="1" s="1"/>
  <c r="P4602" i="1"/>
  <c r="N4602" i="1" s="1"/>
  <c r="P4603" i="1"/>
  <c r="N4603" i="1" s="1"/>
  <c r="P4604" i="1"/>
  <c r="N4604" i="1" s="1"/>
  <c r="P4605" i="1"/>
  <c r="N4605" i="1" s="1"/>
  <c r="P4606" i="1"/>
  <c r="N4606" i="1" s="1"/>
  <c r="P4607" i="1"/>
  <c r="N4607" i="1" s="1"/>
  <c r="P4608" i="1"/>
  <c r="N4608" i="1" s="1"/>
  <c r="P4609" i="1"/>
  <c r="N4609" i="1" s="1"/>
  <c r="P4610" i="1"/>
  <c r="N4610" i="1" s="1"/>
  <c r="P4611" i="1"/>
  <c r="N4611" i="1" s="1"/>
  <c r="P4612" i="1"/>
  <c r="N4612" i="1" s="1"/>
  <c r="P4613" i="1"/>
  <c r="N4613" i="1" s="1"/>
  <c r="P4614" i="1"/>
  <c r="N4614" i="1" s="1"/>
  <c r="P4615" i="1"/>
  <c r="N4615" i="1" s="1"/>
  <c r="P4616" i="1"/>
  <c r="N4616" i="1" s="1"/>
  <c r="P4617" i="1"/>
  <c r="N4617" i="1" s="1"/>
  <c r="P4618" i="1"/>
  <c r="N4618" i="1" s="1"/>
  <c r="P4619" i="1"/>
  <c r="N4619" i="1" s="1"/>
  <c r="P4620" i="1"/>
  <c r="N4620" i="1" s="1"/>
  <c r="P4621" i="1"/>
  <c r="N4621" i="1" s="1"/>
  <c r="P4622" i="1"/>
  <c r="N4622" i="1" s="1"/>
  <c r="P4623" i="1"/>
  <c r="N4623" i="1" s="1"/>
  <c r="P4624" i="1"/>
  <c r="N4624" i="1" s="1"/>
  <c r="P4625" i="1"/>
  <c r="N4625" i="1" s="1"/>
  <c r="P4626" i="1"/>
  <c r="N4626" i="1" s="1"/>
  <c r="P4627" i="1"/>
  <c r="N4627" i="1" s="1"/>
  <c r="P4628" i="1"/>
  <c r="N4628" i="1" s="1"/>
  <c r="P4629" i="1"/>
  <c r="N4629" i="1" s="1"/>
  <c r="P4630" i="1"/>
  <c r="N4630" i="1" s="1"/>
  <c r="P4631" i="1"/>
  <c r="N4631" i="1" s="1"/>
  <c r="P4632" i="1"/>
  <c r="N4632" i="1" s="1"/>
  <c r="P4633" i="1"/>
  <c r="N4633" i="1" s="1"/>
  <c r="P4634" i="1"/>
  <c r="N4634" i="1" s="1"/>
  <c r="P4635" i="1"/>
  <c r="N4635" i="1" s="1"/>
  <c r="P4636" i="1"/>
  <c r="N4636" i="1" s="1"/>
  <c r="P4637" i="1"/>
  <c r="N4637" i="1" s="1"/>
  <c r="P4638" i="1"/>
  <c r="N4638" i="1" s="1"/>
  <c r="P4639" i="1"/>
  <c r="N4639" i="1" s="1"/>
  <c r="P4640" i="1"/>
  <c r="N4640" i="1" s="1"/>
  <c r="P8" i="1"/>
  <c r="N8" i="1" s="1"/>
  <c r="P532" i="1"/>
  <c r="N532" i="1" s="1"/>
  <c r="P1067" i="1"/>
  <c r="N1067" i="1" s="1"/>
  <c r="P4889" i="1"/>
  <c r="N4889" i="1" s="1"/>
  <c r="P4899" i="1"/>
  <c r="N4899" i="1" s="1"/>
  <c r="P1099" i="1"/>
  <c r="N1099" i="1" s="1"/>
  <c r="P1840" i="1"/>
  <c r="N1840" i="1" s="1"/>
  <c r="P1888" i="1"/>
  <c r="N1888" i="1" s="1"/>
  <c r="P62" i="1"/>
  <c r="P3745" i="1"/>
  <c r="N3745" i="1" s="1"/>
  <c r="P3730" i="1"/>
  <c r="N3730" i="1" s="1"/>
  <c r="P1134" i="1"/>
  <c r="N1134" i="1" s="1"/>
  <c r="P3606" i="1"/>
  <c r="N3606" i="1" s="1"/>
  <c r="P1583" i="1"/>
  <c r="N1583" i="1" s="1"/>
  <c r="P1913" i="1"/>
  <c r="N1913" i="1" s="1"/>
  <c r="P2011" i="1"/>
  <c r="N2011" i="1" s="1"/>
  <c r="P3008" i="1"/>
  <c r="N3008" i="1" s="1"/>
  <c r="P961" i="1"/>
  <c r="N961" i="1" s="1"/>
  <c r="P993" i="1"/>
  <c r="N993" i="1" s="1"/>
  <c r="P1019" i="1"/>
  <c r="N1019" i="1" s="1"/>
  <c r="P1796" i="1"/>
  <c r="N1796" i="1" s="1"/>
  <c r="P2853" i="1"/>
  <c r="N2853" i="1" s="1"/>
  <c r="P2894" i="1"/>
  <c r="N2894" i="1" s="1"/>
  <c r="P920" i="1"/>
  <c r="N920" i="1" s="1"/>
  <c r="P1170" i="1"/>
  <c r="N1170" i="1" s="1"/>
  <c r="P1271" i="1"/>
  <c r="N1271" i="1" s="1"/>
  <c r="P1343" i="1"/>
  <c r="N1343" i="1" s="1"/>
  <c r="P1372" i="1"/>
  <c r="N1372" i="1" s="1"/>
  <c r="P1409" i="1"/>
  <c r="N1409" i="1" s="1"/>
  <c r="P4036" i="1"/>
  <c r="N4036" i="1" s="1"/>
  <c r="P4040" i="1"/>
  <c r="N4040" i="1" s="1"/>
  <c r="P4041" i="1"/>
  <c r="N4041" i="1" s="1"/>
  <c r="P4042" i="1"/>
  <c r="N4042" i="1" s="1"/>
  <c r="P4043" i="1"/>
  <c r="N4043" i="1" s="1"/>
  <c r="P4044" i="1"/>
  <c r="N4044" i="1" s="1"/>
  <c r="P4045" i="1"/>
  <c r="N4045" i="1" s="1"/>
  <c r="P4046" i="1"/>
  <c r="N4046" i="1" s="1"/>
  <c r="P4047" i="1"/>
  <c r="N4047" i="1" s="1"/>
  <c r="P4048" i="1"/>
  <c r="N4048" i="1" s="1"/>
  <c r="P4049" i="1"/>
  <c r="N4049" i="1" s="1"/>
  <c r="P4050" i="1"/>
  <c r="N4050" i="1" s="1"/>
  <c r="P4051" i="1"/>
  <c r="N4051" i="1" s="1"/>
  <c r="P4052" i="1"/>
  <c r="N4052" i="1" s="1"/>
  <c r="P4053" i="1"/>
  <c r="N4053" i="1" s="1"/>
  <c r="P4054" i="1"/>
  <c r="N4054" i="1" s="1"/>
  <c r="P4055" i="1"/>
  <c r="N4055" i="1" s="1"/>
  <c r="P4056" i="1"/>
  <c r="N4056" i="1" s="1"/>
  <c r="P4057" i="1"/>
  <c r="N4057" i="1" s="1"/>
  <c r="P4058" i="1"/>
  <c r="N4058" i="1" s="1"/>
  <c r="P4059" i="1"/>
  <c r="N4059" i="1" s="1"/>
  <c r="P4060" i="1"/>
  <c r="N4060" i="1" s="1"/>
  <c r="P4061" i="1"/>
  <c r="N4061" i="1" s="1"/>
  <c r="P4062" i="1"/>
  <c r="N4062" i="1" s="1"/>
  <c r="P4063" i="1"/>
  <c r="N4063" i="1" s="1"/>
  <c r="P4064" i="1"/>
  <c r="N4064" i="1" s="1"/>
  <c r="P4065" i="1"/>
  <c r="N4065" i="1" s="1"/>
  <c r="P4066" i="1"/>
  <c r="N4066" i="1" s="1"/>
  <c r="P4067" i="1"/>
  <c r="N4067" i="1" s="1"/>
  <c r="P4068" i="1"/>
  <c r="N4068" i="1" s="1"/>
  <c r="P4069" i="1"/>
  <c r="N4069" i="1" s="1"/>
  <c r="P4070" i="1"/>
  <c r="N4070" i="1" s="1"/>
  <c r="P4071" i="1"/>
  <c r="N4071" i="1" s="1"/>
  <c r="P4072" i="1"/>
  <c r="N4072" i="1" s="1"/>
  <c r="P4073" i="1"/>
  <c r="N4073" i="1" s="1"/>
  <c r="P4074" i="1"/>
  <c r="N4074" i="1" s="1"/>
  <c r="P4075" i="1"/>
  <c r="N4075" i="1" s="1"/>
  <c r="P4076" i="1"/>
  <c r="N4076" i="1" s="1"/>
  <c r="P4077" i="1"/>
  <c r="N4077" i="1" s="1"/>
  <c r="P4078" i="1"/>
  <c r="N4078" i="1" s="1"/>
  <c r="P4079" i="1"/>
  <c r="N4079" i="1" s="1"/>
  <c r="P4080" i="1"/>
  <c r="N4080" i="1" s="1"/>
  <c r="P4081" i="1"/>
  <c r="N4081" i="1" s="1"/>
  <c r="P4082" i="1"/>
  <c r="N4082" i="1" s="1"/>
  <c r="P4083" i="1"/>
  <c r="N4083" i="1" s="1"/>
  <c r="P4084" i="1"/>
  <c r="N4084" i="1" s="1"/>
  <c r="P4085" i="1"/>
  <c r="N4085" i="1" s="1"/>
  <c r="P4086" i="1"/>
  <c r="N4086" i="1" s="1"/>
  <c r="P4087" i="1"/>
  <c r="N4087" i="1" s="1"/>
  <c r="P4088" i="1"/>
  <c r="N4088" i="1" s="1"/>
  <c r="P4089" i="1"/>
  <c r="N4089" i="1" s="1"/>
  <c r="P4090" i="1"/>
  <c r="N4090" i="1" s="1"/>
  <c r="P4091" i="1"/>
  <c r="N4091" i="1" s="1"/>
  <c r="P4092" i="1"/>
  <c r="N4092" i="1" s="1"/>
  <c r="P4093" i="1"/>
  <c r="N4093" i="1" s="1"/>
  <c r="P4094" i="1"/>
  <c r="N4094" i="1" s="1"/>
  <c r="P4095" i="1"/>
  <c r="N4095" i="1" s="1"/>
  <c r="P4096" i="1"/>
  <c r="N4096" i="1" s="1"/>
  <c r="P4097" i="1"/>
  <c r="N4097" i="1" s="1"/>
  <c r="P4098" i="1"/>
  <c r="N4098" i="1" s="1"/>
  <c r="P2824" i="1"/>
  <c r="N2824" i="1" s="1"/>
  <c r="P2128" i="1"/>
  <c r="N2128" i="1" s="1"/>
  <c r="P3558" i="1"/>
  <c r="N3558" i="1" s="1"/>
  <c r="P873" i="1"/>
  <c r="N873" i="1" s="1"/>
  <c r="P880" i="1"/>
  <c r="N880" i="1" s="1"/>
  <c r="P902" i="1"/>
  <c r="N902" i="1" s="1"/>
  <c r="P780" i="1"/>
  <c r="N780" i="1" s="1"/>
  <c r="P799" i="1"/>
  <c r="N799" i="1" s="1"/>
  <c r="P896" i="1"/>
  <c r="N896" i="1" s="1"/>
  <c r="P856" i="1"/>
  <c r="P858" i="1"/>
  <c r="N858" i="1" s="1"/>
  <c r="P890" i="1"/>
  <c r="N890" i="1" s="1"/>
  <c r="P787" i="1"/>
  <c r="N787" i="1" s="1"/>
  <c r="P792" i="1"/>
  <c r="N792" i="1" s="1"/>
  <c r="P830" i="1"/>
  <c r="N830" i="1" s="1"/>
  <c r="P838" i="1"/>
  <c r="N838" i="1" s="1"/>
  <c r="P2904" i="1"/>
  <c r="N2904" i="1" s="1"/>
  <c r="P2922" i="1"/>
  <c r="N2922" i="1" s="1"/>
  <c r="P807" i="1"/>
  <c r="P813" i="1"/>
  <c r="N813" i="1" s="1"/>
  <c r="P819" i="1"/>
  <c r="N819" i="1" s="1"/>
  <c r="P827" i="1"/>
  <c r="N827" i="1" s="1"/>
  <c r="P885" i="1"/>
  <c r="N885" i="1" s="1"/>
  <c r="P2239" i="1"/>
  <c r="N2239" i="1" s="1"/>
  <c r="P847" i="1"/>
  <c r="P3741" i="1"/>
  <c r="N3741" i="1" s="1"/>
  <c r="P1089" i="1"/>
  <c r="N1089" i="1" s="1"/>
  <c r="P4902" i="1"/>
  <c r="N4902" i="1" s="1"/>
  <c r="P4913" i="1"/>
  <c r="N4913" i="1" s="1"/>
  <c r="P1123" i="1"/>
  <c r="N1123" i="1" s="1"/>
  <c r="P1793" i="1"/>
  <c r="N1793" i="1" s="1"/>
  <c r="P1828" i="1"/>
  <c r="N1828" i="1" s="1"/>
  <c r="P1879" i="1"/>
  <c r="N1879" i="1" s="1"/>
  <c r="P1909" i="1"/>
  <c r="N1909" i="1" s="1"/>
  <c r="P2008" i="1"/>
  <c r="N2008" i="1" s="1"/>
  <c r="P2043" i="1"/>
  <c r="N2043" i="1" s="1"/>
  <c r="P2144" i="1"/>
  <c r="N2144" i="1" s="1"/>
  <c r="P2427" i="1"/>
  <c r="N2427" i="1" s="1"/>
  <c r="P2934" i="1"/>
  <c r="N2934" i="1" s="1"/>
  <c r="P3039" i="1"/>
  <c r="N3039" i="1" s="1"/>
  <c r="P917" i="1"/>
  <c r="N917" i="1" s="1"/>
  <c r="P954" i="1"/>
  <c r="N954" i="1" s="1"/>
  <c r="P1234" i="1"/>
  <c r="N1234" i="1" s="1"/>
  <c r="P1262" i="1"/>
  <c r="N1262" i="1" s="1"/>
  <c r="P1340" i="1"/>
  <c r="N1340" i="1" s="1"/>
  <c r="P1360" i="1"/>
  <c r="N1360" i="1" s="1"/>
  <c r="P1406" i="1"/>
  <c r="N1406" i="1" s="1"/>
  <c r="P1431" i="1"/>
  <c r="N1431" i="1" s="1"/>
  <c r="P1570" i="1"/>
  <c r="N1570" i="1" s="1"/>
  <c r="P418" i="1"/>
  <c r="N418" i="1" s="1"/>
  <c r="P439" i="1"/>
  <c r="N439" i="1" s="1"/>
  <c r="P523" i="1"/>
  <c r="N523" i="1" s="1"/>
  <c r="P495" i="1"/>
  <c r="N495" i="1" s="1"/>
  <c r="P502" i="1"/>
  <c r="N502" i="1" s="1"/>
  <c r="P516" i="1"/>
  <c r="N516" i="1" s="1"/>
  <c r="P3703" i="1"/>
  <c r="N3703" i="1" s="1"/>
  <c r="P425" i="1"/>
  <c r="N425" i="1" s="1"/>
  <c r="P432" i="1"/>
  <c r="N432" i="1" s="1"/>
  <c r="P474" i="1"/>
  <c r="N474" i="1" s="1"/>
  <c r="P482" i="1"/>
  <c r="N482" i="1" s="1"/>
  <c r="P446" i="1"/>
  <c r="N446" i="1" s="1"/>
  <c r="P453" i="1"/>
  <c r="N453" i="1" s="1"/>
  <c r="P460" i="1"/>
  <c r="N460" i="1" s="1"/>
  <c r="P467" i="1"/>
  <c r="N467" i="1" s="1"/>
  <c r="P510" i="1"/>
  <c r="N510" i="1" s="1"/>
  <c r="P489" i="1"/>
  <c r="N489" i="1" s="1"/>
  <c r="P2850" i="1"/>
  <c r="N2850" i="1" s="1"/>
  <c r="P1063" i="1"/>
  <c r="N1063" i="1" s="1"/>
  <c r="P2100" i="1"/>
  <c r="N2100" i="1" s="1"/>
  <c r="P2126" i="1"/>
  <c r="N2126" i="1" s="1"/>
  <c r="P3560" i="1"/>
  <c r="N3560" i="1" s="1"/>
  <c r="P724" i="1"/>
  <c r="N724" i="1" s="1"/>
  <c r="P730" i="1"/>
  <c r="N730" i="1" s="1"/>
  <c r="P758" i="1"/>
  <c r="N758" i="1" s="1"/>
  <c r="P764" i="1"/>
  <c r="N764" i="1" s="1"/>
  <c r="P769" i="1"/>
  <c r="N769" i="1" s="1"/>
  <c r="P749" i="1"/>
  <c r="N749" i="1" s="1"/>
  <c r="P740" i="1"/>
  <c r="N740" i="1" s="1"/>
  <c r="P680" i="1"/>
  <c r="N680" i="1" s="1"/>
  <c r="P685" i="1"/>
  <c r="N685" i="1" s="1"/>
  <c r="P692" i="1"/>
  <c r="N692" i="1" s="1"/>
  <c r="P699" i="1"/>
  <c r="N699" i="1" s="1"/>
  <c r="P708" i="1"/>
  <c r="N708" i="1" s="1"/>
  <c r="P2237" i="1"/>
  <c r="N2237" i="1" s="1"/>
  <c r="P715" i="1"/>
  <c r="N715" i="1" s="1"/>
  <c r="P1359" i="1"/>
  <c r="N1359" i="1" s="1"/>
  <c r="P1404" i="1"/>
  <c r="N1404" i="1" s="1"/>
  <c r="P1430" i="1"/>
  <c r="N1430" i="1" s="1"/>
  <c r="P988" i="1"/>
  <c r="N988" i="1" s="1"/>
  <c r="P1010" i="1"/>
  <c r="N1010" i="1" s="1"/>
  <c r="P1036" i="1"/>
  <c r="N1036" i="1" s="1"/>
  <c r="P4909" i="1"/>
  <c r="N4909" i="1" s="1"/>
  <c r="P1792" i="1"/>
  <c r="N1792" i="1" s="1"/>
  <c r="P1827" i="1"/>
  <c r="N1827" i="1" s="1"/>
  <c r="P1877" i="1"/>
  <c r="N1877" i="1" s="1"/>
  <c r="P1908" i="1"/>
  <c r="N1908" i="1" s="1"/>
  <c r="P2007" i="1"/>
  <c r="N2007" i="1" s="1"/>
  <c r="P2042" i="1"/>
  <c r="N2042" i="1" s="1"/>
  <c r="P2142" i="1"/>
  <c r="N2142" i="1" s="1"/>
  <c r="P2454" i="1"/>
  <c r="N2454" i="1" s="1"/>
  <c r="P4998" i="1"/>
  <c r="N4998" i="1" s="1"/>
  <c r="P2906" i="1"/>
  <c r="N2906" i="1" s="1"/>
  <c r="P3038" i="1"/>
  <c r="N3038" i="1" s="1"/>
  <c r="P3269" i="1"/>
  <c r="N3269" i="1" s="1"/>
  <c r="P950" i="1"/>
  <c r="N950" i="1" s="1"/>
  <c r="P1229" i="1"/>
  <c r="N1229" i="1" s="1"/>
  <c r="P1259" i="1"/>
  <c r="N1259" i="1" s="1"/>
  <c r="P1337" i="1"/>
  <c r="N1337" i="1" s="1"/>
  <c r="P370" i="1"/>
  <c r="N370" i="1" s="1"/>
  <c r="P378" i="1"/>
  <c r="N378" i="1" s="1"/>
  <c r="P23" i="1"/>
  <c r="N23" i="1" s="1"/>
  <c r="P398" i="1"/>
  <c r="N398" i="1" s="1"/>
  <c r="P405" i="1"/>
  <c r="N405" i="1" s="1"/>
  <c r="P412" i="1"/>
  <c r="N412" i="1" s="1"/>
  <c r="P388" i="1"/>
  <c r="N388" i="1" s="1"/>
  <c r="P304" i="1"/>
  <c r="N304" i="1" s="1"/>
  <c r="P312" i="1"/>
  <c r="N312" i="1" s="1"/>
  <c r="P319" i="1"/>
  <c r="N319" i="1" s="1"/>
  <c r="P326" i="1"/>
  <c r="N326" i="1" s="1"/>
  <c r="P335" i="1"/>
  <c r="N335" i="1" s="1"/>
  <c r="P342" i="1"/>
  <c r="N342" i="1" s="1"/>
  <c r="P349" i="1"/>
  <c r="N349" i="1" s="1"/>
  <c r="P356" i="1"/>
  <c r="N356" i="1" s="1"/>
  <c r="P363" i="1"/>
  <c r="N363" i="1" s="1"/>
  <c r="P2852" i="1"/>
  <c r="N2852" i="1" s="1"/>
  <c r="P1059" i="1"/>
  <c r="N1059" i="1" s="1"/>
  <c r="P2106" i="1"/>
  <c r="N2106" i="1" s="1"/>
  <c r="P3542" i="1"/>
  <c r="N3542" i="1" s="1"/>
  <c r="P942" i="1"/>
  <c r="N942" i="1" s="1"/>
  <c r="P1268" i="1"/>
  <c r="N1268" i="1" s="1"/>
  <c r="P1580" i="1"/>
  <c r="N1580" i="1" s="1"/>
  <c r="P216" i="1"/>
  <c r="N216" i="1" s="1"/>
  <c r="P562" i="1"/>
  <c r="N562" i="1" s="1"/>
  <c r="P571" i="1"/>
  <c r="N571" i="1" s="1"/>
  <c r="P578" i="1"/>
  <c r="P586" i="1"/>
  <c r="N586" i="1" s="1"/>
  <c r="P597" i="1"/>
  <c r="N597" i="1" s="1"/>
  <c r="P604" i="1"/>
  <c r="N604" i="1" s="1"/>
  <c r="P644" i="1"/>
  <c r="N644" i="1" s="1"/>
  <c r="P654" i="1"/>
  <c r="N654" i="1" s="1"/>
  <c r="P663" i="1"/>
  <c r="N663" i="1" s="1"/>
  <c r="P2242" i="1"/>
  <c r="N2242" i="1" s="1"/>
  <c r="P615" i="1"/>
  <c r="N615" i="1" s="1"/>
  <c r="P621" i="1"/>
  <c r="N621" i="1" s="1"/>
  <c r="P629" i="1"/>
  <c r="N629" i="1" s="1"/>
  <c r="P637" i="1"/>
  <c r="N637" i="1" s="1"/>
  <c r="P66" i="1"/>
  <c r="N66" i="1" s="1"/>
  <c r="P67" i="1"/>
  <c r="N67" i="1" s="1"/>
  <c r="P68" i="1"/>
  <c r="N68" i="1" s="1"/>
  <c r="P69" i="1"/>
  <c r="N69" i="1" s="1"/>
  <c r="P1165" i="1"/>
  <c r="N1165" i="1" s="1"/>
  <c r="P3601" i="1"/>
  <c r="N3601" i="1" s="1"/>
  <c r="P1095" i="1"/>
  <c r="N1095" i="1" s="1"/>
  <c r="P4914" i="1"/>
  <c r="N4914" i="1" s="1"/>
  <c r="P1130" i="1"/>
  <c r="N1130" i="1" s="1"/>
  <c r="P1803" i="1"/>
  <c r="N1803" i="1" s="1"/>
  <c r="P2018" i="1"/>
  <c r="N2018" i="1" s="1"/>
  <c r="P2053" i="1"/>
  <c r="N2053" i="1" s="1"/>
  <c r="P2432" i="1"/>
  <c r="N2432" i="1" s="1"/>
  <c r="P3014" i="1"/>
  <c r="N3014" i="1" s="1"/>
  <c r="P987" i="1"/>
  <c r="N987" i="1" s="1"/>
  <c r="P1009" i="1"/>
  <c r="N1009" i="1" s="1"/>
  <c r="P1031" i="1"/>
  <c r="N1031" i="1" s="1"/>
  <c r="P4903" i="1"/>
  <c r="N4903" i="1" s="1"/>
  <c r="P1838" i="1"/>
  <c r="N1838" i="1" s="1"/>
  <c r="P1865" i="1"/>
  <c r="N1865" i="1" s="1"/>
  <c r="P1899" i="1"/>
  <c r="N1899" i="1" s="1"/>
  <c r="P2893" i="1"/>
  <c r="N2893" i="1" s="1"/>
  <c r="P2913" i="1"/>
  <c r="N2913" i="1" s="1"/>
  <c r="P912" i="1"/>
  <c r="N912" i="1" s="1"/>
  <c r="P1226" i="1"/>
  <c r="N1226" i="1" s="1"/>
  <c r="P1346" i="1"/>
  <c r="N1346" i="1" s="1"/>
  <c r="P1370" i="1"/>
  <c r="N1370" i="1" s="1"/>
  <c r="P1414" i="1"/>
  <c r="N1414" i="1" s="1"/>
  <c r="P1441" i="1"/>
  <c r="N1441" i="1" s="1"/>
  <c r="P82" i="1"/>
  <c r="N82" i="1" s="1"/>
  <c r="P91" i="1"/>
  <c r="N91" i="1" s="1"/>
  <c r="P107" i="1"/>
  <c r="N107" i="1" s="1"/>
  <c r="P109" i="1"/>
  <c r="N109" i="1" s="1"/>
  <c r="P117" i="1"/>
  <c r="N117" i="1" s="1"/>
  <c r="P126" i="1"/>
  <c r="N126" i="1" s="1"/>
  <c r="P134" i="1"/>
  <c r="N134" i="1" s="1"/>
  <c r="P143" i="1"/>
  <c r="N143" i="1" s="1"/>
  <c r="P151" i="1"/>
  <c r="N151" i="1" s="1"/>
  <c r="P160" i="1"/>
  <c r="N160" i="1" s="1"/>
  <c r="P2105" i="1"/>
  <c r="N2105" i="1" s="1"/>
  <c r="P3096" i="1"/>
  <c r="N3096" i="1" s="1"/>
  <c r="P2759" i="1"/>
  <c r="N2759" i="1" s="1"/>
  <c r="P1304" i="1"/>
  <c r="N1304" i="1" s="1"/>
  <c r="P1300" i="1"/>
  <c r="N1300" i="1" s="1"/>
  <c r="P1284" i="1"/>
  <c r="N1284" i="1" s="1"/>
  <c r="P1730" i="1"/>
  <c r="N1730" i="1" s="1"/>
  <c r="P1285" i="1"/>
  <c r="N1285" i="1" s="1"/>
  <c r="P1286" i="1"/>
  <c r="N1286" i="1" s="1"/>
  <c r="P1731" i="1"/>
  <c r="N1731" i="1" s="1"/>
  <c r="P1732" i="1"/>
  <c r="N1732" i="1" s="1"/>
  <c r="P1733" i="1"/>
  <c r="N1733" i="1" s="1"/>
  <c r="P1734" i="1"/>
  <c r="N1734" i="1" s="1"/>
  <c r="P1735" i="1"/>
  <c r="N1735" i="1" s="1"/>
  <c r="P1736" i="1"/>
  <c r="N1736" i="1" s="1"/>
  <c r="P1737" i="1"/>
  <c r="N1737" i="1" s="1"/>
  <c r="P1738" i="1"/>
  <c r="N1738" i="1" s="1"/>
  <c r="P1739" i="1"/>
  <c r="N1739" i="1" s="1"/>
  <c r="P1740" i="1"/>
  <c r="N1740" i="1" s="1"/>
  <c r="P1741" i="1"/>
  <c r="N1741" i="1" s="1"/>
  <c r="P1742" i="1"/>
  <c r="N1742" i="1" s="1"/>
  <c r="P1743" i="1"/>
  <c r="N1743" i="1" s="1"/>
  <c r="P1744" i="1"/>
  <c r="N1744" i="1" s="1"/>
  <c r="P1745" i="1"/>
  <c r="N1745" i="1" s="1"/>
  <c r="P1746" i="1"/>
  <c r="N1746" i="1" s="1"/>
  <c r="P1747" i="1"/>
  <c r="N1747" i="1" s="1"/>
  <c r="P1726" i="1"/>
  <c r="N1726" i="1" s="1"/>
  <c r="P1727" i="1"/>
  <c r="N1727" i="1" s="1"/>
  <c r="P1748" i="1"/>
  <c r="N1748" i="1" s="1"/>
  <c r="P1749" i="1"/>
  <c r="N1749" i="1" s="1"/>
  <c r="P1750" i="1"/>
  <c r="N1750" i="1" s="1"/>
  <c r="P2339" i="1"/>
  <c r="N2339" i="1" s="1"/>
  <c r="P2341" i="1"/>
  <c r="N2341" i="1" s="1"/>
  <c r="P2345" i="1"/>
  <c r="N2345" i="1" s="1"/>
  <c r="P2346" i="1"/>
  <c r="N2346" i="1" s="1"/>
  <c r="P2347" i="1"/>
  <c r="N2347" i="1" s="1"/>
  <c r="P2348" i="1"/>
  <c r="N2348" i="1" s="1"/>
  <c r="P2349" i="1"/>
  <c r="N2349" i="1" s="1"/>
  <c r="P2350" i="1"/>
  <c r="N2350" i="1" s="1"/>
  <c r="P2351" i="1"/>
  <c r="N2351" i="1" s="1"/>
  <c r="P2352" i="1"/>
  <c r="N2352" i="1" s="1"/>
  <c r="P2353" i="1"/>
  <c r="N2353" i="1" s="1"/>
  <c r="P2354" i="1"/>
  <c r="N2354" i="1" s="1"/>
  <c r="P2355" i="1"/>
  <c r="N2355" i="1" s="1"/>
  <c r="P2356" i="1"/>
  <c r="N2356" i="1" s="1"/>
  <c r="P2357" i="1"/>
  <c r="N2357" i="1" s="1"/>
  <c r="P2358" i="1"/>
  <c r="N2358" i="1" s="1"/>
  <c r="P2359" i="1"/>
  <c r="N2359" i="1" s="1"/>
  <c r="P2360" i="1"/>
  <c r="N2360" i="1" s="1"/>
  <c r="P2361" i="1"/>
  <c r="N2361" i="1" s="1"/>
  <c r="P2362" i="1"/>
  <c r="N2362" i="1" s="1"/>
  <c r="P2363" i="1"/>
  <c r="N2363" i="1" s="1"/>
  <c r="P2364" i="1"/>
  <c r="N2364" i="1" s="1"/>
  <c r="P2365" i="1"/>
  <c r="N2365" i="1" s="1"/>
  <c r="P2366" i="1"/>
  <c r="N2366" i="1" s="1"/>
  <c r="P2367" i="1"/>
  <c r="N2367" i="1" s="1"/>
  <c r="P2368" i="1"/>
  <c r="N2368" i="1" s="1"/>
  <c r="P2369" i="1"/>
  <c r="N2369" i="1" s="1"/>
  <c r="P3639" i="1"/>
  <c r="N3639" i="1" s="1"/>
  <c r="P3640" i="1"/>
  <c r="N3640" i="1" s="1"/>
  <c r="P3641" i="1"/>
  <c r="N3641" i="1" s="1"/>
  <c r="P3642" i="1"/>
  <c r="N3642" i="1" s="1"/>
  <c r="P3643" i="1"/>
  <c r="N3643" i="1" s="1"/>
  <c r="P3644" i="1"/>
  <c r="N3644" i="1" s="1"/>
  <c r="P3645" i="1"/>
  <c r="N3645" i="1" s="1"/>
  <c r="P3646" i="1"/>
  <c r="N3646" i="1" s="1"/>
  <c r="P3647" i="1"/>
  <c r="N3647" i="1" s="1"/>
  <c r="P3648" i="1"/>
  <c r="N3648" i="1" s="1"/>
  <c r="P3649" i="1"/>
  <c r="N3649" i="1" s="1"/>
  <c r="P3650" i="1"/>
  <c r="N3650" i="1" s="1"/>
  <c r="P3651" i="1"/>
  <c r="N3651" i="1" s="1"/>
  <c r="P3652" i="1"/>
  <c r="N3652" i="1" s="1"/>
  <c r="P3653" i="1"/>
  <c r="N3653" i="1" s="1"/>
  <c r="P3654" i="1"/>
  <c r="N3654" i="1" s="1"/>
  <c r="P3655" i="1"/>
  <c r="N3655" i="1" s="1"/>
  <c r="P3656" i="1"/>
  <c r="N3656" i="1" s="1"/>
  <c r="P3657" i="1"/>
  <c r="N3657" i="1" s="1"/>
  <c r="P3658" i="1"/>
  <c r="N3658" i="1" s="1"/>
  <c r="P3670" i="1"/>
  <c r="N3670" i="1" s="1"/>
  <c r="P3672" i="1"/>
  <c r="N3672" i="1" s="1"/>
  <c r="P3659" i="1"/>
  <c r="N3659" i="1" s="1"/>
  <c r="P3660" i="1"/>
  <c r="N3660" i="1" s="1"/>
  <c r="P3671" i="1"/>
  <c r="N3671" i="1" s="1"/>
  <c r="P3666" i="1"/>
  <c r="N3666" i="1" s="1"/>
  <c r="P3661" i="1"/>
  <c r="N3661" i="1" s="1"/>
  <c r="P3662" i="1"/>
  <c r="N3662" i="1" s="1"/>
  <c r="P3663" i="1"/>
  <c r="N3663" i="1" s="1"/>
  <c r="P3748" i="1"/>
  <c r="N3748" i="1" s="1"/>
  <c r="P3749" i="1"/>
  <c r="N3749" i="1" s="1"/>
  <c r="P3750" i="1"/>
  <c r="N3750" i="1" s="1"/>
  <c r="P3751" i="1"/>
  <c r="N3751" i="1" s="1"/>
  <c r="P3752" i="1"/>
  <c r="N3752" i="1" s="1"/>
  <c r="P3753" i="1"/>
  <c r="N3753" i="1" s="1"/>
  <c r="P3754" i="1"/>
  <c r="N3754" i="1" s="1"/>
  <c r="P3755" i="1"/>
  <c r="N3755" i="1" s="1"/>
  <c r="P3756" i="1"/>
  <c r="N3756" i="1" s="1"/>
  <c r="P3757" i="1"/>
  <c r="N3757" i="1" s="1"/>
  <c r="P3758" i="1"/>
  <c r="N3758" i="1" s="1"/>
  <c r="P3759" i="1"/>
  <c r="N3759" i="1" s="1"/>
  <c r="P3760" i="1"/>
  <c r="N3760" i="1" s="1"/>
  <c r="P3761" i="1"/>
  <c r="N3761" i="1" s="1"/>
  <c r="P3762" i="1"/>
  <c r="N3762" i="1" s="1"/>
  <c r="P3763" i="1"/>
  <c r="N3763" i="1" s="1"/>
  <c r="P3764" i="1"/>
  <c r="N3764" i="1" s="1"/>
  <c r="P3765" i="1"/>
  <c r="N3765" i="1" s="1"/>
  <c r="P3766" i="1"/>
  <c r="N3766" i="1" s="1"/>
  <c r="P3767" i="1"/>
  <c r="N3767" i="1" s="1"/>
  <c r="P3779" i="1"/>
  <c r="N3779" i="1" s="1"/>
  <c r="P3780" i="1"/>
  <c r="N3780" i="1" s="1"/>
  <c r="P3768" i="1"/>
  <c r="N3768" i="1" s="1"/>
  <c r="P3769" i="1"/>
  <c r="N3769" i="1" s="1"/>
  <c r="P3777" i="1"/>
  <c r="N3777" i="1" s="1"/>
  <c r="P3774" i="1"/>
  <c r="N3774" i="1" s="1"/>
  <c r="P3770" i="1"/>
  <c r="N3770" i="1" s="1"/>
  <c r="P3771" i="1"/>
  <c r="N3771" i="1" s="1"/>
  <c r="P1302" i="1"/>
  <c r="N1302" i="1" s="1"/>
  <c r="P1287" i="1"/>
  <c r="N1287" i="1" s="1"/>
  <c r="P1288" i="1"/>
  <c r="N1288" i="1" s="1"/>
  <c r="P1308" i="1"/>
  <c r="N1308" i="1" s="1"/>
  <c r="P1291" i="1"/>
  <c r="N1291" i="1" s="1"/>
  <c r="P1294" i="1"/>
  <c r="N1294" i="1" s="1"/>
  <c r="P1289" i="1"/>
  <c r="N1289" i="1" s="1"/>
  <c r="P1296" i="1"/>
  <c r="N1296" i="1" s="1"/>
  <c r="P1297" i="1"/>
  <c r="N1297" i="1" s="1"/>
  <c r="P1298" i="1"/>
  <c r="N1298" i="1" s="1"/>
  <c r="P1293" i="1"/>
  <c r="N1293" i="1" s="1"/>
  <c r="P1480" i="1"/>
  <c r="N1480" i="1" s="1"/>
  <c r="P1471" i="1"/>
  <c r="N1471" i="1" s="1"/>
  <c r="P1484" i="1"/>
  <c r="N1484" i="1" s="1"/>
  <c r="P1464" i="1"/>
  <c r="N1464" i="1" s="1"/>
  <c r="P1489" i="1"/>
  <c r="N1489" i="1" s="1"/>
  <c r="P1490" i="1"/>
  <c r="N1490" i="1" s="1"/>
  <c r="P1491" i="1"/>
  <c r="N1491" i="1" s="1"/>
  <c r="P1492" i="1"/>
  <c r="N1492" i="1" s="1"/>
  <c r="P1493" i="1"/>
  <c r="N1493" i="1" s="1"/>
  <c r="P1494" i="1"/>
  <c r="N1494" i="1" s="1"/>
  <c r="P1482" i="1"/>
  <c r="N1482" i="1" s="1"/>
  <c r="P1495" i="1"/>
  <c r="N1495" i="1" s="1"/>
  <c r="P1496" i="1"/>
  <c r="N1496" i="1" s="1"/>
  <c r="P1497" i="1"/>
  <c r="N1497" i="1" s="1"/>
  <c r="P1498" i="1"/>
  <c r="N1498" i="1" s="1"/>
  <c r="P1499" i="1"/>
  <c r="N1499" i="1" s="1"/>
  <c r="P1486" i="1"/>
  <c r="N1486" i="1" s="1"/>
  <c r="P1511" i="1"/>
  <c r="N1511" i="1" s="1"/>
  <c r="P1512" i="1"/>
  <c r="N1512" i="1" s="1"/>
  <c r="P1513" i="1"/>
  <c r="N1513" i="1" s="1"/>
  <c r="P1514" i="1"/>
  <c r="N1514" i="1" s="1"/>
  <c r="P1515" i="1"/>
  <c r="N1515" i="1" s="1"/>
  <c r="P1516" i="1"/>
  <c r="N1516" i="1" s="1"/>
  <c r="P1517" i="1"/>
  <c r="N1517" i="1" s="1"/>
  <c r="P1518" i="1"/>
  <c r="N1518" i="1" s="1"/>
  <c r="P1519" i="1"/>
  <c r="N1519" i="1" s="1"/>
  <c r="P1520" i="1"/>
  <c r="N1520" i="1" s="1"/>
  <c r="P1521" i="1"/>
  <c r="N1521" i="1" s="1"/>
  <c r="P1522" i="1"/>
  <c r="N1522" i="1" s="1"/>
  <c r="P1523" i="1"/>
  <c r="N1523" i="1" s="1"/>
  <c r="P1524" i="1"/>
  <c r="N1524" i="1" s="1"/>
  <c r="P1525" i="1"/>
  <c r="N1525" i="1" s="1"/>
  <c r="P1526" i="1"/>
  <c r="N1526" i="1" s="1"/>
  <c r="P1527" i="1"/>
  <c r="N1527" i="1" s="1"/>
  <c r="P1528" i="1"/>
  <c r="N1528" i="1" s="1"/>
  <c r="P1529" i="1"/>
  <c r="N1529" i="1" s="1"/>
  <c r="P1530" i="1"/>
  <c r="N1530" i="1" s="1"/>
  <c r="P1505" i="1"/>
  <c r="N1505" i="1" s="1"/>
  <c r="P1506" i="1"/>
  <c r="N1506" i="1" s="1"/>
  <c r="P1531" i="1"/>
  <c r="N1531" i="1" s="1"/>
  <c r="P1532" i="1"/>
  <c r="N1532" i="1" s="1"/>
  <c r="P1503" i="1"/>
  <c r="N1503" i="1" s="1"/>
  <c r="P1501" i="1"/>
  <c r="N1501" i="1" s="1"/>
  <c r="P1533" i="1"/>
  <c r="N1533" i="1" s="1"/>
  <c r="P1534" i="1"/>
  <c r="N1534" i="1" s="1"/>
  <c r="P1545" i="1"/>
  <c r="N1545" i="1" s="1"/>
  <c r="P1546" i="1"/>
  <c r="N1546" i="1" s="1"/>
  <c r="P1547" i="1"/>
  <c r="N1547" i="1" s="1"/>
  <c r="P1548" i="1"/>
  <c r="N1548" i="1" s="1"/>
  <c r="P1549" i="1"/>
  <c r="N1549" i="1" s="1"/>
  <c r="P1550" i="1"/>
  <c r="N1550" i="1" s="1"/>
  <c r="P1551" i="1"/>
  <c r="N1551" i="1" s="1"/>
  <c r="P1552" i="1"/>
  <c r="N1552" i="1" s="1"/>
  <c r="P1553" i="1"/>
  <c r="N1553" i="1" s="1"/>
  <c r="P1554" i="1"/>
  <c r="N1554" i="1" s="1"/>
  <c r="P1555" i="1"/>
  <c r="N1555" i="1" s="1"/>
  <c r="P1556" i="1"/>
  <c r="N1556" i="1" s="1"/>
  <c r="P1557" i="1"/>
  <c r="N1557" i="1" s="1"/>
  <c r="P1558" i="1"/>
  <c r="N1558" i="1" s="1"/>
  <c r="P1559" i="1"/>
  <c r="N1559" i="1" s="1"/>
  <c r="P1560" i="1"/>
  <c r="N1560" i="1" s="1"/>
  <c r="P1561" i="1"/>
  <c r="N1561" i="1" s="1"/>
  <c r="P1562" i="1"/>
  <c r="N1562" i="1" s="1"/>
  <c r="P1563" i="1"/>
  <c r="N1563" i="1" s="1"/>
  <c r="P1564" i="1"/>
  <c r="N1564" i="1" s="1"/>
  <c r="P1539" i="1"/>
  <c r="N1539" i="1" s="1"/>
  <c r="P1540" i="1"/>
  <c r="N1540" i="1" s="1"/>
  <c r="P1565" i="1"/>
  <c r="N1565" i="1" s="1"/>
  <c r="P1566" i="1"/>
  <c r="N1566" i="1" s="1"/>
  <c r="P1537" i="1"/>
  <c r="N1537" i="1" s="1"/>
  <c r="P1535" i="1"/>
  <c r="N1535" i="1" s="1"/>
  <c r="P1567" i="1"/>
  <c r="N1567" i="1" s="1"/>
  <c r="P1568" i="1"/>
  <c r="N1568" i="1" s="1"/>
  <c r="P1596" i="1"/>
  <c r="N1596" i="1" s="1"/>
  <c r="P1620" i="1"/>
  <c r="N1620" i="1" s="1"/>
  <c r="P1621" i="1"/>
  <c r="N1621" i="1" s="1"/>
  <c r="P1622" i="1"/>
  <c r="N1622" i="1" s="1"/>
  <c r="P1623" i="1"/>
  <c r="N1623" i="1" s="1"/>
  <c r="P1606" i="1"/>
  <c r="N1606" i="1" s="1"/>
  <c r="P1604" i="1"/>
  <c r="N1604" i="1" s="1"/>
  <c r="P1624" i="1"/>
  <c r="N1624" i="1" s="1"/>
  <c r="P1625" i="1"/>
  <c r="N1625" i="1" s="1"/>
  <c r="P1626" i="1"/>
  <c r="N1626" i="1" s="1"/>
  <c r="P1627" i="1"/>
  <c r="N1627" i="1" s="1"/>
  <c r="P1628" i="1"/>
  <c r="N1628" i="1" s="1"/>
  <c r="P1629" i="1"/>
  <c r="N1629" i="1" s="1"/>
  <c r="P1630" i="1"/>
  <c r="N1630" i="1" s="1"/>
  <c r="P1631" i="1"/>
  <c r="N1631" i="1" s="1"/>
  <c r="P1632" i="1"/>
  <c r="N1632" i="1" s="1"/>
  <c r="P1633" i="1"/>
  <c r="N1633" i="1" s="1"/>
  <c r="P1634" i="1"/>
  <c r="N1634" i="1" s="1"/>
  <c r="P1635" i="1"/>
  <c r="N1635" i="1" s="1"/>
  <c r="P1607" i="1"/>
  <c r="N1607" i="1" s="1"/>
  <c r="P1636" i="1"/>
  <c r="N1636" i="1" s="1"/>
  <c r="P1614" i="1"/>
  <c r="N1614" i="1" s="1"/>
  <c r="P1615" i="1"/>
  <c r="N1615" i="1" s="1"/>
  <c r="P1637" i="1"/>
  <c r="N1637" i="1" s="1"/>
  <c r="P1638" i="1"/>
  <c r="N1638" i="1" s="1"/>
  <c r="P1611" i="1"/>
  <c r="N1611" i="1" s="1"/>
  <c r="P1609" i="1"/>
  <c r="N1609" i="1" s="1"/>
  <c r="P1639" i="1"/>
  <c r="N1639" i="1" s="1"/>
  <c r="P1640" i="1"/>
  <c r="N1640" i="1" s="1"/>
  <c r="P1465" i="1"/>
  <c r="N1465" i="1" s="1"/>
  <c r="P1474" i="1"/>
  <c r="N1474" i="1" s="1"/>
  <c r="P1472" i="1"/>
  <c r="N1472" i="1" s="1"/>
  <c r="P1469" i="1"/>
  <c r="N1469" i="1" s="1"/>
  <c r="P1473" i="1"/>
  <c r="N1473" i="1" s="1"/>
  <c r="P1470" i="1"/>
  <c r="N1470" i="1" s="1"/>
  <c r="P1500" i="1"/>
  <c r="N1500" i="1" s="1"/>
  <c r="P1475" i="1"/>
  <c r="N1475" i="1" s="1"/>
  <c r="P1466" i="1"/>
  <c r="N1466" i="1" s="1"/>
  <c r="P1477" i="1"/>
  <c r="N1477" i="1" s="1"/>
  <c r="P1478" i="1"/>
  <c r="N1478" i="1" s="1"/>
  <c r="P1467" i="1"/>
  <c r="N1467" i="1" s="1"/>
  <c r="P1663" i="1"/>
  <c r="N1663" i="1" s="1"/>
  <c r="P1664" i="1"/>
  <c r="N1664" i="1" s="1"/>
  <c r="P1665" i="1"/>
  <c r="N1665" i="1" s="1"/>
  <c r="P1666" i="1"/>
  <c r="N1666" i="1" s="1"/>
  <c r="P1667" i="1"/>
  <c r="N1667" i="1" s="1"/>
  <c r="P1668" i="1"/>
  <c r="N1668" i="1" s="1"/>
  <c r="P1669" i="1"/>
  <c r="N1669" i="1" s="1"/>
  <c r="P1670" i="1"/>
  <c r="N1670" i="1" s="1"/>
  <c r="P1657" i="1"/>
  <c r="N1657" i="1" s="1"/>
  <c r="P1671" i="1"/>
  <c r="N1671" i="1" s="1"/>
  <c r="P1672" i="1"/>
  <c r="N1672" i="1" s="1"/>
  <c r="P1673" i="1"/>
  <c r="N1673" i="1" s="1"/>
  <c r="P1674" i="1"/>
  <c r="N1674" i="1" s="1"/>
  <c r="P1675" i="1"/>
  <c r="N1675" i="1" s="1"/>
  <c r="P1676" i="1"/>
  <c r="N1676" i="1" s="1"/>
  <c r="P1659" i="1"/>
  <c r="N1659" i="1" s="1"/>
  <c r="P1646" i="1"/>
  <c r="N1646" i="1" s="1"/>
  <c r="P1645" i="1"/>
  <c r="N1645" i="1" s="1"/>
  <c r="P1653" i="1"/>
  <c r="N1653" i="1" s="1"/>
  <c r="P1655" i="1"/>
  <c r="N1655" i="1" s="1"/>
  <c r="P1644" i="1"/>
  <c r="N1644" i="1" s="1"/>
  <c r="P1641" i="1"/>
  <c r="N1641" i="1" s="1"/>
  <c r="P1642" i="1"/>
  <c r="N1642" i="1" s="1"/>
  <c r="P1648" i="1"/>
  <c r="N1648" i="1" s="1"/>
  <c r="P1647" i="1"/>
  <c r="N1647" i="1" s="1"/>
  <c r="P1650" i="1"/>
  <c r="N1650" i="1" s="1"/>
  <c r="P1649" i="1"/>
  <c r="N1649" i="1" s="1"/>
  <c r="P1651" i="1"/>
  <c r="N1651" i="1" s="1"/>
  <c r="P1687" i="1"/>
  <c r="N1687" i="1" s="1"/>
  <c r="P1688" i="1"/>
  <c r="N1688" i="1" s="1"/>
  <c r="P1775" i="1"/>
  <c r="N1775" i="1" s="1"/>
  <c r="P1776" i="1"/>
  <c r="N1776" i="1" s="1"/>
  <c r="P1777" i="1"/>
  <c r="N1777" i="1" s="1"/>
  <c r="P1778" i="1"/>
  <c r="N1778" i="1" s="1"/>
  <c r="P1779" i="1"/>
  <c r="N1779" i="1" s="1"/>
  <c r="P1780" i="1"/>
  <c r="N1780" i="1" s="1"/>
  <c r="P1781" i="1"/>
  <c r="N1781" i="1" s="1"/>
  <c r="P1782" i="1"/>
  <c r="N1782" i="1" s="1"/>
  <c r="P1783" i="1"/>
  <c r="N1783" i="1" s="1"/>
  <c r="P1784" i="1"/>
  <c r="N1784" i="1" s="1"/>
  <c r="P1785" i="1"/>
  <c r="N1785" i="1" s="1"/>
  <c r="P1773" i="1"/>
  <c r="N1773" i="1" s="1"/>
  <c r="P1684" i="1"/>
  <c r="N1684" i="1" s="1"/>
  <c r="P1689" i="1"/>
  <c r="N1689" i="1" s="1"/>
  <c r="P1944" i="1"/>
  <c r="N1944" i="1" s="1"/>
  <c r="P1945" i="1"/>
  <c r="N1945" i="1" s="1"/>
  <c r="P1946" i="1"/>
  <c r="N1946" i="1" s="1"/>
  <c r="P1947" i="1"/>
  <c r="N1947" i="1" s="1"/>
  <c r="P1948" i="1"/>
  <c r="N1948" i="1" s="1"/>
  <c r="P1949" i="1"/>
  <c r="N1949" i="1" s="1"/>
  <c r="P1950" i="1"/>
  <c r="N1950" i="1" s="1"/>
  <c r="P1951" i="1"/>
  <c r="N1951" i="1" s="1"/>
  <c r="P1952" i="1"/>
  <c r="N1952" i="1" s="1"/>
  <c r="P1953" i="1"/>
  <c r="N1953" i="1" s="1"/>
  <c r="P1954" i="1"/>
  <c r="N1954" i="1" s="1"/>
  <c r="P1955" i="1"/>
  <c r="N1955" i="1" s="1"/>
  <c r="P1956" i="1"/>
  <c r="N1956" i="1" s="1"/>
  <c r="P1957" i="1"/>
  <c r="N1957" i="1" s="1"/>
  <c r="P1958" i="1"/>
  <c r="N1958" i="1" s="1"/>
  <c r="P1959" i="1"/>
  <c r="N1959" i="1" s="1"/>
  <c r="P1960" i="1"/>
  <c r="N1960" i="1" s="1"/>
  <c r="P1961" i="1"/>
  <c r="N1961" i="1" s="1"/>
  <c r="P1962" i="1"/>
  <c r="N1962" i="1" s="1"/>
  <c r="P1963" i="1"/>
  <c r="N1963" i="1" s="1"/>
  <c r="P1964" i="1"/>
  <c r="N1964" i="1" s="1"/>
  <c r="P1965" i="1"/>
  <c r="N1965" i="1" s="1"/>
  <c r="P1938" i="1"/>
  <c r="N1938" i="1" s="1"/>
  <c r="P1935" i="1"/>
  <c r="N1935" i="1" s="1"/>
  <c r="P1966" i="1"/>
  <c r="N1966" i="1" s="1"/>
  <c r="P1967" i="1"/>
  <c r="N1967" i="1" s="1"/>
  <c r="P1968" i="1"/>
  <c r="N1968" i="1" s="1"/>
  <c r="P3570" i="1"/>
  <c r="N3570" i="1" s="1"/>
  <c r="P3571" i="1"/>
  <c r="N3571" i="1" s="1"/>
  <c r="P3572" i="1"/>
  <c r="N3572" i="1" s="1"/>
  <c r="P3573" i="1"/>
  <c r="N3573" i="1" s="1"/>
  <c r="P3574" i="1"/>
  <c r="N3574" i="1" s="1"/>
  <c r="P3575" i="1"/>
  <c r="N3575" i="1" s="1"/>
  <c r="P3576" i="1"/>
  <c r="N3576" i="1" s="1"/>
  <c r="P3577" i="1"/>
  <c r="N3577" i="1" s="1"/>
  <c r="P3578" i="1"/>
  <c r="N3578" i="1" s="1"/>
  <c r="P3579" i="1"/>
  <c r="N3579" i="1" s="1"/>
  <c r="P3580" i="1"/>
  <c r="N3580" i="1" s="1"/>
  <c r="P3581" i="1"/>
  <c r="N3581" i="1" s="1"/>
  <c r="P3582" i="1"/>
  <c r="N3582" i="1" s="1"/>
  <c r="P3583" i="1"/>
  <c r="N3583" i="1" s="1"/>
  <c r="P3584" i="1"/>
  <c r="N3584" i="1" s="1"/>
  <c r="P3585" i="1"/>
  <c r="N3585" i="1" s="1"/>
  <c r="P3586" i="1"/>
  <c r="N3586" i="1" s="1"/>
  <c r="P3587" i="1"/>
  <c r="N3587" i="1" s="1"/>
  <c r="P3588" i="1"/>
  <c r="N3588" i="1" s="1"/>
  <c r="P3589" i="1"/>
  <c r="N3589" i="1" s="1"/>
  <c r="P3599" i="1"/>
  <c r="N3599" i="1" s="1"/>
  <c r="P3600" i="1"/>
  <c r="N3600" i="1" s="1"/>
  <c r="P3590" i="1"/>
  <c r="N3590" i="1" s="1"/>
  <c r="P3591" i="1"/>
  <c r="N3591" i="1" s="1"/>
  <c r="P3595" i="1"/>
  <c r="N3595" i="1" s="1"/>
  <c r="P3596" i="1"/>
  <c r="N3596" i="1" s="1"/>
  <c r="P3592" i="1"/>
  <c r="N3592" i="1" s="1"/>
  <c r="P3593" i="1"/>
  <c r="N3593" i="1" s="1"/>
  <c r="P3594" i="1"/>
  <c r="N3594" i="1" s="1"/>
  <c r="P1690" i="1"/>
  <c r="N1690" i="1" s="1"/>
  <c r="P1715" i="1"/>
  <c r="N1715" i="1" s="1"/>
  <c r="P1721" i="1"/>
  <c r="N1721" i="1" s="1"/>
  <c r="P1716" i="1"/>
  <c r="N1716" i="1" s="1"/>
  <c r="P1723" i="1"/>
  <c r="N1723" i="1" s="1"/>
  <c r="P1717" i="1"/>
  <c r="N1717" i="1" s="1"/>
  <c r="P2166" i="1"/>
  <c r="N2166" i="1" s="1"/>
  <c r="P1751" i="1"/>
  <c r="N1751" i="1" s="1"/>
  <c r="P1767" i="1"/>
  <c r="N1767" i="1" s="1"/>
  <c r="P1761" i="1"/>
  <c r="N1761" i="1" s="1"/>
  <c r="P1771" i="1"/>
  <c r="N1771" i="1" s="1"/>
  <c r="P1756" i="1"/>
  <c r="N1756" i="1" s="1"/>
  <c r="P1759" i="1"/>
  <c r="N1759" i="1" s="1"/>
  <c r="P2176" i="1"/>
  <c r="N2176" i="1" s="1"/>
  <c r="P1786" i="1"/>
  <c r="N1786" i="1" s="1"/>
  <c r="P1769" i="1"/>
  <c r="N1769" i="1" s="1"/>
  <c r="P2177" i="1"/>
  <c r="N2177" i="1" s="1"/>
  <c r="P2178" i="1"/>
  <c r="N2178" i="1" s="1"/>
  <c r="P2179" i="1"/>
  <c r="N2179" i="1" s="1"/>
  <c r="P2180" i="1"/>
  <c r="N2180" i="1" s="1"/>
  <c r="P2181" i="1"/>
  <c r="N2181" i="1" s="1"/>
  <c r="P2182" i="1"/>
  <c r="N2182" i="1" s="1"/>
  <c r="P2183" i="1"/>
  <c r="N2183" i="1" s="1"/>
  <c r="P2184" i="1"/>
  <c r="N2184" i="1" s="1"/>
  <c r="P2185" i="1"/>
  <c r="N2185" i="1" s="1"/>
  <c r="P2186" i="1"/>
  <c r="N2186" i="1" s="1"/>
  <c r="P2187" i="1"/>
  <c r="N2187" i="1" s="1"/>
  <c r="P2174" i="1"/>
  <c r="N2174" i="1" s="1"/>
  <c r="P2196" i="1"/>
  <c r="N2196" i="1" s="1"/>
  <c r="P2197" i="1"/>
  <c r="N2197" i="1" s="1"/>
  <c r="P2198" i="1"/>
  <c r="N2198" i="1" s="1"/>
  <c r="P2199" i="1"/>
  <c r="N2199" i="1" s="1"/>
  <c r="P2200" i="1"/>
  <c r="N2200" i="1" s="1"/>
  <c r="P2201" i="1"/>
  <c r="N2201" i="1" s="1"/>
  <c r="P2202" i="1"/>
  <c r="N2202" i="1" s="1"/>
  <c r="P2203" i="1"/>
  <c r="N2203" i="1" s="1"/>
  <c r="P2204" i="1"/>
  <c r="N2204" i="1" s="1"/>
  <c r="P2205" i="1"/>
  <c r="N2205" i="1" s="1"/>
  <c r="P2206" i="1"/>
  <c r="N2206" i="1" s="1"/>
  <c r="P2207" i="1"/>
  <c r="N2207" i="1" s="1"/>
  <c r="P2208" i="1"/>
  <c r="N2208" i="1" s="1"/>
  <c r="P2209" i="1"/>
  <c r="N2209" i="1" s="1"/>
  <c r="P2210" i="1"/>
  <c r="N2210" i="1" s="1"/>
  <c r="P2211" i="1"/>
  <c r="N2211" i="1" s="1"/>
  <c r="P2212" i="1"/>
  <c r="N2212" i="1" s="1"/>
  <c r="P2213" i="1"/>
  <c r="N2213" i="1" s="1"/>
  <c r="P2214" i="1"/>
  <c r="N2214" i="1" s="1"/>
  <c r="P2215" i="1"/>
  <c r="N2215" i="1" s="1"/>
  <c r="P2193" i="1"/>
  <c r="N2193" i="1" s="1"/>
  <c r="P2216" i="1"/>
  <c r="N2216" i="1" s="1"/>
  <c r="P2217" i="1"/>
  <c r="N2217" i="1" s="1"/>
  <c r="P2218" i="1"/>
  <c r="N2218" i="1" s="1"/>
  <c r="P2191" i="1"/>
  <c r="N2191" i="1" s="1"/>
  <c r="P2188" i="1"/>
  <c r="N2188" i="1" s="1"/>
  <c r="P2219" i="1"/>
  <c r="N2219" i="1" s="1"/>
  <c r="P2220" i="1"/>
  <c r="N2220" i="1" s="1"/>
  <c r="P1753" i="1"/>
  <c r="N1753" i="1" s="1"/>
  <c r="P1752" i="1"/>
  <c r="N1752" i="1" s="1"/>
  <c r="P1757" i="1"/>
  <c r="N1757" i="1" s="1"/>
  <c r="P1755" i="1"/>
  <c r="N1755" i="1" s="1"/>
  <c r="P1754" i="1"/>
  <c r="N1754" i="1" s="1"/>
  <c r="P1760" i="1"/>
  <c r="N1760" i="1" s="1"/>
  <c r="P1758" i="1"/>
  <c r="N1758" i="1" s="1"/>
  <c r="P1764" i="1"/>
  <c r="N1764" i="1" s="1"/>
  <c r="P1789" i="1"/>
  <c r="N1789" i="1" s="1"/>
  <c r="P1762" i="1"/>
  <c r="N1762" i="1" s="1"/>
  <c r="P1982" i="1"/>
  <c r="N1982" i="1" s="1"/>
  <c r="P1984" i="1"/>
  <c r="N1984" i="1" s="1"/>
  <c r="P1986" i="1"/>
  <c r="N1986" i="1" s="1"/>
  <c r="P3227" i="1"/>
  <c r="N3227" i="1" s="1"/>
  <c r="P3228" i="1"/>
  <c r="N3228" i="1" s="1"/>
  <c r="P3229" i="1"/>
  <c r="N3229" i="1" s="1"/>
  <c r="P3230" i="1"/>
  <c r="N3230" i="1" s="1"/>
  <c r="P3231" i="1"/>
  <c r="N3231" i="1" s="1"/>
  <c r="P3232" i="1"/>
  <c r="N3232" i="1" s="1"/>
  <c r="P3233" i="1"/>
  <c r="N3233" i="1" s="1"/>
  <c r="P3234" i="1"/>
  <c r="N3234" i="1" s="1"/>
  <c r="P3235" i="1"/>
  <c r="N3235" i="1" s="1"/>
  <c r="P3236" i="1"/>
  <c r="N3236" i="1" s="1"/>
  <c r="P3237" i="1"/>
  <c r="N3237" i="1" s="1"/>
  <c r="P3223" i="1"/>
  <c r="N3223" i="1" s="1"/>
  <c r="P3238" i="1"/>
  <c r="N3238" i="1" s="1"/>
  <c r="P3247" i="1"/>
  <c r="N3247" i="1" s="1"/>
  <c r="P3239" i="1"/>
  <c r="N3239" i="1" s="1"/>
  <c r="P3250" i="1"/>
  <c r="N3250" i="1" s="1"/>
  <c r="P1973" i="1"/>
  <c r="N1973" i="1" s="1"/>
  <c r="P3251" i="1"/>
  <c r="N3251" i="1" s="1"/>
  <c r="P3271" i="1"/>
  <c r="N3271" i="1" s="1"/>
  <c r="P3252" i="1"/>
  <c r="N3252" i="1" s="1"/>
  <c r="P3267" i="1"/>
  <c r="N3267" i="1" s="1"/>
  <c r="P3253" i="1"/>
  <c r="N3253" i="1" s="1"/>
  <c r="P3254" i="1"/>
  <c r="N3254" i="1" s="1"/>
  <c r="P3255" i="1"/>
  <c r="N3255" i="1" s="1"/>
  <c r="P3256" i="1"/>
  <c r="N3256" i="1" s="1"/>
  <c r="P3257" i="1"/>
  <c r="N3257" i="1" s="1"/>
  <c r="P3258" i="1"/>
  <c r="N3258" i="1" s="1"/>
  <c r="P3259" i="1"/>
  <c r="N3259" i="1" s="1"/>
  <c r="P1969" i="1"/>
  <c r="N1969" i="1" s="1"/>
  <c r="P3260" i="1"/>
  <c r="N3260" i="1" s="1"/>
  <c r="P3261" i="1"/>
  <c r="N3261" i="1" s="1"/>
  <c r="P3262" i="1"/>
  <c r="N3262" i="1" s="1"/>
  <c r="P3420" i="1"/>
  <c r="N3420" i="1" s="1"/>
  <c r="P3421" i="1"/>
  <c r="N3421" i="1" s="1"/>
  <c r="P3422" i="1"/>
  <c r="N3422" i="1" s="1"/>
  <c r="P3423" i="1"/>
  <c r="N3423" i="1" s="1"/>
  <c r="P3424" i="1"/>
  <c r="N3424" i="1" s="1"/>
  <c r="P3425" i="1"/>
  <c r="N3425" i="1" s="1"/>
  <c r="P3426" i="1"/>
  <c r="N3426" i="1" s="1"/>
  <c r="P3427" i="1"/>
  <c r="N3427" i="1" s="1"/>
  <c r="P3428" i="1"/>
  <c r="N3428" i="1" s="1"/>
  <c r="P3429" i="1"/>
  <c r="N3429" i="1" s="1"/>
  <c r="P3430" i="1"/>
  <c r="N3430" i="1" s="1"/>
  <c r="P3431" i="1"/>
  <c r="N3431" i="1" s="1"/>
  <c r="P3432" i="1"/>
  <c r="N3432" i="1" s="1"/>
  <c r="P3433" i="1"/>
  <c r="N3433" i="1" s="1"/>
  <c r="P3434" i="1"/>
  <c r="N3434" i="1" s="1"/>
  <c r="P3435" i="1"/>
  <c r="N3435" i="1" s="1"/>
  <c r="P3436" i="1"/>
  <c r="N3436" i="1" s="1"/>
  <c r="P3437" i="1"/>
  <c r="N3437" i="1" s="1"/>
  <c r="P3438" i="1"/>
  <c r="N3438" i="1" s="1"/>
  <c r="P3439" i="1"/>
  <c r="N3439" i="1" s="1"/>
  <c r="P3452" i="1"/>
  <c r="N3452" i="1" s="1"/>
  <c r="P3453" i="1"/>
  <c r="N3453" i="1" s="1"/>
  <c r="P3440" i="1"/>
  <c r="N3440" i="1" s="1"/>
  <c r="P3441" i="1"/>
  <c r="N3441" i="1" s="1"/>
  <c r="P3448" i="1"/>
  <c r="N3448" i="1" s="1"/>
  <c r="P3449" i="1"/>
  <c r="N3449" i="1" s="1"/>
  <c r="P3442" i="1"/>
  <c r="N3442" i="1" s="1"/>
  <c r="P3443" i="1"/>
  <c r="N3443" i="1" s="1"/>
  <c r="P3444" i="1"/>
  <c r="N3444" i="1" s="1"/>
  <c r="P3783" i="1"/>
  <c r="N3783" i="1" s="1"/>
  <c r="P3784" i="1"/>
  <c r="N3784" i="1" s="1"/>
  <c r="P3785" i="1"/>
  <c r="N3785" i="1" s="1"/>
  <c r="P3786" i="1"/>
  <c r="N3786" i="1" s="1"/>
  <c r="P3787" i="1"/>
  <c r="N3787" i="1" s="1"/>
  <c r="P3788" i="1"/>
  <c r="N3788" i="1" s="1"/>
  <c r="P3789" i="1"/>
  <c r="N3789" i="1" s="1"/>
  <c r="P3790" i="1"/>
  <c r="N3790" i="1" s="1"/>
  <c r="P3791" i="1"/>
  <c r="N3791" i="1" s="1"/>
  <c r="P3792" i="1"/>
  <c r="N3792" i="1" s="1"/>
  <c r="P3793" i="1"/>
  <c r="N3793" i="1" s="1"/>
  <c r="P3794" i="1"/>
  <c r="N3794" i="1" s="1"/>
  <c r="P3795" i="1"/>
  <c r="N3795" i="1" s="1"/>
  <c r="P3796" i="1"/>
  <c r="N3796" i="1" s="1"/>
  <c r="P3797" i="1"/>
  <c r="N3797" i="1" s="1"/>
  <c r="P3798" i="1"/>
  <c r="N3798" i="1" s="1"/>
  <c r="P3799" i="1"/>
  <c r="N3799" i="1" s="1"/>
  <c r="P3800" i="1"/>
  <c r="N3800" i="1" s="1"/>
  <c r="P3801" i="1"/>
  <c r="N3801" i="1" s="1"/>
  <c r="P3802" i="1"/>
  <c r="N3802" i="1" s="1"/>
  <c r="P3814" i="1"/>
  <c r="N3814" i="1" s="1"/>
  <c r="P3815" i="1"/>
  <c r="N3815" i="1" s="1"/>
  <c r="P3803" i="1"/>
  <c r="N3803" i="1" s="1"/>
  <c r="P3804" i="1"/>
  <c r="N3804" i="1" s="1"/>
  <c r="P3812" i="1"/>
  <c r="N3812" i="1" s="1"/>
  <c r="P3809" i="1"/>
  <c r="N3809" i="1" s="1"/>
  <c r="P3805" i="1"/>
  <c r="N3805" i="1" s="1"/>
  <c r="P3806" i="1"/>
  <c r="N3806" i="1" s="1"/>
  <c r="P3816" i="1"/>
  <c r="N3816" i="1" s="1"/>
  <c r="P3817" i="1"/>
  <c r="N3817" i="1" s="1"/>
  <c r="P3818" i="1"/>
  <c r="N3818" i="1" s="1"/>
  <c r="P3819" i="1"/>
  <c r="N3819" i="1" s="1"/>
  <c r="P3820" i="1"/>
  <c r="N3820" i="1" s="1"/>
  <c r="P3821" i="1"/>
  <c r="N3821" i="1" s="1"/>
  <c r="P3822" i="1"/>
  <c r="N3822" i="1" s="1"/>
  <c r="P3823" i="1"/>
  <c r="N3823" i="1" s="1"/>
  <c r="P3824" i="1"/>
  <c r="N3824" i="1" s="1"/>
  <c r="P3825" i="1"/>
  <c r="N3825" i="1" s="1"/>
  <c r="P3826" i="1"/>
  <c r="N3826" i="1" s="1"/>
  <c r="P3827" i="1"/>
  <c r="N3827" i="1" s="1"/>
  <c r="P3847" i="1"/>
  <c r="N3847" i="1" s="1"/>
  <c r="P3848" i="1"/>
  <c r="N3848" i="1" s="1"/>
  <c r="P3844" i="1"/>
  <c r="N3844" i="1" s="1"/>
  <c r="P3828" i="1"/>
  <c r="N3828" i="1" s="1"/>
  <c r="P3829" i="1"/>
  <c r="N3829" i="1" s="1"/>
  <c r="P3850" i="1"/>
  <c r="N3850" i="1" s="1"/>
  <c r="P3714" i="1"/>
  <c r="N3714" i="1" s="1"/>
  <c r="P3715" i="1"/>
  <c r="N3715" i="1" s="1"/>
  <c r="P3716" i="1"/>
  <c r="N3716" i="1" s="1"/>
  <c r="P3717" i="1"/>
  <c r="N3717" i="1" s="1"/>
  <c r="P3718" i="1"/>
  <c r="N3718" i="1" s="1"/>
  <c r="P3719" i="1"/>
  <c r="N3719" i="1" s="1"/>
  <c r="P3720" i="1"/>
  <c r="N3720" i="1" s="1"/>
  <c r="P3721" i="1"/>
  <c r="N3721" i="1" s="1"/>
  <c r="P3722" i="1"/>
  <c r="N3722" i="1" s="1"/>
  <c r="P3723" i="1"/>
  <c r="N3723" i="1" s="1"/>
  <c r="P3724" i="1"/>
  <c r="N3724" i="1" s="1"/>
  <c r="P3725" i="1"/>
  <c r="N3725" i="1" s="1"/>
  <c r="P3726" i="1"/>
  <c r="N3726" i="1" s="1"/>
  <c r="P3742" i="1"/>
  <c r="N3742" i="1" s="1"/>
  <c r="P3744" i="1"/>
  <c r="N3744" i="1" s="1"/>
  <c r="P3727" i="1"/>
  <c r="N3727" i="1" s="1"/>
  <c r="P3728" i="1"/>
  <c r="N3728" i="1" s="1"/>
  <c r="P1971" i="1"/>
  <c r="N1971" i="1" s="1"/>
  <c r="P1970" i="1"/>
  <c r="N1970" i="1" s="1"/>
  <c r="P1980" i="1"/>
  <c r="N1980" i="1" s="1"/>
  <c r="P1972" i="1"/>
  <c r="N1972" i="1" s="1"/>
  <c r="P1974" i="1"/>
  <c r="N1974" i="1" s="1"/>
  <c r="P3287" i="1"/>
  <c r="N3287" i="1" s="1"/>
  <c r="P1976" i="1"/>
  <c r="N1976" i="1" s="1"/>
  <c r="P1979" i="1"/>
  <c r="N1979" i="1" s="1"/>
  <c r="P2151" i="1"/>
  <c r="N2151" i="1" s="1"/>
  <c r="P2172" i="1"/>
  <c r="N2172" i="1" s="1"/>
  <c r="P2168" i="1"/>
  <c r="N2168" i="1" s="1"/>
  <c r="P2170" i="1"/>
  <c r="N2170" i="1" s="1"/>
  <c r="P2154" i="1"/>
  <c r="N2154" i="1" s="1"/>
  <c r="P2158" i="1"/>
  <c r="N2158" i="1" s="1"/>
  <c r="P3288" i="1"/>
  <c r="N3288" i="1" s="1"/>
  <c r="P3289" i="1"/>
  <c r="N3289" i="1" s="1"/>
  <c r="P3290" i="1"/>
  <c r="N3290" i="1" s="1"/>
  <c r="P3291" i="1"/>
  <c r="N3291" i="1" s="1"/>
  <c r="P3292" i="1"/>
  <c r="N3292" i="1" s="1"/>
  <c r="P3293" i="1"/>
  <c r="N3293" i="1" s="1"/>
  <c r="P3294" i="1"/>
  <c r="N3294" i="1" s="1"/>
  <c r="P3295" i="1"/>
  <c r="N3295" i="1" s="1"/>
  <c r="P3296" i="1"/>
  <c r="N3296" i="1" s="1"/>
  <c r="P3297" i="1"/>
  <c r="N3297" i="1" s="1"/>
  <c r="P3298" i="1"/>
  <c r="N3298" i="1" s="1"/>
  <c r="P3299" i="1"/>
  <c r="N3299" i="1" s="1"/>
  <c r="P3300" i="1"/>
  <c r="N3300" i="1" s="1"/>
  <c r="P3308" i="1"/>
  <c r="N3308" i="1" s="1"/>
  <c r="P2155" i="1"/>
  <c r="N2155" i="1" s="1"/>
  <c r="P2282" i="1"/>
  <c r="N2282" i="1" s="1"/>
  <c r="P2160" i="1"/>
  <c r="N2160" i="1" s="1"/>
  <c r="P2159" i="1"/>
  <c r="N2159" i="1" s="1"/>
  <c r="P2156" i="1"/>
  <c r="N2156" i="1" s="1"/>
  <c r="P2161" i="1"/>
  <c r="N2161" i="1" s="1"/>
  <c r="P2164" i="1"/>
  <c r="N2164" i="1" s="1"/>
  <c r="P2283" i="1"/>
  <c r="N2283" i="1" s="1"/>
  <c r="P2157" i="1"/>
  <c r="N2157" i="1" s="1"/>
  <c r="P2167" i="1"/>
  <c r="N2167" i="1" s="1"/>
  <c r="P2226" i="1"/>
  <c r="N2226" i="1" s="1"/>
  <c r="P2240" i="1"/>
  <c r="N2240" i="1" s="1"/>
  <c r="P2238" i="1"/>
  <c r="N2238" i="1" s="1"/>
  <c r="P2228" i="1"/>
  <c r="N2228" i="1" s="1"/>
  <c r="P2229" i="1"/>
  <c r="N2229" i="1" s="1"/>
  <c r="P2230" i="1"/>
  <c r="N2230" i="1" s="1"/>
  <c r="P2284" i="1"/>
  <c r="N2284" i="1" s="1"/>
  <c r="P2273" i="1"/>
  <c r="N2273" i="1" s="1"/>
  <c r="P2285" i="1"/>
  <c r="N2285" i="1" s="1"/>
  <c r="P2286" i="1"/>
  <c r="N2286" i="1" s="1"/>
  <c r="P2287" i="1"/>
  <c r="N2287" i="1" s="1"/>
  <c r="P2288" i="1"/>
  <c r="N2288" i="1" s="1"/>
  <c r="P2289" i="1"/>
  <c r="N2289" i="1" s="1"/>
  <c r="P2290" i="1"/>
  <c r="N2290" i="1" s="1"/>
  <c r="P2291" i="1"/>
  <c r="N2291" i="1" s="1"/>
  <c r="P2292" i="1"/>
  <c r="N2292" i="1" s="1"/>
  <c r="P2293" i="1"/>
  <c r="N2293" i="1" s="1"/>
  <c r="P2294" i="1"/>
  <c r="N2294" i="1" s="1"/>
  <c r="P2295" i="1"/>
  <c r="N2295" i="1" s="1"/>
  <c r="P2300" i="1"/>
  <c r="N2300" i="1" s="1"/>
  <c r="P3135" i="1"/>
  <c r="N3135" i="1" s="1"/>
  <c r="P3136" i="1"/>
  <c r="N3136" i="1" s="1"/>
  <c r="P3137" i="1"/>
  <c r="N3137" i="1" s="1"/>
  <c r="P3139" i="1"/>
  <c r="N3139" i="1" s="1"/>
  <c r="P3138" i="1"/>
  <c r="N3138" i="1" s="1"/>
  <c r="P1204" i="1"/>
  <c r="N1204" i="1" s="1"/>
  <c r="P1205" i="1"/>
  <c r="N1205" i="1" s="1"/>
  <c r="P1206" i="1"/>
  <c r="N1206" i="1" s="1"/>
  <c r="P1179" i="1"/>
  <c r="N1179" i="1" s="1"/>
  <c r="P1207" i="1"/>
  <c r="N1207" i="1" s="1"/>
  <c r="P3180" i="1"/>
  <c r="N3180" i="1" s="1"/>
  <c r="P3181" i="1"/>
  <c r="N3181" i="1" s="1"/>
  <c r="P3182" i="1"/>
  <c r="N3182" i="1" s="1"/>
  <c r="P3183" i="1"/>
  <c r="N3183" i="1" s="1"/>
  <c r="P3184" i="1"/>
  <c r="N3184" i="1" s="1"/>
  <c r="P3185" i="1"/>
  <c r="N3185" i="1" s="1"/>
  <c r="P3186" i="1"/>
  <c r="N3186" i="1" s="1"/>
  <c r="P3187" i="1"/>
  <c r="N3187" i="1" s="1"/>
  <c r="P3188" i="1"/>
  <c r="N3188" i="1" s="1"/>
  <c r="P3189" i="1"/>
  <c r="N3189" i="1" s="1"/>
  <c r="P3190" i="1"/>
  <c r="N3190" i="1" s="1"/>
  <c r="P3191" i="1"/>
  <c r="N3191" i="1" s="1"/>
  <c r="P3192" i="1"/>
  <c r="N3192" i="1" s="1"/>
  <c r="P3193" i="1"/>
  <c r="N3193" i="1" s="1"/>
  <c r="P3194" i="1"/>
  <c r="N3194" i="1" s="1"/>
  <c r="P3195" i="1"/>
  <c r="N3195" i="1" s="1"/>
  <c r="P3196" i="1"/>
  <c r="N3196" i="1" s="1"/>
  <c r="P3197" i="1"/>
  <c r="N3197" i="1" s="1"/>
  <c r="P3198" i="1"/>
  <c r="N3198" i="1" s="1"/>
  <c r="P3199" i="1"/>
  <c r="N3199" i="1" s="1"/>
  <c r="P3210" i="1"/>
  <c r="N3210" i="1" s="1"/>
  <c r="P3211" i="1"/>
  <c r="N3211" i="1" s="1"/>
  <c r="P3200" i="1"/>
  <c r="N3200" i="1" s="1"/>
  <c r="P3207" i="1"/>
  <c r="N3207" i="1" s="1"/>
  <c r="P3208" i="1"/>
  <c r="N3208" i="1" s="1"/>
  <c r="P3201" i="1"/>
  <c r="N3201" i="1" s="1"/>
  <c r="P3202" i="1"/>
  <c r="N3202" i="1" s="1"/>
  <c r="P3203" i="1"/>
  <c r="N3203" i="1" s="1"/>
  <c r="P2232" i="1"/>
  <c r="N2232" i="1" s="1"/>
  <c r="P2276" i="1"/>
  <c r="N2276" i="1" s="1"/>
  <c r="P2278" i="1"/>
  <c r="N2278" i="1" s="1"/>
  <c r="P2298" i="1"/>
  <c r="N2298" i="1" s="1"/>
  <c r="P2268" i="1"/>
  <c r="N2268" i="1" s="1"/>
  <c r="P2263" i="1"/>
  <c r="N2263" i="1" s="1"/>
  <c r="P2266" i="1"/>
  <c r="N2266" i="1" s="1"/>
  <c r="P2270" i="1"/>
  <c r="N2270" i="1" s="1"/>
  <c r="P2265" i="1"/>
  <c r="N2265" i="1" s="1"/>
  <c r="P2271" i="1"/>
  <c r="N2271" i="1" s="1"/>
  <c r="P2274" i="1"/>
  <c r="N2274" i="1" s="1"/>
  <c r="P2272" i="1"/>
  <c r="N2272" i="1" s="1"/>
  <c r="P2269" i="1"/>
  <c r="N2269" i="1" s="1"/>
  <c r="P2296" i="1"/>
  <c r="N2296" i="1" s="1"/>
  <c r="P3324" i="1"/>
  <c r="N3324" i="1" s="1"/>
  <c r="P3325" i="1"/>
  <c r="N3325" i="1" s="1"/>
  <c r="P3326" i="1"/>
  <c r="N3326" i="1" s="1"/>
  <c r="P3327" i="1"/>
  <c r="N3327" i="1" s="1"/>
  <c r="P3328" i="1"/>
  <c r="N3328" i="1" s="1"/>
  <c r="P3329" i="1"/>
  <c r="N3329" i="1" s="1"/>
  <c r="P3343" i="1"/>
  <c r="N3343" i="1" s="1"/>
  <c r="P3345" i="1"/>
  <c r="N3345" i="1" s="1"/>
  <c r="P3330" i="1"/>
  <c r="N3330" i="1" s="1"/>
  <c r="P3331" i="1"/>
  <c r="N3331" i="1" s="1"/>
  <c r="P3332" i="1"/>
  <c r="N3332" i="1" s="1"/>
  <c r="P3333" i="1"/>
  <c r="N3333" i="1" s="1"/>
  <c r="P3334" i="1"/>
  <c r="N3334" i="1" s="1"/>
  <c r="P3342" i="1"/>
  <c r="N3342" i="1" s="1"/>
  <c r="P2275" i="1"/>
  <c r="N2275" i="1" s="1"/>
  <c r="P3377" i="1"/>
  <c r="N3377" i="1" s="1"/>
  <c r="P3349" i="1"/>
  <c r="N3349" i="1" s="1"/>
  <c r="P3380" i="1"/>
  <c r="N3380" i="1" s="1"/>
  <c r="P3350" i="1"/>
  <c r="N3350" i="1" s="1"/>
  <c r="P3351" i="1"/>
  <c r="N3351" i="1" s="1"/>
  <c r="P3352" i="1"/>
  <c r="N3352" i="1" s="1"/>
  <c r="P3376" i="1"/>
  <c r="N3376" i="1" s="1"/>
  <c r="P3353" i="1"/>
  <c r="N3353" i="1" s="1"/>
  <c r="P3354" i="1"/>
  <c r="N3354" i="1" s="1"/>
  <c r="P3355" i="1"/>
  <c r="N3355" i="1" s="1"/>
  <c r="P3356" i="1"/>
  <c r="N3356" i="1" s="1"/>
  <c r="P3357" i="1"/>
  <c r="N3357" i="1" s="1"/>
  <c r="P3358" i="1"/>
  <c r="N3358" i="1" s="1"/>
  <c r="P3359" i="1"/>
  <c r="N3359" i="1" s="1"/>
  <c r="P3360" i="1"/>
  <c r="N3360" i="1" s="1"/>
  <c r="P3361" i="1"/>
  <c r="N3361" i="1" s="1"/>
  <c r="P3362" i="1"/>
  <c r="N3362" i="1" s="1"/>
  <c r="P3363" i="1"/>
  <c r="N3363" i="1" s="1"/>
  <c r="P3364" i="1"/>
  <c r="N3364" i="1" s="1"/>
  <c r="P3365" i="1"/>
  <c r="N3365" i="1" s="1"/>
  <c r="P3366" i="1"/>
  <c r="N3366" i="1" s="1"/>
  <c r="P3367" i="1"/>
  <c r="N3367" i="1" s="1"/>
  <c r="P3368" i="1"/>
  <c r="N3368" i="1" s="1"/>
  <c r="P3369" i="1"/>
  <c r="N3369" i="1" s="1"/>
  <c r="P3370" i="1"/>
  <c r="N3370" i="1" s="1"/>
  <c r="P3381" i="1"/>
  <c r="N3381" i="1" s="1"/>
  <c r="P3371" i="1"/>
  <c r="N3371" i="1" s="1"/>
  <c r="P1157" i="1"/>
  <c r="N1157" i="1" s="1"/>
  <c r="P1158" i="1"/>
  <c r="N1158" i="1" s="1"/>
  <c r="P1159" i="1"/>
  <c r="N1159" i="1" s="1"/>
  <c r="P1160" i="1"/>
  <c r="N1160" i="1" s="1"/>
  <c r="P1161" i="1"/>
  <c r="N1161" i="1" s="1"/>
  <c r="P1162" i="1"/>
  <c r="N1162" i="1" s="1"/>
  <c r="P1163" i="1"/>
  <c r="N1163" i="1" s="1"/>
  <c r="P1164" i="1"/>
  <c r="N1164" i="1" s="1"/>
  <c r="P2937" i="1"/>
  <c r="N2937" i="1" s="1"/>
  <c r="P2938" i="1"/>
  <c r="N2938" i="1" s="1"/>
  <c r="P2939" i="1"/>
  <c r="N2939" i="1" s="1"/>
  <c r="P2940" i="1"/>
  <c r="N2940" i="1" s="1"/>
  <c r="P2941" i="1"/>
  <c r="N2941" i="1" s="1"/>
  <c r="P2942" i="1"/>
  <c r="N2942" i="1" s="1"/>
  <c r="P2943" i="1"/>
  <c r="N2943" i="1" s="1"/>
  <c r="P2944" i="1"/>
  <c r="N2944" i="1" s="1"/>
  <c r="P2945" i="1"/>
  <c r="N2945" i="1" s="1"/>
  <c r="P2946" i="1"/>
  <c r="N2946" i="1" s="1"/>
  <c r="P2947" i="1"/>
  <c r="N2947" i="1" s="1"/>
  <c r="P2948" i="1"/>
  <c r="N2948" i="1" s="1"/>
  <c r="P2957" i="1"/>
  <c r="N2957" i="1" s="1"/>
  <c r="P2949" i="1"/>
  <c r="N2949" i="1" s="1"/>
  <c r="P2960" i="1"/>
  <c r="N2960" i="1" s="1"/>
  <c r="P2950" i="1"/>
  <c r="N2950" i="1" s="1"/>
  <c r="P2951" i="1"/>
  <c r="N2951" i="1" s="1"/>
  <c r="P2304" i="1"/>
  <c r="N2304" i="1" s="1"/>
  <c r="P2310" i="1"/>
  <c r="N2310" i="1" s="1"/>
  <c r="P2380" i="1"/>
  <c r="N2380" i="1" s="1"/>
  <c r="P2389" i="1"/>
  <c r="N2389" i="1" s="1"/>
  <c r="P2391" i="1"/>
  <c r="N2391" i="1" s="1"/>
  <c r="P2970" i="1"/>
  <c r="N2970" i="1" s="1"/>
  <c r="P2373" i="1"/>
  <c r="N2373" i="1" s="1"/>
  <c r="P2408" i="1"/>
  <c r="N2408" i="1" s="1"/>
  <c r="P2381" i="1"/>
  <c r="N2381" i="1" s="1"/>
  <c r="P2382" i="1"/>
  <c r="N2382" i="1" s="1"/>
  <c r="P2378" i="1"/>
  <c r="N2378" i="1" s="1"/>
  <c r="P2374" i="1"/>
  <c r="N2374" i="1" s="1"/>
  <c r="P2375" i="1"/>
  <c r="N2375" i="1" s="1"/>
  <c r="P2383" i="1"/>
  <c r="N2383" i="1" s="1"/>
  <c r="P2379" i="1"/>
  <c r="N2379" i="1" s="1"/>
  <c r="P2386" i="1"/>
  <c r="N2386" i="1" s="1"/>
  <c r="P2387" i="1"/>
  <c r="N2387" i="1" s="1"/>
  <c r="P2984" i="1"/>
  <c r="N2984" i="1" s="1"/>
  <c r="P2985" i="1"/>
  <c r="N2985" i="1" s="1"/>
  <c r="P2986" i="1"/>
  <c r="N2986" i="1" s="1"/>
  <c r="P2987" i="1"/>
  <c r="N2987" i="1" s="1"/>
  <c r="P2978" i="1"/>
  <c r="N2978" i="1" s="1"/>
  <c r="P2988" i="1"/>
  <c r="N2988" i="1" s="1"/>
  <c r="P2989" i="1"/>
  <c r="N2989" i="1" s="1"/>
  <c r="P2990" i="1"/>
  <c r="N2990" i="1" s="1"/>
  <c r="P2991" i="1"/>
  <c r="N2991" i="1" s="1"/>
  <c r="P2992" i="1"/>
  <c r="N2992" i="1" s="1"/>
  <c r="P3092" i="1"/>
  <c r="N3092" i="1" s="1"/>
  <c r="P3093" i="1"/>
  <c r="N3093" i="1" s="1"/>
  <c r="P3094" i="1"/>
  <c r="N3094" i="1" s="1"/>
  <c r="P3095" i="1"/>
  <c r="N3095" i="1" s="1"/>
  <c r="P3" i="1"/>
  <c r="P1016" i="1"/>
  <c r="N1016" i="1" s="1"/>
  <c r="P1096" i="1"/>
  <c r="N1096" i="1" s="1"/>
  <c r="P4915" i="1"/>
  <c r="N4915" i="1" s="1"/>
  <c r="P2384" i="1"/>
  <c r="N2384" i="1" s="1"/>
  <c r="P2395" i="1"/>
  <c r="N2395" i="1" s="1"/>
  <c r="P2390" i="1"/>
  <c r="N2390" i="1" s="1"/>
  <c r="P2376" i="1"/>
  <c r="N2376" i="1" s="1"/>
  <c r="P1679" i="1"/>
  <c r="N1679" i="1" s="1"/>
  <c r="P1691" i="1"/>
  <c r="N1691" i="1" s="1"/>
  <c r="P2459" i="1"/>
  <c r="N2459" i="1" s="1"/>
  <c r="P1692" i="1"/>
  <c r="N1692" i="1" s="1"/>
  <c r="P1693" i="1"/>
  <c r="N1693" i="1" s="1"/>
  <c r="P1694" i="1"/>
  <c r="N1694" i="1" s="1"/>
  <c r="P1695" i="1"/>
  <c r="N1695" i="1" s="1"/>
  <c r="P1696" i="1"/>
  <c r="N1696" i="1" s="1"/>
  <c r="P1697" i="1"/>
  <c r="N1697" i="1" s="1"/>
  <c r="P1698" i="1"/>
  <c r="N1698" i="1" s="1"/>
  <c r="P1699" i="1"/>
  <c r="N1699" i="1" s="1"/>
  <c r="P1700" i="1"/>
  <c r="N1700" i="1" s="1"/>
  <c r="P1701" i="1"/>
  <c r="N1701" i="1" s="1"/>
  <c r="P1702" i="1"/>
  <c r="N1702" i="1" s="1"/>
  <c r="P1703" i="1"/>
  <c r="N1703" i="1" s="1"/>
  <c r="P1704" i="1"/>
  <c r="N1704" i="1" s="1"/>
  <c r="P1705" i="1"/>
  <c r="N1705" i="1" s="1"/>
  <c r="P1706" i="1"/>
  <c r="N1706" i="1" s="1"/>
  <c r="P1707" i="1"/>
  <c r="N1707" i="1" s="1"/>
  <c r="P1708" i="1"/>
  <c r="N1708" i="1" s="1"/>
  <c r="P1709" i="1"/>
  <c r="N1709" i="1" s="1"/>
  <c r="P1685" i="1"/>
  <c r="N1685" i="1" s="1"/>
  <c r="P1710" i="1"/>
  <c r="N1710" i="1" s="1"/>
  <c r="P1711" i="1"/>
  <c r="N1711" i="1" s="1"/>
  <c r="P1682" i="1"/>
  <c r="N1682" i="1" s="1"/>
  <c r="P1712" i="1"/>
  <c r="N1712" i="1" s="1"/>
  <c r="P1839" i="1"/>
  <c r="N1839" i="1" s="1"/>
  <c r="P2054" i="1"/>
  <c r="N2054" i="1" s="1"/>
  <c r="P2337" i="1"/>
  <c r="N2337" i="1" s="1"/>
  <c r="P2485" i="1"/>
  <c r="N2485" i="1" s="1"/>
  <c r="P2311" i="1"/>
  <c r="N2311" i="1" s="1"/>
  <c r="P2307" i="1"/>
  <c r="N2307" i="1" s="1"/>
  <c r="P2312" i="1"/>
  <c r="N2312" i="1" s="1"/>
  <c r="P2302" i="1"/>
  <c r="N2302" i="1" s="1"/>
  <c r="P2303" i="1"/>
  <c r="N2303" i="1" s="1"/>
  <c r="P2313" i="1"/>
  <c r="N2313" i="1" s="1"/>
  <c r="P2314" i="1"/>
  <c r="N2314" i="1" s="1"/>
  <c r="P2315" i="1"/>
  <c r="N2315" i="1" s="1"/>
  <c r="P2316" i="1"/>
  <c r="N2316" i="1" s="1"/>
  <c r="P2317" i="1"/>
  <c r="N2317" i="1" s="1"/>
  <c r="P2318" i="1"/>
  <c r="N2318" i="1" s="1"/>
  <c r="P2319" i="1"/>
  <c r="N2319" i="1" s="1"/>
  <c r="P2320" i="1"/>
  <c r="N2320" i="1" s="1"/>
  <c r="P2321" i="1"/>
  <c r="N2321" i="1" s="1"/>
  <c r="P2322" i="1"/>
  <c r="N2322" i="1" s="1"/>
  <c r="P2323" i="1"/>
  <c r="N2323" i="1" s="1"/>
  <c r="P2324" i="1"/>
  <c r="N2324" i="1" s="1"/>
  <c r="P2325" i="1"/>
  <c r="N2325" i="1" s="1"/>
  <c r="P2326" i="1"/>
  <c r="N2326" i="1" s="1"/>
  <c r="P2327" i="1"/>
  <c r="N2327" i="1" s="1"/>
  <c r="P2328" i="1"/>
  <c r="N2328" i="1" s="1"/>
  <c r="P2329" i="1"/>
  <c r="N2329" i="1" s="1"/>
  <c r="P2330" i="1"/>
  <c r="N2330" i="1" s="1"/>
  <c r="P2331" i="1"/>
  <c r="N2331" i="1" s="1"/>
  <c r="P2332" i="1"/>
  <c r="N2332" i="1" s="1"/>
  <c r="P2338" i="1"/>
  <c r="N2338" i="1" s="1"/>
  <c r="P2305" i="1"/>
  <c r="N2305" i="1" s="1"/>
  <c r="P2333" i="1"/>
  <c r="N2333" i="1" s="1"/>
  <c r="P2433" i="1"/>
  <c r="N2433" i="1" s="1"/>
  <c r="P2460" i="1"/>
  <c r="N2460" i="1" s="1"/>
  <c r="P2461" i="1"/>
  <c r="N2461" i="1" s="1"/>
  <c r="P2462" i="1"/>
  <c r="N2462" i="1" s="1"/>
  <c r="P2463" i="1"/>
  <c r="N2463" i="1" s="1"/>
  <c r="P2505" i="1"/>
  <c r="N2505" i="1" s="1"/>
  <c r="P2464" i="1"/>
  <c r="N2464" i="1" s="1"/>
  <c r="P2858" i="1"/>
  <c r="N2858" i="1" s="1"/>
  <c r="P2861" i="1"/>
  <c r="N2861" i="1" s="1"/>
  <c r="P2862" i="1"/>
  <c r="N2862" i="1" s="1"/>
  <c r="P2863" i="1"/>
  <c r="N2863" i="1" s="1"/>
  <c r="P4965" i="1"/>
  <c r="N4965" i="1" s="1"/>
  <c r="P2487" i="1"/>
  <c r="N2487" i="1" s="1"/>
  <c r="P2473" i="1"/>
  <c r="N2473" i="1" s="1"/>
  <c r="P2475" i="1"/>
  <c r="N2475" i="1" s="1"/>
  <c r="P2472" i="1"/>
  <c r="N2472" i="1" s="1"/>
  <c r="P4969" i="1"/>
  <c r="N4969" i="1" s="1"/>
  <c r="P4971" i="1"/>
  <c r="N4971" i="1" s="1"/>
  <c r="P4976" i="1"/>
  <c r="N4976" i="1" s="1"/>
  <c r="P4977" i="1"/>
  <c r="N4977" i="1" s="1"/>
  <c r="P4978" i="1"/>
  <c r="N4978" i="1" s="1"/>
  <c r="P4979" i="1"/>
  <c r="N4979" i="1" s="1"/>
  <c r="P4980" i="1"/>
  <c r="N4980" i="1" s="1"/>
  <c r="P4981" i="1"/>
  <c r="N4981" i="1" s="1"/>
  <c r="P4982" i="1"/>
  <c r="N4982" i="1" s="1"/>
  <c r="P4983" i="1"/>
  <c r="N4983" i="1" s="1"/>
  <c r="P4984" i="1"/>
  <c r="N4984" i="1" s="1"/>
  <c r="P4985" i="1"/>
  <c r="N4985" i="1" s="1"/>
  <c r="P4986" i="1"/>
  <c r="N4986" i="1" s="1"/>
  <c r="P4987" i="1"/>
  <c r="N4987" i="1" s="1"/>
  <c r="P4988" i="1"/>
  <c r="N4988" i="1" s="1"/>
  <c r="P4989" i="1"/>
  <c r="N4989" i="1" s="1"/>
  <c r="P4996" i="1"/>
  <c r="N4996" i="1" s="1"/>
  <c r="P2928" i="1"/>
  <c r="N2928" i="1" s="1"/>
  <c r="P3081" i="1"/>
  <c r="N3081" i="1" s="1"/>
  <c r="P3082" i="1"/>
  <c r="N3082" i="1" s="1"/>
  <c r="P3090" i="1"/>
  <c r="N3090" i="1" s="1"/>
  <c r="P3091" i="1"/>
  <c r="N3091" i="1" s="1"/>
  <c r="P3083" i="1"/>
  <c r="N3083" i="1" s="1"/>
  <c r="P3088" i="1"/>
  <c r="N3088" i="1" s="1"/>
  <c r="P3086" i="1"/>
  <c r="N3086" i="1" s="1"/>
  <c r="P3084" i="1"/>
  <c r="N3084" i="1" s="1"/>
  <c r="P3085" i="1"/>
  <c r="N3085" i="1" s="1"/>
  <c r="P3264" i="1"/>
  <c r="N3264" i="1" s="1"/>
  <c r="P3413" i="1"/>
  <c r="N3413" i="1" s="1"/>
  <c r="P3416" i="1"/>
  <c r="N3416" i="1" s="1"/>
  <c r="P3388" i="1"/>
  <c r="N3388" i="1" s="1"/>
  <c r="P3382" i="1"/>
  <c r="N3382" i="1" s="1"/>
  <c r="P3412" i="1"/>
  <c r="N3412" i="1" s="1"/>
  <c r="P3389" i="1"/>
  <c r="N3389" i="1" s="1"/>
  <c r="P3390" i="1"/>
  <c r="N3390" i="1" s="1"/>
  <c r="P3391" i="1"/>
  <c r="N3391" i="1" s="1"/>
  <c r="P3383" i="1"/>
  <c r="N3383" i="1" s="1"/>
  <c r="P3392" i="1"/>
  <c r="N3392" i="1" s="1"/>
  <c r="P3393" i="1"/>
  <c r="N3393" i="1" s="1"/>
  <c r="P3394" i="1"/>
  <c r="N3394" i="1" s="1"/>
  <c r="P3395" i="1"/>
  <c r="N3395" i="1" s="1"/>
  <c r="P3396" i="1"/>
  <c r="N3396" i="1" s="1"/>
  <c r="P3397" i="1"/>
  <c r="N3397" i="1" s="1"/>
  <c r="P3398" i="1"/>
  <c r="N3398" i="1" s="1"/>
  <c r="P3399" i="1"/>
  <c r="N3399" i="1" s="1"/>
  <c r="P3400" i="1"/>
  <c r="N3400" i="1" s="1"/>
  <c r="P3401" i="1"/>
  <c r="N3401" i="1" s="1"/>
  <c r="P3384" i="1"/>
  <c r="N3384" i="1" s="1"/>
  <c r="P3402" i="1"/>
  <c r="N3402" i="1" s="1"/>
  <c r="P3403" i="1"/>
  <c r="N3403" i="1" s="1"/>
  <c r="P3404" i="1"/>
  <c r="N3404" i="1" s="1"/>
  <c r="P3405" i="1"/>
  <c r="N3405" i="1" s="1"/>
  <c r="P3406" i="1"/>
  <c r="N3406" i="1" s="1"/>
  <c r="P3407" i="1"/>
  <c r="N3407" i="1" s="1"/>
  <c r="P3408" i="1"/>
  <c r="N3408" i="1" s="1"/>
  <c r="P3417" i="1"/>
  <c r="N3417" i="1" s="1"/>
  <c r="P3409" i="1"/>
  <c r="N3409" i="1" s="1"/>
  <c r="P3830" i="1"/>
  <c r="N3830" i="1" s="1"/>
  <c r="P3831" i="1"/>
  <c r="N3831" i="1" s="1"/>
  <c r="P3832" i="1"/>
  <c r="N3832" i="1" s="1"/>
  <c r="P3833" i="1"/>
  <c r="N3833" i="1" s="1"/>
  <c r="P3834" i="1"/>
  <c r="N3834" i="1" s="1"/>
  <c r="P3835" i="1"/>
  <c r="N3835" i="1" s="1"/>
  <c r="P3836" i="1"/>
  <c r="N3836" i="1" s="1"/>
  <c r="P2471" i="1"/>
  <c r="N2471" i="1" s="1"/>
  <c r="P2479" i="1"/>
  <c r="N2479" i="1" s="1"/>
  <c r="P2476" i="1"/>
  <c r="N2476" i="1" s="1"/>
  <c r="P2477" i="1"/>
  <c r="N2477" i="1" s="1"/>
  <c r="P2478" i="1"/>
  <c r="N2478" i="1" s="1"/>
  <c r="P2481" i="1"/>
  <c r="N2481" i="1" s="1"/>
  <c r="P1991" i="1"/>
  <c r="N1991" i="1" s="1"/>
  <c r="P2512" i="1"/>
  <c r="N2512" i="1" s="1"/>
  <c r="P2508" i="1"/>
  <c r="N2508" i="1" s="1"/>
  <c r="P2518" i="1"/>
  <c r="N2518" i="1" s="1"/>
  <c r="P2510" i="1"/>
  <c r="N2510" i="1" s="1"/>
  <c r="P2550" i="1"/>
  <c r="N2550" i="1" s="1"/>
  <c r="P2578" i="1"/>
  <c r="N2578" i="1" s="1"/>
  <c r="P1992" i="1"/>
  <c r="N1992" i="1" s="1"/>
  <c r="P1993" i="1"/>
  <c r="N1993" i="1" s="1"/>
  <c r="P1994" i="1"/>
  <c r="N1994" i="1" s="1"/>
  <c r="P1995" i="1"/>
  <c r="N1995" i="1" s="1"/>
  <c r="P1996" i="1"/>
  <c r="N1996" i="1" s="1"/>
  <c r="P1997" i="1"/>
  <c r="N1997" i="1" s="1"/>
  <c r="P1998" i="1"/>
  <c r="N1998" i="1" s="1"/>
  <c r="P1999" i="1"/>
  <c r="N1999" i="1" s="1"/>
  <c r="P2000" i="1"/>
  <c r="N2000" i="1" s="1"/>
  <c r="P2001" i="1"/>
  <c r="N2001" i="1" s="1"/>
  <c r="P2002" i="1"/>
  <c r="N2002" i="1" s="1"/>
  <c r="P2003" i="1"/>
  <c r="N2003" i="1" s="1"/>
  <c r="P2004" i="1"/>
  <c r="N2004" i="1" s="1"/>
  <c r="P2005" i="1"/>
  <c r="N2005" i="1" s="1"/>
  <c r="P1988" i="1"/>
  <c r="N1988" i="1" s="1"/>
  <c r="P2787" i="1"/>
  <c r="N2787" i="1" s="1"/>
  <c r="P2818" i="1"/>
  <c r="N2818" i="1" s="1"/>
  <c r="P2788" i="1"/>
  <c r="N2788" i="1" s="1"/>
  <c r="P2789" i="1"/>
  <c r="N2789" i="1" s="1"/>
  <c r="P2790" i="1"/>
  <c r="N2790" i="1" s="1"/>
  <c r="P2791" i="1"/>
  <c r="N2791" i="1" s="1"/>
  <c r="P2792" i="1"/>
  <c r="N2792" i="1" s="1"/>
  <c r="P2793" i="1"/>
  <c r="N2793" i="1" s="1"/>
  <c r="P2794" i="1"/>
  <c r="N2794" i="1" s="1"/>
  <c r="P2795" i="1"/>
  <c r="N2795" i="1" s="1"/>
  <c r="P2796" i="1"/>
  <c r="N2796" i="1" s="1"/>
  <c r="P2797" i="1"/>
  <c r="N2797" i="1" s="1"/>
  <c r="P2798" i="1"/>
  <c r="N2798" i="1" s="1"/>
  <c r="P2799" i="1"/>
  <c r="N2799" i="1" s="1"/>
  <c r="P2800" i="1"/>
  <c r="N2800" i="1" s="1"/>
  <c r="P2801" i="1"/>
  <c r="N2801" i="1" s="1"/>
  <c r="P2802" i="1"/>
  <c r="N2802" i="1" s="1"/>
  <c r="P2803" i="1"/>
  <c r="N2803" i="1" s="1"/>
  <c r="P2804" i="1"/>
  <c r="N2804" i="1" s="1"/>
  <c r="P2805" i="1"/>
  <c r="N2805" i="1" s="1"/>
  <c r="P2806" i="1"/>
  <c r="N2806" i="1" s="1"/>
  <c r="P2819" i="1"/>
  <c r="N2819" i="1" s="1"/>
  <c r="P2807" i="1"/>
  <c r="N2807" i="1" s="1"/>
  <c r="P2808" i="1"/>
  <c r="N2808" i="1" s="1"/>
  <c r="P2814" i="1"/>
  <c r="N2814" i="1" s="1"/>
  <c r="P2815" i="1"/>
  <c r="N2815" i="1" s="1"/>
  <c r="P2810" i="1"/>
  <c r="N2810" i="1" s="1"/>
  <c r="P2811" i="1"/>
  <c r="N2811" i="1" s="1"/>
  <c r="P4110" i="1"/>
  <c r="N4110" i="1" s="1"/>
  <c r="P4120" i="1"/>
  <c r="N4120" i="1" s="1"/>
  <c r="P4128" i="1"/>
  <c r="N4128" i="1" s="1"/>
  <c r="P4138" i="1"/>
  <c r="N4138" i="1" s="1"/>
  <c r="P4147" i="1"/>
  <c r="N4147" i="1" s="1"/>
  <c r="P4156" i="1"/>
  <c r="N4156" i="1" s="1"/>
  <c r="P4165" i="1"/>
  <c r="N4165" i="1" s="1"/>
  <c r="P320" i="1"/>
  <c r="N320" i="1" s="1"/>
  <c r="P329" i="1"/>
  <c r="N329" i="1" s="1"/>
  <c r="P346" i="1"/>
  <c r="N346" i="1" s="1"/>
  <c r="P350" i="1"/>
  <c r="N350" i="1" s="1"/>
  <c r="P357" i="1"/>
  <c r="N357" i="1" s="1"/>
  <c r="P364" i="1"/>
  <c r="N364" i="1" s="1"/>
  <c r="P371" i="1"/>
  <c r="N371" i="1" s="1"/>
  <c r="P379" i="1"/>
  <c r="N379" i="1" s="1"/>
  <c r="P384" i="1"/>
  <c r="N384" i="1" s="1"/>
  <c r="P389" i="1"/>
  <c r="N389" i="1" s="1"/>
  <c r="P394" i="1"/>
  <c r="N394" i="1" s="1"/>
  <c r="P399" i="1"/>
  <c r="N399" i="1" s="1"/>
  <c r="P4387" i="1"/>
  <c r="N4387" i="1" s="1"/>
  <c r="P4390" i="1"/>
  <c r="N4390" i="1" s="1"/>
  <c r="P413" i="1"/>
  <c r="N413" i="1" s="1"/>
  <c r="P682" i="1"/>
  <c r="N682" i="1" s="1"/>
  <c r="P696" i="1"/>
  <c r="N696" i="1" s="1"/>
  <c r="P717" i="1"/>
  <c r="N717" i="1" s="1"/>
  <c r="P727" i="1"/>
  <c r="N727" i="1" s="1"/>
  <c r="P731" i="1"/>
  <c r="N731" i="1" s="1"/>
  <c r="P743" i="1"/>
  <c r="N743" i="1" s="1"/>
  <c r="P750" i="1"/>
  <c r="N750" i="1" s="1"/>
  <c r="P759" i="1"/>
  <c r="N759" i="1" s="1"/>
  <c r="P995" i="1"/>
  <c r="N995" i="1" s="1"/>
  <c r="P2224" i="1"/>
  <c r="N2224" i="1" s="1"/>
  <c r="P2915" i="1"/>
  <c r="N2915" i="1" s="1"/>
  <c r="P3615" i="1"/>
  <c r="N3615" i="1" s="1"/>
  <c r="P3616" i="1"/>
  <c r="N3616" i="1" s="1"/>
  <c r="P3617" i="1"/>
  <c r="N3617" i="1" s="1"/>
  <c r="P3618" i="1"/>
  <c r="N3618" i="1" s="1"/>
  <c r="P3619" i="1"/>
  <c r="N3619" i="1" s="1"/>
  <c r="P3620" i="1"/>
  <c r="N3620" i="1" s="1"/>
  <c r="P3633" i="1"/>
  <c r="N3633" i="1" s="1"/>
  <c r="P3631" i="1"/>
  <c r="N3631" i="1" s="1"/>
  <c r="P3621" i="1"/>
  <c r="N3621" i="1" s="1"/>
  <c r="P3622" i="1"/>
  <c r="N3622" i="1" s="1"/>
  <c r="P3685" i="1"/>
  <c r="N3685" i="1" s="1"/>
  <c r="P2713" i="1"/>
  <c r="N2713" i="1" s="1"/>
  <c r="P2720" i="1"/>
  <c r="N2720" i="1" s="1"/>
  <c r="P2721" i="1"/>
  <c r="N2721" i="1" s="1"/>
  <c r="P2722" i="1"/>
  <c r="N2722" i="1" s="1"/>
  <c r="P2723" i="1"/>
  <c r="N2723" i="1" s="1"/>
  <c r="P2724" i="1"/>
  <c r="N2724" i="1" s="1"/>
  <c r="P2725" i="1"/>
  <c r="N2725" i="1" s="1"/>
  <c r="P2726" i="1"/>
  <c r="N2726" i="1" s="1"/>
  <c r="P2727" i="1"/>
  <c r="N2727" i="1" s="1"/>
  <c r="P2728" i="1"/>
  <c r="N2728" i="1" s="1"/>
  <c r="P2729" i="1"/>
  <c r="N2729" i="1" s="1"/>
  <c r="P2730" i="1"/>
  <c r="N2730" i="1" s="1"/>
  <c r="P2731" i="1"/>
  <c r="N2731" i="1" s="1"/>
  <c r="P2732" i="1"/>
  <c r="N2732" i="1" s="1"/>
  <c r="P2733" i="1"/>
  <c r="N2733" i="1" s="1"/>
  <c r="P2734" i="1"/>
  <c r="N2734" i="1" s="1"/>
  <c r="P2735" i="1"/>
  <c r="N2735" i="1" s="1"/>
  <c r="P2736" i="1"/>
  <c r="N2736" i="1" s="1"/>
  <c r="P2737" i="1"/>
  <c r="N2737" i="1" s="1"/>
  <c r="P2738" i="1"/>
  <c r="N2738" i="1" s="1"/>
  <c r="P2739" i="1"/>
  <c r="N2739" i="1" s="1"/>
  <c r="P2746" i="1"/>
  <c r="N2746" i="1" s="1"/>
  <c r="P2747" i="1"/>
  <c r="N2747" i="1" s="1"/>
  <c r="P2740" i="1"/>
  <c r="N2740" i="1" s="1"/>
  <c r="P2741" i="1"/>
  <c r="N2741" i="1" s="1"/>
  <c r="P2742" i="1"/>
  <c r="N2742" i="1" s="1"/>
  <c r="P2743" i="1"/>
  <c r="N2743" i="1" s="1"/>
  <c r="P2718" i="1"/>
  <c r="N2718" i="1" s="1"/>
  <c r="P2555" i="1"/>
  <c r="N2555" i="1" s="1"/>
  <c r="P2545" i="1"/>
  <c r="N2545" i="1" s="1"/>
  <c r="P2546" i="1"/>
  <c r="N2546" i="1" s="1"/>
  <c r="P2547" i="1"/>
  <c r="N2547" i="1" s="1"/>
  <c r="P2548" i="1"/>
  <c r="N2548" i="1" s="1"/>
  <c r="P2551" i="1"/>
  <c r="N2551" i="1" s="1"/>
  <c r="P2549" i="1"/>
  <c r="N2549" i="1" s="1"/>
  <c r="P2557" i="1"/>
  <c r="N2557" i="1" s="1"/>
  <c r="P2561" i="1"/>
  <c r="N2561" i="1" s="1"/>
  <c r="P2552" i="1"/>
  <c r="N2552" i="1" s="1"/>
  <c r="P2763" i="1"/>
  <c r="N2763" i="1" s="1"/>
  <c r="P2758" i="1"/>
  <c r="N2758" i="1" s="1"/>
  <c r="P2764" i="1"/>
  <c r="N2764" i="1" s="1"/>
  <c r="P2683" i="1"/>
  <c r="N2683" i="1" s="1"/>
  <c r="P2765" i="1"/>
  <c r="N2765" i="1" s="1"/>
  <c r="P2766" i="1"/>
  <c r="N2766" i="1" s="1"/>
  <c r="P2767" i="1"/>
  <c r="N2767" i="1" s="1"/>
  <c r="P2768" i="1"/>
  <c r="N2768" i="1" s="1"/>
  <c r="P2769" i="1"/>
  <c r="N2769" i="1" s="1"/>
  <c r="P2770" i="1"/>
  <c r="N2770" i="1" s="1"/>
  <c r="P2771" i="1"/>
  <c r="N2771" i="1" s="1"/>
  <c r="P2772" i="1"/>
  <c r="N2772" i="1" s="1"/>
  <c r="P2773" i="1"/>
  <c r="N2773" i="1" s="1"/>
  <c r="P2774" i="1"/>
  <c r="N2774" i="1" s="1"/>
  <c r="P2775" i="1"/>
  <c r="N2775" i="1" s="1"/>
  <c r="P2776" i="1"/>
  <c r="N2776" i="1" s="1"/>
  <c r="P2777" i="1"/>
  <c r="N2777" i="1" s="1"/>
  <c r="P2784" i="1"/>
  <c r="N2784" i="1" s="1"/>
  <c r="P2680" i="1"/>
  <c r="N2680" i="1" s="1"/>
  <c r="P2709" i="1"/>
  <c r="N2709" i="1" s="1"/>
  <c r="P2681" i="1"/>
  <c r="N2681" i="1" s="1"/>
  <c r="P2243" i="1"/>
  <c r="N2243" i="1" s="1"/>
  <c r="P2685" i="1"/>
  <c r="N2685" i="1" s="1"/>
  <c r="P2686" i="1"/>
  <c r="N2686" i="1" s="1"/>
  <c r="P2687" i="1"/>
  <c r="N2687" i="1" s="1"/>
  <c r="P2244" i="1"/>
  <c r="N2244" i="1" s="1"/>
  <c r="P2688" i="1"/>
  <c r="N2688" i="1" s="1"/>
  <c r="P2245" i="1"/>
  <c r="N2245" i="1" s="1"/>
  <c r="P2246" i="1"/>
  <c r="N2246" i="1" s="1"/>
  <c r="P2247" i="1"/>
  <c r="N2247" i="1" s="1"/>
  <c r="P2248" i="1"/>
  <c r="N2248" i="1" s="1"/>
  <c r="P2249" i="1"/>
  <c r="N2249" i="1" s="1"/>
  <c r="P2250" i="1"/>
  <c r="N2250" i="1" s="1"/>
  <c r="P2251" i="1"/>
  <c r="N2251" i="1" s="1"/>
  <c r="P2252" i="1"/>
  <c r="N2252" i="1" s="1"/>
  <c r="P2253" i="1"/>
  <c r="N2253" i="1" s="1"/>
  <c r="P2254" i="1"/>
  <c r="N2254" i="1" s="1"/>
  <c r="P2255" i="1"/>
  <c r="N2255" i="1" s="1"/>
  <c r="P2256" i="1"/>
  <c r="N2256" i="1" s="1"/>
  <c r="P2257" i="1"/>
  <c r="N2257" i="1" s="1"/>
  <c r="P2262" i="1"/>
  <c r="N2262" i="1" s="1"/>
  <c r="P2259" i="1"/>
  <c r="N2259" i="1" s="1"/>
  <c r="P2689" i="1"/>
  <c r="N2689" i="1" s="1"/>
  <c r="P2690" i="1"/>
  <c r="N2690" i="1" s="1"/>
  <c r="P2691" i="1"/>
  <c r="N2691" i="1" s="1"/>
  <c r="P2692" i="1"/>
  <c r="N2692" i="1" s="1"/>
  <c r="P2693" i="1"/>
  <c r="N2693" i="1" s="1"/>
  <c r="P2694" i="1"/>
  <c r="N2694" i="1" s="1"/>
  <c r="P2780" i="1"/>
  <c r="N2780" i="1" s="1"/>
  <c r="P2748" i="1"/>
  <c r="N2748" i="1" s="1"/>
  <c r="P2782" i="1"/>
  <c r="N2782" i="1" s="1"/>
  <c r="P2761" i="1"/>
  <c r="N2761" i="1" s="1"/>
  <c r="P2750" i="1"/>
  <c r="N2750" i="1" s="1"/>
  <c r="P2752" i="1"/>
  <c r="N2752" i="1" s="1"/>
  <c r="P2749" i="1"/>
  <c r="N2749" i="1" s="1"/>
  <c r="P2755" i="1"/>
  <c r="N2755" i="1" s="1"/>
  <c r="P2753" i="1"/>
  <c r="N2753" i="1" s="1"/>
  <c r="P2751" i="1"/>
  <c r="N2751" i="1" s="1"/>
  <c r="P2778" i="1"/>
  <c r="N2778" i="1" s="1"/>
  <c r="P2396" i="1"/>
  <c r="N2396" i="1" s="1"/>
  <c r="P2397" i="1"/>
  <c r="N2397" i="1" s="1"/>
  <c r="P2398" i="1"/>
  <c r="N2398" i="1" s="1"/>
  <c r="P2399" i="1"/>
  <c r="N2399" i="1" s="1"/>
  <c r="P2400" i="1"/>
  <c r="N2400" i="1" s="1"/>
  <c r="P2401" i="1"/>
  <c r="N2401" i="1" s="1"/>
  <c r="P2402" i="1"/>
  <c r="N2402" i="1" s="1"/>
  <c r="P2403" i="1"/>
  <c r="N2403" i="1" s="1"/>
  <c r="P2404" i="1"/>
  <c r="N2404" i="1" s="1"/>
  <c r="P2405" i="1"/>
  <c r="N2405" i="1" s="1"/>
  <c r="P2406" i="1"/>
  <c r="N2406" i="1" s="1"/>
  <c r="P2410" i="1"/>
  <c r="N2410" i="1" s="1"/>
  <c r="P2407" i="1"/>
  <c r="N2407" i="1" s="1"/>
  <c r="P2589" i="1"/>
  <c r="N2589" i="1" s="1"/>
  <c r="P2590" i="1"/>
  <c r="N2590" i="1" s="1"/>
  <c r="P2591" i="1"/>
  <c r="N2591" i="1" s="1"/>
  <c r="P2592" i="1"/>
  <c r="N2592" i="1" s="1"/>
  <c r="P2593" i="1"/>
  <c r="N2593" i="1" s="1"/>
  <c r="P2594" i="1"/>
  <c r="N2594" i="1" s="1"/>
  <c r="P2595" i="1"/>
  <c r="N2595" i="1" s="1"/>
  <c r="P2596" i="1"/>
  <c r="N2596" i="1" s="1"/>
  <c r="P2597" i="1"/>
  <c r="N2597" i="1" s="1"/>
  <c r="P2598" i="1"/>
  <c r="N2598" i="1" s="1"/>
  <c r="P2599" i="1"/>
  <c r="N2599" i="1" s="1"/>
  <c r="P2600" i="1"/>
  <c r="N2600" i="1" s="1"/>
  <c r="P2601" i="1"/>
  <c r="N2601" i="1" s="1"/>
  <c r="P2602" i="1"/>
  <c r="N2602" i="1" s="1"/>
  <c r="P2603" i="1"/>
  <c r="N2603" i="1" s="1"/>
  <c r="P2604" i="1"/>
  <c r="N2604" i="1" s="1"/>
  <c r="P2605" i="1"/>
  <c r="N2605" i="1" s="1"/>
  <c r="P2606" i="1"/>
  <c r="N2606" i="1" s="1"/>
  <c r="P2607" i="1"/>
  <c r="N2607" i="1" s="1"/>
  <c r="P2608" i="1"/>
  <c r="N2608" i="1" s="1"/>
  <c r="P2614" i="1"/>
  <c r="N2614" i="1" s="1"/>
  <c r="P2615" i="1"/>
  <c r="N2615" i="1" s="1"/>
  <c r="P2609" i="1"/>
  <c r="N2609" i="1" s="1"/>
  <c r="P2610" i="1"/>
  <c r="N2610" i="1" s="1"/>
  <c r="P2583" i="1"/>
  <c r="N2583" i="1" s="1"/>
  <c r="P2581" i="1"/>
  <c r="N2581" i="1" s="1"/>
  <c r="P2611" i="1"/>
  <c r="N2611" i="1" s="1"/>
  <c r="P2612" i="1"/>
  <c r="N2612" i="1" s="1"/>
  <c r="P3458" i="1"/>
  <c r="N3458" i="1" s="1"/>
  <c r="P3459" i="1"/>
  <c r="N3459" i="1" s="1"/>
  <c r="P3460" i="1"/>
  <c r="N3460" i="1" s="1"/>
  <c r="P3461" i="1"/>
  <c r="N3461" i="1" s="1"/>
  <c r="P3462" i="1"/>
  <c r="N3462" i="1" s="1"/>
  <c r="P3463" i="1"/>
  <c r="N3463" i="1" s="1"/>
  <c r="P3464" i="1"/>
  <c r="N3464" i="1" s="1"/>
  <c r="P3465" i="1"/>
  <c r="N3465" i="1" s="1"/>
  <c r="P3466" i="1"/>
  <c r="N3466" i="1" s="1"/>
  <c r="P3467" i="1"/>
  <c r="N3467" i="1" s="1"/>
  <c r="P3468" i="1"/>
  <c r="N3468" i="1" s="1"/>
  <c r="P3469" i="1"/>
  <c r="N3469" i="1" s="1"/>
  <c r="P3470" i="1"/>
  <c r="N3470" i="1" s="1"/>
  <c r="P3471" i="1"/>
  <c r="N3471" i="1" s="1"/>
  <c r="P3472" i="1"/>
  <c r="N3472" i="1" s="1"/>
  <c r="P3473" i="1"/>
  <c r="N3473" i="1" s="1"/>
  <c r="P3474" i="1"/>
  <c r="N3474" i="1" s="1"/>
  <c r="P3475" i="1"/>
  <c r="N3475" i="1" s="1"/>
  <c r="P3476" i="1"/>
  <c r="N3476" i="1" s="1"/>
  <c r="P3477" i="1"/>
  <c r="N3477" i="1" s="1"/>
  <c r="P3489" i="1"/>
  <c r="N3489" i="1" s="1"/>
  <c r="P3490" i="1"/>
  <c r="N3490" i="1" s="1"/>
  <c r="P3478" i="1"/>
  <c r="N3478" i="1" s="1"/>
  <c r="P3479" i="1"/>
  <c r="N3479" i="1" s="1"/>
  <c r="P3485" i="1"/>
  <c r="N3485" i="1" s="1"/>
  <c r="P3486" i="1"/>
  <c r="N3486" i="1" s="1"/>
  <c r="P3480" i="1"/>
  <c r="N3480" i="1" s="1"/>
  <c r="P3481" i="1"/>
  <c r="N3481" i="1" s="1"/>
  <c r="P3482" i="1"/>
  <c r="N3482" i="1" s="1"/>
  <c r="P4995" i="1"/>
  <c r="N4995" i="1" s="1"/>
  <c r="P4970" i="1"/>
  <c r="N4970" i="1" s="1"/>
  <c r="P4972" i="1"/>
  <c r="N4972" i="1" s="1"/>
  <c r="P4993" i="1"/>
  <c r="N4993" i="1" s="1"/>
  <c r="P2963" i="1"/>
  <c r="N2963" i="1" s="1"/>
  <c r="P2968" i="1"/>
  <c r="N2968" i="1" s="1"/>
  <c r="P2958" i="1"/>
  <c r="N2958" i="1" s="1"/>
  <c r="P2962" i="1"/>
  <c r="N2962" i="1" s="1"/>
  <c r="P2952" i="1"/>
  <c r="N2952" i="1" s="1"/>
  <c r="P2966" i="1"/>
  <c r="N2966" i="1" s="1"/>
  <c r="P2965" i="1"/>
  <c r="N2965" i="1" s="1"/>
  <c r="P3506" i="1"/>
  <c r="N3506" i="1" s="1"/>
  <c r="P3509" i="1"/>
  <c r="N3509" i="1" s="1"/>
  <c r="P2969" i="1"/>
  <c r="N2969" i="1" s="1"/>
  <c r="P3519" i="1"/>
  <c r="N3519" i="1" s="1"/>
  <c r="P3520" i="1"/>
  <c r="N3520" i="1" s="1"/>
  <c r="P3521" i="1"/>
  <c r="N3521" i="1" s="1"/>
  <c r="P3522" i="1"/>
  <c r="N3522" i="1" s="1"/>
  <c r="P2956" i="1"/>
  <c r="N2956" i="1" s="1"/>
  <c r="P2953" i="1"/>
  <c r="N2953" i="1" s="1"/>
  <c r="P3525" i="1"/>
  <c r="N3525" i="1" s="1"/>
  <c r="P3513" i="1"/>
  <c r="N3513" i="1" s="1"/>
  <c r="P3514" i="1"/>
  <c r="N3514" i="1" s="1"/>
  <c r="P3515" i="1"/>
  <c r="N3515" i="1" s="1"/>
  <c r="P3004" i="1"/>
  <c r="N3004" i="1" s="1"/>
  <c r="P3518" i="1"/>
  <c r="N3518" i="1" s="1"/>
  <c r="P3491" i="1"/>
  <c r="N3491" i="1" s="1"/>
  <c r="P3002" i="1"/>
  <c r="N3002" i="1" s="1"/>
  <c r="P2977" i="1"/>
  <c r="N2977" i="1" s="1"/>
  <c r="P2979" i="1"/>
  <c r="N2979" i="1" s="1"/>
  <c r="P2980" i="1"/>
  <c r="N2980" i="1" s="1"/>
  <c r="P2993" i="1"/>
  <c r="N2993" i="1" s="1"/>
  <c r="P3078" i="1"/>
  <c r="N3078" i="1" s="1"/>
  <c r="P3157" i="1"/>
  <c r="N3157" i="1" s="1"/>
  <c r="P3044" i="1"/>
  <c r="N3044" i="1" s="1"/>
  <c r="P3045" i="1"/>
  <c r="N3045" i="1" s="1"/>
  <c r="P3074" i="1"/>
  <c r="N3074" i="1" s="1"/>
  <c r="P3047" i="1"/>
  <c r="N3047" i="1" s="1"/>
  <c r="P3046" i="1"/>
  <c r="N3046" i="1" s="1"/>
  <c r="P3048" i="1"/>
  <c r="N3048" i="1" s="1"/>
  <c r="P3158" i="1"/>
  <c r="N3158" i="1" s="1"/>
  <c r="P3076" i="1"/>
  <c r="N3076" i="1" s="1"/>
  <c r="P3159" i="1"/>
  <c r="N3159" i="1" s="1"/>
  <c r="P3160" i="1"/>
  <c r="N3160" i="1" s="1"/>
  <c r="P3161" i="1"/>
  <c r="N3161" i="1" s="1"/>
  <c r="P3162" i="1"/>
  <c r="N3162" i="1" s="1"/>
  <c r="P3163" i="1"/>
  <c r="N3163" i="1" s="1"/>
  <c r="P3164" i="1"/>
  <c r="N3164" i="1" s="1"/>
  <c r="P3060" i="1"/>
  <c r="N3060" i="1" s="1"/>
  <c r="P3052" i="1"/>
  <c r="N3052" i="1" s="1"/>
  <c r="P3165" i="1"/>
  <c r="N3165" i="1" s="1"/>
  <c r="P3166" i="1"/>
  <c r="N3166" i="1" s="1"/>
  <c r="P3167" i="1"/>
  <c r="N3167" i="1" s="1"/>
  <c r="P3168" i="1"/>
  <c r="N3168" i="1" s="1"/>
  <c r="P3169" i="1"/>
  <c r="N3169" i="1" s="1"/>
  <c r="P3177" i="1"/>
  <c r="N3177" i="1" s="1"/>
  <c r="P3054" i="1"/>
  <c r="N3054" i="1" s="1"/>
  <c r="P3055" i="1"/>
  <c r="N3055" i="1" s="1"/>
  <c r="P3056" i="1"/>
  <c r="N3056" i="1" s="1"/>
  <c r="P3057" i="1"/>
  <c r="N3057" i="1" s="1"/>
  <c r="P3050" i="1"/>
  <c r="N3050" i="1" s="1"/>
  <c r="P3132" i="1"/>
  <c r="N3132" i="1" s="1"/>
  <c r="P3128" i="1"/>
  <c r="N3128" i="1" s="1"/>
  <c r="P3103" i="1"/>
  <c r="N3103" i="1" s="1"/>
  <c r="P3061" i="1"/>
  <c r="N3061" i="1" s="1"/>
  <c r="P3104" i="1"/>
  <c r="N3104" i="1" s="1"/>
  <c r="P3130" i="1"/>
  <c r="N3130" i="1" s="1"/>
  <c r="P3108" i="1"/>
  <c r="N3108" i="1" s="1"/>
  <c r="P3109" i="1"/>
  <c r="N3109" i="1" s="1"/>
  <c r="P3100" i="1"/>
  <c r="N3100" i="1" s="1"/>
  <c r="P3105" i="1"/>
  <c r="N3105" i="1" s="1"/>
  <c r="P3062" i="1"/>
  <c r="N3062" i="1" s="1"/>
  <c r="P3063" i="1"/>
  <c r="N3063" i="1" s="1"/>
  <c r="P3064" i="1"/>
  <c r="N3064" i="1" s="1"/>
  <c r="P3065" i="1"/>
  <c r="N3065" i="1" s="1"/>
  <c r="P3066" i="1"/>
  <c r="N3066" i="1" s="1"/>
  <c r="P3067" i="1"/>
  <c r="N3067" i="1" s="1"/>
  <c r="P3068" i="1"/>
  <c r="N3068" i="1" s="1"/>
  <c r="P3069" i="1"/>
  <c r="N3069" i="1" s="1"/>
  <c r="P3070" i="1"/>
  <c r="N3070" i="1" s="1"/>
  <c r="P3071" i="1"/>
  <c r="N3071" i="1" s="1"/>
  <c r="P3072" i="1"/>
  <c r="N3072" i="1" s="1"/>
  <c r="P3080" i="1"/>
  <c r="N3080" i="1" s="1"/>
  <c r="P3073" i="1"/>
  <c r="N3073" i="1" s="1"/>
  <c r="P1925" i="1"/>
  <c r="N1925" i="1" s="1"/>
  <c r="P2868" i="1"/>
  <c r="N2868" i="1" s="1"/>
  <c r="P2885" i="1"/>
  <c r="N2885" i="1" s="1"/>
  <c r="P2869" i="1"/>
  <c r="N2869" i="1" s="1"/>
  <c r="P2857" i="1"/>
  <c r="N2857" i="1" s="1"/>
  <c r="P2889" i="1"/>
  <c r="N2889" i="1" s="1"/>
  <c r="P2870" i="1"/>
  <c r="N2870" i="1" s="1"/>
  <c r="P2871" i="1"/>
  <c r="N2871" i="1" s="1"/>
  <c r="P2872" i="1"/>
  <c r="N2872" i="1" s="1"/>
  <c r="P2873" i="1"/>
  <c r="N2873" i="1" s="1"/>
  <c r="P2874" i="1"/>
  <c r="N2874" i="1" s="1"/>
  <c r="P2875" i="1"/>
  <c r="N2875" i="1" s="1"/>
  <c r="P2876" i="1"/>
  <c r="N2876" i="1" s="1"/>
  <c r="P2877" i="1"/>
  <c r="N2877" i="1" s="1"/>
  <c r="P2878" i="1"/>
  <c r="N2878" i="1" s="1"/>
  <c r="P2879" i="1"/>
  <c r="N2879" i="1" s="1"/>
  <c r="P2880" i="1"/>
  <c r="N2880" i="1" s="1"/>
  <c r="P2890" i="1"/>
  <c r="N2890" i="1" s="1"/>
  <c r="P2881" i="1"/>
  <c r="N2881" i="1" s="1"/>
  <c r="P4932" i="1"/>
  <c r="N4932" i="1" s="1"/>
  <c r="P4933" i="1"/>
  <c r="N4933" i="1" s="1"/>
  <c r="P4934" i="1"/>
  <c r="N4934" i="1" s="1"/>
  <c r="P4935" i="1"/>
  <c r="N4935" i="1" s="1"/>
  <c r="P4936" i="1"/>
  <c r="N4936" i="1" s="1"/>
  <c r="P4937" i="1"/>
  <c r="N4937" i="1" s="1"/>
  <c r="P4938" i="1"/>
  <c r="N4938" i="1" s="1"/>
  <c r="P4939" i="1"/>
  <c r="N4939" i="1" s="1"/>
  <c r="P4940" i="1"/>
  <c r="N4940" i="1" s="1"/>
  <c r="P4941" i="1"/>
  <c r="N4941" i="1" s="1"/>
  <c r="P4942" i="1"/>
  <c r="N4942" i="1" s="1"/>
  <c r="P4943" i="1"/>
  <c r="N4943" i="1" s="1"/>
  <c r="P4944" i="1"/>
  <c r="N4944" i="1" s="1"/>
  <c r="P4945" i="1"/>
  <c r="N4945" i="1" s="1"/>
  <c r="P4946" i="1"/>
  <c r="N4946" i="1" s="1"/>
  <c r="P4947" i="1"/>
  <c r="N4947" i="1" s="1"/>
  <c r="P4948" i="1"/>
  <c r="N4948" i="1" s="1"/>
  <c r="P4960" i="1"/>
  <c r="N4960" i="1" s="1"/>
  <c r="P4961" i="1"/>
  <c r="N4961" i="1" s="1"/>
  <c r="P4949" i="1"/>
  <c r="N4949" i="1" s="1"/>
  <c r="P4950" i="1"/>
  <c r="N4950" i="1" s="1"/>
  <c r="P4958" i="1"/>
  <c r="N4958" i="1" s="1"/>
  <c r="P4951" i="1"/>
  <c r="N4951" i="1" s="1"/>
  <c r="P4952" i="1"/>
  <c r="N4952" i="1" s="1"/>
  <c r="P3106" i="1"/>
  <c r="N3106" i="1" s="1"/>
  <c r="P3110" i="1"/>
  <c r="N3110" i="1" s="1"/>
  <c r="P3107" i="1"/>
  <c r="N3107" i="1" s="1"/>
  <c r="P3101" i="1"/>
  <c r="N3101" i="1" s="1"/>
  <c r="P3142" i="1"/>
  <c r="N3142" i="1" s="1"/>
  <c r="P3141" i="1"/>
  <c r="N3141" i="1" s="1"/>
  <c r="P3144" i="1"/>
  <c r="N3144" i="1" s="1"/>
  <c r="P3176" i="1"/>
  <c r="N3176" i="1" s="1"/>
  <c r="P3173" i="1"/>
  <c r="N3173" i="1" s="1"/>
  <c r="P3145" i="1"/>
  <c r="N3145" i="1" s="1"/>
  <c r="P3150" i="1"/>
  <c r="N3150" i="1" s="1"/>
  <c r="P3147" i="1"/>
  <c r="N3147" i="1" s="1"/>
  <c r="P3114" i="1"/>
  <c r="N3114" i="1" s="1"/>
  <c r="P3171" i="1"/>
  <c r="N3171" i="1" s="1"/>
  <c r="P3115" i="1"/>
  <c r="N3115" i="1" s="1"/>
  <c r="P3116" i="1"/>
  <c r="N3116" i="1" s="1"/>
  <c r="P3117" i="1"/>
  <c r="N3117" i="1" s="1"/>
  <c r="P3118" i="1"/>
  <c r="N3118" i="1" s="1"/>
  <c r="P3119" i="1"/>
  <c r="N3119" i="1" s="1"/>
  <c r="P3120" i="1"/>
  <c r="N3120" i="1" s="1"/>
  <c r="P3121" i="1"/>
  <c r="N3121" i="1" s="1"/>
  <c r="P3122" i="1"/>
  <c r="N3122" i="1" s="1"/>
  <c r="P3123" i="1"/>
  <c r="N3123" i="1" s="1"/>
  <c r="P3124" i="1"/>
  <c r="N3124" i="1" s="1"/>
  <c r="P3125" i="1"/>
  <c r="N3125" i="1" s="1"/>
  <c r="P3126" i="1"/>
  <c r="N3126" i="1" s="1"/>
  <c r="P3134" i="1"/>
  <c r="N3134" i="1" s="1"/>
  <c r="P3127" i="1"/>
  <c r="N3127" i="1" s="1"/>
  <c r="P958" i="1"/>
  <c r="N958" i="1" s="1"/>
  <c r="P1186" i="1"/>
  <c r="N1186" i="1" s="1"/>
  <c r="P1187" i="1"/>
  <c r="N1187" i="1" s="1"/>
  <c r="P1188" i="1"/>
  <c r="N1188" i="1" s="1"/>
  <c r="P1189" i="1"/>
  <c r="N1189" i="1" s="1"/>
  <c r="P1190" i="1"/>
  <c r="N1190" i="1" s="1"/>
  <c r="P1191" i="1"/>
  <c r="N1191" i="1" s="1"/>
  <c r="P1192" i="1"/>
  <c r="N1192" i="1" s="1"/>
  <c r="P1193" i="1"/>
  <c r="N1193" i="1" s="1"/>
  <c r="P1194" i="1"/>
  <c r="N1194" i="1" s="1"/>
  <c r="P1195" i="1"/>
  <c r="N1195" i="1" s="1"/>
  <c r="P1196" i="1"/>
  <c r="N1196" i="1" s="1"/>
  <c r="P1197" i="1"/>
  <c r="N1197" i="1" s="1"/>
  <c r="P1198" i="1"/>
  <c r="N1198" i="1" s="1"/>
  <c r="P1199" i="1"/>
  <c r="N1199" i="1" s="1"/>
  <c r="P1181" i="1"/>
  <c r="N1181" i="1" s="1"/>
  <c r="P1200" i="1"/>
  <c r="N1200" i="1" s="1"/>
  <c r="P1201" i="1"/>
  <c r="N1201" i="1" s="1"/>
  <c r="P1183" i="1"/>
  <c r="N1183" i="1" s="1"/>
  <c r="P1202" i="1"/>
  <c r="N1202" i="1" s="1"/>
  <c r="P1203" i="1"/>
  <c r="N1203" i="1" s="1"/>
  <c r="P3170" i="1"/>
  <c r="N3170" i="1" s="1"/>
  <c r="P3152" i="1"/>
  <c r="N3152" i="1" s="1"/>
  <c r="P3153" i="1"/>
  <c r="N3153" i="1" s="1"/>
  <c r="P3151" i="1"/>
  <c r="N3151" i="1" s="1"/>
  <c r="P3143" i="1"/>
  <c r="N3143" i="1" s="1"/>
  <c r="P3146" i="1"/>
  <c r="N3146" i="1" s="1"/>
  <c r="P3243" i="1"/>
  <c r="N3243" i="1" s="1"/>
  <c r="P1309" i="1"/>
  <c r="N1309" i="1" s="1"/>
  <c r="P3246" i="1"/>
  <c r="N3246" i="1" s="1"/>
  <c r="P3216" i="1"/>
  <c r="N3216" i="1" s="1"/>
  <c r="P3241" i="1"/>
  <c r="N3241" i="1" s="1"/>
  <c r="P3215" i="1"/>
  <c r="N3215" i="1" s="1"/>
  <c r="P3212" i="1"/>
  <c r="N3212" i="1" s="1"/>
  <c r="P3214" i="1"/>
  <c r="N3214" i="1" s="1"/>
  <c r="P3221" i="1"/>
  <c r="N3221" i="1" s="1"/>
  <c r="P3217" i="1"/>
  <c r="N3217" i="1" s="1"/>
  <c r="P1310" i="1"/>
  <c r="N1310" i="1" s="1"/>
  <c r="P1311" i="1"/>
  <c r="N1311" i="1" s="1"/>
  <c r="P1312" i="1"/>
  <c r="N1312" i="1" s="1"/>
  <c r="P1313" i="1"/>
  <c r="N1313" i="1" s="1"/>
  <c r="P1314" i="1"/>
  <c r="N1314" i="1" s="1"/>
  <c r="P1315" i="1"/>
  <c r="N1315" i="1" s="1"/>
  <c r="P1316" i="1"/>
  <c r="N1316" i="1" s="1"/>
  <c r="P1317" i="1"/>
  <c r="N1317" i="1" s="1"/>
  <c r="P1318" i="1"/>
  <c r="N1318" i="1" s="1"/>
  <c r="P1319" i="1"/>
  <c r="N1319" i="1" s="1"/>
  <c r="P1320" i="1"/>
  <c r="N1320" i="1" s="1"/>
  <c r="P1306" i="1"/>
  <c r="N1306" i="1" s="1"/>
  <c r="P3218" i="1"/>
  <c r="N3218" i="1" s="1"/>
  <c r="P3219" i="1"/>
  <c r="N3219" i="1" s="1"/>
  <c r="P3220" i="1"/>
  <c r="N3220" i="1" s="1"/>
  <c r="P3240" i="1"/>
  <c r="N3240" i="1" s="1"/>
  <c r="P3268" i="1"/>
  <c r="N3268" i="1" s="1"/>
  <c r="P3263" i="1"/>
  <c r="N3263" i="1" s="1"/>
  <c r="P3304" i="1"/>
  <c r="N3304" i="1" s="1"/>
  <c r="P3272" i="1"/>
  <c r="N3272" i="1" s="1"/>
  <c r="P3302" i="1"/>
  <c r="N3302" i="1" s="1"/>
  <c r="P3307" i="1"/>
  <c r="N3307" i="1" s="1"/>
  <c r="P3274" i="1"/>
  <c r="N3274" i="1" s="1"/>
  <c r="P3276" i="1"/>
  <c r="N3276" i="1" s="1"/>
  <c r="P2491" i="1"/>
  <c r="N2491" i="1" s="1"/>
  <c r="P2492" i="1"/>
  <c r="N2492" i="1" s="1"/>
  <c r="P2493" i="1"/>
  <c r="N2493" i="1" s="1"/>
  <c r="P2494" i="1"/>
  <c r="N2494" i="1" s="1"/>
  <c r="P2495" i="1"/>
  <c r="N2495" i="1" s="1"/>
  <c r="P2496" i="1"/>
  <c r="N2496" i="1" s="1"/>
  <c r="P2497" i="1"/>
  <c r="N2497" i="1" s="1"/>
  <c r="P2498" i="1"/>
  <c r="N2498" i="1" s="1"/>
  <c r="P2499" i="1"/>
  <c r="N2499" i="1" s="1"/>
  <c r="P2500" i="1"/>
  <c r="N2500" i="1" s="1"/>
  <c r="P2501" i="1"/>
  <c r="N2501" i="1" s="1"/>
  <c r="P2502" i="1"/>
  <c r="N2502" i="1" s="1"/>
  <c r="P2480" i="1"/>
  <c r="N2480" i="1" s="1"/>
  <c r="P2503" i="1"/>
  <c r="N2503" i="1" s="1"/>
  <c r="P2507" i="1"/>
  <c r="N2507" i="1" s="1"/>
  <c r="P2504" i="1"/>
  <c r="N2504" i="1" s="1"/>
  <c r="P3273" i="1"/>
  <c r="N3273" i="1" s="1"/>
  <c r="P3278" i="1"/>
  <c r="N3278" i="1" s="1"/>
  <c r="P3279" i="1"/>
  <c r="N3279" i="1" s="1"/>
  <c r="P3280" i="1"/>
  <c r="N3280" i="1" s="1"/>
  <c r="P2509" i="1"/>
  <c r="N2509" i="1" s="1"/>
  <c r="P2515" i="1"/>
  <c r="N2515" i="1" s="1"/>
  <c r="P2543" i="1"/>
  <c r="N2543" i="1" s="1"/>
  <c r="P2519" i="1"/>
  <c r="N2519" i="1" s="1"/>
  <c r="P2520" i="1"/>
  <c r="N2520" i="1" s="1"/>
  <c r="P2521" i="1"/>
  <c r="N2521" i="1" s="1"/>
  <c r="P2522" i="1"/>
  <c r="N2522" i="1" s="1"/>
  <c r="P2523" i="1"/>
  <c r="N2523" i="1" s="1"/>
  <c r="P2524" i="1"/>
  <c r="N2524" i="1" s="1"/>
  <c r="P2525" i="1"/>
  <c r="N2525" i="1" s="1"/>
  <c r="P2526" i="1"/>
  <c r="N2526" i="1" s="1"/>
  <c r="P2527" i="1"/>
  <c r="N2527" i="1" s="1"/>
  <c r="P2528" i="1"/>
  <c r="N2528" i="1" s="1"/>
  <c r="P2529" i="1"/>
  <c r="N2529" i="1" s="1"/>
  <c r="P2530" i="1"/>
  <c r="N2530" i="1" s="1"/>
  <c r="P2531" i="1"/>
  <c r="N2531" i="1" s="1"/>
  <c r="P2532" i="1"/>
  <c r="N2532" i="1" s="1"/>
  <c r="P2533" i="1"/>
  <c r="N2533" i="1" s="1"/>
  <c r="P2534" i="1"/>
  <c r="N2534" i="1" s="1"/>
  <c r="P2535" i="1"/>
  <c r="N2535" i="1" s="1"/>
  <c r="P2536" i="1"/>
  <c r="N2536" i="1" s="1"/>
  <c r="P2544" i="1"/>
  <c r="N2544" i="1" s="1"/>
  <c r="P2537" i="1"/>
  <c r="N2537" i="1" s="1"/>
  <c r="P2538" i="1"/>
  <c r="N2538" i="1" s="1"/>
  <c r="P2539" i="1"/>
  <c r="N2539" i="1" s="1"/>
  <c r="P3301" i="1"/>
  <c r="N3301" i="1" s="1"/>
  <c r="P3281" i="1"/>
  <c r="N3281" i="1" s="1"/>
  <c r="P3282" i="1"/>
  <c r="N3282" i="1" s="1"/>
  <c r="P3340" i="1"/>
  <c r="N3340" i="1" s="1"/>
  <c r="P3309" i="1"/>
  <c r="N3309" i="1" s="1"/>
  <c r="P3310" i="1"/>
  <c r="N3310" i="1" s="1"/>
  <c r="P3311" i="1"/>
  <c r="N3311" i="1" s="1"/>
  <c r="P3314" i="1"/>
  <c r="N3314" i="1" s="1"/>
  <c r="P3338" i="1"/>
  <c r="N3338" i="1" s="1"/>
  <c r="P2562" i="1"/>
  <c r="N2562" i="1" s="1"/>
  <c r="P3336" i="1"/>
  <c r="N3336" i="1" s="1"/>
  <c r="P3316" i="1"/>
  <c r="N3316" i="1" s="1"/>
  <c r="P3313" i="1"/>
  <c r="N3313" i="1" s="1"/>
  <c r="P2563" i="1"/>
  <c r="N2563" i="1" s="1"/>
  <c r="P2564" i="1"/>
  <c r="N2564" i="1" s="1"/>
  <c r="P2565" i="1"/>
  <c r="N2565" i="1" s="1"/>
  <c r="P2566" i="1"/>
  <c r="N2566" i="1" s="1"/>
  <c r="P2567" i="1"/>
  <c r="N2567" i="1" s="1"/>
  <c r="P2568" i="1"/>
  <c r="N2568" i="1" s="1"/>
  <c r="P2569" i="1"/>
  <c r="N2569" i="1" s="1"/>
  <c r="P2570" i="1"/>
  <c r="N2570" i="1" s="1"/>
  <c r="P2571" i="1"/>
  <c r="N2571" i="1" s="1"/>
  <c r="P2572" i="1"/>
  <c r="N2572" i="1" s="1"/>
  <c r="P2573" i="1"/>
  <c r="N2573" i="1" s="1"/>
  <c r="P2574" i="1"/>
  <c r="N2574" i="1" s="1"/>
  <c r="P2575" i="1"/>
  <c r="N2575" i="1" s="1"/>
  <c r="P2576" i="1"/>
  <c r="N2576" i="1" s="1"/>
  <c r="P2580" i="1"/>
  <c r="N2580" i="1" s="1"/>
  <c r="P2620" i="1"/>
  <c r="N2620" i="1" s="1"/>
  <c r="P2621" i="1"/>
  <c r="N2621" i="1" s="1"/>
  <c r="P2622" i="1"/>
  <c r="N2622" i="1" s="1"/>
  <c r="P2623" i="1"/>
  <c r="N2623" i="1" s="1"/>
  <c r="P2624" i="1"/>
  <c r="N2624" i="1" s="1"/>
  <c r="P2625" i="1"/>
  <c r="N2625" i="1" s="1"/>
  <c r="P2626" i="1"/>
  <c r="N2626" i="1" s="1"/>
  <c r="P2627" i="1"/>
  <c r="N2627" i="1" s="1"/>
  <c r="P2628" i="1"/>
  <c r="N2628" i="1" s="1"/>
  <c r="P2629" i="1"/>
  <c r="N2629" i="1" s="1"/>
  <c r="P2630" i="1"/>
  <c r="N2630" i="1" s="1"/>
  <c r="P2631" i="1"/>
  <c r="N2631" i="1" s="1"/>
  <c r="P2632" i="1"/>
  <c r="N2632" i="1" s="1"/>
  <c r="P2633" i="1"/>
  <c r="N2633" i="1" s="1"/>
  <c r="P2617" i="1"/>
  <c r="N2617" i="1" s="1"/>
  <c r="P2634" i="1"/>
  <c r="N2634" i="1" s="1"/>
  <c r="P2645" i="1"/>
  <c r="N2645" i="1" s="1"/>
  <c r="P2671" i="1"/>
  <c r="N2671" i="1" s="1"/>
  <c r="P2641" i="1"/>
  <c r="N2641" i="1" s="1"/>
  <c r="P2656" i="1"/>
  <c r="N2656" i="1" s="1"/>
  <c r="P2657" i="1"/>
  <c r="N2657" i="1" s="1"/>
  <c r="P2642" i="1"/>
  <c r="N2642" i="1" s="1"/>
  <c r="P2658" i="1"/>
  <c r="N2658" i="1" s="1"/>
  <c r="P2637" i="1"/>
  <c r="N2637" i="1" s="1"/>
  <c r="P2638" i="1"/>
  <c r="N2638" i="1" s="1"/>
  <c r="P2659" i="1"/>
  <c r="N2659" i="1" s="1"/>
  <c r="P2660" i="1"/>
  <c r="N2660" i="1" s="1"/>
  <c r="P2661" i="1"/>
  <c r="N2661" i="1" s="1"/>
  <c r="P2662" i="1"/>
  <c r="N2662" i="1" s="1"/>
  <c r="P2663" i="1"/>
  <c r="N2663" i="1" s="1"/>
  <c r="P2639" i="1"/>
  <c r="N2639" i="1" s="1"/>
  <c r="P2640" i="1"/>
  <c r="N2640" i="1" s="1"/>
  <c r="P2664" i="1"/>
  <c r="N2664" i="1" s="1"/>
  <c r="P2665" i="1"/>
  <c r="N2665" i="1" s="1"/>
  <c r="P2666" i="1"/>
  <c r="N2666" i="1" s="1"/>
  <c r="P2667" i="1"/>
  <c r="N2667" i="1" s="1"/>
  <c r="P2668" i="1"/>
  <c r="N2668" i="1" s="1"/>
  <c r="P2673" i="1"/>
  <c r="N2673" i="1" s="1"/>
  <c r="P2643" i="1"/>
  <c r="N2643" i="1" s="1"/>
  <c r="P2669" i="1"/>
  <c r="N2669" i="1" s="1"/>
  <c r="P2650" i="1"/>
  <c r="N2650" i="1" s="1"/>
  <c r="P2652" i="1"/>
  <c r="N2652" i="1" s="1"/>
  <c r="P2670" i="1"/>
  <c r="N2670" i="1" s="1"/>
  <c r="P2644" i="1"/>
  <c r="N2644" i="1" s="1"/>
  <c r="P4920" i="1"/>
  <c r="N4920" i="1" s="1"/>
  <c r="P4921" i="1"/>
  <c r="N4921" i="1" s="1"/>
  <c r="P4922" i="1"/>
  <c r="N4922" i="1" s="1"/>
  <c r="P4923" i="1"/>
  <c r="N4923" i="1" s="1"/>
  <c r="P3315" i="1"/>
  <c r="N3315" i="1" s="1"/>
  <c r="P3335" i="1"/>
  <c r="N3335" i="1" s="1"/>
  <c r="P3317" i="1"/>
  <c r="N3317" i="1" s="1"/>
  <c r="P3344" i="1"/>
  <c r="N3344" i="1" s="1"/>
  <c r="P3318" i="1"/>
  <c r="N3318" i="1" s="1"/>
  <c r="P3320" i="1"/>
  <c r="N3320" i="1" s="1"/>
  <c r="P3372" i="1"/>
  <c r="N3372" i="1" s="1"/>
  <c r="P3494" i="1"/>
  <c r="N3494" i="1" s="1"/>
  <c r="P3507" i="1"/>
  <c r="N3507" i="1" s="1"/>
  <c r="P3508" i="1"/>
  <c r="N3508" i="1" s="1"/>
  <c r="P2695" i="1"/>
  <c r="N2695" i="1" s="1"/>
  <c r="P3510" i="1"/>
  <c r="N3510" i="1" s="1"/>
  <c r="P3511" i="1"/>
  <c r="N3511" i="1" s="1"/>
  <c r="P3492" i="1"/>
  <c r="N3492" i="1" s="1"/>
  <c r="P2696" i="1"/>
  <c r="N2696" i="1" s="1"/>
  <c r="P3497" i="1"/>
  <c r="N3497" i="1" s="1"/>
  <c r="P2697" i="1"/>
  <c r="N2697" i="1" s="1"/>
  <c r="P2698" i="1"/>
  <c r="N2698" i="1" s="1"/>
  <c r="P2699" i="1"/>
  <c r="N2699" i="1" s="1"/>
  <c r="P2700" i="1"/>
  <c r="N2700" i="1" s="1"/>
  <c r="P2701" i="1"/>
  <c r="N2701" i="1" s="1"/>
  <c r="P2702" i="1"/>
  <c r="N2702" i="1" s="1"/>
  <c r="P2703" i="1"/>
  <c r="N2703" i="1" s="1"/>
  <c r="P2704" i="1"/>
  <c r="N2704" i="1" s="1"/>
  <c r="P2705" i="1"/>
  <c r="N2705" i="1" s="1"/>
  <c r="P2706" i="1"/>
  <c r="N2706" i="1" s="1"/>
  <c r="P2707" i="1"/>
  <c r="N2707" i="1" s="1"/>
  <c r="P2710" i="1"/>
  <c r="N2710" i="1" s="1"/>
  <c r="P4924" i="1"/>
  <c r="N4924" i="1" s="1"/>
  <c r="P4925" i="1"/>
  <c r="N4925" i="1" s="1"/>
  <c r="P4926" i="1"/>
  <c r="N4926" i="1" s="1"/>
  <c r="P4927" i="1"/>
  <c r="N4927" i="1" s="1"/>
  <c r="P2084" i="1"/>
  <c r="N2084" i="1" s="1"/>
  <c r="P2085" i="1"/>
  <c r="N2085" i="1" s="1"/>
  <c r="P2086" i="1"/>
  <c r="N2086" i="1" s="1"/>
  <c r="P2087" i="1"/>
  <c r="N2087" i="1" s="1"/>
  <c r="P2088" i="1"/>
  <c r="N2088" i="1" s="1"/>
  <c r="P2089" i="1"/>
  <c r="N2089" i="1" s="1"/>
  <c r="P2090" i="1"/>
  <c r="N2090" i="1" s="1"/>
  <c r="P2079" i="1"/>
  <c r="N2079" i="1" s="1"/>
  <c r="P2080" i="1"/>
  <c r="N2080" i="1" s="1"/>
  <c r="P2091" i="1"/>
  <c r="N2091" i="1" s="1"/>
  <c r="P2092" i="1"/>
  <c r="N2092" i="1" s="1"/>
  <c r="P2077" i="1"/>
  <c r="N2077" i="1" s="1"/>
  <c r="P2074" i="1"/>
  <c r="N2074" i="1" s="1"/>
  <c r="P2093" i="1"/>
  <c r="N2093" i="1" s="1"/>
  <c r="P2297" i="1"/>
  <c r="N2297" i="1" s="1"/>
  <c r="P1069" i="1"/>
  <c r="N1069" i="1" s="1"/>
  <c r="P2097" i="1"/>
  <c r="N2097" i="1" s="1"/>
  <c r="P2124" i="1"/>
  <c r="N2124" i="1" s="1"/>
  <c r="P2132" i="1"/>
  <c r="N2132" i="1" s="1"/>
  <c r="P2133" i="1"/>
  <c r="N2133" i="1" s="1"/>
  <c r="P3531" i="1"/>
  <c r="N3531" i="1" s="1"/>
  <c r="P3539" i="1"/>
  <c r="N3539" i="1" s="1"/>
  <c r="P3540" i="1"/>
  <c r="N3540" i="1" s="1"/>
  <c r="P3541" i="1"/>
  <c r="N3541" i="1" s="1"/>
  <c r="P4893" i="1"/>
  <c r="N4893" i="1" s="1"/>
  <c r="P4894" i="1"/>
  <c r="N4894" i="1" s="1"/>
  <c r="P664" i="1"/>
  <c r="N664" i="1" s="1"/>
  <c r="P665" i="1"/>
  <c r="N665" i="1" s="1"/>
  <c r="P666" i="1"/>
  <c r="N666" i="1" s="1"/>
  <c r="P667" i="1"/>
  <c r="N667" i="1" s="1"/>
  <c r="P668" i="1"/>
  <c r="N668" i="1" s="1"/>
  <c r="P690" i="1"/>
  <c r="N690" i="1" s="1"/>
  <c r="P4353" i="1"/>
  <c r="N4353" i="1" s="1"/>
  <c r="P4354" i="1"/>
  <c r="N4354" i="1" s="1"/>
  <c r="P4357" i="1"/>
  <c r="N4357" i="1" s="1"/>
  <c r="P4355" i="1"/>
  <c r="N4355" i="1" s="1"/>
  <c r="P4359" i="1"/>
  <c r="N4359" i="1" s="1"/>
  <c r="P4360" i="1"/>
  <c r="N4360" i="1" s="1"/>
  <c r="P4361" i="1"/>
  <c r="N4361" i="1" s="1"/>
  <c r="P4362" i="1"/>
  <c r="N4362" i="1" s="1"/>
  <c r="P217" i="1"/>
  <c r="N217" i="1" s="1"/>
  <c r="P218" i="1"/>
  <c r="N218" i="1" s="1"/>
  <c r="P219" i="1"/>
  <c r="N219" i="1" s="1"/>
  <c r="P221" i="1"/>
  <c r="N221" i="1" s="1"/>
  <c r="P222" i="1"/>
  <c r="N222" i="1" s="1"/>
  <c r="P224" i="1"/>
  <c r="N224" i="1" s="1"/>
  <c r="P225" i="1"/>
  <c r="N225" i="1" s="1"/>
  <c r="P226" i="1"/>
  <c r="N226" i="1" s="1"/>
  <c r="P227" i="1"/>
  <c r="N227" i="1" s="1"/>
  <c r="P229" i="1"/>
  <c r="N229" i="1" s="1"/>
  <c r="P230" i="1"/>
  <c r="N230" i="1" s="1"/>
  <c r="P231" i="1"/>
  <c r="N231" i="1" s="1"/>
  <c r="P232" i="1"/>
  <c r="N232" i="1" s="1"/>
  <c r="P234" i="1"/>
  <c r="N234" i="1" s="1"/>
  <c r="P235" i="1"/>
  <c r="N235" i="1" s="1"/>
  <c r="P236" i="1"/>
  <c r="N236" i="1" s="1"/>
  <c r="P237" i="1"/>
  <c r="N237" i="1" s="1"/>
  <c r="P294" i="1"/>
  <c r="N294" i="1" s="1"/>
  <c r="P295" i="1"/>
  <c r="N295" i="1" s="1"/>
  <c r="P297" i="1"/>
  <c r="N297" i="1" s="1"/>
  <c r="P296" i="1"/>
  <c r="N296" i="1" s="1"/>
  <c r="P299" i="1"/>
  <c r="N299" i="1" s="1"/>
  <c r="P300" i="1"/>
  <c r="N300" i="1" s="1"/>
  <c r="P301" i="1"/>
  <c r="N301" i="1" s="1"/>
  <c r="P302" i="1"/>
  <c r="N302" i="1" s="1"/>
  <c r="P59" i="1"/>
  <c r="N59" i="1" s="1"/>
  <c r="P60" i="1"/>
  <c r="N60" i="1" s="1"/>
  <c r="P4363" i="1"/>
  <c r="N4363" i="1" s="1"/>
  <c r="P4364" i="1"/>
  <c r="N4364" i="1" s="1"/>
  <c r="P4365" i="1"/>
  <c r="N4365" i="1" s="1"/>
  <c r="P4368" i="1"/>
  <c r="N4368" i="1" s="1"/>
  <c r="P4367" i="1"/>
  <c r="N4367" i="1" s="1"/>
  <c r="P4370" i="1"/>
  <c r="N4370" i="1" s="1"/>
  <c r="P4371" i="1"/>
  <c r="N4371" i="1" s="1"/>
  <c r="P4372" i="1"/>
  <c r="N4372" i="1" s="1"/>
  <c r="P4373" i="1"/>
  <c r="N4373" i="1" s="1"/>
  <c r="P4374" i="1"/>
  <c r="N4374" i="1" s="1"/>
  <c r="P255" i="1"/>
  <c r="N255" i="1" s="1"/>
  <c r="P256" i="1"/>
  <c r="N256" i="1" s="1"/>
  <c r="P257" i="1"/>
  <c r="N257" i="1" s="1"/>
  <c r="P258" i="1"/>
  <c r="N258" i="1" s="1"/>
  <c r="P277" i="1"/>
  <c r="N277" i="1" s="1"/>
  <c r="P278" i="1"/>
  <c r="N278" i="1" s="1"/>
  <c r="P279" i="1"/>
  <c r="N279" i="1" s="1"/>
  <c r="P280" i="1"/>
  <c r="N280" i="1" s="1"/>
  <c r="P238" i="1"/>
  <c r="N238" i="1" s="1"/>
  <c r="P239" i="1"/>
  <c r="N239" i="1" s="1"/>
  <c r="P240" i="1"/>
  <c r="N240" i="1" s="1"/>
  <c r="P241" i="1"/>
  <c r="N241" i="1" s="1"/>
  <c r="P243" i="1"/>
  <c r="N243" i="1" s="1"/>
  <c r="P245" i="1"/>
  <c r="N245" i="1" s="1"/>
  <c r="P246" i="1"/>
  <c r="N246" i="1" s="1"/>
  <c r="P247" i="1"/>
  <c r="N247" i="1" s="1"/>
  <c r="P248" i="1"/>
  <c r="N248" i="1" s="1"/>
  <c r="P249" i="1"/>
  <c r="N249" i="1" s="1"/>
  <c r="P251" i="1"/>
  <c r="N251" i="1" s="1"/>
  <c r="P252" i="1"/>
  <c r="N252" i="1" s="1"/>
  <c r="P253" i="1"/>
  <c r="N253" i="1" s="1"/>
  <c r="P254" i="1"/>
  <c r="N254" i="1" s="1"/>
  <c r="P1041" i="1"/>
  <c r="N1041" i="1" s="1"/>
  <c r="P1091" i="1"/>
  <c r="N1091" i="1" s="1"/>
  <c r="P1092" i="1"/>
  <c r="N1092" i="1" s="1"/>
  <c r="P1093" i="1"/>
  <c r="N1093" i="1" s="1"/>
  <c r="P1094" i="1"/>
  <c r="N1094" i="1" s="1"/>
  <c r="P1126" i="1"/>
  <c r="N1126" i="1" s="1"/>
  <c r="P1127" i="1"/>
  <c r="N1127" i="1" s="1"/>
  <c r="P1128" i="1"/>
  <c r="N1128" i="1" s="1"/>
  <c r="P1129" i="1"/>
  <c r="N1129" i="1" s="1"/>
  <c r="P1799" i="1"/>
  <c r="N1799" i="1" s="1"/>
  <c r="P1800" i="1"/>
  <c r="N1800" i="1" s="1"/>
  <c r="P1801" i="1"/>
  <c r="N1801" i="1" s="1"/>
  <c r="P1802" i="1"/>
  <c r="N1802" i="1" s="1"/>
  <c r="P1834" i="1"/>
  <c r="N1834" i="1" s="1"/>
  <c r="P1835" i="1"/>
  <c r="N1835" i="1" s="1"/>
  <c r="P1836" i="1"/>
  <c r="N1836" i="1" s="1"/>
  <c r="P1837" i="1"/>
  <c r="N1837" i="1" s="1"/>
  <c r="P1868" i="1"/>
  <c r="N1868" i="1" s="1"/>
  <c r="P1869" i="1"/>
  <c r="N1869" i="1" s="1"/>
  <c r="P1884" i="1"/>
  <c r="N1884" i="1" s="1"/>
  <c r="P1885" i="1"/>
  <c r="N1885" i="1" s="1"/>
  <c r="P1915" i="1"/>
  <c r="N1915" i="1" s="1"/>
  <c r="P1916" i="1"/>
  <c r="N1916" i="1" s="1"/>
  <c r="P1917" i="1"/>
  <c r="N1917" i="1" s="1"/>
  <c r="P1904" i="1"/>
  <c r="N1904" i="1" s="1"/>
  <c r="P2014" i="1"/>
  <c r="N2014" i="1" s="1"/>
  <c r="P2015" i="1"/>
  <c r="N2015" i="1" s="1"/>
  <c r="P2016" i="1"/>
  <c r="N2016" i="1" s="1"/>
  <c r="P2017" i="1"/>
  <c r="N2017" i="1" s="1"/>
  <c r="P2049" i="1"/>
  <c r="N2049" i="1" s="1"/>
  <c r="P2050" i="1"/>
  <c r="N2050" i="1" s="1"/>
  <c r="P2051" i="1"/>
  <c r="N2051" i="1" s="1"/>
  <c r="P2052" i="1"/>
  <c r="N2052" i="1" s="1"/>
  <c r="P2145" i="1"/>
  <c r="N2145" i="1" s="1"/>
  <c r="P2416" i="1"/>
  <c r="N2416" i="1" s="1"/>
  <c r="P2429" i="1"/>
  <c r="N2429" i="1" s="1"/>
  <c r="P2430" i="1"/>
  <c r="N2430" i="1" s="1"/>
  <c r="P2431" i="1"/>
  <c r="N2431" i="1" s="1"/>
  <c r="P2456" i="1"/>
  <c r="N2456" i="1" s="1"/>
  <c r="P2457" i="1"/>
  <c r="N2457" i="1" s="1"/>
  <c r="P2458" i="1"/>
  <c r="N2458" i="1" s="1"/>
  <c r="P3010" i="1"/>
  <c r="N3010" i="1" s="1"/>
  <c r="P3011" i="1"/>
  <c r="N3011" i="1" s="1"/>
  <c r="P3012" i="1"/>
  <c r="N3012" i="1" s="1"/>
  <c r="P3013" i="1"/>
  <c r="N3013" i="1" s="1"/>
  <c r="P3609" i="1"/>
  <c r="N3609" i="1" s="1"/>
  <c r="P3610" i="1"/>
  <c r="N3610" i="1" s="1"/>
  <c r="P3611" i="1"/>
  <c r="N3611" i="1" s="1"/>
  <c r="P3612" i="1"/>
  <c r="N3612" i="1" s="1"/>
  <c r="P3678" i="1"/>
  <c r="N3678" i="1" s="1"/>
  <c r="P3679" i="1"/>
  <c r="N3679" i="1" s="1"/>
  <c r="P3680" i="1"/>
  <c r="N3680" i="1" s="1"/>
  <c r="P3681" i="1"/>
  <c r="N3681" i="1" s="1"/>
  <c r="P3709" i="1"/>
  <c r="N3709" i="1" s="1"/>
  <c r="P3710" i="1"/>
  <c r="N3710" i="1" s="1"/>
  <c r="P3711" i="1"/>
  <c r="N3711" i="1" s="1"/>
  <c r="P3712" i="1"/>
  <c r="N3712" i="1" s="1"/>
  <c r="P3713" i="1"/>
  <c r="N3713" i="1" s="1"/>
  <c r="P913" i="1"/>
  <c r="N913" i="1" s="1"/>
  <c r="P923" i="1"/>
  <c r="N923" i="1" s="1"/>
  <c r="P924" i="1"/>
  <c r="N924" i="1" s="1"/>
  <c r="P914" i="1"/>
  <c r="N914" i="1" s="1"/>
  <c r="P937" i="1"/>
  <c r="N937" i="1" s="1"/>
  <c r="P939" i="1"/>
  <c r="N939" i="1" s="1"/>
  <c r="P972" i="1"/>
  <c r="N972" i="1" s="1"/>
  <c r="P973" i="1"/>
  <c r="N973" i="1" s="1"/>
  <c r="P974" i="1"/>
  <c r="N974" i="1" s="1"/>
  <c r="P975" i="1"/>
  <c r="N975" i="1" s="1"/>
  <c r="P976" i="1"/>
  <c r="N976" i="1" s="1"/>
  <c r="P979" i="1"/>
  <c r="N979" i="1" s="1"/>
  <c r="P980" i="1"/>
  <c r="N980" i="1" s="1"/>
  <c r="P981" i="1"/>
  <c r="N981" i="1" s="1"/>
  <c r="P982" i="1"/>
  <c r="N982" i="1" s="1"/>
  <c r="P983" i="1"/>
  <c r="N983" i="1" s="1"/>
  <c r="P1225" i="1"/>
  <c r="N1225" i="1" s="1"/>
  <c r="P1223" i="1"/>
  <c r="N1223" i="1" s="1"/>
  <c r="P1235" i="1"/>
  <c r="N1235" i="1" s="1"/>
  <c r="P1236" i="1"/>
  <c r="N1236" i="1" s="1"/>
  <c r="P1281" i="1"/>
  <c r="N1281" i="1" s="1"/>
  <c r="P1254" i="1"/>
  <c r="N1254" i="1" s="1"/>
  <c r="P1266" i="1"/>
  <c r="N1266" i="1" s="1"/>
  <c r="P1267" i="1"/>
  <c r="N1267" i="1" s="1"/>
  <c r="P1329" i="1"/>
  <c r="N1329" i="1" s="1"/>
  <c r="P1328" i="1"/>
  <c r="N1328" i="1" s="1"/>
  <c r="P1344" i="1"/>
  <c r="N1344" i="1" s="1"/>
  <c r="P1345" i="1"/>
  <c r="N1345" i="1" s="1"/>
  <c r="P1366" i="1"/>
  <c r="N1366" i="1" s="1"/>
  <c r="P1367" i="1"/>
  <c r="N1367" i="1" s="1"/>
  <c r="P1368" i="1"/>
  <c r="N1368" i="1" s="1"/>
  <c r="P1369" i="1"/>
  <c r="N1369" i="1" s="1"/>
  <c r="P1400" i="1"/>
  <c r="N1400" i="1" s="1"/>
  <c r="P1411" i="1"/>
  <c r="N1411" i="1" s="1"/>
  <c r="P1412" i="1"/>
  <c r="N1412" i="1" s="1"/>
  <c r="P1413" i="1"/>
  <c r="N1413" i="1" s="1"/>
  <c r="P1437" i="1"/>
  <c r="N1437" i="1" s="1"/>
  <c r="P1438" i="1"/>
  <c r="N1438" i="1" s="1"/>
  <c r="P1439" i="1"/>
  <c r="N1439" i="1" s="1"/>
  <c r="P1440" i="1"/>
  <c r="N1440" i="1" s="1"/>
  <c r="P1576" i="1"/>
  <c r="N1576" i="1" s="1"/>
  <c r="P1577" i="1"/>
  <c r="N1577" i="1" s="1"/>
  <c r="P1578" i="1"/>
  <c r="N1578" i="1" s="1"/>
  <c r="P1579" i="1"/>
  <c r="N1579" i="1" s="1"/>
  <c r="P72" i="1"/>
  <c r="N72" i="1" s="1"/>
  <c r="P73" i="1"/>
  <c r="N73" i="1" s="1"/>
  <c r="P74" i="1"/>
  <c r="N74" i="1" s="1"/>
  <c r="P76" i="1"/>
  <c r="N76" i="1" s="1"/>
  <c r="P77" i="1"/>
  <c r="N77" i="1" s="1"/>
  <c r="P78" i="1"/>
  <c r="N78" i="1" s="1"/>
  <c r="P79" i="1"/>
  <c r="N79" i="1" s="1"/>
  <c r="P80" i="1"/>
  <c r="N80" i="1" s="1"/>
  <c r="P282" i="1"/>
  <c r="N282" i="1" s="1"/>
  <c r="P283" i="1"/>
  <c r="N283" i="1" s="1"/>
  <c r="P284" i="1"/>
  <c r="N284" i="1" s="1"/>
  <c r="P285" i="1"/>
  <c r="N285" i="1" s="1"/>
  <c r="P287" i="1"/>
  <c r="N287" i="1" s="1"/>
  <c r="P289" i="1"/>
  <c r="N289" i="1" s="1"/>
  <c r="P290" i="1"/>
  <c r="N290" i="1" s="1"/>
  <c r="P291" i="1"/>
  <c r="N291" i="1" s="1"/>
  <c r="P292" i="1"/>
  <c r="N292" i="1" s="1"/>
  <c r="P406" i="1"/>
  <c r="N406" i="1" s="1"/>
  <c r="P4376" i="1"/>
  <c r="N4376" i="1" s="1"/>
  <c r="P4377" i="1"/>
  <c r="N4377" i="1" s="1"/>
  <c r="P4378" i="1"/>
  <c r="N4378" i="1" s="1"/>
  <c r="P4379" i="1"/>
  <c r="N4379" i="1" s="1"/>
  <c r="P4380" i="1"/>
  <c r="N4380" i="1" s="1"/>
  <c r="P4382" i="1"/>
  <c r="N4382" i="1" s="1"/>
  <c r="P4383" i="1"/>
  <c r="N4383" i="1" s="1"/>
  <c r="P4384" i="1"/>
  <c r="N4384" i="1" s="1"/>
  <c r="P4385" i="1"/>
  <c r="N4385" i="1" s="1"/>
  <c r="P4386" i="1"/>
  <c r="N4386" i="1" s="1"/>
  <c r="P262" i="1"/>
  <c r="N262" i="1" s="1"/>
  <c r="P263" i="1"/>
  <c r="N263" i="1" s="1"/>
  <c r="P264" i="1"/>
  <c r="N264" i="1" s="1"/>
  <c r="P261" i="1"/>
  <c r="N261" i="1" s="1"/>
  <c r="P260" i="1"/>
  <c r="N260" i="1" s="1"/>
  <c r="P267" i="1"/>
  <c r="N267" i="1" s="1"/>
  <c r="P268" i="1"/>
  <c r="N268" i="1" s="1"/>
  <c r="P269" i="1"/>
  <c r="N269" i="1" s="1"/>
  <c r="P270" i="1"/>
  <c r="N270" i="1" s="1"/>
  <c r="P272" i="1"/>
  <c r="N272" i="1" s="1"/>
  <c r="P273" i="1"/>
  <c r="N273" i="1" s="1"/>
  <c r="P274" i="1"/>
  <c r="N274" i="1" s="1"/>
  <c r="P275" i="1"/>
  <c r="N275" i="1" s="1"/>
  <c r="P276" i="1"/>
  <c r="N276" i="1" s="1"/>
  <c r="P314" i="1"/>
  <c r="N314" i="1" s="1"/>
  <c r="P337" i="1"/>
  <c r="N337" i="1" s="1"/>
  <c r="P2830" i="1"/>
  <c r="N2830" i="1" s="1"/>
  <c r="P2831" i="1"/>
  <c r="N2831" i="1" s="1"/>
  <c r="P2832" i="1"/>
  <c r="N2832" i="1" s="1"/>
  <c r="P2833" i="1"/>
  <c r="N2833" i="1" s="1"/>
  <c r="P1044" i="1"/>
  <c r="N1044" i="1" s="1"/>
  <c r="P1043" i="1"/>
  <c r="N1043" i="1" s="1"/>
  <c r="P4904" i="1"/>
  <c r="N4904" i="1" s="1"/>
  <c r="P1065" i="1"/>
  <c r="N1065" i="1" s="1"/>
  <c r="P1066" i="1"/>
  <c r="N1066" i="1" s="1"/>
  <c r="P4911" i="1"/>
  <c r="N4911" i="1" s="1"/>
  <c r="P2045" i="1"/>
  <c r="N2045" i="1" s="1"/>
  <c r="P2046" i="1"/>
  <c r="N2046" i="1" s="1"/>
  <c r="P2094" i="1"/>
  <c r="N2094" i="1" s="1"/>
  <c r="P2056" i="1"/>
  <c r="N2056" i="1" s="1"/>
  <c r="P2116" i="1"/>
  <c r="N2116" i="1" s="1"/>
  <c r="P2104" i="1"/>
  <c r="N2104" i="1" s="1"/>
  <c r="P3016" i="1"/>
  <c r="N3016" i="1" s="1"/>
  <c r="P3017" i="1"/>
  <c r="N3017" i="1" s="1"/>
  <c r="P3041" i="1"/>
  <c r="N3041" i="1" s="1"/>
  <c r="P3543" i="1"/>
  <c r="N3543" i="1" s="1"/>
  <c r="P938" i="1"/>
  <c r="N938" i="1" s="1"/>
  <c r="P956" i="1"/>
  <c r="N956" i="1" s="1"/>
  <c r="P4901" i="1"/>
  <c r="N4901" i="1" s="1"/>
  <c r="P957" i="1"/>
  <c r="N957" i="1" s="1"/>
  <c r="P959" i="1"/>
  <c r="N959" i="1" s="1"/>
  <c r="P4910" i="1"/>
  <c r="N4910" i="1" s="1"/>
  <c r="P1264" i="1"/>
  <c r="N1264" i="1" s="1"/>
  <c r="P1232" i="1"/>
  <c r="N1232" i="1" s="1"/>
  <c r="P1239" i="1"/>
  <c r="N1239" i="1" s="1"/>
  <c r="P1260" i="1"/>
  <c r="N1260" i="1" s="1"/>
  <c r="P1263" i="1"/>
  <c r="N1263" i="1" s="1"/>
  <c r="P1238" i="1"/>
  <c r="N1238" i="1" s="1"/>
  <c r="P1444" i="1"/>
  <c r="N1444" i="1" s="1"/>
  <c r="P1572" i="1"/>
  <c r="N1572" i="1" s="1"/>
  <c r="P1573" i="1"/>
  <c r="N1573" i="1" s="1"/>
  <c r="P1574" i="1"/>
  <c r="N1574" i="1" s="1"/>
  <c r="P1581" i="1"/>
  <c r="N1581" i="1" s="1"/>
  <c r="P1582" i="1"/>
  <c r="N1582" i="1" s="1"/>
  <c r="P1442" i="1"/>
  <c r="N1442" i="1" s="1"/>
  <c r="P1443" i="1"/>
  <c r="N1443" i="1" s="1"/>
  <c r="P19" i="1"/>
  <c r="N19" i="1" s="1"/>
  <c r="P20" i="1"/>
  <c r="N20" i="1" s="1"/>
  <c r="P5" i="1"/>
  <c r="N5" i="1" s="1"/>
  <c r="P4" i="1"/>
  <c r="N4" i="1" s="1"/>
  <c r="P45" i="1"/>
  <c r="N45" i="1" s="1"/>
  <c r="P46" i="1"/>
  <c r="N46" i="1" s="1"/>
  <c r="P47" i="1"/>
  <c r="N47" i="1" s="1"/>
  <c r="P44" i="1"/>
  <c r="N44" i="1" s="1"/>
  <c r="P49" i="1"/>
  <c r="N49" i="1" s="1"/>
  <c r="P50" i="1"/>
  <c r="N50" i="1" s="1"/>
  <c r="P51" i="1"/>
  <c r="N51" i="1" s="1"/>
  <c r="P48" i="1"/>
  <c r="N48" i="1" s="1"/>
  <c r="P53" i="1"/>
  <c r="N53" i="1" s="1"/>
  <c r="P54" i="1"/>
  <c r="N54" i="1" s="1"/>
  <c r="P55" i="1"/>
  <c r="N55" i="1" s="1"/>
  <c r="P52" i="1"/>
  <c r="N52" i="1" s="1"/>
  <c r="P4876" i="1"/>
  <c r="N4876" i="1" s="1"/>
  <c r="P4877" i="1"/>
  <c r="N4877" i="1" s="1"/>
  <c r="P4878" i="1"/>
  <c r="N4878" i="1" s="1"/>
  <c r="P540" i="1"/>
  <c r="N540" i="1" s="1"/>
  <c r="P541" i="1"/>
  <c r="N541" i="1" s="1"/>
  <c r="P542" i="1"/>
  <c r="N542" i="1" s="1"/>
  <c r="P539" i="1"/>
  <c r="N539" i="1" s="1"/>
  <c r="P548" i="1"/>
  <c r="N548" i="1" s="1"/>
  <c r="P547" i="1"/>
  <c r="N547" i="1" s="1"/>
  <c r="P549" i="1"/>
  <c r="N549" i="1" s="1"/>
  <c r="P550" i="1"/>
  <c r="N550" i="1" s="1"/>
  <c r="P551" i="1"/>
  <c r="N551" i="1" s="1"/>
  <c r="P552" i="1"/>
  <c r="N552" i="1" s="1"/>
  <c r="P553" i="1"/>
  <c r="N553" i="1" s="1"/>
  <c r="P554" i="1"/>
  <c r="N554" i="1" s="1"/>
  <c r="P556" i="1"/>
  <c r="N556" i="1" s="1"/>
  <c r="P555" i="1"/>
  <c r="N555" i="1" s="1"/>
  <c r="P557" i="1"/>
  <c r="N557" i="1" s="1"/>
  <c r="P558" i="1"/>
  <c r="N558" i="1" s="1"/>
  <c r="P673" i="1"/>
  <c r="N673" i="1" s="1"/>
  <c r="P674" i="1"/>
  <c r="N674" i="1" s="1"/>
  <c r="P675" i="1"/>
  <c r="N675" i="1" s="1"/>
  <c r="P672" i="1"/>
  <c r="N672" i="1" s="1"/>
  <c r="P7" i="1"/>
  <c r="N7" i="1" s="1"/>
  <c r="P10" i="1"/>
  <c r="N10" i="1" s="1"/>
  <c r="P11" i="1"/>
  <c r="N11" i="1" s="1"/>
  <c r="P12" i="1"/>
  <c r="N12" i="1" s="1"/>
  <c r="P14" i="1"/>
  <c r="N14" i="1" s="1"/>
  <c r="P6" i="1"/>
  <c r="N6" i="1" s="1"/>
  <c r="P9" i="1"/>
  <c r="N9" i="1" s="1"/>
  <c r="P18" i="1"/>
  <c r="N18" i="1" s="1"/>
  <c r="P530" i="1"/>
  <c r="N530" i="1" s="1"/>
  <c r="P531" i="1"/>
  <c r="N531" i="1" s="1"/>
  <c r="P534" i="1"/>
  <c r="N534" i="1" s="1"/>
  <c r="P535" i="1"/>
  <c r="N535" i="1" s="1"/>
  <c r="P536" i="1"/>
  <c r="N536" i="1" s="1"/>
  <c r="P537" i="1"/>
  <c r="N537" i="1" s="1"/>
  <c r="P538" i="1"/>
  <c r="N538" i="1" s="1"/>
  <c r="P533" i="1"/>
  <c r="N533" i="1" s="1"/>
  <c r="P1072" i="1"/>
  <c r="N1072" i="1" s="1"/>
  <c r="P1086" i="1"/>
  <c r="N1086" i="1" s="1"/>
  <c r="P1087" i="1"/>
  <c r="N1087" i="1" s="1"/>
  <c r="P1088" i="1"/>
  <c r="N1088" i="1" s="1"/>
  <c r="P1097" i="1"/>
  <c r="N1097" i="1" s="1"/>
  <c r="P1098" i="1"/>
  <c r="N1098" i="1" s="1"/>
  <c r="P1070" i="1"/>
  <c r="N1070" i="1" s="1"/>
  <c r="P1071" i="1"/>
  <c r="N1071" i="1" s="1"/>
  <c r="P4890" i="1"/>
  <c r="N4890" i="1" s="1"/>
  <c r="P4891" i="1"/>
  <c r="N4891" i="1" s="1"/>
  <c r="P4892" i="1"/>
  <c r="N4892" i="1" s="1"/>
  <c r="P4900" i="1"/>
  <c r="N4900" i="1" s="1"/>
  <c r="P1102" i="1"/>
  <c r="N1102" i="1" s="1"/>
  <c r="P1120" i="1"/>
  <c r="N1120" i="1" s="1"/>
  <c r="P1121" i="1"/>
  <c r="N1121" i="1" s="1"/>
  <c r="P1122" i="1"/>
  <c r="N1122" i="1" s="1"/>
  <c r="P1131" i="1"/>
  <c r="N1131" i="1" s="1"/>
  <c r="P1132" i="1"/>
  <c r="N1132" i="1" s="1"/>
  <c r="P1100" i="1"/>
  <c r="N1100" i="1" s="1"/>
  <c r="P1101" i="1"/>
  <c r="N1101" i="1" s="1"/>
  <c r="P1133" i="1"/>
  <c r="N1133" i="1" s="1"/>
  <c r="P1831" i="1"/>
  <c r="N1831" i="1" s="1"/>
  <c r="P1841" i="1"/>
  <c r="N1841" i="1" s="1"/>
  <c r="P1875" i="1"/>
  <c r="N1875" i="1" s="1"/>
  <c r="P1880" i="1"/>
  <c r="N1880" i="1" s="1"/>
  <c r="P1881" i="1"/>
  <c r="N1881" i="1" s="1"/>
  <c r="P1882" i="1"/>
  <c r="N1882" i="1" s="1"/>
  <c r="P1886" i="1"/>
  <c r="N1886" i="1" s="1"/>
  <c r="P1842" i="1"/>
  <c r="N1842" i="1" s="1"/>
  <c r="P1890" i="1"/>
  <c r="N1890" i="1" s="1"/>
  <c r="P1911" i="1"/>
  <c r="N1911" i="1" s="1"/>
  <c r="P1912" i="1"/>
  <c r="N1912" i="1" s="1"/>
  <c r="P1889" i="1"/>
  <c r="N1889" i="1" s="1"/>
  <c r="P168" i="1"/>
  <c r="N168" i="1" s="1"/>
  <c r="P169" i="1"/>
  <c r="N169" i="1" s="1"/>
  <c r="P170" i="1"/>
  <c r="N170" i="1" s="1"/>
  <c r="P171" i="1"/>
  <c r="N171" i="1" s="1"/>
  <c r="P172" i="1"/>
  <c r="N172" i="1" s="1"/>
  <c r="P70" i="1"/>
  <c r="N70" i="1" s="1"/>
  <c r="P71" i="1"/>
  <c r="N71" i="1" s="1"/>
  <c r="P173" i="1"/>
  <c r="N173" i="1" s="1"/>
  <c r="P176" i="1"/>
  <c r="N176" i="1" s="1"/>
  <c r="P174" i="1"/>
  <c r="N174" i="1" s="1"/>
  <c r="P177" i="1"/>
  <c r="N177" i="1" s="1"/>
  <c r="P175" i="1"/>
  <c r="N175" i="1" s="1"/>
  <c r="P1137" i="1"/>
  <c r="N1137" i="1" s="1"/>
  <c r="P1153" i="1"/>
  <c r="N1153" i="1" s="1"/>
  <c r="P1154" i="1"/>
  <c r="N1154" i="1" s="1"/>
  <c r="P1155" i="1"/>
  <c r="N1155" i="1" s="1"/>
  <c r="P1166" i="1"/>
  <c r="N1166" i="1" s="1"/>
  <c r="P1167" i="1"/>
  <c r="N1167" i="1" s="1"/>
  <c r="P1135" i="1"/>
  <c r="N1135" i="1" s="1"/>
  <c r="P1136" i="1"/>
  <c r="N1136" i="1" s="1"/>
  <c r="P2995" i="1"/>
  <c r="N2995" i="1" s="1"/>
  <c r="P2908" i="1"/>
  <c r="N2908" i="1" s="1"/>
  <c r="P2914" i="1"/>
  <c r="N2914" i="1" s="1"/>
  <c r="P2924" i="1"/>
  <c r="N2924" i="1" s="1"/>
  <c r="P2929" i="1"/>
  <c r="N2929" i="1" s="1"/>
  <c r="P2973" i="1"/>
  <c r="N2973" i="1" s="1"/>
  <c r="P2994" i="1"/>
  <c r="N2994" i="1" s="1"/>
  <c r="P2996" i="1"/>
  <c r="N2996" i="1" s="1"/>
  <c r="P3676" i="1"/>
  <c r="N3676" i="1" s="1"/>
  <c r="P3705" i="1"/>
  <c r="N3705" i="1" s="1"/>
  <c r="P3675" i="1"/>
  <c r="N3675" i="1" s="1"/>
  <c r="P3706" i="1"/>
  <c r="N3706" i="1" s="1"/>
  <c r="P3856" i="1"/>
  <c r="N3856" i="1" s="1"/>
  <c r="P3857" i="1"/>
  <c r="N3857" i="1" s="1"/>
  <c r="P3858" i="1"/>
  <c r="N3858" i="1" s="1"/>
  <c r="P3852" i="1"/>
  <c r="N3852" i="1" s="1"/>
  <c r="P3864" i="1"/>
  <c r="N3864" i="1" s="1"/>
  <c r="P3865" i="1"/>
  <c r="N3865" i="1" s="1"/>
  <c r="P3860" i="1"/>
  <c r="N3860" i="1" s="1"/>
  <c r="P3866" i="1"/>
  <c r="N3866" i="1" s="1"/>
  <c r="P3872" i="1"/>
  <c r="N3872" i="1" s="1"/>
  <c r="P3873" i="1"/>
  <c r="N3873" i="1" s="1"/>
  <c r="P3874" i="1"/>
  <c r="N3874" i="1" s="1"/>
  <c r="P3868" i="1"/>
  <c r="N3868" i="1" s="1"/>
  <c r="P3880" i="1"/>
  <c r="N3880" i="1" s="1"/>
  <c r="P3881" i="1"/>
  <c r="N3881" i="1" s="1"/>
  <c r="P3882" i="1"/>
  <c r="N3882" i="1" s="1"/>
  <c r="P3876" i="1"/>
  <c r="N3876" i="1" s="1"/>
  <c r="P3888" i="1"/>
  <c r="N3888" i="1" s="1"/>
  <c r="P3889" i="1"/>
  <c r="N3889" i="1" s="1"/>
  <c r="P3890" i="1"/>
  <c r="N3890" i="1" s="1"/>
  <c r="P3884" i="1"/>
  <c r="N3884" i="1" s="1"/>
  <c r="P3896" i="1"/>
  <c r="N3896" i="1" s="1"/>
  <c r="P3897" i="1"/>
  <c r="N3897" i="1" s="1"/>
  <c r="P3898" i="1"/>
  <c r="N3898" i="1" s="1"/>
  <c r="P3892" i="1"/>
  <c r="N3892" i="1" s="1"/>
  <c r="P3904" i="1"/>
  <c r="N3904" i="1" s="1"/>
  <c r="P3905" i="1"/>
  <c r="N3905" i="1" s="1"/>
  <c r="P3906" i="1"/>
  <c r="N3906" i="1" s="1"/>
  <c r="P3900" i="1"/>
  <c r="N3900" i="1" s="1"/>
  <c r="P3912" i="1"/>
  <c r="N3912" i="1" s="1"/>
  <c r="P3913" i="1"/>
  <c r="N3913" i="1" s="1"/>
  <c r="P3914" i="1"/>
  <c r="N3914" i="1" s="1"/>
  <c r="P3908" i="1"/>
  <c r="N3908" i="1" s="1"/>
  <c r="P3920" i="1"/>
  <c r="N3920" i="1" s="1"/>
  <c r="P3921" i="1"/>
  <c r="N3921" i="1" s="1"/>
  <c r="P3922" i="1"/>
  <c r="N3922" i="1" s="1"/>
  <c r="P3916" i="1"/>
  <c r="N3916" i="1" s="1"/>
  <c r="P3928" i="1"/>
  <c r="N3928" i="1" s="1"/>
  <c r="P3929" i="1"/>
  <c r="N3929" i="1" s="1"/>
  <c r="P3930" i="1"/>
  <c r="N3930" i="1" s="1"/>
  <c r="P3924" i="1"/>
  <c r="N3924" i="1" s="1"/>
  <c r="P3936" i="1"/>
  <c r="N3936" i="1" s="1"/>
  <c r="P3937" i="1"/>
  <c r="N3937" i="1" s="1"/>
  <c r="P3938" i="1"/>
  <c r="N3938" i="1" s="1"/>
  <c r="P3932" i="1"/>
  <c r="N3932" i="1" s="1"/>
  <c r="P3944" i="1"/>
  <c r="N3944" i="1" s="1"/>
  <c r="P3945" i="1"/>
  <c r="N3945" i="1" s="1"/>
  <c r="P3940" i="1"/>
  <c r="N3940" i="1" s="1"/>
  <c r="P3946" i="1"/>
  <c r="N3946" i="1" s="1"/>
  <c r="P3952" i="1"/>
  <c r="N3952" i="1" s="1"/>
  <c r="P3953" i="1"/>
  <c r="N3953" i="1" s="1"/>
  <c r="P3954" i="1"/>
  <c r="N3954" i="1" s="1"/>
  <c r="P3948" i="1"/>
  <c r="N3948" i="1" s="1"/>
  <c r="P3960" i="1"/>
  <c r="N3960" i="1" s="1"/>
  <c r="P3961" i="1"/>
  <c r="N3961" i="1" s="1"/>
  <c r="P3962" i="1"/>
  <c r="N3962" i="1" s="1"/>
  <c r="P3956" i="1"/>
  <c r="N3956" i="1" s="1"/>
  <c r="P3968" i="1"/>
  <c r="N3968" i="1" s="1"/>
  <c r="P3969" i="1"/>
  <c r="N3969" i="1" s="1"/>
  <c r="P3970" i="1"/>
  <c r="N3970" i="1" s="1"/>
  <c r="P3964" i="1"/>
  <c r="N3964" i="1" s="1"/>
  <c r="P3976" i="1"/>
  <c r="N3976" i="1" s="1"/>
  <c r="P3977" i="1"/>
  <c r="N3977" i="1" s="1"/>
  <c r="P3978" i="1"/>
  <c r="N3978" i="1" s="1"/>
  <c r="P3972" i="1"/>
  <c r="N3972" i="1" s="1"/>
  <c r="P3984" i="1"/>
  <c r="N3984" i="1" s="1"/>
  <c r="P3985" i="1"/>
  <c r="N3985" i="1" s="1"/>
  <c r="P3986" i="1"/>
  <c r="N3986" i="1" s="1"/>
  <c r="P3980" i="1"/>
  <c r="N3980" i="1" s="1"/>
  <c r="P3992" i="1"/>
  <c r="N3992" i="1" s="1"/>
  <c r="P3993" i="1"/>
  <c r="N3993" i="1" s="1"/>
  <c r="P3994" i="1"/>
  <c r="N3994" i="1" s="1"/>
  <c r="P3988" i="1"/>
  <c r="N3988" i="1" s="1"/>
  <c r="P4000" i="1"/>
  <c r="N4000" i="1" s="1"/>
  <c r="P4001" i="1"/>
  <c r="N4001" i="1" s="1"/>
  <c r="P4002" i="1"/>
  <c r="N4002" i="1" s="1"/>
  <c r="P3996" i="1"/>
  <c r="N3996" i="1" s="1"/>
  <c r="P4008" i="1"/>
  <c r="N4008" i="1" s="1"/>
  <c r="P4009" i="1"/>
  <c r="N4009" i="1" s="1"/>
  <c r="P4010" i="1"/>
  <c r="N4010" i="1" s="1"/>
  <c r="P4004" i="1"/>
  <c r="N4004" i="1" s="1"/>
  <c r="P4016" i="1"/>
  <c r="N4016" i="1" s="1"/>
  <c r="P4017" i="1"/>
  <c r="N4017" i="1" s="1"/>
  <c r="P4018" i="1"/>
  <c r="N4018" i="1" s="1"/>
  <c r="P4012" i="1"/>
  <c r="N4012" i="1" s="1"/>
  <c r="P4024" i="1"/>
  <c r="N4024" i="1" s="1"/>
  <c r="P4025" i="1"/>
  <c r="N4025" i="1" s="1"/>
  <c r="P4026" i="1"/>
  <c r="N4026" i="1" s="1"/>
  <c r="P4020" i="1"/>
  <c r="N4020" i="1" s="1"/>
  <c r="P4032" i="1"/>
  <c r="N4032" i="1" s="1"/>
  <c r="P4033" i="1"/>
  <c r="N4033" i="1" s="1"/>
  <c r="P4034" i="1"/>
  <c r="N4034" i="1" s="1"/>
  <c r="P4028" i="1"/>
  <c r="N4028" i="1" s="1"/>
  <c r="P4100" i="1"/>
  <c r="N4100" i="1" s="1"/>
  <c r="P4101" i="1"/>
  <c r="N4101" i="1" s="1"/>
  <c r="P4102" i="1"/>
  <c r="N4102" i="1" s="1"/>
  <c r="P4099" i="1"/>
  <c r="N4099" i="1" s="1"/>
  <c r="P4108" i="1"/>
  <c r="N4108" i="1" s="1"/>
  <c r="P4109" i="1"/>
  <c r="N4109" i="1" s="1"/>
  <c r="P4111" i="1"/>
  <c r="N4111" i="1" s="1"/>
  <c r="P4104" i="1"/>
  <c r="N4104" i="1" s="1"/>
  <c r="P4117" i="1"/>
  <c r="N4117" i="1" s="1"/>
  <c r="P4118" i="1"/>
  <c r="N4118" i="1" s="1"/>
  <c r="P4113" i="1"/>
  <c r="N4113" i="1" s="1"/>
  <c r="P4119" i="1"/>
  <c r="N4119" i="1" s="1"/>
  <c r="P4126" i="1"/>
  <c r="N4126" i="1" s="1"/>
  <c r="P4127" i="1"/>
  <c r="N4127" i="1" s="1"/>
  <c r="P4129" i="1"/>
  <c r="N4129" i="1" s="1"/>
  <c r="P4121" i="1"/>
  <c r="N4121" i="1" s="1"/>
  <c r="P4135" i="1"/>
  <c r="N4135" i="1" s="1"/>
  <c r="P4136" i="1"/>
  <c r="N4136" i="1" s="1"/>
  <c r="P4137" i="1"/>
  <c r="N4137" i="1" s="1"/>
  <c r="P4131" i="1"/>
  <c r="N4131" i="1" s="1"/>
  <c r="P4144" i="1"/>
  <c r="N4144" i="1" s="1"/>
  <c r="P4145" i="1"/>
  <c r="N4145" i="1" s="1"/>
  <c r="P4146" i="1"/>
  <c r="N4146" i="1" s="1"/>
  <c r="P4140" i="1"/>
  <c r="N4140" i="1" s="1"/>
  <c r="P4153" i="1"/>
  <c r="N4153" i="1" s="1"/>
  <c r="P4154" i="1"/>
  <c r="N4154" i="1" s="1"/>
  <c r="P4155" i="1"/>
  <c r="N4155" i="1" s="1"/>
  <c r="P4149" i="1"/>
  <c r="N4149" i="1" s="1"/>
  <c r="P4162" i="1"/>
  <c r="N4162" i="1" s="1"/>
  <c r="P4163" i="1"/>
  <c r="N4163" i="1" s="1"/>
  <c r="P4164" i="1"/>
  <c r="N4164" i="1" s="1"/>
  <c r="P4158" i="1"/>
  <c r="N4158" i="1" s="1"/>
  <c r="P4179" i="1"/>
  <c r="N4179" i="1" s="1"/>
  <c r="P4180" i="1"/>
  <c r="N4180" i="1" s="1"/>
  <c r="P4181" i="1"/>
  <c r="N4181" i="1" s="1"/>
  <c r="P4174" i="1"/>
  <c r="N4174" i="1" s="1"/>
  <c r="P4189" i="1"/>
  <c r="N4189" i="1" s="1"/>
  <c r="P4190" i="1"/>
  <c r="N4190" i="1" s="1"/>
  <c r="P4191" i="1"/>
  <c r="N4191" i="1" s="1"/>
  <c r="P4188" i="1"/>
  <c r="N4188" i="1" s="1"/>
  <c r="P4197" i="1"/>
  <c r="N4197" i="1" s="1"/>
  <c r="P4198" i="1"/>
  <c r="N4198" i="1" s="1"/>
  <c r="P4199" i="1"/>
  <c r="N4199" i="1" s="1"/>
  <c r="P4193" i="1"/>
  <c r="N4193" i="1" s="1"/>
  <c r="P4205" i="1"/>
  <c r="N4205" i="1" s="1"/>
  <c r="P4206" i="1"/>
  <c r="N4206" i="1" s="1"/>
  <c r="P4207" i="1"/>
  <c r="N4207" i="1" s="1"/>
  <c r="P4201" i="1"/>
  <c r="N4201" i="1" s="1"/>
  <c r="P4212" i="1"/>
  <c r="N4212" i="1" s="1"/>
  <c r="P4213" i="1"/>
  <c r="N4213" i="1" s="1"/>
  <c r="P4214" i="1"/>
  <c r="N4214" i="1" s="1"/>
  <c r="P4209" i="1"/>
  <c r="N4209" i="1" s="1"/>
  <c r="P4221" i="1"/>
  <c r="N4221" i="1" s="1"/>
  <c r="P4222" i="1"/>
  <c r="N4222" i="1" s="1"/>
  <c r="P4223" i="1"/>
  <c r="N4223" i="1" s="1"/>
  <c r="P4217" i="1"/>
  <c r="N4217" i="1" s="1"/>
  <c r="P4229" i="1"/>
  <c r="N4229" i="1" s="1"/>
  <c r="P4230" i="1"/>
  <c r="N4230" i="1" s="1"/>
  <c r="P4231" i="1"/>
  <c r="N4231" i="1" s="1"/>
  <c r="P4225" i="1"/>
  <c r="N4225" i="1" s="1"/>
  <c r="P4237" i="1"/>
  <c r="N4237" i="1" s="1"/>
  <c r="P4238" i="1"/>
  <c r="N4238" i="1" s="1"/>
  <c r="P4239" i="1"/>
  <c r="N4239" i="1" s="1"/>
  <c r="P4233" i="1"/>
  <c r="N4233" i="1" s="1"/>
  <c r="P4244" i="1"/>
  <c r="N4244" i="1" s="1"/>
  <c r="P4245" i="1"/>
  <c r="N4245" i="1" s="1"/>
  <c r="P4246" i="1"/>
  <c r="N4246" i="1" s="1"/>
  <c r="P4241" i="1"/>
  <c r="N4241" i="1" s="1"/>
  <c r="P4253" i="1"/>
  <c r="N4253" i="1" s="1"/>
  <c r="P4254" i="1"/>
  <c r="N4254" i="1" s="1"/>
  <c r="P4255" i="1"/>
  <c r="N4255" i="1" s="1"/>
  <c r="P4249" i="1"/>
  <c r="N4249" i="1" s="1"/>
  <c r="P4261" i="1"/>
  <c r="N4261" i="1" s="1"/>
  <c r="P4262" i="1"/>
  <c r="N4262" i="1" s="1"/>
  <c r="P4263" i="1"/>
  <c r="N4263" i="1" s="1"/>
  <c r="P4257" i="1"/>
  <c r="N4257" i="1" s="1"/>
  <c r="P4269" i="1"/>
  <c r="N4269" i="1" s="1"/>
  <c r="P4270" i="1"/>
  <c r="N4270" i="1" s="1"/>
  <c r="P4265" i="1"/>
  <c r="N4265" i="1" s="1"/>
  <c r="P4271" i="1"/>
  <c r="N4271" i="1" s="1"/>
  <c r="P4277" i="1"/>
  <c r="N4277" i="1" s="1"/>
  <c r="P4278" i="1"/>
  <c r="N4278" i="1" s="1"/>
  <c r="P4279" i="1"/>
  <c r="N4279" i="1" s="1"/>
  <c r="P4273" i="1"/>
  <c r="N4273" i="1" s="1"/>
  <c r="P4285" i="1"/>
  <c r="N4285" i="1" s="1"/>
  <c r="P4286" i="1"/>
  <c r="N4286" i="1" s="1"/>
  <c r="P4281" i="1"/>
  <c r="N4281" i="1" s="1"/>
  <c r="P4287" i="1"/>
  <c r="N4287" i="1" s="1"/>
  <c r="P4292" i="1"/>
  <c r="N4292" i="1" s="1"/>
  <c r="P4293" i="1"/>
  <c r="N4293" i="1" s="1"/>
  <c r="P4294" i="1"/>
  <c r="N4294" i="1" s="1"/>
  <c r="P4289" i="1"/>
  <c r="N4289" i="1" s="1"/>
  <c r="P4301" i="1"/>
  <c r="N4301" i="1" s="1"/>
  <c r="P4302" i="1"/>
  <c r="N4302" i="1" s="1"/>
  <c r="P4303" i="1"/>
  <c r="N4303" i="1" s="1"/>
  <c r="P4297" i="1"/>
  <c r="N4297" i="1" s="1"/>
  <c r="P4309" i="1"/>
  <c r="N4309" i="1" s="1"/>
  <c r="P4310" i="1"/>
  <c r="N4310" i="1" s="1"/>
  <c r="P4311" i="1"/>
  <c r="N4311" i="1" s="1"/>
  <c r="P4305" i="1"/>
  <c r="N4305" i="1" s="1"/>
  <c r="P4317" i="1"/>
  <c r="N4317" i="1" s="1"/>
  <c r="P4318" i="1"/>
  <c r="N4318" i="1" s="1"/>
  <c r="P4319" i="1"/>
  <c r="N4319" i="1" s="1"/>
  <c r="P4313" i="1"/>
  <c r="N4313" i="1" s="1"/>
  <c r="P4325" i="1"/>
  <c r="N4325" i="1" s="1"/>
  <c r="P4326" i="1"/>
  <c r="N4326" i="1" s="1"/>
  <c r="P4327" i="1"/>
  <c r="N4327" i="1" s="1"/>
  <c r="P4321" i="1"/>
  <c r="N4321" i="1" s="1"/>
  <c r="P4333" i="1"/>
  <c r="N4333" i="1" s="1"/>
  <c r="P4334" i="1"/>
  <c r="N4334" i="1" s="1"/>
  <c r="P4335" i="1"/>
  <c r="N4335" i="1" s="1"/>
  <c r="P4329" i="1"/>
  <c r="N4329" i="1" s="1"/>
  <c r="P4341" i="1"/>
  <c r="N4341" i="1" s="1"/>
  <c r="P4342" i="1"/>
  <c r="N4342" i="1" s="1"/>
  <c r="P4343" i="1"/>
  <c r="N4343" i="1" s="1"/>
  <c r="P4337" i="1"/>
  <c r="N4337" i="1" s="1"/>
  <c r="P33" i="1"/>
  <c r="N33" i="1" s="1"/>
  <c r="P34" i="1"/>
  <c r="N34" i="1" s="1"/>
  <c r="P35" i="1"/>
  <c r="N35" i="1" s="1"/>
  <c r="P36" i="1"/>
  <c r="N36" i="1" s="1"/>
  <c r="P37" i="1"/>
  <c r="N37" i="1" s="1"/>
  <c r="P38" i="1"/>
  <c r="N38" i="1" s="1"/>
  <c r="P31" i="1"/>
  <c r="N31" i="1" s="1"/>
  <c r="P32" i="1"/>
  <c r="N32" i="1" s="1"/>
  <c r="P4349" i="1"/>
  <c r="N4349" i="1" s="1"/>
  <c r="P4350" i="1"/>
  <c r="N4350" i="1" s="1"/>
  <c r="P4351" i="1"/>
  <c r="N4351" i="1" s="1"/>
  <c r="P4352" i="1"/>
  <c r="N4352" i="1" s="1"/>
  <c r="P4394" i="1"/>
  <c r="N4394" i="1" s="1"/>
  <c r="P4399" i="1"/>
  <c r="N4399" i="1" s="1"/>
  <c r="P4400" i="1"/>
  <c r="N4400" i="1" s="1"/>
  <c r="P4393" i="1"/>
  <c r="N4393" i="1" s="1"/>
  <c r="P4402" i="1"/>
  <c r="N4402" i="1" s="1"/>
  <c r="P4407" i="1"/>
  <c r="N4407" i="1" s="1"/>
  <c r="P4408" i="1"/>
  <c r="N4408" i="1" s="1"/>
  <c r="P4406" i="1"/>
  <c r="N4406" i="1" s="1"/>
  <c r="P4410" i="1"/>
  <c r="N4410" i="1" s="1"/>
  <c r="P4415" i="1"/>
  <c r="N4415" i="1" s="1"/>
  <c r="P4416" i="1"/>
  <c r="N4416" i="1" s="1"/>
  <c r="P4409" i="1"/>
  <c r="N4409" i="1" s="1"/>
  <c r="P4418" i="1"/>
  <c r="N4418" i="1" s="1"/>
  <c r="P4422" i="1"/>
  <c r="N4422" i="1" s="1"/>
  <c r="P4423" i="1"/>
  <c r="N4423" i="1" s="1"/>
  <c r="P4424" i="1"/>
  <c r="N4424" i="1" s="1"/>
  <c r="P4430" i="1"/>
  <c r="N4430" i="1" s="1"/>
  <c r="P4431" i="1"/>
  <c r="N4431" i="1" s="1"/>
  <c r="P4432" i="1"/>
  <c r="N4432" i="1" s="1"/>
  <c r="P4426" i="1"/>
  <c r="N4426" i="1" s="1"/>
  <c r="P4434" i="1"/>
  <c r="N4434" i="1" s="1"/>
  <c r="P4438" i="1"/>
  <c r="N4438" i="1" s="1"/>
  <c r="P4439" i="1"/>
  <c r="N4439" i="1" s="1"/>
  <c r="P4440" i="1"/>
  <c r="N4440" i="1" s="1"/>
  <c r="P4446" i="1"/>
  <c r="N4446" i="1" s="1"/>
  <c r="P4447" i="1"/>
  <c r="N4447" i="1" s="1"/>
  <c r="P4448" i="1"/>
  <c r="N4448" i="1" s="1"/>
  <c r="P4442" i="1"/>
  <c r="N4442" i="1" s="1"/>
  <c r="P4454" i="1"/>
  <c r="N4454" i="1" s="1"/>
  <c r="P4450" i="1"/>
  <c r="N4450" i="1" s="1"/>
  <c r="P4455" i="1"/>
  <c r="N4455" i="1" s="1"/>
  <c r="P4456" i="1"/>
  <c r="N4456" i="1" s="1"/>
  <c r="P4462" i="1"/>
  <c r="N4462" i="1" s="1"/>
  <c r="P4463" i="1"/>
  <c r="N4463" i="1" s="1"/>
  <c r="P4464" i="1"/>
  <c r="N4464" i="1" s="1"/>
  <c r="P4458" i="1"/>
  <c r="N4458" i="1" s="1"/>
  <c r="P4470" i="1"/>
  <c r="N4470" i="1" s="1"/>
  <c r="P4471" i="1"/>
  <c r="N4471" i="1" s="1"/>
  <c r="P4472" i="1"/>
  <c r="N4472" i="1" s="1"/>
  <c r="P4466" i="1"/>
  <c r="N4466" i="1" s="1"/>
  <c r="P4478" i="1"/>
  <c r="N4478" i="1" s="1"/>
  <c r="P4479" i="1"/>
  <c r="N4479" i="1" s="1"/>
  <c r="P4480" i="1"/>
  <c r="N4480" i="1" s="1"/>
  <c r="P4474" i="1"/>
  <c r="N4474" i="1" s="1"/>
  <c r="P4486" i="1"/>
  <c r="N4486" i="1" s="1"/>
  <c r="P4487" i="1"/>
  <c r="N4487" i="1" s="1"/>
  <c r="P4488" i="1"/>
  <c r="N4488" i="1" s="1"/>
  <c r="P4482" i="1"/>
  <c r="N4482" i="1" s="1"/>
  <c r="P4494" i="1"/>
  <c r="N4494" i="1" s="1"/>
  <c r="P4495" i="1"/>
  <c r="N4495" i="1" s="1"/>
  <c r="P4496" i="1"/>
  <c r="N4496" i="1" s="1"/>
  <c r="P4489" i="1"/>
  <c r="N4489" i="1" s="1"/>
  <c r="P4502" i="1"/>
  <c r="N4502" i="1" s="1"/>
  <c r="P4503" i="1"/>
  <c r="N4503" i="1" s="1"/>
  <c r="P4504" i="1"/>
  <c r="N4504" i="1" s="1"/>
  <c r="P4498" i="1"/>
  <c r="N4498" i="1" s="1"/>
  <c r="P4510" i="1"/>
  <c r="N4510" i="1" s="1"/>
  <c r="P4511" i="1"/>
  <c r="N4511" i="1" s="1"/>
  <c r="P4512" i="1"/>
  <c r="N4512" i="1" s="1"/>
  <c r="P4506" i="1"/>
  <c r="N4506" i="1" s="1"/>
  <c r="P4518" i="1"/>
  <c r="N4518" i="1" s="1"/>
  <c r="P4519" i="1"/>
  <c r="N4519" i="1" s="1"/>
  <c r="P4520" i="1"/>
  <c r="N4520" i="1" s="1"/>
  <c r="P4514" i="1"/>
  <c r="N4514" i="1" s="1"/>
  <c r="P4526" i="1"/>
  <c r="N4526" i="1" s="1"/>
  <c r="P4527" i="1"/>
  <c r="N4527" i="1" s="1"/>
  <c r="P4528" i="1"/>
  <c r="N4528" i="1" s="1"/>
  <c r="P4522" i="1"/>
  <c r="N4522" i="1" s="1"/>
  <c r="P4534" i="1"/>
  <c r="N4534" i="1" s="1"/>
  <c r="P4535" i="1"/>
  <c r="N4535" i="1" s="1"/>
  <c r="P4536" i="1"/>
  <c r="N4536" i="1" s="1"/>
  <c r="P4530" i="1"/>
  <c r="N4530" i="1" s="1"/>
  <c r="P4542" i="1"/>
  <c r="N4542" i="1" s="1"/>
  <c r="P4543" i="1"/>
  <c r="N4543" i="1" s="1"/>
  <c r="P4544" i="1"/>
  <c r="N4544" i="1" s="1"/>
  <c r="P4538" i="1"/>
  <c r="N4538" i="1" s="1"/>
  <c r="P4550" i="1"/>
  <c r="N4550" i="1" s="1"/>
  <c r="P4551" i="1"/>
  <c r="N4551" i="1" s="1"/>
  <c r="P4552" i="1"/>
  <c r="N4552" i="1" s="1"/>
  <c r="P4546" i="1"/>
  <c r="N4546" i="1" s="1"/>
  <c r="P4558" i="1"/>
  <c r="N4558" i="1" s="1"/>
  <c r="P4559" i="1"/>
  <c r="N4559" i="1" s="1"/>
  <c r="P4560" i="1"/>
  <c r="N4560" i="1" s="1"/>
  <c r="P4554" i="1"/>
  <c r="N4554" i="1" s="1"/>
  <c r="P4566" i="1"/>
  <c r="N4566" i="1" s="1"/>
  <c r="P4567" i="1"/>
  <c r="N4567" i="1" s="1"/>
  <c r="P4568" i="1"/>
  <c r="N4568" i="1" s="1"/>
  <c r="P4562" i="1"/>
  <c r="N4562" i="1" s="1"/>
  <c r="P4574" i="1"/>
  <c r="N4574" i="1" s="1"/>
  <c r="P4575" i="1"/>
  <c r="N4575" i="1" s="1"/>
  <c r="P4576" i="1"/>
  <c r="N4576" i="1" s="1"/>
  <c r="P4570" i="1"/>
  <c r="N4570" i="1" s="1"/>
  <c r="P4642" i="1"/>
  <c r="N4642" i="1" s="1"/>
  <c r="P4641" i="1"/>
  <c r="N4641" i="1" s="1"/>
  <c r="P4643" i="1"/>
  <c r="N4643" i="1" s="1"/>
  <c r="P4644" i="1"/>
  <c r="N4644" i="1" s="1"/>
  <c r="P4646" i="1"/>
  <c r="N4646" i="1" s="1"/>
  <c r="P4651" i="1"/>
  <c r="N4651" i="1" s="1"/>
  <c r="P4652" i="1"/>
  <c r="N4652" i="1" s="1"/>
  <c r="P4645" i="1"/>
  <c r="N4645" i="1" s="1"/>
  <c r="P4654" i="1"/>
  <c r="N4654" i="1" s="1"/>
  <c r="P4658" i="1"/>
  <c r="N4658" i="1" s="1"/>
  <c r="P4659" i="1"/>
  <c r="N4659" i="1" s="1"/>
  <c r="P4660" i="1"/>
  <c r="N4660" i="1" s="1"/>
  <c r="P4663" i="1"/>
  <c r="N4663" i="1" s="1"/>
  <c r="P4667" i="1"/>
  <c r="N4667" i="1" s="1"/>
  <c r="P4668" i="1"/>
  <c r="N4668" i="1" s="1"/>
  <c r="P4661" i="1"/>
  <c r="N4661" i="1" s="1"/>
  <c r="P4674" i="1"/>
  <c r="N4674" i="1" s="1"/>
  <c r="P4675" i="1"/>
  <c r="N4675" i="1" s="1"/>
  <c r="P4676" i="1"/>
  <c r="N4676" i="1" s="1"/>
  <c r="P4670" i="1"/>
  <c r="N4670" i="1" s="1"/>
  <c r="P4682" i="1"/>
  <c r="N4682" i="1" s="1"/>
  <c r="P4683" i="1"/>
  <c r="N4683" i="1" s="1"/>
  <c r="P4684" i="1"/>
  <c r="N4684" i="1" s="1"/>
  <c r="P4678" i="1"/>
  <c r="N4678" i="1" s="1"/>
  <c r="P4690" i="1"/>
  <c r="N4690" i="1" s="1"/>
  <c r="P4691" i="1"/>
  <c r="N4691" i="1" s="1"/>
  <c r="P4692" i="1"/>
  <c r="N4692" i="1" s="1"/>
  <c r="P4686" i="1"/>
  <c r="N4686" i="1" s="1"/>
  <c r="P4694" i="1"/>
  <c r="N4694" i="1" s="1"/>
  <c r="P4698" i="1"/>
  <c r="N4698" i="1" s="1"/>
  <c r="P4699" i="1"/>
  <c r="N4699" i="1" s="1"/>
  <c r="P4700" i="1"/>
  <c r="N4700" i="1" s="1"/>
  <c r="P4714" i="1"/>
  <c r="N4714" i="1" s="1"/>
  <c r="P4715" i="1"/>
  <c r="N4715" i="1" s="1"/>
  <c r="P4716" i="1"/>
  <c r="N4716" i="1" s="1"/>
  <c r="P4710" i="1"/>
  <c r="N4710" i="1" s="1"/>
  <c r="P4724" i="1"/>
  <c r="N4724" i="1" s="1"/>
  <c r="P4723" i="1"/>
  <c r="N4723" i="1" s="1"/>
  <c r="P4725" i="1"/>
  <c r="N4725" i="1" s="1"/>
  <c r="P4726" i="1"/>
  <c r="N4726" i="1" s="1"/>
  <c r="P4728" i="1"/>
  <c r="N4728" i="1" s="1"/>
  <c r="P4733" i="1"/>
  <c r="N4733" i="1" s="1"/>
  <c r="P4734" i="1"/>
  <c r="N4734" i="1" s="1"/>
  <c r="P4727" i="1"/>
  <c r="N4727" i="1" s="1"/>
  <c r="P4740" i="1"/>
  <c r="N4740" i="1" s="1"/>
  <c r="P4736" i="1"/>
  <c r="N4736" i="1" s="1"/>
  <c r="P4741" i="1"/>
  <c r="N4741" i="1" s="1"/>
  <c r="P4742" i="1"/>
  <c r="N4742" i="1" s="1"/>
  <c r="P4745" i="1"/>
  <c r="N4745" i="1" s="1"/>
  <c r="P4749" i="1"/>
  <c r="N4749" i="1" s="1"/>
  <c r="P4750" i="1"/>
  <c r="N4750" i="1" s="1"/>
  <c r="P4744" i="1"/>
  <c r="N4744" i="1" s="1"/>
  <c r="P4755" i="1"/>
  <c r="N4755" i="1" s="1"/>
  <c r="P4752" i="1"/>
  <c r="N4752" i="1" s="1"/>
  <c r="P4756" i="1"/>
  <c r="N4756" i="1" s="1"/>
  <c r="P4757" i="1"/>
  <c r="N4757" i="1" s="1"/>
  <c r="P4760" i="1"/>
  <c r="N4760" i="1" s="1"/>
  <c r="P4765" i="1"/>
  <c r="N4765" i="1" s="1"/>
  <c r="P4766" i="1"/>
  <c r="N4766" i="1" s="1"/>
  <c r="P4759" i="1"/>
  <c r="N4759" i="1" s="1"/>
  <c r="P4768" i="1"/>
  <c r="N4768" i="1" s="1"/>
  <c r="P4772" i="1"/>
  <c r="N4772" i="1" s="1"/>
  <c r="P4773" i="1"/>
  <c r="N4773" i="1" s="1"/>
  <c r="P4774" i="1"/>
  <c r="N4774" i="1" s="1"/>
  <c r="P4780" i="1"/>
  <c r="N4780" i="1" s="1"/>
  <c r="P4781" i="1"/>
  <c r="N4781" i="1" s="1"/>
  <c r="P4782" i="1"/>
  <c r="N4782" i="1" s="1"/>
  <c r="P4777" i="1"/>
  <c r="N4777" i="1" s="1"/>
  <c r="P4787" i="1"/>
  <c r="N4787" i="1" s="1"/>
  <c r="P4784" i="1"/>
  <c r="N4784" i="1" s="1"/>
  <c r="P4788" i="1"/>
  <c r="N4788" i="1" s="1"/>
  <c r="P4789" i="1"/>
  <c r="N4789" i="1" s="1"/>
  <c r="P4792" i="1"/>
  <c r="N4792" i="1" s="1"/>
  <c r="P4797" i="1"/>
  <c r="N4797" i="1" s="1"/>
  <c r="P4798" i="1"/>
  <c r="N4798" i="1" s="1"/>
  <c r="P4791" i="1"/>
  <c r="N4791" i="1" s="1"/>
  <c r="P4800" i="1"/>
  <c r="N4800" i="1" s="1"/>
  <c r="P4804" i="1"/>
  <c r="N4804" i="1" s="1"/>
  <c r="P4805" i="1"/>
  <c r="N4805" i="1" s="1"/>
  <c r="P4806" i="1"/>
  <c r="N4806" i="1" s="1"/>
  <c r="P4808" i="1"/>
  <c r="N4808" i="1" s="1"/>
  <c r="P4813" i="1"/>
  <c r="N4813" i="1" s="1"/>
  <c r="P4814" i="1"/>
  <c r="N4814" i="1" s="1"/>
  <c r="P4807" i="1"/>
  <c r="N4807" i="1" s="1"/>
  <c r="P4816" i="1"/>
  <c r="N4816" i="1" s="1"/>
  <c r="P4820" i="1"/>
  <c r="N4820" i="1" s="1"/>
  <c r="P4821" i="1"/>
  <c r="N4821" i="1" s="1"/>
  <c r="P4822" i="1"/>
  <c r="N4822" i="1" s="1"/>
  <c r="P4825" i="1"/>
  <c r="N4825" i="1" s="1"/>
  <c r="P4829" i="1"/>
  <c r="N4829" i="1" s="1"/>
  <c r="P4830" i="1"/>
  <c r="N4830" i="1" s="1"/>
  <c r="P4824" i="1"/>
  <c r="N4824" i="1" s="1"/>
  <c r="P4836" i="1"/>
  <c r="N4836" i="1" s="1"/>
  <c r="P4837" i="1"/>
  <c r="N4837" i="1" s="1"/>
  <c r="P4838" i="1"/>
  <c r="N4838" i="1" s="1"/>
  <c r="P4831" i="1"/>
  <c r="N4831" i="1" s="1"/>
  <c r="P4844" i="1"/>
  <c r="N4844" i="1" s="1"/>
  <c r="P4845" i="1"/>
  <c r="N4845" i="1" s="1"/>
  <c r="P4846" i="1"/>
  <c r="N4846" i="1" s="1"/>
  <c r="P4840" i="1"/>
  <c r="N4840" i="1" s="1"/>
  <c r="P4852" i="1"/>
  <c r="N4852" i="1" s="1"/>
  <c r="P4853" i="1"/>
  <c r="N4853" i="1" s="1"/>
  <c r="P4854" i="1"/>
  <c r="N4854" i="1" s="1"/>
  <c r="P4848" i="1"/>
  <c r="N4848" i="1" s="1"/>
  <c r="P4860" i="1"/>
  <c r="N4860" i="1" s="1"/>
  <c r="P4861" i="1"/>
  <c r="N4861" i="1" s="1"/>
  <c r="P4862" i="1"/>
  <c r="N4862" i="1" s="1"/>
  <c r="P4856" i="1"/>
  <c r="N4856" i="1" s="1"/>
  <c r="P4868" i="1"/>
  <c r="N4868" i="1" s="1"/>
  <c r="P4869" i="1"/>
  <c r="N4869" i="1" s="1"/>
  <c r="P4870" i="1"/>
  <c r="N4870" i="1" s="1"/>
  <c r="P4864" i="1"/>
  <c r="N4864" i="1" s="1"/>
  <c r="P4872" i="1"/>
  <c r="N4872" i="1" s="1"/>
  <c r="P3544" i="1"/>
  <c r="N3544" i="1" s="1"/>
  <c r="P3545" i="1"/>
  <c r="N3545" i="1" s="1"/>
  <c r="P3562" i="1"/>
  <c r="N3562" i="1" s="1"/>
  <c r="P3563" i="1"/>
  <c r="N3563" i="1" s="1"/>
  <c r="P3602" i="1"/>
  <c r="N3602" i="1" s="1"/>
  <c r="P3603" i="1"/>
  <c r="N3603" i="1" s="1"/>
  <c r="P3604" i="1"/>
  <c r="N3604" i="1" s="1"/>
  <c r="P3605" i="1"/>
  <c r="N3605" i="1" s="1"/>
  <c r="P3607" i="1"/>
  <c r="N3607" i="1" s="1"/>
  <c r="P3634" i="1"/>
  <c r="N3634" i="1" s="1"/>
  <c r="P3635" i="1"/>
  <c r="N3635" i="1" s="1"/>
  <c r="P3636" i="1"/>
  <c r="N3636" i="1" s="1"/>
  <c r="P1585" i="1"/>
  <c r="N1585" i="1" s="1"/>
  <c r="P1586" i="1"/>
  <c r="N1586" i="1" s="1"/>
  <c r="P1795" i="1"/>
  <c r="N1795" i="1" s="1"/>
  <c r="P1584" i="1"/>
  <c r="N1584" i="1" s="1"/>
  <c r="P1887" i="1"/>
  <c r="N1887" i="1" s="1"/>
  <c r="P1919" i="1"/>
  <c r="N1919" i="1" s="1"/>
  <c r="P1920" i="1"/>
  <c r="N1920" i="1" s="1"/>
  <c r="P2010" i="1"/>
  <c r="N2010" i="1" s="1"/>
  <c r="P1918" i="1"/>
  <c r="N1918" i="1" s="1"/>
  <c r="P2020" i="1"/>
  <c r="N2020" i="1" s="1"/>
  <c r="P2021" i="1"/>
  <c r="N2021" i="1" s="1"/>
  <c r="P2019" i="1"/>
  <c r="N2019" i="1" s="1"/>
  <c r="P2134" i="1"/>
  <c r="N2134" i="1" s="1"/>
  <c r="P2129" i="1"/>
  <c r="N2129" i="1" s="1"/>
  <c r="P2130" i="1"/>
  <c r="N2130" i="1" s="1"/>
  <c r="P2131" i="1"/>
  <c r="N2131" i="1" s="1"/>
  <c r="P2435" i="1"/>
  <c r="N2435" i="1" s="1"/>
  <c r="P2997" i="1"/>
  <c r="N2997" i="1" s="1"/>
  <c r="P2998" i="1"/>
  <c r="N2998" i="1" s="1"/>
  <c r="P3006" i="1"/>
  <c r="N3006" i="1" s="1"/>
  <c r="P3015" i="1"/>
  <c r="N3015" i="1" s="1"/>
  <c r="P960" i="1"/>
  <c r="N960" i="1" s="1"/>
  <c r="P989" i="1"/>
  <c r="N989" i="1" s="1"/>
  <c r="P991" i="1"/>
  <c r="N991" i="1" s="1"/>
  <c r="P992" i="1"/>
  <c r="N992" i="1" s="1"/>
  <c r="P985" i="1"/>
  <c r="N985" i="1" s="1"/>
  <c r="P1012" i="1"/>
  <c r="N1012" i="1" s="1"/>
  <c r="P1013" i="1"/>
  <c r="N1013" i="1" s="1"/>
  <c r="P1017" i="1"/>
  <c r="N1017" i="1" s="1"/>
  <c r="P994" i="1"/>
  <c r="N994" i="1" s="1"/>
  <c r="P1028" i="1"/>
  <c r="N1028" i="1" s="1"/>
  <c r="P1018" i="1"/>
  <c r="N1018" i="1" s="1"/>
  <c r="P1039" i="1"/>
  <c r="N1039" i="1" s="1"/>
  <c r="P1040" i="1"/>
  <c r="N1040" i="1" s="1"/>
  <c r="P1038" i="1"/>
  <c r="N1038" i="1" s="1"/>
  <c r="P1042" i="1"/>
  <c r="N1042" i="1" s="1"/>
  <c r="P1805" i="1"/>
  <c r="N1805" i="1" s="1"/>
  <c r="P1806" i="1"/>
  <c r="N1806" i="1" s="1"/>
  <c r="P1830" i="1"/>
  <c r="N1830" i="1" s="1"/>
  <c r="P1804" i="1"/>
  <c r="N1804" i="1" s="1"/>
  <c r="P2836" i="1"/>
  <c r="N2836" i="1" s="1"/>
  <c r="P2854" i="1"/>
  <c r="N2854" i="1" s="1"/>
  <c r="P2855" i="1"/>
  <c r="N2855" i="1" s="1"/>
  <c r="P2907" i="1"/>
  <c r="N2907" i="1" s="1"/>
  <c r="P919" i="1"/>
  <c r="N919" i="1" s="1"/>
  <c r="P910" i="1"/>
  <c r="N910" i="1" s="1"/>
  <c r="P925" i="1"/>
  <c r="N925" i="1" s="1"/>
  <c r="P926" i="1"/>
  <c r="N926" i="1" s="1"/>
  <c r="P927" i="1"/>
  <c r="N927" i="1" s="1"/>
  <c r="P921" i="1"/>
  <c r="N921" i="1" s="1"/>
  <c r="P1169" i="1"/>
  <c r="N1169" i="1" s="1"/>
  <c r="P1168" i="1"/>
  <c r="N1168" i="1" s="1"/>
  <c r="P1222" i="1"/>
  <c r="N1222" i="1" s="1"/>
  <c r="P1230" i="1"/>
  <c r="N1230" i="1" s="1"/>
  <c r="P1231" i="1"/>
  <c r="N1231" i="1" s="1"/>
  <c r="P1171" i="1"/>
  <c r="N1171" i="1" s="1"/>
  <c r="P1270" i="1"/>
  <c r="N1270" i="1" s="1"/>
  <c r="P1269" i="1"/>
  <c r="N1269" i="1" s="1"/>
  <c r="P1330" i="1"/>
  <c r="N1330" i="1" s="1"/>
  <c r="P1341" i="1"/>
  <c r="N1341" i="1" s="1"/>
  <c r="P1342" i="1"/>
  <c r="N1342" i="1" s="1"/>
  <c r="P1283" i="1"/>
  <c r="N1283" i="1" s="1"/>
  <c r="P1348" i="1"/>
  <c r="N1348" i="1" s="1"/>
  <c r="P1349" i="1"/>
  <c r="N1349" i="1" s="1"/>
  <c r="P1362" i="1"/>
  <c r="N1362" i="1" s="1"/>
  <c r="P1347" i="1"/>
  <c r="N1347" i="1" s="1"/>
  <c r="P1373" i="1"/>
  <c r="N1373" i="1" s="1"/>
  <c r="P1363" i="1"/>
  <c r="N1363" i="1" s="1"/>
  <c r="P1401" i="1"/>
  <c r="N1401" i="1" s="1"/>
  <c r="P1407" i="1"/>
  <c r="N1407" i="1" s="1"/>
  <c r="P1408" i="1"/>
  <c r="N1408" i="1" s="1"/>
  <c r="P1371" i="1"/>
  <c r="N1371" i="1" s="1"/>
  <c r="P1416" i="1"/>
  <c r="N1416" i="1" s="1"/>
  <c r="P1417" i="1"/>
  <c r="N1417" i="1" s="1"/>
  <c r="P1433" i="1"/>
  <c r="N1433" i="1" s="1"/>
  <c r="P1415" i="1"/>
  <c r="N1415" i="1" s="1"/>
  <c r="P2834" i="1"/>
  <c r="N2834" i="1" s="1"/>
  <c r="P2436" i="1"/>
  <c r="N2436" i="1" s="1"/>
  <c r="P2446" i="1"/>
  <c r="N2446" i="1" s="1"/>
  <c r="P2447" i="1"/>
  <c r="N2447" i="1" s="1"/>
  <c r="P2448" i="1"/>
  <c r="N2448" i="1" s="1"/>
  <c r="P2835" i="1"/>
  <c r="N2835" i="1" s="1"/>
  <c r="P1074" i="1"/>
  <c r="N1074" i="1" s="1"/>
  <c r="P1064" i="1"/>
  <c r="N1064" i="1" s="1"/>
  <c r="P2101" i="1"/>
  <c r="N2101" i="1" s="1"/>
  <c r="P2108" i="1"/>
  <c r="N2108" i="1" s="1"/>
  <c r="P2127" i="1"/>
  <c r="N2127" i="1" s="1"/>
  <c r="P2118" i="1"/>
  <c r="N2118" i="1" s="1"/>
  <c r="P2120" i="1"/>
  <c r="N2120" i="1" s="1"/>
  <c r="P3557" i="1"/>
  <c r="N3557" i="1" s="1"/>
  <c r="P3532" i="1"/>
  <c r="N3532" i="1" s="1"/>
  <c r="P3546" i="1"/>
  <c r="N3546" i="1" s="1"/>
  <c r="P3547" i="1"/>
  <c r="N3547" i="1" s="1"/>
  <c r="P872" i="1"/>
  <c r="N872" i="1" s="1"/>
  <c r="P871" i="1"/>
  <c r="N871" i="1" s="1"/>
  <c r="P876" i="1"/>
  <c r="N876" i="1" s="1"/>
  <c r="P870" i="1"/>
  <c r="N870" i="1" s="1"/>
  <c r="P882" i="1"/>
  <c r="N882" i="1" s="1"/>
  <c r="P877" i="1"/>
  <c r="N877" i="1" s="1"/>
  <c r="P878" i="1"/>
  <c r="N878" i="1" s="1"/>
  <c r="P879" i="1"/>
  <c r="N879" i="1" s="1"/>
  <c r="P906" i="1"/>
  <c r="N906" i="1" s="1"/>
  <c r="P907" i="1"/>
  <c r="N907" i="1" s="1"/>
  <c r="P903" i="1"/>
  <c r="N903" i="1" s="1"/>
  <c r="P1105" i="1"/>
  <c r="N1105" i="1" s="1"/>
  <c r="P1106" i="1"/>
  <c r="N1106" i="1" s="1"/>
  <c r="P1107" i="1"/>
  <c r="N1107" i="1" s="1"/>
  <c r="P1085" i="1"/>
  <c r="N1085" i="1" s="1"/>
  <c r="P798" i="1"/>
  <c r="N798" i="1" s="1"/>
  <c r="P795" i="1"/>
  <c r="N795" i="1" s="1"/>
  <c r="P796" i="1"/>
  <c r="N796" i="1" s="1"/>
  <c r="P797" i="1"/>
  <c r="N797" i="1" s="1"/>
  <c r="P867" i="1"/>
  <c r="N867" i="1" s="1"/>
  <c r="P868" i="1"/>
  <c r="N868" i="1" s="1"/>
  <c r="P869" i="1"/>
  <c r="N869" i="1" s="1"/>
  <c r="P900" i="1"/>
  <c r="N900" i="1" s="1"/>
  <c r="P901" i="1"/>
  <c r="N901" i="1" s="1"/>
  <c r="P897" i="1"/>
  <c r="N897" i="1" s="1"/>
  <c r="P851" i="1"/>
  <c r="P855" i="1"/>
  <c r="P853" i="1"/>
  <c r="P854" i="1"/>
  <c r="P859" i="1"/>
  <c r="N859" i="1" s="1"/>
  <c r="P862" i="1"/>
  <c r="N862" i="1" s="1"/>
  <c r="P863" i="1"/>
  <c r="N863" i="1" s="1"/>
  <c r="P864" i="1"/>
  <c r="N864" i="1" s="1"/>
  <c r="P837" i="1"/>
  <c r="N837" i="1" s="1"/>
  <c r="P841" i="1"/>
  <c r="N841" i="1" s="1"/>
  <c r="P842" i="1"/>
  <c r="N842" i="1" s="1"/>
  <c r="P843" i="1"/>
  <c r="N843" i="1" s="1"/>
  <c r="P894" i="1"/>
  <c r="N894" i="1" s="1"/>
  <c r="P895" i="1"/>
  <c r="N895" i="1" s="1"/>
  <c r="P891" i="1"/>
  <c r="N891" i="1" s="1"/>
  <c r="P786" i="1"/>
  <c r="P781" i="1"/>
  <c r="P782" i="1"/>
  <c r="P784" i="1"/>
  <c r="P791" i="1"/>
  <c r="N791" i="1" s="1"/>
  <c r="P789" i="1"/>
  <c r="N789" i="1" s="1"/>
  <c r="P793" i="1"/>
  <c r="N793" i="1" s="1"/>
  <c r="P794" i="1"/>
  <c r="N794" i="1" s="1"/>
  <c r="P834" i="1"/>
  <c r="N834" i="1" s="1"/>
  <c r="P835" i="1"/>
  <c r="N835" i="1" s="1"/>
  <c r="P836" i="1"/>
  <c r="N836" i="1" s="1"/>
  <c r="P831" i="1"/>
  <c r="N831" i="1" s="1"/>
  <c r="P888" i="1"/>
  <c r="N888" i="1" s="1"/>
  <c r="P889" i="1"/>
  <c r="N889" i="1" s="1"/>
  <c r="P884" i="1"/>
  <c r="N884" i="1" s="1"/>
  <c r="P2910" i="1"/>
  <c r="N2910" i="1" s="1"/>
  <c r="P2911" i="1"/>
  <c r="N2911" i="1" s="1"/>
  <c r="P2912" i="1"/>
  <c r="N2912" i="1" s="1"/>
  <c r="P2905" i="1"/>
  <c r="N2905" i="1" s="1"/>
  <c r="P2916" i="1"/>
  <c r="N2916" i="1" s="1"/>
  <c r="P2917" i="1"/>
  <c r="N2917" i="1" s="1"/>
  <c r="P2918" i="1"/>
  <c r="N2918" i="1" s="1"/>
  <c r="P2923" i="1"/>
  <c r="N2923" i="1" s="1"/>
  <c r="P2933" i="1"/>
  <c r="N2933" i="1" s="1"/>
  <c r="P2925" i="1"/>
  <c r="N2925" i="1" s="1"/>
  <c r="P2927" i="1"/>
  <c r="N2927" i="1" s="1"/>
  <c r="P2926" i="1"/>
  <c r="N2926" i="1" s="1"/>
  <c r="P806" i="1"/>
  <c r="P802" i="1"/>
  <c r="P803" i="1"/>
  <c r="P804" i="1"/>
  <c r="P812" i="1"/>
  <c r="N812" i="1" s="1"/>
  <c r="P810" i="1"/>
  <c r="N810" i="1" s="1"/>
  <c r="P809" i="1"/>
  <c r="N809" i="1" s="1"/>
  <c r="P811" i="1"/>
  <c r="N811" i="1" s="1"/>
  <c r="P816" i="1"/>
  <c r="N816" i="1" s="1"/>
  <c r="P817" i="1"/>
  <c r="N817" i="1" s="1"/>
  <c r="P818" i="1"/>
  <c r="N818" i="1" s="1"/>
  <c r="P822" i="1"/>
  <c r="N822" i="1" s="1"/>
  <c r="P826" i="1"/>
  <c r="N826" i="1" s="1"/>
  <c r="P825" i="1"/>
  <c r="N825" i="1" s="1"/>
  <c r="P824" i="1"/>
  <c r="N824" i="1" s="1"/>
  <c r="P823" i="1"/>
  <c r="N823" i="1" s="1"/>
  <c r="P848" i="1"/>
  <c r="P844" i="1"/>
  <c r="P845" i="1"/>
  <c r="P846" i="1"/>
  <c r="P179" i="1"/>
  <c r="N179" i="1" s="1"/>
  <c r="P180" i="1"/>
  <c r="N180" i="1" s="1"/>
  <c r="P181" i="1"/>
  <c r="N181" i="1" s="1"/>
  <c r="P178" i="1"/>
  <c r="N178" i="1" s="1"/>
  <c r="P185" i="1"/>
  <c r="N185" i="1" s="1"/>
  <c r="P187" i="1"/>
  <c r="N187" i="1" s="1"/>
  <c r="P188" i="1"/>
  <c r="N188" i="1" s="1"/>
  <c r="P189" i="1"/>
  <c r="N189" i="1" s="1"/>
  <c r="P182" i="1"/>
  <c r="N182" i="1" s="1"/>
  <c r="P183" i="1"/>
  <c r="N183" i="1" s="1"/>
  <c r="P3733" i="1"/>
  <c r="N3733" i="1" s="1"/>
  <c r="P3734" i="1"/>
  <c r="N3734" i="1" s="1"/>
  <c r="P3735" i="1"/>
  <c r="N3735" i="1" s="1"/>
  <c r="P3736" i="1"/>
  <c r="N3736" i="1" s="1"/>
  <c r="P3737" i="1"/>
  <c r="N3737" i="1" s="1"/>
  <c r="P3743" i="1"/>
  <c r="N3743" i="1" s="1"/>
  <c r="P3739" i="1"/>
  <c r="N3739" i="1" s="1"/>
  <c r="P3738" i="1"/>
  <c r="N3738" i="1" s="1"/>
  <c r="P1037" i="1"/>
  <c r="N1037" i="1" s="1"/>
  <c r="P1047" i="1"/>
  <c r="N1047" i="1" s="1"/>
  <c r="P1034" i="1"/>
  <c r="N1034" i="1" s="1"/>
  <c r="P1140" i="1"/>
  <c r="N1140" i="1" s="1"/>
  <c r="P1141" i="1"/>
  <c r="N1141" i="1" s="1"/>
  <c r="P1142" i="1"/>
  <c r="N1142" i="1" s="1"/>
  <c r="P1124" i="1"/>
  <c r="N1124" i="1" s="1"/>
  <c r="P1794" i="1"/>
  <c r="N1794" i="1" s="1"/>
  <c r="P1809" i="1"/>
  <c r="N1809" i="1" s="1"/>
  <c r="P1810" i="1"/>
  <c r="N1810" i="1" s="1"/>
  <c r="P1811" i="1"/>
  <c r="N1811" i="1" s="1"/>
  <c r="P1845" i="1"/>
  <c r="N1845" i="1" s="1"/>
  <c r="P1846" i="1"/>
  <c r="N1846" i="1" s="1"/>
  <c r="P1847" i="1"/>
  <c r="N1847" i="1" s="1"/>
  <c r="P1829" i="1"/>
  <c r="N1829" i="1" s="1"/>
  <c r="P1878" i="1"/>
  <c r="N1878" i="1" s="1"/>
  <c r="P1867" i="1"/>
  <c r="N1867" i="1" s="1"/>
  <c r="P1871" i="1"/>
  <c r="N1871" i="1" s="1"/>
  <c r="P1872" i="1"/>
  <c r="N1872" i="1" s="1"/>
  <c r="P1910" i="1"/>
  <c r="N1910" i="1" s="1"/>
  <c r="P1922" i="1"/>
  <c r="N1922" i="1" s="1"/>
  <c r="P1923" i="1"/>
  <c r="N1923" i="1" s="1"/>
  <c r="P1924" i="1"/>
  <c r="N1924" i="1" s="1"/>
  <c r="P2024" i="1"/>
  <c r="N2024" i="1" s="1"/>
  <c r="P2025" i="1"/>
  <c r="N2025" i="1" s="1"/>
  <c r="P2026" i="1"/>
  <c r="N2026" i="1" s="1"/>
  <c r="P2009" i="1"/>
  <c r="N2009" i="1" s="1"/>
  <c r="P2059" i="1"/>
  <c r="N2059" i="1" s="1"/>
  <c r="P2060" i="1"/>
  <c r="N2060" i="1" s="1"/>
  <c r="P2061" i="1"/>
  <c r="N2061" i="1" s="1"/>
  <c r="P2044" i="1"/>
  <c r="N2044" i="1" s="1"/>
  <c r="P2140" i="1"/>
  <c r="N2140" i="1" s="1"/>
  <c r="P2143" i="1"/>
  <c r="N2143" i="1" s="1"/>
  <c r="P2148" i="1"/>
  <c r="N2148" i="1" s="1"/>
  <c r="P2149" i="1"/>
  <c r="N2149" i="1" s="1"/>
  <c r="P2426" i="1"/>
  <c r="N2426" i="1" s="1"/>
  <c r="P2417" i="1"/>
  <c r="N2417" i="1" s="1"/>
  <c r="P2422" i="1"/>
  <c r="N2422" i="1" s="1"/>
  <c r="P2437" i="1"/>
  <c r="N2437" i="1" s="1"/>
  <c r="P2455" i="1"/>
  <c r="N2455" i="1" s="1"/>
  <c r="P2466" i="1"/>
  <c r="N2466" i="1" s="1"/>
  <c r="P2467" i="1"/>
  <c r="N2467" i="1" s="1"/>
  <c r="P3020" i="1"/>
  <c r="N3020" i="1" s="1"/>
  <c r="P3021" i="1"/>
  <c r="N3021" i="1" s="1"/>
  <c r="P3022" i="1"/>
  <c r="N3022" i="1" s="1"/>
  <c r="P3040" i="1"/>
  <c r="N3040" i="1" s="1"/>
  <c r="P3841" i="1"/>
  <c r="N3841" i="1" s="1"/>
  <c r="P3842" i="1"/>
  <c r="N3842" i="1" s="1"/>
  <c r="P3843" i="1"/>
  <c r="N3843" i="1" s="1"/>
  <c r="P3846" i="1"/>
  <c r="N3846" i="1" s="1"/>
  <c r="P928" i="1"/>
  <c r="N928" i="1" s="1"/>
  <c r="P918" i="1"/>
  <c r="N918" i="1" s="1"/>
  <c r="P953" i="1"/>
  <c r="P946" i="1"/>
  <c r="P951" i="1"/>
  <c r="P952" i="1"/>
  <c r="P1233" i="1"/>
  <c r="N1233" i="1" s="1"/>
  <c r="P1217" i="1"/>
  <c r="N1217" i="1" s="1"/>
  <c r="P1240" i="1"/>
  <c r="N1240" i="1" s="1"/>
  <c r="P1227" i="1"/>
  <c r="N1227" i="1" s="1"/>
  <c r="P1261" i="1"/>
  <c r="N1261" i="1" s="1"/>
  <c r="P1251" i="1"/>
  <c r="N1251" i="1" s="1"/>
  <c r="P1257" i="1"/>
  <c r="N1257" i="1" s="1"/>
  <c r="P1272" i="1"/>
  <c r="N1272" i="1" s="1"/>
  <c r="P1339" i="1"/>
  <c r="N1339" i="1" s="1"/>
  <c r="P1326" i="1"/>
  <c r="N1326" i="1" s="1"/>
  <c r="P1332" i="1"/>
  <c r="N1332" i="1" s="1"/>
  <c r="P1333" i="1"/>
  <c r="N1333" i="1" s="1"/>
  <c r="P1376" i="1"/>
  <c r="N1376" i="1" s="1"/>
  <c r="P1377" i="1"/>
  <c r="N1377" i="1" s="1"/>
  <c r="P1378" i="1"/>
  <c r="N1378" i="1" s="1"/>
  <c r="P1361" i="1"/>
  <c r="N1361" i="1" s="1"/>
  <c r="P1405" i="1"/>
  <c r="N1405" i="1" s="1"/>
  <c r="P1398" i="1"/>
  <c r="N1398" i="1" s="1"/>
  <c r="P1419" i="1"/>
  <c r="N1419" i="1" s="1"/>
  <c r="P1420" i="1"/>
  <c r="N1420" i="1" s="1"/>
  <c r="P1447" i="1"/>
  <c r="N1447" i="1" s="1"/>
  <c r="P1448" i="1"/>
  <c r="N1448" i="1" s="1"/>
  <c r="P1449" i="1"/>
  <c r="N1449" i="1" s="1"/>
  <c r="P1432" i="1"/>
  <c r="N1432" i="1" s="1"/>
  <c r="P1589" i="1"/>
  <c r="N1589" i="1" s="1"/>
  <c r="P1590" i="1"/>
  <c r="N1590" i="1" s="1"/>
  <c r="P1591" i="1"/>
  <c r="N1591" i="1" s="1"/>
  <c r="P1571" i="1"/>
  <c r="N1571" i="1" s="1"/>
  <c r="P420" i="1"/>
  <c r="P421" i="1"/>
  <c r="P419" i="1"/>
  <c r="P423" i="1"/>
  <c r="P443" i="1"/>
  <c r="N443" i="1" s="1"/>
  <c r="P444" i="1"/>
  <c r="N444" i="1" s="1"/>
  <c r="P445" i="1"/>
  <c r="N445" i="1" s="1"/>
  <c r="P440" i="1"/>
  <c r="N440" i="1" s="1"/>
  <c r="P527" i="1"/>
  <c r="N527" i="1" s="1"/>
  <c r="P528" i="1"/>
  <c r="N528" i="1" s="1"/>
  <c r="P529" i="1"/>
  <c r="N529" i="1" s="1"/>
  <c r="P524" i="1"/>
  <c r="N524" i="1" s="1"/>
  <c r="P498" i="1"/>
  <c r="P499" i="1"/>
  <c r="P496" i="1"/>
  <c r="P501" i="1"/>
  <c r="P506" i="1"/>
  <c r="N506" i="1" s="1"/>
  <c r="P507" i="1"/>
  <c r="N507" i="1" s="1"/>
  <c r="P508" i="1"/>
  <c r="N508" i="1" s="1"/>
  <c r="P503" i="1"/>
  <c r="N503" i="1" s="1"/>
  <c r="P485" i="1"/>
  <c r="N485" i="1" s="1"/>
  <c r="P486" i="1"/>
  <c r="N486" i="1" s="1"/>
  <c r="P487" i="1"/>
  <c r="N487" i="1" s="1"/>
  <c r="P481" i="1"/>
  <c r="N481" i="1" s="1"/>
  <c r="P520" i="1"/>
  <c r="N520" i="1" s="1"/>
  <c r="P521" i="1"/>
  <c r="N521" i="1" s="1"/>
  <c r="P522" i="1"/>
  <c r="N522" i="1" s="1"/>
  <c r="P517" i="1"/>
  <c r="N517" i="1" s="1"/>
  <c r="P3686" i="1"/>
  <c r="N3686" i="1" s="1"/>
  <c r="P3687" i="1"/>
  <c r="N3687" i="1" s="1"/>
  <c r="P3688" i="1"/>
  <c r="N3688" i="1" s="1"/>
  <c r="P3704" i="1"/>
  <c r="N3704" i="1" s="1"/>
  <c r="P428" i="1"/>
  <c r="P430" i="1"/>
  <c r="P431" i="1"/>
  <c r="P426" i="1"/>
  <c r="P434" i="1"/>
  <c r="N434" i="1" s="1"/>
  <c r="P435" i="1"/>
  <c r="N435" i="1" s="1"/>
  <c r="P437" i="1"/>
  <c r="N437" i="1" s="1"/>
  <c r="P433" i="1"/>
  <c r="N433" i="1" s="1"/>
  <c r="P478" i="1"/>
  <c r="N478" i="1" s="1"/>
  <c r="P479" i="1"/>
  <c r="N479" i="1" s="1"/>
  <c r="P480" i="1"/>
  <c r="N480" i="1" s="1"/>
  <c r="P475" i="1"/>
  <c r="N475" i="1" s="1"/>
  <c r="P513" i="1"/>
  <c r="N513" i="1" s="1"/>
  <c r="P514" i="1"/>
  <c r="N514" i="1" s="1"/>
  <c r="P515" i="1"/>
  <c r="N515" i="1" s="1"/>
  <c r="P509" i="1"/>
  <c r="N509" i="1" s="1"/>
  <c r="P450" i="1"/>
  <c r="P451" i="1"/>
  <c r="P452" i="1"/>
  <c r="P447" i="1"/>
  <c r="P457" i="1"/>
  <c r="N457" i="1" s="1"/>
  <c r="P459" i="1"/>
  <c r="N459" i="1" s="1"/>
  <c r="P458" i="1"/>
  <c r="N458" i="1" s="1"/>
  <c r="P454" i="1"/>
  <c r="N454" i="1" s="1"/>
  <c r="P464" i="1"/>
  <c r="N464" i="1" s="1"/>
  <c r="P461" i="1"/>
  <c r="N461" i="1" s="1"/>
  <c r="P465" i="1"/>
  <c r="N465" i="1" s="1"/>
  <c r="P466" i="1"/>
  <c r="N466" i="1" s="1"/>
  <c r="P473" i="1"/>
  <c r="N473" i="1" s="1"/>
  <c r="P471" i="1"/>
  <c r="N471" i="1" s="1"/>
  <c r="P472" i="1"/>
  <c r="N472" i="1" s="1"/>
  <c r="P468" i="1"/>
  <c r="N468" i="1" s="1"/>
  <c r="P492" i="1"/>
  <c r="P493" i="1"/>
  <c r="P494" i="1"/>
  <c r="P488" i="1"/>
  <c r="P2849" i="1"/>
  <c r="N2849" i="1" s="1"/>
  <c r="P2825" i="1"/>
  <c r="N2825" i="1" s="1"/>
  <c r="P2827" i="1"/>
  <c r="N2827" i="1" s="1"/>
  <c r="P2828" i="1"/>
  <c r="N2828" i="1" s="1"/>
  <c r="P1075" i="1"/>
  <c r="N1075" i="1" s="1"/>
  <c r="P1060" i="1"/>
  <c r="N1060" i="1" s="1"/>
  <c r="P1076" i="1"/>
  <c r="N1076" i="1" s="1"/>
  <c r="P1062" i="1"/>
  <c r="N1062" i="1" s="1"/>
  <c r="P1077" i="1"/>
  <c r="N1077" i="1" s="1"/>
  <c r="P2099" i="1"/>
  <c r="N2099" i="1" s="1"/>
  <c r="P2109" i="1"/>
  <c r="N2109" i="1" s="1"/>
  <c r="P2110" i="1"/>
  <c r="N2110" i="1" s="1"/>
  <c r="P2111" i="1"/>
  <c r="N2111" i="1" s="1"/>
  <c r="P2112" i="1"/>
  <c r="N2112" i="1" s="1"/>
  <c r="P2119" i="1"/>
  <c r="N2119" i="1" s="1"/>
  <c r="P2125" i="1"/>
  <c r="N2125" i="1" s="1"/>
  <c r="P2121" i="1"/>
  <c r="N2121" i="1" s="1"/>
  <c r="P2117" i="1"/>
  <c r="N2117" i="1" s="1"/>
  <c r="P2135" i="1"/>
  <c r="N2135" i="1" s="1"/>
  <c r="P3097" i="1"/>
  <c r="N3097" i="1" s="1"/>
  <c r="P3559" i="1"/>
  <c r="N3559" i="1" s="1"/>
  <c r="P3528" i="1"/>
  <c r="N3528" i="1" s="1"/>
  <c r="P3534" i="1"/>
  <c r="N3534" i="1" s="1"/>
  <c r="P3548" i="1"/>
  <c r="N3548" i="1" s="1"/>
  <c r="P3549" i="1"/>
  <c r="N3549" i="1" s="1"/>
  <c r="P721" i="1"/>
  <c r="P728" i="1"/>
  <c r="P723" i="1"/>
  <c r="P722" i="1"/>
  <c r="P725" i="1"/>
  <c r="P732" i="1"/>
  <c r="N732" i="1" s="1"/>
  <c r="P733" i="1"/>
  <c r="N733" i="1" s="1"/>
  <c r="P734" i="1"/>
  <c r="N734" i="1" s="1"/>
  <c r="P729" i="1"/>
  <c r="N729" i="1" s="1"/>
  <c r="P735" i="1"/>
  <c r="N735" i="1" s="1"/>
  <c r="P1020" i="1"/>
  <c r="N1020" i="1" s="1"/>
  <c r="P757" i="1"/>
  <c r="N757" i="1" s="1"/>
  <c r="P756" i="1"/>
  <c r="N756" i="1" s="1"/>
  <c r="P754" i="1"/>
  <c r="N754" i="1" s="1"/>
  <c r="P755" i="1"/>
  <c r="N755" i="1" s="1"/>
  <c r="P760" i="1"/>
  <c r="N760" i="1" s="1"/>
  <c r="P4895" i="1"/>
  <c r="N4895" i="1" s="1"/>
  <c r="P4896" i="1"/>
  <c r="N4896" i="1" s="1"/>
  <c r="P4897" i="1"/>
  <c r="N4897" i="1" s="1"/>
  <c r="P4898" i="1"/>
  <c r="N4898" i="1" s="1"/>
  <c r="P763" i="1"/>
  <c r="N763" i="1" s="1"/>
  <c r="P761" i="1"/>
  <c r="N761" i="1" s="1"/>
  <c r="P765" i="1"/>
  <c r="N765" i="1" s="1"/>
  <c r="P766" i="1"/>
  <c r="N766" i="1" s="1"/>
  <c r="P767" i="1"/>
  <c r="N767" i="1" s="1"/>
  <c r="P770" i="1"/>
  <c r="P771" i="1"/>
  <c r="P772" i="1"/>
  <c r="P773" i="1"/>
  <c r="P768" i="1"/>
  <c r="P748" i="1"/>
  <c r="P745" i="1"/>
  <c r="P751" i="1"/>
  <c r="P747" i="1"/>
  <c r="P746" i="1"/>
  <c r="P752" i="1"/>
  <c r="N752" i="1" s="1"/>
  <c r="P753" i="1"/>
  <c r="N753" i="1" s="1"/>
  <c r="P385" i="1"/>
  <c r="N385" i="1" s="1"/>
  <c r="P386" i="1"/>
  <c r="N386" i="1" s="1"/>
  <c r="P739" i="1"/>
  <c r="N739" i="1" s="1"/>
  <c r="P736" i="1"/>
  <c r="N736" i="1" s="1"/>
  <c r="P738" i="1"/>
  <c r="N738" i="1" s="1"/>
  <c r="P744" i="1"/>
  <c r="N744" i="1" s="1"/>
  <c r="P737" i="1"/>
  <c r="N737" i="1" s="1"/>
  <c r="P679" i="1"/>
  <c r="P676" i="1"/>
  <c r="P677" i="1"/>
  <c r="P678" i="1"/>
  <c r="P683" i="1"/>
  <c r="P684" i="1"/>
  <c r="N684" i="1" s="1"/>
  <c r="P687" i="1"/>
  <c r="N687" i="1" s="1"/>
  <c r="P686" i="1"/>
  <c r="N686" i="1" s="1"/>
  <c r="P688" i="1"/>
  <c r="N688" i="1" s="1"/>
  <c r="P689" i="1"/>
  <c r="N689" i="1" s="1"/>
  <c r="P691" i="1"/>
  <c r="N691" i="1" s="1"/>
  <c r="P697" i="1"/>
  <c r="N697" i="1" s="1"/>
  <c r="P694" i="1"/>
  <c r="N694" i="1" s="1"/>
  <c r="P693" i="1"/>
  <c r="N693" i="1" s="1"/>
  <c r="P695" i="1"/>
  <c r="N695" i="1" s="1"/>
  <c r="P702" i="1"/>
  <c r="N702" i="1" s="1"/>
  <c r="P703" i="1"/>
  <c r="N703" i="1" s="1"/>
  <c r="P704" i="1"/>
  <c r="N704" i="1" s="1"/>
  <c r="P698" i="1"/>
  <c r="N698" i="1" s="1"/>
  <c r="P705" i="1"/>
  <c r="N705" i="1" s="1"/>
  <c r="P711" i="1"/>
  <c r="N711" i="1" s="1"/>
  <c r="P707" i="1"/>
  <c r="N707" i="1" s="1"/>
  <c r="P706" i="1"/>
  <c r="N706" i="1" s="1"/>
  <c r="P709" i="1"/>
  <c r="N709" i="1" s="1"/>
  <c r="P710" i="1"/>
  <c r="N710" i="1" s="1"/>
  <c r="P719" i="1"/>
  <c r="N719" i="1" s="1"/>
  <c r="P720" i="1"/>
  <c r="N720" i="1" s="1"/>
  <c r="P2223" i="1"/>
  <c r="N2223" i="1" s="1"/>
  <c r="P2236" i="1"/>
  <c r="N2236" i="1" s="1"/>
  <c r="P2231" i="1"/>
  <c r="N2231" i="1" s="1"/>
  <c r="P2233" i="1"/>
  <c r="N2233" i="1" s="1"/>
  <c r="P2260" i="1"/>
  <c r="N2260" i="1" s="1"/>
  <c r="P2261" i="1"/>
  <c r="N2261" i="1" s="1"/>
  <c r="P714" i="1"/>
  <c r="P712" i="1"/>
  <c r="P713" i="1"/>
  <c r="P716" i="1"/>
  <c r="P718" i="1"/>
  <c r="P1379" i="1"/>
  <c r="N1379" i="1" s="1"/>
  <c r="P1380" i="1"/>
  <c r="N1380" i="1" s="1"/>
  <c r="P1381" i="1"/>
  <c r="N1381" i="1" s="1"/>
  <c r="P1358" i="1"/>
  <c r="N1358" i="1" s="1"/>
  <c r="P1382" i="1"/>
  <c r="N1382" i="1" s="1"/>
  <c r="P1403" i="1"/>
  <c r="N1403" i="1" s="1"/>
  <c r="P1394" i="1"/>
  <c r="N1394" i="1" s="1"/>
  <c r="P1396" i="1"/>
  <c r="N1396" i="1" s="1"/>
  <c r="P1395" i="1"/>
  <c r="N1395" i="1" s="1"/>
  <c r="P1421" i="1"/>
  <c r="N1421" i="1" s="1"/>
  <c r="P1450" i="1"/>
  <c r="N1450" i="1" s="1"/>
  <c r="P1451" i="1"/>
  <c r="N1451" i="1" s="1"/>
  <c r="P1452" i="1"/>
  <c r="N1452" i="1" s="1"/>
  <c r="P1429" i="1"/>
  <c r="N1429" i="1" s="1"/>
  <c r="P1453" i="1"/>
  <c r="N1453" i="1" s="1"/>
  <c r="P1032" i="1"/>
  <c r="P1035" i="1"/>
  <c r="P1030" i="1"/>
  <c r="P1027" i="1"/>
  <c r="P1048" i="1"/>
  <c r="P1108" i="1"/>
  <c r="N1108" i="1" s="1"/>
  <c r="P1109" i="1"/>
  <c r="N1109" i="1" s="1"/>
  <c r="P1110" i="1"/>
  <c r="N1110" i="1" s="1"/>
  <c r="P1084" i="1"/>
  <c r="N1084" i="1" s="1"/>
  <c r="P1111" i="1"/>
  <c r="N1111" i="1" s="1"/>
  <c r="P4908" i="1"/>
  <c r="N4908" i="1" s="1"/>
  <c r="P4905" i="1"/>
  <c r="N4905" i="1" s="1"/>
  <c r="P4919" i="1"/>
  <c r="N4919" i="1" s="1"/>
  <c r="P4916" i="1"/>
  <c r="N4916" i="1" s="1"/>
  <c r="P1143" i="1"/>
  <c r="N1143" i="1" s="1"/>
  <c r="P1144" i="1"/>
  <c r="N1144" i="1" s="1"/>
  <c r="P1145" i="1"/>
  <c r="N1145" i="1" s="1"/>
  <c r="P1119" i="1"/>
  <c r="N1119" i="1" s="1"/>
  <c r="P1146" i="1"/>
  <c r="N1146" i="1" s="1"/>
  <c r="P1791" i="1"/>
  <c r="N1791" i="1" s="1"/>
  <c r="P1812" i="1"/>
  <c r="N1812" i="1" s="1"/>
  <c r="P1813" i="1"/>
  <c r="N1813" i="1" s="1"/>
  <c r="P1814" i="1"/>
  <c r="N1814" i="1" s="1"/>
  <c r="P1815" i="1"/>
  <c r="N1815" i="1" s="1"/>
  <c r="P1848" i="1"/>
  <c r="N1848" i="1" s="1"/>
  <c r="P1849" i="1"/>
  <c r="N1849" i="1" s="1"/>
  <c r="P1850" i="1"/>
  <c r="N1850" i="1" s="1"/>
  <c r="P1826" i="1"/>
  <c r="N1826" i="1" s="1"/>
  <c r="P1851" i="1"/>
  <c r="N1851" i="1" s="1"/>
  <c r="P1876" i="1"/>
  <c r="N1876" i="1" s="1"/>
  <c r="P1864" i="1"/>
  <c r="N1864" i="1" s="1"/>
  <c r="P1863" i="1"/>
  <c r="N1863" i="1" s="1"/>
  <c r="P1891" i="1"/>
  <c r="N1891" i="1" s="1"/>
  <c r="P1873" i="1"/>
  <c r="N1873" i="1" s="1"/>
  <c r="P1907" i="1"/>
  <c r="N1907" i="1" s="1"/>
  <c r="P1898" i="1"/>
  <c r="N1898" i="1" s="1"/>
  <c r="P1897" i="1"/>
  <c r="N1897" i="1" s="1"/>
  <c r="P1905" i="1"/>
  <c r="N1905" i="1" s="1"/>
  <c r="P1926" i="1"/>
  <c r="N1926" i="1" s="1"/>
  <c r="P2027" i="1"/>
  <c r="N2027" i="1" s="1"/>
  <c r="P2028" i="1"/>
  <c r="N2028" i="1" s="1"/>
  <c r="P2029" i="1"/>
  <c r="N2029" i="1" s="1"/>
  <c r="P2006" i="1"/>
  <c r="N2006" i="1" s="1"/>
  <c r="P2030" i="1"/>
  <c r="N2030" i="1" s="1"/>
  <c r="P2062" i="1"/>
  <c r="N2062" i="1" s="1"/>
  <c r="P2063" i="1"/>
  <c r="N2063" i="1" s="1"/>
  <c r="P2064" i="1"/>
  <c r="N2064" i="1" s="1"/>
  <c r="P2041" i="1"/>
  <c r="N2041" i="1" s="1"/>
  <c r="P2065" i="1"/>
  <c r="N2065" i="1" s="1"/>
  <c r="P2141" i="1"/>
  <c r="N2141" i="1" s="1"/>
  <c r="P2137" i="1"/>
  <c r="N2137" i="1" s="1"/>
  <c r="P2138" i="1"/>
  <c r="N2138" i="1" s="1"/>
  <c r="P2139" i="1"/>
  <c r="N2139" i="1" s="1"/>
  <c r="P2150" i="1"/>
  <c r="N2150" i="1" s="1"/>
  <c r="P2418" i="1"/>
  <c r="N2418" i="1" s="1"/>
  <c r="P2415" i="1"/>
  <c r="N2415" i="1" s="1"/>
  <c r="P2420" i="1"/>
  <c r="N2420" i="1" s="1"/>
  <c r="P2438" i="1"/>
  <c r="N2438" i="1" s="1"/>
  <c r="P2424" i="1"/>
  <c r="N2424" i="1" s="1"/>
  <c r="P2453" i="1"/>
  <c r="N2453" i="1" s="1"/>
  <c r="P2468" i="1"/>
  <c r="N2468" i="1" s="1"/>
  <c r="P2449" i="1"/>
  <c r="N2449" i="1" s="1"/>
  <c r="P2469" i="1"/>
  <c r="N2469" i="1" s="1"/>
  <c r="P2470" i="1"/>
  <c r="N2470" i="1" s="1"/>
  <c r="P2882" i="1"/>
  <c r="N2882" i="1" s="1"/>
  <c r="P2859" i="1"/>
  <c r="N2859" i="1" s="1"/>
  <c r="P2886" i="1"/>
  <c r="N2886" i="1" s="1"/>
  <c r="P2856" i="1"/>
  <c r="N2856" i="1" s="1"/>
  <c r="P2883" i="1"/>
  <c r="N2883" i="1" s="1"/>
  <c r="P4953" i="1"/>
  <c r="N4953" i="1" s="1"/>
  <c r="P4954" i="1"/>
  <c r="N4954" i="1" s="1"/>
  <c r="P4955" i="1"/>
  <c r="N4955" i="1" s="1"/>
  <c r="P4962" i="1"/>
  <c r="N4962" i="1" s="1"/>
  <c r="P4956" i="1"/>
  <c r="N4956" i="1" s="1"/>
  <c r="P4997" i="1"/>
  <c r="N4997" i="1" s="1"/>
  <c r="P4964" i="1"/>
  <c r="N4964" i="1" s="1"/>
  <c r="P4966" i="1"/>
  <c r="N4966" i="1" s="1"/>
  <c r="P4991" i="1"/>
  <c r="N4991" i="1" s="1"/>
  <c r="P4967" i="1"/>
  <c r="N4967" i="1" s="1"/>
  <c r="P2896" i="1"/>
  <c r="N2896" i="1" s="1"/>
  <c r="P2897" i="1"/>
  <c r="N2897" i="1" s="1"/>
  <c r="P2898" i="1"/>
  <c r="N2898" i="1" s="1"/>
  <c r="P2899" i="1"/>
  <c r="N2899" i="1" s="1"/>
  <c r="P2919" i="1"/>
  <c r="N2919" i="1" s="1"/>
  <c r="P2930" i="1"/>
  <c r="N2930" i="1" s="1"/>
  <c r="P3023" i="1"/>
  <c r="N3023" i="1" s="1"/>
  <c r="P3024" i="1"/>
  <c r="N3024" i="1" s="1"/>
  <c r="P3025" i="1"/>
  <c r="N3025" i="1" s="1"/>
  <c r="P3037" i="1"/>
  <c r="N3037" i="1" s="1"/>
  <c r="P3026" i="1"/>
  <c r="N3026" i="1" s="1"/>
  <c r="P915" i="1"/>
  <c r="N915" i="1" s="1"/>
  <c r="P929" i="1"/>
  <c r="N929" i="1" s="1"/>
  <c r="P949" i="1"/>
  <c r="P943" i="1"/>
  <c r="P970" i="1"/>
  <c r="P962" i="1"/>
  <c r="P944" i="1"/>
  <c r="P977" i="1"/>
  <c r="N977" i="1" s="1"/>
  <c r="P984" i="1"/>
  <c r="N984" i="1" s="1"/>
  <c r="P996" i="1"/>
  <c r="N996" i="1" s="1"/>
  <c r="P997" i="1"/>
  <c r="N997" i="1" s="1"/>
  <c r="P1228" i="1"/>
  <c r="N1228" i="1" s="1"/>
  <c r="P1215" i="1"/>
  <c r="N1215" i="1" s="1"/>
  <c r="P1213" i="1"/>
  <c r="N1213" i="1" s="1"/>
  <c r="P1241" i="1"/>
  <c r="N1241" i="1" s="1"/>
  <c r="P1214" i="1"/>
  <c r="N1214" i="1" s="1"/>
  <c r="P1258" i="1"/>
  <c r="N1258" i="1" s="1"/>
  <c r="P1249" i="1"/>
  <c r="N1249" i="1" s="1"/>
  <c r="P1252" i="1"/>
  <c r="N1252" i="1" s="1"/>
  <c r="P1273" i="1"/>
  <c r="N1273" i="1" s="1"/>
  <c r="P1255" i="1"/>
  <c r="N1255" i="1" s="1"/>
  <c r="P1336" i="1"/>
  <c r="N1336" i="1" s="1"/>
  <c r="P1324" i="1"/>
  <c r="N1324" i="1" s="1"/>
  <c r="P1323" i="1"/>
  <c r="N1323" i="1" s="1"/>
  <c r="P1322" i="1"/>
  <c r="N1322" i="1" s="1"/>
  <c r="P1350" i="1"/>
  <c r="N1350" i="1" s="1"/>
  <c r="P1592" i="1"/>
  <c r="N1592" i="1" s="1"/>
  <c r="P1593" i="1"/>
  <c r="N1593" i="1" s="1"/>
  <c r="P1594" i="1"/>
  <c r="N1594" i="1" s="1"/>
  <c r="P1569" i="1"/>
  <c r="N1569" i="1" s="1"/>
  <c r="P1595" i="1"/>
  <c r="N1595" i="1" s="1"/>
  <c r="P373" i="1"/>
  <c r="P374" i="1"/>
  <c r="P369" i="1"/>
  <c r="P372" i="1"/>
  <c r="P376" i="1"/>
  <c r="P380" i="1"/>
  <c r="N380" i="1" s="1"/>
  <c r="P381" i="1"/>
  <c r="N381" i="1" s="1"/>
  <c r="P382" i="1"/>
  <c r="N382" i="1" s="1"/>
  <c r="P377" i="1"/>
  <c r="N377" i="1" s="1"/>
  <c r="P383" i="1"/>
  <c r="N383" i="1" s="1"/>
  <c r="P41" i="1"/>
  <c r="N41" i="1" s="1"/>
  <c r="P39" i="1"/>
  <c r="N39" i="1" s="1"/>
  <c r="P22" i="1"/>
  <c r="N22" i="1" s="1"/>
  <c r="P400" i="1"/>
  <c r="N400" i="1" s="1"/>
  <c r="P401" i="1"/>
  <c r="N401" i="1" s="1"/>
  <c r="P402" i="1"/>
  <c r="N402" i="1" s="1"/>
  <c r="P403" i="1"/>
  <c r="N403" i="1" s="1"/>
  <c r="P397" i="1"/>
  <c r="N397" i="1" s="1"/>
  <c r="P4388" i="1"/>
  <c r="N4388" i="1" s="1"/>
  <c r="P4389" i="1"/>
  <c r="N4389" i="1" s="1"/>
  <c r="P4391" i="1"/>
  <c r="N4391" i="1" s="1"/>
  <c r="P4392" i="1"/>
  <c r="N4392" i="1" s="1"/>
  <c r="P407" i="1"/>
  <c r="N407" i="1" s="1"/>
  <c r="P408" i="1"/>
  <c r="N408" i="1" s="1"/>
  <c r="P409" i="1"/>
  <c r="N409" i="1" s="1"/>
  <c r="P410" i="1"/>
  <c r="N410" i="1" s="1"/>
  <c r="P404" i="1"/>
  <c r="N404" i="1" s="1"/>
  <c r="P414" i="1"/>
  <c r="P415" i="1"/>
  <c r="P416" i="1"/>
  <c r="P411" i="1"/>
  <c r="P417" i="1"/>
  <c r="P3673" i="1"/>
  <c r="N3673" i="1" s="1"/>
  <c r="P3689" i="1"/>
  <c r="N3689" i="1" s="1"/>
  <c r="P3701" i="1"/>
  <c r="N3701" i="1" s="1"/>
  <c r="P3690" i="1"/>
  <c r="N3690" i="1" s="1"/>
  <c r="P392" i="1"/>
  <c r="P391" i="1"/>
  <c r="P390" i="1"/>
  <c r="P393" i="1"/>
  <c r="P387" i="1"/>
  <c r="P395" i="1"/>
  <c r="N395" i="1" s="1"/>
  <c r="P396" i="1"/>
  <c r="N396" i="1" s="1"/>
  <c r="P305" i="1"/>
  <c r="N305" i="1" s="1"/>
  <c r="P306" i="1"/>
  <c r="P308" i="1"/>
  <c r="P309" i="1"/>
  <c r="P310" i="1"/>
  <c r="P303" i="1"/>
  <c r="P313" i="1"/>
  <c r="N313" i="1" s="1"/>
  <c r="P315" i="1"/>
  <c r="N315" i="1" s="1"/>
  <c r="P317" i="1"/>
  <c r="N317" i="1" s="1"/>
  <c r="P316" i="1"/>
  <c r="N316" i="1" s="1"/>
  <c r="P311" i="1"/>
  <c r="N311" i="1" s="1"/>
  <c r="P323" i="1"/>
  <c r="N323" i="1" s="1"/>
  <c r="P322" i="1"/>
  <c r="N322" i="1" s="1"/>
  <c r="P324" i="1"/>
  <c r="N324" i="1" s="1"/>
  <c r="P321" i="1"/>
  <c r="N321" i="1" s="1"/>
  <c r="P318" i="1"/>
  <c r="N318" i="1" s="1"/>
  <c r="P330" i="1"/>
  <c r="N330" i="1" s="1"/>
  <c r="P331" i="1"/>
  <c r="N331" i="1" s="1"/>
  <c r="P332" i="1"/>
  <c r="N332" i="1" s="1"/>
  <c r="P325" i="1"/>
  <c r="N325" i="1" s="1"/>
  <c r="P333" i="1"/>
  <c r="N333" i="1" s="1"/>
  <c r="P334" i="1"/>
  <c r="N334" i="1" s="1"/>
  <c r="P340" i="1"/>
  <c r="N340" i="1" s="1"/>
  <c r="P339" i="1"/>
  <c r="N339" i="1" s="1"/>
  <c r="P338" i="1"/>
  <c r="N338" i="1" s="1"/>
  <c r="P336" i="1"/>
  <c r="N336" i="1" s="1"/>
  <c r="P344" i="1"/>
  <c r="N344" i="1" s="1"/>
  <c r="P341" i="1"/>
  <c r="N341" i="1" s="1"/>
  <c r="P345" i="1"/>
  <c r="N345" i="1" s="1"/>
  <c r="P343" i="1"/>
  <c r="N343" i="1" s="1"/>
  <c r="P347" i="1"/>
  <c r="N347" i="1" s="1"/>
  <c r="P351" i="1"/>
  <c r="N351" i="1" s="1"/>
  <c r="P352" i="1"/>
  <c r="N352" i="1" s="1"/>
  <c r="P353" i="1"/>
  <c r="N353" i="1" s="1"/>
  <c r="P348" i="1"/>
  <c r="N348" i="1" s="1"/>
  <c r="P354" i="1"/>
  <c r="N354" i="1" s="1"/>
  <c r="P359" i="1"/>
  <c r="N359" i="1" s="1"/>
  <c r="P361" i="1"/>
  <c r="N361" i="1" s="1"/>
  <c r="P360" i="1"/>
  <c r="N360" i="1" s="1"/>
  <c r="P355" i="1"/>
  <c r="N355" i="1" s="1"/>
  <c r="P358" i="1"/>
  <c r="N358" i="1" s="1"/>
  <c r="P365" i="1"/>
  <c r="P366" i="1"/>
  <c r="P367" i="1"/>
  <c r="P368" i="1"/>
  <c r="P362" i="1"/>
  <c r="P2851" i="1"/>
  <c r="N2851" i="1" s="1"/>
  <c r="P2820" i="1"/>
  <c r="N2820" i="1" s="1"/>
  <c r="P2839" i="1"/>
  <c r="N2839" i="1" s="1"/>
  <c r="P2821" i="1"/>
  <c r="N2821" i="1" s="1"/>
  <c r="P2822" i="1"/>
  <c r="N2822" i="1" s="1"/>
  <c r="P1061" i="1"/>
  <c r="N1061" i="1" s="1"/>
  <c r="P327" i="1"/>
  <c r="N327" i="1" s="1"/>
  <c r="P328" i="1"/>
  <c r="N328" i="1" s="1"/>
  <c r="P422" i="1"/>
  <c r="N422" i="1" s="1"/>
  <c r="P424" i="1"/>
  <c r="N424" i="1" s="1"/>
  <c r="P429" i="1"/>
  <c r="N429" i="1" s="1"/>
  <c r="P427" i="1"/>
  <c r="N427" i="1" s="1"/>
  <c r="P436" i="1"/>
  <c r="N436" i="1" s="1"/>
  <c r="P438" i="1"/>
  <c r="N438" i="1" s="1"/>
  <c r="P442" i="1"/>
  <c r="N442" i="1" s="1"/>
  <c r="P441" i="1"/>
  <c r="N441" i="1" s="1"/>
  <c r="P448" i="1"/>
  <c r="N448" i="1" s="1"/>
  <c r="P449" i="1"/>
  <c r="N449" i="1" s="1"/>
  <c r="P455" i="1"/>
  <c r="N455" i="1" s="1"/>
  <c r="P456" i="1"/>
  <c r="N456" i="1" s="1"/>
  <c r="P462" i="1"/>
  <c r="N462" i="1" s="1"/>
  <c r="P463" i="1"/>
  <c r="N463" i="1" s="1"/>
  <c r="P469" i="1"/>
  <c r="N469" i="1" s="1"/>
  <c r="P470" i="1"/>
  <c r="N470" i="1" s="1"/>
  <c r="P476" i="1"/>
  <c r="N476" i="1" s="1"/>
  <c r="P477" i="1"/>
  <c r="N477" i="1" s="1"/>
  <c r="P483" i="1"/>
  <c r="N483" i="1" s="1"/>
  <c r="P484" i="1"/>
  <c r="N484" i="1" s="1"/>
  <c r="P490" i="1"/>
  <c r="N490" i="1" s="1"/>
  <c r="P491" i="1"/>
  <c r="N491" i="1" s="1"/>
  <c r="P497" i="1"/>
  <c r="N497" i="1" s="1"/>
  <c r="P500" i="1"/>
  <c r="N500" i="1" s="1"/>
  <c r="P504" i="1"/>
  <c r="N504" i="1" s="1"/>
  <c r="P505" i="1"/>
  <c r="N505" i="1" s="1"/>
  <c r="P511" i="1"/>
  <c r="N511" i="1" s="1"/>
  <c r="P512" i="1"/>
  <c r="N512" i="1" s="1"/>
  <c r="P518" i="1"/>
  <c r="N518" i="1" s="1"/>
  <c r="P519" i="1"/>
  <c r="N519" i="1" s="1"/>
  <c r="P525" i="1"/>
  <c r="N525" i="1" s="1"/>
  <c r="P526" i="1"/>
  <c r="N526" i="1" s="1"/>
  <c r="P700" i="1"/>
  <c r="N700" i="1" s="1"/>
  <c r="P701" i="1"/>
  <c r="N701" i="1" s="1"/>
  <c r="P741" i="1"/>
  <c r="N741" i="1" s="1"/>
  <c r="P742" i="1"/>
  <c r="N742" i="1" s="1"/>
  <c r="P776" i="1"/>
  <c r="N776" i="1" s="1"/>
  <c r="P775" i="1"/>
  <c r="N775" i="1" s="1"/>
  <c r="P783" i="1"/>
  <c r="N783" i="1" s="1"/>
  <c r="P785" i="1"/>
  <c r="N785" i="1" s="1"/>
  <c r="P790" i="1"/>
  <c r="N790" i="1" s="1"/>
  <c r="P788" i="1"/>
  <c r="N788" i="1" s="1"/>
  <c r="P800" i="1"/>
  <c r="N800" i="1" s="1"/>
  <c r="P801" i="1"/>
  <c r="N801" i="1" s="1"/>
  <c r="P805" i="1"/>
  <c r="N805" i="1" s="1"/>
  <c r="P808" i="1"/>
  <c r="N808" i="1" s="1"/>
  <c r="P814" i="1"/>
  <c r="N814" i="1" s="1"/>
  <c r="P815" i="1"/>
  <c r="N815" i="1" s="1"/>
  <c r="P820" i="1"/>
  <c r="N820" i="1" s="1"/>
  <c r="P821" i="1"/>
  <c r="N821" i="1" s="1"/>
  <c r="P828" i="1"/>
  <c r="N828" i="1" s="1"/>
  <c r="P829" i="1"/>
  <c r="N829" i="1" s="1"/>
  <c r="P832" i="1"/>
  <c r="N832" i="1" s="1"/>
  <c r="P833" i="1"/>
  <c r="N833" i="1" s="1"/>
  <c r="P839" i="1"/>
  <c r="N839" i="1" s="1"/>
  <c r="P840" i="1"/>
  <c r="N840" i="1" s="1"/>
  <c r="P849" i="1"/>
  <c r="N849" i="1" s="1"/>
  <c r="P850" i="1"/>
  <c r="N850" i="1" s="1"/>
  <c r="P857" i="1"/>
  <c r="N857" i="1" s="1"/>
  <c r="P852" i="1"/>
  <c r="N852" i="1" s="1"/>
  <c r="P860" i="1"/>
  <c r="N860" i="1" s="1"/>
  <c r="P861" i="1"/>
  <c r="N861" i="1" s="1"/>
  <c r="P865" i="1"/>
  <c r="N865" i="1" s="1"/>
  <c r="P866" i="1"/>
  <c r="N866" i="1" s="1"/>
  <c r="P874" i="1"/>
  <c r="N874" i="1" s="1"/>
  <c r="P875" i="1"/>
  <c r="N875" i="1" s="1"/>
  <c r="P881" i="1"/>
  <c r="N881" i="1" s="1"/>
  <c r="P883" i="1"/>
  <c r="N883" i="1" s="1"/>
  <c r="P886" i="1"/>
  <c r="N886" i="1" s="1"/>
  <c r="P887" i="1"/>
  <c r="N887" i="1" s="1"/>
  <c r="P892" i="1"/>
  <c r="N892" i="1" s="1"/>
  <c r="P893" i="1"/>
  <c r="N893" i="1" s="1"/>
  <c r="P898" i="1"/>
  <c r="N898" i="1" s="1"/>
  <c r="P899" i="1"/>
  <c r="N899" i="1" s="1"/>
  <c r="P904" i="1"/>
  <c r="N904" i="1" s="1"/>
  <c r="P905" i="1"/>
  <c r="N905" i="1" s="1"/>
  <c r="P948" i="1"/>
  <c r="N948" i="1" s="1"/>
  <c r="P947" i="1"/>
  <c r="N947" i="1" s="1"/>
  <c r="P1045" i="1"/>
  <c r="N1045" i="1" s="1"/>
  <c r="P1046" i="1"/>
  <c r="N1046" i="1" s="1"/>
  <c r="P1073" i="1"/>
  <c r="N1073" i="1" s="1"/>
  <c r="P1056" i="1"/>
  <c r="N1056" i="1" s="1"/>
  <c r="P1103" i="1"/>
  <c r="N1103" i="1" s="1"/>
  <c r="P1104" i="1"/>
  <c r="N1104" i="1" s="1"/>
  <c r="P1138" i="1"/>
  <c r="N1138" i="1" s="1"/>
  <c r="P1139" i="1"/>
  <c r="N1139" i="1" s="1"/>
  <c r="P1208" i="1"/>
  <c r="N1208" i="1" s="1"/>
  <c r="P1209" i="1"/>
  <c r="N1209" i="1" s="1"/>
  <c r="P1220" i="1"/>
  <c r="N1220" i="1" s="1"/>
  <c r="P1218" i="1"/>
  <c r="N1218" i="1" s="1"/>
  <c r="P1256" i="1"/>
  <c r="N1256" i="1" s="1"/>
  <c r="P1253" i="1"/>
  <c r="N1253" i="1" s="1"/>
  <c r="P1299" i="1"/>
  <c r="N1299" i="1" s="1"/>
  <c r="P1292" i="1"/>
  <c r="N1292" i="1" s="1"/>
  <c r="P1334" i="1"/>
  <c r="N1334" i="1" s="1"/>
  <c r="P1325" i="1"/>
  <c r="N1325" i="1" s="1"/>
  <c r="P1374" i="1"/>
  <c r="N1374" i="1" s="1"/>
  <c r="P1375" i="1"/>
  <c r="N1375" i="1" s="1"/>
  <c r="P1402" i="1"/>
  <c r="N1402" i="1" s="1"/>
  <c r="P1418" i="1"/>
  <c r="N1418" i="1" s="1"/>
  <c r="P1445" i="1"/>
  <c r="N1445" i="1" s="1"/>
  <c r="P1446" i="1"/>
  <c r="N1446" i="1" s="1"/>
  <c r="P1476" i="1"/>
  <c r="N1476" i="1" s="1"/>
  <c r="P1468" i="1"/>
  <c r="N1468" i="1" s="1"/>
  <c r="P1507" i="1"/>
  <c r="N1507" i="1" s="1"/>
  <c r="P1508" i="1"/>
  <c r="N1508" i="1" s="1"/>
  <c r="P1541" i="1"/>
  <c r="N1541" i="1" s="1"/>
  <c r="P1542" i="1"/>
  <c r="N1542" i="1" s="1"/>
  <c r="P1587" i="1"/>
  <c r="N1587" i="1" s="1"/>
  <c r="P1588" i="1"/>
  <c r="N1588" i="1" s="1"/>
  <c r="P1616" i="1"/>
  <c r="N1616" i="1" s="1"/>
  <c r="P1617" i="1"/>
  <c r="N1617" i="1" s="1"/>
  <c r="P1660" i="1"/>
  <c r="N1660" i="1" s="1"/>
  <c r="P1643" i="1"/>
  <c r="N1643" i="1" s="1"/>
  <c r="P1713" i="1"/>
  <c r="N1713" i="1" s="1"/>
  <c r="P1714" i="1"/>
  <c r="N1714" i="1" s="1"/>
  <c r="P1718" i="1"/>
  <c r="N1718" i="1" s="1"/>
  <c r="P1719" i="1"/>
  <c r="N1719" i="1" s="1"/>
  <c r="P1788" i="1"/>
  <c r="N1788" i="1" s="1"/>
  <c r="P1787" i="1"/>
  <c r="N1787" i="1" s="1"/>
  <c r="P1807" i="1"/>
  <c r="N1807" i="1" s="1"/>
  <c r="P1808" i="1"/>
  <c r="N1808" i="1" s="1"/>
  <c r="P1843" i="1"/>
  <c r="N1843" i="1" s="1"/>
  <c r="P1844" i="1"/>
  <c r="N1844" i="1" s="1"/>
  <c r="P1866" i="1"/>
  <c r="N1866" i="1" s="1"/>
  <c r="P1870" i="1"/>
  <c r="N1870" i="1" s="1"/>
  <c r="P1921" i="1"/>
  <c r="N1921" i="1" s="1"/>
  <c r="P1900" i="1"/>
  <c r="N1900" i="1" s="1"/>
  <c r="P1940" i="1"/>
  <c r="N1940" i="1" s="1"/>
  <c r="P1941" i="1"/>
  <c r="N1941" i="1" s="1"/>
  <c r="P1975" i="1"/>
  <c r="N1975" i="1" s="1"/>
  <c r="P1977" i="1"/>
  <c r="N1977" i="1" s="1"/>
  <c r="P2022" i="1"/>
  <c r="N2022" i="1" s="1"/>
  <c r="P2023" i="1"/>
  <c r="N2023" i="1" s="1"/>
  <c r="P2057" i="1"/>
  <c r="N2057" i="1" s="1"/>
  <c r="P2058" i="1"/>
  <c r="N2058" i="1" s="1"/>
  <c r="P2081" i="1"/>
  <c r="N2081" i="1" s="1"/>
  <c r="P2082" i="1"/>
  <c r="N2082" i="1" s="1"/>
  <c r="P2107" i="1"/>
  <c r="N2107" i="1" s="1"/>
  <c r="P2098" i="1"/>
  <c r="N2098" i="1" s="1"/>
  <c r="P2122" i="1"/>
  <c r="N2122" i="1" s="1"/>
  <c r="P2123" i="1"/>
  <c r="N2123" i="1" s="1"/>
  <c r="P2146" i="1"/>
  <c r="N2146" i="1" s="1"/>
  <c r="P2147" i="1"/>
  <c r="N2147" i="1" s="1"/>
  <c r="P2163" i="1"/>
  <c r="N2163" i="1" s="1"/>
  <c r="P2153" i="1"/>
  <c r="N2153" i="1" s="1"/>
  <c r="P2221" i="1"/>
  <c r="N2221" i="1" s="1"/>
  <c r="P2222" i="1"/>
  <c r="N2222" i="1" s="1"/>
  <c r="P2234" i="1"/>
  <c r="N2234" i="1" s="1"/>
  <c r="P2235" i="1"/>
  <c r="N2235" i="1" s="1"/>
  <c r="P2334" i="1"/>
  <c r="N2334" i="1" s="1"/>
  <c r="P2335" i="1"/>
  <c r="N2335" i="1" s="1"/>
  <c r="P2370" i="1"/>
  <c r="N2370" i="1" s="1"/>
  <c r="P2371" i="1"/>
  <c r="N2371" i="1" s="1"/>
  <c r="P2385" i="1"/>
  <c r="N2385" i="1" s="1"/>
  <c r="P2377" i="1"/>
  <c r="N2377" i="1" s="1"/>
  <c r="P2419" i="1"/>
  <c r="N2419" i="1" s="1"/>
  <c r="P2421" i="1"/>
  <c r="N2421" i="1" s="1"/>
  <c r="P2465" i="1"/>
  <c r="N2465" i="1" s="1"/>
  <c r="P2450" i="1"/>
  <c r="N2450" i="1" s="1"/>
  <c r="P2474" i="1"/>
  <c r="N2474" i="1" s="1"/>
  <c r="P2482" i="1"/>
  <c r="N2482" i="1" s="1"/>
  <c r="P2540" i="1"/>
  <c r="N2540" i="1" s="1"/>
  <c r="P2541" i="1"/>
  <c r="N2541" i="1" s="1"/>
  <c r="P2577" i="1"/>
  <c r="N2577" i="1" s="1"/>
  <c r="P2553" i="1"/>
  <c r="N2553" i="1" s="1"/>
  <c r="P2585" i="1"/>
  <c r="N2585" i="1" s="1"/>
  <c r="P2586" i="1"/>
  <c r="N2586" i="1" s="1"/>
  <c r="P2635" i="1"/>
  <c r="N2635" i="1" s="1"/>
  <c r="P2636" i="1"/>
  <c r="N2636" i="1" s="1"/>
  <c r="P2646" i="1"/>
  <c r="N2646" i="1" s="1"/>
  <c r="P2647" i="1"/>
  <c r="N2647" i="1" s="1"/>
  <c r="P2678" i="1"/>
  <c r="N2678" i="1" s="1"/>
  <c r="P2674" i="1"/>
  <c r="N2674" i="1" s="1"/>
  <c r="P2714" i="1"/>
  <c r="N2714" i="1" s="1"/>
  <c r="P2715" i="1"/>
  <c r="N2715" i="1" s="1"/>
  <c r="P2756" i="1"/>
  <c r="N2756" i="1" s="1"/>
  <c r="P2754" i="1"/>
  <c r="N2754" i="1" s="1"/>
  <c r="P2812" i="1"/>
  <c r="N2812" i="1" s="1"/>
  <c r="P2813" i="1"/>
  <c r="N2813" i="1" s="1"/>
  <c r="P2837" i="1"/>
  <c r="N2837" i="1" s="1"/>
  <c r="P2838" i="1"/>
  <c r="N2838" i="1" s="1"/>
  <c r="P2864" i="1"/>
  <c r="N2864" i="1" s="1"/>
  <c r="P2865" i="1"/>
  <c r="N2865" i="1" s="1"/>
  <c r="P4928" i="1"/>
  <c r="N4928" i="1" s="1"/>
  <c r="P4929" i="1"/>
  <c r="N4929" i="1" s="1"/>
  <c r="P4990" i="1"/>
  <c r="N4990" i="1" s="1"/>
  <c r="P4968" i="1"/>
  <c r="N4968" i="1" s="1"/>
  <c r="P2895" i="1"/>
  <c r="N2895" i="1" s="1"/>
  <c r="P2891" i="1"/>
  <c r="N2891" i="1" s="1"/>
  <c r="P2967" i="1"/>
  <c r="N2967" i="1" s="1"/>
  <c r="P2964" i="1"/>
  <c r="N2964" i="1" s="1"/>
  <c r="P2999" i="1"/>
  <c r="N2999" i="1" s="1"/>
  <c r="P2981" i="1"/>
  <c r="N2981" i="1" s="1"/>
  <c r="P3018" i="1"/>
  <c r="N3018" i="1" s="1"/>
  <c r="P3019" i="1"/>
  <c r="N3019" i="1" s="1"/>
  <c r="P3053" i="1"/>
  <c r="N3053" i="1" s="1"/>
  <c r="P3051" i="1"/>
  <c r="N3051" i="1" s="1"/>
  <c r="P3099" i="1"/>
  <c r="N3099" i="1" s="1"/>
  <c r="P3102" i="1"/>
  <c r="N3102" i="1" s="1"/>
  <c r="P3148" i="1"/>
  <c r="N3148" i="1" s="1"/>
  <c r="P3149" i="1"/>
  <c r="N3149" i="1" s="1"/>
  <c r="P3204" i="1"/>
  <c r="N3204" i="1" s="1"/>
  <c r="P3205" i="1"/>
  <c r="N3205" i="1" s="1"/>
  <c r="P3222" i="1"/>
  <c r="N3222" i="1" s="1"/>
  <c r="P3213" i="1"/>
  <c r="N3213" i="1" s="1"/>
  <c r="P3265" i="1"/>
  <c r="N3265" i="1" s="1"/>
  <c r="P3266" i="1"/>
  <c r="N3266" i="1" s="1"/>
  <c r="P3275" i="1"/>
  <c r="N3275" i="1" s="1"/>
  <c r="P3283" i="1"/>
  <c r="N3283" i="1" s="1"/>
  <c r="P3312" i="1"/>
  <c r="N3312" i="1" s="1"/>
  <c r="P3319" i="1"/>
  <c r="N3319" i="1" s="1"/>
  <c r="P3373" i="1"/>
  <c r="N3373" i="1" s="1"/>
  <c r="P3374" i="1"/>
  <c r="N3374" i="1" s="1"/>
  <c r="P3410" i="1"/>
  <c r="N3410" i="1" s="1"/>
  <c r="P3385" i="1"/>
  <c r="N3385" i="1" s="1"/>
  <c r="P3445" i="1"/>
  <c r="N3445" i="1" s="1"/>
  <c r="P3446" i="1"/>
  <c r="N3446" i="1" s="1"/>
  <c r="P3454" i="1"/>
  <c r="N3454" i="1" s="1"/>
  <c r="P3455" i="1"/>
  <c r="N3455" i="1" s="1"/>
  <c r="P3527" i="1"/>
  <c r="N3527" i="1" s="1"/>
  <c r="P3526" i="1"/>
  <c r="N3526" i="1" s="1"/>
  <c r="P3535" i="1"/>
  <c r="N3535" i="1" s="1"/>
  <c r="P3536" i="1"/>
  <c r="N3536" i="1" s="1"/>
  <c r="P3564" i="1"/>
  <c r="N3564" i="1" s="1"/>
  <c r="P3565" i="1"/>
  <c r="N3565" i="1" s="1"/>
  <c r="P3566" i="1"/>
  <c r="N3566" i="1" s="1"/>
  <c r="P3567" i="1"/>
  <c r="N3567" i="1" s="1"/>
  <c r="P3613" i="1"/>
  <c r="N3613" i="1" s="1"/>
  <c r="P3614" i="1"/>
  <c r="N3614" i="1" s="1"/>
  <c r="P3664" i="1"/>
  <c r="N3664" i="1" s="1"/>
  <c r="P3665" i="1"/>
  <c r="N3665" i="1" s="1"/>
  <c r="P3682" i="1"/>
  <c r="N3682" i="1" s="1"/>
  <c r="P3683" i="1"/>
  <c r="N3683" i="1" s="1"/>
  <c r="P3731" i="1"/>
  <c r="N3731" i="1" s="1"/>
  <c r="P3732" i="1"/>
  <c r="N3732" i="1" s="1"/>
  <c r="P3772" i="1"/>
  <c r="N3772" i="1" s="1"/>
  <c r="P3773" i="1"/>
  <c r="N3773" i="1" s="1"/>
  <c r="P3807" i="1"/>
  <c r="N3807" i="1" s="1"/>
  <c r="P3808" i="1"/>
  <c r="N3808" i="1" s="1"/>
  <c r="P3837" i="1"/>
  <c r="N3837" i="1" s="1"/>
  <c r="P3838" i="1"/>
  <c r="N3838" i="1" s="1"/>
  <c r="P1321" i="1"/>
  <c r="N1321" i="1" s="1"/>
  <c r="P1393" i="1"/>
  <c r="N1393" i="1" s="1"/>
  <c r="P3499" i="1"/>
  <c r="N3499" i="1" s="1"/>
  <c r="P3495" i="1"/>
  <c r="N3495" i="1" s="1"/>
  <c r="P3517" i="1"/>
  <c r="N3517" i="1" s="1"/>
  <c r="P2840" i="1"/>
  <c r="N2840" i="1" s="1"/>
  <c r="P1216" i="1"/>
  <c r="N1216" i="1" s="1"/>
  <c r="P3501" i="1"/>
  <c r="N3501" i="1" s="1"/>
  <c r="P3512" i="1"/>
  <c r="N3512" i="1" s="1"/>
  <c r="P3523" i="1"/>
  <c r="N3523" i="1" s="1"/>
  <c r="P3524" i="1"/>
  <c r="N3524" i="1" s="1"/>
  <c r="P3516" i="1"/>
  <c r="N3516" i="1" s="1"/>
  <c r="P375" i="1"/>
  <c r="N375" i="1" s="1"/>
  <c r="P3503" i="1"/>
  <c r="N3503" i="1" s="1"/>
  <c r="P3483" i="1"/>
  <c r="N3483" i="1" s="1"/>
  <c r="P3502" i="1"/>
  <c r="N3502" i="1" s="1"/>
  <c r="P307" i="1"/>
  <c r="N307" i="1" s="1"/>
  <c r="P762" i="1"/>
  <c r="N762" i="1" s="1"/>
  <c r="P2267" i="1"/>
  <c r="N2267" i="1" s="1"/>
  <c r="P2648" i="1"/>
  <c r="N2648" i="1" s="1"/>
  <c r="P3111" i="1"/>
  <c r="N3111" i="1" s="1"/>
  <c r="P1338" i="1"/>
  <c r="N1338" i="1" s="1"/>
  <c r="P1766" i="1"/>
  <c r="N1766" i="1" s="1"/>
  <c r="P2649" i="1"/>
  <c r="N2649" i="1" s="1"/>
  <c r="P42" i="1"/>
  <c r="N42" i="1" s="1"/>
  <c r="P1874" i="1"/>
  <c r="N1874" i="1" s="1"/>
  <c r="N62" i="1" l="1"/>
  <c r="C9" i="47" s="1"/>
  <c r="Q2048" i="9"/>
  <c r="N3" i="1"/>
  <c r="P2032" i="9"/>
  <c r="R2032" i="9" s="1" a="1"/>
  <c r="R2032" i="9" s="1"/>
  <c r="P2045" i="9"/>
  <c r="R2045" i="9" s="1" a="1"/>
  <c r="R2045" i="9" s="1"/>
  <c r="P2037" i="9"/>
  <c r="R2037" i="9" s="1" a="1"/>
  <c r="R2037" i="9" s="1"/>
  <c r="P2051" i="9"/>
  <c r="R2051" i="9" s="1" a="1"/>
  <c r="R2051" i="9" s="1"/>
  <c r="Q2046" i="9"/>
  <c r="Q2041" i="9"/>
  <c r="Q2047" i="9"/>
  <c r="Q2038" i="9"/>
  <c r="P2040" i="9"/>
  <c r="R2040" i="9" s="1" a="1"/>
  <c r="R2040" i="9" s="1"/>
  <c r="P2050" i="9"/>
  <c r="R2050" i="9" s="1" a="1"/>
  <c r="R2050" i="9" s="1"/>
  <c r="P2028" i="9"/>
  <c r="R2028" i="9" s="1" a="1"/>
  <c r="R2028" i="9" s="1"/>
  <c r="P2041" i="9"/>
  <c r="R2041" i="9" s="1" a="1"/>
  <c r="R2041" i="9" s="1"/>
  <c r="P2031" i="9"/>
  <c r="R2031" i="9" s="1" a="1"/>
  <c r="R2031" i="9" s="1"/>
  <c r="P2047" i="9"/>
  <c r="R2047" i="9" s="1" a="1"/>
  <c r="R2047" i="9" s="1"/>
  <c r="P2052" i="9"/>
  <c r="R2052" i="9" s="1" a="1"/>
  <c r="R2052" i="9" s="1"/>
  <c r="Q2050" i="9"/>
  <c r="Q2043" i="9"/>
  <c r="P2054" i="9"/>
  <c r="R2054" i="9" s="1" a="1"/>
  <c r="R2054" i="9" s="1"/>
  <c r="Q2054" i="9"/>
  <c r="Q2044" i="9"/>
  <c r="P2053" i="9"/>
  <c r="R2053" i="9" s="1" a="1"/>
  <c r="R2053" i="9" s="1"/>
  <c r="Q2034" i="9"/>
  <c r="P2027" i="9"/>
  <c r="R2027" i="9" s="1" a="1"/>
  <c r="R2027" i="9" s="1"/>
  <c r="P2043" i="9"/>
  <c r="R2043" i="9" s="1" a="1"/>
  <c r="R2043" i="9" s="1"/>
  <c r="P2042" i="9"/>
  <c r="R2042" i="9" s="1" a="1"/>
  <c r="R2042" i="9" s="1"/>
  <c r="Q2045" i="9"/>
  <c r="Q2039" i="9"/>
  <c r="P2029" i="9"/>
  <c r="R2029" i="9" s="1" a="1"/>
  <c r="R2029" i="9" s="1"/>
  <c r="Q2037" i="9"/>
  <c r="P2038" i="9"/>
  <c r="R2038" i="9" s="1" a="1"/>
  <c r="R2038" i="9" s="1"/>
  <c r="Q2051" i="9"/>
  <c r="P2049" i="9"/>
  <c r="R2049" i="9" s="1" a="1"/>
  <c r="R2049" i="9" s="1"/>
  <c r="P2030" i="9"/>
  <c r="R2030" i="9" s="1" a="1"/>
  <c r="R2030" i="9" s="1"/>
  <c r="Q2052" i="9"/>
  <c r="P2039" i="9"/>
  <c r="R2039" i="9" s="1" a="1"/>
  <c r="R2039" i="9" s="1"/>
  <c r="P2036" i="9"/>
  <c r="R2036" i="9" s="1" a="1"/>
  <c r="R2036" i="9" s="1"/>
  <c r="Q2040" i="9"/>
  <c r="Q2035" i="9"/>
  <c r="P2046" i="9"/>
  <c r="R2046" i="9" s="1" a="1"/>
  <c r="R2046" i="9" s="1"/>
  <c r="P2034" i="9"/>
  <c r="R2034" i="9" s="1" a="1"/>
  <c r="R2034" i="9" s="1"/>
  <c r="Q2049" i="9"/>
  <c r="P2033" i="9"/>
  <c r="R2033" i="9" s="1" a="1"/>
  <c r="R2033" i="9" s="1"/>
  <c r="P2055" i="9"/>
  <c r="R2055" i="9" s="1" a="1"/>
  <c r="R2055" i="9" s="1"/>
  <c r="P2048" i="9"/>
  <c r="R2048" i="9" s="1" a="1"/>
  <c r="R2048" i="9" s="1"/>
  <c r="P2035" i="9"/>
  <c r="R2035" i="9" s="1" a="1"/>
  <c r="R2035" i="9" s="1"/>
  <c r="Q2053" i="9"/>
  <c r="P2044" i="9"/>
  <c r="R2044" i="9" s="1" a="1"/>
  <c r="R2044" i="9" s="1"/>
  <c r="Q2042" i="9"/>
  <c r="Q2055" i="9"/>
  <c r="Q2036" i="9"/>
  <c r="P2026" i="9"/>
  <c r="R2026" i="9" s="1" a="1"/>
  <c r="R2026" i="9" s="1"/>
  <c r="P2025" i="9"/>
  <c r="R2025" i="9" s="1" a="1"/>
  <c r="R2025" i="9" s="1"/>
  <c r="P1990" i="9"/>
  <c r="R1990" i="9" s="1" a="1"/>
  <c r="R1990" i="9" s="1"/>
  <c r="P1993" i="9"/>
  <c r="R1993" i="9" s="1" a="1"/>
  <c r="R1993" i="9" s="1"/>
  <c r="P1983" i="9"/>
  <c r="R1983" i="9" s="1" a="1"/>
  <c r="R1983" i="9" s="1"/>
  <c r="P1982" i="9"/>
  <c r="R1982" i="9" s="1" a="1"/>
  <c r="R1982" i="9" s="1"/>
  <c r="P2016" i="9"/>
  <c r="R2016" i="9" s="1" a="1"/>
  <c r="R2016" i="9" s="1"/>
  <c r="P2019" i="9"/>
  <c r="R2019" i="9" s="1" a="1"/>
  <c r="R2019" i="9" s="1"/>
  <c r="P1994" i="9"/>
  <c r="R1994" i="9" s="1" a="1"/>
  <c r="R1994" i="9" s="1"/>
  <c r="P2015" i="9"/>
  <c r="R2015" i="9" s="1" a="1"/>
  <c r="R2015" i="9" s="1"/>
  <c r="P2024" i="9"/>
  <c r="R2024" i="9" s="1" a="1"/>
  <c r="R2024" i="9" s="1"/>
  <c r="P1986" i="9"/>
  <c r="R1986" i="9" s="1" a="1"/>
  <c r="R1986" i="9" s="1"/>
  <c r="P2014" i="9"/>
  <c r="R2014" i="9" s="1" a="1"/>
  <c r="R2014" i="9" s="1"/>
  <c r="P1995" i="9"/>
  <c r="R1995" i="9" s="1" a="1"/>
  <c r="R1995" i="9" s="1"/>
  <c r="P2006" i="9"/>
  <c r="R2006" i="9" s="1" a="1"/>
  <c r="R2006" i="9" s="1"/>
  <c r="P1996" i="9"/>
  <c r="R1996" i="9" s="1" a="1"/>
  <c r="R1996" i="9" s="1"/>
  <c r="P1998" i="9"/>
  <c r="R1998" i="9" s="1" a="1"/>
  <c r="R1998" i="9" s="1"/>
  <c r="P2010" i="9"/>
  <c r="R2010" i="9" s="1" a="1"/>
  <c r="R2010" i="9" s="1"/>
  <c r="P2009" i="9"/>
  <c r="R2009" i="9" s="1" a="1"/>
  <c r="R2009" i="9" s="1"/>
  <c r="P2001" i="9"/>
  <c r="R2001" i="9" s="1" a="1"/>
  <c r="R2001" i="9" s="1"/>
  <c r="P2021" i="9"/>
  <c r="R2021" i="9" s="1" a="1"/>
  <c r="R2021" i="9" s="1"/>
  <c r="P1992" i="9"/>
  <c r="R1992" i="9" s="1" a="1"/>
  <c r="R1992" i="9" s="1"/>
  <c r="P2000" i="9"/>
  <c r="R2000" i="9" s="1" a="1"/>
  <c r="R2000" i="9" s="1"/>
  <c r="P2020" i="9"/>
  <c r="R2020" i="9" s="1" a="1"/>
  <c r="R2020" i="9" s="1"/>
  <c r="P2003" i="9"/>
  <c r="R2003" i="9" s="1" a="1"/>
  <c r="R2003" i="9" s="1"/>
  <c r="P1985" i="9"/>
  <c r="R1985" i="9" s="1" a="1"/>
  <c r="R1985" i="9" s="1"/>
  <c r="P2013" i="9"/>
  <c r="R2013" i="9" s="1" a="1"/>
  <c r="R2013" i="9" s="1"/>
  <c r="P2008" i="9"/>
  <c r="R2008" i="9" s="1" a="1"/>
  <c r="R2008" i="9" s="1"/>
  <c r="P1987" i="9"/>
  <c r="R1987" i="9" s="1" a="1"/>
  <c r="R1987" i="9" s="1"/>
  <c r="P2007" i="9"/>
  <c r="R2007" i="9" s="1" a="1"/>
  <c r="R2007" i="9" s="1"/>
  <c r="P2002" i="9"/>
  <c r="R2002" i="9" s="1" a="1"/>
  <c r="R2002" i="9" s="1"/>
  <c r="P1999" i="9"/>
  <c r="R1999" i="9" s="1" a="1"/>
  <c r="R1999" i="9" s="1"/>
  <c r="P1988" i="9"/>
  <c r="R1988" i="9" s="1" a="1"/>
  <c r="R1988" i="9" s="1"/>
  <c r="P2022" i="9"/>
  <c r="R2022" i="9" s="1" a="1"/>
  <c r="R2022" i="9" s="1"/>
  <c r="P2012" i="9"/>
  <c r="R2012" i="9" s="1" a="1"/>
  <c r="R2012" i="9" s="1"/>
  <c r="P2017" i="9"/>
  <c r="R2017" i="9" s="1" a="1"/>
  <c r="R2017" i="9" s="1"/>
  <c r="P1984" i="9"/>
  <c r="R1984" i="9" s="1" a="1"/>
  <c r="R1984" i="9" s="1"/>
  <c r="P2023" i="9"/>
  <c r="R2023" i="9" s="1" a="1"/>
  <c r="R2023" i="9" s="1"/>
  <c r="P2005" i="9"/>
  <c r="R2005" i="9" s="1" a="1"/>
  <c r="R2005" i="9" s="1"/>
  <c r="P2004" i="9"/>
  <c r="R2004" i="9" s="1" a="1"/>
  <c r="R2004" i="9" s="1"/>
  <c r="P1997" i="9"/>
  <c r="R1997" i="9" s="1" a="1"/>
  <c r="R1997" i="9" s="1"/>
  <c r="P2018" i="9"/>
  <c r="R2018" i="9" s="1" a="1"/>
  <c r="R2018" i="9" s="1"/>
  <c r="P1989" i="9"/>
  <c r="R1989" i="9" s="1" a="1"/>
  <c r="R1989" i="9" s="1"/>
  <c r="P1991" i="9"/>
  <c r="R1991" i="9" s="1" a="1"/>
  <c r="R1991" i="9" s="1"/>
  <c r="P2011" i="9"/>
  <c r="R2011" i="9" s="1" a="1"/>
  <c r="R2011" i="9" s="1"/>
  <c r="X11" i="48"/>
  <c r="AA16" i="50"/>
  <c r="AA16" i="59"/>
  <c r="AA16" i="60"/>
  <c r="AA16" i="58"/>
  <c r="AA18" i="59"/>
  <c r="AA18" i="60"/>
  <c r="AA18" i="50"/>
  <c r="AA18" i="58"/>
  <c r="AA15" i="54"/>
  <c r="AA15" i="51"/>
  <c r="AB23" i="50"/>
  <c r="AB23" i="59"/>
  <c r="AB23" i="58"/>
  <c r="AB23" i="60"/>
  <c r="AA19" i="59"/>
  <c r="AA19" i="58"/>
  <c r="AA19" i="50"/>
  <c r="AA19" i="60"/>
  <c r="AA14" i="51"/>
  <c r="AA14" i="54"/>
  <c r="AA18" i="54"/>
  <c r="AA18" i="51"/>
  <c r="AA17" i="58"/>
  <c r="AA17" i="50"/>
  <c r="AA17" i="60"/>
  <c r="AA17" i="59"/>
  <c r="AA21" i="58"/>
  <c r="AA21" i="50"/>
  <c r="AA21" i="60"/>
  <c r="AA21" i="59"/>
  <c r="AA20" i="60"/>
  <c r="AA20" i="59"/>
  <c r="AA20" i="58"/>
  <c r="AA20" i="50"/>
  <c r="Z18" i="59"/>
  <c r="Z18" i="60"/>
  <c r="Z18" i="50"/>
  <c r="Z18" i="58"/>
  <c r="Z20" i="60"/>
  <c r="Z20" i="58"/>
  <c r="Z20" i="50"/>
  <c r="Z20" i="59"/>
  <c r="Z19" i="50"/>
  <c r="Z19" i="59"/>
  <c r="Z19" i="58"/>
  <c r="Z19" i="60"/>
  <c r="Z15" i="54"/>
  <c r="Z15" i="51"/>
  <c r="AA13" i="54"/>
  <c r="AA13" i="51"/>
  <c r="AA16" i="54"/>
  <c r="AB16" i="54" s="1"/>
  <c r="AA16" i="51"/>
  <c r="AB16" i="51" s="1"/>
  <c r="AA19" i="54"/>
  <c r="AA19" i="51"/>
  <c r="Z19" i="51"/>
  <c r="Z19" i="54"/>
  <c r="AB22" i="51"/>
  <c r="AB26" i="58"/>
  <c r="AB22" i="54"/>
  <c r="AB26" i="60"/>
  <c r="AB26" i="59"/>
  <c r="Z16" i="58"/>
  <c r="Z16" i="50"/>
  <c r="Z16" i="59"/>
  <c r="Z16" i="60"/>
  <c r="Z21" i="50"/>
  <c r="Z21" i="59"/>
  <c r="Z21" i="58"/>
  <c r="Z21" i="60"/>
  <c r="Z14" i="51"/>
  <c r="Z14" i="54"/>
  <c r="Z13" i="51"/>
  <c r="Z13" i="54"/>
  <c r="Z18" i="54"/>
  <c r="Z18" i="51"/>
  <c r="Z17" i="60"/>
  <c r="Z17" i="50"/>
  <c r="Z17" i="58"/>
  <c r="Z17" i="59"/>
  <c r="AB26" i="50"/>
  <c r="P1972" i="9"/>
  <c r="R1972" i="9" s="1" a="1"/>
  <c r="R1972" i="9" s="1"/>
  <c r="P1976" i="9"/>
  <c r="R1976" i="9" s="1" a="1"/>
  <c r="R1976" i="9" s="1"/>
  <c r="P1980" i="9"/>
  <c r="R1980" i="9" s="1" a="1"/>
  <c r="R1980" i="9" s="1"/>
  <c r="P1973" i="9"/>
  <c r="R1973" i="9" s="1" a="1"/>
  <c r="R1973" i="9" s="1"/>
  <c r="P1977" i="9"/>
  <c r="R1977" i="9" s="1" a="1"/>
  <c r="R1977" i="9" s="1"/>
  <c r="P1981" i="9"/>
  <c r="R1981" i="9" s="1" a="1"/>
  <c r="R1981" i="9" s="1"/>
  <c r="P1974" i="9"/>
  <c r="R1974" i="9" s="1" a="1"/>
  <c r="R1974" i="9" s="1"/>
  <c r="P1978" i="9"/>
  <c r="R1978" i="9" s="1" a="1"/>
  <c r="R1978" i="9" s="1"/>
  <c r="P1975" i="9"/>
  <c r="R1975" i="9" s="1" a="1"/>
  <c r="R1975" i="9" s="1"/>
  <c r="P1979" i="9"/>
  <c r="R1979" i="9" s="1" a="1"/>
  <c r="R1979" i="9" s="1"/>
  <c r="P1971" i="9"/>
  <c r="R1971" i="9" s="1" a="1"/>
  <c r="R1971" i="9" s="1"/>
  <c r="P1970" i="9"/>
  <c r="R1970" i="9" s="1" a="1"/>
  <c r="R1970" i="9" s="1"/>
  <c r="P1969" i="9"/>
  <c r="R1969" i="9" s="1" a="1"/>
  <c r="R1969" i="9" s="1"/>
  <c r="J1874" i="1"/>
  <c r="R1874" i="1" s="1"/>
  <c r="K1874" i="1"/>
  <c r="AB21" i="60" l="1"/>
  <c r="AB15" i="54"/>
  <c r="AB17" i="60"/>
  <c r="AB18" i="51"/>
  <c r="AB21" i="59"/>
  <c r="AB21" i="50"/>
  <c r="AB18" i="60"/>
  <c r="AB14" i="54"/>
  <c r="AB20" i="60"/>
  <c r="AB19" i="50"/>
  <c r="AB17" i="58"/>
  <c r="AB18" i="50"/>
  <c r="AB20" i="58"/>
  <c r="AB18" i="58"/>
  <c r="AB17" i="50"/>
  <c r="AB19" i="58"/>
  <c r="AB19" i="59"/>
  <c r="AB18" i="59"/>
  <c r="AB18" i="54"/>
  <c r="AB14" i="51"/>
  <c r="AB21" i="58"/>
  <c r="AB20" i="59"/>
  <c r="AA22" i="59"/>
  <c r="Z17" i="51"/>
  <c r="Z21" i="51" s="1"/>
  <c r="AB13" i="51"/>
  <c r="Z22" i="59"/>
  <c r="AB16" i="59"/>
  <c r="AB19" i="54"/>
  <c r="AB15" i="51"/>
  <c r="AB17" i="59"/>
  <c r="Z22" i="50"/>
  <c r="AB16" i="50"/>
  <c r="AB19" i="51"/>
  <c r="AB16" i="58"/>
  <c r="Z22" i="58"/>
  <c r="AB19" i="60"/>
  <c r="AA22" i="58"/>
  <c r="AA22" i="60"/>
  <c r="Z17" i="54"/>
  <c r="Z21" i="54" s="1"/>
  <c r="AB13" i="54"/>
  <c r="AB16" i="60"/>
  <c r="Z22" i="60"/>
  <c r="AB20" i="50"/>
  <c r="AA22" i="50"/>
  <c r="J42" i="1"/>
  <c r="R42" i="1" s="1"/>
  <c r="K42" i="1"/>
  <c r="AB17" i="54" l="1"/>
  <c r="AB21" i="54" s="1"/>
  <c r="AB22" i="58"/>
  <c r="AB22" i="60"/>
  <c r="AB17" i="51"/>
  <c r="AB21" i="51" s="1"/>
  <c r="AB22" i="50"/>
  <c r="AB22" i="59"/>
  <c r="K2649" i="1"/>
  <c r="J2649" i="1"/>
  <c r="R2649" i="1" s="1"/>
  <c r="K1766" i="1"/>
  <c r="J1766" i="1"/>
  <c r="R1766" i="1" s="1"/>
  <c r="K1338" i="1"/>
  <c r="J1338" i="1"/>
  <c r="R1338" i="1" s="1"/>
  <c r="J3111" i="1"/>
  <c r="R3111" i="1" s="1"/>
  <c r="K3111" i="1"/>
  <c r="J2648" i="1"/>
  <c r="R2648" i="1" s="1"/>
  <c r="K2648" i="1"/>
  <c r="K2267" i="1"/>
  <c r="J2267" i="1"/>
  <c r="R2267" i="1" s="1"/>
  <c r="P219" i="9" l="1"/>
  <c r="R219" i="9" s="1" a="1"/>
  <c r="R219" i="9" s="1"/>
  <c r="P273" i="9"/>
  <c r="R273" i="9" s="1" a="1"/>
  <c r="R273" i="9" s="1"/>
  <c r="P329" i="9"/>
  <c r="R329" i="9" s="1" a="1"/>
  <c r="R329" i="9" s="1"/>
  <c r="P418" i="9"/>
  <c r="R418" i="9" s="1" a="1"/>
  <c r="R418" i="9" s="1"/>
  <c r="P538" i="9"/>
  <c r="R538" i="9" s="1" a="1"/>
  <c r="R538" i="9" s="1"/>
  <c r="P616" i="9"/>
  <c r="R616" i="9" s="1" a="1"/>
  <c r="R616" i="9" s="1"/>
  <c r="P672" i="9"/>
  <c r="R672" i="9" s="1" a="1"/>
  <c r="R672" i="9" s="1"/>
  <c r="P728" i="9"/>
  <c r="R728" i="9" s="1" a="1"/>
  <c r="R728" i="9" s="1"/>
  <c r="P784" i="9"/>
  <c r="R784" i="9" s="1" a="1"/>
  <c r="R784" i="9" s="1"/>
  <c r="P856" i="9"/>
  <c r="R856" i="9" s="1" a="1"/>
  <c r="R856" i="9" s="1"/>
  <c r="P912" i="9"/>
  <c r="R912" i="9" s="1" a="1"/>
  <c r="R912" i="9" s="1"/>
  <c r="P960" i="9"/>
  <c r="R960" i="9" s="1" a="1"/>
  <c r="R960" i="9" s="1"/>
  <c r="P1024" i="9"/>
  <c r="R1024" i="9" s="1" a="1"/>
  <c r="R1024" i="9" s="1"/>
  <c r="P1080" i="9"/>
  <c r="R1080" i="9" s="1" a="1"/>
  <c r="R1080" i="9" s="1"/>
  <c r="P1128" i="9"/>
  <c r="R1128" i="9" s="1" a="1"/>
  <c r="R1128" i="9" s="1"/>
  <c r="P1192" i="9"/>
  <c r="R1192" i="9" s="1" a="1"/>
  <c r="R1192" i="9" s="1"/>
  <c r="P1248" i="9"/>
  <c r="R1248" i="9" s="1" a="1"/>
  <c r="R1248" i="9" s="1"/>
  <c r="P1288" i="9"/>
  <c r="R1288" i="9" s="1" a="1"/>
  <c r="R1288" i="9" s="1"/>
  <c r="P1344" i="9"/>
  <c r="R1344" i="9" s="1" a="1"/>
  <c r="R1344" i="9" s="1"/>
  <c r="P1400" i="9"/>
  <c r="R1400" i="9" s="1" a="1"/>
  <c r="R1400" i="9" s="1"/>
  <c r="P1472" i="9"/>
  <c r="R1472" i="9" s="1" a="1"/>
  <c r="R1472" i="9" s="1"/>
  <c r="P1552" i="9"/>
  <c r="R1552" i="9" s="1" a="1"/>
  <c r="R1552" i="9" s="1"/>
  <c r="P1592" i="9"/>
  <c r="R1592" i="9" s="1" a="1"/>
  <c r="R1592" i="9" s="1"/>
  <c r="P1648" i="9"/>
  <c r="R1648" i="9" s="1" a="1"/>
  <c r="R1648" i="9" s="1"/>
  <c r="P1680" i="9"/>
  <c r="R1680" i="9" s="1" a="1"/>
  <c r="R1680" i="9" s="1"/>
  <c r="P1744" i="9"/>
  <c r="R1744" i="9" s="1" a="1"/>
  <c r="R1744" i="9" s="1"/>
  <c r="P172" i="9"/>
  <c r="R172" i="9" s="1" a="1"/>
  <c r="R172" i="9" s="1"/>
  <c r="P180" i="9"/>
  <c r="R180" i="9" s="1" a="1"/>
  <c r="R180" i="9" s="1"/>
  <c r="P188" i="9"/>
  <c r="R188" i="9" s="1" a="1"/>
  <c r="R188" i="9" s="1"/>
  <c r="P196" i="9"/>
  <c r="R196" i="9" s="1" a="1"/>
  <c r="R196" i="9" s="1"/>
  <c r="P204" i="9"/>
  <c r="R204" i="9" s="1" a="1"/>
  <c r="R204" i="9" s="1"/>
  <c r="P212" i="9"/>
  <c r="R212" i="9" s="1" a="1"/>
  <c r="R212" i="9" s="1"/>
  <c r="P220" i="9"/>
  <c r="R220" i="9" s="1" a="1"/>
  <c r="R220" i="9" s="1"/>
  <c r="P228" i="9"/>
  <c r="R228" i="9" s="1" a="1"/>
  <c r="R228" i="9" s="1"/>
  <c r="P242" i="9"/>
  <c r="R242" i="9" s="1" a="1"/>
  <c r="R242" i="9" s="1"/>
  <c r="P250" i="9"/>
  <c r="R250" i="9" s="1" a="1"/>
  <c r="R250" i="9" s="1"/>
  <c r="Q250" i="9"/>
  <c r="P258" i="9"/>
  <c r="R258" i="9" s="1" a="1"/>
  <c r="R258" i="9" s="1"/>
  <c r="P266" i="9"/>
  <c r="R266" i="9" s="1" a="1"/>
  <c r="R266" i="9" s="1"/>
  <c r="P274" i="9"/>
  <c r="R274" i="9" s="1" a="1"/>
  <c r="R274" i="9" s="1"/>
  <c r="P282" i="9"/>
  <c r="R282" i="9" s="1" a="1"/>
  <c r="R282" i="9" s="1"/>
  <c r="P290" i="9"/>
  <c r="R290" i="9" s="1" a="1"/>
  <c r="R290" i="9" s="1"/>
  <c r="P298" i="9"/>
  <c r="R298" i="9" s="1" a="1"/>
  <c r="R298" i="9" s="1"/>
  <c r="P306" i="9"/>
  <c r="R306" i="9" s="1" a="1"/>
  <c r="R306" i="9" s="1"/>
  <c r="P314" i="9"/>
  <c r="R314" i="9" s="1" a="1"/>
  <c r="R314" i="9" s="1"/>
  <c r="P322" i="9"/>
  <c r="R322" i="9" s="1" a="1"/>
  <c r="R322" i="9" s="1"/>
  <c r="P330" i="9"/>
  <c r="R330" i="9" s="1" a="1"/>
  <c r="R330" i="9" s="1"/>
  <c r="P379" i="9"/>
  <c r="R379" i="9" s="1" a="1"/>
  <c r="R379" i="9" s="1"/>
  <c r="Q379" i="9"/>
  <c r="P387" i="9"/>
  <c r="R387" i="9" s="1" a="1"/>
  <c r="R387" i="9" s="1"/>
  <c r="Q387" i="9"/>
  <c r="P395" i="9"/>
  <c r="R395" i="9" s="1" a="1"/>
  <c r="R395" i="9" s="1"/>
  <c r="P403" i="9"/>
  <c r="R403" i="9" s="1" a="1"/>
  <c r="R403" i="9" s="1"/>
  <c r="P411" i="9"/>
  <c r="R411" i="9" s="1" a="1"/>
  <c r="R411" i="9" s="1"/>
  <c r="P419" i="9"/>
  <c r="R419" i="9" s="1" a="1"/>
  <c r="R419" i="9" s="1"/>
  <c r="P427" i="9"/>
  <c r="R427" i="9" s="1" a="1"/>
  <c r="R427" i="9" s="1"/>
  <c r="P451" i="9"/>
  <c r="R451" i="9" s="1" a="1"/>
  <c r="R451" i="9" s="1"/>
  <c r="P473" i="9"/>
  <c r="R473" i="9" s="1" a="1"/>
  <c r="R473" i="9" s="1"/>
  <c r="P487" i="9"/>
  <c r="R487" i="9" s="1" a="1"/>
  <c r="R487" i="9" s="1"/>
  <c r="P510" i="9"/>
  <c r="R510" i="9" s="1" a="1"/>
  <c r="R510" i="9" s="1"/>
  <c r="P524" i="9"/>
  <c r="R524" i="9" s="1" a="1"/>
  <c r="R524" i="9" s="1"/>
  <c r="P539" i="9"/>
  <c r="R539" i="9" s="1" a="1"/>
  <c r="R539" i="9" s="1"/>
  <c r="P553" i="9"/>
  <c r="R553" i="9" s="1" a="1"/>
  <c r="R553" i="9" s="1"/>
  <c r="Q571" i="9"/>
  <c r="P571" i="9"/>
  <c r="R571" i="9" s="1" a="1"/>
  <c r="R571" i="9" s="1"/>
  <c r="P585" i="9"/>
  <c r="R585" i="9" s="1" a="1"/>
  <c r="R585" i="9" s="1"/>
  <c r="P593" i="9"/>
  <c r="R593" i="9" s="1" a="1"/>
  <c r="R593" i="9" s="1"/>
  <c r="P601" i="9"/>
  <c r="R601" i="9" s="1" a="1"/>
  <c r="R601" i="9" s="1"/>
  <c r="Q601" i="9"/>
  <c r="P609" i="9"/>
  <c r="R609" i="9" s="1" a="1"/>
  <c r="R609" i="9" s="1"/>
  <c r="P617" i="9"/>
  <c r="R617" i="9" s="1" a="1"/>
  <c r="R617" i="9" s="1"/>
  <c r="P625" i="9"/>
  <c r="R625" i="9" s="1" a="1"/>
  <c r="R625" i="9" s="1"/>
  <c r="P633" i="9"/>
  <c r="R633" i="9" s="1" a="1"/>
  <c r="R633" i="9" s="1"/>
  <c r="P641" i="9"/>
  <c r="R641" i="9" s="1" a="1"/>
  <c r="R641" i="9" s="1"/>
  <c r="P649" i="9"/>
  <c r="R649" i="9" s="1" a="1"/>
  <c r="R649" i="9" s="1"/>
  <c r="P657" i="9"/>
  <c r="R657" i="9" s="1" a="1"/>
  <c r="R657" i="9" s="1"/>
  <c r="P665" i="9"/>
  <c r="R665" i="9" s="1" a="1"/>
  <c r="R665" i="9" s="1"/>
  <c r="P673" i="9"/>
  <c r="R673" i="9" s="1" a="1"/>
  <c r="R673" i="9" s="1"/>
  <c r="P681" i="9"/>
  <c r="R681" i="9" s="1" a="1"/>
  <c r="R681" i="9" s="1"/>
  <c r="P689" i="9"/>
  <c r="R689" i="9" s="1" a="1"/>
  <c r="R689" i="9" s="1"/>
  <c r="P697" i="9"/>
  <c r="R697" i="9" s="1" a="1"/>
  <c r="R697" i="9" s="1"/>
  <c r="P705" i="9"/>
  <c r="R705" i="9" s="1" a="1"/>
  <c r="R705" i="9" s="1"/>
  <c r="P713" i="9"/>
  <c r="R713" i="9" s="1" a="1"/>
  <c r="R713" i="9" s="1"/>
  <c r="P721" i="9"/>
  <c r="R721" i="9" s="1" a="1"/>
  <c r="R721" i="9" s="1"/>
  <c r="P729" i="9"/>
  <c r="R729" i="9" s="1" a="1"/>
  <c r="R729" i="9" s="1"/>
  <c r="P737" i="9"/>
  <c r="R737" i="9" s="1" a="1"/>
  <c r="R737" i="9" s="1"/>
  <c r="P745" i="9"/>
  <c r="R745" i="9" s="1" a="1"/>
  <c r="R745" i="9" s="1"/>
  <c r="P753" i="9"/>
  <c r="R753" i="9" s="1" a="1"/>
  <c r="R753" i="9" s="1"/>
  <c r="P761" i="9"/>
  <c r="R761" i="9" s="1" a="1"/>
  <c r="R761" i="9" s="1"/>
  <c r="P769" i="9"/>
  <c r="R769" i="9" s="1" a="1"/>
  <c r="R769" i="9" s="1"/>
  <c r="P777" i="9"/>
  <c r="R777" i="9" s="1" a="1"/>
  <c r="R777" i="9" s="1"/>
  <c r="P785" i="9"/>
  <c r="R785" i="9" s="1" a="1"/>
  <c r="R785" i="9" s="1"/>
  <c r="P793" i="9"/>
  <c r="R793" i="9" s="1" a="1"/>
  <c r="R793" i="9" s="1"/>
  <c r="P801" i="9"/>
  <c r="R801" i="9" s="1" a="1"/>
  <c r="R801" i="9" s="1"/>
  <c r="P809" i="9"/>
  <c r="R809" i="9" s="1" a="1"/>
  <c r="R809" i="9" s="1"/>
  <c r="P817" i="9"/>
  <c r="R817" i="9" s="1" a="1"/>
  <c r="R817" i="9" s="1"/>
  <c r="P825" i="9"/>
  <c r="R825" i="9" s="1" a="1"/>
  <c r="R825" i="9" s="1"/>
  <c r="P833" i="9"/>
  <c r="R833" i="9" s="1" a="1"/>
  <c r="R833" i="9" s="1"/>
  <c r="P841" i="9"/>
  <c r="R841" i="9" s="1" a="1"/>
  <c r="R841" i="9" s="1"/>
  <c r="P849" i="9"/>
  <c r="R849" i="9" s="1" a="1"/>
  <c r="R849" i="9" s="1"/>
  <c r="P857" i="9"/>
  <c r="R857" i="9" s="1" a="1"/>
  <c r="R857" i="9" s="1"/>
  <c r="P865" i="9"/>
  <c r="R865" i="9" s="1" a="1"/>
  <c r="R865" i="9" s="1"/>
  <c r="P873" i="9"/>
  <c r="R873" i="9" s="1" a="1"/>
  <c r="R873" i="9" s="1"/>
  <c r="P881" i="9"/>
  <c r="R881" i="9" s="1" a="1"/>
  <c r="R881" i="9" s="1"/>
  <c r="P889" i="9"/>
  <c r="R889" i="9" s="1" a="1"/>
  <c r="R889" i="9" s="1"/>
  <c r="P897" i="9"/>
  <c r="R897" i="9" s="1" a="1"/>
  <c r="R897" i="9" s="1"/>
  <c r="P905" i="9"/>
  <c r="R905" i="9" s="1" a="1"/>
  <c r="R905" i="9" s="1"/>
  <c r="P913" i="9"/>
  <c r="R913" i="9" s="1" a="1"/>
  <c r="R913" i="9" s="1"/>
  <c r="P921" i="9"/>
  <c r="R921" i="9" s="1" a="1"/>
  <c r="R921" i="9" s="1"/>
  <c r="P929" i="9"/>
  <c r="R929" i="9" s="1" a="1"/>
  <c r="R929" i="9" s="1"/>
  <c r="P937" i="9"/>
  <c r="R937" i="9" s="1" a="1"/>
  <c r="R937" i="9" s="1"/>
  <c r="P945" i="9"/>
  <c r="R945" i="9" s="1" a="1"/>
  <c r="R945" i="9" s="1"/>
  <c r="P953" i="9"/>
  <c r="R953" i="9" s="1" a="1"/>
  <c r="R953" i="9" s="1"/>
  <c r="P961" i="9"/>
  <c r="R961" i="9" s="1" a="1"/>
  <c r="R961" i="9" s="1"/>
  <c r="P969" i="9"/>
  <c r="R969" i="9" s="1" a="1"/>
  <c r="R969" i="9" s="1"/>
  <c r="P977" i="9"/>
  <c r="R977" i="9" s="1" a="1"/>
  <c r="R977" i="9" s="1"/>
  <c r="P985" i="9"/>
  <c r="R985" i="9" s="1" a="1"/>
  <c r="R985" i="9" s="1"/>
  <c r="P993" i="9"/>
  <c r="R993" i="9" s="1" a="1"/>
  <c r="R993" i="9" s="1"/>
  <c r="P1001" i="9"/>
  <c r="R1001" i="9" s="1" a="1"/>
  <c r="R1001" i="9" s="1"/>
  <c r="P1009" i="9"/>
  <c r="R1009" i="9" s="1" a="1"/>
  <c r="R1009" i="9" s="1"/>
  <c r="P1017" i="9"/>
  <c r="R1017" i="9" s="1" a="1"/>
  <c r="R1017" i="9" s="1"/>
  <c r="P1025" i="9"/>
  <c r="R1025" i="9" s="1" a="1"/>
  <c r="R1025" i="9" s="1"/>
  <c r="P1033" i="9"/>
  <c r="R1033" i="9" s="1" a="1"/>
  <c r="R1033" i="9" s="1"/>
  <c r="P1041" i="9"/>
  <c r="R1041" i="9" s="1" a="1"/>
  <c r="R1041" i="9" s="1"/>
  <c r="P1049" i="9"/>
  <c r="R1049" i="9" s="1" a="1"/>
  <c r="R1049" i="9" s="1"/>
  <c r="P1057" i="9"/>
  <c r="R1057" i="9" s="1" a="1"/>
  <c r="R1057" i="9" s="1"/>
  <c r="P1065" i="9"/>
  <c r="R1065" i="9" s="1" a="1"/>
  <c r="R1065" i="9" s="1"/>
  <c r="P1073" i="9"/>
  <c r="R1073" i="9" s="1" a="1"/>
  <c r="R1073" i="9" s="1"/>
  <c r="P1081" i="9"/>
  <c r="R1081" i="9" s="1" a="1"/>
  <c r="R1081" i="9" s="1"/>
  <c r="P1089" i="9"/>
  <c r="R1089" i="9" s="1" a="1"/>
  <c r="R1089" i="9" s="1"/>
  <c r="P1097" i="9"/>
  <c r="R1097" i="9" s="1" a="1"/>
  <c r="R1097" i="9" s="1"/>
  <c r="P1105" i="9"/>
  <c r="R1105" i="9" s="1" a="1"/>
  <c r="R1105" i="9" s="1"/>
  <c r="P1113" i="9"/>
  <c r="R1113" i="9" s="1" a="1"/>
  <c r="R1113" i="9" s="1"/>
  <c r="P1121" i="9"/>
  <c r="R1121" i="9" s="1" a="1"/>
  <c r="R1121" i="9" s="1"/>
  <c r="P1129" i="9"/>
  <c r="R1129" i="9" s="1" a="1"/>
  <c r="R1129" i="9" s="1"/>
  <c r="P1137" i="9"/>
  <c r="R1137" i="9" s="1" a="1"/>
  <c r="R1137" i="9" s="1"/>
  <c r="P1145" i="9"/>
  <c r="R1145" i="9" s="1" a="1"/>
  <c r="R1145" i="9" s="1"/>
  <c r="P1153" i="9"/>
  <c r="R1153" i="9" s="1" a="1"/>
  <c r="R1153" i="9" s="1"/>
  <c r="P1161" i="9"/>
  <c r="R1161" i="9" s="1" a="1"/>
  <c r="R1161" i="9" s="1"/>
  <c r="P1169" i="9"/>
  <c r="R1169" i="9" s="1" a="1"/>
  <c r="R1169" i="9" s="1"/>
  <c r="P1177" i="9"/>
  <c r="R1177" i="9" s="1" a="1"/>
  <c r="R1177" i="9" s="1"/>
  <c r="P1185" i="9"/>
  <c r="R1185" i="9" s="1" a="1"/>
  <c r="R1185" i="9" s="1"/>
  <c r="P1193" i="9"/>
  <c r="R1193" i="9" s="1" a="1"/>
  <c r="R1193" i="9" s="1"/>
  <c r="P1201" i="9"/>
  <c r="R1201" i="9" s="1" a="1"/>
  <c r="R1201" i="9" s="1"/>
  <c r="P1209" i="9"/>
  <c r="R1209" i="9" s="1" a="1"/>
  <c r="R1209" i="9" s="1"/>
  <c r="P1217" i="9"/>
  <c r="R1217" i="9" s="1" a="1"/>
  <c r="R1217" i="9" s="1"/>
  <c r="P1225" i="9"/>
  <c r="R1225" i="9" s="1" a="1"/>
  <c r="R1225" i="9" s="1"/>
  <c r="P1233" i="9"/>
  <c r="R1233" i="9" s="1" a="1"/>
  <c r="R1233" i="9" s="1"/>
  <c r="P1241" i="9"/>
  <c r="R1241" i="9" s="1" a="1"/>
  <c r="R1241" i="9" s="1"/>
  <c r="P1249" i="9"/>
  <c r="R1249" i="9" s="1" a="1"/>
  <c r="R1249" i="9" s="1"/>
  <c r="P1257" i="9"/>
  <c r="R1257" i="9" s="1" a="1"/>
  <c r="R1257" i="9" s="1"/>
  <c r="P1265" i="9"/>
  <c r="R1265" i="9" s="1" a="1"/>
  <c r="R1265" i="9" s="1"/>
  <c r="P1273" i="9"/>
  <c r="R1273" i="9" s="1" a="1"/>
  <c r="R1273" i="9" s="1"/>
  <c r="P1281" i="9"/>
  <c r="R1281" i="9" s="1" a="1"/>
  <c r="R1281" i="9" s="1"/>
  <c r="P1289" i="9"/>
  <c r="R1289" i="9" s="1" a="1"/>
  <c r="R1289" i="9" s="1"/>
  <c r="P1297" i="9"/>
  <c r="R1297" i="9" s="1" a="1"/>
  <c r="R1297" i="9" s="1"/>
  <c r="P1305" i="9"/>
  <c r="R1305" i="9" s="1" a="1"/>
  <c r="R1305" i="9" s="1"/>
  <c r="P1313" i="9"/>
  <c r="R1313" i="9" s="1" a="1"/>
  <c r="R1313" i="9" s="1"/>
  <c r="P1321" i="9"/>
  <c r="R1321" i="9" s="1" a="1"/>
  <c r="R1321" i="9" s="1"/>
  <c r="P1329" i="9"/>
  <c r="R1329" i="9" s="1" a="1"/>
  <c r="R1329" i="9" s="1"/>
  <c r="P1337" i="9"/>
  <c r="R1337" i="9" s="1" a="1"/>
  <c r="R1337" i="9" s="1"/>
  <c r="P1345" i="9"/>
  <c r="R1345" i="9" s="1" a="1"/>
  <c r="R1345" i="9" s="1"/>
  <c r="P1353" i="9"/>
  <c r="R1353" i="9" s="1" a="1"/>
  <c r="R1353" i="9" s="1"/>
  <c r="P1361" i="9"/>
  <c r="R1361" i="9" s="1" a="1"/>
  <c r="R1361" i="9" s="1"/>
  <c r="P1369" i="9"/>
  <c r="R1369" i="9" s="1" a="1"/>
  <c r="R1369" i="9" s="1"/>
  <c r="P1377" i="9"/>
  <c r="R1377" i="9" s="1" a="1"/>
  <c r="R1377" i="9" s="1"/>
  <c r="P1385" i="9"/>
  <c r="R1385" i="9" s="1" a="1"/>
  <c r="R1385" i="9" s="1"/>
  <c r="P1393" i="9"/>
  <c r="R1393" i="9" s="1" a="1"/>
  <c r="R1393" i="9" s="1"/>
  <c r="P1401" i="9"/>
  <c r="R1401" i="9" s="1" a="1"/>
  <c r="R1401" i="9" s="1"/>
  <c r="P1409" i="9"/>
  <c r="R1409" i="9" s="1" a="1"/>
  <c r="R1409" i="9" s="1"/>
  <c r="P1417" i="9"/>
  <c r="R1417" i="9" s="1" a="1"/>
  <c r="R1417" i="9" s="1"/>
  <c r="P1425" i="9"/>
  <c r="R1425" i="9" s="1" a="1"/>
  <c r="R1425" i="9" s="1"/>
  <c r="P1433" i="9"/>
  <c r="R1433" i="9" s="1" a="1"/>
  <c r="R1433" i="9" s="1"/>
  <c r="P1441" i="9"/>
  <c r="R1441" i="9" s="1" a="1"/>
  <c r="R1441" i="9" s="1"/>
  <c r="P1449" i="9"/>
  <c r="R1449" i="9" s="1" a="1"/>
  <c r="R1449" i="9" s="1"/>
  <c r="P1457" i="9"/>
  <c r="R1457" i="9" s="1" a="1"/>
  <c r="R1457" i="9" s="1"/>
  <c r="P1465" i="9"/>
  <c r="R1465" i="9" s="1" a="1"/>
  <c r="R1465" i="9" s="1"/>
  <c r="P1473" i="9"/>
  <c r="R1473" i="9" s="1" a="1"/>
  <c r="R1473" i="9" s="1"/>
  <c r="P1513" i="9"/>
  <c r="R1513" i="9" s="1" a="1"/>
  <c r="R1513" i="9" s="1"/>
  <c r="P1521" i="9"/>
  <c r="R1521" i="9" s="1" a="1"/>
  <c r="R1521" i="9" s="1"/>
  <c r="P1529" i="9"/>
  <c r="R1529" i="9" s="1" a="1"/>
  <c r="R1529" i="9" s="1"/>
  <c r="P1537" i="9"/>
  <c r="R1537" i="9" s="1" a="1"/>
  <c r="R1537" i="9" s="1"/>
  <c r="P1545" i="9"/>
  <c r="R1545" i="9" s="1" a="1"/>
  <c r="R1545" i="9" s="1"/>
  <c r="P1553" i="9"/>
  <c r="R1553" i="9" s="1" a="1"/>
  <c r="R1553" i="9" s="1"/>
  <c r="P1561" i="9"/>
  <c r="R1561" i="9" s="1" a="1"/>
  <c r="R1561" i="9" s="1"/>
  <c r="P1569" i="9"/>
  <c r="R1569" i="9" s="1" a="1"/>
  <c r="R1569" i="9" s="1"/>
  <c r="P1577" i="9"/>
  <c r="R1577" i="9" s="1" a="1"/>
  <c r="R1577" i="9" s="1"/>
  <c r="P1585" i="9"/>
  <c r="R1585" i="9" s="1" a="1"/>
  <c r="R1585" i="9" s="1"/>
  <c r="P1593" i="9"/>
  <c r="R1593" i="9" s="1" a="1"/>
  <c r="R1593" i="9" s="1"/>
  <c r="P1601" i="9"/>
  <c r="R1601" i="9" s="1" a="1"/>
  <c r="R1601" i="9" s="1"/>
  <c r="P1609" i="9"/>
  <c r="R1609" i="9" s="1" a="1"/>
  <c r="R1609" i="9" s="1"/>
  <c r="P1617" i="9"/>
  <c r="R1617" i="9" s="1" a="1"/>
  <c r="R1617" i="9" s="1"/>
  <c r="P1625" i="9"/>
  <c r="R1625" i="9" s="1" a="1"/>
  <c r="R1625" i="9" s="1"/>
  <c r="P1633" i="9"/>
  <c r="R1633" i="9" s="1" a="1"/>
  <c r="R1633" i="9" s="1"/>
  <c r="P1641" i="9"/>
  <c r="R1641" i="9" s="1" a="1"/>
  <c r="R1641" i="9" s="1"/>
  <c r="P1649" i="9"/>
  <c r="R1649" i="9" s="1" a="1"/>
  <c r="R1649" i="9" s="1"/>
  <c r="P1657" i="9"/>
  <c r="R1657" i="9" s="1" a="1"/>
  <c r="R1657" i="9" s="1"/>
  <c r="P1665" i="9"/>
  <c r="R1665" i="9" s="1" a="1"/>
  <c r="R1665" i="9" s="1"/>
  <c r="P1673" i="9"/>
  <c r="R1673" i="9" s="1" a="1"/>
  <c r="R1673" i="9" s="1"/>
  <c r="P1681" i="9"/>
  <c r="R1681" i="9" s="1" a="1"/>
  <c r="R1681" i="9" s="1"/>
  <c r="P1689" i="9"/>
  <c r="R1689" i="9" s="1" a="1"/>
  <c r="R1689" i="9" s="1"/>
  <c r="P1697" i="9"/>
  <c r="R1697" i="9" s="1" a="1"/>
  <c r="R1697" i="9" s="1"/>
  <c r="P1705" i="9"/>
  <c r="R1705" i="9" s="1" a="1"/>
  <c r="R1705" i="9" s="1"/>
  <c r="P1713" i="9"/>
  <c r="R1713" i="9" s="1" a="1"/>
  <c r="R1713" i="9" s="1"/>
  <c r="P1721" i="9"/>
  <c r="R1721" i="9" s="1" a="1"/>
  <c r="R1721" i="9" s="1"/>
  <c r="P1729" i="9"/>
  <c r="R1729" i="9" s="1" a="1"/>
  <c r="R1729" i="9" s="1"/>
  <c r="P1737" i="9"/>
  <c r="R1737" i="9" s="1" a="1"/>
  <c r="R1737" i="9" s="1"/>
  <c r="P1745" i="9"/>
  <c r="R1745" i="9" s="1" a="1"/>
  <c r="R1745" i="9" s="1"/>
  <c r="P1753" i="9"/>
  <c r="R1753" i="9" s="1" a="1"/>
  <c r="R1753" i="9" s="1"/>
  <c r="P1761" i="9"/>
  <c r="R1761" i="9" s="1" a="1"/>
  <c r="R1761" i="9" s="1"/>
  <c r="P1769" i="9"/>
  <c r="R1769" i="9" s="1" a="1"/>
  <c r="R1769" i="9" s="1"/>
  <c r="P1777" i="9"/>
  <c r="R1777" i="9" s="1" a="1"/>
  <c r="R1777" i="9" s="1"/>
  <c r="P1785" i="9"/>
  <c r="R1785" i="9" s="1" a="1"/>
  <c r="R1785" i="9" s="1"/>
  <c r="P1793" i="9"/>
  <c r="R1793" i="9" s="1" a="1"/>
  <c r="R1793" i="9" s="1"/>
  <c r="P1801" i="9"/>
  <c r="R1801" i="9" s="1" a="1"/>
  <c r="R1801" i="9" s="1"/>
  <c r="P1809" i="9"/>
  <c r="R1809" i="9" s="1" a="1"/>
  <c r="R1809" i="9" s="1"/>
  <c r="P1817" i="9"/>
  <c r="R1817" i="9" s="1" a="1"/>
  <c r="R1817" i="9" s="1"/>
  <c r="P1825" i="9"/>
  <c r="R1825" i="9" s="1" a="1"/>
  <c r="R1825" i="9" s="1"/>
  <c r="P1833" i="9"/>
  <c r="R1833" i="9" s="1" a="1"/>
  <c r="R1833" i="9" s="1"/>
  <c r="P1841" i="9"/>
  <c r="R1841" i="9" s="1" a="1"/>
  <c r="R1841" i="9" s="1"/>
  <c r="P1849" i="9"/>
  <c r="R1849" i="9" s="1" a="1"/>
  <c r="R1849" i="9" s="1"/>
  <c r="P1857" i="9"/>
  <c r="R1857" i="9" s="1" a="1"/>
  <c r="R1857" i="9" s="1"/>
  <c r="P1865" i="9"/>
  <c r="R1865" i="9" s="1" a="1"/>
  <c r="R1865" i="9" s="1"/>
  <c r="P1873" i="9"/>
  <c r="R1873" i="9" s="1" a="1"/>
  <c r="R1873" i="9" s="1"/>
  <c r="P1881" i="9"/>
  <c r="R1881" i="9" s="1" a="1"/>
  <c r="R1881" i="9" s="1"/>
  <c r="P195" i="9"/>
  <c r="R195" i="9" s="1" a="1"/>
  <c r="R195" i="9" s="1"/>
  <c r="P241" i="9"/>
  <c r="R241" i="9" s="1" a="1"/>
  <c r="R241" i="9" s="1"/>
  <c r="P305" i="9"/>
  <c r="R305" i="9" s="1" a="1"/>
  <c r="R305" i="9" s="1"/>
  <c r="P410" i="9"/>
  <c r="R410" i="9" s="1" a="1"/>
  <c r="R410" i="9" s="1"/>
  <c r="P523" i="9"/>
  <c r="R523" i="9" s="1" a="1"/>
  <c r="R523" i="9" s="1"/>
  <c r="P600" i="9"/>
  <c r="R600" i="9" s="1" a="1"/>
  <c r="R600" i="9" s="1"/>
  <c r="Q600" i="9"/>
  <c r="P656" i="9"/>
  <c r="R656" i="9" s="1" a="1"/>
  <c r="R656" i="9" s="1"/>
  <c r="P768" i="9"/>
  <c r="R768" i="9" s="1" a="1"/>
  <c r="R768" i="9" s="1"/>
  <c r="P816" i="9"/>
  <c r="R816" i="9" s="1" a="1"/>
  <c r="R816" i="9" s="1"/>
  <c r="P872" i="9"/>
  <c r="R872" i="9" s="1" a="1"/>
  <c r="R872" i="9" s="1"/>
  <c r="P928" i="9"/>
  <c r="R928" i="9" s="1" a="1"/>
  <c r="R928" i="9" s="1"/>
  <c r="P992" i="9"/>
  <c r="R992" i="9" s="1" a="1"/>
  <c r="R992" i="9" s="1"/>
  <c r="P1048" i="9"/>
  <c r="R1048" i="9" s="1" a="1"/>
  <c r="R1048" i="9" s="1"/>
  <c r="P1096" i="9"/>
  <c r="R1096" i="9" s="1" a="1"/>
  <c r="R1096" i="9" s="1"/>
  <c r="P1152" i="9"/>
  <c r="R1152" i="9" s="1" a="1"/>
  <c r="R1152" i="9" s="1"/>
  <c r="P1184" i="9"/>
  <c r="R1184" i="9" s="1" a="1"/>
  <c r="R1184" i="9" s="1"/>
  <c r="P1240" i="9"/>
  <c r="R1240" i="9" s="1" a="1"/>
  <c r="R1240" i="9" s="1"/>
  <c r="P1320" i="9"/>
  <c r="R1320" i="9" s="1" a="1"/>
  <c r="R1320" i="9" s="1"/>
  <c r="P1368" i="9"/>
  <c r="R1368" i="9" s="1" a="1"/>
  <c r="R1368" i="9" s="1"/>
  <c r="P1424" i="9"/>
  <c r="R1424" i="9" s="1" a="1"/>
  <c r="R1424" i="9" s="1"/>
  <c r="P1512" i="9"/>
  <c r="R1512" i="9" s="1" a="1"/>
  <c r="R1512" i="9" s="1"/>
  <c r="P1560" i="9"/>
  <c r="R1560" i="9" s="1" a="1"/>
  <c r="R1560" i="9" s="1"/>
  <c r="P1608" i="9"/>
  <c r="R1608" i="9" s="1" a="1"/>
  <c r="R1608" i="9" s="1"/>
  <c r="P1624" i="9"/>
  <c r="R1624" i="9" s="1" a="1"/>
  <c r="R1624" i="9" s="1"/>
  <c r="P1672" i="9"/>
  <c r="R1672" i="9" s="1" a="1"/>
  <c r="R1672" i="9" s="1"/>
  <c r="P1712" i="9"/>
  <c r="R1712" i="9" s="1" a="1"/>
  <c r="R1712" i="9" s="1"/>
  <c r="P1736" i="9"/>
  <c r="R1736" i="9" s="1" a="1"/>
  <c r="R1736" i="9" s="1"/>
  <c r="P1768" i="9"/>
  <c r="R1768" i="9" s="1" a="1"/>
  <c r="R1768" i="9" s="1"/>
  <c r="P1784" i="9"/>
  <c r="R1784" i="9" s="1" a="1"/>
  <c r="R1784" i="9" s="1"/>
  <c r="P1800" i="9"/>
  <c r="R1800" i="9" s="1" a="1"/>
  <c r="R1800" i="9" s="1"/>
  <c r="P1808" i="9"/>
  <c r="R1808" i="9" s="1" a="1"/>
  <c r="R1808" i="9" s="1"/>
  <c r="P1816" i="9"/>
  <c r="R1816" i="9" s="1" a="1"/>
  <c r="R1816" i="9" s="1"/>
  <c r="P1824" i="9"/>
  <c r="R1824" i="9" s="1" a="1"/>
  <c r="R1824" i="9" s="1"/>
  <c r="P1840" i="9"/>
  <c r="R1840" i="9" s="1" a="1"/>
  <c r="R1840" i="9" s="1"/>
  <c r="P1872" i="9"/>
  <c r="R1872" i="9" s="1" a="1"/>
  <c r="R1872" i="9" s="1"/>
  <c r="P197" i="9"/>
  <c r="R197" i="9" s="1" a="1"/>
  <c r="R197" i="9" s="1"/>
  <c r="P243" i="9"/>
  <c r="R243" i="9" s="1" a="1"/>
  <c r="R243" i="9" s="1"/>
  <c r="P267" i="9"/>
  <c r="R267" i="9" s="1" a="1"/>
  <c r="R267" i="9" s="1"/>
  <c r="P291" i="9"/>
  <c r="R291" i="9" s="1" a="1"/>
  <c r="R291" i="9" s="1"/>
  <c r="P299" i="9"/>
  <c r="R299" i="9" s="1" a="1"/>
  <c r="R299" i="9" s="1"/>
  <c r="P315" i="9"/>
  <c r="R315" i="9" s="1" a="1"/>
  <c r="R315" i="9" s="1"/>
  <c r="P323" i="9"/>
  <c r="R323" i="9" s="1" a="1"/>
  <c r="R323" i="9" s="1"/>
  <c r="P331" i="9"/>
  <c r="R331" i="9" s="1" a="1"/>
  <c r="R331" i="9" s="1"/>
  <c r="P380" i="9"/>
  <c r="R380" i="9" s="1" a="1"/>
  <c r="R380" i="9" s="1"/>
  <c r="Q380" i="9"/>
  <c r="P388" i="9"/>
  <c r="R388" i="9" s="1" a="1"/>
  <c r="R388" i="9" s="1"/>
  <c r="Q388" i="9"/>
  <c r="P396" i="9"/>
  <c r="R396" i="9" s="1" a="1"/>
  <c r="R396" i="9" s="1"/>
  <c r="P404" i="9"/>
  <c r="R404" i="9" s="1" a="1"/>
  <c r="R404" i="9" s="1"/>
  <c r="P412" i="9"/>
  <c r="R412" i="9" s="1" a="1"/>
  <c r="R412" i="9" s="1"/>
  <c r="P420" i="9"/>
  <c r="R420" i="9" s="1" a="1"/>
  <c r="R420" i="9" s="1"/>
  <c r="P444" i="9"/>
  <c r="R444" i="9" s="1" a="1"/>
  <c r="R444" i="9" s="1"/>
  <c r="P460" i="9"/>
  <c r="R460" i="9" s="1" a="1"/>
  <c r="R460" i="9" s="1"/>
  <c r="P474" i="9"/>
  <c r="R474" i="9" s="1" a="1"/>
  <c r="R474" i="9" s="1"/>
  <c r="P488" i="9"/>
  <c r="R488" i="9" s="1" a="1"/>
  <c r="R488" i="9" s="1"/>
  <c r="P511" i="9"/>
  <c r="R511" i="9" s="1" a="1"/>
  <c r="R511" i="9" s="1"/>
  <c r="P525" i="9"/>
  <c r="R525" i="9" s="1" a="1"/>
  <c r="R525" i="9" s="1"/>
  <c r="P540" i="9"/>
  <c r="R540" i="9" s="1" a="1"/>
  <c r="R540" i="9" s="1"/>
  <c r="P560" i="9"/>
  <c r="R560" i="9" s="1" a="1"/>
  <c r="R560" i="9" s="1"/>
  <c r="P572" i="9"/>
  <c r="R572" i="9" s="1" a="1"/>
  <c r="R572" i="9" s="1"/>
  <c r="P586" i="9"/>
  <c r="R586" i="9" s="1" a="1"/>
  <c r="R586" i="9" s="1"/>
  <c r="P594" i="9"/>
  <c r="R594" i="9" s="1" a="1"/>
  <c r="R594" i="9" s="1"/>
  <c r="P602" i="9"/>
  <c r="R602" i="9" s="1" a="1"/>
  <c r="R602" i="9" s="1"/>
  <c r="P610" i="9"/>
  <c r="R610" i="9" s="1" a="1"/>
  <c r="R610" i="9" s="1"/>
  <c r="P618" i="9"/>
  <c r="R618" i="9" s="1" a="1"/>
  <c r="R618" i="9" s="1"/>
  <c r="P626" i="9"/>
  <c r="R626" i="9" s="1" a="1"/>
  <c r="R626" i="9" s="1"/>
  <c r="P634" i="9"/>
  <c r="R634" i="9" s="1" a="1"/>
  <c r="R634" i="9" s="1"/>
  <c r="P642" i="9"/>
  <c r="R642" i="9" s="1" a="1"/>
  <c r="R642" i="9" s="1"/>
  <c r="P650" i="9"/>
  <c r="R650" i="9" s="1" a="1"/>
  <c r="R650" i="9" s="1"/>
  <c r="P658" i="9"/>
  <c r="R658" i="9" s="1" a="1"/>
  <c r="R658" i="9" s="1"/>
  <c r="P666" i="9"/>
  <c r="R666" i="9" s="1" a="1"/>
  <c r="R666" i="9" s="1"/>
  <c r="P674" i="9"/>
  <c r="R674" i="9" s="1" a="1"/>
  <c r="R674" i="9" s="1"/>
  <c r="P682" i="9"/>
  <c r="R682" i="9" s="1" a="1"/>
  <c r="R682" i="9" s="1"/>
  <c r="P690" i="9"/>
  <c r="R690" i="9" s="1" a="1"/>
  <c r="R690" i="9" s="1"/>
  <c r="P698" i="9"/>
  <c r="R698" i="9" s="1" a="1"/>
  <c r="R698" i="9" s="1"/>
  <c r="P706" i="9"/>
  <c r="R706" i="9" s="1" a="1"/>
  <c r="R706" i="9" s="1"/>
  <c r="P714" i="9"/>
  <c r="R714" i="9" s="1" a="1"/>
  <c r="R714" i="9" s="1"/>
  <c r="P722" i="9"/>
  <c r="R722" i="9" s="1" a="1"/>
  <c r="R722" i="9" s="1"/>
  <c r="P730" i="9"/>
  <c r="R730" i="9" s="1" a="1"/>
  <c r="R730" i="9" s="1"/>
  <c r="P738" i="9"/>
  <c r="R738" i="9" s="1" a="1"/>
  <c r="R738" i="9" s="1"/>
  <c r="P746" i="9"/>
  <c r="R746" i="9" s="1" a="1"/>
  <c r="R746" i="9" s="1"/>
  <c r="P754" i="9"/>
  <c r="R754" i="9" s="1" a="1"/>
  <c r="R754" i="9" s="1"/>
  <c r="P762" i="9"/>
  <c r="R762" i="9" s="1" a="1"/>
  <c r="R762" i="9" s="1"/>
  <c r="P770" i="9"/>
  <c r="R770" i="9" s="1" a="1"/>
  <c r="R770" i="9" s="1"/>
  <c r="P778" i="9"/>
  <c r="R778" i="9" s="1" a="1"/>
  <c r="R778" i="9" s="1"/>
  <c r="P786" i="9"/>
  <c r="R786" i="9" s="1" a="1"/>
  <c r="R786" i="9" s="1"/>
  <c r="P794" i="9"/>
  <c r="R794" i="9" s="1" a="1"/>
  <c r="R794" i="9" s="1"/>
  <c r="P802" i="9"/>
  <c r="R802" i="9" s="1" a="1"/>
  <c r="R802" i="9" s="1"/>
  <c r="P810" i="9"/>
  <c r="R810" i="9" s="1" a="1"/>
  <c r="R810" i="9" s="1"/>
  <c r="P818" i="9"/>
  <c r="R818" i="9" s="1" a="1"/>
  <c r="R818" i="9" s="1"/>
  <c r="P826" i="9"/>
  <c r="R826" i="9" s="1" a="1"/>
  <c r="R826" i="9" s="1"/>
  <c r="P834" i="9"/>
  <c r="R834" i="9" s="1" a="1"/>
  <c r="R834" i="9" s="1"/>
  <c r="P842" i="9"/>
  <c r="R842" i="9" s="1" a="1"/>
  <c r="R842" i="9" s="1"/>
  <c r="P850" i="9"/>
  <c r="R850" i="9" s="1" a="1"/>
  <c r="R850" i="9" s="1"/>
  <c r="P858" i="9"/>
  <c r="R858" i="9" s="1" a="1"/>
  <c r="R858" i="9" s="1"/>
  <c r="P866" i="9"/>
  <c r="R866" i="9" s="1" a="1"/>
  <c r="R866" i="9" s="1"/>
  <c r="P874" i="9"/>
  <c r="R874" i="9" s="1" a="1"/>
  <c r="R874" i="9" s="1"/>
  <c r="P882" i="9"/>
  <c r="R882" i="9" s="1" a="1"/>
  <c r="R882" i="9" s="1"/>
  <c r="P890" i="9"/>
  <c r="R890" i="9" s="1" a="1"/>
  <c r="R890" i="9" s="1"/>
  <c r="P898" i="9"/>
  <c r="R898" i="9" s="1" a="1"/>
  <c r="R898" i="9" s="1"/>
  <c r="P906" i="9"/>
  <c r="R906" i="9" s="1" a="1"/>
  <c r="R906" i="9" s="1"/>
  <c r="P914" i="9"/>
  <c r="R914" i="9" s="1" a="1"/>
  <c r="R914" i="9" s="1"/>
  <c r="P922" i="9"/>
  <c r="R922" i="9" s="1" a="1"/>
  <c r="R922" i="9" s="1"/>
  <c r="P930" i="9"/>
  <c r="R930" i="9" s="1" a="1"/>
  <c r="R930" i="9" s="1"/>
  <c r="P938" i="9"/>
  <c r="R938" i="9" s="1" a="1"/>
  <c r="R938" i="9" s="1"/>
  <c r="P946" i="9"/>
  <c r="R946" i="9" s="1" a="1"/>
  <c r="R946" i="9" s="1"/>
  <c r="P954" i="9"/>
  <c r="R954" i="9" s="1" a="1"/>
  <c r="R954" i="9" s="1"/>
  <c r="P962" i="9"/>
  <c r="R962" i="9" s="1" a="1"/>
  <c r="R962" i="9" s="1"/>
  <c r="P970" i="9"/>
  <c r="R970" i="9" s="1" a="1"/>
  <c r="R970" i="9" s="1"/>
  <c r="P978" i="9"/>
  <c r="R978" i="9" s="1" a="1"/>
  <c r="R978" i="9" s="1"/>
  <c r="P986" i="9"/>
  <c r="R986" i="9" s="1" a="1"/>
  <c r="R986" i="9" s="1"/>
  <c r="P994" i="9"/>
  <c r="R994" i="9" s="1" a="1"/>
  <c r="R994" i="9" s="1"/>
  <c r="P1002" i="9"/>
  <c r="R1002" i="9" s="1" a="1"/>
  <c r="R1002" i="9" s="1"/>
  <c r="P1010" i="9"/>
  <c r="R1010" i="9" s="1" a="1"/>
  <c r="R1010" i="9" s="1"/>
  <c r="P1018" i="9"/>
  <c r="R1018" i="9" s="1" a="1"/>
  <c r="R1018" i="9" s="1"/>
  <c r="P1026" i="9"/>
  <c r="R1026" i="9" s="1" a="1"/>
  <c r="R1026" i="9" s="1"/>
  <c r="P1034" i="9"/>
  <c r="R1034" i="9" s="1" a="1"/>
  <c r="R1034" i="9" s="1"/>
  <c r="P1042" i="9"/>
  <c r="R1042" i="9" s="1" a="1"/>
  <c r="R1042" i="9" s="1"/>
  <c r="P1050" i="9"/>
  <c r="R1050" i="9" s="1" a="1"/>
  <c r="R1050" i="9" s="1"/>
  <c r="P1058" i="9"/>
  <c r="R1058" i="9" s="1" a="1"/>
  <c r="R1058" i="9" s="1"/>
  <c r="P1066" i="9"/>
  <c r="R1066" i="9" s="1" a="1"/>
  <c r="R1066" i="9" s="1"/>
  <c r="P1074" i="9"/>
  <c r="R1074" i="9" s="1" a="1"/>
  <c r="R1074" i="9" s="1"/>
  <c r="P1082" i="9"/>
  <c r="R1082" i="9" s="1" a="1"/>
  <c r="R1082" i="9" s="1"/>
  <c r="P1090" i="9"/>
  <c r="R1090" i="9" s="1" a="1"/>
  <c r="R1090" i="9" s="1"/>
  <c r="P1098" i="9"/>
  <c r="R1098" i="9" s="1" a="1"/>
  <c r="R1098" i="9" s="1"/>
  <c r="P1106" i="9"/>
  <c r="R1106" i="9" s="1" a="1"/>
  <c r="R1106" i="9" s="1"/>
  <c r="P1114" i="9"/>
  <c r="R1114" i="9" s="1" a="1"/>
  <c r="R1114" i="9" s="1"/>
  <c r="P1122" i="9"/>
  <c r="R1122" i="9" s="1" a="1"/>
  <c r="R1122" i="9" s="1"/>
  <c r="P1130" i="9"/>
  <c r="R1130" i="9" s="1" a="1"/>
  <c r="R1130" i="9" s="1"/>
  <c r="P1138" i="9"/>
  <c r="R1138" i="9" s="1" a="1"/>
  <c r="R1138" i="9" s="1"/>
  <c r="P1146" i="9"/>
  <c r="R1146" i="9" s="1" a="1"/>
  <c r="R1146" i="9" s="1"/>
  <c r="P1154" i="9"/>
  <c r="R1154" i="9" s="1" a="1"/>
  <c r="R1154" i="9" s="1"/>
  <c r="P1162" i="9"/>
  <c r="R1162" i="9" s="1" a="1"/>
  <c r="R1162" i="9" s="1"/>
  <c r="P1170" i="9"/>
  <c r="R1170" i="9" s="1" a="1"/>
  <c r="R1170" i="9" s="1"/>
  <c r="P1178" i="9"/>
  <c r="R1178" i="9" s="1" a="1"/>
  <c r="R1178" i="9" s="1"/>
  <c r="P1186" i="9"/>
  <c r="R1186" i="9" s="1" a="1"/>
  <c r="R1186" i="9" s="1"/>
  <c r="P1194" i="9"/>
  <c r="R1194" i="9" s="1" a="1"/>
  <c r="R1194" i="9" s="1"/>
  <c r="P1202" i="9"/>
  <c r="R1202" i="9" s="1" a="1"/>
  <c r="R1202" i="9" s="1"/>
  <c r="P1210" i="9"/>
  <c r="R1210" i="9" s="1" a="1"/>
  <c r="R1210" i="9" s="1"/>
  <c r="P1218" i="9"/>
  <c r="R1218" i="9" s="1" a="1"/>
  <c r="R1218" i="9" s="1"/>
  <c r="P1226" i="9"/>
  <c r="R1226" i="9" s="1" a="1"/>
  <c r="R1226" i="9" s="1"/>
  <c r="P1234" i="9"/>
  <c r="R1234" i="9" s="1" a="1"/>
  <c r="R1234" i="9" s="1"/>
  <c r="P1242" i="9"/>
  <c r="R1242" i="9" s="1" a="1"/>
  <c r="R1242" i="9" s="1"/>
  <c r="P1250" i="9"/>
  <c r="R1250" i="9" s="1" a="1"/>
  <c r="R1250" i="9" s="1"/>
  <c r="P1258" i="9"/>
  <c r="R1258" i="9" s="1" a="1"/>
  <c r="R1258" i="9" s="1"/>
  <c r="P1266" i="9"/>
  <c r="R1266" i="9" s="1" a="1"/>
  <c r="R1266" i="9" s="1"/>
  <c r="P1274" i="9"/>
  <c r="R1274" i="9" s="1" a="1"/>
  <c r="R1274" i="9" s="1"/>
  <c r="P1282" i="9"/>
  <c r="R1282" i="9" s="1" a="1"/>
  <c r="R1282" i="9" s="1"/>
  <c r="P1290" i="9"/>
  <c r="R1290" i="9" s="1" a="1"/>
  <c r="R1290" i="9" s="1"/>
  <c r="P1298" i="9"/>
  <c r="R1298" i="9" s="1" a="1"/>
  <c r="R1298" i="9" s="1"/>
  <c r="P1306" i="9"/>
  <c r="R1306" i="9" s="1" a="1"/>
  <c r="R1306" i="9" s="1"/>
  <c r="P1314" i="9"/>
  <c r="R1314" i="9" s="1" a="1"/>
  <c r="R1314" i="9" s="1"/>
  <c r="P1322" i="9"/>
  <c r="R1322" i="9" s="1" a="1"/>
  <c r="R1322" i="9" s="1"/>
  <c r="P1330" i="9"/>
  <c r="R1330" i="9" s="1" a="1"/>
  <c r="R1330" i="9" s="1"/>
  <c r="P1338" i="9"/>
  <c r="R1338" i="9" s="1" a="1"/>
  <c r="R1338" i="9" s="1"/>
  <c r="P1346" i="9"/>
  <c r="R1346" i="9" s="1" a="1"/>
  <c r="R1346" i="9" s="1"/>
  <c r="P1354" i="9"/>
  <c r="R1354" i="9" s="1" a="1"/>
  <c r="R1354" i="9" s="1"/>
  <c r="P1362" i="9"/>
  <c r="R1362" i="9" s="1" a="1"/>
  <c r="R1362" i="9" s="1"/>
  <c r="P1370" i="9"/>
  <c r="R1370" i="9" s="1" a="1"/>
  <c r="R1370" i="9" s="1"/>
  <c r="P1378" i="9"/>
  <c r="R1378" i="9" s="1" a="1"/>
  <c r="R1378" i="9" s="1"/>
  <c r="P1386" i="9"/>
  <c r="R1386" i="9" s="1" a="1"/>
  <c r="R1386" i="9" s="1"/>
  <c r="P1394" i="9"/>
  <c r="R1394" i="9" s="1" a="1"/>
  <c r="R1394" i="9" s="1"/>
  <c r="P1402" i="9"/>
  <c r="R1402" i="9" s="1" a="1"/>
  <c r="R1402" i="9" s="1"/>
  <c r="P1410" i="9"/>
  <c r="R1410" i="9" s="1" a="1"/>
  <c r="R1410" i="9" s="1"/>
  <c r="P1418" i="9"/>
  <c r="R1418" i="9" s="1" a="1"/>
  <c r="R1418" i="9" s="1"/>
  <c r="P1426" i="9"/>
  <c r="R1426" i="9" s="1" a="1"/>
  <c r="R1426" i="9" s="1"/>
  <c r="P1434" i="9"/>
  <c r="R1434" i="9" s="1" a="1"/>
  <c r="R1434" i="9" s="1"/>
  <c r="P1442" i="9"/>
  <c r="R1442" i="9" s="1" a="1"/>
  <c r="R1442" i="9" s="1"/>
  <c r="P1450" i="9"/>
  <c r="R1450" i="9" s="1" a="1"/>
  <c r="R1450" i="9" s="1"/>
  <c r="P1458" i="9"/>
  <c r="R1458" i="9" s="1" a="1"/>
  <c r="R1458" i="9" s="1"/>
  <c r="P1466" i="9"/>
  <c r="R1466" i="9" s="1" a="1"/>
  <c r="R1466" i="9" s="1"/>
  <c r="P1474" i="9"/>
  <c r="R1474" i="9" s="1" a="1"/>
  <c r="R1474" i="9" s="1"/>
  <c r="P1514" i="9"/>
  <c r="R1514" i="9" s="1" a="1"/>
  <c r="R1514" i="9" s="1"/>
  <c r="P1522" i="9"/>
  <c r="R1522" i="9" s="1" a="1"/>
  <c r="R1522" i="9" s="1"/>
  <c r="P1530" i="9"/>
  <c r="R1530" i="9" s="1" a="1"/>
  <c r="R1530" i="9" s="1"/>
  <c r="P1538" i="9"/>
  <c r="R1538" i="9" s="1" a="1"/>
  <c r="R1538" i="9" s="1"/>
  <c r="P1546" i="9"/>
  <c r="R1546" i="9" s="1" a="1"/>
  <c r="R1546" i="9" s="1"/>
  <c r="P1554" i="9"/>
  <c r="R1554" i="9" s="1" a="1"/>
  <c r="R1554" i="9" s="1"/>
  <c r="P1562" i="9"/>
  <c r="R1562" i="9" s="1" a="1"/>
  <c r="R1562" i="9" s="1"/>
  <c r="P1570" i="9"/>
  <c r="R1570" i="9" s="1" a="1"/>
  <c r="R1570" i="9" s="1"/>
  <c r="P1578" i="9"/>
  <c r="R1578" i="9" s="1" a="1"/>
  <c r="R1578" i="9" s="1"/>
  <c r="P1586" i="9"/>
  <c r="R1586" i="9" s="1" a="1"/>
  <c r="R1586" i="9" s="1"/>
  <c r="P1594" i="9"/>
  <c r="R1594" i="9" s="1" a="1"/>
  <c r="R1594" i="9" s="1"/>
  <c r="P1602" i="9"/>
  <c r="R1602" i="9" s="1" a="1"/>
  <c r="R1602" i="9" s="1"/>
  <c r="Q1602" i="9"/>
  <c r="P1610" i="9"/>
  <c r="R1610" i="9" s="1" a="1"/>
  <c r="R1610" i="9" s="1"/>
  <c r="P1618" i="9"/>
  <c r="R1618" i="9" s="1" a="1"/>
  <c r="R1618" i="9" s="1"/>
  <c r="P1626" i="9"/>
  <c r="R1626" i="9" s="1" a="1"/>
  <c r="R1626" i="9" s="1"/>
  <c r="P1634" i="9"/>
  <c r="R1634" i="9" s="1" a="1"/>
  <c r="R1634" i="9" s="1"/>
  <c r="P1642" i="9"/>
  <c r="R1642" i="9" s="1" a="1"/>
  <c r="R1642" i="9" s="1"/>
  <c r="P1650" i="9"/>
  <c r="R1650" i="9" s="1" a="1"/>
  <c r="R1650" i="9" s="1"/>
  <c r="P1658" i="9"/>
  <c r="R1658" i="9" s="1" a="1"/>
  <c r="R1658" i="9" s="1"/>
  <c r="P1666" i="9"/>
  <c r="R1666" i="9" s="1" a="1"/>
  <c r="R1666" i="9" s="1"/>
  <c r="P1674" i="9"/>
  <c r="R1674" i="9" s="1" a="1"/>
  <c r="R1674" i="9" s="1"/>
  <c r="P1682" i="9"/>
  <c r="R1682" i="9" s="1" a="1"/>
  <c r="R1682" i="9" s="1"/>
  <c r="P1690" i="9"/>
  <c r="R1690" i="9" s="1" a="1"/>
  <c r="R1690" i="9" s="1"/>
  <c r="P1698" i="9"/>
  <c r="R1698" i="9" s="1" a="1"/>
  <c r="R1698" i="9" s="1"/>
  <c r="P1706" i="9"/>
  <c r="R1706" i="9" s="1" a="1"/>
  <c r="R1706" i="9" s="1"/>
  <c r="P1714" i="9"/>
  <c r="R1714" i="9" s="1" a="1"/>
  <c r="R1714" i="9" s="1"/>
  <c r="P1722" i="9"/>
  <c r="R1722" i="9" s="1" a="1"/>
  <c r="R1722" i="9" s="1"/>
  <c r="P1730" i="9"/>
  <c r="R1730" i="9" s="1" a="1"/>
  <c r="R1730" i="9" s="1"/>
  <c r="P1738" i="9"/>
  <c r="R1738" i="9" s="1" a="1"/>
  <c r="R1738" i="9" s="1"/>
  <c r="P1746" i="9"/>
  <c r="R1746" i="9" s="1" a="1"/>
  <c r="R1746" i="9" s="1"/>
  <c r="P1754" i="9"/>
  <c r="R1754" i="9" s="1" a="1"/>
  <c r="R1754" i="9" s="1"/>
  <c r="P1762" i="9"/>
  <c r="R1762" i="9" s="1" a="1"/>
  <c r="R1762" i="9" s="1"/>
  <c r="P1770" i="9"/>
  <c r="R1770" i="9" s="1" a="1"/>
  <c r="R1770" i="9" s="1"/>
  <c r="P1778" i="9"/>
  <c r="R1778" i="9" s="1" a="1"/>
  <c r="R1778" i="9" s="1"/>
  <c r="P1786" i="9"/>
  <c r="R1786" i="9" s="1" a="1"/>
  <c r="R1786" i="9" s="1"/>
  <c r="P1794" i="9"/>
  <c r="R1794" i="9" s="1" a="1"/>
  <c r="R1794" i="9" s="1"/>
  <c r="P1802" i="9"/>
  <c r="R1802" i="9" s="1" a="1"/>
  <c r="R1802" i="9" s="1"/>
  <c r="P1810" i="9"/>
  <c r="R1810" i="9" s="1" a="1"/>
  <c r="R1810" i="9" s="1"/>
  <c r="P1818" i="9"/>
  <c r="R1818" i="9" s="1" a="1"/>
  <c r="R1818" i="9" s="1"/>
  <c r="P1826" i="9"/>
  <c r="R1826" i="9" s="1" a="1"/>
  <c r="R1826" i="9" s="1"/>
  <c r="P1834" i="9"/>
  <c r="R1834" i="9" s="1" a="1"/>
  <c r="R1834" i="9" s="1"/>
  <c r="P1842" i="9"/>
  <c r="R1842" i="9" s="1" a="1"/>
  <c r="R1842" i="9" s="1"/>
  <c r="P1850" i="9"/>
  <c r="R1850" i="9" s="1" a="1"/>
  <c r="R1850" i="9" s="1"/>
  <c r="P1858" i="9"/>
  <c r="R1858" i="9" s="1" a="1"/>
  <c r="R1858" i="9" s="1"/>
  <c r="P1866" i="9"/>
  <c r="R1866" i="9" s="1" a="1"/>
  <c r="R1866" i="9" s="1"/>
  <c r="P1874" i="9"/>
  <c r="R1874" i="9" s="1" a="1"/>
  <c r="R1874" i="9" s="1"/>
  <c r="P1882" i="9"/>
  <c r="R1882" i="9" s="1" a="1"/>
  <c r="R1882" i="9" s="1"/>
  <c r="P211" i="9"/>
  <c r="R211" i="9" s="1" a="1"/>
  <c r="R211" i="9" s="1"/>
  <c r="P281" i="9"/>
  <c r="R281" i="9" s="1" a="1"/>
  <c r="R281" i="9" s="1"/>
  <c r="P386" i="9"/>
  <c r="R386" i="9" s="1" a="1"/>
  <c r="R386" i="9" s="1"/>
  <c r="Q386" i="9"/>
  <c r="P472" i="9"/>
  <c r="R472" i="9" s="1" a="1"/>
  <c r="R472" i="9" s="1"/>
  <c r="P584" i="9"/>
  <c r="R584" i="9" s="1" a="1"/>
  <c r="R584" i="9" s="1"/>
  <c r="P624" i="9"/>
  <c r="R624" i="9" s="1" a="1"/>
  <c r="R624" i="9" s="1"/>
  <c r="P680" i="9"/>
  <c r="R680" i="9" s="1" a="1"/>
  <c r="R680" i="9" s="1"/>
  <c r="P736" i="9"/>
  <c r="R736" i="9" s="1" a="1"/>
  <c r="R736" i="9" s="1"/>
  <c r="P792" i="9"/>
  <c r="R792" i="9" s="1" a="1"/>
  <c r="R792" i="9" s="1"/>
  <c r="P840" i="9"/>
  <c r="R840" i="9" s="1" a="1"/>
  <c r="R840" i="9" s="1"/>
  <c r="P888" i="9"/>
  <c r="R888" i="9" s="1" a="1"/>
  <c r="R888" i="9" s="1"/>
  <c r="P936" i="9"/>
  <c r="R936" i="9" s="1" a="1"/>
  <c r="R936" i="9" s="1"/>
  <c r="P984" i="9"/>
  <c r="R984" i="9" s="1" a="1"/>
  <c r="R984" i="9" s="1"/>
  <c r="P1032" i="9"/>
  <c r="R1032" i="9" s="1" a="1"/>
  <c r="R1032" i="9" s="1"/>
  <c r="P1088" i="9"/>
  <c r="R1088" i="9" s="1" a="1"/>
  <c r="R1088" i="9" s="1"/>
  <c r="P1136" i="9"/>
  <c r="R1136" i="9" s="1" a="1"/>
  <c r="R1136" i="9" s="1"/>
  <c r="P1176" i="9"/>
  <c r="R1176" i="9" s="1" a="1"/>
  <c r="R1176" i="9" s="1"/>
  <c r="P1224" i="9"/>
  <c r="R1224" i="9" s="1" a="1"/>
  <c r="R1224" i="9" s="1"/>
  <c r="P1280" i="9"/>
  <c r="R1280" i="9" s="1" a="1"/>
  <c r="R1280" i="9" s="1"/>
  <c r="P1336" i="9"/>
  <c r="R1336" i="9" s="1" a="1"/>
  <c r="R1336" i="9" s="1"/>
  <c r="P1392" i="9"/>
  <c r="R1392" i="9" s="1" a="1"/>
  <c r="R1392" i="9" s="1"/>
  <c r="P1440" i="9"/>
  <c r="R1440" i="9" s="1" a="1"/>
  <c r="R1440" i="9" s="1"/>
  <c r="P1520" i="9"/>
  <c r="R1520" i="9" s="1" a="1"/>
  <c r="R1520" i="9" s="1"/>
  <c r="P1584" i="9"/>
  <c r="R1584" i="9" s="1" a="1"/>
  <c r="R1584" i="9" s="1"/>
  <c r="P1632" i="9"/>
  <c r="R1632" i="9" s="1" a="1"/>
  <c r="R1632" i="9" s="1"/>
  <c r="P1688" i="9"/>
  <c r="R1688" i="9" s="1" a="1"/>
  <c r="R1688" i="9" s="1"/>
  <c r="P1720" i="9"/>
  <c r="R1720" i="9" s="1" a="1"/>
  <c r="R1720" i="9" s="1"/>
  <c r="P1752" i="9"/>
  <c r="R1752" i="9" s="1" a="1"/>
  <c r="R1752" i="9" s="1"/>
  <c r="P1776" i="9"/>
  <c r="R1776" i="9" s="1" a="1"/>
  <c r="R1776" i="9" s="1"/>
  <c r="P1880" i="9"/>
  <c r="R1880" i="9" s="1" a="1"/>
  <c r="R1880" i="9" s="1"/>
  <c r="P181" i="9"/>
  <c r="R181" i="9" s="1" a="1"/>
  <c r="R181" i="9" s="1"/>
  <c r="P205" i="9"/>
  <c r="R205" i="9" s="1" a="1"/>
  <c r="R205" i="9" s="1"/>
  <c r="P221" i="9"/>
  <c r="R221" i="9" s="1" a="1"/>
  <c r="R221" i="9" s="1"/>
  <c r="P229" i="9"/>
  <c r="R229" i="9" s="1" a="1"/>
  <c r="R229" i="9" s="1"/>
  <c r="P259" i="9"/>
  <c r="R259" i="9" s="1" a="1"/>
  <c r="R259" i="9" s="1"/>
  <c r="P275" i="9"/>
  <c r="R275" i="9" s="1" a="1"/>
  <c r="R275" i="9" s="1"/>
  <c r="P307" i="9"/>
  <c r="R307" i="9" s="1" a="1"/>
  <c r="R307" i="9" s="1"/>
  <c r="P174" i="9"/>
  <c r="R174" i="9" s="1" a="1"/>
  <c r="R174" i="9" s="1"/>
  <c r="P182" i="9"/>
  <c r="R182" i="9" s="1" a="1"/>
  <c r="R182" i="9" s="1"/>
  <c r="P190" i="9"/>
  <c r="R190" i="9" s="1" a="1"/>
  <c r="R190" i="9" s="1"/>
  <c r="P198" i="9"/>
  <c r="R198" i="9" s="1" a="1"/>
  <c r="R198" i="9" s="1"/>
  <c r="P206" i="9"/>
  <c r="R206" i="9" s="1" a="1"/>
  <c r="R206" i="9" s="1"/>
  <c r="P214" i="9"/>
  <c r="R214" i="9" s="1" a="1"/>
  <c r="R214" i="9" s="1"/>
  <c r="P222" i="9"/>
  <c r="R222" i="9" s="1" a="1"/>
  <c r="R222" i="9" s="1"/>
  <c r="P230" i="9"/>
  <c r="R230" i="9" s="1" a="1"/>
  <c r="R230" i="9" s="1"/>
  <c r="P244" i="9"/>
  <c r="R244" i="9" s="1" a="1"/>
  <c r="R244" i="9" s="1"/>
  <c r="P252" i="9"/>
  <c r="R252" i="9" s="1" a="1"/>
  <c r="R252" i="9" s="1"/>
  <c r="P260" i="9"/>
  <c r="R260" i="9" s="1" a="1"/>
  <c r="R260" i="9" s="1"/>
  <c r="P268" i="9"/>
  <c r="R268" i="9" s="1" a="1"/>
  <c r="R268" i="9" s="1"/>
  <c r="P276" i="9"/>
  <c r="R276" i="9" s="1" a="1"/>
  <c r="R276" i="9" s="1"/>
  <c r="P284" i="9"/>
  <c r="R284" i="9" s="1" a="1"/>
  <c r="R284" i="9" s="1"/>
  <c r="P292" i="9"/>
  <c r="R292" i="9" s="1" a="1"/>
  <c r="R292" i="9" s="1"/>
  <c r="P300" i="9"/>
  <c r="R300" i="9" s="1" a="1"/>
  <c r="R300" i="9" s="1"/>
  <c r="P308" i="9"/>
  <c r="R308" i="9" s="1" a="1"/>
  <c r="R308" i="9" s="1"/>
  <c r="P316" i="9"/>
  <c r="R316" i="9" s="1" a="1"/>
  <c r="R316" i="9" s="1"/>
  <c r="P324" i="9"/>
  <c r="R324" i="9" s="1" a="1"/>
  <c r="R324" i="9" s="1"/>
  <c r="P332" i="9"/>
  <c r="R332" i="9" s="1" a="1"/>
  <c r="R332" i="9" s="1"/>
  <c r="P381" i="9"/>
  <c r="R381" i="9" s="1" a="1"/>
  <c r="R381" i="9" s="1"/>
  <c r="Q381" i="9"/>
  <c r="P389" i="9"/>
  <c r="R389" i="9" s="1" a="1"/>
  <c r="R389" i="9" s="1"/>
  <c r="Q389" i="9"/>
  <c r="P397" i="9"/>
  <c r="R397" i="9" s="1" a="1"/>
  <c r="R397" i="9" s="1"/>
  <c r="P405" i="9"/>
  <c r="R405" i="9" s="1" a="1"/>
  <c r="R405" i="9" s="1"/>
  <c r="P413" i="9"/>
  <c r="R413" i="9" s="1" a="1"/>
  <c r="R413" i="9" s="1"/>
  <c r="P421" i="9"/>
  <c r="R421" i="9" s="1" a="1"/>
  <c r="R421" i="9" s="1"/>
  <c r="P445" i="9"/>
  <c r="R445" i="9" s="1" a="1"/>
  <c r="R445" i="9" s="1"/>
  <c r="P461" i="9"/>
  <c r="R461" i="9" s="1" a="1"/>
  <c r="R461" i="9" s="1"/>
  <c r="P475" i="9"/>
  <c r="R475" i="9" s="1" a="1"/>
  <c r="R475" i="9" s="1"/>
  <c r="P499" i="9"/>
  <c r="R499" i="9" s="1" a="1"/>
  <c r="R499" i="9" s="1"/>
  <c r="P512" i="9"/>
  <c r="R512" i="9" s="1" a="1"/>
  <c r="R512" i="9" s="1"/>
  <c r="P526" i="9"/>
  <c r="R526" i="9" s="1" a="1"/>
  <c r="R526" i="9" s="1"/>
  <c r="P541" i="9"/>
  <c r="R541" i="9" s="1" a="1"/>
  <c r="R541" i="9" s="1"/>
  <c r="P561" i="9"/>
  <c r="R561" i="9" s="1" a="1"/>
  <c r="R561" i="9" s="1"/>
  <c r="P573" i="9"/>
  <c r="R573" i="9" s="1" a="1"/>
  <c r="R573" i="9" s="1"/>
  <c r="P587" i="9"/>
  <c r="R587" i="9" s="1" a="1"/>
  <c r="R587" i="9" s="1"/>
  <c r="P595" i="9"/>
  <c r="R595" i="9" s="1" a="1"/>
  <c r="R595" i="9" s="1"/>
  <c r="P603" i="9"/>
  <c r="R603" i="9" s="1" a="1"/>
  <c r="R603" i="9" s="1"/>
  <c r="P611" i="9"/>
  <c r="R611" i="9" s="1" a="1"/>
  <c r="R611" i="9" s="1"/>
  <c r="P619" i="9"/>
  <c r="R619" i="9" s="1" a="1"/>
  <c r="R619" i="9" s="1"/>
  <c r="P627" i="9"/>
  <c r="R627" i="9" s="1" a="1"/>
  <c r="R627" i="9" s="1"/>
  <c r="P635" i="9"/>
  <c r="R635" i="9" s="1" a="1"/>
  <c r="R635" i="9" s="1"/>
  <c r="P643" i="9"/>
  <c r="R643" i="9" s="1" a="1"/>
  <c r="R643" i="9" s="1"/>
  <c r="P651" i="9"/>
  <c r="R651" i="9" s="1" a="1"/>
  <c r="R651" i="9" s="1"/>
  <c r="P659" i="9"/>
  <c r="R659" i="9" s="1" a="1"/>
  <c r="R659" i="9" s="1"/>
  <c r="P667" i="9"/>
  <c r="R667" i="9" s="1" a="1"/>
  <c r="R667" i="9" s="1"/>
  <c r="P675" i="9"/>
  <c r="R675" i="9" s="1" a="1"/>
  <c r="R675" i="9" s="1"/>
  <c r="P683" i="9"/>
  <c r="R683" i="9" s="1" a="1"/>
  <c r="R683" i="9" s="1"/>
  <c r="P691" i="9"/>
  <c r="R691" i="9" s="1" a="1"/>
  <c r="R691" i="9" s="1"/>
  <c r="P699" i="9"/>
  <c r="R699" i="9" s="1" a="1"/>
  <c r="R699" i="9" s="1"/>
  <c r="P707" i="9"/>
  <c r="R707" i="9" s="1" a="1"/>
  <c r="R707" i="9" s="1"/>
  <c r="P715" i="9"/>
  <c r="R715" i="9" s="1" a="1"/>
  <c r="R715" i="9" s="1"/>
  <c r="P723" i="9"/>
  <c r="R723" i="9" s="1" a="1"/>
  <c r="R723" i="9" s="1"/>
  <c r="P731" i="9"/>
  <c r="R731" i="9" s="1" a="1"/>
  <c r="R731" i="9" s="1"/>
  <c r="P739" i="9"/>
  <c r="R739" i="9" s="1" a="1"/>
  <c r="R739" i="9" s="1"/>
  <c r="P747" i="9"/>
  <c r="R747" i="9" s="1" a="1"/>
  <c r="R747" i="9" s="1"/>
  <c r="P755" i="9"/>
  <c r="R755" i="9" s="1" a="1"/>
  <c r="R755" i="9" s="1"/>
  <c r="P763" i="9"/>
  <c r="R763" i="9" s="1" a="1"/>
  <c r="R763" i="9" s="1"/>
  <c r="P771" i="9"/>
  <c r="R771" i="9" s="1" a="1"/>
  <c r="R771" i="9" s="1"/>
  <c r="P779" i="9"/>
  <c r="R779" i="9" s="1" a="1"/>
  <c r="R779" i="9" s="1"/>
  <c r="P787" i="9"/>
  <c r="R787" i="9" s="1" a="1"/>
  <c r="R787" i="9" s="1"/>
  <c r="P795" i="9"/>
  <c r="R795" i="9" s="1" a="1"/>
  <c r="R795" i="9" s="1"/>
  <c r="P803" i="9"/>
  <c r="R803" i="9" s="1" a="1"/>
  <c r="R803" i="9" s="1"/>
  <c r="P811" i="9"/>
  <c r="R811" i="9" s="1" a="1"/>
  <c r="R811" i="9" s="1"/>
  <c r="P819" i="9"/>
  <c r="R819" i="9" s="1" a="1"/>
  <c r="R819" i="9" s="1"/>
  <c r="P827" i="9"/>
  <c r="R827" i="9" s="1" a="1"/>
  <c r="R827" i="9" s="1"/>
  <c r="P835" i="9"/>
  <c r="R835" i="9" s="1" a="1"/>
  <c r="R835" i="9" s="1"/>
  <c r="P843" i="9"/>
  <c r="R843" i="9" s="1" a="1"/>
  <c r="R843" i="9" s="1"/>
  <c r="P851" i="9"/>
  <c r="R851" i="9" s="1" a="1"/>
  <c r="R851" i="9" s="1"/>
  <c r="P859" i="9"/>
  <c r="R859" i="9" s="1" a="1"/>
  <c r="R859" i="9" s="1"/>
  <c r="P867" i="9"/>
  <c r="R867" i="9" s="1" a="1"/>
  <c r="R867" i="9" s="1"/>
  <c r="P875" i="9"/>
  <c r="R875" i="9" s="1" a="1"/>
  <c r="R875" i="9" s="1"/>
  <c r="P883" i="9"/>
  <c r="R883" i="9" s="1" a="1"/>
  <c r="R883" i="9" s="1"/>
  <c r="P891" i="9"/>
  <c r="R891" i="9" s="1" a="1"/>
  <c r="R891" i="9" s="1"/>
  <c r="P899" i="9"/>
  <c r="R899" i="9" s="1" a="1"/>
  <c r="R899" i="9" s="1"/>
  <c r="P907" i="9"/>
  <c r="R907" i="9" s="1" a="1"/>
  <c r="R907" i="9" s="1"/>
  <c r="P915" i="9"/>
  <c r="R915" i="9" s="1" a="1"/>
  <c r="R915" i="9" s="1"/>
  <c r="P923" i="9"/>
  <c r="R923" i="9" s="1" a="1"/>
  <c r="R923" i="9" s="1"/>
  <c r="P931" i="9"/>
  <c r="R931" i="9" s="1" a="1"/>
  <c r="R931" i="9" s="1"/>
  <c r="P939" i="9"/>
  <c r="R939" i="9" s="1" a="1"/>
  <c r="R939" i="9" s="1"/>
  <c r="P947" i="9"/>
  <c r="R947" i="9" s="1" a="1"/>
  <c r="R947" i="9" s="1"/>
  <c r="P955" i="9"/>
  <c r="R955" i="9" s="1" a="1"/>
  <c r="R955" i="9" s="1"/>
  <c r="P963" i="9"/>
  <c r="R963" i="9" s="1" a="1"/>
  <c r="R963" i="9" s="1"/>
  <c r="P971" i="9"/>
  <c r="R971" i="9" s="1" a="1"/>
  <c r="R971" i="9" s="1"/>
  <c r="P979" i="9"/>
  <c r="R979" i="9" s="1" a="1"/>
  <c r="R979" i="9" s="1"/>
  <c r="P987" i="9"/>
  <c r="R987" i="9" s="1" a="1"/>
  <c r="R987" i="9" s="1"/>
  <c r="P995" i="9"/>
  <c r="R995" i="9" s="1" a="1"/>
  <c r="R995" i="9" s="1"/>
  <c r="P1003" i="9"/>
  <c r="R1003" i="9" s="1" a="1"/>
  <c r="R1003" i="9" s="1"/>
  <c r="P1011" i="9"/>
  <c r="R1011" i="9" s="1" a="1"/>
  <c r="R1011" i="9" s="1"/>
  <c r="P1019" i="9"/>
  <c r="R1019" i="9" s="1" a="1"/>
  <c r="R1019" i="9" s="1"/>
  <c r="P1027" i="9"/>
  <c r="R1027" i="9" s="1" a="1"/>
  <c r="R1027" i="9" s="1"/>
  <c r="P1035" i="9"/>
  <c r="R1035" i="9" s="1" a="1"/>
  <c r="R1035" i="9" s="1"/>
  <c r="P1043" i="9"/>
  <c r="R1043" i="9" s="1" a="1"/>
  <c r="R1043" i="9" s="1"/>
  <c r="P1051" i="9"/>
  <c r="R1051" i="9" s="1" a="1"/>
  <c r="R1051" i="9" s="1"/>
  <c r="P1059" i="9"/>
  <c r="R1059" i="9" s="1" a="1"/>
  <c r="R1059" i="9" s="1"/>
  <c r="P1067" i="9"/>
  <c r="R1067" i="9" s="1" a="1"/>
  <c r="R1067" i="9" s="1"/>
  <c r="P1075" i="9"/>
  <c r="R1075" i="9" s="1" a="1"/>
  <c r="R1075" i="9" s="1"/>
  <c r="P1083" i="9"/>
  <c r="R1083" i="9" s="1" a="1"/>
  <c r="R1083" i="9" s="1"/>
  <c r="P1091" i="9"/>
  <c r="R1091" i="9" s="1" a="1"/>
  <c r="R1091" i="9" s="1"/>
  <c r="P1099" i="9"/>
  <c r="R1099" i="9" s="1" a="1"/>
  <c r="R1099" i="9" s="1"/>
  <c r="P1107" i="9"/>
  <c r="R1107" i="9" s="1" a="1"/>
  <c r="R1107" i="9" s="1"/>
  <c r="P1115" i="9"/>
  <c r="R1115" i="9" s="1" a="1"/>
  <c r="R1115" i="9" s="1"/>
  <c r="P1123" i="9"/>
  <c r="R1123" i="9" s="1" a="1"/>
  <c r="R1123" i="9" s="1"/>
  <c r="P1131" i="9"/>
  <c r="R1131" i="9" s="1" a="1"/>
  <c r="R1131" i="9" s="1"/>
  <c r="P1139" i="9"/>
  <c r="R1139" i="9" s="1" a="1"/>
  <c r="R1139" i="9" s="1"/>
  <c r="P1147" i="9"/>
  <c r="R1147" i="9" s="1" a="1"/>
  <c r="R1147" i="9" s="1"/>
  <c r="P1155" i="9"/>
  <c r="R1155" i="9" s="1" a="1"/>
  <c r="R1155" i="9" s="1"/>
  <c r="P1163" i="9"/>
  <c r="R1163" i="9" s="1" a="1"/>
  <c r="R1163" i="9" s="1"/>
  <c r="P1171" i="9"/>
  <c r="R1171" i="9" s="1" a="1"/>
  <c r="R1171" i="9" s="1"/>
  <c r="P1179" i="9"/>
  <c r="R1179" i="9" s="1" a="1"/>
  <c r="R1179" i="9" s="1"/>
  <c r="P1187" i="9"/>
  <c r="R1187" i="9" s="1" a="1"/>
  <c r="R1187" i="9" s="1"/>
  <c r="P1195" i="9"/>
  <c r="R1195" i="9" s="1" a="1"/>
  <c r="R1195" i="9" s="1"/>
  <c r="P1203" i="9"/>
  <c r="R1203" i="9" s="1" a="1"/>
  <c r="R1203" i="9" s="1"/>
  <c r="P1211" i="9"/>
  <c r="R1211" i="9" s="1" a="1"/>
  <c r="R1211" i="9" s="1"/>
  <c r="P1219" i="9"/>
  <c r="R1219" i="9" s="1" a="1"/>
  <c r="R1219" i="9" s="1"/>
  <c r="P1227" i="9"/>
  <c r="R1227" i="9" s="1" a="1"/>
  <c r="R1227" i="9" s="1"/>
  <c r="P1235" i="9"/>
  <c r="R1235" i="9" s="1" a="1"/>
  <c r="R1235" i="9" s="1"/>
  <c r="P1243" i="9"/>
  <c r="R1243" i="9" s="1" a="1"/>
  <c r="R1243" i="9" s="1"/>
  <c r="P1251" i="9"/>
  <c r="R1251" i="9" s="1" a="1"/>
  <c r="R1251" i="9" s="1"/>
  <c r="P1259" i="9"/>
  <c r="R1259" i="9" s="1" a="1"/>
  <c r="R1259" i="9" s="1"/>
  <c r="P1267" i="9"/>
  <c r="R1267" i="9" s="1" a="1"/>
  <c r="R1267" i="9" s="1"/>
  <c r="P1275" i="9"/>
  <c r="R1275" i="9" s="1" a="1"/>
  <c r="R1275" i="9" s="1"/>
  <c r="P1283" i="9"/>
  <c r="R1283" i="9" s="1" a="1"/>
  <c r="R1283" i="9" s="1"/>
  <c r="P1291" i="9"/>
  <c r="R1291" i="9" s="1" a="1"/>
  <c r="R1291" i="9" s="1"/>
  <c r="P1299" i="9"/>
  <c r="R1299" i="9" s="1" a="1"/>
  <c r="R1299" i="9" s="1"/>
  <c r="P1307" i="9"/>
  <c r="R1307" i="9" s="1" a="1"/>
  <c r="R1307" i="9" s="1"/>
  <c r="P1315" i="9"/>
  <c r="R1315" i="9" s="1" a="1"/>
  <c r="R1315" i="9" s="1"/>
  <c r="P1323" i="9"/>
  <c r="R1323" i="9" s="1" a="1"/>
  <c r="R1323" i="9" s="1"/>
  <c r="P1331" i="9"/>
  <c r="R1331" i="9" s="1" a="1"/>
  <c r="R1331" i="9" s="1"/>
  <c r="P1339" i="9"/>
  <c r="R1339" i="9" s="1" a="1"/>
  <c r="R1339" i="9" s="1"/>
  <c r="P1347" i="9"/>
  <c r="R1347" i="9" s="1" a="1"/>
  <c r="R1347" i="9" s="1"/>
  <c r="P1355" i="9"/>
  <c r="R1355" i="9" s="1" a="1"/>
  <c r="R1355" i="9" s="1"/>
  <c r="P1363" i="9"/>
  <c r="R1363" i="9" s="1" a="1"/>
  <c r="R1363" i="9" s="1"/>
  <c r="P1371" i="9"/>
  <c r="R1371" i="9" s="1" a="1"/>
  <c r="R1371" i="9" s="1"/>
  <c r="P1379" i="9"/>
  <c r="R1379" i="9" s="1" a="1"/>
  <c r="R1379" i="9" s="1"/>
  <c r="P1387" i="9"/>
  <c r="R1387" i="9" s="1" a="1"/>
  <c r="R1387" i="9" s="1"/>
  <c r="P1395" i="9"/>
  <c r="R1395" i="9" s="1" a="1"/>
  <c r="R1395" i="9" s="1"/>
  <c r="P1403" i="9"/>
  <c r="R1403" i="9" s="1" a="1"/>
  <c r="R1403" i="9" s="1"/>
  <c r="P1411" i="9"/>
  <c r="R1411" i="9" s="1" a="1"/>
  <c r="R1411" i="9" s="1"/>
  <c r="P1419" i="9"/>
  <c r="R1419" i="9" s="1" a="1"/>
  <c r="R1419" i="9" s="1"/>
  <c r="P1427" i="9"/>
  <c r="R1427" i="9" s="1" a="1"/>
  <c r="R1427" i="9" s="1"/>
  <c r="P1435" i="9"/>
  <c r="R1435" i="9" s="1" a="1"/>
  <c r="R1435" i="9" s="1"/>
  <c r="P1443" i="9"/>
  <c r="R1443" i="9" s="1" a="1"/>
  <c r="R1443" i="9" s="1"/>
  <c r="P1451" i="9"/>
  <c r="R1451" i="9" s="1" a="1"/>
  <c r="R1451" i="9" s="1"/>
  <c r="P1459" i="9"/>
  <c r="R1459" i="9" s="1" a="1"/>
  <c r="R1459" i="9" s="1"/>
  <c r="P1467" i="9"/>
  <c r="R1467" i="9" s="1" a="1"/>
  <c r="R1467" i="9" s="1"/>
  <c r="P1475" i="9"/>
  <c r="R1475" i="9" s="1" a="1"/>
  <c r="R1475" i="9" s="1"/>
  <c r="P1515" i="9"/>
  <c r="R1515" i="9" s="1" a="1"/>
  <c r="R1515" i="9" s="1"/>
  <c r="P1523" i="9"/>
  <c r="R1523" i="9" s="1" a="1"/>
  <c r="R1523" i="9" s="1"/>
  <c r="P1531" i="9"/>
  <c r="R1531" i="9" s="1" a="1"/>
  <c r="R1531" i="9" s="1"/>
  <c r="P1539" i="9"/>
  <c r="R1539" i="9" s="1" a="1"/>
  <c r="R1539" i="9" s="1"/>
  <c r="P1547" i="9"/>
  <c r="R1547" i="9" s="1" a="1"/>
  <c r="R1547" i="9" s="1"/>
  <c r="P1555" i="9"/>
  <c r="R1555" i="9" s="1" a="1"/>
  <c r="R1555" i="9" s="1"/>
  <c r="P1563" i="9"/>
  <c r="R1563" i="9" s="1" a="1"/>
  <c r="R1563" i="9" s="1"/>
  <c r="P1571" i="9"/>
  <c r="R1571" i="9" s="1" a="1"/>
  <c r="R1571" i="9" s="1"/>
  <c r="P1579" i="9"/>
  <c r="R1579" i="9" s="1" a="1"/>
  <c r="R1579" i="9" s="1"/>
  <c r="P1587" i="9"/>
  <c r="R1587" i="9" s="1" a="1"/>
  <c r="R1587" i="9" s="1"/>
  <c r="P1595" i="9"/>
  <c r="R1595" i="9" s="1" a="1"/>
  <c r="R1595" i="9" s="1"/>
  <c r="Q1603" i="9"/>
  <c r="P1603" i="9"/>
  <c r="R1603" i="9" s="1" a="1"/>
  <c r="R1603" i="9" s="1"/>
  <c r="P1611" i="9"/>
  <c r="R1611" i="9" s="1" a="1"/>
  <c r="R1611" i="9" s="1"/>
  <c r="P1619" i="9"/>
  <c r="R1619" i="9" s="1" a="1"/>
  <c r="R1619" i="9" s="1"/>
  <c r="P1627" i="9"/>
  <c r="R1627" i="9" s="1" a="1"/>
  <c r="R1627" i="9" s="1"/>
  <c r="P1635" i="9"/>
  <c r="R1635" i="9" s="1" a="1"/>
  <c r="R1635" i="9" s="1"/>
  <c r="P1643" i="9"/>
  <c r="R1643" i="9" s="1" a="1"/>
  <c r="R1643" i="9" s="1"/>
  <c r="P1651" i="9"/>
  <c r="R1651" i="9" s="1" a="1"/>
  <c r="R1651" i="9" s="1"/>
  <c r="P1659" i="9"/>
  <c r="R1659" i="9" s="1" a="1"/>
  <c r="R1659" i="9" s="1"/>
  <c r="P1667" i="9"/>
  <c r="R1667" i="9" s="1" a="1"/>
  <c r="R1667" i="9" s="1"/>
  <c r="P1675" i="9"/>
  <c r="R1675" i="9" s="1" a="1"/>
  <c r="R1675" i="9" s="1"/>
  <c r="P1683" i="9"/>
  <c r="R1683" i="9" s="1" a="1"/>
  <c r="R1683" i="9" s="1"/>
  <c r="P1691" i="9"/>
  <c r="R1691" i="9" s="1" a="1"/>
  <c r="R1691" i="9" s="1"/>
  <c r="P1699" i="9"/>
  <c r="R1699" i="9" s="1" a="1"/>
  <c r="R1699" i="9" s="1"/>
  <c r="P1707" i="9"/>
  <c r="R1707" i="9" s="1" a="1"/>
  <c r="R1707" i="9" s="1"/>
  <c r="P1715" i="9"/>
  <c r="R1715" i="9" s="1" a="1"/>
  <c r="R1715" i="9" s="1"/>
  <c r="P1723" i="9"/>
  <c r="R1723" i="9" s="1" a="1"/>
  <c r="R1723" i="9" s="1"/>
  <c r="P1731" i="9"/>
  <c r="R1731" i="9" s="1" a="1"/>
  <c r="R1731" i="9" s="1"/>
  <c r="P1739" i="9"/>
  <c r="R1739" i="9" s="1" a="1"/>
  <c r="R1739" i="9" s="1"/>
  <c r="P1747" i="9"/>
  <c r="R1747" i="9" s="1" a="1"/>
  <c r="R1747" i="9" s="1"/>
  <c r="P1755" i="9"/>
  <c r="R1755" i="9" s="1" a="1"/>
  <c r="R1755" i="9" s="1"/>
  <c r="P1763" i="9"/>
  <c r="R1763" i="9" s="1" a="1"/>
  <c r="R1763" i="9" s="1"/>
  <c r="P1771" i="9"/>
  <c r="R1771" i="9" s="1" a="1"/>
  <c r="R1771" i="9" s="1"/>
  <c r="P1779" i="9"/>
  <c r="R1779" i="9" s="1" a="1"/>
  <c r="R1779" i="9" s="1"/>
  <c r="P1787" i="9"/>
  <c r="R1787" i="9" s="1" a="1"/>
  <c r="R1787" i="9" s="1"/>
  <c r="P1795" i="9"/>
  <c r="R1795" i="9" s="1" a="1"/>
  <c r="R1795" i="9" s="1"/>
  <c r="P1803" i="9"/>
  <c r="R1803" i="9" s="1" a="1"/>
  <c r="R1803" i="9" s="1"/>
  <c r="P1811" i="9"/>
  <c r="R1811" i="9" s="1" a="1"/>
  <c r="R1811" i="9" s="1"/>
  <c r="P1819" i="9"/>
  <c r="R1819" i="9" s="1" a="1"/>
  <c r="R1819" i="9" s="1"/>
  <c r="P1827" i="9"/>
  <c r="R1827" i="9" s="1" a="1"/>
  <c r="R1827" i="9" s="1"/>
  <c r="P1835" i="9"/>
  <c r="R1835" i="9" s="1" a="1"/>
  <c r="R1835" i="9" s="1"/>
  <c r="P1843" i="9"/>
  <c r="R1843" i="9" s="1" a="1"/>
  <c r="R1843" i="9" s="1"/>
  <c r="P1851" i="9"/>
  <c r="R1851" i="9" s="1" a="1"/>
  <c r="R1851" i="9" s="1"/>
  <c r="P1859" i="9"/>
  <c r="R1859" i="9" s="1" a="1"/>
  <c r="R1859" i="9" s="1"/>
  <c r="P1867" i="9"/>
  <c r="R1867" i="9" s="1" a="1"/>
  <c r="R1867" i="9" s="1"/>
  <c r="P1875" i="9"/>
  <c r="R1875" i="9" s="1" a="1"/>
  <c r="R1875" i="9" s="1"/>
  <c r="P1883" i="9"/>
  <c r="R1883" i="9" s="1" a="1"/>
  <c r="R1883" i="9" s="1"/>
  <c r="P187" i="9"/>
  <c r="R187" i="9" s="1" a="1"/>
  <c r="R187" i="9" s="1"/>
  <c r="P265" i="9"/>
  <c r="R265" i="9" s="1" a="1"/>
  <c r="R265" i="9" s="1"/>
  <c r="P321" i="9"/>
  <c r="R321" i="9" s="1" a="1"/>
  <c r="R321" i="9" s="1"/>
  <c r="P426" i="9"/>
  <c r="R426" i="9" s="1" a="1"/>
  <c r="R426" i="9" s="1"/>
  <c r="P552" i="9"/>
  <c r="R552" i="9" s="1" a="1"/>
  <c r="R552" i="9" s="1"/>
  <c r="P640" i="9"/>
  <c r="R640" i="9" s="1" a="1"/>
  <c r="R640" i="9" s="1"/>
  <c r="P704" i="9"/>
  <c r="R704" i="9" s="1" a="1"/>
  <c r="R704" i="9" s="1"/>
  <c r="P760" i="9"/>
  <c r="R760" i="9" s="1" a="1"/>
  <c r="R760" i="9" s="1"/>
  <c r="P832" i="9"/>
  <c r="R832" i="9" s="1" a="1"/>
  <c r="R832" i="9" s="1"/>
  <c r="P904" i="9"/>
  <c r="R904" i="9" s="1" a="1"/>
  <c r="R904" i="9" s="1"/>
  <c r="P968" i="9"/>
  <c r="R968" i="9" s="1" a="1"/>
  <c r="R968" i="9" s="1"/>
  <c r="P1016" i="9"/>
  <c r="R1016" i="9" s="1" a="1"/>
  <c r="R1016" i="9" s="1"/>
  <c r="P1072" i="9"/>
  <c r="R1072" i="9" s="1" a="1"/>
  <c r="R1072" i="9" s="1"/>
  <c r="P1144" i="9"/>
  <c r="R1144" i="9" s="1" a="1"/>
  <c r="R1144" i="9" s="1"/>
  <c r="P1200" i="9"/>
  <c r="R1200" i="9" s="1" a="1"/>
  <c r="R1200" i="9" s="1"/>
  <c r="P1264" i="9"/>
  <c r="R1264" i="9" s="1" a="1"/>
  <c r="R1264" i="9" s="1"/>
  <c r="P1328" i="9"/>
  <c r="R1328" i="9" s="1" a="1"/>
  <c r="R1328" i="9" s="1"/>
  <c r="P1384" i="9"/>
  <c r="R1384" i="9" s="1" a="1"/>
  <c r="R1384" i="9" s="1"/>
  <c r="P1448" i="9"/>
  <c r="R1448" i="9" s="1" a="1"/>
  <c r="R1448" i="9" s="1"/>
  <c r="P1544" i="9"/>
  <c r="R1544" i="9" s="1" a="1"/>
  <c r="R1544" i="9" s="1"/>
  <c r="P1600" i="9"/>
  <c r="R1600" i="9" s="1" a="1"/>
  <c r="R1600" i="9" s="1"/>
  <c r="P1640" i="9"/>
  <c r="R1640" i="9" s="1" a="1"/>
  <c r="R1640" i="9" s="1"/>
  <c r="P1696" i="9"/>
  <c r="R1696" i="9" s="1" a="1"/>
  <c r="R1696" i="9" s="1"/>
  <c r="P1728" i="9"/>
  <c r="R1728" i="9" s="1" a="1"/>
  <c r="R1728" i="9" s="1"/>
  <c r="P1760" i="9"/>
  <c r="R1760" i="9" s="1" a="1"/>
  <c r="R1760" i="9" s="1"/>
  <c r="P1792" i="9"/>
  <c r="R1792" i="9" s="1" a="1"/>
  <c r="R1792" i="9" s="1"/>
  <c r="P1864" i="9"/>
  <c r="R1864" i="9" s="1" a="1"/>
  <c r="R1864" i="9" s="1"/>
  <c r="P173" i="9"/>
  <c r="R173" i="9" s="1" a="1"/>
  <c r="R173" i="9" s="1"/>
  <c r="P189" i="9"/>
  <c r="R189" i="9" s="1" a="1"/>
  <c r="R189" i="9" s="1"/>
  <c r="P213" i="9"/>
  <c r="R213" i="9" s="1" a="1"/>
  <c r="R213" i="9" s="1"/>
  <c r="P251" i="9"/>
  <c r="R251" i="9" s="1" a="1"/>
  <c r="R251" i="9" s="1"/>
  <c r="P283" i="9"/>
  <c r="R283" i="9" s="1" a="1"/>
  <c r="R283" i="9" s="1"/>
  <c r="P175" i="9"/>
  <c r="R175" i="9" s="1" a="1"/>
  <c r="R175" i="9" s="1"/>
  <c r="P183" i="9"/>
  <c r="R183" i="9" s="1" a="1"/>
  <c r="R183" i="9" s="1"/>
  <c r="P191" i="9"/>
  <c r="R191" i="9" s="1" a="1"/>
  <c r="R191" i="9" s="1"/>
  <c r="P199" i="9"/>
  <c r="R199" i="9" s="1" a="1"/>
  <c r="R199" i="9" s="1"/>
  <c r="P207" i="9"/>
  <c r="R207" i="9" s="1" a="1"/>
  <c r="R207" i="9" s="1"/>
  <c r="P215" i="9"/>
  <c r="R215" i="9" s="1" a="1"/>
  <c r="R215" i="9" s="1"/>
  <c r="P223" i="9"/>
  <c r="R223" i="9" s="1" a="1"/>
  <c r="R223" i="9" s="1"/>
  <c r="P231" i="9"/>
  <c r="R231" i="9" s="1" a="1"/>
  <c r="R231" i="9" s="1"/>
  <c r="P245" i="9"/>
  <c r="R245" i="9" s="1" a="1"/>
  <c r="R245" i="9" s="1"/>
  <c r="P253" i="9"/>
  <c r="R253" i="9" s="1" a="1"/>
  <c r="R253" i="9" s="1"/>
  <c r="P261" i="9"/>
  <c r="R261" i="9" s="1" a="1"/>
  <c r="R261" i="9" s="1"/>
  <c r="P269" i="9"/>
  <c r="R269" i="9" s="1" a="1"/>
  <c r="R269" i="9" s="1"/>
  <c r="P277" i="9"/>
  <c r="R277" i="9" s="1" a="1"/>
  <c r="R277" i="9" s="1"/>
  <c r="P285" i="9"/>
  <c r="R285" i="9" s="1" a="1"/>
  <c r="R285" i="9" s="1"/>
  <c r="P293" i="9"/>
  <c r="R293" i="9" s="1" a="1"/>
  <c r="R293" i="9" s="1"/>
  <c r="P301" i="9"/>
  <c r="R301" i="9" s="1" a="1"/>
  <c r="R301" i="9" s="1"/>
  <c r="P309" i="9"/>
  <c r="R309" i="9" s="1" a="1"/>
  <c r="R309" i="9" s="1"/>
  <c r="P317" i="9"/>
  <c r="R317" i="9" s="1" a="1"/>
  <c r="R317" i="9" s="1"/>
  <c r="P325" i="9"/>
  <c r="R325" i="9" s="1" a="1"/>
  <c r="R325" i="9" s="1"/>
  <c r="P374" i="9"/>
  <c r="R374" i="9" s="1" a="1"/>
  <c r="R374" i="9" s="1"/>
  <c r="Q374" i="9"/>
  <c r="P382" i="9"/>
  <c r="R382" i="9" s="1" a="1"/>
  <c r="R382" i="9" s="1"/>
  <c r="Q382" i="9"/>
  <c r="Q390" i="9"/>
  <c r="P390" i="9"/>
  <c r="R390" i="9" s="1" a="1"/>
  <c r="R390" i="9" s="1"/>
  <c r="P398" i="9"/>
  <c r="R398" i="9" s="1" a="1"/>
  <c r="R398" i="9" s="1"/>
  <c r="P406" i="9"/>
  <c r="R406" i="9" s="1" a="1"/>
  <c r="R406" i="9" s="1"/>
  <c r="P414" i="9"/>
  <c r="R414" i="9" s="1" a="1"/>
  <c r="R414" i="9" s="1"/>
  <c r="P422" i="9"/>
  <c r="R422" i="9" s="1" a="1"/>
  <c r="R422" i="9" s="1"/>
  <c r="P446" i="9"/>
  <c r="R446" i="9" s="1" a="1"/>
  <c r="R446" i="9" s="1"/>
  <c r="P462" i="9"/>
  <c r="R462" i="9" s="1" a="1"/>
  <c r="R462" i="9" s="1"/>
  <c r="P476" i="9"/>
  <c r="R476" i="9" s="1" a="1"/>
  <c r="R476" i="9" s="1"/>
  <c r="Q476" i="9"/>
  <c r="P500" i="9"/>
  <c r="R500" i="9" s="1" a="1"/>
  <c r="R500" i="9" s="1"/>
  <c r="P513" i="9"/>
  <c r="R513" i="9" s="1" a="1"/>
  <c r="R513" i="9" s="1"/>
  <c r="P527" i="9"/>
  <c r="R527" i="9" s="1" a="1"/>
  <c r="R527" i="9" s="1"/>
  <c r="P548" i="9"/>
  <c r="R548" i="9" s="1" a="1"/>
  <c r="R548" i="9" s="1"/>
  <c r="P562" i="9"/>
  <c r="R562" i="9" s="1" a="1"/>
  <c r="R562" i="9" s="1"/>
  <c r="P580" i="9"/>
  <c r="R580" i="9" s="1" a="1"/>
  <c r="R580" i="9" s="1"/>
  <c r="P588" i="9"/>
  <c r="R588" i="9" s="1" a="1"/>
  <c r="R588" i="9" s="1"/>
  <c r="P596" i="9"/>
  <c r="R596" i="9" s="1" a="1"/>
  <c r="R596" i="9" s="1"/>
  <c r="P604" i="9"/>
  <c r="R604" i="9" s="1" a="1"/>
  <c r="R604" i="9" s="1"/>
  <c r="P612" i="9"/>
  <c r="R612" i="9" s="1" a="1"/>
  <c r="R612" i="9" s="1"/>
  <c r="P620" i="9"/>
  <c r="R620" i="9" s="1" a="1"/>
  <c r="R620" i="9" s="1"/>
  <c r="P628" i="9"/>
  <c r="R628" i="9" s="1" a="1"/>
  <c r="R628" i="9" s="1"/>
  <c r="P636" i="9"/>
  <c r="R636" i="9" s="1" a="1"/>
  <c r="R636" i="9" s="1"/>
  <c r="P644" i="9"/>
  <c r="R644" i="9" s="1" a="1"/>
  <c r="R644" i="9" s="1"/>
  <c r="P652" i="9"/>
  <c r="R652" i="9" s="1" a="1"/>
  <c r="R652" i="9" s="1"/>
  <c r="P660" i="9"/>
  <c r="R660" i="9" s="1" a="1"/>
  <c r="R660" i="9" s="1"/>
  <c r="P668" i="9"/>
  <c r="R668" i="9" s="1" a="1"/>
  <c r="R668" i="9" s="1"/>
  <c r="P676" i="9"/>
  <c r="R676" i="9" s="1" a="1"/>
  <c r="R676" i="9" s="1"/>
  <c r="P684" i="9"/>
  <c r="R684" i="9" s="1" a="1"/>
  <c r="R684" i="9" s="1"/>
  <c r="P692" i="9"/>
  <c r="R692" i="9" s="1" a="1"/>
  <c r="R692" i="9" s="1"/>
  <c r="P700" i="9"/>
  <c r="R700" i="9" s="1" a="1"/>
  <c r="R700" i="9" s="1"/>
  <c r="P708" i="9"/>
  <c r="R708" i="9" s="1" a="1"/>
  <c r="R708" i="9" s="1"/>
  <c r="P716" i="9"/>
  <c r="R716" i="9" s="1" a="1"/>
  <c r="R716" i="9" s="1"/>
  <c r="P724" i="9"/>
  <c r="R724" i="9" s="1" a="1"/>
  <c r="R724" i="9" s="1"/>
  <c r="P732" i="9"/>
  <c r="R732" i="9" s="1" a="1"/>
  <c r="R732" i="9" s="1"/>
  <c r="P740" i="9"/>
  <c r="R740" i="9" s="1" a="1"/>
  <c r="R740" i="9" s="1"/>
  <c r="P748" i="9"/>
  <c r="R748" i="9" s="1" a="1"/>
  <c r="R748" i="9" s="1"/>
  <c r="P756" i="9"/>
  <c r="R756" i="9" s="1" a="1"/>
  <c r="R756" i="9" s="1"/>
  <c r="P764" i="9"/>
  <c r="R764" i="9" s="1" a="1"/>
  <c r="R764" i="9" s="1"/>
  <c r="P772" i="9"/>
  <c r="R772" i="9" s="1" a="1"/>
  <c r="R772" i="9" s="1"/>
  <c r="P780" i="9"/>
  <c r="R780" i="9" s="1" a="1"/>
  <c r="R780" i="9" s="1"/>
  <c r="P788" i="9"/>
  <c r="R788" i="9" s="1" a="1"/>
  <c r="R788" i="9" s="1"/>
  <c r="P796" i="9"/>
  <c r="R796" i="9" s="1" a="1"/>
  <c r="R796" i="9" s="1"/>
  <c r="P804" i="9"/>
  <c r="R804" i="9" s="1" a="1"/>
  <c r="R804" i="9" s="1"/>
  <c r="P812" i="9"/>
  <c r="R812" i="9" s="1" a="1"/>
  <c r="R812" i="9" s="1"/>
  <c r="P820" i="9"/>
  <c r="R820" i="9" s="1" a="1"/>
  <c r="R820" i="9" s="1"/>
  <c r="P828" i="9"/>
  <c r="R828" i="9" s="1" a="1"/>
  <c r="R828" i="9" s="1"/>
  <c r="P836" i="9"/>
  <c r="R836" i="9" s="1" a="1"/>
  <c r="R836" i="9" s="1"/>
  <c r="P844" i="9"/>
  <c r="R844" i="9" s="1" a="1"/>
  <c r="R844" i="9" s="1"/>
  <c r="P852" i="9"/>
  <c r="R852" i="9" s="1" a="1"/>
  <c r="R852" i="9" s="1"/>
  <c r="P860" i="9"/>
  <c r="R860" i="9" s="1" a="1"/>
  <c r="R860" i="9" s="1"/>
  <c r="P868" i="9"/>
  <c r="R868" i="9" s="1" a="1"/>
  <c r="R868" i="9" s="1"/>
  <c r="P876" i="9"/>
  <c r="R876" i="9" s="1" a="1"/>
  <c r="R876" i="9" s="1"/>
  <c r="P884" i="9"/>
  <c r="R884" i="9" s="1" a="1"/>
  <c r="R884" i="9" s="1"/>
  <c r="P892" i="9"/>
  <c r="R892" i="9" s="1" a="1"/>
  <c r="R892" i="9" s="1"/>
  <c r="P900" i="9"/>
  <c r="R900" i="9" s="1" a="1"/>
  <c r="R900" i="9" s="1"/>
  <c r="P908" i="9"/>
  <c r="R908" i="9" s="1" a="1"/>
  <c r="R908" i="9" s="1"/>
  <c r="P916" i="9"/>
  <c r="R916" i="9" s="1" a="1"/>
  <c r="R916" i="9" s="1"/>
  <c r="P924" i="9"/>
  <c r="R924" i="9" s="1" a="1"/>
  <c r="R924" i="9" s="1"/>
  <c r="P932" i="9"/>
  <c r="R932" i="9" s="1" a="1"/>
  <c r="R932" i="9" s="1"/>
  <c r="P940" i="9"/>
  <c r="R940" i="9" s="1" a="1"/>
  <c r="R940" i="9" s="1"/>
  <c r="P948" i="9"/>
  <c r="R948" i="9" s="1" a="1"/>
  <c r="R948" i="9" s="1"/>
  <c r="P956" i="9"/>
  <c r="R956" i="9" s="1" a="1"/>
  <c r="R956" i="9" s="1"/>
  <c r="P964" i="9"/>
  <c r="R964" i="9" s="1" a="1"/>
  <c r="R964" i="9" s="1"/>
  <c r="P972" i="9"/>
  <c r="R972" i="9" s="1" a="1"/>
  <c r="R972" i="9" s="1"/>
  <c r="P980" i="9"/>
  <c r="R980" i="9" s="1" a="1"/>
  <c r="R980" i="9" s="1"/>
  <c r="P988" i="9"/>
  <c r="R988" i="9" s="1" a="1"/>
  <c r="R988" i="9" s="1"/>
  <c r="P996" i="9"/>
  <c r="R996" i="9" s="1" a="1"/>
  <c r="R996" i="9" s="1"/>
  <c r="P1004" i="9"/>
  <c r="R1004" i="9" s="1" a="1"/>
  <c r="R1004" i="9" s="1"/>
  <c r="P1012" i="9"/>
  <c r="R1012" i="9" s="1" a="1"/>
  <c r="R1012" i="9" s="1"/>
  <c r="P1020" i="9"/>
  <c r="R1020" i="9" s="1" a="1"/>
  <c r="R1020" i="9" s="1"/>
  <c r="P1028" i="9"/>
  <c r="R1028" i="9" s="1" a="1"/>
  <c r="R1028" i="9" s="1"/>
  <c r="P1036" i="9"/>
  <c r="R1036" i="9" s="1" a="1"/>
  <c r="R1036" i="9" s="1"/>
  <c r="P1044" i="9"/>
  <c r="R1044" i="9" s="1" a="1"/>
  <c r="R1044" i="9" s="1"/>
  <c r="P1052" i="9"/>
  <c r="R1052" i="9" s="1" a="1"/>
  <c r="R1052" i="9" s="1"/>
  <c r="P1060" i="9"/>
  <c r="R1060" i="9" s="1" a="1"/>
  <c r="R1060" i="9" s="1"/>
  <c r="P1068" i="9"/>
  <c r="R1068" i="9" s="1" a="1"/>
  <c r="R1068" i="9" s="1"/>
  <c r="P1076" i="9"/>
  <c r="R1076" i="9" s="1" a="1"/>
  <c r="R1076" i="9" s="1"/>
  <c r="P1084" i="9"/>
  <c r="R1084" i="9" s="1" a="1"/>
  <c r="R1084" i="9" s="1"/>
  <c r="P1092" i="9"/>
  <c r="R1092" i="9" s="1" a="1"/>
  <c r="R1092" i="9" s="1"/>
  <c r="P1100" i="9"/>
  <c r="R1100" i="9" s="1" a="1"/>
  <c r="R1100" i="9" s="1"/>
  <c r="P1108" i="9"/>
  <c r="R1108" i="9" s="1" a="1"/>
  <c r="R1108" i="9" s="1"/>
  <c r="P1116" i="9"/>
  <c r="R1116" i="9" s="1" a="1"/>
  <c r="R1116" i="9" s="1"/>
  <c r="P1124" i="9"/>
  <c r="R1124" i="9" s="1" a="1"/>
  <c r="R1124" i="9" s="1"/>
  <c r="P1132" i="9"/>
  <c r="R1132" i="9" s="1" a="1"/>
  <c r="R1132" i="9" s="1"/>
  <c r="P1140" i="9"/>
  <c r="R1140" i="9" s="1" a="1"/>
  <c r="R1140" i="9" s="1"/>
  <c r="P1148" i="9"/>
  <c r="R1148" i="9" s="1" a="1"/>
  <c r="R1148" i="9" s="1"/>
  <c r="P1156" i="9"/>
  <c r="R1156" i="9" s="1" a="1"/>
  <c r="R1156" i="9" s="1"/>
  <c r="P1164" i="9"/>
  <c r="R1164" i="9" s="1" a="1"/>
  <c r="R1164" i="9" s="1"/>
  <c r="P1172" i="9"/>
  <c r="R1172" i="9" s="1" a="1"/>
  <c r="R1172" i="9" s="1"/>
  <c r="P1180" i="9"/>
  <c r="R1180" i="9" s="1" a="1"/>
  <c r="R1180" i="9" s="1"/>
  <c r="P1188" i="9"/>
  <c r="R1188" i="9" s="1" a="1"/>
  <c r="R1188" i="9" s="1"/>
  <c r="P1196" i="9"/>
  <c r="R1196" i="9" s="1" a="1"/>
  <c r="R1196" i="9" s="1"/>
  <c r="P1204" i="9"/>
  <c r="R1204" i="9" s="1" a="1"/>
  <c r="R1204" i="9" s="1"/>
  <c r="P1212" i="9"/>
  <c r="R1212" i="9" s="1" a="1"/>
  <c r="R1212" i="9" s="1"/>
  <c r="P1220" i="9"/>
  <c r="R1220" i="9" s="1" a="1"/>
  <c r="R1220" i="9" s="1"/>
  <c r="P1228" i="9"/>
  <c r="R1228" i="9" s="1" a="1"/>
  <c r="R1228" i="9" s="1"/>
  <c r="P1236" i="9"/>
  <c r="R1236" i="9" s="1" a="1"/>
  <c r="R1236" i="9" s="1"/>
  <c r="P1244" i="9"/>
  <c r="R1244" i="9" s="1" a="1"/>
  <c r="R1244" i="9" s="1"/>
  <c r="P1252" i="9"/>
  <c r="R1252" i="9" s="1" a="1"/>
  <c r="R1252" i="9" s="1"/>
  <c r="P1260" i="9"/>
  <c r="R1260" i="9" s="1" a="1"/>
  <c r="R1260" i="9" s="1"/>
  <c r="P1268" i="9"/>
  <c r="R1268" i="9" s="1" a="1"/>
  <c r="R1268" i="9" s="1"/>
  <c r="P1276" i="9"/>
  <c r="R1276" i="9" s="1" a="1"/>
  <c r="R1276" i="9" s="1"/>
  <c r="P1284" i="9"/>
  <c r="R1284" i="9" s="1" a="1"/>
  <c r="R1284" i="9" s="1"/>
  <c r="P1292" i="9"/>
  <c r="R1292" i="9" s="1" a="1"/>
  <c r="R1292" i="9" s="1"/>
  <c r="P1300" i="9"/>
  <c r="R1300" i="9" s="1" a="1"/>
  <c r="R1300" i="9" s="1"/>
  <c r="P1308" i="9"/>
  <c r="R1308" i="9" s="1" a="1"/>
  <c r="R1308" i="9" s="1"/>
  <c r="P1316" i="9"/>
  <c r="R1316" i="9" s="1" a="1"/>
  <c r="R1316" i="9" s="1"/>
  <c r="P1324" i="9"/>
  <c r="R1324" i="9" s="1" a="1"/>
  <c r="R1324" i="9" s="1"/>
  <c r="P1332" i="9"/>
  <c r="R1332" i="9" s="1" a="1"/>
  <c r="R1332" i="9" s="1"/>
  <c r="P1340" i="9"/>
  <c r="R1340" i="9" s="1" a="1"/>
  <c r="R1340" i="9" s="1"/>
  <c r="P1348" i="9"/>
  <c r="R1348" i="9" s="1" a="1"/>
  <c r="R1348" i="9" s="1"/>
  <c r="P1356" i="9"/>
  <c r="R1356" i="9" s="1" a="1"/>
  <c r="R1356" i="9" s="1"/>
  <c r="P1364" i="9"/>
  <c r="R1364" i="9" s="1" a="1"/>
  <c r="R1364" i="9" s="1"/>
  <c r="P1372" i="9"/>
  <c r="R1372" i="9" s="1" a="1"/>
  <c r="R1372" i="9" s="1"/>
  <c r="P1380" i="9"/>
  <c r="R1380" i="9" s="1" a="1"/>
  <c r="R1380" i="9" s="1"/>
  <c r="P1388" i="9"/>
  <c r="R1388" i="9" s="1" a="1"/>
  <c r="R1388" i="9" s="1"/>
  <c r="P1396" i="9"/>
  <c r="R1396" i="9" s="1" a="1"/>
  <c r="R1396" i="9" s="1"/>
  <c r="P1404" i="9"/>
  <c r="R1404" i="9" s="1" a="1"/>
  <c r="R1404" i="9" s="1"/>
  <c r="P1412" i="9"/>
  <c r="R1412" i="9" s="1" a="1"/>
  <c r="R1412" i="9" s="1"/>
  <c r="P1420" i="9"/>
  <c r="R1420" i="9" s="1" a="1"/>
  <c r="R1420" i="9" s="1"/>
  <c r="P1428" i="9"/>
  <c r="R1428" i="9" s="1" a="1"/>
  <c r="R1428" i="9" s="1"/>
  <c r="P1436" i="9"/>
  <c r="R1436" i="9" s="1" a="1"/>
  <c r="R1436" i="9" s="1"/>
  <c r="P1444" i="9"/>
  <c r="R1444" i="9" s="1" a="1"/>
  <c r="R1444" i="9" s="1"/>
  <c r="P1452" i="9"/>
  <c r="R1452" i="9" s="1" a="1"/>
  <c r="R1452" i="9" s="1"/>
  <c r="P1460" i="9"/>
  <c r="R1460" i="9" s="1" a="1"/>
  <c r="R1460" i="9" s="1"/>
  <c r="P1468" i="9"/>
  <c r="R1468" i="9" s="1" a="1"/>
  <c r="R1468" i="9" s="1"/>
  <c r="P1508" i="9"/>
  <c r="R1508" i="9" s="1" a="1"/>
  <c r="R1508" i="9" s="1"/>
  <c r="P1516" i="9"/>
  <c r="R1516" i="9" s="1" a="1"/>
  <c r="R1516" i="9" s="1"/>
  <c r="P1524" i="9"/>
  <c r="R1524" i="9" s="1" a="1"/>
  <c r="R1524" i="9" s="1"/>
  <c r="P1532" i="9"/>
  <c r="R1532" i="9" s="1" a="1"/>
  <c r="R1532" i="9" s="1"/>
  <c r="P1540" i="9"/>
  <c r="R1540" i="9" s="1" a="1"/>
  <c r="R1540" i="9" s="1"/>
  <c r="P1548" i="9"/>
  <c r="R1548" i="9" s="1" a="1"/>
  <c r="R1548" i="9" s="1"/>
  <c r="P1556" i="9"/>
  <c r="R1556" i="9" s="1" a="1"/>
  <c r="R1556" i="9" s="1"/>
  <c r="P1564" i="9"/>
  <c r="R1564" i="9" s="1" a="1"/>
  <c r="R1564" i="9" s="1"/>
  <c r="P1572" i="9"/>
  <c r="R1572" i="9" s="1" a="1"/>
  <c r="R1572" i="9" s="1"/>
  <c r="P1580" i="9"/>
  <c r="R1580" i="9" s="1" a="1"/>
  <c r="R1580" i="9" s="1"/>
  <c r="P1588" i="9"/>
  <c r="R1588" i="9" s="1" a="1"/>
  <c r="R1588" i="9" s="1"/>
  <c r="P1596" i="9"/>
  <c r="R1596" i="9" s="1" a="1"/>
  <c r="R1596" i="9" s="1"/>
  <c r="Q1604" i="9"/>
  <c r="P1604" i="9"/>
  <c r="R1604" i="9" s="1" a="1"/>
  <c r="R1604" i="9" s="1"/>
  <c r="P1612" i="9"/>
  <c r="R1612" i="9" s="1" a="1"/>
  <c r="R1612" i="9" s="1"/>
  <c r="P1620" i="9"/>
  <c r="R1620" i="9" s="1" a="1"/>
  <c r="R1620" i="9" s="1"/>
  <c r="P1628" i="9"/>
  <c r="R1628" i="9" s="1" a="1"/>
  <c r="R1628" i="9" s="1"/>
  <c r="P1636" i="9"/>
  <c r="R1636" i="9" s="1" a="1"/>
  <c r="R1636" i="9" s="1"/>
  <c r="P1644" i="9"/>
  <c r="R1644" i="9" s="1" a="1"/>
  <c r="R1644" i="9" s="1"/>
  <c r="P1652" i="9"/>
  <c r="R1652" i="9" s="1" a="1"/>
  <c r="R1652" i="9" s="1"/>
  <c r="P1660" i="9"/>
  <c r="R1660" i="9" s="1" a="1"/>
  <c r="R1660" i="9" s="1"/>
  <c r="P1668" i="9"/>
  <c r="R1668" i="9" s="1" a="1"/>
  <c r="R1668" i="9" s="1"/>
  <c r="P1676" i="9"/>
  <c r="R1676" i="9" s="1" a="1"/>
  <c r="R1676" i="9" s="1"/>
  <c r="P1684" i="9"/>
  <c r="R1684" i="9" s="1" a="1"/>
  <c r="R1684" i="9" s="1"/>
  <c r="P1692" i="9"/>
  <c r="R1692" i="9" s="1" a="1"/>
  <c r="R1692" i="9" s="1"/>
  <c r="P1700" i="9"/>
  <c r="R1700" i="9" s="1" a="1"/>
  <c r="R1700" i="9" s="1"/>
  <c r="P1708" i="9"/>
  <c r="R1708" i="9" s="1" a="1"/>
  <c r="R1708" i="9" s="1"/>
  <c r="P1716" i="9"/>
  <c r="R1716" i="9" s="1" a="1"/>
  <c r="R1716" i="9" s="1"/>
  <c r="P1724" i="9"/>
  <c r="R1724" i="9" s="1" a="1"/>
  <c r="R1724" i="9" s="1"/>
  <c r="P1732" i="9"/>
  <c r="R1732" i="9" s="1" a="1"/>
  <c r="R1732" i="9" s="1"/>
  <c r="P1740" i="9"/>
  <c r="R1740" i="9" s="1" a="1"/>
  <c r="R1740" i="9" s="1"/>
  <c r="P1748" i="9"/>
  <c r="R1748" i="9" s="1" a="1"/>
  <c r="R1748" i="9" s="1"/>
  <c r="P1756" i="9"/>
  <c r="R1756" i="9" s="1" a="1"/>
  <c r="R1756" i="9" s="1"/>
  <c r="P1764" i="9"/>
  <c r="R1764" i="9" s="1" a="1"/>
  <c r="R1764" i="9" s="1"/>
  <c r="P1772" i="9"/>
  <c r="R1772" i="9" s="1" a="1"/>
  <c r="R1772" i="9" s="1"/>
  <c r="P1780" i="9"/>
  <c r="R1780" i="9" s="1" a="1"/>
  <c r="R1780" i="9" s="1"/>
  <c r="P1788" i="9"/>
  <c r="R1788" i="9" s="1" a="1"/>
  <c r="R1788" i="9" s="1"/>
  <c r="P1796" i="9"/>
  <c r="R1796" i="9" s="1" a="1"/>
  <c r="R1796" i="9" s="1"/>
  <c r="P1804" i="9"/>
  <c r="R1804" i="9" s="1" a="1"/>
  <c r="R1804" i="9" s="1"/>
  <c r="P1812" i="9"/>
  <c r="R1812" i="9" s="1" a="1"/>
  <c r="R1812" i="9" s="1"/>
  <c r="P1820" i="9"/>
  <c r="R1820" i="9" s="1" a="1"/>
  <c r="R1820" i="9" s="1"/>
  <c r="P1828" i="9"/>
  <c r="R1828" i="9" s="1" a="1"/>
  <c r="R1828" i="9" s="1"/>
  <c r="P1836" i="9"/>
  <c r="R1836" i="9" s="1" a="1"/>
  <c r="R1836" i="9" s="1"/>
  <c r="P1844" i="9"/>
  <c r="R1844" i="9" s="1" a="1"/>
  <c r="R1844" i="9" s="1"/>
  <c r="P1852" i="9"/>
  <c r="R1852" i="9" s="1" a="1"/>
  <c r="R1852" i="9" s="1"/>
  <c r="P1860" i="9"/>
  <c r="R1860" i="9" s="1" a="1"/>
  <c r="R1860" i="9" s="1"/>
  <c r="P1868" i="9"/>
  <c r="R1868" i="9" s="1" a="1"/>
  <c r="R1868" i="9" s="1"/>
  <c r="P1876" i="9"/>
  <c r="R1876" i="9" s="1" a="1"/>
  <c r="R1876" i="9" s="1"/>
  <c r="P1884" i="9"/>
  <c r="R1884" i="9" s="1" a="1"/>
  <c r="R1884" i="9" s="1"/>
  <c r="P249" i="9"/>
  <c r="R249" i="9" s="1" a="1"/>
  <c r="R249" i="9" s="1"/>
  <c r="P297" i="9"/>
  <c r="R297" i="9" s="1" a="1"/>
  <c r="R297" i="9" s="1"/>
  <c r="P378" i="9"/>
  <c r="R378" i="9" s="1" a="1"/>
  <c r="R378" i="9" s="1"/>
  <c r="Q378" i="9"/>
  <c r="P450" i="9"/>
  <c r="R450" i="9" s="1" a="1"/>
  <c r="R450" i="9" s="1"/>
  <c r="P570" i="9"/>
  <c r="R570" i="9" s="1" a="1"/>
  <c r="R570" i="9" s="1"/>
  <c r="P632" i="9"/>
  <c r="R632" i="9" s="1" a="1"/>
  <c r="R632" i="9" s="1"/>
  <c r="P696" i="9"/>
  <c r="R696" i="9" s="1" a="1"/>
  <c r="R696" i="9" s="1"/>
  <c r="P744" i="9"/>
  <c r="R744" i="9" s="1" a="1"/>
  <c r="R744" i="9" s="1"/>
  <c r="P800" i="9"/>
  <c r="R800" i="9" s="1" a="1"/>
  <c r="R800" i="9" s="1"/>
  <c r="P848" i="9"/>
  <c r="R848" i="9" s="1" a="1"/>
  <c r="R848" i="9" s="1"/>
  <c r="P896" i="9"/>
  <c r="R896" i="9" s="1" a="1"/>
  <c r="R896" i="9" s="1"/>
  <c r="P944" i="9"/>
  <c r="R944" i="9" s="1" a="1"/>
  <c r="R944" i="9" s="1"/>
  <c r="P1000" i="9"/>
  <c r="R1000" i="9" s="1" a="1"/>
  <c r="R1000" i="9" s="1"/>
  <c r="P1056" i="9"/>
  <c r="R1056" i="9" s="1" a="1"/>
  <c r="R1056" i="9" s="1"/>
  <c r="P1112" i="9"/>
  <c r="R1112" i="9" s="1" a="1"/>
  <c r="R1112" i="9" s="1"/>
  <c r="P1160" i="9"/>
  <c r="R1160" i="9" s="1" a="1"/>
  <c r="R1160" i="9" s="1"/>
  <c r="P1216" i="9"/>
  <c r="R1216" i="9" s="1" a="1"/>
  <c r="R1216" i="9" s="1"/>
  <c r="P1272" i="9"/>
  <c r="R1272" i="9" s="1" a="1"/>
  <c r="R1272" i="9" s="1"/>
  <c r="P1304" i="9"/>
  <c r="R1304" i="9" s="1" a="1"/>
  <c r="R1304" i="9" s="1"/>
  <c r="P1352" i="9"/>
  <c r="R1352" i="9" s="1" a="1"/>
  <c r="R1352" i="9" s="1"/>
  <c r="P1408" i="9"/>
  <c r="R1408" i="9" s="1" a="1"/>
  <c r="R1408" i="9" s="1"/>
  <c r="P1464" i="9"/>
  <c r="R1464" i="9" s="1" a="1"/>
  <c r="R1464" i="9" s="1"/>
  <c r="P1536" i="9"/>
  <c r="R1536" i="9" s="1" a="1"/>
  <c r="R1536" i="9" s="1"/>
  <c r="P1616" i="9"/>
  <c r="R1616" i="9" s="1" a="1"/>
  <c r="R1616" i="9" s="1"/>
  <c r="P1664" i="9"/>
  <c r="R1664" i="9" s="1" a="1"/>
  <c r="R1664" i="9" s="1"/>
  <c r="P1704" i="9"/>
  <c r="R1704" i="9" s="1" a="1"/>
  <c r="R1704" i="9" s="1"/>
  <c r="P1856" i="9"/>
  <c r="R1856" i="9" s="1" a="1"/>
  <c r="R1856" i="9" s="1"/>
  <c r="P192" i="9"/>
  <c r="R192" i="9" s="1" a="1"/>
  <c r="R192" i="9" s="1"/>
  <c r="P216" i="9"/>
  <c r="R216" i="9" s="1" a="1"/>
  <c r="R216" i="9" s="1"/>
  <c r="P246" i="9"/>
  <c r="R246" i="9" s="1" a="1"/>
  <c r="R246" i="9" s="1"/>
  <c r="P262" i="9"/>
  <c r="R262" i="9" s="1" a="1"/>
  <c r="R262" i="9" s="1"/>
  <c r="P270" i="9"/>
  <c r="R270" i="9" s="1" a="1"/>
  <c r="R270" i="9" s="1"/>
  <c r="P286" i="9"/>
  <c r="R286" i="9" s="1" a="1"/>
  <c r="R286" i="9" s="1"/>
  <c r="P294" i="9"/>
  <c r="R294" i="9" s="1" a="1"/>
  <c r="R294" i="9" s="1"/>
  <c r="P302" i="9"/>
  <c r="R302" i="9" s="1" a="1"/>
  <c r="R302" i="9" s="1"/>
  <c r="P310" i="9"/>
  <c r="R310" i="9" s="1" a="1"/>
  <c r="R310" i="9" s="1"/>
  <c r="P318" i="9"/>
  <c r="R318" i="9" s="1" a="1"/>
  <c r="R318" i="9" s="1"/>
  <c r="P326" i="9"/>
  <c r="R326" i="9" s="1" a="1"/>
  <c r="R326" i="9" s="1"/>
  <c r="P375" i="9"/>
  <c r="R375" i="9" s="1" a="1"/>
  <c r="R375" i="9" s="1"/>
  <c r="Q375" i="9"/>
  <c r="P383" i="9"/>
  <c r="R383" i="9" s="1" a="1"/>
  <c r="R383" i="9" s="1"/>
  <c r="Q383" i="9"/>
  <c r="P391" i="9"/>
  <c r="R391" i="9" s="1" a="1"/>
  <c r="R391" i="9" s="1"/>
  <c r="Q391" i="9"/>
  <c r="P399" i="9"/>
  <c r="R399" i="9" s="1" a="1"/>
  <c r="R399" i="9" s="1"/>
  <c r="P407" i="9"/>
  <c r="R407" i="9" s="1" a="1"/>
  <c r="R407" i="9" s="1"/>
  <c r="P415" i="9"/>
  <c r="R415" i="9" s="1" a="1"/>
  <c r="R415" i="9" s="1"/>
  <c r="P423" i="9"/>
  <c r="R423" i="9" s="1" a="1"/>
  <c r="R423" i="9" s="1"/>
  <c r="P447" i="9"/>
  <c r="R447" i="9" s="1" a="1"/>
  <c r="R447" i="9" s="1"/>
  <c r="P463" i="9"/>
  <c r="R463" i="9" s="1" a="1"/>
  <c r="R463" i="9" s="1"/>
  <c r="P477" i="9"/>
  <c r="R477" i="9" s="1" a="1"/>
  <c r="R477" i="9" s="1"/>
  <c r="P501" i="9"/>
  <c r="R501" i="9" s="1" a="1"/>
  <c r="R501" i="9" s="1"/>
  <c r="P514" i="9"/>
  <c r="R514" i="9" s="1" a="1"/>
  <c r="R514" i="9" s="1"/>
  <c r="P528" i="9"/>
  <c r="R528" i="9" s="1" a="1"/>
  <c r="R528" i="9" s="1"/>
  <c r="P549" i="9"/>
  <c r="R549" i="9" s="1" a="1"/>
  <c r="R549" i="9" s="1"/>
  <c r="P563" i="9"/>
  <c r="R563" i="9" s="1" a="1"/>
  <c r="R563" i="9" s="1"/>
  <c r="P581" i="9"/>
  <c r="R581" i="9" s="1" a="1"/>
  <c r="R581" i="9" s="1"/>
  <c r="P589" i="9"/>
  <c r="R589" i="9" s="1" a="1"/>
  <c r="R589" i="9" s="1"/>
  <c r="P597" i="9"/>
  <c r="R597" i="9" s="1" a="1"/>
  <c r="R597" i="9" s="1"/>
  <c r="P605" i="9"/>
  <c r="R605" i="9" s="1" a="1"/>
  <c r="R605" i="9" s="1"/>
  <c r="P613" i="9"/>
  <c r="R613" i="9" s="1" a="1"/>
  <c r="R613" i="9" s="1"/>
  <c r="P621" i="9"/>
  <c r="R621" i="9" s="1" a="1"/>
  <c r="R621" i="9" s="1"/>
  <c r="P629" i="9"/>
  <c r="R629" i="9" s="1" a="1"/>
  <c r="R629" i="9" s="1"/>
  <c r="P637" i="9"/>
  <c r="R637" i="9" s="1" a="1"/>
  <c r="R637" i="9" s="1"/>
  <c r="P645" i="9"/>
  <c r="R645" i="9" s="1" a="1"/>
  <c r="R645" i="9" s="1"/>
  <c r="P653" i="9"/>
  <c r="R653" i="9" s="1" a="1"/>
  <c r="R653" i="9" s="1"/>
  <c r="P661" i="9"/>
  <c r="R661" i="9" s="1" a="1"/>
  <c r="R661" i="9" s="1"/>
  <c r="P669" i="9"/>
  <c r="R669" i="9" s="1" a="1"/>
  <c r="R669" i="9" s="1"/>
  <c r="P677" i="9"/>
  <c r="R677" i="9" s="1" a="1"/>
  <c r="R677" i="9" s="1"/>
  <c r="P685" i="9"/>
  <c r="R685" i="9" s="1" a="1"/>
  <c r="R685" i="9" s="1"/>
  <c r="P693" i="9"/>
  <c r="R693" i="9" s="1" a="1"/>
  <c r="R693" i="9" s="1"/>
  <c r="P701" i="9"/>
  <c r="R701" i="9" s="1" a="1"/>
  <c r="R701" i="9" s="1"/>
  <c r="P709" i="9"/>
  <c r="R709" i="9" s="1" a="1"/>
  <c r="R709" i="9" s="1"/>
  <c r="P717" i="9"/>
  <c r="R717" i="9" s="1" a="1"/>
  <c r="R717" i="9" s="1"/>
  <c r="P725" i="9"/>
  <c r="R725" i="9" s="1" a="1"/>
  <c r="R725" i="9" s="1"/>
  <c r="P733" i="9"/>
  <c r="R733" i="9" s="1" a="1"/>
  <c r="R733" i="9" s="1"/>
  <c r="P741" i="9"/>
  <c r="R741" i="9" s="1" a="1"/>
  <c r="R741" i="9" s="1"/>
  <c r="P749" i="9"/>
  <c r="R749" i="9" s="1" a="1"/>
  <c r="R749" i="9" s="1"/>
  <c r="P757" i="9"/>
  <c r="R757" i="9" s="1" a="1"/>
  <c r="R757" i="9" s="1"/>
  <c r="P765" i="9"/>
  <c r="R765" i="9" s="1" a="1"/>
  <c r="R765" i="9" s="1"/>
  <c r="P773" i="9"/>
  <c r="R773" i="9" s="1" a="1"/>
  <c r="R773" i="9" s="1"/>
  <c r="P781" i="9"/>
  <c r="R781" i="9" s="1" a="1"/>
  <c r="R781" i="9" s="1"/>
  <c r="P789" i="9"/>
  <c r="R789" i="9" s="1" a="1"/>
  <c r="R789" i="9" s="1"/>
  <c r="P797" i="9"/>
  <c r="R797" i="9" s="1" a="1"/>
  <c r="R797" i="9" s="1"/>
  <c r="P805" i="9"/>
  <c r="R805" i="9" s="1" a="1"/>
  <c r="R805" i="9" s="1"/>
  <c r="P813" i="9"/>
  <c r="R813" i="9" s="1" a="1"/>
  <c r="R813" i="9" s="1"/>
  <c r="P821" i="9"/>
  <c r="R821" i="9" s="1" a="1"/>
  <c r="R821" i="9" s="1"/>
  <c r="P829" i="9"/>
  <c r="R829" i="9" s="1" a="1"/>
  <c r="R829" i="9" s="1"/>
  <c r="P837" i="9"/>
  <c r="R837" i="9" s="1" a="1"/>
  <c r="R837" i="9" s="1"/>
  <c r="P845" i="9"/>
  <c r="R845" i="9" s="1" a="1"/>
  <c r="R845" i="9" s="1"/>
  <c r="P853" i="9"/>
  <c r="R853" i="9" s="1" a="1"/>
  <c r="R853" i="9" s="1"/>
  <c r="P861" i="9"/>
  <c r="R861" i="9" s="1" a="1"/>
  <c r="R861" i="9" s="1"/>
  <c r="P869" i="9"/>
  <c r="R869" i="9" s="1" a="1"/>
  <c r="R869" i="9" s="1"/>
  <c r="P877" i="9"/>
  <c r="R877" i="9" s="1" a="1"/>
  <c r="R877" i="9" s="1"/>
  <c r="P885" i="9"/>
  <c r="R885" i="9" s="1" a="1"/>
  <c r="R885" i="9" s="1"/>
  <c r="P893" i="9"/>
  <c r="R893" i="9" s="1" a="1"/>
  <c r="R893" i="9" s="1"/>
  <c r="P901" i="9"/>
  <c r="R901" i="9" s="1" a="1"/>
  <c r="R901" i="9" s="1"/>
  <c r="P909" i="9"/>
  <c r="R909" i="9" s="1" a="1"/>
  <c r="R909" i="9" s="1"/>
  <c r="P917" i="9"/>
  <c r="R917" i="9" s="1" a="1"/>
  <c r="R917" i="9" s="1"/>
  <c r="P925" i="9"/>
  <c r="R925" i="9" s="1" a="1"/>
  <c r="R925" i="9" s="1"/>
  <c r="P933" i="9"/>
  <c r="R933" i="9" s="1" a="1"/>
  <c r="R933" i="9" s="1"/>
  <c r="P941" i="9"/>
  <c r="R941" i="9" s="1" a="1"/>
  <c r="R941" i="9" s="1"/>
  <c r="P949" i="9"/>
  <c r="R949" i="9" s="1" a="1"/>
  <c r="R949" i="9" s="1"/>
  <c r="P957" i="9"/>
  <c r="R957" i="9" s="1" a="1"/>
  <c r="R957" i="9" s="1"/>
  <c r="P965" i="9"/>
  <c r="R965" i="9" s="1" a="1"/>
  <c r="R965" i="9" s="1"/>
  <c r="P973" i="9"/>
  <c r="R973" i="9" s="1" a="1"/>
  <c r="R973" i="9" s="1"/>
  <c r="P981" i="9"/>
  <c r="R981" i="9" s="1" a="1"/>
  <c r="R981" i="9" s="1"/>
  <c r="P989" i="9"/>
  <c r="R989" i="9" s="1" a="1"/>
  <c r="R989" i="9" s="1"/>
  <c r="P997" i="9"/>
  <c r="R997" i="9" s="1" a="1"/>
  <c r="R997" i="9" s="1"/>
  <c r="P1005" i="9"/>
  <c r="R1005" i="9" s="1" a="1"/>
  <c r="R1005" i="9" s="1"/>
  <c r="P1013" i="9"/>
  <c r="R1013" i="9" s="1" a="1"/>
  <c r="R1013" i="9" s="1"/>
  <c r="P1021" i="9"/>
  <c r="R1021" i="9" s="1" a="1"/>
  <c r="R1021" i="9" s="1"/>
  <c r="P1029" i="9"/>
  <c r="R1029" i="9" s="1" a="1"/>
  <c r="R1029" i="9" s="1"/>
  <c r="P1037" i="9"/>
  <c r="R1037" i="9" s="1" a="1"/>
  <c r="R1037" i="9" s="1"/>
  <c r="P1045" i="9"/>
  <c r="R1045" i="9" s="1" a="1"/>
  <c r="R1045" i="9" s="1"/>
  <c r="P1053" i="9"/>
  <c r="R1053" i="9" s="1" a="1"/>
  <c r="R1053" i="9" s="1"/>
  <c r="P1061" i="9"/>
  <c r="R1061" i="9" s="1" a="1"/>
  <c r="R1061" i="9" s="1"/>
  <c r="P1069" i="9"/>
  <c r="R1069" i="9" s="1" a="1"/>
  <c r="R1069" i="9" s="1"/>
  <c r="P1077" i="9"/>
  <c r="R1077" i="9" s="1" a="1"/>
  <c r="R1077" i="9" s="1"/>
  <c r="P1085" i="9"/>
  <c r="R1085" i="9" s="1" a="1"/>
  <c r="R1085" i="9" s="1"/>
  <c r="P1093" i="9"/>
  <c r="R1093" i="9" s="1" a="1"/>
  <c r="R1093" i="9" s="1"/>
  <c r="P1101" i="9"/>
  <c r="R1101" i="9" s="1" a="1"/>
  <c r="R1101" i="9" s="1"/>
  <c r="P1109" i="9"/>
  <c r="R1109" i="9" s="1" a="1"/>
  <c r="R1109" i="9" s="1"/>
  <c r="P1117" i="9"/>
  <c r="R1117" i="9" s="1" a="1"/>
  <c r="R1117" i="9" s="1"/>
  <c r="P1125" i="9"/>
  <c r="R1125" i="9" s="1" a="1"/>
  <c r="R1125" i="9" s="1"/>
  <c r="P1133" i="9"/>
  <c r="R1133" i="9" s="1" a="1"/>
  <c r="R1133" i="9" s="1"/>
  <c r="P1141" i="9"/>
  <c r="R1141" i="9" s="1" a="1"/>
  <c r="R1141" i="9" s="1"/>
  <c r="P1149" i="9"/>
  <c r="R1149" i="9" s="1" a="1"/>
  <c r="R1149" i="9" s="1"/>
  <c r="P1157" i="9"/>
  <c r="R1157" i="9" s="1" a="1"/>
  <c r="R1157" i="9" s="1"/>
  <c r="P1165" i="9"/>
  <c r="R1165" i="9" s="1" a="1"/>
  <c r="R1165" i="9" s="1"/>
  <c r="P1173" i="9"/>
  <c r="R1173" i="9" s="1" a="1"/>
  <c r="R1173" i="9" s="1"/>
  <c r="P1181" i="9"/>
  <c r="R1181" i="9" s="1" a="1"/>
  <c r="R1181" i="9" s="1"/>
  <c r="P1189" i="9"/>
  <c r="R1189" i="9" s="1" a="1"/>
  <c r="R1189" i="9" s="1"/>
  <c r="P1197" i="9"/>
  <c r="R1197" i="9" s="1" a="1"/>
  <c r="R1197" i="9" s="1"/>
  <c r="P1205" i="9"/>
  <c r="R1205" i="9" s="1" a="1"/>
  <c r="R1205" i="9" s="1"/>
  <c r="P1213" i="9"/>
  <c r="R1213" i="9" s="1" a="1"/>
  <c r="R1213" i="9" s="1"/>
  <c r="P1221" i="9"/>
  <c r="R1221" i="9" s="1" a="1"/>
  <c r="R1221" i="9" s="1"/>
  <c r="P1229" i="9"/>
  <c r="R1229" i="9" s="1" a="1"/>
  <c r="R1229" i="9" s="1"/>
  <c r="P1237" i="9"/>
  <c r="R1237" i="9" s="1" a="1"/>
  <c r="R1237" i="9" s="1"/>
  <c r="P1245" i="9"/>
  <c r="R1245" i="9" s="1" a="1"/>
  <c r="R1245" i="9" s="1"/>
  <c r="P1253" i="9"/>
  <c r="R1253" i="9" s="1" a="1"/>
  <c r="R1253" i="9" s="1"/>
  <c r="P1261" i="9"/>
  <c r="R1261" i="9" s="1" a="1"/>
  <c r="R1261" i="9" s="1"/>
  <c r="P1269" i="9"/>
  <c r="R1269" i="9" s="1" a="1"/>
  <c r="R1269" i="9" s="1"/>
  <c r="P1277" i="9"/>
  <c r="R1277" i="9" s="1" a="1"/>
  <c r="R1277" i="9" s="1"/>
  <c r="P1285" i="9"/>
  <c r="R1285" i="9" s="1" a="1"/>
  <c r="R1285" i="9" s="1"/>
  <c r="P1293" i="9"/>
  <c r="R1293" i="9" s="1" a="1"/>
  <c r="R1293" i="9" s="1"/>
  <c r="P1301" i="9"/>
  <c r="R1301" i="9" s="1" a="1"/>
  <c r="R1301" i="9" s="1"/>
  <c r="P1309" i="9"/>
  <c r="R1309" i="9" s="1" a="1"/>
  <c r="R1309" i="9" s="1"/>
  <c r="P1317" i="9"/>
  <c r="R1317" i="9" s="1" a="1"/>
  <c r="R1317" i="9" s="1"/>
  <c r="P1325" i="9"/>
  <c r="R1325" i="9" s="1" a="1"/>
  <c r="R1325" i="9" s="1"/>
  <c r="P1333" i="9"/>
  <c r="R1333" i="9" s="1" a="1"/>
  <c r="R1333" i="9" s="1"/>
  <c r="P1341" i="9"/>
  <c r="R1341" i="9" s="1" a="1"/>
  <c r="R1341" i="9" s="1"/>
  <c r="P1349" i="9"/>
  <c r="R1349" i="9" s="1" a="1"/>
  <c r="R1349" i="9" s="1"/>
  <c r="P1357" i="9"/>
  <c r="R1357" i="9" s="1" a="1"/>
  <c r="R1357" i="9" s="1"/>
  <c r="P1365" i="9"/>
  <c r="R1365" i="9" s="1" a="1"/>
  <c r="R1365" i="9" s="1"/>
  <c r="P1373" i="9"/>
  <c r="R1373" i="9" s="1" a="1"/>
  <c r="R1373" i="9" s="1"/>
  <c r="P1381" i="9"/>
  <c r="R1381" i="9" s="1" a="1"/>
  <c r="R1381" i="9" s="1"/>
  <c r="P1389" i="9"/>
  <c r="R1389" i="9" s="1" a="1"/>
  <c r="R1389" i="9" s="1"/>
  <c r="P1397" i="9"/>
  <c r="R1397" i="9" s="1" a="1"/>
  <c r="R1397" i="9" s="1"/>
  <c r="P1405" i="9"/>
  <c r="R1405" i="9" s="1" a="1"/>
  <c r="R1405" i="9" s="1"/>
  <c r="P1413" i="9"/>
  <c r="R1413" i="9" s="1" a="1"/>
  <c r="R1413" i="9" s="1"/>
  <c r="P1421" i="9"/>
  <c r="R1421" i="9" s="1" a="1"/>
  <c r="R1421" i="9" s="1"/>
  <c r="P1429" i="9"/>
  <c r="R1429" i="9" s="1" a="1"/>
  <c r="R1429" i="9" s="1"/>
  <c r="P1437" i="9"/>
  <c r="R1437" i="9" s="1" a="1"/>
  <c r="R1437" i="9" s="1"/>
  <c r="P1445" i="9"/>
  <c r="R1445" i="9" s="1" a="1"/>
  <c r="R1445" i="9" s="1"/>
  <c r="P1453" i="9"/>
  <c r="R1453" i="9" s="1" a="1"/>
  <c r="R1453" i="9" s="1"/>
  <c r="P1461" i="9"/>
  <c r="R1461" i="9" s="1" a="1"/>
  <c r="R1461" i="9" s="1"/>
  <c r="P1469" i="9"/>
  <c r="R1469" i="9" s="1" a="1"/>
  <c r="R1469" i="9" s="1"/>
  <c r="P1509" i="9"/>
  <c r="R1509" i="9" s="1" a="1"/>
  <c r="R1509" i="9" s="1"/>
  <c r="P1517" i="9"/>
  <c r="R1517" i="9" s="1" a="1"/>
  <c r="R1517" i="9" s="1"/>
  <c r="P1525" i="9"/>
  <c r="R1525" i="9" s="1" a="1"/>
  <c r="R1525" i="9" s="1"/>
  <c r="P1533" i="9"/>
  <c r="R1533" i="9" s="1" a="1"/>
  <c r="R1533" i="9" s="1"/>
  <c r="P1541" i="9"/>
  <c r="R1541" i="9" s="1" a="1"/>
  <c r="R1541" i="9" s="1"/>
  <c r="P1549" i="9"/>
  <c r="R1549" i="9" s="1" a="1"/>
  <c r="R1549" i="9" s="1"/>
  <c r="P1557" i="9"/>
  <c r="R1557" i="9" s="1" a="1"/>
  <c r="R1557" i="9" s="1"/>
  <c r="P1565" i="9"/>
  <c r="R1565" i="9" s="1" a="1"/>
  <c r="R1565" i="9" s="1"/>
  <c r="P1573" i="9"/>
  <c r="R1573" i="9" s="1" a="1"/>
  <c r="R1573" i="9" s="1"/>
  <c r="P1581" i="9"/>
  <c r="R1581" i="9" s="1" a="1"/>
  <c r="R1581" i="9" s="1"/>
  <c r="P1589" i="9"/>
  <c r="R1589" i="9" s="1" a="1"/>
  <c r="R1589" i="9" s="1"/>
  <c r="P1597" i="9"/>
  <c r="R1597" i="9" s="1" a="1"/>
  <c r="R1597" i="9" s="1"/>
  <c r="P1605" i="9"/>
  <c r="R1605" i="9" s="1" a="1"/>
  <c r="R1605" i="9" s="1"/>
  <c r="Q1605" i="9"/>
  <c r="P1613" i="9"/>
  <c r="R1613" i="9" s="1" a="1"/>
  <c r="R1613" i="9" s="1"/>
  <c r="P1621" i="9"/>
  <c r="R1621" i="9" s="1" a="1"/>
  <c r="R1621" i="9" s="1"/>
  <c r="P1629" i="9"/>
  <c r="R1629" i="9" s="1" a="1"/>
  <c r="R1629" i="9" s="1"/>
  <c r="P1637" i="9"/>
  <c r="R1637" i="9" s="1" a="1"/>
  <c r="R1637" i="9" s="1"/>
  <c r="P1645" i="9"/>
  <c r="R1645" i="9" s="1" a="1"/>
  <c r="R1645" i="9" s="1"/>
  <c r="P1653" i="9"/>
  <c r="R1653" i="9" s="1" a="1"/>
  <c r="R1653" i="9" s="1"/>
  <c r="P1661" i="9"/>
  <c r="R1661" i="9" s="1" a="1"/>
  <c r="R1661" i="9" s="1"/>
  <c r="P1669" i="9"/>
  <c r="R1669" i="9" s="1" a="1"/>
  <c r="R1669" i="9" s="1"/>
  <c r="P1677" i="9"/>
  <c r="R1677" i="9" s="1" a="1"/>
  <c r="R1677" i="9" s="1"/>
  <c r="P1685" i="9"/>
  <c r="R1685" i="9" s="1" a="1"/>
  <c r="R1685" i="9" s="1"/>
  <c r="P1693" i="9"/>
  <c r="R1693" i="9" s="1" a="1"/>
  <c r="R1693" i="9" s="1"/>
  <c r="P1701" i="9"/>
  <c r="R1701" i="9" s="1" a="1"/>
  <c r="R1701" i="9" s="1"/>
  <c r="P1709" i="9"/>
  <c r="R1709" i="9" s="1" a="1"/>
  <c r="R1709" i="9" s="1"/>
  <c r="P1717" i="9"/>
  <c r="R1717" i="9" s="1" a="1"/>
  <c r="R1717" i="9" s="1"/>
  <c r="P1725" i="9"/>
  <c r="R1725" i="9" s="1" a="1"/>
  <c r="R1725" i="9" s="1"/>
  <c r="P1733" i="9"/>
  <c r="R1733" i="9" s="1" a="1"/>
  <c r="R1733" i="9" s="1"/>
  <c r="P1741" i="9"/>
  <c r="R1741" i="9" s="1" a="1"/>
  <c r="R1741" i="9" s="1"/>
  <c r="P1749" i="9"/>
  <c r="R1749" i="9" s="1" a="1"/>
  <c r="R1749" i="9" s="1"/>
  <c r="P1757" i="9"/>
  <c r="R1757" i="9" s="1" a="1"/>
  <c r="R1757" i="9" s="1"/>
  <c r="P1765" i="9"/>
  <c r="R1765" i="9" s="1" a="1"/>
  <c r="R1765" i="9" s="1"/>
  <c r="P1773" i="9"/>
  <c r="R1773" i="9" s="1" a="1"/>
  <c r="R1773" i="9" s="1"/>
  <c r="P1781" i="9"/>
  <c r="R1781" i="9" s="1" a="1"/>
  <c r="R1781" i="9" s="1"/>
  <c r="P1789" i="9"/>
  <c r="R1789" i="9" s="1" a="1"/>
  <c r="R1789" i="9" s="1"/>
  <c r="P1797" i="9"/>
  <c r="R1797" i="9" s="1" a="1"/>
  <c r="R1797" i="9" s="1"/>
  <c r="P1805" i="9"/>
  <c r="R1805" i="9" s="1" a="1"/>
  <c r="R1805" i="9" s="1"/>
  <c r="P1813" i="9"/>
  <c r="R1813" i="9" s="1" a="1"/>
  <c r="R1813" i="9" s="1"/>
  <c r="P1821" i="9"/>
  <c r="R1821" i="9" s="1" a="1"/>
  <c r="R1821" i="9" s="1"/>
  <c r="P1829" i="9"/>
  <c r="R1829" i="9" s="1" a="1"/>
  <c r="R1829" i="9" s="1"/>
  <c r="P1837" i="9"/>
  <c r="R1837" i="9" s="1" a="1"/>
  <c r="R1837" i="9" s="1"/>
  <c r="P1845" i="9"/>
  <c r="R1845" i="9" s="1" a="1"/>
  <c r="R1845" i="9" s="1"/>
  <c r="P1853" i="9"/>
  <c r="R1853" i="9" s="1" a="1"/>
  <c r="R1853" i="9" s="1"/>
  <c r="P1861" i="9"/>
  <c r="R1861" i="9" s="1" a="1"/>
  <c r="R1861" i="9" s="1"/>
  <c r="P1869" i="9"/>
  <c r="R1869" i="9" s="1" a="1"/>
  <c r="R1869" i="9" s="1"/>
  <c r="P1877" i="9"/>
  <c r="R1877" i="9" s="1" a="1"/>
  <c r="R1877" i="9" s="1"/>
  <c r="P1885" i="9"/>
  <c r="R1885" i="9" s="1" a="1"/>
  <c r="R1885" i="9" s="1"/>
  <c r="P179" i="9"/>
  <c r="R179" i="9" s="1" a="1"/>
  <c r="R179" i="9" s="1"/>
  <c r="P227" i="9"/>
  <c r="R227" i="9" s="1" a="1"/>
  <c r="R227" i="9" s="1"/>
  <c r="P289" i="9"/>
  <c r="R289" i="9" s="1" a="1"/>
  <c r="R289" i="9" s="1"/>
  <c r="P402" i="9"/>
  <c r="R402" i="9" s="1" a="1"/>
  <c r="R402" i="9" s="1"/>
  <c r="P504" i="9"/>
  <c r="R504" i="9" s="1" a="1"/>
  <c r="R504" i="9" s="1"/>
  <c r="P608" i="9"/>
  <c r="R608" i="9" s="1" a="1"/>
  <c r="R608" i="9" s="1"/>
  <c r="P664" i="9"/>
  <c r="R664" i="9" s="1" a="1"/>
  <c r="R664" i="9" s="1"/>
  <c r="P712" i="9"/>
  <c r="R712" i="9" s="1" a="1"/>
  <c r="R712" i="9" s="1"/>
  <c r="P752" i="9"/>
  <c r="R752" i="9" s="1" a="1"/>
  <c r="R752" i="9" s="1"/>
  <c r="P824" i="9"/>
  <c r="R824" i="9" s="1" a="1"/>
  <c r="R824" i="9" s="1"/>
  <c r="P880" i="9"/>
  <c r="R880" i="9" s="1" a="1"/>
  <c r="R880" i="9" s="1"/>
  <c r="P952" i="9"/>
  <c r="R952" i="9" s="1" a="1"/>
  <c r="R952" i="9" s="1"/>
  <c r="P1008" i="9"/>
  <c r="R1008" i="9" s="1" a="1"/>
  <c r="R1008" i="9" s="1"/>
  <c r="P1064" i="9"/>
  <c r="R1064" i="9" s="1" a="1"/>
  <c r="R1064" i="9" s="1"/>
  <c r="P1120" i="9"/>
  <c r="R1120" i="9" s="1" a="1"/>
  <c r="R1120" i="9" s="1"/>
  <c r="P1168" i="9"/>
  <c r="R1168" i="9" s="1" a="1"/>
  <c r="R1168" i="9" s="1"/>
  <c r="P1232" i="9"/>
  <c r="R1232" i="9" s="1" a="1"/>
  <c r="R1232" i="9" s="1"/>
  <c r="P1296" i="9"/>
  <c r="R1296" i="9" s="1" a="1"/>
  <c r="R1296" i="9" s="1"/>
  <c r="P1376" i="9"/>
  <c r="R1376" i="9" s="1" a="1"/>
  <c r="R1376" i="9" s="1"/>
  <c r="P1432" i="9"/>
  <c r="R1432" i="9" s="1" a="1"/>
  <c r="R1432" i="9" s="1"/>
  <c r="P1568" i="9"/>
  <c r="R1568" i="9" s="1" a="1"/>
  <c r="R1568" i="9" s="1"/>
  <c r="P1848" i="9"/>
  <c r="R1848" i="9" s="1" a="1"/>
  <c r="R1848" i="9" s="1"/>
  <c r="P176" i="9"/>
  <c r="R176" i="9" s="1" a="1"/>
  <c r="R176" i="9" s="1"/>
  <c r="P208" i="9"/>
  <c r="R208" i="9" s="1" a="1"/>
  <c r="R208" i="9" s="1"/>
  <c r="P185" i="9"/>
  <c r="R185" i="9" s="1" a="1"/>
  <c r="R185" i="9" s="1"/>
  <c r="P201" i="9"/>
  <c r="R201" i="9" s="1" a="1"/>
  <c r="R201" i="9" s="1"/>
  <c r="P217" i="9"/>
  <c r="R217" i="9" s="1" a="1"/>
  <c r="R217" i="9" s="1"/>
  <c r="P247" i="9"/>
  <c r="R247" i="9" s="1" a="1"/>
  <c r="R247" i="9" s="1"/>
  <c r="P263" i="9"/>
  <c r="R263" i="9" s="1" a="1"/>
  <c r="R263" i="9" s="1"/>
  <c r="P279" i="9"/>
  <c r="R279" i="9" s="1" a="1"/>
  <c r="R279" i="9" s="1"/>
  <c r="P287" i="9"/>
  <c r="R287" i="9" s="1" a="1"/>
  <c r="R287" i="9" s="1"/>
  <c r="P303" i="9"/>
  <c r="R303" i="9" s="1" a="1"/>
  <c r="R303" i="9" s="1"/>
  <c r="P311" i="9"/>
  <c r="R311" i="9" s="1" a="1"/>
  <c r="R311" i="9" s="1"/>
  <c r="P319" i="9"/>
  <c r="R319" i="9" s="1" a="1"/>
  <c r="R319" i="9" s="1"/>
  <c r="P327" i="9"/>
  <c r="R327" i="9" s="1" a="1"/>
  <c r="R327" i="9" s="1"/>
  <c r="P376" i="9"/>
  <c r="R376" i="9" s="1" a="1"/>
  <c r="R376" i="9" s="1"/>
  <c r="Q376" i="9"/>
  <c r="P384" i="9"/>
  <c r="R384" i="9" s="1" a="1"/>
  <c r="R384" i="9" s="1"/>
  <c r="Q384" i="9"/>
  <c r="P392" i="9"/>
  <c r="R392" i="9" s="1" a="1"/>
  <c r="R392" i="9" s="1"/>
  <c r="Q392" i="9"/>
  <c r="P400" i="9"/>
  <c r="R400" i="9" s="1" a="1"/>
  <c r="R400" i="9" s="1"/>
  <c r="P408" i="9"/>
  <c r="R408" i="9" s="1" a="1"/>
  <c r="R408" i="9" s="1"/>
  <c r="P416" i="9"/>
  <c r="R416" i="9" s="1" a="1"/>
  <c r="R416" i="9" s="1"/>
  <c r="P424" i="9"/>
  <c r="R424" i="9" s="1" a="1"/>
  <c r="R424" i="9" s="1"/>
  <c r="P448" i="9"/>
  <c r="R448" i="9" s="1" a="1"/>
  <c r="R448" i="9" s="1"/>
  <c r="P464" i="9"/>
  <c r="R464" i="9" s="1" a="1"/>
  <c r="R464" i="9" s="1"/>
  <c r="Q464" i="9"/>
  <c r="P484" i="9"/>
  <c r="R484" i="9" s="1" a="1"/>
  <c r="R484" i="9" s="1"/>
  <c r="P502" i="9"/>
  <c r="R502" i="9" s="1" a="1"/>
  <c r="R502" i="9" s="1"/>
  <c r="P515" i="9"/>
  <c r="R515" i="9" s="1" a="1"/>
  <c r="R515" i="9" s="1"/>
  <c r="P536" i="9"/>
  <c r="R536" i="9" s="1" a="1"/>
  <c r="R536" i="9" s="1"/>
  <c r="P550" i="9"/>
  <c r="R550" i="9" s="1" a="1"/>
  <c r="R550" i="9" s="1"/>
  <c r="P568" i="9"/>
  <c r="R568" i="9" s="1" a="1"/>
  <c r="R568" i="9" s="1"/>
  <c r="P582" i="9"/>
  <c r="R582" i="9" s="1" a="1"/>
  <c r="R582" i="9" s="1"/>
  <c r="P590" i="9"/>
  <c r="R590" i="9" s="1" a="1"/>
  <c r="R590" i="9" s="1"/>
  <c r="P598" i="9"/>
  <c r="R598" i="9" s="1" a="1"/>
  <c r="R598" i="9" s="1"/>
  <c r="P606" i="9"/>
  <c r="R606" i="9" s="1" a="1"/>
  <c r="R606" i="9" s="1"/>
  <c r="P614" i="9"/>
  <c r="R614" i="9" s="1" a="1"/>
  <c r="R614" i="9" s="1"/>
  <c r="P622" i="9"/>
  <c r="R622" i="9" s="1" a="1"/>
  <c r="R622" i="9" s="1"/>
  <c r="P630" i="9"/>
  <c r="R630" i="9" s="1" a="1"/>
  <c r="R630" i="9" s="1"/>
  <c r="P638" i="9"/>
  <c r="R638" i="9" s="1" a="1"/>
  <c r="R638" i="9" s="1"/>
  <c r="P646" i="9"/>
  <c r="R646" i="9" s="1" a="1"/>
  <c r="R646" i="9" s="1"/>
  <c r="P654" i="9"/>
  <c r="R654" i="9" s="1" a="1"/>
  <c r="R654" i="9" s="1"/>
  <c r="P662" i="9"/>
  <c r="R662" i="9" s="1" a="1"/>
  <c r="R662" i="9" s="1"/>
  <c r="P670" i="9"/>
  <c r="R670" i="9" s="1" a="1"/>
  <c r="R670" i="9" s="1"/>
  <c r="P678" i="9"/>
  <c r="R678" i="9" s="1" a="1"/>
  <c r="R678" i="9" s="1"/>
  <c r="P686" i="9"/>
  <c r="R686" i="9" s="1" a="1"/>
  <c r="R686" i="9" s="1"/>
  <c r="P694" i="9"/>
  <c r="R694" i="9" s="1" a="1"/>
  <c r="R694" i="9" s="1"/>
  <c r="P702" i="9"/>
  <c r="R702" i="9" s="1" a="1"/>
  <c r="R702" i="9" s="1"/>
  <c r="P710" i="9"/>
  <c r="R710" i="9" s="1" a="1"/>
  <c r="R710" i="9" s="1"/>
  <c r="P718" i="9"/>
  <c r="R718" i="9" s="1" a="1"/>
  <c r="R718" i="9" s="1"/>
  <c r="P726" i="9"/>
  <c r="R726" i="9" s="1" a="1"/>
  <c r="R726" i="9" s="1"/>
  <c r="P734" i="9"/>
  <c r="R734" i="9" s="1" a="1"/>
  <c r="R734" i="9" s="1"/>
  <c r="P742" i="9"/>
  <c r="R742" i="9" s="1" a="1"/>
  <c r="R742" i="9" s="1"/>
  <c r="P750" i="9"/>
  <c r="R750" i="9" s="1" a="1"/>
  <c r="R750" i="9" s="1"/>
  <c r="P758" i="9"/>
  <c r="R758" i="9" s="1" a="1"/>
  <c r="R758" i="9" s="1"/>
  <c r="P766" i="9"/>
  <c r="R766" i="9" s="1" a="1"/>
  <c r="R766" i="9" s="1"/>
  <c r="P774" i="9"/>
  <c r="R774" i="9" s="1" a="1"/>
  <c r="R774" i="9" s="1"/>
  <c r="P782" i="9"/>
  <c r="R782" i="9" s="1" a="1"/>
  <c r="R782" i="9" s="1"/>
  <c r="P790" i="9"/>
  <c r="R790" i="9" s="1" a="1"/>
  <c r="R790" i="9" s="1"/>
  <c r="P798" i="9"/>
  <c r="R798" i="9" s="1" a="1"/>
  <c r="R798" i="9" s="1"/>
  <c r="P806" i="9"/>
  <c r="R806" i="9" s="1" a="1"/>
  <c r="R806" i="9" s="1"/>
  <c r="P814" i="9"/>
  <c r="R814" i="9" s="1" a="1"/>
  <c r="R814" i="9" s="1"/>
  <c r="P822" i="9"/>
  <c r="R822" i="9" s="1" a="1"/>
  <c r="R822" i="9" s="1"/>
  <c r="P830" i="9"/>
  <c r="R830" i="9" s="1" a="1"/>
  <c r="R830" i="9" s="1"/>
  <c r="P838" i="9"/>
  <c r="R838" i="9" s="1" a="1"/>
  <c r="R838" i="9" s="1"/>
  <c r="P846" i="9"/>
  <c r="R846" i="9" s="1" a="1"/>
  <c r="R846" i="9" s="1"/>
  <c r="P854" i="9"/>
  <c r="R854" i="9" s="1" a="1"/>
  <c r="R854" i="9" s="1"/>
  <c r="P862" i="9"/>
  <c r="R862" i="9" s="1" a="1"/>
  <c r="R862" i="9" s="1"/>
  <c r="P870" i="9"/>
  <c r="R870" i="9" s="1" a="1"/>
  <c r="R870" i="9" s="1"/>
  <c r="P878" i="9"/>
  <c r="R878" i="9" s="1" a="1"/>
  <c r="R878" i="9" s="1"/>
  <c r="P886" i="9"/>
  <c r="R886" i="9" s="1" a="1"/>
  <c r="R886" i="9" s="1"/>
  <c r="P894" i="9"/>
  <c r="R894" i="9" s="1" a="1"/>
  <c r="R894" i="9" s="1"/>
  <c r="P902" i="9"/>
  <c r="R902" i="9" s="1" a="1"/>
  <c r="R902" i="9" s="1"/>
  <c r="P910" i="9"/>
  <c r="R910" i="9" s="1" a="1"/>
  <c r="R910" i="9" s="1"/>
  <c r="P918" i="9"/>
  <c r="R918" i="9" s="1" a="1"/>
  <c r="R918" i="9" s="1"/>
  <c r="P926" i="9"/>
  <c r="R926" i="9" s="1" a="1"/>
  <c r="R926" i="9" s="1"/>
  <c r="P934" i="9"/>
  <c r="R934" i="9" s="1" a="1"/>
  <c r="R934" i="9" s="1"/>
  <c r="P942" i="9"/>
  <c r="R942" i="9" s="1" a="1"/>
  <c r="R942" i="9" s="1"/>
  <c r="P950" i="9"/>
  <c r="R950" i="9" s="1" a="1"/>
  <c r="R950" i="9" s="1"/>
  <c r="P958" i="9"/>
  <c r="R958" i="9" s="1" a="1"/>
  <c r="R958" i="9" s="1"/>
  <c r="P966" i="9"/>
  <c r="R966" i="9" s="1" a="1"/>
  <c r="R966" i="9" s="1"/>
  <c r="P974" i="9"/>
  <c r="R974" i="9" s="1" a="1"/>
  <c r="R974" i="9" s="1"/>
  <c r="P982" i="9"/>
  <c r="R982" i="9" s="1" a="1"/>
  <c r="R982" i="9" s="1"/>
  <c r="P990" i="9"/>
  <c r="R990" i="9" s="1" a="1"/>
  <c r="R990" i="9" s="1"/>
  <c r="P998" i="9"/>
  <c r="R998" i="9" s="1" a="1"/>
  <c r="R998" i="9" s="1"/>
  <c r="P1006" i="9"/>
  <c r="R1006" i="9" s="1" a="1"/>
  <c r="R1006" i="9" s="1"/>
  <c r="P1014" i="9"/>
  <c r="R1014" i="9" s="1" a="1"/>
  <c r="R1014" i="9" s="1"/>
  <c r="P1022" i="9"/>
  <c r="R1022" i="9" s="1" a="1"/>
  <c r="R1022" i="9" s="1"/>
  <c r="P1030" i="9"/>
  <c r="R1030" i="9" s="1" a="1"/>
  <c r="R1030" i="9" s="1"/>
  <c r="P1038" i="9"/>
  <c r="R1038" i="9" s="1" a="1"/>
  <c r="R1038" i="9" s="1"/>
  <c r="P1046" i="9"/>
  <c r="R1046" i="9" s="1" a="1"/>
  <c r="R1046" i="9" s="1"/>
  <c r="P1054" i="9"/>
  <c r="R1054" i="9" s="1" a="1"/>
  <c r="R1054" i="9" s="1"/>
  <c r="P1062" i="9"/>
  <c r="R1062" i="9" s="1" a="1"/>
  <c r="R1062" i="9" s="1"/>
  <c r="P1070" i="9"/>
  <c r="R1070" i="9" s="1" a="1"/>
  <c r="R1070" i="9" s="1"/>
  <c r="P1078" i="9"/>
  <c r="R1078" i="9" s="1" a="1"/>
  <c r="R1078" i="9" s="1"/>
  <c r="P1086" i="9"/>
  <c r="R1086" i="9" s="1" a="1"/>
  <c r="R1086" i="9" s="1"/>
  <c r="P1094" i="9"/>
  <c r="R1094" i="9" s="1" a="1"/>
  <c r="R1094" i="9" s="1"/>
  <c r="P1102" i="9"/>
  <c r="R1102" i="9" s="1" a="1"/>
  <c r="R1102" i="9" s="1"/>
  <c r="P1110" i="9"/>
  <c r="R1110" i="9" s="1" a="1"/>
  <c r="R1110" i="9" s="1"/>
  <c r="P1118" i="9"/>
  <c r="R1118" i="9" s="1" a="1"/>
  <c r="R1118" i="9" s="1"/>
  <c r="P1126" i="9"/>
  <c r="R1126" i="9" s="1" a="1"/>
  <c r="R1126" i="9" s="1"/>
  <c r="P1134" i="9"/>
  <c r="R1134" i="9" s="1" a="1"/>
  <c r="R1134" i="9" s="1"/>
  <c r="P1142" i="9"/>
  <c r="R1142" i="9" s="1" a="1"/>
  <c r="R1142" i="9" s="1"/>
  <c r="P1150" i="9"/>
  <c r="R1150" i="9" s="1" a="1"/>
  <c r="R1150" i="9" s="1"/>
  <c r="P1158" i="9"/>
  <c r="R1158" i="9" s="1" a="1"/>
  <c r="R1158" i="9" s="1"/>
  <c r="P1166" i="9"/>
  <c r="R1166" i="9" s="1" a="1"/>
  <c r="R1166" i="9" s="1"/>
  <c r="P1174" i="9"/>
  <c r="R1174" i="9" s="1" a="1"/>
  <c r="R1174" i="9" s="1"/>
  <c r="P1182" i="9"/>
  <c r="R1182" i="9" s="1" a="1"/>
  <c r="R1182" i="9" s="1"/>
  <c r="P1190" i="9"/>
  <c r="R1190" i="9" s="1" a="1"/>
  <c r="R1190" i="9" s="1"/>
  <c r="P1198" i="9"/>
  <c r="R1198" i="9" s="1" a="1"/>
  <c r="R1198" i="9" s="1"/>
  <c r="P1206" i="9"/>
  <c r="R1206" i="9" s="1" a="1"/>
  <c r="R1206" i="9" s="1"/>
  <c r="P1214" i="9"/>
  <c r="R1214" i="9" s="1" a="1"/>
  <c r="R1214" i="9" s="1"/>
  <c r="P1222" i="9"/>
  <c r="R1222" i="9" s="1" a="1"/>
  <c r="R1222" i="9" s="1"/>
  <c r="P1230" i="9"/>
  <c r="R1230" i="9" s="1" a="1"/>
  <c r="R1230" i="9" s="1"/>
  <c r="P1238" i="9"/>
  <c r="R1238" i="9" s="1" a="1"/>
  <c r="R1238" i="9" s="1"/>
  <c r="P1246" i="9"/>
  <c r="R1246" i="9" s="1" a="1"/>
  <c r="R1246" i="9" s="1"/>
  <c r="P1254" i="9"/>
  <c r="R1254" i="9" s="1" a="1"/>
  <c r="R1254" i="9" s="1"/>
  <c r="P1262" i="9"/>
  <c r="R1262" i="9" s="1" a="1"/>
  <c r="R1262" i="9" s="1"/>
  <c r="P1270" i="9"/>
  <c r="R1270" i="9" s="1" a="1"/>
  <c r="R1270" i="9" s="1"/>
  <c r="P1278" i="9"/>
  <c r="R1278" i="9" s="1" a="1"/>
  <c r="R1278" i="9" s="1"/>
  <c r="P1286" i="9"/>
  <c r="R1286" i="9" s="1" a="1"/>
  <c r="R1286" i="9" s="1"/>
  <c r="P1294" i="9"/>
  <c r="R1294" i="9" s="1" a="1"/>
  <c r="R1294" i="9" s="1"/>
  <c r="P1302" i="9"/>
  <c r="R1302" i="9" s="1" a="1"/>
  <c r="R1302" i="9" s="1"/>
  <c r="P1310" i="9"/>
  <c r="R1310" i="9" s="1" a="1"/>
  <c r="R1310" i="9" s="1"/>
  <c r="P1318" i="9"/>
  <c r="R1318" i="9" s="1" a="1"/>
  <c r="R1318" i="9" s="1"/>
  <c r="P1326" i="9"/>
  <c r="R1326" i="9" s="1" a="1"/>
  <c r="R1326" i="9" s="1"/>
  <c r="P1334" i="9"/>
  <c r="R1334" i="9" s="1" a="1"/>
  <c r="R1334" i="9" s="1"/>
  <c r="P1342" i="9"/>
  <c r="R1342" i="9" s="1" a="1"/>
  <c r="R1342" i="9" s="1"/>
  <c r="P1350" i="9"/>
  <c r="R1350" i="9" s="1" a="1"/>
  <c r="R1350" i="9" s="1"/>
  <c r="P1358" i="9"/>
  <c r="R1358" i="9" s="1" a="1"/>
  <c r="R1358" i="9" s="1"/>
  <c r="P1366" i="9"/>
  <c r="R1366" i="9" s="1" a="1"/>
  <c r="R1366" i="9" s="1"/>
  <c r="P1374" i="9"/>
  <c r="R1374" i="9" s="1" a="1"/>
  <c r="R1374" i="9" s="1"/>
  <c r="P1382" i="9"/>
  <c r="R1382" i="9" s="1" a="1"/>
  <c r="R1382" i="9" s="1"/>
  <c r="P1390" i="9"/>
  <c r="R1390" i="9" s="1" a="1"/>
  <c r="R1390" i="9" s="1"/>
  <c r="P1398" i="9"/>
  <c r="R1398" i="9" s="1" a="1"/>
  <c r="R1398" i="9" s="1"/>
  <c r="P1406" i="9"/>
  <c r="R1406" i="9" s="1" a="1"/>
  <c r="R1406" i="9" s="1"/>
  <c r="P1414" i="9"/>
  <c r="R1414" i="9" s="1" a="1"/>
  <c r="R1414" i="9" s="1"/>
  <c r="P1422" i="9"/>
  <c r="R1422" i="9" s="1" a="1"/>
  <c r="R1422" i="9" s="1"/>
  <c r="P1430" i="9"/>
  <c r="R1430" i="9" s="1" a="1"/>
  <c r="R1430" i="9" s="1"/>
  <c r="P1438" i="9"/>
  <c r="R1438" i="9" s="1" a="1"/>
  <c r="R1438" i="9" s="1"/>
  <c r="P1446" i="9"/>
  <c r="R1446" i="9" s="1" a="1"/>
  <c r="R1446" i="9" s="1"/>
  <c r="P1454" i="9"/>
  <c r="R1454" i="9" s="1" a="1"/>
  <c r="R1454" i="9" s="1"/>
  <c r="P1462" i="9"/>
  <c r="R1462" i="9" s="1" a="1"/>
  <c r="R1462" i="9" s="1"/>
  <c r="P1470" i="9"/>
  <c r="R1470" i="9" s="1" a="1"/>
  <c r="R1470" i="9" s="1"/>
  <c r="P1510" i="9"/>
  <c r="R1510" i="9" s="1" a="1"/>
  <c r="R1510" i="9" s="1"/>
  <c r="P1518" i="9"/>
  <c r="R1518" i="9" s="1" a="1"/>
  <c r="R1518" i="9" s="1"/>
  <c r="P1526" i="9"/>
  <c r="R1526" i="9" s="1" a="1"/>
  <c r="R1526" i="9" s="1"/>
  <c r="P1534" i="9"/>
  <c r="R1534" i="9" s="1" a="1"/>
  <c r="R1534" i="9" s="1"/>
  <c r="P1542" i="9"/>
  <c r="R1542" i="9" s="1" a="1"/>
  <c r="R1542" i="9" s="1"/>
  <c r="P1550" i="9"/>
  <c r="R1550" i="9" s="1" a="1"/>
  <c r="R1550" i="9" s="1"/>
  <c r="P1558" i="9"/>
  <c r="R1558" i="9" s="1" a="1"/>
  <c r="R1558" i="9" s="1"/>
  <c r="P1566" i="9"/>
  <c r="R1566" i="9" s="1" a="1"/>
  <c r="R1566" i="9" s="1"/>
  <c r="P1574" i="9"/>
  <c r="R1574" i="9" s="1" a="1"/>
  <c r="R1574" i="9" s="1"/>
  <c r="P1582" i="9"/>
  <c r="R1582" i="9" s="1" a="1"/>
  <c r="R1582" i="9" s="1"/>
  <c r="P1590" i="9"/>
  <c r="R1590" i="9" s="1" a="1"/>
  <c r="R1590" i="9" s="1"/>
  <c r="P1598" i="9"/>
  <c r="R1598" i="9" s="1" a="1"/>
  <c r="R1598" i="9" s="1"/>
  <c r="P1606" i="9"/>
  <c r="R1606" i="9" s="1" a="1"/>
  <c r="R1606" i="9" s="1"/>
  <c r="Q1606" i="9"/>
  <c r="P1614" i="9"/>
  <c r="R1614" i="9" s="1" a="1"/>
  <c r="R1614" i="9" s="1"/>
  <c r="P1622" i="9"/>
  <c r="R1622" i="9" s="1" a="1"/>
  <c r="R1622" i="9" s="1"/>
  <c r="P1630" i="9"/>
  <c r="R1630" i="9" s="1" a="1"/>
  <c r="R1630" i="9" s="1"/>
  <c r="P1638" i="9"/>
  <c r="R1638" i="9" s="1" a="1"/>
  <c r="R1638" i="9" s="1"/>
  <c r="P1646" i="9"/>
  <c r="R1646" i="9" s="1" a="1"/>
  <c r="R1646" i="9" s="1"/>
  <c r="P1654" i="9"/>
  <c r="R1654" i="9" s="1" a="1"/>
  <c r="R1654" i="9" s="1"/>
  <c r="P1662" i="9"/>
  <c r="R1662" i="9" s="1" a="1"/>
  <c r="R1662" i="9" s="1"/>
  <c r="P1670" i="9"/>
  <c r="R1670" i="9" s="1" a="1"/>
  <c r="R1670" i="9" s="1"/>
  <c r="P1678" i="9"/>
  <c r="R1678" i="9" s="1" a="1"/>
  <c r="R1678" i="9" s="1"/>
  <c r="P1686" i="9"/>
  <c r="R1686" i="9" s="1" a="1"/>
  <c r="R1686" i="9" s="1"/>
  <c r="P1694" i="9"/>
  <c r="R1694" i="9" s="1" a="1"/>
  <c r="R1694" i="9" s="1"/>
  <c r="P1702" i="9"/>
  <c r="R1702" i="9" s="1" a="1"/>
  <c r="R1702" i="9" s="1"/>
  <c r="P1710" i="9"/>
  <c r="R1710" i="9" s="1" a="1"/>
  <c r="R1710" i="9" s="1"/>
  <c r="P1718" i="9"/>
  <c r="R1718" i="9" s="1" a="1"/>
  <c r="R1718" i="9" s="1"/>
  <c r="P1726" i="9"/>
  <c r="R1726" i="9" s="1" a="1"/>
  <c r="R1726" i="9" s="1"/>
  <c r="P1734" i="9"/>
  <c r="R1734" i="9" s="1" a="1"/>
  <c r="R1734" i="9" s="1"/>
  <c r="P1742" i="9"/>
  <c r="R1742" i="9" s="1" a="1"/>
  <c r="R1742" i="9" s="1"/>
  <c r="P1750" i="9"/>
  <c r="R1750" i="9" s="1" a="1"/>
  <c r="R1750" i="9" s="1"/>
  <c r="P1758" i="9"/>
  <c r="R1758" i="9" s="1" a="1"/>
  <c r="R1758" i="9" s="1"/>
  <c r="P1766" i="9"/>
  <c r="R1766" i="9" s="1" a="1"/>
  <c r="R1766" i="9" s="1"/>
  <c r="P1774" i="9"/>
  <c r="R1774" i="9" s="1" a="1"/>
  <c r="R1774" i="9" s="1"/>
  <c r="P1782" i="9"/>
  <c r="R1782" i="9" s="1" a="1"/>
  <c r="R1782" i="9" s="1"/>
  <c r="P1790" i="9"/>
  <c r="R1790" i="9" s="1" a="1"/>
  <c r="R1790" i="9" s="1"/>
  <c r="P1798" i="9"/>
  <c r="R1798" i="9" s="1" a="1"/>
  <c r="R1798" i="9" s="1"/>
  <c r="P1806" i="9"/>
  <c r="R1806" i="9" s="1" a="1"/>
  <c r="R1806" i="9" s="1"/>
  <c r="P1814" i="9"/>
  <c r="R1814" i="9" s="1" a="1"/>
  <c r="R1814" i="9" s="1"/>
  <c r="P1822" i="9"/>
  <c r="R1822" i="9" s="1" a="1"/>
  <c r="R1822" i="9" s="1"/>
  <c r="P1830" i="9"/>
  <c r="R1830" i="9" s="1" a="1"/>
  <c r="R1830" i="9" s="1"/>
  <c r="P1838" i="9"/>
  <c r="R1838" i="9" s="1" a="1"/>
  <c r="R1838" i="9" s="1"/>
  <c r="P1846" i="9"/>
  <c r="R1846" i="9" s="1" a="1"/>
  <c r="R1846" i="9" s="1"/>
  <c r="P1854" i="9"/>
  <c r="R1854" i="9" s="1" a="1"/>
  <c r="R1854" i="9" s="1"/>
  <c r="P1862" i="9"/>
  <c r="R1862" i="9" s="1" a="1"/>
  <c r="R1862" i="9" s="1"/>
  <c r="P1870" i="9"/>
  <c r="R1870" i="9" s="1" a="1"/>
  <c r="R1870" i="9" s="1"/>
  <c r="P1878" i="9"/>
  <c r="R1878" i="9" s="1" a="1"/>
  <c r="R1878" i="9" s="1"/>
  <c r="P203" i="9"/>
  <c r="R203" i="9" s="1" a="1"/>
  <c r="R203" i="9" s="1"/>
  <c r="P257" i="9"/>
  <c r="R257" i="9" s="1" a="1"/>
  <c r="R257" i="9" s="1"/>
  <c r="P313" i="9"/>
  <c r="R313" i="9" s="1" a="1"/>
  <c r="R313" i="9" s="1"/>
  <c r="P394" i="9"/>
  <c r="R394" i="9" s="1" a="1"/>
  <c r="R394" i="9" s="1"/>
  <c r="P486" i="9"/>
  <c r="R486" i="9" s="1" a="1"/>
  <c r="R486" i="9" s="1"/>
  <c r="P592" i="9"/>
  <c r="R592" i="9" s="1" a="1"/>
  <c r="R592" i="9" s="1"/>
  <c r="P648" i="9"/>
  <c r="R648" i="9" s="1" a="1"/>
  <c r="R648" i="9" s="1"/>
  <c r="P688" i="9"/>
  <c r="R688" i="9" s="1" a="1"/>
  <c r="R688" i="9" s="1"/>
  <c r="P720" i="9"/>
  <c r="R720" i="9" s="1" a="1"/>
  <c r="R720" i="9" s="1"/>
  <c r="P776" i="9"/>
  <c r="R776" i="9" s="1" a="1"/>
  <c r="R776" i="9" s="1"/>
  <c r="P808" i="9"/>
  <c r="R808" i="9" s="1" a="1"/>
  <c r="R808" i="9" s="1"/>
  <c r="P864" i="9"/>
  <c r="R864" i="9" s="1" a="1"/>
  <c r="R864" i="9" s="1"/>
  <c r="P920" i="9"/>
  <c r="R920" i="9" s="1" a="1"/>
  <c r="R920" i="9" s="1"/>
  <c r="P976" i="9"/>
  <c r="R976" i="9" s="1" a="1"/>
  <c r="R976" i="9" s="1"/>
  <c r="P1040" i="9"/>
  <c r="R1040" i="9" s="1" a="1"/>
  <c r="R1040" i="9" s="1"/>
  <c r="P1104" i="9"/>
  <c r="R1104" i="9" s="1" a="1"/>
  <c r="R1104" i="9" s="1"/>
  <c r="P1208" i="9"/>
  <c r="R1208" i="9" s="1" a="1"/>
  <c r="R1208" i="9" s="1"/>
  <c r="P1256" i="9"/>
  <c r="R1256" i="9" s="1" a="1"/>
  <c r="R1256" i="9" s="1"/>
  <c r="P1312" i="9"/>
  <c r="R1312" i="9" s="1" a="1"/>
  <c r="R1312" i="9" s="1"/>
  <c r="P1360" i="9"/>
  <c r="R1360" i="9" s="1" a="1"/>
  <c r="R1360" i="9" s="1"/>
  <c r="P1416" i="9"/>
  <c r="R1416" i="9" s="1" a="1"/>
  <c r="R1416" i="9" s="1"/>
  <c r="P1456" i="9"/>
  <c r="R1456" i="9" s="1" a="1"/>
  <c r="R1456" i="9" s="1"/>
  <c r="P1528" i="9"/>
  <c r="R1528" i="9" s="1" a="1"/>
  <c r="R1528" i="9" s="1"/>
  <c r="P1576" i="9"/>
  <c r="R1576" i="9" s="1" a="1"/>
  <c r="R1576" i="9" s="1"/>
  <c r="P1656" i="9"/>
  <c r="R1656" i="9" s="1" a="1"/>
  <c r="R1656" i="9" s="1"/>
  <c r="P1832" i="9"/>
  <c r="R1832" i="9" s="1" a="1"/>
  <c r="R1832" i="9" s="1"/>
  <c r="P184" i="9"/>
  <c r="R184" i="9" s="1" a="1"/>
  <c r="R184" i="9" s="1"/>
  <c r="P200" i="9"/>
  <c r="R200" i="9" s="1" a="1"/>
  <c r="R200" i="9" s="1"/>
  <c r="P224" i="9"/>
  <c r="R224" i="9" s="1" a="1"/>
  <c r="R224" i="9" s="1"/>
  <c r="P232" i="9"/>
  <c r="R232" i="9" s="1" a="1"/>
  <c r="R232" i="9" s="1"/>
  <c r="P254" i="9"/>
  <c r="R254" i="9" s="1" a="1"/>
  <c r="R254" i="9" s="1"/>
  <c r="P278" i="9"/>
  <c r="R278" i="9" s="1" a="1"/>
  <c r="R278" i="9" s="1"/>
  <c r="P177" i="9"/>
  <c r="R177" i="9" s="1" a="1"/>
  <c r="R177" i="9" s="1"/>
  <c r="P193" i="9"/>
  <c r="R193" i="9" s="1" a="1"/>
  <c r="R193" i="9" s="1"/>
  <c r="P209" i="9"/>
  <c r="R209" i="9" s="1" a="1"/>
  <c r="R209" i="9" s="1"/>
  <c r="P225" i="9"/>
  <c r="R225" i="9" s="1" a="1"/>
  <c r="R225" i="9" s="1"/>
  <c r="P233" i="9"/>
  <c r="R233" i="9" s="1" a="1"/>
  <c r="R233" i="9" s="1"/>
  <c r="P255" i="9"/>
  <c r="R255" i="9" s="1" a="1"/>
  <c r="R255" i="9" s="1"/>
  <c r="P271" i="9"/>
  <c r="R271" i="9" s="1" a="1"/>
  <c r="R271" i="9" s="1"/>
  <c r="P295" i="9"/>
  <c r="R295" i="9" s="1" a="1"/>
  <c r="R295" i="9" s="1"/>
  <c r="P178" i="9"/>
  <c r="R178" i="9" s="1" a="1"/>
  <c r="R178" i="9" s="1"/>
  <c r="P186" i="9"/>
  <c r="R186" i="9" s="1" a="1"/>
  <c r="R186" i="9" s="1"/>
  <c r="P194" i="9"/>
  <c r="R194" i="9" s="1" a="1"/>
  <c r="R194" i="9" s="1"/>
  <c r="P202" i="9"/>
  <c r="R202" i="9" s="1" a="1"/>
  <c r="R202" i="9" s="1"/>
  <c r="P210" i="9"/>
  <c r="R210" i="9" s="1" a="1"/>
  <c r="R210" i="9" s="1"/>
  <c r="P218" i="9"/>
  <c r="R218" i="9" s="1" a="1"/>
  <c r="R218" i="9" s="1"/>
  <c r="P226" i="9"/>
  <c r="R226" i="9" s="1" a="1"/>
  <c r="R226" i="9" s="1"/>
  <c r="P234" i="9"/>
  <c r="R234" i="9" s="1" a="1"/>
  <c r="R234" i="9" s="1"/>
  <c r="P248" i="9"/>
  <c r="R248" i="9" s="1" a="1"/>
  <c r="R248" i="9" s="1"/>
  <c r="P256" i="9"/>
  <c r="R256" i="9" s="1" a="1"/>
  <c r="R256" i="9" s="1"/>
  <c r="P264" i="9"/>
  <c r="R264" i="9" s="1" a="1"/>
  <c r="R264" i="9" s="1"/>
  <c r="P272" i="9"/>
  <c r="R272" i="9" s="1" a="1"/>
  <c r="R272" i="9" s="1"/>
  <c r="P280" i="9"/>
  <c r="R280" i="9" s="1" a="1"/>
  <c r="R280" i="9" s="1"/>
  <c r="P288" i="9"/>
  <c r="R288" i="9" s="1" a="1"/>
  <c r="R288" i="9" s="1"/>
  <c r="P296" i="9"/>
  <c r="R296" i="9" s="1" a="1"/>
  <c r="R296" i="9" s="1"/>
  <c r="P304" i="9"/>
  <c r="R304" i="9" s="1" a="1"/>
  <c r="R304" i="9" s="1"/>
  <c r="P312" i="9"/>
  <c r="R312" i="9" s="1" a="1"/>
  <c r="R312" i="9" s="1"/>
  <c r="P320" i="9"/>
  <c r="R320" i="9" s="1" a="1"/>
  <c r="R320" i="9" s="1"/>
  <c r="P328" i="9"/>
  <c r="R328" i="9" s="1" a="1"/>
  <c r="R328" i="9" s="1"/>
  <c r="P377" i="9"/>
  <c r="R377" i="9" s="1" a="1"/>
  <c r="R377" i="9" s="1"/>
  <c r="Q377" i="9"/>
  <c r="P385" i="9"/>
  <c r="R385" i="9" s="1" a="1"/>
  <c r="R385" i="9" s="1"/>
  <c r="Q385" i="9"/>
  <c r="P393" i="9"/>
  <c r="R393" i="9" s="1" a="1"/>
  <c r="R393" i="9" s="1"/>
  <c r="Q393" i="9"/>
  <c r="P401" i="9"/>
  <c r="R401" i="9" s="1" a="1"/>
  <c r="R401" i="9" s="1"/>
  <c r="P409" i="9"/>
  <c r="R409" i="9" s="1" a="1"/>
  <c r="R409" i="9" s="1"/>
  <c r="P417" i="9"/>
  <c r="R417" i="9" s="1" a="1"/>
  <c r="R417" i="9" s="1"/>
  <c r="P425" i="9"/>
  <c r="R425" i="9" s="1" a="1"/>
  <c r="R425" i="9" s="1"/>
  <c r="P449" i="9"/>
  <c r="R449" i="9" s="1" a="1"/>
  <c r="R449" i="9" s="1"/>
  <c r="P465" i="9"/>
  <c r="R465" i="9" s="1" a="1"/>
  <c r="R465" i="9" s="1"/>
  <c r="Q465" i="9"/>
  <c r="P485" i="9"/>
  <c r="R485" i="9" s="1" a="1"/>
  <c r="R485" i="9" s="1"/>
  <c r="P503" i="9"/>
  <c r="R503" i="9" s="1" a="1"/>
  <c r="R503" i="9" s="1"/>
  <c r="P522" i="9"/>
  <c r="R522" i="9" s="1" a="1"/>
  <c r="R522" i="9" s="1"/>
  <c r="P537" i="9"/>
  <c r="R537" i="9" s="1" a="1"/>
  <c r="R537" i="9" s="1"/>
  <c r="P551" i="9"/>
  <c r="R551" i="9" s="1" a="1"/>
  <c r="R551" i="9" s="1"/>
  <c r="P569" i="9"/>
  <c r="R569" i="9" s="1" a="1"/>
  <c r="R569" i="9" s="1"/>
  <c r="P583" i="9"/>
  <c r="R583" i="9" s="1" a="1"/>
  <c r="R583" i="9" s="1"/>
  <c r="P591" i="9"/>
  <c r="R591" i="9" s="1" a="1"/>
  <c r="R591" i="9" s="1"/>
  <c r="P599" i="9"/>
  <c r="R599" i="9" s="1" a="1"/>
  <c r="R599" i="9" s="1"/>
  <c r="P607" i="9"/>
  <c r="R607" i="9" s="1" a="1"/>
  <c r="R607" i="9" s="1"/>
  <c r="P615" i="9"/>
  <c r="R615" i="9" s="1" a="1"/>
  <c r="R615" i="9" s="1"/>
  <c r="P623" i="9"/>
  <c r="R623" i="9" s="1" a="1"/>
  <c r="R623" i="9" s="1"/>
  <c r="P631" i="9"/>
  <c r="R631" i="9" s="1" a="1"/>
  <c r="R631" i="9" s="1"/>
  <c r="P639" i="9"/>
  <c r="R639" i="9" s="1" a="1"/>
  <c r="R639" i="9" s="1"/>
  <c r="P647" i="9"/>
  <c r="R647" i="9" s="1" a="1"/>
  <c r="R647" i="9" s="1"/>
  <c r="P655" i="9"/>
  <c r="R655" i="9" s="1" a="1"/>
  <c r="R655" i="9" s="1"/>
  <c r="P663" i="9"/>
  <c r="R663" i="9" s="1" a="1"/>
  <c r="R663" i="9" s="1"/>
  <c r="P671" i="9"/>
  <c r="R671" i="9" s="1" a="1"/>
  <c r="R671" i="9" s="1"/>
  <c r="P679" i="9"/>
  <c r="R679" i="9" s="1" a="1"/>
  <c r="R679" i="9" s="1"/>
  <c r="P687" i="9"/>
  <c r="R687" i="9" s="1" a="1"/>
  <c r="R687" i="9" s="1"/>
  <c r="P695" i="9"/>
  <c r="R695" i="9" s="1" a="1"/>
  <c r="R695" i="9" s="1"/>
  <c r="P703" i="9"/>
  <c r="R703" i="9" s="1" a="1"/>
  <c r="R703" i="9" s="1"/>
  <c r="P711" i="9"/>
  <c r="R711" i="9" s="1" a="1"/>
  <c r="R711" i="9" s="1"/>
  <c r="P719" i="9"/>
  <c r="R719" i="9" s="1" a="1"/>
  <c r="R719" i="9" s="1"/>
  <c r="P727" i="9"/>
  <c r="R727" i="9" s="1" a="1"/>
  <c r="R727" i="9" s="1"/>
  <c r="P735" i="9"/>
  <c r="R735" i="9" s="1" a="1"/>
  <c r="R735" i="9" s="1"/>
  <c r="P743" i="9"/>
  <c r="R743" i="9" s="1" a="1"/>
  <c r="R743" i="9" s="1"/>
  <c r="P751" i="9"/>
  <c r="R751" i="9" s="1" a="1"/>
  <c r="R751" i="9" s="1"/>
  <c r="P759" i="9"/>
  <c r="R759" i="9" s="1" a="1"/>
  <c r="R759" i="9" s="1"/>
  <c r="P767" i="9"/>
  <c r="R767" i="9" s="1" a="1"/>
  <c r="R767" i="9" s="1"/>
  <c r="P775" i="9"/>
  <c r="R775" i="9" s="1" a="1"/>
  <c r="R775" i="9" s="1"/>
  <c r="P783" i="9"/>
  <c r="R783" i="9" s="1" a="1"/>
  <c r="R783" i="9" s="1"/>
  <c r="P791" i="9"/>
  <c r="R791" i="9" s="1" a="1"/>
  <c r="R791" i="9" s="1"/>
  <c r="P799" i="9"/>
  <c r="R799" i="9" s="1" a="1"/>
  <c r="R799" i="9" s="1"/>
  <c r="P807" i="9"/>
  <c r="R807" i="9" s="1" a="1"/>
  <c r="R807" i="9" s="1"/>
  <c r="P815" i="9"/>
  <c r="R815" i="9" s="1" a="1"/>
  <c r="R815" i="9" s="1"/>
  <c r="P823" i="9"/>
  <c r="R823" i="9" s="1" a="1"/>
  <c r="R823" i="9" s="1"/>
  <c r="P831" i="9"/>
  <c r="R831" i="9" s="1" a="1"/>
  <c r="R831" i="9" s="1"/>
  <c r="P839" i="9"/>
  <c r="R839" i="9" s="1" a="1"/>
  <c r="R839" i="9" s="1"/>
  <c r="P847" i="9"/>
  <c r="R847" i="9" s="1" a="1"/>
  <c r="R847" i="9" s="1"/>
  <c r="P855" i="9"/>
  <c r="R855" i="9" s="1" a="1"/>
  <c r="R855" i="9" s="1"/>
  <c r="P863" i="9"/>
  <c r="R863" i="9" s="1" a="1"/>
  <c r="R863" i="9" s="1"/>
  <c r="P871" i="9"/>
  <c r="R871" i="9" s="1" a="1"/>
  <c r="R871" i="9" s="1"/>
  <c r="P879" i="9"/>
  <c r="R879" i="9" s="1" a="1"/>
  <c r="R879" i="9" s="1"/>
  <c r="P887" i="9"/>
  <c r="R887" i="9" s="1" a="1"/>
  <c r="R887" i="9" s="1"/>
  <c r="P895" i="9"/>
  <c r="R895" i="9" s="1" a="1"/>
  <c r="R895" i="9" s="1"/>
  <c r="P903" i="9"/>
  <c r="R903" i="9" s="1" a="1"/>
  <c r="R903" i="9" s="1"/>
  <c r="P911" i="9"/>
  <c r="R911" i="9" s="1" a="1"/>
  <c r="R911" i="9" s="1"/>
  <c r="P919" i="9"/>
  <c r="R919" i="9" s="1" a="1"/>
  <c r="R919" i="9" s="1"/>
  <c r="P927" i="9"/>
  <c r="R927" i="9" s="1" a="1"/>
  <c r="R927" i="9" s="1"/>
  <c r="P935" i="9"/>
  <c r="R935" i="9" s="1" a="1"/>
  <c r="R935" i="9" s="1"/>
  <c r="P943" i="9"/>
  <c r="R943" i="9" s="1" a="1"/>
  <c r="R943" i="9" s="1"/>
  <c r="P951" i="9"/>
  <c r="R951" i="9" s="1" a="1"/>
  <c r="R951" i="9" s="1"/>
  <c r="P959" i="9"/>
  <c r="R959" i="9" s="1" a="1"/>
  <c r="R959" i="9" s="1"/>
  <c r="P967" i="9"/>
  <c r="R967" i="9" s="1" a="1"/>
  <c r="R967" i="9" s="1"/>
  <c r="P975" i="9"/>
  <c r="R975" i="9" s="1" a="1"/>
  <c r="R975" i="9" s="1"/>
  <c r="P983" i="9"/>
  <c r="R983" i="9" s="1" a="1"/>
  <c r="R983" i="9" s="1"/>
  <c r="P991" i="9"/>
  <c r="R991" i="9" s="1" a="1"/>
  <c r="R991" i="9" s="1"/>
  <c r="P999" i="9"/>
  <c r="R999" i="9" s="1" a="1"/>
  <c r="R999" i="9" s="1"/>
  <c r="P1007" i="9"/>
  <c r="R1007" i="9" s="1" a="1"/>
  <c r="R1007" i="9" s="1"/>
  <c r="P1015" i="9"/>
  <c r="R1015" i="9" s="1" a="1"/>
  <c r="R1015" i="9" s="1"/>
  <c r="P1023" i="9"/>
  <c r="R1023" i="9" s="1" a="1"/>
  <c r="R1023" i="9" s="1"/>
  <c r="P1031" i="9"/>
  <c r="R1031" i="9" s="1" a="1"/>
  <c r="R1031" i="9" s="1"/>
  <c r="P1039" i="9"/>
  <c r="R1039" i="9" s="1" a="1"/>
  <c r="R1039" i="9" s="1"/>
  <c r="P1047" i="9"/>
  <c r="R1047" i="9" s="1" a="1"/>
  <c r="R1047" i="9" s="1"/>
  <c r="P1055" i="9"/>
  <c r="R1055" i="9" s="1" a="1"/>
  <c r="R1055" i="9" s="1"/>
  <c r="P1063" i="9"/>
  <c r="R1063" i="9" s="1" a="1"/>
  <c r="R1063" i="9" s="1"/>
  <c r="P1071" i="9"/>
  <c r="R1071" i="9" s="1" a="1"/>
  <c r="R1071" i="9" s="1"/>
  <c r="P1079" i="9"/>
  <c r="R1079" i="9" s="1" a="1"/>
  <c r="R1079" i="9" s="1"/>
  <c r="P1087" i="9"/>
  <c r="R1087" i="9" s="1" a="1"/>
  <c r="R1087" i="9" s="1"/>
  <c r="P1095" i="9"/>
  <c r="R1095" i="9" s="1" a="1"/>
  <c r="R1095" i="9" s="1"/>
  <c r="P1103" i="9"/>
  <c r="R1103" i="9" s="1" a="1"/>
  <c r="R1103" i="9" s="1"/>
  <c r="P1111" i="9"/>
  <c r="R1111" i="9" s="1" a="1"/>
  <c r="R1111" i="9" s="1"/>
  <c r="P1119" i="9"/>
  <c r="R1119" i="9" s="1" a="1"/>
  <c r="R1119" i="9" s="1"/>
  <c r="P1127" i="9"/>
  <c r="R1127" i="9" s="1" a="1"/>
  <c r="R1127" i="9" s="1"/>
  <c r="P1135" i="9"/>
  <c r="R1135" i="9" s="1" a="1"/>
  <c r="R1135" i="9" s="1"/>
  <c r="P1143" i="9"/>
  <c r="R1143" i="9" s="1" a="1"/>
  <c r="R1143" i="9" s="1"/>
  <c r="P1151" i="9"/>
  <c r="R1151" i="9" s="1" a="1"/>
  <c r="R1151" i="9" s="1"/>
  <c r="P1159" i="9"/>
  <c r="R1159" i="9" s="1" a="1"/>
  <c r="R1159" i="9" s="1"/>
  <c r="P1167" i="9"/>
  <c r="R1167" i="9" s="1" a="1"/>
  <c r="R1167" i="9" s="1"/>
  <c r="P1175" i="9"/>
  <c r="R1175" i="9" s="1" a="1"/>
  <c r="R1175" i="9" s="1"/>
  <c r="P1183" i="9"/>
  <c r="R1183" i="9" s="1" a="1"/>
  <c r="R1183" i="9" s="1"/>
  <c r="P1191" i="9"/>
  <c r="R1191" i="9" s="1" a="1"/>
  <c r="R1191" i="9" s="1"/>
  <c r="P1199" i="9"/>
  <c r="R1199" i="9" s="1" a="1"/>
  <c r="R1199" i="9" s="1"/>
  <c r="P1207" i="9"/>
  <c r="R1207" i="9" s="1" a="1"/>
  <c r="R1207" i="9" s="1"/>
  <c r="P1215" i="9"/>
  <c r="R1215" i="9" s="1" a="1"/>
  <c r="R1215" i="9" s="1"/>
  <c r="P1223" i="9"/>
  <c r="R1223" i="9" s="1" a="1"/>
  <c r="R1223" i="9" s="1"/>
  <c r="P1231" i="9"/>
  <c r="R1231" i="9" s="1" a="1"/>
  <c r="R1231" i="9" s="1"/>
  <c r="P1239" i="9"/>
  <c r="R1239" i="9" s="1" a="1"/>
  <c r="R1239" i="9" s="1"/>
  <c r="P1247" i="9"/>
  <c r="R1247" i="9" s="1" a="1"/>
  <c r="R1247" i="9" s="1"/>
  <c r="P1255" i="9"/>
  <c r="R1255" i="9" s="1" a="1"/>
  <c r="R1255" i="9" s="1"/>
  <c r="P1263" i="9"/>
  <c r="R1263" i="9" s="1" a="1"/>
  <c r="R1263" i="9" s="1"/>
  <c r="P1271" i="9"/>
  <c r="R1271" i="9" s="1" a="1"/>
  <c r="R1271" i="9" s="1"/>
  <c r="P1279" i="9"/>
  <c r="R1279" i="9" s="1" a="1"/>
  <c r="R1279" i="9" s="1"/>
  <c r="P1287" i="9"/>
  <c r="R1287" i="9" s="1" a="1"/>
  <c r="R1287" i="9" s="1"/>
  <c r="P1295" i="9"/>
  <c r="R1295" i="9" s="1" a="1"/>
  <c r="R1295" i="9" s="1"/>
  <c r="P1303" i="9"/>
  <c r="R1303" i="9" s="1" a="1"/>
  <c r="R1303" i="9" s="1"/>
  <c r="P1311" i="9"/>
  <c r="R1311" i="9" s="1" a="1"/>
  <c r="R1311" i="9" s="1"/>
  <c r="P1319" i="9"/>
  <c r="R1319" i="9" s="1" a="1"/>
  <c r="R1319" i="9" s="1"/>
  <c r="P1327" i="9"/>
  <c r="R1327" i="9" s="1" a="1"/>
  <c r="R1327" i="9" s="1"/>
  <c r="P1335" i="9"/>
  <c r="R1335" i="9" s="1" a="1"/>
  <c r="R1335" i="9" s="1"/>
  <c r="P1343" i="9"/>
  <c r="R1343" i="9" s="1" a="1"/>
  <c r="R1343" i="9" s="1"/>
  <c r="P1351" i="9"/>
  <c r="R1351" i="9" s="1" a="1"/>
  <c r="R1351" i="9" s="1"/>
  <c r="P1359" i="9"/>
  <c r="R1359" i="9" s="1" a="1"/>
  <c r="R1359" i="9" s="1"/>
  <c r="P1367" i="9"/>
  <c r="R1367" i="9" s="1" a="1"/>
  <c r="R1367" i="9" s="1"/>
  <c r="P1375" i="9"/>
  <c r="R1375" i="9" s="1" a="1"/>
  <c r="R1375" i="9" s="1"/>
  <c r="P1383" i="9"/>
  <c r="R1383" i="9" s="1" a="1"/>
  <c r="R1383" i="9" s="1"/>
  <c r="P1391" i="9"/>
  <c r="R1391" i="9" s="1" a="1"/>
  <c r="R1391" i="9" s="1"/>
  <c r="P1399" i="9"/>
  <c r="R1399" i="9" s="1" a="1"/>
  <c r="R1399" i="9" s="1"/>
  <c r="P1407" i="9"/>
  <c r="R1407" i="9" s="1" a="1"/>
  <c r="R1407" i="9" s="1"/>
  <c r="P1415" i="9"/>
  <c r="R1415" i="9" s="1" a="1"/>
  <c r="R1415" i="9" s="1"/>
  <c r="P1423" i="9"/>
  <c r="R1423" i="9" s="1" a="1"/>
  <c r="R1423" i="9" s="1"/>
  <c r="P1431" i="9"/>
  <c r="R1431" i="9" s="1" a="1"/>
  <c r="R1431" i="9" s="1"/>
  <c r="P1439" i="9"/>
  <c r="R1439" i="9" s="1" a="1"/>
  <c r="R1439" i="9" s="1"/>
  <c r="P1447" i="9"/>
  <c r="R1447" i="9" s="1" a="1"/>
  <c r="R1447" i="9" s="1"/>
  <c r="P1455" i="9"/>
  <c r="R1455" i="9" s="1" a="1"/>
  <c r="R1455" i="9" s="1"/>
  <c r="P1463" i="9"/>
  <c r="R1463" i="9" s="1" a="1"/>
  <c r="R1463" i="9" s="1"/>
  <c r="P1471" i="9"/>
  <c r="R1471" i="9" s="1" a="1"/>
  <c r="R1471" i="9" s="1"/>
  <c r="P1511" i="9"/>
  <c r="R1511" i="9" s="1" a="1"/>
  <c r="R1511" i="9" s="1"/>
  <c r="P1519" i="9"/>
  <c r="R1519" i="9" s="1" a="1"/>
  <c r="R1519" i="9" s="1"/>
  <c r="P1527" i="9"/>
  <c r="R1527" i="9" s="1" a="1"/>
  <c r="R1527" i="9" s="1"/>
  <c r="P1535" i="9"/>
  <c r="R1535" i="9" s="1" a="1"/>
  <c r="R1535" i="9" s="1"/>
  <c r="P1543" i="9"/>
  <c r="R1543" i="9" s="1" a="1"/>
  <c r="R1543" i="9" s="1"/>
  <c r="P1551" i="9"/>
  <c r="R1551" i="9" s="1" a="1"/>
  <c r="R1551" i="9" s="1"/>
  <c r="P1559" i="9"/>
  <c r="R1559" i="9" s="1" a="1"/>
  <c r="R1559" i="9" s="1"/>
  <c r="P1567" i="9"/>
  <c r="R1567" i="9" s="1" a="1"/>
  <c r="R1567" i="9" s="1"/>
  <c r="P1575" i="9"/>
  <c r="R1575" i="9" s="1" a="1"/>
  <c r="R1575" i="9" s="1"/>
  <c r="P1583" i="9"/>
  <c r="R1583" i="9" s="1" a="1"/>
  <c r="R1583" i="9" s="1"/>
  <c r="P1591" i="9"/>
  <c r="R1591" i="9" s="1" a="1"/>
  <c r="R1591" i="9" s="1"/>
  <c r="P1599" i="9"/>
  <c r="R1599" i="9" s="1" a="1"/>
  <c r="R1599" i="9" s="1"/>
  <c r="P1607" i="9"/>
  <c r="R1607" i="9" s="1" a="1"/>
  <c r="R1607" i="9" s="1"/>
  <c r="P1615" i="9"/>
  <c r="R1615" i="9" s="1" a="1"/>
  <c r="R1615" i="9" s="1"/>
  <c r="P1623" i="9"/>
  <c r="R1623" i="9" s="1" a="1"/>
  <c r="R1623" i="9" s="1"/>
  <c r="P1631" i="9"/>
  <c r="R1631" i="9" s="1" a="1"/>
  <c r="R1631" i="9" s="1"/>
  <c r="P1639" i="9"/>
  <c r="R1639" i="9" s="1" a="1"/>
  <c r="R1639" i="9" s="1"/>
  <c r="P1647" i="9"/>
  <c r="R1647" i="9" s="1" a="1"/>
  <c r="R1647" i="9" s="1"/>
  <c r="P1655" i="9"/>
  <c r="R1655" i="9" s="1" a="1"/>
  <c r="R1655" i="9" s="1"/>
  <c r="P1663" i="9"/>
  <c r="R1663" i="9" s="1" a="1"/>
  <c r="R1663" i="9" s="1"/>
  <c r="P1671" i="9"/>
  <c r="R1671" i="9" s="1" a="1"/>
  <c r="R1671" i="9" s="1"/>
  <c r="P1679" i="9"/>
  <c r="R1679" i="9" s="1" a="1"/>
  <c r="R1679" i="9" s="1"/>
  <c r="P1687" i="9"/>
  <c r="R1687" i="9" s="1" a="1"/>
  <c r="R1687" i="9" s="1"/>
  <c r="P1695" i="9"/>
  <c r="R1695" i="9" s="1" a="1"/>
  <c r="R1695" i="9" s="1"/>
  <c r="P1703" i="9"/>
  <c r="R1703" i="9" s="1" a="1"/>
  <c r="R1703" i="9" s="1"/>
  <c r="P1711" i="9"/>
  <c r="R1711" i="9" s="1" a="1"/>
  <c r="R1711" i="9" s="1"/>
  <c r="P1719" i="9"/>
  <c r="R1719" i="9" s="1" a="1"/>
  <c r="R1719" i="9" s="1"/>
  <c r="P1727" i="9"/>
  <c r="R1727" i="9" s="1" a="1"/>
  <c r="R1727" i="9" s="1"/>
  <c r="P1735" i="9"/>
  <c r="R1735" i="9" s="1" a="1"/>
  <c r="R1735" i="9" s="1"/>
  <c r="P1743" i="9"/>
  <c r="R1743" i="9" s="1" a="1"/>
  <c r="R1743" i="9" s="1"/>
  <c r="P1751" i="9"/>
  <c r="R1751" i="9" s="1" a="1"/>
  <c r="R1751" i="9" s="1"/>
  <c r="P1759" i="9"/>
  <c r="R1759" i="9" s="1" a="1"/>
  <c r="R1759" i="9" s="1"/>
  <c r="P1767" i="9"/>
  <c r="R1767" i="9" s="1" a="1"/>
  <c r="R1767" i="9" s="1"/>
  <c r="P1775" i="9"/>
  <c r="R1775" i="9" s="1" a="1"/>
  <c r="R1775" i="9" s="1"/>
  <c r="P1783" i="9"/>
  <c r="R1783" i="9" s="1" a="1"/>
  <c r="R1783" i="9" s="1"/>
  <c r="P1791" i="9"/>
  <c r="R1791" i="9" s="1" a="1"/>
  <c r="R1791" i="9" s="1"/>
  <c r="P1799" i="9"/>
  <c r="R1799" i="9" s="1" a="1"/>
  <c r="R1799" i="9" s="1"/>
  <c r="P1807" i="9"/>
  <c r="R1807" i="9" s="1" a="1"/>
  <c r="R1807" i="9" s="1"/>
  <c r="P1815" i="9"/>
  <c r="R1815" i="9" s="1" a="1"/>
  <c r="R1815" i="9" s="1"/>
  <c r="P1823" i="9"/>
  <c r="R1823" i="9" s="1" a="1"/>
  <c r="R1823" i="9" s="1"/>
  <c r="P1831" i="9"/>
  <c r="R1831" i="9" s="1" a="1"/>
  <c r="R1831" i="9" s="1"/>
  <c r="P1839" i="9"/>
  <c r="R1839" i="9" s="1" a="1"/>
  <c r="R1839" i="9" s="1"/>
  <c r="P1847" i="9"/>
  <c r="R1847" i="9" s="1" a="1"/>
  <c r="R1847" i="9" s="1"/>
  <c r="P1855" i="9"/>
  <c r="R1855" i="9" s="1" a="1"/>
  <c r="R1855" i="9" s="1"/>
  <c r="P1863" i="9"/>
  <c r="R1863" i="9" s="1" a="1"/>
  <c r="R1863" i="9" s="1"/>
  <c r="P1871" i="9"/>
  <c r="R1871" i="9" s="1" a="1"/>
  <c r="R1871" i="9" s="1"/>
  <c r="P1879" i="9"/>
  <c r="R1879" i="9" s="1" a="1"/>
  <c r="R1879" i="9" s="1"/>
  <c r="B31" i="48" l="1"/>
  <c r="B29" i="48"/>
  <c r="P1957" i="9"/>
  <c r="R1957" i="9" s="1" a="1"/>
  <c r="R1957" i="9" s="1"/>
  <c r="P1917" i="9"/>
  <c r="R1917" i="9" s="1" a="1"/>
  <c r="R1917" i="9" s="1"/>
  <c r="P1483" i="9"/>
  <c r="R1483" i="9" s="1" a="1"/>
  <c r="R1483" i="9" s="1"/>
  <c r="P518" i="9"/>
  <c r="R518" i="9" s="1" a="1"/>
  <c r="R518" i="9" s="1"/>
  <c r="P441" i="9"/>
  <c r="R441" i="9" s="1" a="1"/>
  <c r="R441" i="9" s="1"/>
  <c r="P339" i="9"/>
  <c r="R339" i="9" s="1" a="1"/>
  <c r="R339" i="9" s="1"/>
  <c r="P128" i="9"/>
  <c r="R128" i="9" s="1" a="1"/>
  <c r="R128" i="9" s="1"/>
  <c r="Q128" i="9"/>
  <c r="P88" i="9"/>
  <c r="R88" i="9" s="1" a="1"/>
  <c r="R88" i="9" s="1"/>
  <c r="Q88" i="9"/>
  <c r="P40" i="9"/>
  <c r="R40" i="9" s="1" a="1"/>
  <c r="R40" i="9" s="1"/>
  <c r="Q40" i="9"/>
  <c r="P1964" i="9"/>
  <c r="R1964" i="9" s="1" a="1"/>
  <c r="R1964" i="9" s="1"/>
  <c r="P1956" i="9"/>
  <c r="R1956" i="9" s="1" a="1"/>
  <c r="R1956" i="9" s="1"/>
  <c r="P1948" i="9"/>
  <c r="R1948" i="9" s="1" a="1"/>
  <c r="R1948" i="9" s="1"/>
  <c r="P1940" i="9"/>
  <c r="R1940" i="9" s="1" a="1"/>
  <c r="R1940" i="9" s="1"/>
  <c r="P1932" i="9"/>
  <c r="R1932" i="9" s="1" a="1"/>
  <c r="R1932" i="9" s="1"/>
  <c r="P1924" i="9"/>
  <c r="R1924" i="9" s="1" a="1"/>
  <c r="R1924" i="9" s="1"/>
  <c r="P1916" i="9"/>
  <c r="R1916" i="9" s="1" a="1"/>
  <c r="R1916" i="9" s="1"/>
  <c r="P1908" i="9"/>
  <c r="R1908" i="9" s="1" a="1"/>
  <c r="R1908" i="9" s="1"/>
  <c r="P1900" i="9"/>
  <c r="R1900" i="9" s="1" a="1"/>
  <c r="R1900" i="9" s="1"/>
  <c r="P1892" i="9"/>
  <c r="R1892" i="9" s="1" a="1"/>
  <c r="R1892" i="9" s="1"/>
  <c r="P1506" i="9"/>
  <c r="R1506" i="9" s="1" a="1"/>
  <c r="R1506" i="9" s="1"/>
  <c r="P1498" i="9"/>
  <c r="R1498" i="9" s="1" a="1"/>
  <c r="R1498" i="9" s="1"/>
  <c r="P1490" i="9"/>
  <c r="R1490" i="9" s="1" a="1"/>
  <c r="R1490" i="9" s="1"/>
  <c r="P1482" i="9"/>
  <c r="R1482" i="9" s="1" a="1"/>
  <c r="R1482" i="9" s="1"/>
  <c r="P578" i="9"/>
  <c r="R578" i="9" s="1" a="1"/>
  <c r="R578" i="9" s="1"/>
  <c r="P564" i="9"/>
  <c r="R564" i="9" s="1" a="1"/>
  <c r="R564" i="9" s="1"/>
  <c r="P546" i="9"/>
  <c r="R546" i="9" s="1" a="1"/>
  <c r="R546" i="9" s="1"/>
  <c r="P532" i="9"/>
  <c r="R532" i="9" s="1" a="1"/>
  <c r="R532" i="9" s="1"/>
  <c r="Q532" i="9"/>
  <c r="P517" i="9"/>
  <c r="R517" i="9" s="1" a="1"/>
  <c r="R517" i="9" s="1"/>
  <c r="P497" i="9"/>
  <c r="R497" i="9" s="1" a="1"/>
  <c r="R497" i="9" s="1"/>
  <c r="P489" i="9"/>
  <c r="R489" i="9" s="1" a="1"/>
  <c r="R489" i="9" s="1"/>
  <c r="P470" i="9"/>
  <c r="R470" i="9" s="1" a="1"/>
  <c r="R470" i="9" s="1"/>
  <c r="P456" i="9"/>
  <c r="R456" i="9" s="1" a="1"/>
  <c r="R456" i="9" s="1"/>
  <c r="P440" i="9"/>
  <c r="R440" i="9" s="1" a="1"/>
  <c r="R440" i="9" s="1"/>
  <c r="P432" i="9"/>
  <c r="R432" i="9" s="1" a="1"/>
  <c r="R432" i="9" s="1"/>
  <c r="Q370" i="9"/>
  <c r="P370" i="9"/>
  <c r="R370" i="9" s="1" a="1"/>
  <c r="R370" i="9" s="1"/>
  <c r="P362" i="9"/>
  <c r="R362" i="9" s="1" a="1"/>
  <c r="R362" i="9" s="1"/>
  <c r="Q362" i="9"/>
  <c r="P354" i="9"/>
  <c r="R354" i="9" s="1" a="1"/>
  <c r="R354" i="9" s="1"/>
  <c r="P346" i="9"/>
  <c r="R346" i="9" s="1" a="1"/>
  <c r="R346" i="9" s="1"/>
  <c r="P338" i="9"/>
  <c r="R338" i="9" s="1" a="1"/>
  <c r="R338" i="9" s="1"/>
  <c r="P238" i="9"/>
  <c r="R238" i="9" s="1" a="1"/>
  <c r="R238" i="9" s="1"/>
  <c r="P167" i="9"/>
  <c r="R167" i="9" s="1" a="1"/>
  <c r="R167" i="9" s="1"/>
  <c r="Q159" i="9"/>
  <c r="P159" i="9"/>
  <c r="R159" i="9" s="1" a="1"/>
  <c r="R159" i="9" s="1"/>
  <c r="Q151" i="9"/>
  <c r="P151" i="9"/>
  <c r="R151" i="9" s="1" a="1"/>
  <c r="R151" i="9" s="1"/>
  <c r="Q143" i="9"/>
  <c r="P143" i="9"/>
  <c r="R143" i="9" s="1" a="1"/>
  <c r="R143" i="9" s="1"/>
  <c r="Q135" i="9"/>
  <c r="P135" i="9"/>
  <c r="R135" i="9" s="1" a="1"/>
  <c r="R135" i="9" s="1"/>
  <c r="Q127" i="9"/>
  <c r="P127" i="9"/>
  <c r="R127" i="9" s="1" a="1"/>
  <c r="R127" i="9" s="1"/>
  <c r="Q119" i="9"/>
  <c r="P119" i="9"/>
  <c r="R119" i="9" s="1" a="1"/>
  <c r="R119" i="9" s="1"/>
  <c r="Q111" i="9"/>
  <c r="P111" i="9"/>
  <c r="R111" i="9" s="1" a="1"/>
  <c r="R111" i="9" s="1"/>
  <c r="Q103" i="9"/>
  <c r="P103" i="9"/>
  <c r="R103" i="9" s="1" a="1"/>
  <c r="R103" i="9" s="1"/>
  <c r="Q95" i="9"/>
  <c r="P95" i="9"/>
  <c r="R95" i="9" s="1" a="1"/>
  <c r="R95" i="9" s="1"/>
  <c r="Q87" i="9"/>
  <c r="P87" i="9"/>
  <c r="R87" i="9" s="1" a="1"/>
  <c r="R87" i="9" s="1"/>
  <c r="Q79" i="9"/>
  <c r="P79" i="9"/>
  <c r="R79" i="9" s="1" a="1"/>
  <c r="R79" i="9" s="1"/>
  <c r="Q71" i="9"/>
  <c r="P71" i="9"/>
  <c r="R71" i="9" s="1" a="1"/>
  <c r="R71" i="9" s="1"/>
  <c r="Q63" i="9"/>
  <c r="P63" i="9"/>
  <c r="R63" i="9" s="1" a="1"/>
  <c r="R63" i="9" s="1"/>
  <c r="Q55" i="9"/>
  <c r="P55" i="9"/>
  <c r="R55" i="9" s="1" a="1"/>
  <c r="R55" i="9" s="1"/>
  <c r="Q47" i="9"/>
  <c r="P47" i="9"/>
  <c r="R47" i="9" s="1" a="1"/>
  <c r="R47" i="9" s="1"/>
  <c r="Q39" i="9"/>
  <c r="P39" i="9"/>
  <c r="R39" i="9" s="1" a="1"/>
  <c r="R39" i="9" s="1"/>
  <c r="Q31" i="9"/>
  <c r="P31" i="9"/>
  <c r="R31" i="9" s="1" a="1"/>
  <c r="R31" i="9" s="1"/>
  <c r="P1909" i="9"/>
  <c r="R1909" i="9" s="1" a="1"/>
  <c r="R1909" i="9" s="1"/>
  <c r="P152" i="9"/>
  <c r="R152" i="9" s="1" a="1"/>
  <c r="R152" i="9" s="1"/>
  <c r="Q152" i="9"/>
  <c r="P1497" i="9"/>
  <c r="R1497" i="9" s="1" a="1"/>
  <c r="R1497" i="9" s="1"/>
  <c r="Q94" i="9"/>
  <c r="P94" i="9"/>
  <c r="R94" i="9" s="1" a="1"/>
  <c r="R94" i="9" s="1"/>
  <c r="P1901" i="9"/>
  <c r="R1901" i="9" s="1" a="1"/>
  <c r="R1901" i="9" s="1"/>
  <c r="P144" i="9"/>
  <c r="R144" i="9" s="1" a="1"/>
  <c r="R144" i="9" s="1"/>
  <c r="Q144" i="9"/>
  <c r="P1481" i="9"/>
  <c r="R1481" i="9" s="1" a="1"/>
  <c r="R1481" i="9" s="1"/>
  <c r="P237" i="9"/>
  <c r="R237" i="9" s="1" a="1"/>
  <c r="R237" i="9" s="1"/>
  <c r="P1504" i="9"/>
  <c r="R1504" i="9" s="1" a="1"/>
  <c r="R1504" i="9" s="1"/>
  <c r="P85" i="9"/>
  <c r="R85" i="9" s="1" a="1"/>
  <c r="R85" i="9" s="1"/>
  <c r="Q85" i="9"/>
  <c r="P1941" i="9"/>
  <c r="R1941" i="9" s="1" a="1"/>
  <c r="R1941" i="9" s="1"/>
  <c r="P1893" i="9"/>
  <c r="R1893" i="9" s="1" a="1"/>
  <c r="R1893" i="9" s="1"/>
  <c r="P579" i="9"/>
  <c r="R579" i="9" s="1" a="1"/>
  <c r="R579" i="9" s="1"/>
  <c r="P498" i="9"/>
  <c r="R498" i="9" s="1" a="1"/>
  <c r="R498" i="9" s="1"/>
  <c r="P433" i="9"/>
  <c r="R433" i="9" s="1" a="1"/>
  <c r="R433" i="9" s="1"/>
  <c r="P239" i="9"/>
  <c r="R239" i="9" s="1" a="1"/>
  <c r="R239" i="9" s="1"/>
  <c r="P120" i="9"/>
  <c r="R120" i="9" s="1" a="1"/>
  <c r="R120" i="9" s="1"/>
  <c r="Q120" i="9"/>
  <c r="P80" i="9"/>
  <c r="R80" i="9" s="1" a="1"/>
  <c r="R80" i="9" s="1"/>
  <c r="Q80" i="9"/>
  <c r="P48" i="9"/>
  <c r="R48" i="9" s="1" a="1"/>
  <c r="R48" i="9" s="1"/>
  <c r="Q48" i="9"/>
  <c r="P1963" i="9"/>
  <c r="R1963" i="9" s="1" a="1"/>
  <c r="R1963" i="9" s="1"/>
  <c r="P1931" i="9"/>
  <c r="R1931" i="9" s="1" a="1"/>
  <c r="R1931" i="9" s="1"/>
  <c r="P1899" i="9"/>
  <c r="R1899" i="9" s="1" a="1"/>
  <c r="R1899" i="9" s="1"/>
  <c r="P577" i="9"/>
  <c r="R577" i="9" s="1" a="1"/>
  <c r="R577" i="9" s="1"/>
  <c r="P516" i="9"/>
  <c r="R516" i="9" s="1" a="1"/>
  <c r="R516" i="9" s="1"/>
  <c r="P455" i="9"/>
  <c r="R455" i="9" s="1" a="1"/>
  <c r="R455" i="9" s="1"/>
  <c r="P353" i="9"/>
  <c r="R353" i="9" s="1" a="1"/>
  <c r="R353" i="9" s="1"/>
  <c r="P166" i="9"/>
  <c r="R166" i="9" s="1" a="1"/>
  <c r="R166" i="9" s="1"/>
  <c r="Q134" i="9"/>
  <c r="P134" i="9"/>
  <c r="R134" i="9" s="1" a="1"/>
  <c r="R134" i="9" s="1"/>
  <c r="P86" i="9"/>
  <c r="R86" i="9" s="1" a="1"/>
  <c r="R86" i="9" s="1"/>
  <c r="Q86" i="9"/>
  <c r="P54" i="9"/>
  <c r="R54" i="9" s="1" a="1"/>
  <c r="R54" i="9" s="1"/>
  <c r="Q54" i="9"/>
  <c r="P1954" i="9"/>
  <c r="R1954" i="9" s="1" a="1"/>
  <c r="R1954" i="9" s="1"/>
  <c r="P1922" i="9"/>
  <c r="R1922" i="9" s="1" a="1"/>
  <c r="R1922" i="9" s="1"/>
  <c r="P1890" i="9"/>
  <c r="R1890" i="9" s="1" a="1"/>
  <c r="R1890" i="9" s="1"/>
  <c r="P576" i="9"/>
  <c r="R576" i="9" s="1" a="1"/>
  <c r="R576" i="9" s="1"/>
  <c r="P495" i="9"/>
  <c r="R495" i="9" s="1" a="1"/>
  <c r="R495" i="9" s="1"/>
  <c r="P454" i="9"/>
  <c r="R454" i="9" s="1" a="1"/>
  <c r="R454" i="9" s="1"/>
  <c r="P352" i="9"/>
  <c r="R352" i="9" s="1" a="1"/>
  <c r="R352" i="9" s="1"/>
  <c r="P165" i="9"/>
  <c r="R165" i="9" s="1" a="1"/>
  <c r="R165" i="9" s="1"/>
  <c r="P133" i="9"/>
  <c r="R133" i="9" s="1" a="1"/>
  <c r="R133" i="9" s="1"/>
  <c r="Q133" i="9"/>
  <c r="P109" i="9"/>
  <c r="R109" i="9" s="1" a="1"/>
  <c r="R109" i="9" s="1"/>
  <c r="Q109" i="9"/>
  <c r="P69" i="9"/>
  <c r="R69" i="9" s="1" a="1"/>
  <c r="R69" i="9" s="1"/>
  <c r="Q69" i="9"/>
  <c r="P53" i="9"/>
  <c r="R53" i="9" s="1" a="1"/>
  <c r="R53" i="9" s="1"/>
  <c r="Q53" i="9"/>
  <c r="P1961" i="9"/>
  <c r="R1961" i="9" s="1" a="1"/>
  <c r="R1961" i="9" s="1"/>
  <c r="P1953" i="9"/>
  <c r="R1953" i="9" s="1" a="1"/>
  <c r="R1953" i="9" s="1"/>
  <c r="P1945" i="9"/>
  <c r="R1945" i="9" s="1" a="1"/>
  <c r="R1945" i="9" s="1"/>
  <c r="P1937" i="9"/>
  <c r="R1937" i="9" s="1" a="1"/>
  <c r="R1937" i="9" s="1"/>
  <c r="P1929" i="9"/>
  <c r="R1929" i="9" s="1" a="1"/>
  <c r="R1929" i="9" s="1"/>
  <c r="P1921" i="9"/>
  <c r="R1921" i="9" s="1" a="1"/>
  <c r="R1921" i="9" s="1"/>
  <c r="P1913" i="9"/>
  <c r="R1913" i="9" s="1" a="1"/>
  <c r="R1913" i="9" s="1"/>
  <c r="P1905" i="9"/>
  <c r="R1905" i="9" s="1" a="1"/>
  <c r="R1905" i="9" s="1"/>
  <c r="P1897" i="9"/>
  <c r="R1897" i="9" s="1" a="1"/>
  <c r="R1897" i="9" s="1"/>
  <c r="P1889" i="9"/>
  <c r="R1889" i="9" s="1" a="1"/>
  <c r="R1889" i="9" s="1"/>
  <c r="P1503" i="9"/>
  <c r="R1503" i="9" s="1" a="1"/>
  <c r="R1503" i="9" s="1"/>
  <c r="P1495" i="9"/>
  <c r="R1495" i="9" s="1" a="1"/>
  <c r="R1495" i="9" s="1"/>
  <c r="P1487" i="9"/>
  <c r="R1487" i="9" s="1" a="1"/>
  <c r="R1487" i="9" s="1"/>
  <c r="P1479" i="9"/>
  <c r="R1479" i="9" s="1" a="1"/>
  <c r="R1479" i="9" s="1"/>
  <c r="P575" i="9"/>
  <c r="R575" i="9" s="1" a="1"/>
  <c r="R575" i="9" s="1"/>
  <c r="P557" i="9"/>
  <c r="R557" i="9" s="1" a="1"/>
  <c r="R557" i="9" s="1"/>
  <c r="P543" i="9"/>
  <c r="R543" i="9" s="1" a="1"/>
  <c r="R543" i="9" s="1"/>
  <c r="P529" i="9"/>
  <c r="R529" i="9" s="1" a="1"/>
  <c r="R529" i="9" s="1"/>
  <c r="Q529" i="9"/>
  <c r="P508" i="9"/>
  <c r="R508" i="9" s="1" a="1"/>
  <c r="R508" i="9" s="1"/>
  <c r="P494" i="9"/>
  <c r="R494" i="9" s="1" a="1"/>
  <c r="R494" i="9" s="1"/>
  <c r="P481" i="9"/>
  <c r="R481" i="9" s="1" a="1"/>
  <c r="R481" i="9" s="1"/>
  <c r="P467" i="9"/>
  <c r="R467" i="9" s="1" a="1"/>
  <c r="R467" i="9" s="1"/>
  <c r="Q467" i="9"/>
  <c r="P453" i="9"/>
  <c r="R453" i="9" s="1" a="1"/>
  <c r="R453" i="9" s="1"/>
  <c r="P437" i="9"/>
  <c r="R437" i="9" s="1" a="1"/>
  <c r="R437" i="9" s="1"/>
  <c r="P429" i="9"/>
  <c r="R429" i="9" s="1" a="1"/>
  <c r="R429" i="9" s="1"/>
  <c r="P367" i="9"/>
  <c r="R367" i="9" s="1" a="1"/>
  <c r="R367" i="9" s="1"/>
  <c r="Q367" i="9"/>
  <c r="P359" i="9"/>
  <c r="R359" i="9" s="1" a="1"/>
  <c r="R359" i="9" s="1"/>
  <c r="Q359" i="9"/>
  <c r="P351" i="9"/>
  <c r="R351" i="9" s="1" a="1"/>
  <c r="R351" i="9" s="1"/>
  <c r="P343" i="9"/>
  <c r="R343" i="9" s="1" a="1"/>
  <c r="R343" i="9" s="1"/>
  <c r="P335" i="9"/>
  <c r="R335" i="9" s="1" a="1"/>
  <c r="R335" i="9" s="1"/>
  <c r="P235" i="9"/>
  <c r="R235" i="9" s="1" a="1"/>
  <c r="R235" i="9" s="1"/>
  <c r="P164" i="9"/>
  <c r="R164" i="9" s="1" a="1"/>
  <c r="R164" i="9" s="1"/>
  <c r="P156" i="9"/>
  <c r="R156" i="9" s="1" a="1"/>
  <c r="R156" i="9" s="1"/>
  <c r="Q156" i="9"/>
  <c r="P148" i="9"/>
  <c r="R148" i="9" s="1" a="1"/>
  <c r="R148" i="9" s="1"/>
  <c r="Q148" i="9"/>
  <c r="P140" i="9"/>
  <c r="R140" i="9" s="1" a="1"/>
  <c r="R140" i="9" s="1"/>
  <c r="Q140" i="9"/>
  <c r="P132" i="9"/>
  <c r="R132" i="9" s="1" a="1"/>
  <c r="R132" i="9" s="1"/>
  <c r="Q132" i="9"/>
  <c r="P124" i="9"/>
  <c r="R124" i="9" s="1" a="1"/>
  <c r="R124" i="9" s="1"/>
  <c r="Q124" i="9"/>
  <c r="P116" i="9"/>
  <c r="R116" i="9" s="1" a="1"/>
  <c r="R116" i="9" s="1"/>
  <c r="Q116" i="9"/>
  <c r="P108" i="9"/>
  <c r="R108" i="9" s="1" a="1"/>
  <c r="R108" i="9" s="1"/>
  <c r="Q108" i="9"/>
  <c r="P100" i="9"/>
  <c r="R100" i="9" s="1" a="1"/>
  <c r="R100" i="9" s="1"/>
  <c r="Q100" i="9"/>
  <c r="P92" i="9"/>
  <c r="R92" i="9" s="1" a="1"/>
  <c r="R92" i="9" s="1"/>
  <c r="Q92" i="9"/>
  <c r="P84" i="9"/>
  <c r="R84" i="9" s="1" a="1"/>
  <c r="R84" i="9" s="1"/>
  <c r="Q84" i="9"/>
  <c r="P76" i="9"/>
  <c r="R76" i="9" s="1" a="1"/>
  <c r="R76" i="9" s="1"/>
  <c r="Q76" i="9"/>
  <c r="P68" i="9"/>
  <c r="R68" i="9" s="1" a="1"/>
  <c r="R68" i="9" s="1"/>
  <c r="Q68" i="9"/>
  <c r="P60" i="9"/>
  <c r="R60" i="9" s="1" a="1"/>
  <c r="R60" i="9" s="1"/>
  <c r="Q60" i="9"/>
  <c r="P52" i="9"/>
  <c r="R52" i="9" s="1" a="1"/>
  <c r="R52" i="9" s="1"/>
  <c r="Q52" i="9"/>
  <c r="P44" i="9"/>
  <c r="R44" i="9" s="1" a="1"/>
  <c r="R44" i="9" s="1"/>
  <c r="Q44" i="9"/>
  <c r="P36" i="9"/>
  <c r="R36" i="9" s="1" a="1"/>
  <c r="R36" i="9" s="1"/>
  <c r="Q36" i="9"/>
  <c r="P1965" i="9"/>
  <c r="R1965" i="9" s="1" a="1"/>
  <c r="R1965" i="9" s="1"/>
  <c r="P1925" i="9"/>
  <c r="R1925" i="9" s="1" a="1"/>
  <c r="R1925" i="9" s="1"/>
  <c r="P1491" i="9"/>
  <c r="R1491" i="9" s="1" a="1"/>
  <c r="R1491" i="9" s="1"/>
  <c r="P533" i="9"/>
  <c r="R533" i="9" s="1" a="1"/>
  <c r="R533" i="9" s="1"/>
  <c r="P457" i="9"/>
  <c r="R457" i="9" s="1" a="1"/>
  <c r="R457" i="9" s="1"/>
  <c r="P363" i="9"/>
  <c r="R363" i="9" s="1" a="1"/>
  <c r="R363" i="9" s="1"/>
  <c r="Q363" i="9"/>
  <c r="P160" i="9"/>
  <c r="R160" i="9" s="1" a="1"/>
  <c r="R160" i="9" s="1"/>
  <c r="P112" i="9"/>
  <c r="R112" i="9" s="1" a="1"/>
  <c r="R112" i="9" s="1"/>
  <c r="Q112" i="9"/>
  <c r="P72" i="9"/>
  <c r="R72" i="9" s="1" a="1"/>
  <c r="R72" i="9" s="1"/>
  <c r="Q72" i="9"/>
  <c r="P32" i="9"/>
  <c r="R32" i="9" s="1" a="1"/>
  <c r="R32" i="9" s="1"/>
  <c r="Q32" i="9"/>
  <c r="P1955" i="9"/>
  <c r="R1955" i="9" s="1" a="1"/>
  <c r="R1955" i="9" s="1"/>
  <c r="P1923" i="9"/>
  <c r="R1923" i="9" s="1" a="1"/>
  <c r="R1923" i="9" s="1"/>
  <c r="P1505" i="9"/>
  <c r="R1505" i="9" s="1" a="1"/>
  <c r="R1505" i="9" s="1"/>
  <c r="P545" i="9"/>
  <c r="R545" i="9" s="1" a="1"/>
  <c r="R545" i="9" s="1"/>
  <c r="P483" i="9"/>
  <c r="R483" i="9" s="1" a="1"/>
  <c r="R483" i="9" s="1"/>
  <c r="P431" i="9"/>
  <c r="R431" i="9" s="1" a="1"/>
  <c r="R431" i="9" s="1"/>
  <c r="P345" i="9"/>
  <c r="R345" i="9" s="1" a="1"/>
  <c r="R345" i="9" s="1"/>
  <c r="P150" i="9"/>
  <c r="R150" i="9" s="1" a="1"/>
  <c r="R150" i="9" s="1"/>
  <c r="Q150" i="9"/>
  <c r="Q126" i="9"/>
  <c r="P126" i="9"/>
  <c r="R126" i="9" s="1" a="1"/>
  <c r="R126" i="9" s="1"/>
  <c r="P78" i="9"/>
  <c r="R78" i="9" s="1" a="1"/>
  <c r="R78" i="9" s="1"/>
  <c r="Q78" i="9"/>
  <c r="Q38" i="9"/>
  <c r="P38" i="9"/>
  <c r="R38" i="9" s="1" a="1"/>
  <c r="R38" i="9" s="1"/>
  <c r="P1962" i="9"/>
  <c r="R1962" i="9" s="1" a="1"/>
  <c r="R1962" i="9" s="1"/>
  <c r="P1930" i="9"/>
  <c r="R1930" i="9" s="1" a="1"/>
  <c r="R1930" i="9" s="1"/>
  <c r="P1898" i="9"/>
  <c r="R1898" i="9" s="1" a="1"/>
  <c r="R1898" i="9" s="1"/>
  <c r="P1480" i="9"/>
  <c r="R1480" i="9" s="1" a="1"/>
  <c r="R1480" i="9" s="1"/>
  <c r="P530" i="9"/>
  <c r="R530" i="9" s="1" a="1"/>
  <c r="R530" i="9" s="1"/>
  <c r="Q530" i="9"/>
  <c r="P438" i="9"/>
  <c r="R438" i="9" s="1" a="1"/>
  <c r="R438" i="9" s="1"/>
  <c r="P360" i="9"/>
  <c r="R360" i="9" s="1" a="1"/>
  <c r="R360" i="9" s="1"/>
  <c r="Q360" i="9"/>
  <c r="P236" i="9"/>
  <c r="R236" i="9" s="1" a="1"/>
  <c r="R236" i="9" s="1"/>
  <c r="P141" i="9"/>
  <c r="R141" i="9" s="1" a="1"/>
  <c r="R141" i="9" s="1"/>
  <c r="Q141" i="9"/>
  <c r="P117" i="9"/>
  <c r="R117" i="9" s="1" a="1"/>
  <c r="R117" i="9" s="1"/>
  <c r="Q117" i="9"/>
  <c r="P77" i="9"/>
  <c r="R77" i="9" s="1" a="1"/>
  <c r="R77" i="9" s="1"/>
  <c r="Q77" i="9"/>
  <c r="P45" i="9"/>
  <c r="R45" i="9" s="1" a="1"/>
  <c r="R45" i="9" s="1"/>
  <c r="Q45" i="9"/>
  <c r="P1968" i="9"/>
  <c r="R1968" i="9" s="1" a="1"/>
  <c r="R1968" i="9" s="1"/>
  <c r="P1960" i="9"/>
  <c r="R1960" i="9" s="1" a="1"/>
  <c r="R1960" i="9" s="1"/>
  <c r="P1952" i="9"/>
  <c r="R1952" i="9" s="1" a="1"/>
  <c r="R1952" i="9" s="1"/>
  <c r="P1944" i="9"/>
  <c r="R1944" i="9" s="1" a="1"/>
  <c r="R1944" i="9" s="1"/>
  <c r="P1936" i="9"/>
  <c r="R1936" i="9" s="1" a="1"/>
  <c r="R1936" i="9" s="1"/>
  <c r="P1928" i="9"/>
  <c r="R1928" i="9" s="1" a="1"/>
  <c r="R1928" i="9" s="1"/>
  <c r="P1920" i="9"/>
  <c r="R1920" i="9" s="1" a="1"/>
  <c r="R1920" i="9" s="1"/>
  <c r="P1912" i="9"/>
  <c r="R1912" i="9" s="1" a="1"/>
  <c r="R1912" i="9" s="1"/>
  <c r="P1904" i="9"/>
  <c r="R1904" i="9" s="1" a="1"/>
  <c r="R1904" i="9" s="1"/>
  <c r="P1896" i="9"/>
  <c r="R1896" i="9" s="1" a="1"/>
  <c r="R1896" i="9" s="1"/>
  <c r="P1888" i="9"/>
  <c r="R1888" i="9" s="1" a="1"/>
  <c r="R1888" i="9" s="1"/>
  <c r="P1502" i="9"/>
  <c r="R1502" i="9" s="1" a="1"/>
  <c r="R1502" i="9" s="1"/>
  <c r="P1494" i="9"/>
  <c r="R1494" i="9" s="1" a="1"/>
  <c r="R1494" i="9" s="1"/>
  <c r="P1486" i="9"/>
  <c r="R1486" i="9" s="1" a="1"/>
  <c r="R1486" i="9" s="1"/>
  <c r="P1478" i="9"/>
  <c r="R1478" i="9" s="1" a="1"/>
  <c r="R1478" i="9" s="1"/>
  <c r="P574" i="9"/>
  <c r="R574" i="9" s="1" a="1"/>
  <c r="R574" i="9" s="1"/>
  <c r="P556" i="9"/>
  <c r="R556" i="9" s="1" a="1"/>
  <c r="R556" i="9" s="1"/>
  <c r="P542" i="9"/>
  <c r="R542" i="9" s="1" a="1"/>
  <c r="R542" i="9" s="1"/>
  <c r="P521" i="9"/>
  <c r="R521" i="9" s="1" a="1"/>
  <c r="R521" i="9" s="1"/>
  <c r="P507" i="9"/>
  <c r="R507" i="9" s="1" a="1"/>
  <c r="R507" i="9" s="1"/>
  <c r="P493" i="9"/>
  <c r="R493" i="9" s="1" a="1"/>
  <c r="R493" i="9" s="1"/>
  <c r="P480" i="9"/>
  <c r="R480" i="9" s="1" a="1"/>
  <c r="R480" i="9" s="1"/>
  <c r="P466" i="9"/>
  <c r="R466" i="9" s="1" a="1"/>
  <c r="R466" i="9" s="1"/>
  <c r="Q466" i="9"/>
  <c r="P452" i="9"/>
  <c r="R452" i="9" s="1" a="1"/>
  <c r="R452" i="9" s="1"/>
  <c r="P436" i="9"/>
  <c r="R436" i="9" s="1" a="1"/>
  <c r="R436" i="9" s="1"/>
  <c r="P428" i="9"/>
  <c r="R428" i="9" s="1" a="1"/>
  <c r="R428" i="9" s="1"/>
  <c r="P366" i="9"/>
  <c r="R366" i="9" s="1" a="1"/>
  <c r="R366" i="9" s="1"/>
  <c r="Q366" i="9"/>
  <c r="P358" i="9"/>
  <c r="R358" i="9" s="1" a="1"/>
  <c r="R358" i="9" s="1"/>
  <c r="P350" i="9"/>
  <c r="R350" i="9" s="1" a="1"/>
  <c r="R350" i="9" s="1"/>
  <c r="P342" i="9"/>
  <c r="R342" i="9" s="1" a="1"/>
  <c r="R342" i="9" s="1"/>
  <c r="P334" i="9"/>
  <c r="R334" i="9" s="1" a="1"/>
  <c r="R334" i="9" s="1"/>
  <c r="P171" i="9"/>
  <c r="R171" i="9" s="1" a="1"/>
  <c r="R171" i="9" s="1"/>
  <c r="P163" i="9"/>
  <c r="R163" i="9" s="1" a="1"/>
  <c r="R163" i="9" s="1"/>
  <c r="Q155" i="9"/>
  <c r="P155" i="9"/>
  <c r="R155" i="9" s="1" a="1"/>
  <c r="R155" i="9" s="1"/>
  <c r="Q147" i="9"/>
  <c r="P147" i="9"/>
  <c r="R147" i="9" s="1" a="1"/>
  <c r="R147" i="9" s="1"/>
  <c r="Q139" i="9"/>
  <c r="P139" i="9"/>
  <c r="R139" i="9" s="1" a="1"/>
  <c r="R139" i="9" s="1"/>
  <c r="Q131" i="9"/>
  <c r="P131" i="9"/>
  <c r="R131" i="9" s="1" a="1"/>
  <c r="R131" i="9" s="1"/>
  <c r="Q123" i="9"/>
  <c r="P123" i="9"/>
  <c r="R123" i="9" s="1" a="1"/>
  <c r="R123" i="9" s="1"/>
  <c r="Q115" i="9"/>
  <c r="P115" i="9"/>
  <c r="R115" i="9" s="1" a="1"/>
  <c r="R115" i="9" s="1"/>
  <c r="Q107" i="9"/>
  <c r="P107" i="9"/>
  <c r="R107" i="9" s="1" a="1"/>
  <c r="R107" i="9" s="1"/>
  <c r="Q99" i="9"/>
  <c r="P99" i="9"/>
  <c r="R99" i="9" s="1" a="1"/>
  <c r="R99" i="9" s="1"/>
  <c r="Q91" i="9"/>
  <c r="P91" i="9"/>
  <c r="R91" i="9" s="1" a="1"/>
  <c r="R91" i="9" s="1"/>
  <c r="Q83" i="9"/>
  <c r="P83" i="9"/>
  <c r="R83" i="9" s="1" a="1"/>
  <c r="R83" i="9" s="1"/>
  <c r="Q75" i="9"/>
  <c r="P75" i="9"/>
  <c r="R75" i="9" s="1" a="1"/>
  <c r="R75" i="9" s="1"/>
  <c r="Q67" i="9"/>
  <c r="P67" i="9"/>
  <c r="R67" i="9" s="1" a="1"/>
  <c r="R67" i="9" s="1"/>
  <c r="Q59" i="9"/>
  <c r="P59" i="9"/>
  <c r="R59" i="9" s="1" a="1"/>
  <c r="R59" i="9" s="1"/>
  <c r="Q51" i="9"/>
  <c r="P51" i="9"/>
  <c r="R51" i="9" s="1" a="1"/>
  <c r="R51" i="9" s="1"/>
  <c r="Q43" i="9"/>
  <c r="P43" i="9"/>
  <c r="R43" i="9" s="1" a="1"/>
  <c r="R43" i="9" s="1"/>
  <c r="Q35" i="9"/>
  <c r="P35" i="9"/>
  <c r="R35" i="9" s="1" a="1"/>
  <c r="R35" i="9" s="1"/>
  <c r="P1949" i="9"/>
  <c r="R1949" i="9" s="1" a="1"/>
  <c r="R1949" i="9" s="1"/>
  <c r="P1507" i="9"/>
  <c r="R1507" i="9" s="1" a="1"/>
  <c r="R1507" i="9" s="1"/>
  <c r="P565" i="9"/>
  <c r="R565" i="9" s="1" a="1"/>
  <c r="R565" i="9" s="1"/>
  <c r="P490" i="9"/>
  <c r="R490" i="9" s="1" a="1"/>
  <c r="R490" i="9" s="1"/>
  <c r="P371" i="9"/>
  <c r="R371" i="9" s="1" a="1"/>
  <c r="R371" i="9" s="1"/>
  <c r="Q371" i="9"/>
  <c r="P347" i="9"/>
  <c r="R347" i="9" s="1" a="1"/>
  <c r="R347" i="9" s="1"/>
  <c r="P136" i="9"/>
  <c r="R136" i="9" s="1" a="1"/>
  <c r="R136" i="9" s="1"/>
  <c r="Q136" i="9"/>
  <c r="P96" i="9"/>
  <c r="R96" i="9" s="1" a="1"/>
  <c r="R96" i="9" s="1"/>
  <c r="Q96" i="9"/>
  <c r="P56" i="9"/>
  <c r="R56" i="9" s="1" a="1"/>
  <c r="R56" i="9" s="1"/>
  <c r="Q56" i="9"/>
  <c r="P1939" i="9"/>
  <c r="R1939" i="9" s="1" a="1"/>
  <c r="R1939" i="9" s="1"/>
  <c r="P1915" i="9"/>
  <c r="R1915" i="9" s="1" a="1"/>
  <c r="R1915" i="9" s="1"/>
  <c r="P1891" i="9"/>
  <c r="R1891" i="9" s="1" a="1"/>
  <c r="R1891" i="9" s="1"/>
  <c r="P559" i="9"/>
  <c r="R559" i="9" s="1" a="1"/>
  <c r="R559" i="9" s="1"/>
  <c r="P496" i="9"/>
  <c r="R496" i="9" s="1" a="1"/>
  <c r="R496" i="9" s="1"/>
  <c r="P469" i="9"/>
  <c r="R469" i="9" s="1" a="1"/>
  <c r="R469" i="9" s="1"/>
  <c r="P369" i="9"/>
  <c r="R369" i="9" s="1" a="1"/>
  <c r="R369" i="9" s="1"/>
  <c r="Q369" i="9"/>
  <c r="P337" i="9"/>
  <c r="R337" i="9" s="1" a="1"/>
  <c r="R337" i="9" s="1"/>
  <c r="P142" i="9"/>
  <c r="R142" i="9" s="1" a="1"/>
  <c r="R142" i="9" s="1"/>
  <c r="Q142" i="9"/>
  <c r="P118" i="9"/>
  <c r="R118" i="9" s="1" a="1"/>
  <c r="R118" i="9" s="1"/>
  <c r="Q118" i="9"/>
  <c r="Q102" i="9"/>
  <c r="P102" i="9"/>
  <c r="R102" i="9" s="1" a="1"/>
  <c r="R102" i="9" s="1"/>
  <c r="Q62" i="9"/>
  <c r="P62" i="9"/>
  <c r="R62" i="9" s="1" a="1"/>
  <c r="R62" i="9" s="1"/>
  <c r="Q30" i="9"/>
  <c r="P30" i="9"/>
  <c r="R30" i="9" s="1" a="1"/>
  <c r="R30" i="9" s="1"/>
  <c r="P1946" i="9"/>
  <c r="R1946" i="9" s="1" a="1"/>
  <c r="R1946" i="9" s="1"/>
  <c r="P1914" i="9"/>
  <c r="R1914" i="9" s="1" a="1"/>
  <c r="R1914" i="9" s="1"/>
  <c r="P1496" i="9"/>
  <c r="R1496" i="9" s="1" a="1"/>
  <c r="R1496" i="9" s="1"/>
  <c r="P558" i="9"/>
  <c r="R558" i="9" s="1" a="1"/>
  <c r="R558" i="9" s="1"/>
  <c r="P509" i="9"/>
  <c r="R509" i="9" s="1" a="1"/>
  <c r="R509" i="9" s="1"/>
  <c r="P482" i="9"/>
  <c r="R482" i="9" s="1" a="1"/>
  <c r="R482" i="9" s="1"/>
  <c r="P430" i="9"/>
  <c r="R430" i="9" s="1" a="1"/>
  <c r="R430" i="9" s="1"/>
  <c r="P344" i="9"/>
  <c r="R344" i="9" s="1" a="1"/>
  <c r="R344" i="9" s="1"/>
  <c r="P149" i="9"/>
  <c r="R149" i="9" s="1" a="1"/>
  <c r="R149" i="9" s="1"/>
  <c r="Q149" i="9"/>
  <c r="P101" i="9"/>
  <c r="R101" i="9" s="1" a="1"/>
  <c r="R101" i="9" s="1"/>
  <c r="Q101" i="9"/>
  <c r="P1967" i="9"/>
  <c r="R1967" i="9" s="1" a="1"/>
  <c r="R1967" i="9" s="1"/>
  <c r="P1959" i="9"/>
  <c r="R1959" i="9" s="1" a="1"/>
  <c r="R1959" i="9" s="1"/>
  <c r="P1951" i="9"/>
  <c r="R1951" i="9" s="1" a="1"/>
  <c r="R1951" i="9" s="1"/>
  <c r="P1943" i="9"/>
  <c r="R1943" i="9" s="1" a="1"/>
  <c r="R1943" i="9" s="1"/>
  <c r="P1935" i="9"/>
  <c r="R1935" i="9" s="1" a="1"/>
  <c r="R1935" i="9" s="1"/>
  <c r="P1927" i="9"/>
  <c r="R1927" i="9" s="1" a="1"/>
  <c r="R1927" i="9" s="1"/>
  <c r="P1919" i="9"/>
  <c r="R1919" i="9" s="1" a="1"/>
  <c r="R1919" i="9" s="1"/>
  <c r="P1911" i="9"/>
  <c r="R1911" i="9" s="1" a="1"/>
  <c r="R1911" i="9" s="1"/>
  <c r="P1903" i="9"/>
  <c r="R1903" i="9" s="1" a="1"/>
  <c r="R1903" i="9" s="1"/>
  <c r="P1895" i="9"/>
  <c r="R1895" i="9" s="1" a="1"/>
  <c r="R1895" i="9" s="1"/>
  <c r="P1887" i="9"/>
  <c r="R1887" i="9" s="1" a="1"/>
  <c r="R1887" i="9" s="1"/>
  <c r="P1501" i="9"/>
  <c r="R1501" i="9" s="1" a="1"/>
  <c r="R1501" i="9" s="1"/>
  <c r="P1493" i="9"/>
  <c r="R1493" i="9" s="1" a="1"/>
  <c r="R1493" i="9" s="1"/>
  <c r="P1485" i="9"/>
  <c r="R1485" i="9" s="1" a="1"/>
  <c r="R1485" i="9" s="1"/>
  <c r="P1477" i="9"/>
  <c r="R1477" i="9" s="1" a="1"/>
  <c r="R1477" i="9" s="1"/>
  <c r="P567" i="9"/>
  <c r="R567" i="9" s="1" a="1"/>
  <c r="R567" i="9" s="1"/>
  <c r="P555" i="9"/>
  <c r="R555" i="9" s="1" a="1"/>
  <c r="R555" i="9" s="1"/>
  <c r="P535" i="9"/>
  <c r="R535" i="9" s="1" a="1"/>
  <c r="R535" i="9" s="1"/>
  <c r="P520" i="9"/>
  <c r="R520" i="9" s="1" a="1"/>
  <c r="R520" i="9" s="1"/>
  <c r="P506" i="9"/>
  <c r="R506" i="9" s="1" a="1"/>
  <c r="R506" i="9" s="1"/>
  <c r="P492" i="9"/>
  <c r="R492" i="9" s="1" a="1"/>
  <c r="R492" i="9" s="1"/>
  <c r="Q492" i="9"/>
  <c r="P479" i="9"/>
  <c r="R479" i="9" s="1" a="1"/>
  <c r="R479" i="9" s="1"/>
  <c r="P459" i="9"/>
  <c r="R459" i="9" s="1" a="1"/>
  <c r="R459" i="9" s="1"/>
  <c r="P443" i="9"/>
  <c r="R443" i="9" s="1" a="1"/>
  <c r="R443" i="9" s="1"/>
  <c r="P435" i="9"/>
  <c r="R435" i="9" s="1" a="1"/>
  <c r="R435" i="9" s="1"/>
  <c r="P373" i="9"/>
  <c r="R373" i="9" s="1" a="1"/>
  <c r="R373" i="9" s="1"/>
  <c r="Q373" i="9"/>
  <c r="P365" i="9"/>
  <c r="R365" i="9" s="1" a="1"/>
  <c r="R365" i="9" s="1"/>
  <c r="Q365" i="9"/>
  <c r="P357" i="9"/>
  <c r="R357" i="9" s="1" a="1"/>
  <c r="R357" i="9" s="1"/>
  <c r="P349" i="9"/>
  <c r="R349" i="9" s="1" a="1"/>
  <c r="R349" i="9" s="1"/>
  <c r="P341" i="9"/>
  <c r="R341" i="9" s="1" a="1"/>
  <c r="R341" i="9" s="1"/>
  <c r="P333" i="9"/>
  <c r="R333" i="9" s="1" a="1"/>
  <c r="R333" i="9" s="1"/>
  <c r="P170" i="9"/>
  <c r="R170" i="9" s="1" a="1"/>
  <c r="R170" i="9" s="1"/>
  <c r="P162" i="9"/>
  <c r="R162" i="9" s="1" a="1"/>
  <c r="R162" i="9" s="1"/>
  <c r="P154" i="9"/>
  <c r="R154" i="9" s="1" a="1"/>
  <c r="R154" i="9" s="1"/>
  <c r="Q154" i="9"/>
  <c r="P146" i="9"/>
  <c r="R146" i="9" s="1" a="1"/>
  <c r="R146" i="9" s="1"/>
  <c r="Q146" i="9"/>
  <c r="P138" i="9"/>
  <c r="R138" i="9" s="1" a="1"/>
  <c r="R138" i="9" s="1"/>
  <c r="Q138" i="9"/>
  <c r="P130" i="9"/>
  <c r="R130" i="9" s="1" a="1"/>
  <c r="R130" i="9" s="1"/>
  <c r="Q130" i="9"/>
  <c r="P122" i="9"/>
  <c r="R122" i="9" s="1" a="1"/>
  <c r="R122" i="9" s="1"/>
  <c r="Q122" i="9"/>
  <c r="P114" i="9"/>
  <c r="R114" i="9" s="1" a="1"/>
  <c r="R114" i="9" s="1"/>
  <c r="Q114" i="9"/>
  <c r="P106" i="9"/>
  <c r="R106" i="9" s="1" a="1"/>
  <c r="R106" i="9" s="1"/>
  <c r="Q106" i="9"/>
  <c r="P98" i="9"/>
  <c r="R98" i="9" s="1" a="1"/>
  <c r="R98" i="9" s="1"/>
  <c r="Q98" i="9"/>
  <c r="P90" i="9"/>
  <c r="R90" i="9" s="1" a="1"/>
  <c r="R90" i="9" s="1"/>
  <c r="Q90" i="9"/>
  <c r="P82" i="9"/>
  <c r="R82" i="9" s="1" a="1"/>
  <c r="R82" i="9" s="1"/>
  <c r="Q82" i="9"/>
  <c r="P74" i="9"/>
  <c r="R74" i="9" s="1" a="1"/>
  <c r="R74" i="9" s="1"/>
  <c r="Q74" i="9"/>
  <c r="P66" i="9"/>
  <c r="R66" i="9" s="1" a="1"/>
  <c r="R66" i="9" s="1"/>
  <c r="Q66" i="9"/>
  <c r="P58" i="9"/>
  <c r="R58" i="9" s="1" a="1"/>
  <c r="R58" i="9" s="1"/>
  <c r="Q58" i="9"/>
  <c r="P50" i="9"/>
  <c r="R50" i="9" s="1" a="1"/>
  <c r="R50" i="9" s="1"/>
  <c r="Q50" i="9"/>
  <c r="P42" i="9"/>
  <c r="R42" i="9" s="1" a="1"/>
  <c r="R42" i="9" s="1"/>
  <c r="Q42" i="9"/>
  <c r="P34" i="9"/>
  <c r="R34" i="9" s="1" a="1"/>
  <c r="R34" i="9" s="1"/>
  <c r="Q34" i="9"/>
  <c r="P1933" i="9"/>
  <c r="R1933" i="9" s="1" a="1"/>
  <c r="R1933" i="9" s="1"/>
  <c r="P1499" i="9"/>
  <c r="R1499" i="9" s="1" a="1"/>
  <c r="R1499" i="9" s="1"/>
  <c r="P547" i="9"/>
  <c r="R547" i="9" s="1" a="1"/>
  <c r="R547" i="9" s="1"/>
  <c r="P471" i="9"/>
  <c r="R471" i="9" s="1" a="1"/>
  <c r="R471" i="9" s="1"/>
  <c r="P355" i="9"/>
  <c r="R355" i="9" s="1" a="1"/>
  <c r="R355" i="9" s="1"/>
  <c r="P168" i="9"/>
  <c r="R168" i="9" s="1" a="1"/>
  <c r="R168" i="9" s="1"/>
  <c r="P104" i="9"/>
  <c r="R104" i="9" s="1" a="1"/>
  <c r="R104" i="9" s="1"/>
  <c r="Q104" i="9"/>
  <c r="P64" i="9"/>
  <c r="R64" i="9" s="1" a="1"/>
  <c r="R64" i="9" s="1"/>
  <c r="Q64" i="9"/>
  <c r="P1947" i="9"/>
  <c r="R1947" i="9" s="1" a="1"/>
  <c r="R1947" i="9" s="1"/>
  <c r="P1907" i="9"/>
  <c r="R1907" i="9" s="1" a="1"/>
  <c r="R1907" i="9" s="1"/>
  <c r="P1489" i="9"/>
  <c r="R1489" i="9" s="1" a="1"/>
  <c r="R1489" i="9" s="1"/>
  <c r="Q531" i="9"/>
  <c r="P531" i="9"/>
  <c r="R531" i="9" s="1" a="1"/>
  <c r="R531" i="9" s="1"/>
  <c r="P439" i="9"/>
  <c r="R439" i="9" s="1" a="1"/>
  <c r="R439" i="9" s="1"/>
  <c r="P361" i="9"/>
  <c r="R361" i="9" s="1" a="1"/>
  <c r="R361" i="9" s="1"/>
  <c r="Q361" i="9"/>
  <c r="Q158" i="9"/>
  <c r="P158" i="9"/>
  <c r="R158" i="9" s="1" a="1"/>
  <c r="R158" i="9" s="1"/>
  <c r="P110" i="9"/>
  <c r="R110" i="9" s="1" a="1"/>
  <c r="R110" i="9" s="1"/>
  <c r="Q110" i="9"/>
  <c r="Q70" i="9"/>
  <c r="P70" i="9"/>
  <c r="R70" i="9" s="1" a="1"/>
  <c r="R70" i="9" s="1"/>
  <c r="P46" i="9"/>
  <c r="R46" i="9" s="1" a="1"/>
  <c r="R46" i="9" s="1"/>
  <c r="Q46" i="9"/>
  <c r="P1938" i="9"/>
  <c r="R1938" i="9" s="1" a="1"/>
  <c r="R1938" i="9" s="1"/>
  <c r="P1906" i="9"/>
  <c r="R1906" i="9" s="1" a="1"/>
  <c r="R1906" i="9" s="1"/>
  <c r="P1488" i="9"/>
  <c r="R1488" i="9" s="1" a="1"/>
  <c r="R1488" i="9" s="1"/>
  <c r="P544" i="9"/>
  <c r="R544" i="9" s="1" a="1"/>
  <c r="R544" i="9" s="1"/>
  <c r="P468" i="9"/>
  <c r="R468" i="9" s="1" a="1"/>
  <c r="R468" i="9" s="1"/>
  <c r="P368" i="9"/>
  <c r="R368" i="9" s="1" a="1"/>
  <c r="R368" i="9" s="1"/>
  <c r="Q368" i="9"/>
  <c r="P336" i="9"/>
  <c r="R336" i="9" s="1" a="1"/>
  <c r="R336" i="9" s="1"/>
  <c r="P157" i="9"/>
  <c r="R157" i="9" s="1" a="1"/>
  <c r="R157" i="9" s="1"/>
  <c r="Q157" i="9"/>
  <c r="P125" i="9"/>
  <c r="R125" i="9" s="1" a="1"/>
  <c r="R125" i="9" s="1"/>
  <c r="Q125" i="9"/>
  <c r="P93" i="9"/>
  <c r="R93" i="9" s="1" a="1"/>
  <c r="R93" i="9" s="1"/>
  <c r="Q93" i="9"/>
  <c r="P61" i="9"/>
  <c r="R61" i="9" s="1" a="1"/>
  <c r="R61" i="9" s="1"/>
  <c r="Q61" i="9"/>
  <c r="P37" i="9"/>
  <c r="R37" i="9" s="1" a="1"/>
  <c r="R37" i="9" s="1"/>
  <c r="Q37" i="9"/>
  <c r="P1966" i="9"/>
  <c r="R1966" i="9" s="1" a="1"/>
  <c r="R1966" i="9" s="1"/>
  <c r="P1958" i="9"/>
  <c r="R1958" i="9" s="1" a="1"/>
  <c r="R1958" i="9" s="1"/>
  <c r="P1950" i="9"/>
  <c r="R1950" i="9" s="1" a="1"/>
  <c r="R1950" i="9" s="1"/>
  <c r="P1942" i="9"/>
  <c r="R1942" i="9" s="1" a="1"/>
  <c r="R1942" i="9" s="1"/>
  <c r="P1934" i="9"/>
  <c r="R1934" i="9" s="1" a="1"/>
  <c r="R1934" i="9" s="1"/>
  <c r="P1926" i="9"/>
  <c r="R1926" i="9" s="1" a="1"/>
  <c r="R1926" i="9" s="1"/>
  <c r="P1918" i="9"/>
  <c r="R1918" i="9" s="1" a="1"/>
  <c r="R1918" i="9" s="1"/>
  <c r="P1910" i="9"/>
  <c r="R1910" i="9" s="1" a="1"/>
  <c r="R1910" i="9" s="1"/>
  <c r="P1902" i="9"/>
  <c r="R1902" i="9" s="1" a="1"/>
  <c r="R1902" i="9" s="1"/>
  <c r="P1894" i="9"/>
  <c r="R1894" i="9" s="1" a="1"/>
  <c r="R1894" i="9" s="1"/>
  <c r="P1886" i="9"/>
  <c r="R1886" i="9" s="1" a="1"/>
  <c r="R1886" i="9" s="1"/>
  <c r="P1500" i="9"/>
  <c r="R1500" i="9" s="1" a="1"/>
  <c r="R1500" i="9" s="1"/>
  <c r="P1492" i="9"/>
  <c r="R1492" i="9" s="1" a="1"/>
  <c r="R1492" i="9" s="1"/>
  <c r="P1484" i="9"/>
  <c r="R1484" i="9" s="1" a="1"/>
  <c r="R1484" i="9" s="1"/>
  <c r="P1476" i="9"/>
  <c r="R1476" i="9" s="1" a="1"/>
  <c r="R1476" i="9" s="1"/>
  <c r="P566" i="9"/>
  <c r="R566" i="9" s="1" a="1"/>
  <c r="R566" i="9" s="1"/>
  <c r="P554" i="9"/>
  <c r="R554" i="9" s="1" a="1"/>
  <c r="R554" i="9" s="1"/>
  <c r="P534" i="9"/>
  <c r="R534" i="9" s="1" a="1"/>
  <c r="R534" i="9" s="1"/>
  <c r="P519" i="9"/>
  <c r="R519" i="9" s="1" a="1"/>
  <c r="R519" i="9" s="1"/>
  <c r="P505" i="9"/>
  <c r="R505" i="9" s="1" a="1"/>
  <c r="R505" i="9" s="1"/>
  <c r="Q491" i="9"/>
  <c r="P491" i="9"/>
  <c r="R491" i="9" s="1" a="1"/>
  <c r="R491" i="9" s="1"/>
  <c r="P478" i="9"/>
  <c r="R478" i="9" s="1" a="1"/>
  <c r="R478" i="9" s="1"/>
  <c r="P458" i="9"/>
  <c r="R458" i="9" s="1" a="1"/>
  <c r="R458" i="9" s="1"/>
  <c r="P442" i="9"/>
  <c r="R442" i="9" s="1" a="1"/>
  <c r="R442" i="9" s="1"/>
  <c r="P434" i="9"/>
  <c r="R434" i="9" s="1" a="1"/>
  <c r="R434" i="9" s="1"/>
  <c r="P372" i="9"/>
  <c r="R372" i="9" s="1" a="1"/>
  <c r="R372" i="9" s="1"/>
  <c r="Q372" i="9"/>
  <c r="P364" i="9"/>
  <c r="R364" i="9" s="1" a="1"/>
  <c r="R364" i="9" s="1"/>
  <c r="Q364" i="9"/>
  <c r="P356" i="9"/>
  <c r="R356" i="9" s="1" a="1"/>
  <c r="R356" i="9" s="1"/>
  <c r="P348" i="9"/>
  <c r="R348" i="9" s="1" a="1"/>
  <c r="R348" i="9" s="1"/>
  <c r="P340" i="9"/>
  <c r="R340" i="9" s="1" a="1"/>
  <c r="R340" i="9" s="1"/>
  <c r="P240" i="9"/>
  <c r="R240" i="9" s="1" a="1"/>
  <c r="R240" i="9" s="1"/>
  <c r="P169" i="9"/>
  <c r="R169" i="9" s="1" a="1"/>
  <c r="R169" i="9" s="1"/>
  <c r="P161" i="9"/>
  <c r="R161" i="9" s="1" a="1"/>
  <c r="R161" i="9" s="1"/>
  <c r="P153" i="9"/>
  <c r="R153" i="9" s="1" a="1"/>
  <c r="R153" i="9" s="1"/>
  <c r="Q153" i="9"/>
  <c r="P145" i="9"/>
  <c r="R145" i="9" s="1" a="1"/>
  <c r="R145" i="9" s="1"/>
  <c r="Q145" i="9"/>
  <c r="P137" i="9"/>
  <c r="R137" i="9" s="1" a="1"/>
  <c r="R137" i="9" s="1"/>
  <c r="Q137" i="9"/>
  <c r="P129" i="9"/>
  <c r="R129" i="9" s="1" a="1"/>
  <c r="R129" i="9" s="1"/>
  <c r="Q129" i="9"/>
  <c r="P121" i="9"/>
  <c r="R121" i="9" s="1" a="1"/>
  <c r="R121" i="9" s="1"/>
  <c r="Q121" i="9"/>
  <c r="P113" i="9"/>
  <c r="R113" i="9" s="1" a="1"/>
  <c r="R113" i="9" s="1"/>
  <c r="Q113" i="9"/>
  <c r="P105" i="9"/>
  <c r="R105" i="9" s="1" a="1"/>
  <c r="R105" i="9" s="1"/>
  <c r="Q105" i="9"/>
  <c r="P97" i="9"/>
  <c r="R97" i="9" s="1" a="1"/>
  <c r="R97" i="9" s="1"/>
  <c r="Q97" i="9"/>
  <c r="P89" i="9"/>
  <c r="R89" i="9" s="1" a="1"/>
  <c r="R89" i="9" s="1"/>
  <c r="Q89" i="9"/>
  <c r="P81" i="9"/>
  <c r="R81" i="9" s="1" a="1"/>
  <c r="R81" i="9" s="1"/>
  <c r="Q81" i="9"/>
  <c r="P73" i="9"/>
  <c r="R73" i="9" s="1" a="1"/>
  <c r="R73" i="9" s="1"/>
  <c r="Q73" i="9"/>
  <c r="P65" i="9"/>
  <c r="R65" i="9" s="1" a="1"/>
  <c r="R65" i="9" s="1"/>
  <c r="Q65" i="9"/>
  <c r="P57" i="9"/>
  <c r="R57" i="9" s="1" a="1"/>
  <c r="R57" i="9" s="1"/>
  <c r="Q57" i="9"/>
  <c r="P49" i="9"/>
  <c r="R49" i="9" s="1" a="1"/>
  <c r="R49" i="9" s="1"/>
  <c r="Q49" i="9"/>
  <c r="P41" i="9"/>
  <c r="R41" i="9" s="1" a="1"/>
  <c r="R41" i="9" s="1"/>
  <c r="Q41" i="9"/>
  <c r="P33" i="9"/>
  <c r="R33" i="9" s="1" a="1"/>
  <c r="R33" i="9" s="1"/>
  <c r="Q33" i="9"/>
  <c r="L3" i="1"/>
  <c r="R13" i="54"/>
  <c r="R19" i="59"/>
  <c r="R18" i="51"/>
  <c r="R15" i="54"/>
  <c r="R19" i="50"/>
  <c r="S13" i="54"/>
  <c r="S19" i="54"/>
  <c r="T19" i="54" s="1"/>
  <c r="S16" i="51"/>
  <c r="T16" i="51" s="1"/>
  <c r="S15" i="54"/>
  <c r="S19" i="50"/>
  <c r="R19" i="60"/>
  <c r="B14" i="48"/>
  <c r="D14" i="48" s="1"/>
  <c r="E14" i="48" s="1"/>
  <c r="B35" i="58"/>
  <c r="B8" i="48"/>
  <c r="B6" i="47"/>
  <c r="T23" i="60"/>
  <c r="B23" i="60" s="1"/>
  <c r="T23" i="59"/>
  <c r="R14" i="51"/>
  <c r="S19" i="59"/>
  <c r="B33" i="51"/>
  <c r="B27" i="47"/>
  <c r="B6" i="48"/>
  <c r="B27" i="18"/>
  <c r="B26" i="8"/>
  <c r="B8" i="26"/>
  <c r="B8" i="24"/>
  <c r="Q21" i="9"/>
  <c r="P21" i="9"/>
  <c r="R21" i="9" s="1" a="1"/>
  <c r="R21" i="9" s="1"/>
  <c r="Q24" i="9"/>
  <c r="P24" i="9"/>
  <c r="R24" i="9" s="1" a="1"/>
  <c r="R24" i="9" s="1"/>
  <c r="Q29" i="9"/>
  <c r="P29" i="9"/>
  <c r="R29" i="9" s="1" a="1"/>
  <c r="R29" i="9" s="1"/>
  <c r="Q20" i="9"/>
  <c r="P20" i="9"/>
  <c r="R20" i="9" s="1" a="1"/>
  <c r="R20" i="9" s="1"/>
  <c r="Q27" i="9"/>
  <c r="P27" i="9"/>
  <c r="R27" i="9" s="1" a="1"/>
  <c r="R27" i="9" s="1"/>
  <c r="Q3" i="9"/>
  <c r="P3" i="9"/>
  <c r="R3" i="9" s="1" a="1"/>
  <c r="R3" i="9" s="1"/>
  <c r="Q26" i="9"/>
  <c r="P26" i="9"/>
  <c r="R26" i="9" s="1" a="1"/>
  <c r="R26" i="9" s="1"/>
  <c r="Q18" i="9"/>
  <c r="P18" i="9"/>
  <c r="R18" i="9" s="1" a="1"/>
  <c r="R18" i="9" s="1"/>
  <c r="Q17" i="9"/>
  <c r="P17" i="9"/>
  <c r="R17" i="9" s="1" a="1"/>
  <c r="R17" i="9" s="1"/>
  <c r="Q16" i="9"/>
  <c r="P16" i="9"/>
  <c r="R16" i="9" s="1" a="1"/>
  <c r="R16" i="9" s="1"/>
  <c r="Q8" i="9"/>
  <c r="P8" i="9"/>
  <c r="R8" i="9" s="1" a="1"/>
  <c r="R8" i="9" s="1"/>
  <c r="Q23" i="9"/>
  <c r="P23" i="9"/>
  <c r="R23" i="9" s="1" a="1"/>
  <c r="R23" i="9" s="1"/>
  <c r="Q15" i="9"/>
  <c r="P15" i="9"/>
  <c r="R15" i="9" s="1" a="1"/>
  <c r="R15" i="9" s="1"/>
  <c r="Q7" i="9"/>
  <c r="P7" i="9"/>
  <c r="R7" i="9" s="1" a="1"/>
  <c r="R7" i="9" s="1"/>
  <c r="Q22" i="9"/>
  <c r="P22" i="9"/>
  <c r="R22" i="9" s="1" a="1"/>
  <c r="R22" i="9" s="1"/>
  <c r="Q6" i="9"/>
  <c r="P6" i="9"/>
  <c r="R6" i="9" s="1" a="1"/>
  <c r="R6" i="9" s="1"/>
  <c r="Q5" i="9"/>
  <c r="P5" i="9"/>
  <c r="R5" i="9" s="1" a="1"/>
  <c r="R5" i="9" s="1"/>
  <c r="Q4" i="9"/>
  <c r="P4" i="9"/>
  <c r="R4" i="9" s="1" a="1"/>
  <c r="R4" i="9" s="1"/>
  <c r="Q2" i="9"/>
  <c r="P2" i="9"/>
  <c r="R2" i="9" s="1" a="1"/>
  <c r="R2" i="9" s="1"/>
  <c r="Q19" i="9"/>
  <c r="P19" i="9"/>
  <c r="R19" i="9" s="1" a="1"/>
  <c r="R19" i="9" s="1"/>
  <c r="P13" i="9"/>
  <c r="R13" i="9" s="1" a="1"/>
  <c r="R13" i="9" s="1"/>
  <c r="Q28" i="9"/>
  <c r="P28" i="9"/>
  <c r="R28" i="9" s="1" a="1"/>
  <c r="R28" i="9" s="1"/>
  <c r="P12" i="9"/>
  <c r="R12" i="9" s="1" a="1"/>
  <c r="R12" i="9" s="1"/>
  <c r="Q11" i="9"/>
  <c r="P11" i="9"/>
  <c r="R11" i="9" s="1" a="1"/>
  <c r="R11" i="9" s="1"/>
  <c r="Q10" i="9"/>
  <c r="P10" i="9"/>
  <c r="R10" i="9" s="1" a="1"/>
  <c r="R10" i="9" s="1"/>
  <c r="Q14" i="9"/>
  <c r="P14" i="9"/>
  <c r="R14" i="9" s="1" a="1"/>
  <c r="R14" i="9" s="1"/>
  <c r="Q25" i="9"/>
  <c r="P25" i="9"/>
  <c r="R25" i="9" s="1" a="1"/>
  <c r="R25" i="9" s="1"/>
  <c r="Q9" i="9"/>
  <c r="P9" i="9"/>
  <c r="R9" i="9" s="1" a="1"/>
  <c r="R9" i="9" s="1"/>
  <c r="B27" i="22"/>
  <c r="B37" i="24"/>
  <c r="B33" i="40"/>
  <c r="I33" i="40" s="1"/>
  <c r="AF22" i="40"/>
  <c r="AB22" i="40"/>
  <c r="AE19" i="40"/>
  <c r="AD19" i="40"/>
  <c r="AA19" i="40"/>
  <c r="Z19" i="40"/>
  <c r="AE18" i="40"/>
  <c r="AD18" i="40"/>
  <c r="AA18" i="40"/>
  <c r="Z18" i="40"/>
  <c r="AE16" i="40"/>
  <c r="AD16" i="40"/>
  <c r="AA16" i="40"/>
  <c r="Z16" i="40"/>
  <c r="V16" i="40"/>
  <c r="R16" i="40"/>
  <c r="AE15" i="40"/>
  <c r="AD15" i="40"/>
  <c r="AA15" i="40"/>
  <c r="Z15" i="40"/>
  <c r="AE14" i="40"/>
  <c r="AD14" i="40"/>
  <c r="AA14" i="40"/>
  <c r="Z14" i="40"/>
  <c r="AE13" i="40"/>
  <c r="AD13" i="40"/>
  <c r="AA13" i="40"/>
  <c r="Z13" i="40"/>
  <c r="I33" i="39"/>
  <c r="AF22" i="39"/>
  <c r="AB22" i="39"/>
  <c r="AE19" i="39"/>
  <c r="AD19" i="39"/>
  <c r="AA19" i="39"/>
  <c r="Z19" i="39"/>
  <c r="AE18" i="39"/>
  <c r="AD18" i="39"/>
  <c r="AA18" i="39"/>
  <c r="Z18" i="39"/>
  <c r="AE16" i="39"/>
  <c r="AD16" i="39"/>
  <c r="AA16" i="39"/>
  <c r="Z16" i="39"/>
  <c r="V16" i="39"/>
  <c r="AE15" i="39"/>
  <c r="AD15" i="39"/>
  <c r="AA15" i="39"/>
  <c r="Z15" i="39"/>
  <c r="AE14" i="39"/>
  <c r="AD14" i="39"/>
  <c r="AA14" i="39"/>
  <c r="Z14" i="39"/>
  <c r="AE13" i="39"/>
  <c r="AD13" i="39"/>
  <c r="AA13" i="39"/>
  <c r="Z13" i="39"/>
  <c r="B33" i="38"/>
  <c r="AF22" i="38"/>
  <c r="AB22" i="38"/>
  <c r="AE19" i="38"/>
  <c r="AD19" i="38"/>
  <c r="AA19" i="38"/>
  <c r="Z19" i="38"/>
  <c r="AE18" i="38"/>
  <c r="AD18" i="38"/>
  <c r="AA18" i="38"/>
  <c r="Z18" i="38"/>
  <c r="AE16" i="38"/>
  <c r="AD16" i="38"/>
  <c r="AA16" i="38"/>
  <c r="Z16" i="38"/>
  <c r="V16" i="38"/>
  <c r="R16" i="38"/>
  <c r="AE15" i="38"/>
  <c r="AD15" i="38"/>
  <c r="AA15" i="38"/>
  <c r="Z15" i="38"/>
  <c r="AE14" i="38"/>
  <c r="AD14" i="38"/>
  <c r="AA14" i="38"/>
  <c r="Z14" i="38"/>
  <c r="AE13" i="38"/>
  <c r="AD13" i="38"/>
  <c r="AA13" i="38"/>
  <c r="Z13" i="38"/>
  <c r="B33" i="37"/>
  <c r="F33" i="37" s="1"/>
  <c r="AD22" i="37"/>
  <c r="Z22" i="37"/>
  <c r="AC19" i="37"/>
  <c r="AB19" i="37"/>
  <c r="Y19" i="37"/>
  <c r="X19" i="37"/>
  <c r="AC18" i="37"/>
  <c r="AB18" i="37"/>
  <c r="Y18" i="37"/>
  <c r="X18" i="37"/>
  <c r="AC16" i="37"/>
  <c r="AB16" i="37"/>
  <c r="Y16" i="37"/>
  <c r="X16" i="37"/>
  <c r="T16" i="37"/>
  <c r="P16" i="37"/>
  <c r="AC15" i="37"/>
  <c r="AB15" i="37"/>
  <c r="Y15" i="37"/>
  <c r="X15" i="37"/>
  <c r="AC14" i="37"/>
  <c r="AB14" i="37"/>
  <c r="Y14" i="37"/>
  <c r="X14" i="37"/>
  <c r="AC13" i="37"/>
  <c r="AB13" i="37"/>
  <c r="Y13" i="37"/>
  <c r="X13" i="37"/>
  <c r="V16" i="36"/>
  <c r="R16" i="36"/>
  <c r="AF22" i="36"/>
  <c r="AB22" i="36"/>
  <c r="AE19" i="36"/>
  <c r="AD19" i="36"/>
  <c r="AA19" i="36"/>
  <c r="Z19" i="36"/>
  <c r="AE18" i="36"/>
  <c r="AD18" i="36"/>
  <c r="AA18" i="36"/>
  <c r="Z18" i="36"/>
  <c r="AE16" i="36"/>
  <c r="AD16" i="36"/>
  <c r="AA16" i="36"/>
  <c r="Z16" i="36"/>
  <c r="AE15" i="36"/>
  <c r="AD15" i="36"/>
  <c r="AA15" i="36"/>
  <c r="Z15" i="36"/>
  <c r="AE14" i="36"/>
  <c r="AD14" i="36"/>
  <c r="AA14" i="36"/>
  <c r="Z14" i="36"/>
  <c r="AE13" i="36"/>
  <c r="AD13" i="36"/>
  <c r="AA13" i="36"/>
  <c r="Z13" i="36"/>
  <c r="AF22" i="35"/>
  <c r="AB22" i="35"/>
  <c r="AE19" i="35"/>
  <c r="AD19" i="35"/>
  <c r="AA19" i="35"/>
  <c r="Z19" i="35"/>
  <c r="AE18" i="35"/>
  <c r="AD18" i="35"/>
  <c r="AA18" i="35"/>
  <c r="Z18" i="35"/>
  <c r="AE16" i="35"/>
  <c r="AD16" i="35"/>
  <c r="AA16" i="35"/>
  <c r="Z16" i="35"/>
  <c r="AE15" i="35"/>
  <c r="AD15" i="35"/>
  <c r="AA15" i="35"/>
  <c r="Z15" i="35"/>
  <c r="AE14" i="35"/>
  <c r="AD14" i="35"/>
  <c r="AA14" i="35"/>
  <c r="Z14" i="35"/>
  <c r="AE13" i="35"/>
  <c r="AD13" i="35"/>
  <c r="AA13" i="35"/>
  <c r="Z13" i="35"/>
  <c r="AL35" i="30"/>
  <c r="B33" i="34"/>
  <c r="AF26" i="34"/>
  <c r="AB26" i="34"/>
  <c r="AF23" i="34"/>
  <c r="AB23" i="34"/>
  <c r="AE21" i="34"/>
  <c r="AD21" i="34"/>
  <c r="AA21" i="34"/>
  <c r="Z21" i="34"/>
  <c r="AE20" i="34"/>
  <c r="AD20" i="34"/>
  <c r="AA20" i="34"/>
  <c r="Z20" i="34"/>
  <c r="AE19" i="34"/>
  <c r="AD19" i="34"/>
  <c r="AA19" i="34"/>
  <c r="Z19" i="34"/>
  <c r="AE18" i="34"/>
  <c r="AD18" i="34"/>
  <c r="AA18" i="34"/>
  <c r="Z18" i="34"/>
  <c r="AE17" i="34"/>
  <c r="AD17" i="34"/>
  <c r="AA17" i="34"/>
  <c r="Z17" i="34"/>
  <c r="AE16" i="34"/>
  <c r="AD16" i="34"/>
  <c r="AA16" i="34"/>
  <c r="Z16" i="34"/>
  <c r="B33" i="33"/>
  <c r="AF26" i="33"/>
  <c r="AB26" i="33"/>
  <c r="AF23" i="33"/>
  <c r="AB23" i="33"/>
  <c r="AE21" i="33"/>
  <c r="AD21" i="33"/>
  <c r="AA21" i="33"/>
  <c r="Z21" i="33"/>
  <c r="AE20" i="33"/>
  <c r="AD20" i="33"/>
  <c r="AA20" i="33"/>
  <c r="Z20" i="33"/>
  <c r="AE19" i="33"/>
  <c r="AD19" i="33"/>
  <c r="AA19" i="33"/>
  <c r="Z19" i="33"/>
  <c r="AE18" i="33"/>
  <c r="AD18" i="33"/>
  <c r="AA18" i="33"/>
  <c r="Z18" i="33"/>
  <c r="AE17" i="33"/>
  <c r="AD17" i="33"/>
  <c r="AA17" i="33"/>
  <c r="Z17" i="33"/>
  <c r="AE16" i="33"/>
  <c r="AD16" i="33"/>
  <c r="AA16" i="33"/>
  <c r="Z16" i="33"/>
  <c r="B35" i="30"/>
  <c r="B33" i="32"/>
  <c r="AF26" i="32"/>
  <c r="AB26" i="32"/>
  <c r="AF23" i="32"/>
  <c r="AB23" i="32"/>
  <c r="AE21" i="32"/>
  <c r="AD21" i="32"/>
  <c r="AA21" i="32"/>
  <c r="Z21" i="32"/>
  <c r="AE20" i="32"/>
  <c r="AD20" i="32"/>
  <c r="AA20" i="32"/>
  <c r="Z20" i="32"/>
  <c r="AE19" i="32"/>
  <c r="AD19" i="32"/>
  <c r="AA19" i="32"/>
  <c r="Z19" i="32"/>
  <c r="AE18" i="32"/>
  <c r="AD18" i="32"/>
  <c r="AA18" i="32"/>
  <c r="Z18" i="32"/>
  <c r="AE17" i="32"/>
  <c r="AD17" i="32"/>
  <c r="AA17" i="32"/>
  <c r="Z17" i="32"/>
  <c r="AE16" i="32"/>
  <c r="AD16" i="32"/>
  <c r="AA16" i="32"/>
  <c r="Z16" i="32"/>
  <c r="B33" i="31"/>
  <c r="AF26" i="31"/>
  <c r="AB26" i="31"/>
  <c r="AF23" i="31"/>
  <c r="AB23" i="31"/>
  <c r="AE21" i="31"/>
  <c r="AD21" i="31"/>
  <c r="AA21" i="31"/>
  <c r="Z21" i="31"/>
  <c r="AE20" i="31"/>
  <c r="AD20" i="31"/>
  <c r="AA20" i="31"/>
  <c r="Z20" i="31"/>
  <c r="AE19" i="31"/>
  <c r="AD19" i="31"/>
  <c r="AA19" i="31"/>
  <c r="Z19" i="31"/>
  <c r="AE18" i="31"/>
  <c r="AD18" i="31"/>
  <c r="AA18" i="31"/>
  <c r="Z18" i="31"/>
  <c r="AE17" i="31"/>
  <c r="AD17" i="31"/>
  <c r="AA17" i="31"/>
  <c r="Z17" i="31"/>
  <c r="AE16" i="31"/>
  <c r="AD16" i="31"/>
  <c r="AA16" i="31"/>
  <c r="Z16" i="31"/>
  <c r="AF26" i="30"/>
  <c r="AB26" i="30"/>
  <c r="AF23" i="30"/>
  <c r="AB23" i="30"/>
  <c r="AE21" i="30"/>
  <c r="AD21" i="30"/>
  <c r="AA21" i="30"/>
  <c r="Z21" i="30"/>
  <c r="AE20" i="30"/>
  <c r="AD20" i="30"/>
  <c r="AA20" i="30"/>
  <c r="Z20" i="30"/>
  <c r="AE19" i="30"/>
  <c r="AD19" i="30"/>
  <c r="AA19" i="30"/>
  <c r="Z19" i="30"/>
  <c r="AE18" i="30"/>
  <c r="AD18" i="30"/>
  <c r="AA18" i="30"/>
  <c r="Z18" i="30"/>
  <c r="AE17" i="30"/>
  <c r="AD17" i="30"/>
  <c r="AA17" i="30"/>
  <c r="Z17" i="30"/>
  <c r="AE16" i="30"/>
  <c r="AD16" i="30"/>
  <c r="AA16" i="30"/>
  <c r="Z16" i="30"/>
  <c r="B11" i="26"/>
  <c r="B7" i="26"/>
  <c r="B6" i="26"/>
  <c r="B37" i="26"/>
  <c r="X17" i="26"/>
  <c r="W17" i="26"/>
  <c r="B9" i="26"/>
  <c r="B11" i="24"/>
  <c r="B9" i="24"/>
  <c r="B7" i="24"/>
  <c r="B6" i="24"/>
  <c r="B39" i="25"/>
  <c r="F39" i="25" s="1"/>
  <c r="W17" i="25"/>
  <c r="V17" i="25"/>
  <c r="B11" i="25"/>
  <c r="B9" i="25"/>
  <c r="J8" i="25"/>
  <c r="K8" i="25" s="1"/>
  <c r="B7" i="25"/>
  <c r="B6" i="22"/>
  <c r="B6" i="18"/>
  <c r="I37" i="26" l="1"/>
  <c r="I33" i="33"/>
  <c r="I33" i="32"/>
  <c r="F26" i="8"/>
  <c r="I26" i="8" s="1"/>
  <c r="F27" i="18"/>
  <c r="I27" i="18" s="1"/>
  <c r="I7" i="18" s="1"/>
  <c r="I37" i="24"/>
  <c r="I33" i="34"/>
  <c r="I27" i="22"/>
  <c r="I33" i="38"/>
  <c r="B38" i="33"/>
  <c r="B6" i="52"/>
  <c r="S20" i="60"/>
  <c r="T13" i="54"/>
  <c r="B38" i="32"/>
  <c r="B38" i="34"/>
  <c r="B38" i="38"/>
  <c r="B38" i="31"/>
  <c r="B38" i="36"/>
  <c r="L1" i="1"/>
  <c r="R20" i="50"/>
  <c r="R21" i="60"/>
  <c r="R20" i="59"/>
  <c r="S14" i="51"/>
  <c r="T14" i="51" s="1"/>
  <c r="B14" i="51" s="1"/>
  <c r="S19" i="60"/>
  <c r="S19" i="58" s="1"/>
  <c r="S18" i="51"/>
  <c r="T18" i="51" s="1"/>
  <c r="B18" i="51" s="1"/>
  <c r="S17" i="59"/>
  <c r="T23" i="54"/>
  <c r="B23" i="59"/>
  <c r="T23" i="58"/>
  <c r="R19" i="58"/>
  <c r="B19" i="54"/>
  <c r="R21" i="59"/>
  <c r="T22" i="51"/>
  <c r="T15" i="54"/>
  <c r="B15" i="54" s="1"/>
  <c r="I15" i="54" s="1"/>
  <c r="S21" i="59"/>
  <c r="T27" i="59"/>
  <c r="R17" i="60"/>
  <c r="S18" i="60"/>
  <c r="S18" i="59"/>
  <c r="T19" i="59"/>
  <c r="B19" i="59" s="1"/>
  <c r="R20" i="60"/>
  <c r="T26" i="60"/>
  <c r="T26" i="59"/>
  <c r="R17" i="59"/>
  <c r="S16" i="59"/>
  <c r="T27" i="60"/>
  <c r="R16" i="60"/>
  <c r="R18" i="59"/>
  <c r="S16" i="60"/>
  <c r="R16" i="59"/>
  <c r="S17" i="60"/>
  <c r="I33" i="31"/>
  <c r="R18" i="60"/>
  <c r="S20" i="59"/>
  <c r="S21" i="60"/>
  <c r="I33" i="36"/>
  <c r="B16" i="54"/>
  <c r="T22" i="54"/>
  <c r="R21" i="50"/>
  <c r="B7" i="54"/>
  <c r="R17" i="54"/>
  <c r="B6" i="54"/>
  <c r="B9" i="54"/>
  <c r="B8" i="54"/>
  <c r="B28" i="54"/>
  <c r="R15" i="51"/>
  <c r="B28" i="51" s="1"/>
  <c r="S19" i="51"/>
  <c r="T23" i="51"/>
  <c r="S15" i="51"/>
  <c r="R19" i="51"/>
  <c r="T19" i="50"/>
  <c r="B19" i="50" s="1"/>
  <c r="R16" i="35"/>
  <c r="V16" i="35"/>
  <c r="S20" i="50"/>
  <c r="R18" i="50"/>
  <c r="S18" i="50"/>
  <c r="S17" i="50"/>
  <c r="R16" i="50"/>
  <c r="T27" i="50"/>
  <c r="S21" i="50"/>
  <c r="S16" i="50"/>
  <c r="T23" i="50"/>
  <c r="B23" i="50" s="1"/>
  <c r="R17" i="50"/>
  <c r="T26" i="50"/>
  <c r="B13" i="47"/>
  <c r="U11" i="48"/>
  <c r="B10" i="48" s="1"/>
  <c r="B13" i="48"/>
  <c r="B24" i="47"/>
  <c r="D24" i="47" s="1"/>
  <c r="E24" i="47" s="1"/>
  <c r="B16" i="47"/>
  <c r="B18" i="47"/>
  <c r="D6" i="47"/>
  <c r="E6" i="47" s="1"/>
  <c r="B17" i="47"/>
  <c r="B19" i="47"/>
  <c r="B10" i="47"/>
  <c r="B9" i="47"/>
  <c r="B14" i="47"/>
  <c r="B6" i="23"/>
  <c r="B8" i="47"/>
  <c r="B6" i="7"/>
  <c r="B7" i="48"/>
  <c r="D6" i="48"/>
  <c r="E6" i="48" s="1"/>
  <c r="D8" i="48"/>
  <c r="E8" i="48" s="1"/>
  <c r="I33" i="50"/>
  <c r="F27" i="47"/>
  <c r="I27" i="47" s="1"/>
  <c r="I7" i="47" s="1"/>
  <c r="B7" i="47"/>
  <c r="D7" i="47" s="1"/>
  <c r="E7" i="47" s="1"/>
  <c r="I33" i="51"/>
  <c r="B38" i="39"/>
  <c r="B38" i="40"/>
  <c r="I9" i="24"/>
  <c r="I8" i="24"/>
  <c r="I6" i="22"/>
  <c r="I7" i="22" s="1"/>
  <c r="I6" i="24"/>
  <c r="I7" i="24"/>
  <c r="I11" i="24"/>
  <c r="B17" i="26"/>
  <c r="F5" i="44"/>
  <c r="M9" i="44"/>
  <c r="M7" i="44"/>
  <c r="M5" i="44"/>
  <c r="D3" i="44"/>
  <c r="K11" i="44"/>
  <c r="M3" i="44"/>
  <c r="K9" i="44"/>
  <c r="K7" i="44"/>
  <c r="F7" i="44"/>
  <c r="D5" i="44"/>
  <c r="K5" i="44"/>
  <c r="F9" i="44"/>
  <c r="D7" i="44"/>
  <c r="F3" i="44"/>
  <c r="M11" i="44"/>
  <c r="K3" i="44"/>
  <c r="D9" i="44"/>
  <c r="B16" i="24"/>
  <c r="J11" i="26"/>
  <c r="K11" i="26" s="1"/>
  <c r="I11" i="26"/>
  <c r="J9" i="25"/>
  <c r="K9" i="25" s="1"/>
  <c r="I9" i="25"/>
  <c r="J9" i="26"/>
  <c r="K9" i="26" s="1"/>
  <c r="I9" i="26"/>
  <c r="I39" i="25"/>
  <c r="J8" i="26"/>
  <c r="K8" i="26" s="1"/>
  <c r="I8" i="26"/>
  <c r="J7" i="25"/>
  <c r="K7" i="25" s="1"/>
  <c r="I7" i="25"/>
  <c r="J7" i="26"/>
  <c r="K7" i="26" s="1"/>
  <c r="I7" i="26"/>
  <c r="B14" i="26"/>
  <c r="B27" i="23"/>
  <c r="AB62" i="20"/>
  <c r="AB65" i="20"/>
  <c r="AB64" i="20"/>
  <c r="AB63" i="20"/>
  <c r="AB97" i="21"/>
  <c r="D11" i="25"/>
  <c r="E11" i="25" s="1"/>
  <c r="B37" i="25"/>
  <c r="F37" i="25" s="1"/>
  <c r="AB11" i="20"/>
  <c r="D7" i="25"/>
  <c r="E7" i="25" s="1"/>
  <c r="J3" i="44"/>
  <c r="T23" i="32"/>
  <c r="T23" i="33"/>
  <c r="T23" i="31"/>
  <c r="AB66" i="21"/>
  <c r="AB71" i="21"/>
  <c r="L7" i="44"/>
  <c r="E7" i="44"/>
  <c r="L11" i="44"/>
  <c r="L9" i="44"/>
  <c r="E5" i="44"/>
  <c r="J11" i="44"/>
  <c r="E3" i="44"/>
  <c r="L5" i="44"/>
  <c r="J9" i="44"/>
  <c r="C9" i="44"/>
  <c r="L3" i="44"/>
  <c r="J7" i="44"/>
  <c r="C7" i="44"/>
  <c r="J5" i="44"/>
  <c r="C5" i="44"/>
  <c r="C3" i="44"/>
  <c r="E9" i="44"/>
  <c r="AB79" i="21"/>
  <c r="AB83" i="21"/>
  <c r="AB67" i="21"/>
  <c r="AB81" i="21"/>
  <c r="AB99" i="21"/>
  <c r="AB84" i="21"/>
  <c r="AB80" i="21"/>
  <c r="AB68" i="21"/>
  <c r="AB49" i="20"/>
  <c r="AB26" i="21"/>
  <c r="AB45" i="21"/>
  <c r="AB98" i="21"/>
  <c r="AB95" i="21"/>
  <c r="AB32" i="20"/>
  <c r="AB16" i="20"/>
  <c r="AB46" i="20"/>
  <c r="AB38" i="20"/>
  <c r="AB49" i="21"/>
  <c r="AB40" i="21"/>
  <c r="AB34" i="21"/>
  <c r="AB24" i="21"/>
  <c r="AB26" i="20"/>
  <c r="AB57" i="20"/>
  <c r="AB57" i="21"/>
  <c r="AB61" i="21"/>
  <c r="AB53" i="21"/>
  <c r="AB70" i="21"/>
  <c r="AB96" i="21"/>
  <c r="AB30" i="21"/>
  <c r="AB23" i="20"/>
  <c r="AB22" i="20"/>
  <c r="AB24" i="20"/>
  <c r="AB51" i="20"/>
  <c r="AB58" i="20"/>
  <c r="AB28" i="21"/>
  <c r="AB36" i="21"/>
  <c r="AB56" i="21"/>
  <c r="AB23" i="21"/>
  <c r="AB90" i="21"/>
  <c r="AB64" i="21"/>
  <c r="AB93" i="21"/>
  <c r="AB17" i="20"/>
  <c r="AB10" i="20"/>
  <c r="AB28" i="20"/>
  <c r="AB54" i="20"/>
  <c r="AB60" i="21"/>
  <c r="AB51" i="21"/>
  <c r="AB73" i="21"/>
  <c r="AB25" i="20"/>
  <c r="AB12" i="20"/>
  <c r="AB36" i="20"/>
  <c r="AB44" i="20"/>
  <c r="AB40" i="20"/>
  <c r="AB27" i="21"/>
  <c r="AB47" i="21"/>
  <c r="AB22" i="21"/>
  <c r="AB43" i="21"/>
  <c r="AB91" i="21"/>
  <c r="AB94" i="21"/>
  <c r="AB87" i="21"/>
  <c r="AB92" i="21"/>
  <c r="AB13" i="20"/>
  <c r="AB55" i="20"/>
  <c r="AB14" i="20"/>
  <c r="AB31" i="20"/>
  <c r="AB37" i="20"/>
  <c r="AB56" i="20"/>
  <c r="AB39" i="20"/>
  <c r="AB52" i="21"/>
  <c r="AB35" i="21"/>
  <c r="AB55" i="21"/>
  <c r="AB31" i="21"/>
  <c r="AB65" i="21"/>
  <c r="AB78" i="21"/>
  <c r="AB19" i="20"/>
  <c r="AB18" i="20"/>
  <c r="AB52" i="20"/>
  <c r="AB45" i="20"/>
  <c r="AB43" i="20"/>
  <c r="AB59" i="21"/>
  <c r="AB44" i="21"/>
  <c r="AB72" i="21"/>
  <c r="AB74" i="21"/>
  <c r="AB86" i="21"/>
  <c r="AB30" i="20"/>
  <c r="AB38" i="21"/>
  <c r="AB29" i="20"/>
  <c r="AB20" i="20"/>
  <c r="AB48" i="20"/>
  <c r="AB42" i="20"/>
  <c r="AB50" i="20"/>
  <c r="AB48" i="21"/>
  <c r="AB39" i="21"/>
  <c r="AB32" i="21"/>
  <c r="AB77" i="21"/>
  <c r="AB85" i="21"/>
  <c r="T22" i="38"/>
  <c r="B33" i="35"/>
  <c r="B33" i="30"/>
  <c r="J1" i="40"/>
  <c r="J1" i="22"/>
  <c r="C27" i="22" s="1"/>
  <c r="J1" i="25"/>
  <c r="C8" i="25" s="1"/>
  <c r="J1" i="27"/>
  <c r="J1" i="30"/>
  <c r="J1" i="31"/>
  <c r="C33" i="31" s="1"/>
  <c r="J1" i="32"/>
  <c r="C33" i="32" s="1"/>
  <c r="J1" i="35"/>
  <c r="J1" i="18"/>
  <c r="J1" i="7"/>
  <c r="J1" i="24"/>
  <c r="J1" i="33"/>
  <c r="C33" i="33" s="1"/>
  <c r="J1" i="26"/>
  <c r="J1" i="34"/>
  <c r="C33" i="34" s="1"/>
  <c r="J1" i="28"/>
  <c r="J1" i="36"/>
  <c r="C6" i="23"/>
  <c r="J1" i="29"/>
  <c r="H1" i="37"/>
  <c r="J1" i="38"/>
  <c r="J1" i="39"/>
  <c r="C33" i="39" s="1"/>
  <c r="AF19" i="40"/>
  <c r="AB13" i="39"/>
  <c r="AF16" i="39"/>
  <c r="AF18" i="40"/>
  <c r="AD14" i="37"/>
  <c r="AB16" i="39"/>
  <c r="AB15" i="40"/>
  <c r="AF14" i="40"/>
  <c r="AB16" i="40"/>
  <c r="AB19" i="38"/>
  <c r="AF14" i="39"/>
  <c r="AB19" i="39"/>
  <c r="AD13" i="37"/>
  <c r="Z15" i="37"/>
  <c r="AB15" i="38"/>
  <c r="AB19" i="40"/>
  <c r="AB13" i="38"/>
  <c r="AB18" i="38"/>
  <c r="AB15" i="39"/>
  <c r="AB13" i="40"/>
  <c r="Z19" i="37"/>
  <c r="AB14" i="39"/>
  <c r="AF15" i="39"/>
  <c r="AB14" i="38"/>
  <c r="AF15" i="38"/>
  <c r="AB14" i="40"/>
  <c r="Z13" i="37"/>
  <c r="Z16" i="37"/>
  <c r="AF19" i="39"/>
  <c r="AF15" i="40"/>
  <c r="AF13" i="40"/>
  <c r="Z14" i="37"/>
  <c r="Z18" i="37"/>
  <c r="Z17" i="38"/>
  <c r="Z21" i="38" s="1"/>
  <c r="AF16" i="38"/>
  <c r="AF13" i="39"/>
  <c r="AF18" i="39"/>
  <c r="AD18" i="37"/>
  <c r="AD17" i="38"/>
  <c r="AD21" i="38" s="1"/>
  <c r="AD19" i="37"/>
  <c r="AF14" i="38"/>
  <c r="AF18" i="38"/>
  <c r="AF16" i="40"/>
  <c r="AB18" i="40"/>
  <c r="AF15" i="36"/>
  <c r="AF18" i="36"/>
  <c r="AD15" i="37"/>
  <c r="Z17" i="40"/>
  <c r="Z21" i="40" s="1"/>
  <c r="AD16" i="37"/>
  <c r="AB16" i="38"/>
  <c r="AF19" i="38"/>
  <c r="AB18" i="39"/>
  <c r="AD17" i="40"/>
  <c r="AD21" i="40" s="1"/>
  <c r="Z17" i="39"/>
  <c r="Z21" i="39" s="1"/>
  <c r="AD17" i="39"/>
  <c r="AD21" i="39" s="1"/>
  <c r="AF13" i="38"/>
  <c r="X17" i="37"/>
  <c r="X21" i="37" s="1"/>
  <c r="AB17" i="37"/>
  <c r="AB21" i="37" s="1"/>
  <c r="AF14" i="35"/>
  <c r="AB16" i="35"/>
  <c r="AB15" i="35"/>
  <c r="AF15" i="35"/>
  <c r="AF16" i="36"/>
  <c r="AF19" i="36"/>
  <c r="AB14" i="35"/>
  <c r="AF18" i="35"/>
  <c r="Z17" i="35"/>
  <c r="Z21" i="35" s="1"/>
  <c r="AF16" i="35"/>
  <c r="AD17" i="36"/>
  <c r="AD21" i="36" s="1"/>
  <c r="AD17" i="35"/>
  <c r="AD21" i="35" s="1"/>
  <c r="AB18" i="35"/>
  <c r="AB16" i="36"/>
  <c r="AB19" i="36"/>
  <c r="AF19" i="35"/>
  <c r="AB14" i="36"/>
  <c r="AF14" i="36"/>
  <c r="Z17" i="36"/>
  <c r="Z21" i="36" s="1"/>
  <c r="AB15" i="36"/>
  <c r="AB18" i="36"/>
  <c r="AB18" i="33"/>
  <c r="AB13" i="35"/>
  <c r="AB19" i="35"/>
  <c r="AF13" i="36"/>
  <c r="AB13" i="36"/>
  <c r="AF13" i="35"/>
  <c r="AB18" i="34"/>
  <c r="AB17" i="32"/>
  <c r="AF17" i="32"/>
  <c r="AB19" i="32"/>
  <c r="AF19" i="33"/>
  <c r="AF21" i="34"/>
  <c r="AB17" i="33"/>
  <c r="AB21" i="32"/>
  <c r="AF17" i="33"/>
  <c r="AB19" i="33"/>
  <c r="AF20" i="33"/>
  <c r="AA22" i="33"/>
  <c r="AF18" i="32"/>
  <c r="AB20" i="32"/>
  <c r="AF19" i="34"/>
  <c r="AB21" i="33"/>
  <c r="AF18" i="34"/>
  <c r="AB19" i="34"/>
  <c r="AB18" i="32"/>
  <c r="AD22" i="34"/>
  <c r="AF20" i="32"/>
  <c r="AF19" i="32"/>
  <c r="AF21" i="33"/>
  <c r="AF21" i="32"/>
  <c r="Z22" i="33"/>
  <c r="AA22" i="34"/>
  <c r="AB17" i="34"/>
  <c r="AF20" i="34"/>
  <c r="Z22" i="32"/>
  <c r="AD22" i="33"/>
  <c r="AE22" i="34"/>
  <c r="AF17" i="34"/>
  <c r="AA22" i="32"/>
  <c r="AD22" i="32"/>
  <c r="AE22" i="32"/>
  <c r="AB20" i="34"/>
  <c r="AE22" i="33"/>
  <c r="AB20" i="33"/>
  <c r="Z22" i="34"/>
  <c r="AB21" i="34"/>
  <c r="AF16" i="34"/>
  <c r="AB16" i="34"/>
  <c r="AF18" i="33"/>
  <c r="AF16" i="33"/>
  <c r="AB16" i="33"/>
  <c r="AF16" i="32"/>
  <c r="AB16" i="32"/>
  <c r="AB21" i="31"/>
  <c r="AB17" i="31"/>
  <c r="AB19" i="30"/>
  <c r="AB21" i="30"/>
  <c r="AA22" i="31"/>
  <c r="AF18" i="30"/>
  <c r="AD22" i="30"/>
  <c r="AB20" i="30"/>
  <c r="AF20" i="30"/>
  <c r="AB17" i="30"/>
  <c r="AB19" i="31"/>
  <c r="AF17" i="30"/>
  <c r="AF19" i="31"/>
  <c r="AF19" i="30"/>
  <c r="AF21" i="31"/>
  <c r="AB20" i="31"/>
  <c r="AF16" i="30"/>
  <c r="AF21" i="30"/>
  <c r="AB16" i="31"/>
  <c r="AB16" i="30"/>
  <c r="AA22" i="30"/>
  <c r="AB18" i="30"/>
  <c r="AE22" i="31"/>
  <c r="AF17" i="31"/>
  <c r="AB18" i="31"/>
  <c r="AE22" i="30"/>
  <c r="AD22" i="31"/>
  <c r="AF16" i="31"/>
  <c r="AF18" i="31"/>
  <c r="AF20" i="31"/>
  <c r="Z22" i="31"/>
  <c r="Z22" i="30"/>
  <c r="X17" i="24"/>
  <c r="W17" i="24"/>
  <c r="J11" i="24"/>
  <c r="K11" i="24" s="1"/>
  <c r="J9" i="24"/>
  <c r="K9" i="24" s="1"/>
  <c r="J7" i="24"/>
  <c r="K7" i="24" s="1"/>
  <c r="B17" i="53" l="1"/>
  <c r="AK17" i="53" s="1"/>
  <c r="B16" i="51"/>
  <c r="F27" i="23"/>
  <c r="I27" i="23" s="1"/>
  <c r="B7" i="49"/>
  <c r="B16" i="8"/>
  <c r="F16" i="8" s="1"/>
  <c r="B20" i="7"/>
  <c r="C27" i="18"/>
  <c r="C6" i="18"/>
  <c r="T20" i="60"/>
  <c r="B20" i="60" s="1"/>
  <c r="B27" i="51"/>
  <c r="T17" i="54"/>
  <c r="T21" i="54" s="1"/>
  <c r="T26" i="54" s="1"/>
  <c r="B26" i="54" s="1"/>
  <c r="B38" i="30"/>
  <c r="T21" i="60"/>
  <c r="B21" i="60" s="1"/>
  <c r="R21" i="58"/>
  <c r="T20" i="50"/>
  <c r="B20" i="50" s="1"/>
  <c r="T19" i="60"/>
  <c r="B19" i="60" s="1"/>
  <c r="S17" i="58"/>
  <c r="J15" i="54"/>
  <c r="K15" i="54" s="1"/>
  <c r="R18" i="58"/>
  <c r="T26" i="58"/>
  <c r="R17" i="58"/>
  <c r="S16" i="58"/>
  <c r="T27" i="58"/>
  <c r="R16" i="58"/>
  <c r="T20" i="59"/>
  <c r="B20" i="59" s="1"/>
  <c r="S20" i="58"/>
  <c r="S18" i="58"/>
  <c r="R20" i="58"/>
  <c r="T19" i="58"/>
  <c r="B19" i="58" s="1"/>
  <c r="S21" i="58"/>
  <c r="I19" i="54"/>
  <c r="J19" i="54"/>
  <c r="K19" i="54" s="1"/>
  <c r="T17" i="60"/>
  <c r="B17" i="60" s="1"/>
  <c r="T21" i="59"/>
  <c r="B21" i="59" s="1"/>
  <c r="AK33" i="58"/>
  <c r="S22" i="59"/>
  <c r="T16" i="59"/>
  <c r="R22" i="59"/>
  <c r="T17" i="59"/>
  <c r="B17" i="59" s="1"/>
  <c r="T16" i="60"/>
  <c r="S22" i="60"/>
  <c r="B36" i="60"/>
  <c r="B36" i="59"/>
  <c r="I15" i="58"/>
  <c r="J15" i="58"/>
  <c r="K15" i="58" s="1"/>
  <c r="R22" i="60"/>
  <c r="B8" i="60" s="1"/>
  <c r="T18" i="59"/>
  <c r="B18" i="59" s="1"/>
  <c r="T18" i="60"/>
  <c r="B18" i="60" s="1"/>
  <c r="J16" i="54"/>
  <c r="K16" i="54" s="1"/>
  <c r="I16" i="54"/>
  <c r="T21" i="50"/>
  <c r="B21" i="50" s="1"/>
  <c r="B13" i="54"/>
  <c r="R21" i="54"/>
  <c r="B12" i="54"/>
  <c r="T15" i="51"/>
  <c r="B6" i="51"/>
  <c r="J16" i="51"/>
  <c r="K16" i="51" s="1"/>
  <c r="B7" i="51"/>
  <c r="J7" i="51" s="1"/>
  <c r="K7" i="51" s="1"/>
  <c r="B8" i="51"/>
  <c r="J8" i="51" s="1"/>
  <c r="K8" i="51" s="1"/>
  <c r="J18" i="51"/>
  <c r="K18" i="51" s="1"/>
  <c r="I18" i="51"/>
  <c r="T19" i="51"/>
  <c r="B19" i="51" s="1"/>
  <c r="I14" i="51"/>
  <c r="J14" i="51"/>
  <c r="K14" i="51" s="1"/>
  <c r="B9" i="51"/>
  <c r="R17" i="51"/>
  <c r="T18" i="50"/>
  <c r="B18" i="50" s="1"/>
  <c r="S22" i="50"/>
  <c r="T17" i="50"/>
  <c r="B17" i="50" s="1"/>
  <c r="R22" i="50"/>
  <c r="B6" i="50" s="1"/>
  <c r="T16" i="50"/>
  <c r="B16" i="50" s="1"/>
  <c r="B6" i="49"/>
  <c r="B15" i="49"/>
  <c r="B8" i="49"/>
  <c r="B9" i="49"/>
  <c r="B10" i="49"/>
  <c r="B11" i="49"/>
  <c r="B16" i="49"/>
  <c r="B12" i="49"/>
  <c r="I37" i="25"/>
  <c r="B11" i="48"/>
  <c r="J6" i="18"/>
  <c r="B11" i="47"/>
  <c r="B20" i="47"/>
  <c r="B15" i="47"/>
  <c r="B7" i="23"/>
  <c r="B18" i="48"/>
  <c r="D18" i="48" s="1"/>
  <c r="E18" i="48" s="1"/>
  <c r="B17" i="48"/>
  <c r="B20" i="48"/>
  <c r="B23" i="48"/>
  <c r="D23" i="48" s="1"/>
  <c r="E23" i="48" s="1"/>
  <c r="B22" i="48"/>
  <c r="D22" i="48" s="1"/>
  <c r="E22" i="48" s="1"/>
  <c r="B21" i="48"/>
  <c r="D21" i="48" s="1"/>
  <c r="E21" i="48" s="1"/>
  <c r="B9" i="48"/>
  <c r="D9" i="48" s="1"/>
  <c r="E9" i="48" s="1"/>
  <c r="D7" i="48"/>
  <c r="E7" i="48" s="1"/>
  <c r="D13" i="48"/>
  <c r="E13" i="48" s="1"/>
  <c r="T23" i="34"/>
  <c r="B38" i="35"/>
  <c r="J24" i="42"/>
  <c r="I10" i="24"/>
  <c r="I12" i="24" s="1"/>
  <c r="B20" i="26"/>
  <c r="F11" i="44"/>
  <c r="F6" i="44" s="1"/>
  <c r="M13" i="44"/>
  <c r="M12" i="44" s="1"/>
  <c r="AG38" i="21" s="1"/>
  <c r="D11" i="44"/>
  <c r="D4" i="44" s="1"/>
  <c r="K13" i="44"/>
  <c r="K6" i="44" s="1"/>
  <c r="AF26" i="21" s="1"/>
  <c r="I10" i="25"/>
  <c r="J6" i="26"/>
  <c r="K6" i="26" s="1"/>
  <c r="I6" i="26"/>
  <c r="I10" i="26" s="1"/>
  <c r="I12" i="26" s="1"/>
  <c r="J11" i="25"/>
  <c r="K11" i="25" s="1"/>
  <c r="I11" i="25"/>
  <c r="C37" i="26"/>
  <c r="C8" i="26"/>
  <c r="C16" i="26" s="1"/>
  <c r="C6" i="26"/>
  <c r="C9" i="26"/>
  <c r="C8" i="24"/>
  <c r="C16" i="24" s="1"/>
  <c r="C6" i="24"/>
  <c r="C9" i="24"/>
  <c r="B39" i="26"/>
  <c r="I6" i="23"/>
  <c r="C24" i="22"/>
  <c r="C6" i="22"/>
  <c r="C24" i="18"/>
  <c r="AK33" i="30"/>
  <c r="I33" i="30"/>
  <c r="AK33" i="35"/>
  <c r="I33" i="35"/>
  <c r="C11" i="44"/>
  <c r="C6" i="44" s="1"/>
  <c r="J13" i="44"/>
  <c r="J10" i="44" s="1"/>
  <c r="L13" i="44"/>
  <c r="L8" i="44" s="1"/>
  <c r="E11" i="44"/>
  <c r="E8" i="44" s="1"/>
  <c r="B36" i="31"/>
  <c r="B36" i="34"/>
  <c r="B36" i="33"/>
  <c r="B36" i="32"/>
  <c r="B39" i="24"/>
  <c r="I22" i="19"/>
  <c r="I24" i="19" s="1"/>
  <c r="AB17" i="38"/>
  <c r="AB21" i="38" s="1"/>
  <c r="AB17" i="39"/>
  <c r="AB21" i="39" s="1"/>
  <c r="AB17" i="40"/>
  <c r="AB21" i="40" s="1"/>
  <c r="AF17" i="39"/>
  <c r="AF21" i="39" s="1"/>
  <c r="Z17" i="37"/>
  <c r="Z21" i="37" s="1"/>
  <c r="AF17" i="38"/>
  <c r="AF21" i="38" s="1"/>
  <c r="AD17" i="37"/>
  <c r="AD21" i="37" s="1"/>
  <c r="AF17" i="40"/>
  <c r="AF21" i="40" s="1"/>
  <c r="AB17" i="35"/>
  <c r="AB21" i="35" s="1"/>
  <c r="AF17" i="36"/>
  <c r="AF21" i="36" s="1"/>
  <c r="AB17" i="36"/>
  <c r="AF17" i="35"/>
  <c r="AF22" i="32"/>
  <c r="AF22" i="34"/>
  <c r="AB22" i="32"/>
  <c r="AB22" i="33"/>
  <c r="AB22" i="34"/>
  <c r="AF22" i="33"/>
  <c r="AB22" i="30"/>
  <c r="AB22" i="31"/>
  <c r="AF22" i="30"/>
  <c r="AF22" i="31"/>
  <c r="C37" i="24"/>
  <c r="J6" i="24"/>
  <c r="K6" i="24" s="1"/>
  <c r="J15" i="47" l="1"/>
  <c r="K15" i="47" s="1"/>
  <c r="I7" i="23"/>
  <c r="B12" i="47"/>
  <c r="U6" i="52" s="1"/>
  <c r="J15" i="51"/>
  <c r="K15" i="51" s="1"/>
  <c r="B15" i="51"/>
  <c r="T18" i="58"/>
  <c r="B18" i="58" s="1"/>
  <c r="B21" i="54"/>
  <c r="T23" i="30"/>
  <c r="B23" i="34"/>
  <c r="T21" i="58"/>
  <c r="B21" i="58" s="1"/>
  <c r="B6" i="59"/>
  <c r="B13" i="59"/>
  <c r="T17" i="58"/>
  <c r="B17" i="58" s="1"/>
  <c r="T16" i="58"/>
  <c r="B16" i="58" s="1"/>
  <c r="S22" i="58"/>
  <c r="B15" i="58" s="1"/>
  <c r="R22" i="58"/>
  <c r="B13" i="58" s="1"/>
  <c r="T20" i="58"/>
  <c r="B20" i="58" s="1"/>
  <c r="B15" i="60"/>
  <c r="B16" i="60"/>
  <c r="T22" i="60"/>
  <c r="B15" i="50"/>
  <c r="B10" i="60"/>
  <c r="B15" i="59"/>
  <c r="AL33" i="58"/>
  <c r="B7" i="59"/>
  <c r="I14" i="58"/>
  <c r="J14" i="58"/>
  <c r="K14" i="58" s="1"/>
  <c r="B7" i="60"/>
  <c r="B13" i="60"/>
  <c r="B9" i="60"/>
  <c r="B11" i="60"/>
  <c r="T22" i="59"/>
  <c r="B16" i="59"/>
  <c r="AK35" i="58"/>
  <c r="B6" i="60"/>
  <c r="B8" i="59"/>
  <c r="B9" i="59"/>
  <c r="B10" i="59"/>
  <c r="B11" i="59"/>
  <c r="I7" i="54"/>
  <c r="J7" i="54"/>
  <c r="K7" i="54" s="1"/>
  <c r="I8" i="54"/>
  <c r="J8" i="54"/>
  <c r="K8" i="54" s="1"/>
  <c r="J9" i="54"/>
  <c r="K9" i="54" s="1"/>
  <c r="I9" i="54"/>
  <c r="J12" i="54"/>
  <c r="K12" i="54" s="1"/>
  <c r="I12" i="54"/>
  <c r="B10" i="54"/>
  <c r="B23" i="54"/>
  <c r="B11" i="54"/>
  <c r="B22" i="54"/>
  <c r="J28" i="54"/>
  <c r="K28" i="54" s="1"/>
  <c r="I28" i="54"/>
  <c r="I6" i="54"/>
  <c r="J6" i="54"/>
  <c r="K6" i="54" s="1"/>
  <c r="B17" i="54"/>
  <c r="B29" i="54"/>
  <c r="I8" i="51"/>
  <c r="I15" i="51"/>
  <c r="I7" i="51"/>
  <c r="I16" i="51"/>
  <c r="B12" i="51"/>
  <c r="R21" i="51"/>
  <c r="I9" i="51"/>
  <c r="J9" i="51"/>
  <c r="K9" i="51" s="1"/>
  <c r="I19" i="51"/>
  <c r="J19" i="51"/>
  <c r="K19" i="51" s="1"/>
  <c r="J6" i="51"/>
  <c r="K6" i="51" s="1"/>
  <c r="I6" i="51"/>
  <c r="B13" i="51"/>
  <c r="T17" i="51"/>
  <c r="T22" i="50"/>
  <c r="B24" i="50" s="1"/>
  <c r="U9" i="52" s="1"/>
  <c r="B10" i="50"/>
  <c r="B13" i="50"/>
  <c r="B11" i="50"/>
  <c r="B9" i="50"/>
  <c r="B8" i="50"/>
  <c r="B7" i="50"/>
  <c r="I12" i="25"/>
  <c r="B12" i="48"/>
  <c r="C16" i="25"/>
  <c r="B21" i="47"/>
  <c r="B22" i="47" s="1"/>
  <c r="B23" i="47" s="1"/>
  <c r="C24" i="23"/>
  <c r="J28" i="51"/>
  <c r="K28" i="51" s="1"/>
  <c r="I28" i="51"/>
  <c r="B24" i="48"/>
  <c r="D20" i="48"/>
  <c r="E20" i="48" s="1"/>
  <c r="B19" i="48"/>
  <c r="D17" i="48"/>
  <c r="E17" i="48" s="1"/>
  <c r="I10" i="48"/>
  <c r="J6" i="52"/>
  <c r="K6" i="52" s="1"/>
  <c r="I6" i="52"/>
  <c r="C17" i="26"/>
  <c r="Z9" i="24"/>
  <c r="C17" i="24"/>
  <c r="K8" i="44"/>
  <c r="AF30" i="21" s="1"/>
  <c r="K12" i="44"/>
  <c r="AF38" i="21" s="1"/>
  <c r="K4" i="44"/>
  <c r="AF22" i="21" s="1"/>
  <c r="F10" i="44"/>
  <c r="AG28" i="20" s="1"/>
  <c r="D6" i="44"/>
  <c r="AF16" i="20" s="1"/>
  <c r="D8" i="44"/>
  <c r="AF22" i="20" s="1"/>
  <c r="K10" i="44"/>
  <c r="AF34" i="21" s="1"/>
  <c r="D10" i="44"/>
  <c r="AF28" i="20" s="1"/>
  <c r="M8" i="44"/>
  <c r="AG30" i="21" s="1"/>
  <c r="AF10" i="20"/>
  <c r="M6" i="44"/>
  <c r="AG26" i="21" s="1"/>
  <c r="M4" i="44"/>
  <c r="M10" i="44"/>
  <c r="AG34" i="21" s="1"/>
  <c r="F4" i="44"/>
  <c r="AG10" i="20" s="1"/>
  <c r="F8" i="44"/>
  <c r="AG22" i="20" s="1"/>
  <c r="AL9" i="26"/>
  <c r="C14" i="26"/>
  <c r="C37" i="25"/>
  <c r="I39" i="26"/>
  <c r="I39" i="24"/>
  <c r="C14" i="24"/>
  <c r="C7" i="22"/>
  <c r="J6" i="44"/>
  <c r="E10" i="44"/>
  <c r="L12" i="44"/>
  <c r="E4" i="44"/>
  <c r="C4" i="44"/>
  <c r="J8" i="44"/>
  <c r="L10" i="44"/>
  <c r="C8" i="44"/>
  <c r="C10" i="44"/>
  <c r="L4" i="44"/>
  <c r="E6" i="44"/>
  <c r="L6" i="44"/>
  <c r="J12" i="44"/>
  <c r="J4" i="44"/>
  <c r="AG16" i="20"/>
  <c r="AF91" i="21"/>
  <c r="AF47" i="21"/>
  <c r="AF28" i="21"/>
  <c r="AF27" i="21"/>
  <c r="AF96" i="21"/>
  <c r="AF78" i="21"/>
  <c r="AF48" i="21"/>
  <c r="AF49" i="21"/>
  <c r="AF84" i="21"/>
  <c r="AF71" i="21"/>
  <c r="AF65" i="21"/>
  <c r="AG99" i="21"/>
  <c r="AG60" i="21"/>
  <c r="AG81" i="21"/>
  <c r="AG61" i="21"/>
  <c r="AG39" i="21"/>
  <c r="AG87" i="21"/>
  <c r="AG74" i="21"/>
  <c r="AG59" i="21"/>
  <c r="AG68" i="21"/>
  <c r="AG40" i="21"/>
  <c r="AG94" i="21"/>
  <c r="AK35" i="30"/>
  <c r="C6" i="25"/>
  <c r="AB21" i="36"/>
  <c r="AF21" i="35"/>
  <c r="D11" i="26"/>
  <c r="E11" i="26" s="1"/>
  <c r="D7" i="26"/>
  <c r="E7" i="26" s="1"/>
  <c r="D7" i="24"/>
  <c r="E7" i="24" s="1"/>
  <c r="D11" i="24"/>
  <c r="E11" i="24" s="1"/>
  <c r="B15" i="48" l="1"/>
  <c r="B16" i="48" s="1"/>
  <c r="U11" i="52"/>
  <c r="B25" i="47"/>
  <c r="B7" i="53" s="1"/>
  <c r="J23" i="54"/>
  <c r="K23" i="54" s="1"/>
  <c r="B6" i="58"/>
  <c r="B14" i="58"/>
  <c r="B11" i="58"/>
  <c r="B26" i="58"/>
  <c r="B8" i="58"/>
  <c r="B7" i="58"/>
  <c r="B9" i="58"/>
  <c r="B10" i="58"/>
  <c r="B27" i="58"/>
  <c r="J27" i="58" s="1"/>
  <c r="K27" i="58" s="1"/>
  <c r="T22" i="58"/>
  <c r="B12" i="59"/>
  <c r="B24" i="60"/>
  <c r="B22" i="60"/>
  <c r="T30" i="60"/>
  <c r="B30" i="60" s="1"/>
  <c r="B14" i="59"/>
  <c r="B27" i="59"/>
  <c r="B26" i="59"/>
  <c r="B22" i="59"/>
  <c r="T30" i="59"/>
  <c r="B30" i="59" s="1"/>
  <c r="B24" i="59"/>
  <c r="B23" i="58"/>
  <c r="B12" i="60"/>
  <c r="B14" i="60"/>
  <c r="B26" i="60"/>
  <c r="B27" i="60"/>
  <c r="J13" i="54"/>
  <c r="K13" i="54" s="1"/>
  <c r="I13" i="54"/>
  <c r="B24" i="54"/>
  <c r="J11" i="54"/>
  <c r="K11" i="54" s="1"/>
  <c r="I11" i="54"/>
  <c r="B20" i="54"/>
  <c r="B13" i="53"/>
  <c r="J13" i="51"/>
  <c r="K13" i="51" s="1"/>
  <c r="I13" i="51"/>
  <c r="J12" i="51"/>
  <c r="K12" i="51" s="1"/>
  <c r="I12" i="51"/>
  <c r="T21" i="51"/>
  <c r="B17" i="51"/>
  <c r="B29" i="51"/>
  <c r="B22" i="51"/>
  <c r="B23" i="51"/>
  <c r="B10" i="51"/>
  <c r="B11" i="51"/>
  <c r="B25" i="50"/>
  <c r="B12" i="50"/>
  <c r="T30" i="50"/>
  <c r="B30" i="50" s="1"/>
  <c r="B10" i="53" s="1"/>
  <c r="B22" i="50"/>
  <c r="B27" i="50"/>
  <c r="B26" i="50"/>
  <c r="B14" i="50"/>
  <c r="C14" i="25"/>
  <c r="J10" i="48"/>
  <c r="K10" i="48" s="1"/>
  <c r="D24" i="48"/>
  <c r="E24" i="48" s="1"/>
  <c r="B25" i="48"/>
  <c r="J19" i="48"/>
  <c r="K19" i="48" s="1"/>
  <c r="D19" i="48"/>
  <c r="E19" i="48" s="1"/>
  <c r="D6" i="24"/>
  <c r="E6" i="24" s="1"/>
  <c r="K14" i="44"/>
  <c r="D12" i="44"/>
  <c r="F12" i="44"/>
  <c r="M14" i="44"/>
  <c r="AF93" i="21"/>
  <c r="AF92" i="21"/>
  <c r="AF60" i="21"/>
  <c r="AG45" i="20"/>
  <c r="AF64" i="20"/>
  <c r="AG43" i="20"/>
  <c r="AF79" i="21"/>
  <c r="AG20" i="20"/>
  <c r="AG18" i="20"/>
  <c r="AG63" i="20"/>
  <c r="AG42" i="20"/>
  <c r="AF32" i="21"/>
  <c r="AF52" i="21"/>
  <c r="AF31" i="21"/>
  <c r="AF51" i="21"/>
  <c r="AF53" i="21"/>
  <c r="AF85" i="21"/>
  <c r="AF72" i="21"/>
  <c r="AF97" i="21"/>
  <c r="AG46" i="20"/>
  <c r="C12" i="44"/>
  <c r="J14" i="44"/>
  <c r="L14" i="44"/>
  <c r="AG44" i="20"/>
  <c r="AG17" i="20"/>
  <c r="AG19" i="20"/>
  <c r="E12" i="44"/>
  <c r="AF68" i="21"/>
  <c r="AF59" i="21"/>
  <c r="AF26" i="20"/>
  <c r="AF94" i="21"/>
  <c r="AF66" i="21"/>
  <c r="AF48" i="20"/>
  <c r="AF24" i="20"/>
  <c r="AF52" i="20"/>
  <c r="AF50" i="20"/>
  <c r="AF25" i="20"/>
  <c r="AF23" i="20"/>
  <c r="AF51" i="20"/>
  <c r="AF49" i="20"/>
  <c r="AF74" i="21"/>
  <c r="AF39" i="21"/>
  <c r="AF81" i="21"/>
  <c r="AF61" i="21"/>
  <c r="AF99" i="21"/>
  <c r="AF87" i="21"/>
  <c r="AF40" i="21"/>
  <c r="AF67" i="21"/>
  <c r="AF56" i="21"/>
  <c r="AF86" i="21"/>
  <c r="AF80" i="21"/>
  <c r="AF73" i="21"/>
  <c r="AF98" i="21"/>
  <c r="AF36" i="21"/>
  <c r="AF35" i="21"/>
  <c r="AF57" i="21"/>
  <c r="AF55" i="21"/>
  <c r="AG80" i="21"/>
  <c r="AG67" i="21"/>
  <c r="AG57" i="21"/>
  <c r="AG36" i="21"/>
  <c r="AG73" i="21"/>
  <c r="AG86" i="21"/>
  <c r="AG93" i="21"/>
  <c r="AG55" i="21"/>
  <c r="AG98" i="21"/>
  <c r="AG56" i="21"/>
  <c r="AG35" i="21"/>
  <c r="AF57" i="20"/>
  <c r="AF58" i="20"/>
  <c r="AF30" i="20"/>
  <c r="AF65" i="20"/>
  <c r="AF54" i="20"/>
  <c r="AF55" i="20"/>
  <c r="AF31" i="20"/>
  <c r="AF56" i="20"/>
  <c r="AF32" i="20"/>
  <c r="AF29" i="20"/>
  <c r="AG22" i="21"/>
  <c r="O22" i="21" s="1" a="1"/>
  <c r="O22" i="21" s="1"/>
  <c r="AF95" i="21"/>
  <c r="AF45" i="21"/>
  <c r="AF70" i="21"/>
  <c r="AF44" i="21"/>
  <c r="AF77" i="21"/>
  <c r="AF23" i="21"/>
  <c r="AF24" i="21"/>
  <c r="AF43" i="21"/>
  <c r="AF90" i="21"/>
  <c r="AF83" i="21"/>
  <c r="AF64" i="21"/>
  <c r="AG29" i="20"/>
  <c r="AG54" i="20"/>
  <c r="AG58" i="20"/>
  <c r="AG56" i="20"/>
  <c r="AG32" i="20"/>
  <c r="AG30" i="20"/>
  <c r="AG65" i="20"/>
  <c r="AG57" i="20"/>
  <c r="AG31" i="20"/>
  <c r="AG55" i="20"/>
  <c r="AG37" i="20"/>
  <c r="AG40" i="20"/>
  <c r="AG11" i="20"/>
  <c r="AG12" i="20"/>
  <c r="AG39" i="20"/>
  <c r="AG14" i="20"/>
  <c r="AG38" i="20"/>
  <c r="AG36" i="20"/>
  <c r="AG13" i="20"/>
  <c r="AG62" i="20"/>
  <c r="AG23" i="20"/>
  <c r="AG25" i="20"/>
  <c r="AG48" i="20"/>
  <c r="AG49" i="20"/>
  <c r="AG51" i="20"/>
  <c r="AG24" i="20"/>
  <c r="AG50" i="20"/>
  <c r="AG26" i="20"/>
  <c r="AG52" i="20"/>
  <c r="AG64" i="20"/>
  <c r="AG48" i="21"/>
  <c r="AG91" i="21"/>
  <c r="AG84" i="21"/>
  <c r="AG47" i="21"/>
  <c r="AG28" i="21"/>
  <c r="AG65" i="21"/>
  <c r="AG96" i="21"/>
  <c r="AG78" i="21"/>
  <c r="AG71" i="21"/>
  <c r="AG27" i="21"/>
  <c r="AG49" i="21"/>
  <c r="AF42" i="20"/>
  <c r="AF19" i="20"/>
  <c r="AF45" i="20"/>
  <c r="AF63" i="20"/>
  <c r="AF44" i="20"/>
  <c r="AF43" i="20"/>
  <c r="AF18" i="20"/>
  <c r="AF46" i="20"/>
  <c r="AF17" i="20"/>
  <c r="AF20" i="20"/>
  <c r="AG72" i="21"/>
  <c r="AG66" i="21"/>
  <c r="AG92" i="21"/>
  <c r="AG51" i="21"/>
  <c r="AG31" i="21"/>
  <c r="AG85" i="21"/>
  <c r="AG53" i="21"/>
  <c r="AG97" i="21"/>
  <c r="AG52" i="21"/>
  <c r="AG32" i="21"/>
  <c r="AG79" i="21"/>
  <c r="AF40" i="20"/>
  <c r="AF13" i="20"/>
  <c r="AF12" i="20"/>
  <c r="AF36" i="20"/>
  <c r="AF39" i="20"/>
  <c r="AF38" i="20"/>
  <c r="AF14" i="20"/>
  <c r="AF62" i="20"/>
  <c r="AF11" i="20"/>
  <c r="AF37" i="20"/>
  <c r="D6" i="25"/>
  <c r="D6" i="26"/>
  <c r="E6" i="26" s="1"/>
  <c r="J6" i="23"/>
  <c r="U7" i="52" l="1"/>
  <c r="B26" i="48"/>
  <c r="B27" i="48" s="1"/>
  <c r="B22" i="58"/>
  <c r="T30" i="58"/>
  <c r="B30" i="58" s="1"/>
  <c r="B14" i="53" s="1"/>
  <c r="B15" i="53" s="1"/>
  <c r="B24" i="51"/>
  <c r="I23" i="54"/>
  <c r="B28" i="58"/>
  <c r="I28" i="58" s="1"/>
  <c r="B12" i="58"/>
  <c r="B28" i="60"/>
  <c r="B25" i="59"/>
  <c r="B25" i="60"/>
  <c r="B28" i="59"/>
  <c r="B24" i="58"/>
  <c r="U12" i="52" s="1"/>
  <c r="I17" i="54"/>
  <c r="J17" i="54"/>
  <c r="K17" i="54" s="1"/>
  <c r="I29" i="54"/>
  <c r="J29" i="54"/>
  <c r="K29" i="54" s="1"/>
  <c r="J22" i="54"/>
  <c r="K22" i="54" s="1"/>
  <c r="I22" i="54"/>
  <c r="B30" i="54"/>
  <c r="J24" i="54"/>
  <c r="K24" i="54" s="1"/>
  <c r="I24" i="54"/>
  <c r="B25" i="54"/>
  <c r="I10" i="54"/>
  <c r="J10" i="54"/>
  <c r="K10" i="54" s="1"/>
  <c r="I29" i="51"/>
  <c r="J29" i="51"/>
  <c r="K29" i="51" s="1"/>
  <c r="I17" i="51"/>
  <c r="J17" i="51"/>
  <c r="K17" i="51" s="1"/>
  <c r="T26" i="51"/>
  <c r="B26" i="51" s="1"/>
  <c r="B30" i="51" s="1"/>
  <c r="B21" i="51"/>
  <c r="B20" i="51"/>
  <c r="I11" i="51"/>
  <c r="J11" i="51"/>
  <c r="K11" i="51" s="1"/>
  <c r="J10" i="51"/>
  <c r="K10" i="51" s="1"/>
  <c r="I10" i="51"/>
  <c r="J23" i="51"/>
  <c r="K23" i="51" s="1"/>
  <c r="I23" i="51"/>
  <c r="B28" i="50"/>
  <c r="J25" i="48"/>
  <c r="K25" i="48" s="1"/>
  <c r="D25" i="48"/>
  <c r="E25" i="48" s="1"/>
  <c r="E6" i="25"/>
  <c r="K6" i="23"/>
  <c r="AG77" i="21"/>
  <c r="AG45" i="21"/>
  <c r="AG90" i="21"/>
  <c r="AG70" i="21"/>
  <c r="AG44" i="21"/>
  <c r="AG43" i="21"/>
  <c r="AG23" i="21"/>
  <c r="AG24" i="21"/>
  <c r="AG83" i="21"/>
  <c r="AG95" i="21"/>
  <c r="AG64" i="21"/>
  <c r="J6" i="22"/>
  <c r="K6" i="22" s="1"/>
  <c r="B7" i="22"/>
  <c r="K6" i="20"/>
  <c r="J6" i="20"/>
  <c r="I6" i="20"/>
  <c r="H6" i="20"/>
  <c r="G6" i="20"/>
  <c r="AE163" i="19"/>
  <c r="AC163" i="19"/>
  <c r="AE162" i="19"/>
  <c r="AC162" i="19"/>
  <c r="AE161" i="19"/>
  <c r="AC161" i="19"/>
  <c r="AE160" i="19"/>
  <c r="AC160" i="19"/>
  <c r="AE159" i="19"/>
  <c r="AC159" i="19"/>
  <c r="AE158" i="19"/>
  <c r="AC158" i="19"/>
  <c r="AE157" i="19"/>
  <c r="AC157" i="19"/>
  <c r="AE156" i="19"/>
  <c r="AC156" i="19"/>
  <c r="AE155" i="19"/>
  <c r="AC155" i="19"/>
  <c r="AE154" i="19"/>
  <c r="AC154" i="19"/>
  <c r="AE153" i="19"/>
  <c r="AC153" i="19"/>
  <c r="AE152" i="19"/>
  <c r="AC152" i="19"/>
  <c r="AE151" i="19"/>
  <c r="AC151" i="19"/>
  <c r="AE150" i="19"/>
  <c r="AC150" i="19"/>
  <c r="AE149" i="19"/>
  <c r="AC149" i="19"/>
  <c r="AE148" i="19"/>
  <c r="AC148" i="19"/>
  <c r="AE147" i="19"/>
  <c r="AC147" i="19"/>
  <c r="AE146" i="19"/>
  <c r="AC146" i="19"/>
  <c r="AE145" i="19"/>
  <c r="AC145" i="19"/>
  <c r="AE144" i="19"/>
  <c r="AC144" i="19"/>
  <c r="AE143" i="19"/>
  <c r="AC143" i="19"/>
  <c r="AE142" i="19"/>
  <c r="AC142" i="19"/>
  <c r="AE141" i="19"/>
  <c r="AC141" i="19"/>
  <c r="AE140" i="19"/>
  <c r="AC140" i="19"/>
  <c r="AE139" i="19"/>
  <c r="AC139" i="19"/>
  <c r="AE138" i="19"/>
  <c r="AC138" i="19"/>
  <c r="AE137" i="19"/>
  <c r="AC137" i="19"/>
  <c r="AE136" i="19"/>
  <c r="AC136" i="19"/>
  <c r="AE135" i="19"/>
  <c r="AC135" i="19"/>
  <c r="AE134" i="19"/>
  <c r="AC134" i="19"/>
  <c r="AE133" i="19"/>
  <c r="AC133" i="19"/>
  <c r="AE132" i="19"/>
  <c r="AC132" i="19"/>
  <c r="AE131" i="19"/>
  <c r="AC131" i="19"/>
  <c r="AE130" i="19"/>
  <c r="AC130" i="19"/>
  <c r="AE129" i="19"/>
  <c r="AC129" i="19"/>
  <c r="AE128" i="19"/>
  <c r="AC128" i="19"/>
  <c r="AE127" i="19"/>
  <c r="AC127" i="19"/>
  <c r="AE126" i="19"/>
  <c r="AC126" i="19"/>
  <c r="AE125" i="19"/>
  <c r="AC125" i="19"/>
  <c r="AE124" i="19"/>
  <c r="AC124" i="19"/>
  <c r="AE123" i="19"/>
  <c r="AC123" i="19"/>
  <c r="AE122" i="19"/>
  <c r="AC122" i="19"/>
  <c r="AE121" i="19"/>
  <c r="AC121" i="19"/>
  <c r="AE120" i="19"/>
  <c r="AC120" i="19"/>
  <c r="AE119" i="19"/>
  <c r="AC119" i="19"/>
  <c r="AE118" i="19"/>
  <c r="AC118" i="19"/>
  <c r="AE117" i="19"/>
  <c r="AC117" i="19"/>
  <c r="AE116" i="19"/>
  <c r="AC116" i="19"/>
  <c r="AE115" i="19"/>
  <c r="AC115" i="19"/>
  <c r="AE114" i="19"/>
  <c r="AC114" i="19"/>
  <c r="AE113" i="19"/>
  <c r="AC113" i="19"/>
  <c r="AE112" i="19"/>
  <c r="AC112" i="19"/>
  <c r="AE111" i="19"/>
  <c r="AC111" i="19"/>
  <c r="AE110" i="19"/>
  <c r="AC110" i="19"/>
  <c r="AE109" i="19"/>
  <c r="AC109" i="19"/>
  <c r="AE108" i="19"/>
  <c r="AC108" i="19"/>
  <c r="AE107" i="19"/>
  <c r="AC107" i="19"/>
  <c r="AE106" i="19"/>
  <c r="AC106" i="19"/>
  <c r="AE105" i="19"/>
  <c r="AC105" i="19"/>
  <c r="AE104" i="19"/>
  <c r="AC104" i="19"/>
  <c r="AE103" i="19"/>
  <c r="AC103" i="19"/>
  <c r="AE102" i="19"/>
  <c r="AC102" i="19"/>
  <c r="AE101" i="19"/>
  <c r="AC101" i="19"/>
  <c r="AE100" i="19"/>
  <c r="AC100" i="19"/>
  <c r="AE99" i="19"/>
  <c r="AC99" i="19"/>
  <c r="AE98" i="19"/>
  <c r="AC98" i="19"/>
  <c r="AE97" i="19"/>
  <c r="AC97" i="19"/>
  <c r="AE96" i="19"/>
  <c r="AC96" i="19"/>
  <c r="AE95" i="19"/>
  <c r="AC95" i="19"/>
  <c r="AE94" i="19"/>
  <c r="AC94" i="19"/>
  <c r="H94" i="19"/>
  <c r="AE93" i="19"/>
  <c r="AC93" i="19"/>
  <c r="H93" i="19"/>
  <c r="AE92" i="19"/>
  <c r="AC92" i="19"/>
  <c r="H92" i="19"/>
  <c r="AE91" i="19"/>
  <c r="AC91" i="19"/>
  <c r="H91" i="19"/>
  <c r="AE90" i="19"/>
  <c r="AC90" i="19"/>
  <c r="H90" i="19"/>
  <c r="AE89" i="19"/>
  <c r="AC89" i="19"/>
  <c r="AE88" i="19"/>
  <c r="AC88" i="19"/>
  <c r="AE87" i="19"/>
  <c r="AC87" i="19"/>
  <c r="AE86" i="19"/>
  <c r="AC86" i="19"/>
  <c r="AE85" i="19"/>
  <c r="AC85" i="19"/>
  <c r="AE84" i="19"/>
  <c r="AC84" i="19"/>
  <c r="AE83" i="19"/>
  <c r="AC83" i="19"/>
  <c r="AE82" i="19"/>
  <c r="AC82" i="19"/>
  <c r="AE81" i="19"/>
  <c r="AC81" i="19"/>
  <c r="AE80" i="19"/>
  <c r="AC80" i="19"/>
  <c r="AE79" i="19"/>
  <c r="AC79" i="19"/>
  <c r="AE78" i="19"/>
  <c r="AC78" i="19"/>
  <c r="AE77" i="19"/>
  <c r="AC77" i="19"/>
  <c r="AE76" i="19"/>
  <c r="AC76" i="19"/>
  <c r="AE75" i="19"/>
  <c r="AC75" i="19"/>
  <c r="AE74" i="19"/>
  <c r="AC74" i="19"/>
  <c r="AE73" i="19"/>
  <c r="AC73" i="19"/>
  <c r="AE72" i="19"/>
  <c r="AC72" i="19"/>
  <c r="AE71" i="19"/>
  <c r="AC71" i="19"/>
  <c r="AE70" i="19"/>
  <c r="AC70" i="19"/>
  <c r="AE69" i="19"/>
  <c r="AC69" i="19"/>
  <c r="AE68" i="19"/>
  <c r="AC68" i="19"/>
  <c r="AE67" i="19"/>
  <c r="AC67" i="19"/>
  <c r="AE66" i="19"/>
  <c r="AC66" i="19"/>
  <c r="AE65" i="19"/>
  <c r="AC65" i="19"/>
  <c r="AE64" i="19"/>
  <c r="AC64" i="19"/>
  <c r="AE63" i="19"/>
  <c r="AC63" i="19"/>
  <c r="AE62" i="19"/>
  <c r="AC62" i="19"/>
  <c r="AE61" i="19"/>
  <c r="AC61" i="19"/>
  <c r="AE60" i="19"/>
  <c r="AC60" i="19"/>
  <c r="AE59" i="19"/>
  <c r="AC59" i="19"/>
  <c r="AE58" i="19"/>
  <c r="AC58" i="19"/>
  <c r="AE57" i="19"/>
  <c r="AC57" i="19"/>
  <c r="AE56" i="19"/>
  <c r="AC56" i="19"/>
  <c r="AE55" i="19"/>
  <c r="AC55" i="19"/>
  <c r="AE54" i="19"/>
  <c r="AC54" i="19"/>
  <c r="AE53" i="19"/>
  <c r="AC53" i="19"/>
  <c r="AE52" i="19"/>
  <c r="AC52" i="19"/>
  <c r="AE51" i="19"/>
  <c r="AC51" i="19"/>
  <c r="AE50" i="19"/>
  <c r="AC50" i="19"/>
  <c r="AE49" i="19"/>
  <c r="AC49" i="19"/>
  <c r="AE48" i="19"/>
  <c r="AC48" i="19"/>
  <c r="AE47" i="19"/>
  <c r="AC47" i="19"/>
  <c r="AE46" i="19"/>
  <c r="AC46" i="19"/>
  <c r="AE45" i="19"/>
  <c r="AC45" i="19"/>
  <c r="AE44" i="19"/>
  <c r="AC44" i="19"/>
  <c r="AE43" i="19"/>
  <c r="AC43" i="19"/>
  <c r="AE42" i="19"/>
  <c r="AC42" i="19"/>
  <c r="AE41" i="19"/>
  <c r="AC41" i="19"/>
  <c r="AE40" i="19"/>
  <c r="AC40" i="19"/>
  <c r="AE39" i="19"/>
  <c r="AC39" i="19"/>
  <c r="AE38" i="19"/>
  <c r="AC38" i="19"/>
  <c r="AE37" i="19"/>
  <c r="AC37" i="19"/>
  <c r="AE36" i="19"/>
  <c r="AC36" i="19"/>
  <c r="AE35" i="19"/>
  <c r="AC35" i="19"/>
  <c r="AE34" i="19"/>
  <c r="AC34" i="19"/>
  <c r="AE33" i="19"/>
  <c r="AC33" i="19"/>
  <c r="AE32" i="19"/>
  <c r="AC32" i="19"/>
  <c r="AE31" i="19"/>
  <c r="AC31" i="19"/>
  <c r="AE30" i="19"/>
  <c r="AC30" i="19"/>
  <c r="AE29" i="19"/>
  <c r="AC29" i="19"/>
  <c r="AE28" i="19"/>
  <c r="AC28" i="19"/>
  <c r="AE27" i="19"/>
  <c r="AC27" i="19"/>
  <c r="AE26" i="19"/>
  <c r="AC26" i="19"/>
  <c r="AE25" i="19"/>
  <c r="AC25" i="19"/>
  <c r="AE24" i="19"/>
  <c r="AC24" i="19"/>
  <c r="AE23" i="19"/>
  <c r="AC23" i="19"/>
  <c r="AE22" i="19"/>
  <c r="AC22" i="19"/>
  <c r="AE21" i="19"/>
  <c r="AC21" i="19"/>
  <c r="AE20" i="19"/>
  <c r="AC20" i="19"/>
  <c r="J30" i="19"/>
  <c r="J32" i="19" s="1"/>
  <c r="I31" i="19"/>
  <c r="I33" i="19" s="1"/>
  <c r="H30" i="19"/>
  <c r="H32" i="19" s="1"/>
  <c r="G30" i="19"/>
  <c r="G32" i="19" s="1"/>
  <c r="AE19" i="19"/>
  <c r="AC19" i="19"/>
  <c r="I27" i="19"/>
  <c r="I29" i="19" s="1"/>
  <c r="AE18" i="19"/>
  <c r="AC18" i="19"/>
  <c r="H26" i="19"/>
  <c r="H28" i="19" s="1"/>
  <c r="G19" i="19"/>
  <c r="AE17" i="19"/>
  <c r="AC17" i="19"/>
  <c r="J23" i="19"/>
  <c r="J25" i="19" s="1"/>
  <c r="AE16" i="19"/>
  <c r="AC16" i="19"/>
  <c r="J22" i="19"/>
  <c r="J24" i="19" s="1"/>
  <c r="H17" i="19"/>
  <c r="G17" i="19"/>
  <c r="AE15" i="19"/>
  <c r="AC15" i="19"/>
  <c r="AE14" i="19"/>
  <c r="AC14" i="19"/>
  <c r="AE13" i="19"/>
  <c r="AC13" i="19"/>
  <c r="AE12" i="19"/>
  <c r="AC12" i="19"/>
  <c r="H13" i="19"/>
  <c r="G13" i="19"/>
  <c r="AE11" i="19"/>
  <c r="AC11" i="19"/>
  <c r="AE10" i="19"/>
  <c r="AC10" i="19"/>
  <c r="AE9" i="19"/>
  <c r="AC9" i="19"/>
  <c r="AE8" i="19"/>
  <c r="AC8" i="19"/>
  <c r="AE7" i="19"/>
  <c r="AC7" i="19"/>
  <c r="AE6" i="19"/>
  <c r="AC6" i="19"/>
  <c r="AE5" i="19"/>
  <c r="AC5" i="19"/>
  <c r="AE4" i="19"/>
  <c r="AC4" i="19"/>
  <c r="AE3" i="19"/>
  <c r="AC3" i="19"/>
  <c r="AE2" i="19"/>
  <c r="AC2" i="19"/>
  <c r="B29" i="50" l="1"/>
  <c r="V19" i="60"/>
  <c r="W19" i="54"/>
  <c r="X19" i="54" s="1"/>
  <c r="C19" i="54" s="1"/>
  <c r="D19" i="54" s="1"/>
  <c r="E19" i="54" s="1"/>
  <c r="V13" i="54"/>
  <c r="W20" i="60"/>
  <c r="W19" i="59"/>
  <c r="V19" i="59"/>
  <c r="W19" i="60"/>
  <c r="C11" i="49"/>
  <c r="W16" i="51"/>
  <c r="X16" i="51" s="1"/>
  <c r="V19" i="50"/>
  <c r="W14" i="51"/>
  <c r="V18" i="51"/>
  <c r="W18" i="51"/>
  <c r="V14" i="51"/>
  <c r="J21" i="51"/>
  <c r="K21" i="51" s="1"/>
  <c r="U10" i="52"/>
  <c r="B29" i="60"/>
  <c r="I23" i="58"/>
  <c r="J23" i="58"/>
  <c r="K23" i="58" s="1"/>
  <c r="I30" i="58"/>
  <c r="J30" i="58"/>
  <c r="K30" i="58" s="1"/>
  <c r="B29" i="59"/>
  <c r="B25" i="58"/>
  <c r="I21" i="54"/>
  <c r="J21" i="54"/>
  <c r="K21" i="54" s="1"/>
  <c r="I26" i="54"/>
  <c r="J26" i="54"/>
  <c r="K26" i="54" s="1"/>
  <c r="J20" i="54"/>
  <c r="K20" i="54" s="1"/>
  <c r="I20" i="54"/>
  <c r="B11" i="53"/>
  <c r="I22" i="51"/>
  <c r="J22" i="51"/>
  <c r="K22" i="51" s="1"/>
  <c r="B25" i="51"/>
  <c r="J24" i="51"/>
  <c r="K24" i="51" s="1"/>
  <c r="I24" i="51"/>
  <c r="X23" i="59"/>
  <c r="X23" i="60"/>
  <c r="C23" i="60" s="1"/>
  <c r="D23" i="60" s="1"/>
  <c r="E23" i="60" s="1"/>
  <c r="W15" i="54"/>
  <c r="W13" i="54"/>
  <c r="D9" i="47"/>
  <c r="E9" i="47" s="1"/>
  <c r="V15" i="54"/>
  <c r="S364" i="19"/>
  <c r="Z364" i="19"/>
  <c r="V359" i="19"/>
  <c r="T364" i="19"/>
  <c r="R364" i="19"/>
  <c r="V364" i="19"/>
  <c r="Y364" i="19"/>
  <c r="X364" i="19"/>
  <c r="Q364" i="19"/>
  <c r="P364" i="19"/>
  <c r="W364" i="19"/>
  <c r="U359" i="19"/>
  <c r="O364" i="19"/>
  <c r="U364" i="19"/>
  <c r="O361" i="19"/>
  <c r="X361" i="19"/>
  <c r="T359" i="19"/>
  <c r="Z360" i="19"/>
  <c r="Y359" i="19"/>
  <c r="Y361" i="19"/>
  <c r="Y360" i="19"/>
  <c r="Q361" i="19"/>
  <c r="W359" i="19"/>
  <c r="U361" i="19"/>
  <c r="R359" i="19"/>
  <c r="Z359" i="19"/>
  <c r="Q359" i="19"/>
  <c r="S359" i="19"/>
  <c r="Q360" i="19"/>
  <c r="R361" i="19"/>
  <c r="P359" i="19"/>
  <c r="X359" i="19"/>
  <c r="X360" i="19"/>
  <c r="R360" i="19"/>
  <c r="P360" i="19"/>
  <c r="O359" i="19"/>
  <c r="P361" i="19"/>
  <c r="Z361" i="19"/>
  <c r="O360" i="19"/>
  <c r="V361" i="19"/>
  <c r="S360" i="19"/>
  <c r="W360" i="19"/>
  <c r="W361" i="19"/>
  <c r="T361" i="19"/>
  <c r="U360" i="19"/>
  <c r="S361" i="19"/>
  <c r="T360" i="19"/>
  <c r="V360" i="19"/>
  <c r="C27" i="23"/>
  <c r="C7" i="18"/>
  <c r="K360" i="19"/>
  <c r="I92" i="19"/>
  <c r="J92" i="19" s="1"/>
  <c r="I94" i="19"/>
  <c r="J94" i="19" s="1"/>
  <c r="I91" i="19"/>
  <c r="J91" i="19" s="1"/>
  <c r="I93" i="19"/>
  <c r="J93" i="19" s="1"/>
  <c r="L4" i="21"/>
  <c r="J4" i="21"/>
  <c r="I90" i="19"/>
  <c r="I364" i="19"/>
  <c r="H19" i="19"/>
  <c r="G21" i="19"/>
  <c r="K5" i="20"/>
  <c r="G22" i="19"/>
  <c r="G24" i="19" s="1"/>
  <c r="H13" i="21"/>
  <c r="H14" i="21" s="1"/>
  <c r="J7" i="22"/>
  <c r="K7" i="22" s="1"/>
  <c r="H4" i="21"/>
  <c r="J27" i="19"/>
  <c r="J29" i="19" s="1"/>
  <c r="J26" i="19"/>
  <c r="J28" i="19" s="1"/>
  <c r="H21" i="19"/>
  <c r="G3" i="19"/>
  <c r="H3" i="19"/>
  <c r="J31" i="19"/>
  <c r="J33" i="19" s="1"/>
  <c r="G27" i="19"/>
  <c r="G29" i="19" s="1"/>
  <c r="N26" i="19"/>
  <c r="N28" i="19" s="1"/>
  <c r="I23" i="19"/>
  <c r="I25" i="19" s="1"/>
  <c r="G26" i="19"/>
  <c r="G28" i="19" s="1"/>
  <c r="K364" i="19"/>
  <c r="J364" i="19"/>
  <c r="G364" i="19"/>
  <c r="N364" i="19"/>
  <c r="L364" i="19"/>
  <c r="M364" i="19"/>
  <c r="H364" i="19"/>
  <c r="M26" i="19"/>
  <c r="M28" i="19" s="1"/>
  <c r="G23" i="19"/>
  <c r="G25" i="19" s="1"/>
  <c r="H23" i="19"/>
  <c r="H25" i="19" s="1"/>
  <c r="H22" i="19"/>
  <c r="H24" i="19" s="1"/>
  <c r="I26" i="19"/>
  <c r="I28" i="19" s="1"/>
  <c r="I30" i="19"/>
  <c r="I32" i="19" s="1"/>
  <c r="J5" i="20"/>
  <c r="G5" i="20"/>
  <c r="H5" i="20"/>
  <c r="J13" i="21"/>
  <c r="J14" i="21" s="1"/>
  <c r="I5" i="20"/>
  <c r="L13" i="21"/>
  <c r="L14" i="21" s="1"/>
  <c r="K4" i="21"/>
  <c r="K13" i="21"/>
  <c r="K14" i="21" s="1"/>
  <c r="M4" i="21"/>
  <c r="M13" i="21"/>
  <c r="M14" i="21" s="1"/>
  <c r="N4" i="21"/>
  <c r="N13" i="21"/>
  <c r="N14" i="21" s="1"/>
  <c r="G4" i="21"/>
  <c r="G13" i="21"/>
  <c r="G14" i="21" s="1"/>
  <c r="I4" i="21"/>
  <c r="I13" i="21"/>
  <c r="I14" i="21" s="1"/>
  <c r="X22" i="54" l="1"/>
  <c r="X23" i="54"/>
  <c r="V20" i="59"/>
  <c r="C7" i="49"/>
  <c r="C9" i="49"/>
  <c r="C16" i="49"/>
  <c r="C8" i="49"/>
  <c r="I21" i="51"/>
  <c r="V21" i="59"/>
  <c r="W20" i="59"/>
  <c r="W20" i="58" s="1"/>
  <c r="C23" i="59"/>
  <c r="D23" i="59" s="1"/>
  <c r="E23" i="59" s="1"/>
  <c r="X23" i="58"/>
  <c r="W19" i="58"/>
  <c r="V19" i="58"/>
  <c r="V17" i="59"/>
  <c r="X15" i="54"/>
  <c r="C15" i="54" s="1"/>
  <c r="D15" i="54" s="1"/>
  <c r="E15" i="54" s="1"/>
  <c r="V21" i="50"/>
  <c r="V16" i="60"/>
  <c r="W17" i="59"/>
  <c r="V18" i="59"/>
  <c r="V18" i="60"/>
  <c r="V16" i="59"/>
  <c r="X19" i="59"/>
  <c r="C19" i="59" s="1"/>
  <c r="D19" i="59" s="1"/>
  <c r="E19" i="59" s="1"/>
  <c r="V20" i="60"/>
  <c r="W16" i="59"/>
  <c r="X27" i="60"/>
  <c r="W16" i="60"/>
  <c r="X26" i="59"/>
  <c r="W17" i="60"/>
  <c r="W21" i="59"/>
  <c r="V17" i="60"/>
  <c r="W18" i="60"/>
  <c r="X26" i="60"/>
  <c r="X27" i="59"/>
  <c r="X19" i="60"/>
  <c r="C19" i="60" s="1"/>
  <c r="D19" i="60" s="1"/>
  <c r="E19" i="60" s="1"/>
  <c r="W21" i="60"/>
  <c r="W18" i="59"/>
  <c r="I24" i="58"/>
  <c r="J24" i="58"/>
  <c r="K24" i="58" s="1"/>
  <c r="V21" i="60"/>
  <c r="B29" i="58"/>
  <c r="C16" i="54"/>
  <c r="D16" i="54" s="1"/>
  <c r="E16" i="54" s="1"/>
  <c r="I30" i="54"/>
  <c r="J30" i="54"/>
  <c r="K30" i="54" s="1"/>
  <c r="J25" i="54"/>
  <c r="K25" i="54" s="1"/>
  <c r="I25" i="54"/>
  <c r="C9" i="54"/>
  <c r="D9" i="54" s="1"/>
  <c r="E9" i="54" s="1"/>
  <c r="C28" i="54"/>
  <c r="D28" i="54" s="1"/>
  <c r="E28" i="54" s="1"/>
  <c r="C6" i="54"/>
  <c r="D6" i="54" s="1"/>
  <c r="E6" i="54" s="1"/>
  <c r="C7" i="54"/>
  <c r="D7" i="54" s="1"/>
  <c r="E7" i="54" s="1"/>
  <c r="X13" i="54"/>
  <c r="V17" i="54"/>
  <c r="C8" i="54"/>
  <c r="D8" i="54" s="1"/>
  <c r="E8" i="54" s="1"/>
  <c r="I30" i="51"/>
  <c r="J30" i="51"/>
  <c r="K30" i="51" s="1"/>
  <c r="J26" i="51"/>
  <c r="K26" i="51" s="1"/>
  <c r="I26" i="51"/>
  <c r="J25" i="51"/>
  <c r="K25" i="51" s="1"/>
  <c r="I25" i="51"/>
  <c r="J20" i="51"/>
  <c r="K20" i="51" s="1"/>
  <c r="I20" i="51"/>
  <c r="X23" i="51"/>
  <c r="X22" i="51"/>
  <c r="W19" i="51"/>
  <c r="X18" i="51"/>
  <c r="C18" i="51" s="1"/>
  <c r="D18" i="51" s="1"/>
  <c r="E18" i="51" s="1"/>
  <c r="W15" i="51"/>
  <c r="X14" i="51"/>
  <c r="C14" i="51" s="1"/>
  <c r="D14" i="51" s="1"/>
  <c r="E14" i="51" s="1"/>
  <c r="W13" i="51"/>
  <c r="V19" i="51"/>
  <c r="V15" i="51"/>
  <c r="V13" i="51"/>
  <c r="X23" i="50"/>
  <c r="C23" i="50" s="1"/>
  <c r="W17" i="50"/>
  <c r="X27" i="50"/>
  <c r="X26" i="50"/>
  <c r="V16" i="50"/>
  <c r="W16" i="50"/>
  <c r="W21" i="50"/>
  <c r="V17" i="50"/>
  <c r="V20" i="50"/>
  <c r="V18" i="50"/>
  <c r="C10" i="47"/>
  <c r="D10" i="47" s="1"/>
  <c r="E10" i="47" s="1"/>
  <c r="C19" i="47"/>
  <c r="D19" i="47" s="1"/>
  <c r="E19" i="47" s="1"/>
  <c r="C16" i="47"/>
  <c r="D16" i="47" s="1"/>
  <c r="E16" i="47" s="1"/>
  <c r="C13" i="47"/>
  <c r="D13" i="47" s="1"/>
  <c r="E13" i="47" s="1"/>
  <c r="C18" i="47"/>
  <c r="D18" i="47" s="1"/>
  <c r="E18" i="47" s="1"/>
  <c r="C17" i="47"/>
  <c r="D17" i="47" s="1"/>
  <c r="E17" i="47" s="1"/>
  <c r="C14" i="47"/>
  <c r="D14" i="47" s="1"/>
  <c r="E14" i="47" s="1"/>
  <c r="C8" i="47"/>
  <c r="D8" i="47" s="1"/>
  <c r="E8" i="47" s="1"/>
  <c r="B8" i="53"/>
  <c r="H37" i="19"/>
  <c r="H35" i="19"/>
  <c r="G41" i="19"/>
  <c r="G39" i="19"/>
  <c r="G11" i="19"/>
  <c r="G9" i="19"/>
  <c r="G7" i="19"/>
  <c r="H41" i="19"/>
  <c r="H11" i="19"/>
  <c r="H9" i="19"/>
  <c r="H39" i="19"/>
  <c r="H7" i="19"/>
  <c r="G35" i="19"/>
  <c r="G37" i="19"/>
  <c r="C20" i="24"/>
  <c r="C9" i="22"/>
  <c r="D21" i="42"/>
  <c r="X23" i="34"/>
  <c r="X23" i="33"/>
  <c r="C21" i="24"/>
  <c r="C9" i="18"/>
  <c r="X23" i="31"/>
  <c r="C21" i="26"/>
  <c r="C20" i="26"/>
  <c r="X23" i="32"/>
  <c r="R22" i="20" a="1"/>
  <c r="R22" i="20" s="1"/>
  <c r="Y22" i="20" a="1"/>
  <c r="Y22" i="20" s="1"/>
  <c r="U22" i="20" a="1"/>
  <c r="U22" i="20" s="1"/>
  <c r="Z22" i="20" a="1"/>
  <c r="Z22" i="20" s="1"/>
  <c r="T22" i="20" a="1"/>
  <c r="T22" i="20" s="1"/>
  <c r="P22" i="20" a="1"/>
  <c r="P22" i="20" s="1"/>
  <c r="V22" i="20" a="1"/>
  <c r="V22" i="20" s="1"/>
  <c r="S22" i="20" a="1"/>
  <c r="S22" i="20" s="1"/>
  <c r="O22" i="20" a="1"/>
  <c r="O22" i="20" s="1"/>
  <c r="W22" i="20" a="1"/>
  <c r="W22" i="20" s="1"/>
  <c r="Q22" i="20" a="1"/>
  <c r="Q22" i="20" s="1"/>
  <c r="X22" i="20" a="1"/>
  <c r="X22" i="20" s="1"/>
  <c r="V28" i="20" a="1"/>
  <c r="V28" i="20" s="1"/>
  <c r="P28" i="20" a="1"/>
  <c r="P28" i="20" s="1"/>
  <c r="X28" i="20" a="1"/>
  <c r="X28" i="20" s="1"/>
  <c r="W28" i="20" a="1"/>
  <c r="W28" i="20" s="1"/>
  <c r="U28" i="20" a="1"/>
  <c r="U28" i="20" s="1"/>
  <c r="Y28" i="20" a="1"/>
  <c r="Y28" i="20" s="1"/>
  <c r="Q28" i="20" a="1"/>
  <c r="Q28" i="20" s="1"/>
  <c r="T28" i="20" a="1"/>
  <c r="T28" i="20" s="1"/>
  <c r="R28" i="20" a="1"/>
  <c r="R28" i="20" s="1"/>
  <c r="Z28" i="20" a="1"/>
  <c r="Z28" i="20" s="1"/>
  <c r="O28" i="20" a="1"/>
  <c r="O28" i="20" s="1"/>
  <c r="S28" i="20" a="1"/>
  <c r="S28" i="20" s="1"/>
  <c r="R10" i="20" a="1"/>
  <c r="R10" i="20" s="1"/>
  <c r="V10" i="20" a="1"/>
  <c r="V10" i="20" s="1"/>
  <c r="Q10" i="20" a="1"/>
  <c r="Q10" i="20" s="1"/>
  <c r="S10" i="20" a="1"/>
  <c r="S10" i="20" s="1"/>
  <c r="T10" i="20" a="1"/>
  <c r="T10" i="20" s="1"/>
  <c r="X10" i="20" a="1"/>
  <c r="X10" i="20" s="1"/>
  <c r="Z10" i="20" a="1"/>
  <c r="Z10" i="20" s="1"/>
  <c r="P10" i="20" a="1"/>
  <c r="P10" i="20" s="1"/>
  <c r="Y10" i="20" a="1"/>
  <c r="Y10" i="20" s="1"/>
  <c r="W10" i="20" a="1"/>
  <c r="W10" i="20" s="1"/>
  <c r="U10" i="20" a="1"/>
  <c r="U10" i="20" s="1"/>
  <c r="O10" i="20" a="1"/>
  <c r="O10" i="20" s="1"/>
  <c r="X16" i="20" a="1"/>
  <c r="X16" i="20" s="1"/>
  <c r="P16" i="20" a="1"/>
  <c r="P16" i="20" s="1"/>
  <c r="R16" i="20" a="1"/>
  <c r="R16" i="20" s="1"/>
  <c r="Z16" i="20" a="1"/>
  <c r="Z16" i="20" s="1"/>
  <c r="S16" i="20" a="1"/>
  <c r="S16" i="20" s="1"/>
  <c r="Y16" i="20" a="1"/>
  <c r="Y16" i="20" s="1"/>
  <c r="O16" i="20" a="1"/>
  <c r="O16" i="20" s="1"/>
  <c r="Q16" i="20" a="1"/>
  <c r="Q16" i="20" s="1"/>
  <c r="T16" i="20" a="1"/>
  <c r="T16" i="20" s="1"/>
  <c r="W16" i="20" a="1"/>
  <c r="W16" i="20" s="1"/>
  <c r="V16" i="20" a="1"/>
  <c r="V16" i="20" s="1"/>
  <c r="U16" i="20" a="1"/>
  <c r="U16" i="20" s="1"/>
  <c r="C17" i="22"/>
  <c r="C8" i="18"/>
  <c r="C13" i="22"/>
  <c r="C17" i="18"/>
  <c r="C8" i="22"/>
  <c r="C19" i="22"/>
  <c r="C14" i="22"/>
  <c r="C18" i="22"/>
  <c r="C16" i="22"/>
  <c r="C13" i="18"/>
  <c r="C18" i="18"/>
  <c r="C19" i="18"/>
  <c r="C14" i="18"/>
  <c r="C10" i="18"/>
  <c r="C16" i="18"/>
  <c r="H31" i="19"/>
  <c r="H33" i="19" s="1"/>
  <c r="G31" i="19"/>
  <c r="G33" i="19" s="1"/>
  <c r="H27" i="19"/>
  <c r="H29" i="19" s="1"/>
  <c r="AE36" i="20"/>
  <c r="AE40" i="20"/>
  <c r="AE38" i="20"/>
  <c r="AE14" i="20"/>
  <c r="AE39" i="20"/>
  <c r="AE37" i="20"/>
  <c r="AE11" i="20"/>
  <c r="AE12" i="20"/>
  <c r="AE62" i="20"/>
  <c r="AE13" i="20"/>
  <c r="I10" i="20" a="1"/>
  <c r="I10" i="20" s="1"/>
  <c r="G10" i="20" a="1"/>
  <c r="G10" i="20" s="1"/>
  <c r="J10" i="20" a="1"/>
  <c r="J10" i="20" s="1"/>
  <c r="K10" i="20" a="1"/>
  <c r="K10" i="20" s="1"/>
  <c r="L10" i="20" a="1"/>
  <c r="L10" i="20" s="1"/>
  <c r="H10" i="20" a="1"/>
  <c r="H10" i="20" s="1"/>
  <c r="M10" i="20" a="1"/>
  <c r="M10" i="20" s="1"/>
  <c r="N10" i="20" a="1"/>
  <c r="N10" i="20" s="1"/>
  <c r="AE44" i="20"/>
  <c r="AE20" i="20"/>
  <c r="AE17" i="20"/>
  <c r="AE46" i="20"/>
  <c r="AE43" i="20"/>
  <c r="AE19" i="20"/>
  <c r="AE18" i="20"/>
  <c r="AE42" i="20"/>
  <c r="AE45" i="20"/>
  <c r="AE63" i="20"/>
  <c r="J16" i="20" a="1"/>
  <c r="J16" i="20" s="1"/>
  <c r="M16" i="20" a="1"/>
  <c r="M16" i="20" s="1"/>
  <c r="K16" i="20" a="1"/>
  <c r="K16" i="20" s="1"/>
  <c r="G16" i="20" a="1"/>
  <c r="G16" i="20" s="1"/>
  <c r="I16" i="20" a="1"/>
  <c r="I16" i="20" s="1"/>
  <c r="L16" i="20" a="1"/>
  <c r="L16" i="20" s="1"/>
  <c r="H16" i="20" a="1"/>
  <c r="H16" i="20" s="1"/>
  <c r="N16" i="20" a="1"/>
  <c r="N16" i="20" s="1"/>
  <c r="AE26" i="20"/>
  <c r="AE24" i="20"/>
  <c r="AE25" i="20"/>
  <c r="AE52" i="20"/>
  <c r="AE48" i="20"/>
  <c r="AE50" i="20"/>
  <c r="AE49" i="20"/>
  <c r="AE51" i="20"/>
  <c r="AE64" i="20"/>
  <c r="AE23" i="20"/>
  <c r="L22" i="20" a="1"/>
  <c r="L22" i="20" s="1"/>
  <c r="M22" i="20" a="1"/>
  <c r="M22" i="20" s="1"/>
  <c r="N22" i="20" a="1"/>
  <c r="N22" i="20" s="1"/>
  <c r="H22" i="20" a="1"/>
  <c r="H22" i="20" s="1"/>
  <c r="I22" i="20" a="1"/>
  <c r="I22" i="20" s="1"/>
  <c r="G22" i="20" a="1"/>
  <c r="G22" i="20" s="1"/>
  <c r="J22" i="20" a="1"/>
  <c r="J22" i="20" s="1"/>
  <c r="K22" i="20" a="1"/>
  <c r="K22" i="20" s="1"/>
  <c r="AE58" i="20"/>
  <c r="AE56" i="20"/>
  <c r="AE57" i="20"/>
  <c r="AE65" i="20"/>
  <c r="AE55" i="20"/>
  <c r="AE54" i="20"/>
  <c r="AE29" i="20"/>
  <c r="AE32" i="20"/>
  <c r="AE30" i="20"/>
  <c r="AE31" i="20"/>
  <c r="H28" i="20" a="1"/>
  <c r="H28" i="20" s="1"/>
  <c r="I28" i="20" a="1"/>
  <c r="I28" i="20" s="1"/>
  <c r="J28" i="20" a="1"/>
  <c r="J28" i="20" s="1"/>
  <c r="N28" i="20" a="1"/>
  <c r="N28" i="20" s="1"/>
  <c r="K28" i="20" a="1"/>
  <c r="K28" i="20" s="1"/>
  <c r="L28" i="20" a="1"/>
  <c r="L28" i="20" s="1"/>
  <c r="G28" i="20" a="1"/>
  <c r="G28" i="20" s="1"/>
  <c r="M28" i="20" a="1"/>
  <c r="M28" i="20" s="1"/>
  <c r="H4" i="20"/>
  <c r="H7" i="20"/>
  <c r="N4" i="20"/>
  <c r="N7" i="20"/>
  <c r="M4" i="20"/>
  <c r="M7" i="20"/>
  <c r="L7" i="20"/>
  <c r="I4" i="20"/>
  <c r="I7" i="20"/>
  <c r="G4" i="20"/>
  <c r="G7" i="20"/>
  <c r="J4" i="20"/>
  <c r="J7" i="20"/>
  <c r="K4" i="20"/>
  <c r="K7" i="20"/>
  <c r="K93" i="19"/>
  <c r="L93" i="19" s="1"/>
  <c r="K94" i="19"/>
  <c r="L94" i="19" s="1"/>
  <c r="K91" i="19"/>
  <c r="L91" i="19" s="1"/>
  <c r="K92" i="19"/>
  <c r="M6" i="21"/>
  <c r="G6" i="21"/>
  <c r="H6" i="21"/>
  <c r="K6" i="21"/>
  <c r="J6" i="21"/>
  <c r="I6" i="21"/>
  <c r="N6" i="21"/>
  <c r="L6" i="21"/>
  <c r="J90" i="19"/>
  <c r="K90" i="19" s="1"/>
  <c r="C33" i="30"/>
  <c r="AA364" i="19"/>
  <c r="I360" i="19"/>
  <c r="M27" i="19"/>
  <c r="M29" i="19" s="1"/>
  <c r="L27" i="19"/>
  <c r="L29" i="19" s="1"/>
  <c r="N27" i="19"/>
  <c r="N29" i="19" s="1"/>
  <c r="C27" i="51" l="1"/>
  <c r="S56" i="19"/>
  <c r="Y46" i="19"/>
  <c r="R46" i="19"/>
  <c r="U76" i="19"/>
  <c r="O66" i="19"/>
  <c r="R66" i="19"/>
  <c r="O56" i="19"/>
  <c r="U46" i="19"/>
  <c r="Q46" i="19"/>
  <c r="Q76" i="19"/>
  <c r="Q66" i="19"/>
  <c r="U66" i="19"/>
  <c r="U56" i="19"/>
  <c r="Z56" i="19"/>
  <c r="P46" i="19"/>
  <c r="S76" i="19"/>
  <c r="W76" i="19"/>
  <c r="S66" i="19"/>
  <c r="V56" i="19"/>
  <c r="R56" i="19"/>
  <c r="Z46" i="19"/>
  <c r="O76" i="19"/>
  <c r="X76" i="19"/>
  <c r="N420" i="1" s="1"/>
  <c r="V66" i="19"/>
  <c r="P56" i="19"/>
  <c r="Z76" i="19"/>
  <c r="P66" i="19"/>
  <c r="Y56" i="19"/>
  <c r="W46" i="19"/>
  <c r="V46" i="19"/>
  <c r="Y76" i="19"/>
  <c r="W66" i="19"/>
  <c r="Y66" i="19"/>
  <c r="W56" i="19"/>
  <c r="X46" i="19"/>
  <c r="N419" i="1" s="1"/>
  <c r="P76" i="19"/>
  <c r="T56" i="19"/>
  <c r="X56" i="19"/>
  <c r="N423" i="1" s="1"/>
  <c r="T46" i="19"/>
  <c r="R76" i="19"/>
  <c r="V76" i="19"/>
  <c r="T66" i="19"/>
  <c r="Q56" i="19"/>
  <c r="O46" i="19"/>
  <c r="S46" i="19"/>
  <c r="T76" i="19"/>
  <c r="X66" i="19"/>
  <c r="N421" i="1" s="1"/>
  <c r="Z66" i="19"/>
  <c r="V20" i="58"/>
  <c r="X20" i="58" s="1"/>
  <c r="C20" i="58" s="1"/>
  <c r="D20" i="58" s="1"/>
  <c r="E20" i="58" s="1"/>
  <c r="X17" i="54"/>
  <c r="E21" i="42"/>
  <c r="V21" i="58"/>
  <c r="X21" i="50"/>
  <c r="C21" i="50" s="1"/>
  <c r="D21" i="50" s="1"/>
  <c r="E21" i="50" s="1"/>
  <c r="W16" i="58"/>
  <c r="X20" i="59"/>
  <c r="C20" i="59" s="1"/>
  <c r="D20" i="59" s="1"/>
  <c r="E20" i="59" s="1"/>
  <c r="X21" i="59"/>
  <c r="C21" i="59" s="1"/>
  <c r="D21" i="59" s="1"/>
  <c r="E21" i="59" s="1"/>
  <c r="W21" i="58"/>
  <c r="V17" i="58"/>
  <c r="X18" i="59"/>
  <c r="C18" i="59" s="1"/>
  <c r="D18" i="59" s="1"/>
  <c r="E18" i="59" s="1"/>
  <c r="W18" i="58"/>
  <c r="V16" i="58"/>
  <c r="X19" i="58"/>
  <c r="C19" i="58" s="1"/>
  <c r="D19" i="58" s="1"/>
  <c r="E19" i="58" s="1"/>
  <c r="X26" i="58"/>
  <c r="V18" i="58"/>
  <c r="X27" i="58"/>
  <c r="W17" i="58"/>
  <c r="X17" i="59"/>
  <c r="C17" i="59" s="1"/>
  <c r="D17" i="59" s="1"/>
  <c r="E17" i="59" s="1"/>
  <c r="C23" i="58"/>
  <c r="X21" i="60"/>
  <c r="C21" i="60" s="1"/>
  <c r="D21" i="60" s="1"/>
  <c r="E21" i="60" s="1"/>
  <c r="X16" i="59"/>
  <c r="V22" i="59"/>
  <c r="C6" i="59" s="1"/>
  <c r="W22" i="60"/>
  <c r="C15" i="60" s="1"/>
  <c r="D15" i="60" s="1"/>
  <c r="E15" i="60" s="1"/>
  <c r="X18" i="60"/>
  <c r="C18" i="60" s="1"/>
  <c r="D18" i="60" s="1"/>
  <c r="E18" i="60" s="1"/>
  <c r="X17" i="60"/>
  <c r="C17" i="60" s="1"/>
  <c r="D17" i="60" s="1"/>
  <c r="E17" i="60" s="1"/>
  <c r="W22" i="59"/>
  <c r="C15" i="59" s="1"/>
  <c r="D15" i="59" s="1"/>
  <c r="E15" i="59" s="1"/>
  <c r="X16" i="60"/>
  <c r="J25" i="58"/>
  <c r="K25" i="58" s="1"/>
  <c r="I25" i="58"/>
  <c r="X20" i="60"/>
  <c r="C20" i="60" s="1"/>
  <c r="D20" i="60" s="1"/>
  <c r="E20" i="60" s="1"/>
  <c r="V22" i="60"/>
  <c r="C12" i="54"/>
  <c r="V21" i="54"/>
  <c r="C13" i="54"/>
  <c r="D13" i="54" s="1"/>
  <c r="E13" i="54" s="1"/>
  <c r="Y15" i="54"/>
  <c r="X19" i="51"/>
  <c r="C19" i="51" s="1"/>
  <c r="D19" i="51" s="1"/>
  <c r="E19" i="51" s="1"/>
  <c r="X15" i="51"/>
  <c r="C15" i="51" s="1"/>
  <c r="D15" i="51" s="1"/>
  <c r="E15" i="51" s="1"/>
  <c r="C16" i="51"/>
  <c r="D16" i="51" s="1"/>
  <c r="E16" i="51" s="1"/>
  <c r="V17" i="51"/>
  <c r="V21" i="51" s="1"/>
  <c r="X17" i="50"/>
  <c r="C17" i="50" s="1"/>
  <c r="D17" i="50" s="1"/>
  <c r="E17" i="50" s="1"/>
  <c r="C9" i="51"/>
  <c r="D9" i="51" s="1"/>
  <c r="E9" i="51" s="1"/>
  <c r="C8" i="51"/>
  <c r="D8" i="51" s="1"/>
  <c r="E8" i="51" s="1"/>
  <c r="C6" i="51"/>
  <c r="D6" i="51" s="1"/>
  <c r="E6" i="51" s="1"/>
  <c r="C7" i="51"/>
  <c r="D7" i="51" s="1"/>
  <c r="E7" i="51" s="1"/>
  <c r="C28" i="51"/>
  <c r="D28" i="51" s="1"/>
  <c r="E28" i="51" s="1"/>
  <c r="X13" i="51"/>
  <c r="X16" i="50"/>
  <c r="C16" i="50" s="1"/>
  <c r="D16" i="50" s="1"/>
  <c r="E16" i="50" s="1"/>
  <c r="V22" i="50"/>
  <c r="C6" i="50" s="1"/>
  <c r="X23" i="30"/>
  <c r="C23" i="30" s="1"/>
  <c r="C21" i="25"/>
  <c r="C20" i="25"/>
  <c r="C20" i="47"/>
  <c r="D20" i="47" s="1"/>
  <c r="E20" i="47" s="1"/>
  <c r="C15" i="47"/>
  <c r="D15" i="47" s="1"/>
  <c r="E15" i="47" s="1"/>
  <c r="C13" i="23"/>
  <c r="C19" i="23"/>
  <c r="C14" i="23"/>
  <c r="C16" i="23"/>
  <c r="C17" i="23"/>
  <c r="C18" i="23"/>
  <c r="C9" i="23"/>
  <c r="C8" i="23"/>
  <c r="C11" i="47"/>
  <c r="C12" i="47" s="1"/>
  <c r="D23" i="50"/>
  <c r="E23" i="50" s="1"/>
  <c r="W54" i="20" a="1"/>
  <c r="W54" i="20" s="1"/>
  <c r="O54" i="20" a="1"/>
  <c r="O54" i="20" s="1"/>
  <c r="R54" i="20" a="1"/>
  <c r="R54" i="20" s="1"/>
  <c r="X54" i="20" a="1"/>
  <c r="X54" i="20" s="1"/>
  <c r="T54" i="20" a="1"/>
  <c r="T54" i="20" s="1"/>
  <c r="Z54" i="20" a="1"/>
  <c r="Z54" i="20" s="1"/>
  <c r="U54" i="20" a="1"/>
  <c r="U54" i="20" s="1"/>
  <c r="V54" i="20" a="1"/>
  <c r="V54" i="20" s="1"/>
  <c r="S54" i="20" a="1"/>
  <c r="S54" i="20" s="1"/>
  <c r="Q54" i="20" a="1"/>
  <c r="Q54" i="20" s="1"/>
  <c r="Y54" i="20" a="1"/>
  <c r="Y54" i="20" s="1"/>
  <c r="P54" i="20" a="1"/>
  <c r="P54" i="20" s="1"/>
  <c r="W51" i="20" a="1"/>
  <c r="W51" i="20" s="1"/>
  <c r="O51" i="20" a="1"/>
  <c r="O51" i="20" s="1"/>
  <c r="U51" i="20" a="1"/>
  <c r="U51" i="20" s="1"/>
  <c r="R51" i="20" a="1"/>
  <c r="R51" i="20" s="1"/>
  <c r="Q51" i="20" a="1"/>
  <c r="Q51" i="20" s="1"/>
  <c r="X51" i="20" a="1"/>
  <c r="X51" i="20" s="1"/>
  <c r="Z51" i="20" a="1"/>
  <c r="Z51" i="20" s="1"/>
  <c r="S51" i="20" a="1"/>
  <c r="S51" i="20" s="1"/>
  <c r="P51" i="20" a="1"/>
  <c r="P51" i="20" s="1"/>
  <c r="T51" i="20" a="1"/>
  <c r="T51" i="20" s="1"/>
  <c r="V51" i="20" a="1"/>
  <c r="V51" i="20" s="1"/>
  <c r="Y51" i="20" a="1"/>
  <c r="Y51" i="20" s="1"/>
  <c r="O63" i="20" a="1"/>
  <c r="O63" i="20" s="1"/>
  <c r="U63" i="20" a="1"/>
  <c r="U63" i="20" s="1"/>
  <c r="V63" i="20" a="1"/>
  <c r="V63" i="20" s="1"/>
  <c r="Z63" i="20" a="1"/>
  <c r="Z63" i="20" s="1"/>
  <c r="P63" i="20" a="1"/>
  <c r="P63" i="20" s="1"/>
  <c r="W63" i="20" a="1"/>
  <c r="W63" i="20" s="1"/>
  <c r="T63" i="20" a="1"/>
  <c r="T63" i="20" s="1"/>
  <c r="R63" i="20" a="1"/>
  <c r="R63" i="20" s="1"/>
  <c r="X63" i="20" a="1"/>
  <c r="X63" i="20" s="1"/>
  <c r="Q63" i="20" a="1"/>
  <c r="Q63" i="20" s="1"/>
  <c r="Y63" i="20" a="1"/>
  <c r="Y63" i="20" s="1"/>
  <c r="S63" i="20" a="1"/>
  <c r="S63" i="20" s="1"/>
  <c r="U20" i="20" a="1"/>
  <c r="U20" i="20" s="1"/>
  <c r="O20" i="20" a="1"/>
  <c r="O20" i="20" s="1"/>
  <c r="V20" i="20" a="1"/>
  <c r="V20" i="20" s="1"/>
  <c r="S20" i="20" a="1"/>
  <c r="S20" i="20" s="1"/>
  <c r="W20" i="20" a="1"/>
  <c r="W20" i="20" s="1"/>
  <c r="T20" i="20" a="1"/>
  <c r="T20" i="20" s="1"/>
  <c r="X20" i="20" a="1"/>
  <c r="X20" i="20" s="1"/>
  <c r="P20" i="20" a="1"/>
  <c r="P20" i="20" s="1"/>
  <c r="Q20" i="20" a="1"/>
  <c r="Q20" i="20" s="1"/>
  <c r="Z20" i="20" a="1"/>
  <c r="Z20" i="20" s="1"/>
  <c r="R20" i="20" a="1"/>
  <c r="R20" i="20" s="1"/>
  <c r="Y20" i="20" a="1"/>
  <c r="Y20" i="20" s="1"/>
  <c r="W14" i="20" a="1"/>
  <c r="W14" i="20" s="1"/>
  <c r="U14" i="20" a="1"/>
  <c r="U14" i="20" s="1"/>
  <c r="Z14" i="20" a="1"/>
  <c r="Z14" i="20" s="1"/>
  <c r="X14" i="20" a="1"/>
  <c r="X14" i="20" s="1"/>
  <c r="O14" i="20" a="1"/>
  <c r="O14" i="20" s="1"/>
  <c r="Q14" i="20" a="1"/>
  <c r="Q14" i="20" s="1"/>
  <c r="R14" i="20" a="1"/>
  <c r="R14" i="20" s="1"/>
  <c r="P14" i="20" a="1"/>
  <c r="P14" i="20" s="1"/>
  <c r="Y14" i="20" a="1"/>
  <c r="Y14" i="20" s="1"/>
  <c r="S14" i="20" a="1"/>
  <c r="S14" i="20" s="1"/>
  <c r="T14" i="20" a="1"/>
  <c r="T14" i="20" s="1"/>
  <c r="V14" i="20" a="1"/>
  <c r="V14" i="20" s="1"/>
  <c r="Z55" i="20" a="1"/>
  <c r="Z55" i="20" s="1"/>
  <c r="R55" i="20" a="1"/>
  <c r="R55" i="20" s="1"/>
  <c r="X55" i="20" a="1"/>
  <c r="X55" i="20" s="1"/>
  <c r="P55" i="20" a="1"/>
  <c r="P55" i="20" s="1"/>
  <c r="V55" i="20" a="1"/>
  <c r="V55" i="20" s="1"/>
  <c r="U55" i="20" a="1"/>
  <c r="U55" i="20" s="1"/>
  <c r="W55" i="20" a="1"/>
  <c r="W55" i="20" s="1"/>
  <c r="O55" i="20" a="1"/>
  <c r="O55" i="20" s="1"/>
  <c r="Q55" i="20" a="1"/>
  <c r="Q55" i="20" s="1"/>
  <c r="Y55" i="20" a="1"/>
  <c r="Y55" i="20" s="1"/>
  <c r="T55" i="20" a="1"/>
  <c r="T55" i="20" s="1"/>
  <c r="S55" i="20" a="1"/>
  <c r="S55" i="20" s="1"/>
  <c r="W49" i="20" a="1"/>
  <c r="W49" i="20" s="1"/>
  <c r="O49" i="20" a="1"/>
  <c r="O49" i="20" s="1"/>
  <c r="X49" i="20" a="1"/>
  <c r="X49" i="20" s="1"/>
  <c r="Z49" i="20" a="1"/>
  <c r="Z49" i="20" s="1"/>
  <c r="R49" i="20" a="1"/>
  <c r="R49" i="20" s="1"/>
  <c r="Q49" i="20" a="1"/>
  <c r="Q49" i="20" s="1"/>
  <c r="U49" i="20" a="1"/>
  <c r="U49" i="20" s="1"/>
  <c r="P49" i="20" a="1"/>
  <c r="P49" i="20" s="1"/>
  <c r="S49" i="20" a="1"/>
  <c r="S49" i="20" s="1"/>
  <c r="Y49" i="20" a="1"/>
  <c r="Y49" i="20" s="1"/>
  <c r="T49" i="20" a="1"/>
  <c r="T49" i="20" s="1"/>
  <c r="V49" i="20" a="1"/>
  <c r="V49" i="20" s="1"/>
  <c r="Z45" i="20" a="1"/>
  <c r="Z45" i="20" s="1"/>
  <c r="R45" i="20" a="1"/>
  <c r="R45" i="20" s="1"/>
  <c r="O45" i="20" a="1"/>
  <c r="O45" i="20" s="1"/>
  <c r="X45" i="20" a="1"/>
  <c r="X45" i="20" s="1"/>
  <c r="P45" i="20" a="1"/>
  <c r="P45" i="20" s="1"/>
  <c r="V45" i="20" a="1"/>
  <c r="V45" i="20" s="1"/>
  <c r="U45" i="20" a="1"/>
  <c r="U45" i="20" s="1"/>
  <c r="W45" i="20" a="1"/>
  <c r="W45" i="20" s="1"/>
  <c r="Q45" i="20" a="1"/>
  <c r="Q45" i="20" s="1"/>
  <c r="S45" i="20" a="1"/>
  <c r="S45" i="20" s="1"/>
  <c r="Y45" i="20" a="1"/>
  <c r="Y45" i="20" s="1"/>
  <c r="T45" i="20" a="1"/>
  <c r="T45" i="20" s="1"/>
  <c r="O44" i="20" a="1"/>
  <c r="O44" i="20" s="1"/>
  <c r="W44" i="20" a="1"/>
  <c r="W44" i="20" s="1"/>
  <c r="R44" i="20" a="1"/>
  <c r="R44" i="20" s="1"/>
  <c r="U44" i="20" a="1"/>
  <c r="U44" i="20" s="1"/>
  <c r="Z44" i="20" a="1"/>
  <c r="Z44" i="20" s="1"/>
  <c r="Q44" i="20" a="1"/>
  <c r="Q44" i="20" s="1"/>
  <c r="S44" i="20" a="1"/>
  <c r="S44" i="20" s="1"/>
  <c r="Y44" i="20" a="1"/>
  <c r="Y44" i="20" s="1"/>
  <c r="X44" i="20" a="1"/>
  <c r="X44" i="20" s="1"/>
  <c r="V44" i="20" a="1"/>
  <c r="V44" i="20" s="1"/>
  <c r="P44" i="20" a="1"/>
  <c r="P44" i="20" s="1"/>
  <c r="T44" i="20" a="1"/>
  <c r="T44" i="20" s="1"/>
  <c r="R38" i="20" a="1"/>
  <c r="R38" i="20" s="1"/>
  <c r="P38" i="20" a="1"/>
  <c r="P38" i="20" s="1"/>
  <c r="V38" i="20" a="1"/>
  <c r="V38" i="20" s="1"/>
  <c r="Q38" i="20" a="1"/>
  <c r="Q38" i="20" s="1"/>
  <c r="S38" i="20" a="1"/>
  <c r="S38" i="20" s="1"/>
  <c r="T38" i="20" a="1"/>
  <c r="T38" i="20" s="1"/>
  <c r="U38" i="20" a="1"/>
  <c r="U38" i="20" s="1"/>
  <c r="W38" i="20" a="1"/>
  <c r="W38" i="20" s="1"/>
  <c r="O38" i="20" a="1"/>
  <c r="O38" i="20" s="1"/>
  <c r="Z38" i="20" a="1"/>
  <c r="Z38" i="20" s="1"/>
  <c r="X38" i="20" a="1"/>
  <c r="X38" i="20" s="1"/>
  <c r="Y38" i="20" a="1"/>
  <c r="Y38" i="20" s="1"/>
  <c r="P65" i="20" a="1"/>
  <c r="P65" i="20" s="1"/>
  <c r="X65" i="20" a="1"/>
  <c r="X65" i="20" s="1"/>
  <c r="Z65" i="20" a="1"/>
  <c r="Z65" i="20" s="1"/>
  <c r="O65" i="20" a="1"/>
  <c r="O65" i="20" s="1"/>
  <c r="V65" i="20" a="1"/>
  <c r="V65" i="20" s="1"/>
  <c r="R65" i="20" a="1"/>
  <c r="R65" i="20" s="1"/>
  <c r="U65" i="20" a="1"/>
  <c r="U65" i="20" s="1"/>
  <c r="W65" i="20" a="1"/>
  <c r="W65" i="20" s="1"/>
  <c r="Y65" i="20" a="1"/>
  <c r="Y65" i="20" s="1"/>
  <c r="T65" i="20" a="1"/>
  <c r="T65" i="20" s="1"/>
  <c r="Q65" i="20" a="1"/>
  <c r="Q65" i="20" s="1"/>
  <c r="S65" i="20" a="1"/>
  <c r="S65" i="20" s="1"/>
  <c r="Z50" i="20" a="1"/>
  <c r="Z50" i="20" s="1"/>
  <c r="R50" i="20" a="1"/>
  <c r="R50" i="20" s="1"/>
  <c r="S50" i="20" a="1"/>
  <c r="S50" i="20" s="1"/>
  <c r="O50" i="20" a="1"/>
  <c r="O50" i="20" s="1"/>
  <c r="Q50" i="20" a="1"/>
  <c r="Q50" i="20" s="1"/>
  <c r="T50" i="20" a="1"/>
  <c r="T50" i="20" s="1"/>
  <c r="P50" i="20" a="1"/>
  <c r="P50" i="20" s="1"/>
  <c r="X50" i="20" a="1"/>
  <c r="X50" i="20" s="1"/>
  <c r="W50" i="20" a="1"/>
  <c r="W50" i="20" s="1"/>
  <c r="U50" i="20" a="1"/>
  <c r="U50" i="20" s="1"/>
  <c r="Y50" i="20" a="1"/>
  <c r="Y50" i="20" s="1"/>
  <c r="V50" i="20" a="1"/>
  <c r="V50" i="20" s="1"/>
  <c r="W42" i="20" a="1"/>
  <c r="W42" i="20" s="1"/>
  <c r="O42" i="20" a="1"/>
  <c r="O42" i="20" s="1"/>
  <c r="U42" i="20" a="1"/>
  <c r="U42" i="20" s="1"/>
  <c r="Q42" i="20" a="1"/>
  <c r="Q42" i="20" s="1"/>
  <c r="S42" i="20" a="1"/>
  <c r="S42" i="20" s="1"/>
  <c r="R42" i="20" a="1"/>
  <c r="R42" i="20" s="1"/>
  <c r="T42" i="20" a="1"/>
  <c r="T42" i="20" s="1"/>
  <c r="Z42" i="20" a="1"/>
  <c r="Z42" i="20" s="1"/>
  <c r="X42" i="20" a="1"/>
  <c r="X42" i="20" s="1"/>
  <c r="V42" i="20" a="1"/>
  <c r="V42" i="20" s="1"/>
  <c r="Y42" i="20" a="1"/>
  <c r="Y42" i="20" s="1"/>
  <c r="P42" i="20" a="1"/>
  <c r="P42" i="20" s="1"/>
  <c r="W13" i="20" a="1"/>
  <c r="W13" i="20" s="1"/>
  <c r="O13" i="20" a="1"/>
  <c r="O13" i="20" s="1"/>
  <c r="R13" i="20" a="1"/>
  <c r="R13" i="20" s="1"/>
  <c r="Z13" i="20" a="1"/>
  <c r="Z13" i="20" s="1"/>
  <c r="P13" i="20" a="1"/>
  <c r="P13" i="20" s="1"/>
  <c r="Q13" i="20" a="1"/>
  <c r="Q13" i="20" s="1"/>
  <c r="Y13" i="20" a="1"/>
  <c r="Y13" i="20" s="1"/>
  <c r="U13" i="20" a="1"/>
  <c r="U13" i="20" s="1"/>
  <c r="T13" i="20" a="1"/>
  <c r="T13" i="20" s="1"/>
  <c r="S13" i="20" a="1"/>
  <c r="S13" i="20" s="1"/>
  <c r="X13" i="20" a="1"/>
  <c r="X13" i="20" s="1"/>
  <c r="V13" i="20" a="1"/>
  <c r="V13" i="20" s="1"/>
  <c r="Z40" i="20" a="1"/>
  <c r="Z40" i="20" s="1"/>
  <c r="R40" i="20" a="1"/>
  <c r="R40" i="20" s="1"/>
  <c r="S40" i="20" a="1"/>
  <c r="S40" i="20" s="1"/>
  <c r="V40" i="20" a="1"/>
  <c r="V40" i="20" s="1"/>
  <c r="O40" i="20" a="1"/>
  <c r="O40" i="20" s="1"/>
  <c r="W40" i="20" a="1"/>
  <c r="W40" i="20" s="1"/>
  <c r="Q40" i="20" a="1"/>
  <c r="Q40" i="20" s="1"/>
  <c r="X40" i="20" a="1"/>
  <c r="X40" i="20" s="1"/>
  <c r="T40" i="20" a="1"/>
  <c r="T40" i="20" s="1"/>
  <c r="U40" i="20" a="1"/>
  <c r="U40" i="20" s="1"/>
  <c r="Y40" i="20" a="1"/>
  <c r="Y40" i="20" s="1"/>
  <c r="P40" i="20" a="1"/>
  <c r="P40" i="20" s="1"/>
  <c r="V30" i="20" a="1"/>
  <c r="V30" i="20" s="1"/>
  <c r="P30" i="20" a="1"/>
  <c r="P30" i="20" s="1"/>
  <c r="X30" i="20" a="1"/>
  <c r="X30" i="20" s="1"/>
  <c r="W30" i="20" a="1"/>
  <c r="W30" i="20" s="1"/>
  <c r="Y30" i="20" a="1"/>
  <c r="Y30" i="20" s="1"/>
  <c r="O30" i="20" a="1"/>
  <c r="O30" i="20" s="1"/>
  <c r="Q30" i="20" a="1"/>
  <c r="Q30" i="20" s="1"/>
  <c r="S30" i="20" a="1"/>
  <c r="S30" i="20" s="1"/>
  <c r="T30" i="20" a="1"/>
  <c r="T30" i="20" s="1"/>
  <c r="Z30" i="20" a="1"/>
  <c r="Z30" i="20" s="1"/>
  <c r="U30" i="20" a="1"/>
  <c r="U30" i="20" s="1"/>
  <c r="R30" i="20" a="1"/>
  <c r="R30" i="20" s="1"/>
  <c r="O58" i="20" a="1"/>
  <c r="O58" i="20" s="1"/>
  <c r="Z58" i="20" a="1"/>
  <c r="Z58" i="20" s="1"/>
  <c r="X58" i="20" a="1"/>
  <c r="X58" i="20" s="1"/>
  <c r="V58" i="20" a="1"/>
  <c r="V58" i="20" s="1"/>
  <c r="R58" i="20" a="1"/>
  <c r="R58" i="20" s="1"/>
  <c r="S58" i="20" a="1"/>
  <c r="S58" i="20" s="1"/>
  <c r="Q58" i="20" a="1"/>
  <c r="Q58" i="20" s="1"/>
  <c r="W58" i="20" a="1"/>
  <c r="W58" i="20" s="1"/>
  <c r="U58" i="20" a="1"/>
  <c r="U58" i="20" s="1"/>
  <c r="T58" i="20" a="1"/>
  <c r="T58" i="20" s="1"/>
  <c r="Y58" i="20" a="1"/>
  <c r="Y58" i="20" s="1"/>
  <c r="P58" i="20" a="1"/>
  <c r="P58" i="20" s="1"/>
  <c r="V25" i="20" a="1"/>
  <c r="V25" i="20" s="1"/>
  <c r="P25" i="20" a="1"/>
  <c r="P25" i="20" s="1"/>
  <c r="X25" i="20" a="1"/>
  <c r="X25" i="20" s="1"/>
  <c r="W25" i="20" a="1"/>
  <c r="W25" i="20" s="1"/>
  <c r="O25" i="20" a="1"/>
  <c r="O25" i="20" s="1"/>
  <c r="S25" i="20" a="1"/>
  <c r="S25" i="20" s="1"/>
  <c r="R25" i="20" a="1"/>
  <c r="R25" i="20" s="1"/>
  <c r="U25" i="20" a="1"/>
  <c r="U25" i="20" s="1"/>
  <c r="Y25" i="20" a="1"/>
  <c r="Y25" i="20" s="1"/>
  <c r="Q25" i="20" a="1"/>
  <c r="Q25" i="20" s="1"/>
  <c r="T25" i="20" a="1"/>
  <c r="T25" i="20" s="1"/>
  <c r="Z25" i="20" a="1"/>
  <c r="Z25" i="20" s="1"/>
  <c r="Z43" i="20" a="1"/>
  <c r="Z43" i="20" s="1"/>
  <c r="R43" i="20" a="1"/>
  <c r="R43" i="20" s="1"/>
  <c r="P43" i="20" a="1"/>
  <c r="P43" i="20" s="1"/>
  <c r="Q43" i="20" a="1"/>
  <c r="Q43" i="20" s="1"/>
  <c r="U43" i="20" a="1"/>
  <c r="U43" i="20" s="1"/>
  <c r="X43" i="20" a="1"/>
  <c r="X43" i="20" s="1"/>
  <c r="S43" i="20" a="1"/>
  <c r="S43" i="20" s="1"/>
  <c r="W43" i="20" a="1"/>
  <c r="W43" i="20" s="1"/>
  <c r="O43" i="20" a="1"/>
  <c r="O43" i="20" s="1"/>
  <c r="V43" i="20" a="1"/>
  <c r="V43" i="20" s="1"/>
  <c r="T43" i="20" a="1"/>
  <c r="T43" i="20" s="1"/>
  <c r="Y43" i="20" a="1"/>
  <c r="Y43" i="20" s="1"/>
  <c r="W11" i="20" a="1"/>
  <c r="W11" i="20" s="1"/>
  <c r="O11" i="20" a="1"/>
  <c r="O11" i="20" s="1"/>
  <c r="U11" i="20" a="1"/>
  <c r="U11" i="20" s="1"/>
  <c r="Z11" i="20" a="1"/>
  <c r="Z11" i="20" s="1"/>
  <c r="T11" i="20" a="1"/>
  <c r="T11" i="20" s="1"/>
  <c r="Q11" i="20" a="1"/>
  <c r="Q11" i="20" s="1"/>
  <c r="S11" i="20" a="1"/>
  <c r="S11" i="20" s="1"/>
  <c r="V11" i="20" a="1"/>
  <c r="V11" i="20" s="1"/>
  <c r="Y11" i="20" a="1"/>
  <c r="Y11" i="20" s="1"/>
  <c r="R11" i="20" a="1"/>
  <c r="R11" i="20" s="1"/>
  <c r="P11" i="20" a="1"/>
  <c r="P11" i="20" s="1"/>
  <c r="X11" i="20" a="1"/>
  <c r="X11" i="20" s="1"/>
  <c r="R57" i="20" a="1"/>
  <c r="R57" i="20" s="1"/>
  <c r="Z57" i="20" a="1"/>
  <c r="Z57" i="20" s="1"/>
  <c r="X57" i="20" a="1"/>
  <c r="X57" i="20" s="1"/>
  <c r="W57" i="20" a="1"/>
  <c r="W57" i="20" s="1"/>
  <c r="Q57" i="20" a="1"/>
  <c r="Q57" i="20" s="1"/>
  <c r="U57" i="20" a="1"/>
  <c r="U57" i="20" s="1"/>
  <c r="P57" i="20" a="1"/>
  <c r="P57" i="20" s="1"/>
  <c r="O57" i="20" a="1"/>
  <c r="O57" i="20" s="1"/>
  <c r="S57" i="20" a="1"/>
  <c r="S57" i="20" s="1"/>
  <c r="V57" i="20" a="1"/>
  <c r="V57" i="20" s="1"/>
  <c r="T57" i="20" a="1"/>
  <c r="T57" i="20" s="1"/>
  <c r="Y57" i="20" a="1"/>
  <c r="Y57" i="20" s="1"/>
  <c r="Z48" i="20" a="1"/>
  <c r="Z48" i="20" s="1"/>
  <c r="R48" i="20" a="1"/>
  <c r="R48" i="20" s="1"/>
  <c r="O48" i="20" a="1"/>
  <c r="O48" i="20" s="1"/>
  <c r="P48" i="20" a="1"/>
  <c r="P48" i="20" s="1"/>
  <c r="X48" i="20" a="1"/>
  <c r="X48" i="20" s="1"/>
  <c r="W48" i="20" a="1"/>
  <c r="W48" i="20" s="1"/>
  <c r="Q48" i="20" a="1"/>
  <c r="Q48" i="20" s="1"/>
  <c r="S48" i="20" a="1"/>
  <c r="S48" i="20" s="1"/>
  <c r="U48" i="20" a="1"/>
  <c r="U48" i="20" s="1"/>
  <c r="T48" i="20" a="1"/>
  <c r="T48" i="20" s="1"/>
  <c r="V48" i="20" a="1"/>
  <c r="V48" i="20" s="1"/>
  <c r="Y48" i="20" a="1"/>
  <c r="Y48" i="20" s="1"/>
  <c r="V18" i="20" a="1"/>
  <c r="V18" i="20" s="1"/>
  <c r="T18" i="20" a="1"/>
  <c r="T18" i="20" s="1"/>
  <c r="Q18" i="20" a="1"/>
  <c r="Q18" i="20" s="1"/>
  <c r="U18" i="20" a="1"/>
  <c r="U18" i="20" s="1"/>
  <c r="X18" i="20" a="1"/>
  <c r="X18" i="20" s="1"/>
  <c r="R18" i="20" a="1"/>
  <c r="R18" i="20" s="1"/>
  <c r="P18" i="20" a="1"/>
  <c r="P18" i="20" s="1"/>
  <c r="Y18" i="20" a="1"/>
  <c r="Y18" i="20" s="1"/>
  <c r="Z18" i="20" a="1"/>
  <c r="Z18" i="20" s="1"/>
  <c r="W18" i="20" a="1"/>
  <c r="W18" i="20" s="1"/>
  <c r="O18" i="20" a="1"/>
  <c r="O18" i="20" s="1"/>
  <c r="S18" i="20" a="1"/>
  <c r="S18" i="20" s="1"/>
  <c r="O62" i="20" a="1"/>
  <c r="O62" i="20" s="1"/>
  <c r="R62" i="20" a="1"/>
  <c r="R62" i="20" s="1"/>
  <c r="X62" i="20" a="1"/>
  <c r="X62" i="20" s="1"/>
  <c r="P62" i="20" a="1"/>
  <c r="P62" i="20" s="1"/>
  <c r="U62" i="20" a="1"/>
  <c r="U62" i="20" s="1"/>
  <c r="Z62" i="20" a="1"/>
  <c r="Z62" i="20" s="1"/>
  <c r="W62" i="20" a="1"/>
  <c r="W62" i="20" s="1"/>
  <c r="V62" i="20" a="1"/>
  <c r="V62" i="20" s="1"/>
  <c r="T62" i="20" a="1"/>
  <c r="T62" i="20" s="1"/>
  <c r="Q62" i="20" a="1"/>
  <c r="Q62" i="20" s="1"/>
  <c r="Y62" i="20" a="1"/>
  <c r="Y62" i="20" s="1"/>
  <c r="S62" i="20" a="1"/>
  <c r="S62" i="20" s="1"/>
  <c r="P36" i="20" a="1"/>
  <c r="P36" i="20" s="1"/>
  <c r="Z36" i="20" a="1"/>
  <c r="Z36" i="20" s="1"/>
  <c r="R36" i="20" a="1"/>
  <c r="R36" i="20" s="1"/>
  <c r="W36" i="20" a="1"/>
  <c r="W36" i="20" s="1"/>
  <c r="Q36" i="20" a="1"/>
  <c r="Q36" i="20" s="1"/>
  <c r="S36" i="20" a="1"/>
  <c r="S36" i="20" s="1"/>
  <c r="O36" i="20" a="1"/>
  <c r="O36" i="20" s="1"/>
  <c r="U36" i="20" a="1"/>
  <c r="U36" i="20" s="1"/>
  <c r="V36" i="20" a="1"/>
  <c r="V36" i="20" s="1"/>
  <c r="Y36" i="20" a="1"/>
  <c r="Y36" i="20" s="1"/>
  <c r="T36" i="20" a="1"/>
  <c r="T36" i="20" s="1"/>
  <c r="X36" i="20" a="1"/>
  <c r="X36" i="20" s="1"/>
  <c r="Y31" i="20" a="1"/>
  <c r="Y31" i="20" s="1"/>
  <c r="R31" i="20" a="1"/>
  <c r="R31" i="20" s="1"/>
  <c r="U31" i="20" a="1"/>
  <c r="U31" i="20" s="1"/>
  <c r="Z31" i="20" a="1"/>
  <c r="Z31" i="20" s="1"/>
  <c r="T31" i="20" a="1"/>
  <c r="T31" i="20" s="1"/>
  <c r="P31" i="20" a="1"/>
  <c r="P31" i="20" s="1"/>
  <c r="V31" i="20" a="1"/>
  <c r="V31" i="20" s="1"/>
  <c r="S31" i="20" a="1"/>
  <c r="S31" i="20" s="1"/>
  <c r="O31" i="20" a="1"/>
  <c r="O31" i="20" s="1"/>
  <c r="W31" i="20" a="1"/>
  <c r="W31" i="20" s="1"/>
  <c r="X31" i="20" a="1"/>
  <c r="X31" i="20" s="1"/>
  <c r="Q31" i="20" a="1"/>
  <c r="Q31" i="20" s="1"/>
  <c r="Z56" i="20" a="1"/>
  <c r="Z56" i="20" s="1"/>
  <c r="W56" i="20" a="1"/>
  <c r="W56" i="20" s="1"/>
  <c r="Q56" i="20" a="1"/>
  <c r="Q56" i="20" s="1"/>
  <c r="O56" i="20" a="1"/>
  <c r="O56" i="20" s="1"/>
  <c r="U56" i="20" a="1"/>
  <c r="U56" i="20" s="1"/>
  <c r="S56" i="20" a="1"/>
  <c r="S56" i="20" s="1"/>
  <c r="R56" i="20" a="1"/>
  <c r="R56" i="20" s="1"/>
  <c r="T56" i="20" a="1"/>
  <c r="T56" i="20" s="1"/>
  <c r="V56" i="20" a="1"/>
  <c r="V56" i="20" s="1"/>
  <c r="P56" i="20" a="1"/>
  <c r="P56" i="20" s="1"/>
  <c r="Y56" i="20" a="1"/>
  <c r="Y56" i="20" s="1"/>
  <c r="X56" i="20" a="1"/>
  <c r="X56" i="20" s="1"/>
  <c r="R52" i="20" a="1"/>
  <c r="R52" i="20" s="1"/>
  <c r="Z52" i="20" a="1"/>
  <c r="Z52" i="20" s="1"/>
  <c r="T52" i="20" a="1"/>
  <c r="T52" i="20" s="1"/>
  <c r="O52" i="20" a="1"/>
  <c r="O52" i="20" s="1"/>
  <c r="S52" i="20" a="1"/>
  <c r="S52" i="20" s="1"/>
  <c r="U52" i="20" a="1"/>
  <c r="U52" i="20" s="1"/>
  <c r="P52" i="20" a="1"/>
  <c r="P52" i="20" s="1"/>
  <c r="W52" i="20" a="1"/>
  <c r="W52" i="20" s="1"/>
  <c r="X52" i="20" a="1"/>
  <c r="X52" i="20" s="1"/>
  <c r="Q52" i="20" a="1"/>
  <c r="Q52" i="20" s="1"/>
  <c r="V52" i="20" a="1"/>
  <c r="V52" i="20" s="1"/>
  <c r="Y52" i="20" a="1"/>
  <c r="Y52" i="20" s="1"/>
  <c r="O19" i="20" a="1"/>
  <c r="O19" i="20" s="1"/>
  <c r="P19" i="20" a="1"/>
  <c r="P19" i="20" s="1"/>
  <c r="X19" i="20" a="1"/>
  <c r="X19" i="20" s="1"/>
  <c r="Q19" i="20" a="1"/>
  <c r="Q19" i="20" s="1"/>
  <c r="Z19" i="20" a="1"/>
  <c r="Z19" i="20" s="1"/>
  <c r="W19" i="20" a="1"/>
  <c r="W19" i="20" s="1"/>
  <c r="R19" i="20" a="1"/>
  <c r="R19" i="20" s="1"/>
  <c r="V19" i="20" a="1"/>
  <c r="V19" i="20" s="1"/>
  <c r="T19" i="20" a="1"/>
  <c r="T19" i="20" s="1"/>
  <c r="U19" i="20" a="1"/>
  <c r="U19" i="20" s="1"/>
  <c r="Y19" i="20" a="1"/>
  <c r="Y19" i="20" s="1"/>
  <c r="S19" i="20" a="1"/>
  <c r="S19" i="20" s="1"/>
  <c r="U12" i="20" a="1"/>
  <c r="U12" i="20" s="1"/>
  <c r="O12" i="20" a="1"/>
  <c r="O12" i="20" s="1"/>
  <c r="W12" i="20" a="1"/>
  <c r="W12" i="20" s="1"/>
  <c r="V12" i="20" a="1"/>
  <c r="V12" i="20" s="1"/>
  <c r="T12" i="20" a="1"/>
  <c r="T12" i="20" s="1"/>
  <c r="R12" i="20" a="1"/>
  <c r="R12" i="20" s="1"/>
  <c r="P12" i="20" a="1"/>
  <c r="P12" i="20" s="1"/>
  <c r="Q12" i="20" a="1"/>
  <c r="Q12" i="20" s="1"/>
  <c r="S12" i="20" a="1"/>
  <c r="S12" i="20" s="1"/>
  <c r="Z12" i="20" a="1"/>
  <c r="Z12" i="20" s="1"/>
  <c r="X12" i="20" a="1"/>
  <c r="X12" i="20" s="1"/>
  <c r="Y12" i="20" a="1"/>
  <c r="Y12" i="20" s="1"/>
  <c r="V32" i="20" a="1"/>
  <c r="V32" i="20" s="1"/>
  <c r="P32" i="20" a="1"/>
  <c r="P32" i="20" s="1"/>
  <c r="W32" i="20" a="1"/>
  <c r="W32" i="20" s="1"/>
  <c r="X32" i="20" a="1"/>
  <c r="X32" i="20" s="1"/>
  <c r="T32" i="20" a="1"/>
  <c r="T32" i="20" s="1"/>
  <c r="Z32" i="20" a="1"/>
  <c r="Z32" i="20" s="1"/>
  <c r="U32" i="20" a="1"/>
  <c r="U32" i="20" s="1"/>
  <c r="Y32" i="20" a="1"/>
  <c r="Y32" i="20" s="1"/>
  <c r="Q32" i="20" a="1"/>
  <c r="Q32" i="20" s="1"/>
  <c r="R32" i="20" a="1"/>
  <c r="R32" i="20" s="1"/>
  <c r="S32" i="20" a="1"/>
  <c r="S32" i="20" s="1"/>
  <c r="O32" i="20" a="1"/>
  <c r="O32" i="20" s="1"/>
  <c r="V23" i="20" a="1"/>
  <c r="V23" i="20" s="1"/>
  <c r="P23" i="20" a="1"/>
  <c r="P23" i="20" s="1"/>
  <c r="X23" i="20" a="1"/>
  <c r="X23" i="20" s="1"/>
  <c r="W23" i="20" a="1"/>
  <c r="W23" i="20" s="1"/>
  <c r="T23" i="20" a="1"/>
  <c r="T23" i="20" s="1"/>
  <c r="Z23" i="20" a="1"/>
  <c r="Z23" i="20" s="1"/>
  <c r="S23" i="20" a="1"/>
  <c r="S23" i="20" s="1"/>
  <c r="Q23" i="20" a="1"/>
  <c r="Q23" i="20" s="1"/>
  <c r="U23" i="20" a="1"/>
  <c r="U23" i="20" s="1"/>
  <c r="Y23" i="20" a="1"/>
  <c r="Y23" i="20" s="1"/>
  <c r="O23" i="20" a="1"/>
  <c r="O23" i="20" s="1"/>
  <c r="R23" i="20" a="1"/>
  <c r="R23" i="20" s="1"/>
  <c r="Y24" i="20" a="1"/>
  <c r="Y24" i="20" s="1"/>
  <c r="R24" i="20" a="1"/>
  <c r="R24" i="20" s="1"/>
  <c r="U24" i="20" a="1"/>
  <c r="U24" i="20" s="1"/>
  <c r="Z24" i="20" a="1"/>
  <c r="Z24" i="20" s="1"/>
  <c r="O24" i="20" a="1"/>
  <c r="O24" i="20" s="1"/>
  <c r="W24" i="20" a="1"/>
  <c r="W24" i="20" s="1"/>
  <c r="P24" i="20" a="1"/>
  <c r="P24" i="20" s="1"/>
  <c r="V24" i="20" a="1"/>
  <c r="V24" i="20" s="1"/>
  <c r="S24" i="20" a="1"/>
  <c r="S24" i="20" s="1"/>
  <c r="X24" i="20" a="1"/>
  <c r="X24" i="20" s="1"/>
  <c r="Q24" i="20" a="1"/>
  <c r="Q24" i="20" s="1"/>
  <c r="T24" i="20" a="1"/>
  <c r="T24" i="20" s="1"/>
  <c r="O46" i="20" a="1"/>
  <c r="O46" i="20" s="1"/>
  <c r="W46" i="20" a="1"/>
  <c r="W46" i="20" s="1"/>
  <c r="Q46" i="20" a="1"/>
  <c r="Q46" i="20" s="1"/>
  <c r="Z46" i="20" a="1"/>
  <c r="Z46" i="20" s="1"/>
  <c r="U46" i="20" a="1"/>
  <c r="U46" i="20" s="1"/>
  <c r="R46" i="20" a="1"/>
  <c r="R46" i="20" s="1"/>
  <c r="P46" i="20" a="1"/>
  <c r="P46" i="20" s="1"/>
  <c r="Y46" i="20" a="1"/>
  <c r="Y46" i="20" s="1"/>
  <c r="T46" i="20" a="1"/>
  <c r="T46" i="20" s="1"/>
  <c r="X46" i="20" a="1"/>
  <c r="X46" i="20" s="1"/>
  <c r="V46" i="20" a="1"/>
  <c r="V46" i="20" s="1"/>
  <c r="S46" i="20" a="1"/>
  <c r="S46" i="20" s="1"/>
  <c r="R37" i="20" a="1"/>
  <c r="R37" i="20" s="1"/>
  <c r="Q37" i="20" a="1"/>
  <c r="Q37" i="20" s="1"/>
  <c r="O37" i="20" a="1"/>
  <c r="O37" i="20" s="1"/>
  <c r="X37" i="20" a="1"/>
  <c r="X37" i="20" s="1"/>
  <c r="S37" i="20" a="1"/>
  <c r="S37" i="20" s="1"/>
  <c r="U37" i="20" a="1"/>
  <c r="U37" i="20" s="1"/>
  <c r="W37" i="20" a="1"/>
  <c r="W37" i="20" s="1"/>
  <c r="Z37" i="20" a="1"/>
  <c r="Z37" i="20" s="1"/>
  <c r="P37" i="20" a="1"/>
  <c r="P37" i="20" s="1"/>
  <c r="V37" i="20" a="1"/>
  <c r="V37" i="20" s="1"/>
  <c r="T37" i="20" a="1"/>
  <c r="T37" i="20" s="1"/>
  <c r="Y37" i="20" a="1"/>
  <c r="Y37" i="20" s="1"/>
  <c r="Y29" i="20" a="1"/>
  <c r="Y29" i="20" s="1"/>
  <c r="R29" i="20" a="1"/>
  <c r="R29" i="20" s="1"/>
  <c r="U29" i="20" a="1"/>
  <c r="U29" i="20" s="1"/>
  <c r="Z29" i="20" a="1"/>
  <c r="Z29" i="20" s="1"/>
  <c r="Q29" i="20" a="1"/>
  <c r="Q29" i="20" s="1"/>
  <c r="W29" i="20" a="1"/>
  <c r="W29" i="20" s="1"/>
  <c r="T29" i="20" a="1"/>
  <c r="T29" i="20" s="1"/>
  <c r="O29" i="20" a="1"/>
  <c r="O29" i="20" s="1"/>
  <c r="X29" i="20" a="1"/>
  <c r="X29" i="20" s="1"/>
  <c r="S29" i="20" a="1"/>
  <c r="S29" i="20" s="1"/>
  <c r="P29" i="20" a="1"/>
  <c r="P29" i="20" s="1"/>
  <c r="V29" i="20" a="1"/>
  <c r="V29" i="20" s="1"/>
  <c r="R64" i="20" a="1"/>
  <c r="R64" i="20" s="1"/>
  <c r="X64" i="20" a="1"/>
  <c r="X64" i="20" s="1"/>
  <c r="U64" i="20" a="1"/>
  <c r="U64" i="20" s="1"/>
  <c r="P64" i="20" a="1"/>
  <c r="P64" i="20" s="1"/>
  <c r="W64" i="20" a="1"/>
  <c r="W64" i="20" s="1"/>
  <c r="O64" i="20" a="1"/>
  <c r="O64" i="20" s="1"/>
  <c r="V64" i="20" a="1"/>
  <c r="V64" i="20" s="1"/>
  <c r="Z64" i="20" a="1"/>
  <c r="Z64" i="20" s="1"/>
  <c r="Y64" i="20" a="1"/>
  <c r="Y64" i="20" s="1"/>
  <c r="S64" i="20" a="1"/>
  <c r="S64" i="20" s="1"/>
  <c r="Q64" i="20" a="1"/>
  <c r="Q64" i="20" s="1"/>
  <c r="T64" i="20" a="1"/>
  <c r="T64" i="20" s="1"/>
  <c r="Y26" i="20" a="1"/>
  <c r="Y26" i="20" s="1"/>
  <c r="R26" i="20" a="1"/>
  <c r="R26" i="20" s="1"/>
  <c r="U26" i="20" a="1"/>
  <c r="U26" i="20" s="1"/>
  <c r="Z26" i="20" a="1"/>
  <c r="Z26" i="20" s="1"/>
  <c r="S26" i="20" a="1"/>
  <c r="S26" i="20" s="1"/>
  <c r="X26" i="20" a="1"/>
  <c r="X26" i="20" s="1"/>
  <c r="P26" i="20" a="1"/>
  <c r="P26" i="20" s="1"/>
  <c r="V26" i="20" a="1"/>
  <c r="V26" i="20" s="1"/>
  <c r="T26" i="20" a="1"/>
  <c r="T26" i="20" s="1"/>
  <c r="O26" i="20" a="1"/>
  <c r="O26" i="20" s="1"/>
  <c r="W26" i="20" a="1"/>
  <c r="W26" i="20" s="1"/>
  <c r="Q26" i="20" a="1"/>
  <c r="Q26" i="20" s="1"/>
  <c r="V17" i="20" a="1"/>
  <c r="V17" i="20" s="1"/>
  <c r="P17" i="20" a="1"/>
  <c r="P17" i="20" s="1"/>
  <c r="X17" i="20" a="1"/>
  <c r="X17" i="20" s="1"/>
  <c r="W17" i="20" a="1"/>
  <c r="W17" i="20" s="1"/>
  <c r="S17" i="20" a="1"/>
  <c r="S17" i="20" s="1"/>
  <c r="U17" i="20" a="1"/>
  <c r="U17" i="20" s="1"/>
  <c r="Y17" i="20" a="1"/>
  <c r="Y17" i="20" s="1"/>
  <c r="O17" i="20" a="1"/>
  <c r="O17" i="20" s="1"/>
  <c r="Z17" i="20" a="1"/>
  <c r="Z17" i="20" s="1"/>
  <c r="T17" i="20" a="1"/>
  <c r="T17" i="20" s="1"/>
  <c r="R17" i="20" a="1"/>
  <c r="R17" i="20" s="1"/>
  <c r="Q17" i="20" a="1"/>
  <c r="Q17" i="20" s="1"/>
  <c r="Z39" i="20" a="1"/>
  <c r="Z39" i="20" s="1"/>
  <c r="R39" i="20" a="1"/>
  <c r="R39" i="20" s="1"/>
  <c r="X39" i="20" a="1"/>
  <c r="X39" i="20" s="1"/>
  <c r="Q39" i="20" a="1"/>
  <c r="Q39" i="20" s="1"/>
  <c r="S39" i="20" a="1"/>
  <c r="S39" i="20" s="1"/>
  <c r="O39" i="20" a="1"/>
  <c r="O39" i="20" s="1"/>
  <c r="W39" i="20" a="1"/>
  <c r="W39" i="20" s="1"/>
  <c r="V39" i="20" a="1"/>
  <c r="V39" i="20" s="1"/>
  <c r="U39" i="20" a="1"/>
  <c r="U39" i="20" s="1"/>
  <c r="T39" i="20" a="1"/>
  <c r="T39" i="20" s="1"/>
  <c r="Y39" i="20" a="1"/>
  <c r="Y39" i="20" s="1"/>
  <c r="P39" i="20" a="1"/>
  <c r="P39" i="20" s="1"/>
  <c r="C15" i="22"/>
  <c r="C20" i="22"/>
  <c r="C11" i="18"/>
  <c r="C20" i="18"/>
  <c r="D6" i="23"/>
  <c r="N65" i="20" a="1"/>
  <c r="N65" i="20" s="1"/>
  <c r="H65" i="20" a="1"/>
  <c r="H65" i="20" s="1"/>
  <c r="J65" i="20" a="1"/>
  <c r="J65" i="20" s="1"/>
  <c r="I65" i="20" a="1"/>
  <c r="I65" i="20" s="1"/>
  <c r="K65" i="20" a="1"/>
  <c r="K65" i="20" s="1"/>
  <c r="L65" i="20" a="1"/>
  <c r="L65" i="20" s="1"/>
  <c r="M65" i="20" a="1"/>
  <c r="M65" i="20" s="1"/>
  <c r="G65" i="20" a="1"/>
  <c r="G65" i="20" s="1"/>
  <c r="L45" i="20" a="1"/>
  <c r="L45" i="20" s="1"/>
  <c r="M45" i="20" a="1"/>
  <c r="M45" i="20" s="1"/>
  <c r="N45" i="20" a="1"/>
  <c r="N45" i="20" s="1"/>
  <c r="G45" i="20" a="1"/>
  <c r="G45" i="20" s="1"/>
  <c r="H45" i="20" a="1"/>
  <c r="H45" i="20" s="1"/>
  <c r="J45" i="20" a="1"/>
  <c r="J45" i="20" s="1"/>
  <c r="K45" i="20" a="1"/>
  <c r="K45" i="20" s="1"/>
  <c r="I45" i="20" a="1"/>
  <c r="I45" i="20" s="1"/>
  <c r="L57" i="20" a="1"/>
  <c r="L57" i="20" s="1"/>
  <c r="G57" i="20" a="1"/>
  <c r="G57" i="20" s="1"/>
  <c r="I57" i="20" a="1"/>
  <c r="I57" i="20" s="1"/>
  <c r="M57" i="20" a="1"/>
  <c r="M57" i="20" s="1"/>
  <c r="K57" i="20" a="1"/>
  <c r="K57" i="20" s="1"/>
  <c r="N57" i="20" a="1"/>
  <c r="N57" i="20" s="1"/>
  <c r="H57" i="20" a="1"/>
  <c r="H57" i="20" s="1"/>
  <c r="J57" i="20" a="1"/>
  <c r="J57" i="20" s="1"/>
  <c r="N50" i="20" a="1"/>
  <c r="N50" i="20" s="1"/>
  <c r="I50" i="20" a="1"/>
  <c r="I50" i="20" s="1"/>
  <c r="J50" i="20" a="1"/>
  <c r="J50" i="20" s="1"/>
  <c r="K50" i="20" a="1"/>
  <c r="K50" i="20" s="1"/>
  <c r="G50" i="20" a="1"/>
  <c r="G50" i="20" s="1"/>
  <c r="M50" i="20" a="1"/>
  <c r="M50" i="20" s="1"/>
  <c r="L50" i="20" a="1"/>
  <c r="L50" i="20" s="1"/>
  <c r="H50" i="20" a="1"/>
  <c r="H50" i="20" s="1"/>
  <c r="I42" i="20" a="1"/>
  <c r="I42" i="20" s="1"/>
  <c r="K42" i="20" a="1"/>
  <c r="K42" i="20" s="1"/>
  <c r="G42" i="20" a="1"/>
  <c r="G42" i="20" s="1"/>
  <c r="J42" i="20" a="1"/>
  <c r="J42" i="20" s="1"/>
  <c r="L42" i="20" a="1"/>
  <c r="L42" i="20" s="1"/>
  <c r="H42" i="20" a="1"/>
  <c r="H42" i="20" s="1"/>
  <c r="M42" i="20" a="1"/>
  <c r="M42" i="20" s="1"/>
  <c r="N42" i="20" a="1"/>
  <c r="N42" i="20" s="1"/>
  <c r="K13" i="20" a="1"/>
  <c r="K13" i="20" s="1"/>
  <c r="G13" i="20" a="1"/>
  <c r="G13" i="20" s="1"/>
  <c r="H13" i="20" a="1"/>
  <c r="H13" i="20" s="1"/>
  <c r="I13" i="20" a="1"/>
  <c r="I13" i="20" s="1"/>
  <c r="N13" i="20" a="1"/>
  <c r="N13" i="20" s="1"/>
  <c r="J13" i="20" a="1"/>
  <c r="J13" i="20" s="1"/>
  <c r="L13" i="20" a="1"/>
  <c r="L13" i="20" s="1"/>
  <c r="M13" i="20" a="1"/>
  <c r="M13" i="20" s="1"/>
  <c r="H40" i="20" a="1"/>
  <c r="H40" i="20" s="1"/>
  <c r="I40" i="20" a="1"/>
  <c r="I40" i="20" s="1"/>
  <c r="N40" i="20" a="1"/>
  <c r="N40" i="20" s="1"/>
  <c r="M40" i="20" a="1"/>
  <c r="M40" i="20" s="1"/>
  <c r="J40" i="20" a="1"/>
  <c r="J40" i="20" s="1"/>
  <c r="G40" i="20" a="1"/>
  <c r="G40" i="20" s="1"/>
  <c r="K40" i="20" a="1"/>
  <c r="K40" i="20" s="1"/>
  <c r="L40" i="20" a="1"/>
  <c r="L40" i="20" s="1"/>
  <c r="N38" i="20" a="1"/>
  <c r="N38" i="20" s="1"/>
  <c r="M38" i="20" a="1"/>
  <c r="M38" i="20" s="1"/>
  <c r="I38" i="20" a="1"/>
  <c r="I38" i="20" s="1"/>
  <c r="J38" i="20" a="1"/>
  <c r="J38" i="20" s="1"/>
  <c r="G38" i="20" a="1"/>
  <c r="G38" i="20" s="1"/>
  <c r="L38" i="20" a="1"/>
  <c r="L38" i="20" s="1"/>
  <c r="K38" i="20" a="1"/>
  <c r="K38" i="20" s="1"/>
  <c r="H38" i="20" a="1"/>
  <c r="H38" i="20" s="1"/>
  <c r="I31" i="20" a="1"/>
  <c r="I31" i="20" s="1"/>
  <c r="J31" i="20" a="1"/>
  <c r="J31" i="20" s="1"/>
  <c r="L31" i="20" a="1"/>
  <c r="L31" i="20" s="1"/>
  <c r="K31" i="20" a="1"/>
  <c r="K31" i="20" s="1"/>
  <c r="M31" i="20" a="1"/>
  <c r="M31" i="20" s="1"/>
  <c r="N31" i="20" a="1"/>
  <c r="N31" i="20" s="1"/>
  <c r="G31" i="20" a="1"/>
  <c r="G31" i="20" s="1"/>
  <c r="H31" i="20" a="1"/>
  <c r="H31" i="20" s="1"/>
  <c r="K56" i="20" a="1"/>
  <c r="K56" i="20" s="1"/>
  <c r="G56" i="20" a="1"/>
  <c r="G56" i="20" s="1"/>
  <c r="M56" i="20" a="1"/>
  <c r="M56" i="20" s="1"/>
  <c r="L56" i="20" a="1"/>
  <c r="L56" i="20" s="1"/>
  <c r="H56" i="20" a="1"/>
  <c r="H56" i="20" s="1"/>
  <c r="I56" i="20" a="1"/>
  <c r="I56" i="20" s="1"/>
  <c r="J56" i="20" a="1"/>
  <c r="J56" i="20" s="1"/>
  <c r="N56" i="20" a="1"/>
  <c r="N56" i="20" s="1"/>
  <c r="I48" i="20" a="1"/>
  <c r="I48" i="20" s="1"/>
  <c r="J48" i="20" a="1"/>
  <c r="J48" i="20" s="1"/>
  <c r="K48" i="20" a="1"/>
  <c r="K48" i="20" s="1"/>
  <c r="L48" i="20" a="1"/>
  <c r="L48" i="20" s="1"/>
  <c r="M48" i="20" a="1"/>
  <c r="M48" i="20" s="1"/>
  <c r="G48" i="20" a="1"/>
  <c r="G48" i="20" s="1"/>
  <c r="N48" i="20" a="1"/>
  <c r="N48" i="20" s="1"/>
  <c r="H48" i="20" a="1"/>
  <c r="H48" i="20" s="1"/>
  <c r="G18" i="20" a="1"/>
  <c r="G18" i="20" s="1"/>
  <c r="N18" i="20" a="1"/>
  <c r="N18" i="20" s="1"/>
  <c r="I18" i="20" a="1"/>
  <c r="I18" i="20" s="1"/>
  <c r="H18" i="20" a="1"/>
  <c r="H18" i="20" s="1"/>
  <c r="J18" i="20" a="1"/>
  <c r="J18" i="20" s="1"/>
  <c r="L18" i="20" a="1"/>
  <c r="L18" i="20" s="1"/>
  <c r="K18" i="20" a="1"/>
  <c r="K18" i="20" s="1"/>
  <c r="M18" i="20" a="1"/>
  <c r="M18" i="20" s="1"/>
  <c r="M62" i="20" a="1"/>
  <c r="M62" i="20" s="1"/>
  <c r="N62" i="20" a="1"/>
  <c r="N62" i="20" s="1"/>
  <c r="G62" i="20" a="1"/>
  <c r="G62" i="20" s="1"/>
  <c r="L62" i="20" a="1"/>
  <c r="L62" i="20" s="1"/>
  <c r="I62" i="20" a="1"/>
  <c r="I62" i="20" s="1"/>
  <c r="J62" i="20" a="1"/>
  <c r="J62" i="20" s="1"/>
  <c r="H62" i="20" a="1"/>
  <c r="H62" i="20" s="1"/>
  <c r="K62" i="20" a="1"/>
  <c r="K62" i="20" s="1"/>
  <c r="J36" i="20" a="1"/>
  <c r="J36" i="20" s="1"/>
  <c r="G36" i="20" a="1"/>
  <c r="G36" i="20" s="1"/>
  <c r="L36" i="20" a="1"/>
  <c r="L36" i="20" s="1"/>
  <c r="K36" i="20" a="1"/>
  <c r="K36" i="20" s="1"/>
  <c r="H36" i="20" a="1"/>
  <c r="H36" i="20" s="1"/>
  <c r="I36" i="20" a="1"/>
  <c r="I36" i="20" s="1"/>
  <c r="M36" i="20" a="1"/>
  <c r="M36" i="20" s="1"/>
  <c r="N36" i="20" a="1"/>
  <c r="N36" i="20" s="1"/>
  <c r="M30" i="20" a="1"/>
  <c r="M30" i="20" s="1"/>
  <c r="N30" i="20" a="1"/>
  <c r="N30" i="20" s="1"/>
  <c r="G30" i="20" a="1"/>
  <c r="G30" i="20" s="1"/>
  <c r="L30" i="20" a="1"/>
  <c r="L30" i="20" s="1"/>
  <c r="H30" i="20" a="1"/>
  <c r="H30" i="20" s="1"/>
  <c r="J30" i="20" a="1"/>
  <c r="J30" i="20" s="1"/>
  <c r="I30" i="20" a="1"/>
  <c r="I30" i="20" s="1"/>
  <c r="K30" i="20" a="1"/>
  <c r="K30" i="20" s="1"/>
  <c r="H58" i="20" a="1"/>
  <c r="H58" i="20" s="1"/>
  <c r="N58" i="20" a="1"/>
  <c r="N58" i="20" s="1"/>
  <c r="J58" i="20" a="1"/>
  <c r="J58" i="20" s="1"/>
  <c r="I58" i="20" a="1"/>
  <c r="I58" i="20" s="1"/>
  <c r="K58" i="20" a="1"/>
  <c r="K58" i="20" s="1"/>
  <c r="M58" i="20" a="1"/>
  <c r="M58" i="20" s="1"/>
  <c r="G58" i="20" a="1"/>
  <c r="G58" i="20" s="1"/>
  <c r="L58" i="20" a="1"/>
  <c r="L58" i="20" s="1"/>
  <c r="J52" i="20" a="1"/>
  <c r="J52" i="20" s="1"/>
  <c r="G52" i="20" a="1"/>
  <c r="G52" i="20" s="1"/>
  <c r="K52" i="20" a="1"/>
  <c r="K52" i="20" s="1"/>
  <c r="L52" i="20" a="1"/>
  <c r="L52" i="20" s="1"/>
  <c r="M52" i="20" a="1"/>
  <c r="M52" i="20" s="1"/>
  <c r="N52" i="20" a="1"/>
  <c r="N52" i="20" s="1"/>
  <c r="H52" i="20" a="1"/>
  <c r="H52" i="20" s="1"/>
  <c r="I52" i="20" a="1"/>
  <c r="I52" i="20" s="1"/>
  <c r="G19" i="20" a="1"/>
  <c r="G19" i="20" s="1"/>
  <c r="M19" i="20" a="1"/>
  <c r="M19" i="20" s="1"/>
  <c r="N19" i="20" a="1"/>
  <c r="N19" i="20" s="1"/>
  <c r="H19" i="20" a="1"/>
  <c r="H19" i="20" s="1"/>
  <c r="I19" i="20" a="1"/>
  <c r="I19" i="20" s="1"/>
  <c r="K19" i="20" a="1"/>
  <c r="K19" i="20" s="1"/>
  <c r="J19" i="20" a="1"/>
  <c r="J19" i="20" s="1"/>
  <c r="L19" i="20" a="1"/>
  <c r="L19" i="20" s="1"/>
  <c r="M12" i="20" a="1"/>
  <c r="M12" i="20" s="1"/>
  <c r="G12" i="20" a="1"/>
  <c r="G12" i="20" s="1"/>
  <c r="H12" i="20" a="1"/>
  <c r="H12" i="20" s="1"/>
  <c r="N12" i="20" a="1"/>
  <c r="N12" i="20" s="1"/>
  <c r="I12" i="20" a="1"/>
  <c r="I12" i="20" s="1"/>
  <c r="K12" i="20" a="1"/>
  <c r="K12" i="20" s="1"/>
  <c r="J12" i="20" a="1"/>
  <c r="J12" i="20" s="1"/>
  <c r="L12" i="20" a="1"/>
  <c r="L12" i="20" s="1"/>
  <c r="J32" i="20" a="1"/>
  <c r="J32" i="20" s="1"/>
  <c r="L32" i="20" a="1"/>
  <c r="L32" i="20" s="1"/>
  <c r="G32" i="20" a="1"/>
  <c r="G32" i="20" s="1"/>
  <c r="K32" i="20" a="1"/>
  <c r="K32" i="20" s="1"/>
  <c r="I32" i="20" a="1"/>
  <c r="I32" i="20" s="1"/>
  <c r="H32" i="20" a="1"/>
  <c r="H32" i="20" s="1"/>
  <c r="N32" i="20" a="1"/>
  <c r="N32" i="20" s="1"/>
  <c r="M32" i="20" a="1"/>
  <c r="M32" i="20" s="1"/>
  <c r="L25" i="20" a="1"/>
  <c r="L25" i="20" s="1"/>
  <c r="M25" i="20" a="1"/>
  <c r="M25" i="20" s="1"/>
  <c r="K25" i="20" a="1"/>
  <c r="K25" i="20" s="1"/>
  <c r="G25" i="20" a="1"/>
  <c r="G25" i="20" s="1"/>
  <c r="H25" i="20" a="1"/>
  <c r="H25" i="20" s="1"/>
  <c r="N25" i="20" a="1"/>
  <c r="N25" i="20" s="1"/>
  <c r="I25" i="20" a="1"/>
  <c r="I25" i="20" s="1"/>
  <c r="J25" i="20" a="1"/>
  <c r="J25" i="20" s="1"/>
  <c r="N43" i="20" a="1"/>
  <c r="N43" i="20" s="1"/>
  <c r="H43" i="20" a="1"/>
  <c r="H43" i="20" s="1"/>
  <c r="J43" i="20" a="1"/>
  <c r="J43" i="20" s="1"/>
  <c r="I43" i="20" a="1"/>
  <c r="I43" i="20" s="1"/>
  <c r="K43" i="20" a="1"/>
  <c r="K43" i="20" s="1"/>
  <c r="M43" i="20" a="1"/>
  <c r="M43" i="20" s="1"/>
  <c r="L43" i="20" a="1"/>
  <c r="L43" i="20" s="1"/>
  <c r="G43" i="20" a="1"/>
  <c r="G43" i="20" s="1"/>
  <c r="K11" i="20" a="1"/>
  <c r="K11" i="20" s="1"/>
  <c r="H11" i="20" a="1"/>
  <c r="H11" i="20" s="1"/>
  <c r="L11" i="20" a="1"/>
  <c r="L11" i="20" s="1"/>
  <c r="G11" i="20" a="1"/>
  <c r="G11" i="20" s="1"/>
  <c r="I11" i="20" a="1"/>
  <c r="I11" i="20" s="1"/>
  <c r="M11" i="20" a="1"/>
  <c r="M11" i="20" s="1"/>
  <c r="N11" i="20" a="1"/>
  <c r="N11" i="20" s="1"/>
  <c r="J11" i="20" a="1"/>
  <c r="J11" i="20" s="1"/>
  <c r="H44" i="20" a="1"/>
  <c r="H44" i="20" s="1"/>
  <c r="G44" i="20" a="1"/>
  <c r="G44" i="20" s="1"/>
  <c r="I44" i="20" a="1"/>
  <c r="I44" i="20" s="1"/>
  <c r="N44" i="20" a="1"/>
  <c r="N44" i="20" s="1"/>
  <c r="J44" i="20" a="1"/>
  <c r="J44" i="20" s="1"/>
  <c r="L44" i="20" a="1"/>
  <c r="L44" i="20" s="1"/>
  <c r="K44" i="20" a="1"/>
  <c r="K44" i="20" s="1"/>
  <c r="M44" i="20" a="1"/>
  <c r="M44" i="20" s="1"/>
  <c r="G29" i="20" a="1"/>
  <c r="G29" i="20" s="1"/>
  <c r="H29" i="20" a="1"/>
  <c r="H29" i="20" s="1"/>
  <c r="N29" i="20" a="1"/>
  <c r="N29" i="20" s="1"/>
  <c r="I29" i="20" a="1"/>
  <c r="I29" i="20" s="1"/>
  <c r="J29" i="20" a="1"/>
  <c r="J29" i="20" s="1"/>
  <c r="L29" i="20" a="1"/>
  <c r="L29" i="20" s="1"/>
  <c r="K29" i="20" a="1"/>
  <c r="K29" i="20" s="1"/>
  <c r="M29" i="20" a="1"/>
  <c r="M29" i="20" s="1"/>
  <c r="N23" i="20" a="1"/>
  <c r="N23" i="20" s="1"/>
  <c r="J23" i="20" a="1"/>
  <c r="J23" i="20" s="1"/>
  <c r="L23" i="20" a="1"/>
  <c r="L23" i="20" s="1"/>
  <c r="M23" i="20" a="1"/>
  <c r="M23" i="20" s="1"/>
  <c r="I23" i="20" a="1"/>
  <c r="I23" i="20" s="1"/>
  <c r="G23" i="20" a="1"/>
  <c r="G23" i="20" s="1"/>
  <c r="K23" i="20" a="1"/>
  <c r="K23" i="20" s="1"/>
  <c r="H23" i="20" a="1"/>
  <c r="H23" i="20" s="1"/>
  <c r="H24" i="20" a="1"/>
  <c r="H24" i="20" s="1"/>
  <c r="I24" i="20" a="1"/>
  <c r="I24" i="20" s="1"/>
  <c r="N24" i="20" a="1"/>
  <c r="N24" i="20" s="1"/>
  <c r="J24" i="20" a="1"/>
  <c r="J24" i="20" s="1"/>
  <c r="K24" i="20" a="1"/>
  <c r="K24" i="20" s="1"/>
  <c r="G24" i="20" a="1"/>
  <c r="G24" i="20" s="1"/>
  <c r="M24" i="20" a="1"/>
  <c r="M24" i="20" s="1"/>
  <c r="L24" i="20" a="1"/>
  <c r="L24" i="20" s="1"/>
  <c r="H46" i="20" a="1"/>
  <c r="H46" i="20" s="1"/>
  <c r="N46" i="20" a="1"/>
  <c r="N46" i="20" s="1"/>
  <c r="I46" i="20" a="1"/>
  <c r="I46" i="20" s="1"/>
  <c r="J46" i="20" a="1"/>
  <c r="J46" i="20" s="1"/>
  <c r="M46" i="20" a="1"/>
  <c r="M46" i="20" s="1"/>
  <c r="L46" i="20" a="1"/>
  <c r="L46" i="20" s="1"/>
  <c r="G46" i="20" a="1"/>
  <c r="G46" i="20" s="1"/>
  <c r="K46" i="20" a="1"/>
  <c r="K46" i="20" s="1"/>
  <c r="J37" i="20" a="1"/>
  <c r="J37" i="20" s="1"/>
  <c r="G37" i="20" a="1"/>
  <c r="G37" i="20" s="1"/>
  <c r="K37" i="20" a="1"/>
  <c r="K37" i="20" s="1"/>
  <c r="L37" i="20" a="1"/>
  <c r="L37" i="20" s="1"/>
  <c r="H37" i="20" a="1"/>
  <c r="H37" i="20" s="1"/>
  <c r="I37" i="20" a="1"/>
  <c r="I37" i="20" s="1"/>
  <c r="N37" i="20" a="1"/>
  <c r="N37" i="20" s="1"/>
  <c r="M37" i="20" a="1"/>
  <c r="M37" i="20" s="1"/>
  <c r="H49" i="20" a="1"/>
  <c r="H49" i="20" s="1"/>
  <c r="I49" i="20" a="1"/>
  <c r="I49" i="20" s="1"/>
  <c r="J49" i="20" a="1"/>
  <c r="J49" i="20" s="1"/>
  <c r="M49" i="20" a="1"/>
  <c r="M49" i="20" s="1"/>
  <c r="N49" i="20" a="1"/>
  <c r="N49" i="20" s="1"/>
  <c r="K49" i="20" a="1"/>
  <c r="K49" i="20" s="1"/>
  <c r="L49" i="20" a="1"/>
  <c r="L49" i="20" s="1"/>
  <c r="G49" i="20" a="1"/>
  <c r="G49" i="20" s="1"/>
  <c r="N54" i="20" a="1"/>
  <c r="N54" i="20" s="1"/>
  <c r="H54" i="20" a="1"/>
  <c r="H54" i="20" s="1"/>
  <c r="I54" i="20" a="1"/>
  <c r="I54" i="20" s="1"/>
  <c r="M54" i="20" a="1"/>
  <c r="M54" i="20" s="1"/>
  <c r="J54" i="20" a="1"/>
  <c r="J54" i="20" s="1"/>
  <c r="K54" i="20" a="1"/>
  <c r="K54" i="20" s="1"/>
  <c r="G54" i="20" a="1"/>
  <c r="G54" i="20" s="1"/>
  <c r="L54" i="20" a="1"/>
  <c r="L54" i="20" s="1"/>
  <c r="G64" i="20" a="1"/>
  <c r="G64" i="20" s="1"/>
  <c r="N64" i="20" a="1"/>
  <c r="N64" i="20" s="1"/>
  <c r="I64" i="20" a="1"/>
  <c r="I64" i="20" s="1"/>
  <c r="M64" i="20" a="1"/>
  <c r="M64" i="20" s="1"/>
  <c r="H64" i="20" a="1"/>
  <c r="H64" i="20" s="1"/>
  <c r="K64" i="20" a="1"/>
  <c r="K64" i="20" s="1"/>
  <c r="J64" i="20" a="1"/>
  <c r="J64" i="20" s="1"/>
  <c r="L64" i="20" a="1"/>
  <c r="L64" i="20" s="1"/>
  <c r="L26" i="20" a="1"/>
  <c r="L26" i="20" s="1"/>
  <c r="N26" i="20" a="1"/>
  <c r="N26" i="20" s="1"/>
  <c r="G26" i="20" a="1"/>
  <c r="G26" i="20" s="1"/>
  <c r="H26" i="20" a="1"/>
  <c r="H26" i="20" s="1"/>
  <c r="K26" i="20" a="1"/>
  <c r="K26" i="20" s="1"/>
  <c r="I26" i="20" a="1"/>
  <c r="I26" i="20" s="1"/>
  <c r="M26" i="20" a="1"/>
  <c r="M26" i="20" s="1"/>
  <c r="J26" i="20" a="1"/>
  <c r="J26" i="20" s="1"/>
  <c r="H17" i="20" a="1"/>
  <c r="H17" i="20" s="1"/>
  <c r="J17" i="20" a="1"/>
  <c r="J17" i="20" s="1"/>
  <c r="K17" i="20" a="1"/>
  <c r="K17" i="20" s="1"/>
  <c r="I17" i="20" a="1"/>
  <c r="I17" i="20" s="1"/>
  <c r="L17" i="20" a="1"/>
  <c r="L17" i="20" s="1"/>
  <c r="G17" i="20" a="1"/>
  <c r="G17" i="20" s="1"/>
  <c r="M17" i="20" a="1"/>
  <c r="M17" i="20" s="1"/>
  <c r="N17" i="20" a="1"/>
  <c r="N17" i="20" s="1"/>
  <c r="N39" i="20" a="1"/>
  <c r="N39" i="20" s="1"/>
  <c r="I39" i="20" a="1"/>
  <c r="I39" i="20" s="1"/>
  <c r="J39" i="20" a="1"/>
  <c r="J39" i="20" s="1"/>
  <c r="K39" i="20" a="1"/>
  <c r="K39" i="20" s="1"/>
  <c r="G39" i="20" a="1"/>
  <c r="G39" i="20" s="1"/>
  <c r="M39" i="20" a="1"/>
  <c r="M39" i="20" s="1"/>
  <c r="L39" i="20" a="1"/>
  <c r="L39" i="20" s="1"/>
  <c r="H39" i="20" a="1"/>
  <c r="H39" i="20" s="1"/>
  <c r="M55" i="20" a="1"/>
  <c r="M55" i="20" s="1"/>
  <c r="N55" i="20" a="1"/>
  <c r="N55" i="20" s="1"/>
  <c r="H55" i="20" a="1"/>
  <c r="H55" i="20" s="1"/>
  <c r="I55" i="20" a="1"/>
  <c r="I55" i="20" s="1"/>
  <c r="J55" i="20" a="1"/>
  <c r="J55" i="20" s="1"/>
  <c r="L55" i="20" a="1"/>
  <c r="L55" i="20" s="1"/>
  <c r="K55" i="20" a="1"/>
  <c r="K55" i="20" s="1"/>
  <c r="G55" i="20" a="1"/>
  <c r="G55" i="20" s="1"/>
  <c r="H51" i="20" a="1"/>
  <c r="H51" i="20" s="1"/>
  <c r="I51" i="20" a="1"/>
  <c r="I51" i="20" s="1"/>
  <c r="J51" i="20" a="1"/>
  <c r="J51" i="20" s="1"/>
  <c r="N51" i="20" a="1"/>
  <c r="N51" i="20" s="1"/>
  <c r="K51" i="20" a="1"/>
  <c r="K51" i="20" s="1"/>
  <c r="G51" i="20" a="1"/>
  <c r="G51" i="20" s="1"/>
  <c r="M51" i="20" a="1"/>
  <c r="M51" i="20" s="1"/>
  <c r="L51" i="20" a="1"/>
  <c r="L51" i="20" s="1"/>
  <c r="N63" i="20" a="1"/>
  <c r="N63" i="20" s="1"/>
  <c r="H63" i="20" a="1"/>
  <c r="H63" i="20" s="1"/>
  <c r="M63" i="20" a="1"/>
  <c r="M63" i="20" s="1"/>
  <c r="G63" i="20" a="1"/>
  <c r="G63" i="20" s="1"/>
  <c r="I63" i="20" a="1"/>
  <c r="I63" i="20" s="1"/>
  <c r="J63" i="20" a="1"/>
  <c r="J63" i="20" s="1"/>
  <c r="K63" i="20" a="1"/>
  <c r="K63" i="20" s="1"/>
  <c r="L63" i="20" a="1"/>
  <c r="L63" i="20" s="1"/>
  <c r="J20" i="20" a="1"/>
  <c r="J20" i="20" s="1"/>
  <c r="L20" i="20" a="1"/>
  <c r="L20" i="20" s="1"/>
  <c r="M20" i="20" a="1"/>
  <c r="M20" i="20" s="1"/>
  <c r="K20" i="20" a="1"/>
  <c r="K20" i="20" s="1"/>
  <c r="G20" i="20" a="1"/>
  <c r="G20" i="20" s="1"/>
  <c r="N20" i="20" a="1"/>
  <c r="N20" i="20" s="1"/>
  <c r="H20" i="20" a="1"/>
  <c r="H20" i="20" s="1"/>
  <c r="I20" i="20" a="1"/>
  <c r="I20" i="20" s="1"/>
  <c r="I14" i="20" a="1"/>
  <c r="I14" i="20" s="1"/>
  <c r="J14" i="20" a="1"/>
  <c r="J14" i="20" s="1"/>
  <c r="K14" i="20" a="1"/>
  <c r="K14" i="20" s="1"/>
  <c r="L14" i="20" a="1"/>
  <c r="L14" i="20" s="1"/>
  <c r="M14" i="20" a="1"/>
  <c r="M14" i="20" s="1"/>
  <c r="H14" i="20" a="1"/>
  <c r="H14" i="20" s="1"/>
  <c r="N14" i="20" a="1"/>
  <c r="N14" i="20" s="1"/>
  <c r="G14" i="20" a="1"/>
  <c r="G14" i="20" s="1"/>
  <c r="L92" i="19"/>
  <c r="L90" i="19"/>
  <c r="M90" i="19" s="1"/>
  <c r="AL33" i="30"/>
  <c r="G361" i="19"/>
  <c r="G360" i="19"/>
  <c r="G359" i="19"/>
  <c r="H10" i="21"/>
  <c r="H15" i="21"/>
  <c r="H359" i="19"/>
  <c r="I361" i="19"/>
  <c r="C7" i="23"/>
  <c r="I359" i="19"/>
  <c r="H361" i="19"/>
  <c r="N359" i="19"/>
  <c r="J7" i="23"/>
  <c r="K7" i="23" s="1"/>
  <c r="J359" i="19"/>
  <c r="K361" i="19"/>
  <c r="J361" i="19"/>
  <c r="L359" i="19"/>
  <c r="M359" i="19"/>
  <c r="M94" i="19"/>
  <c r="K359" i="19"/>
  <c r="M93" i="19"/>
  <c r="K15" i="21"/>
  <c r="K10" i="21"/>
  <c r="N15" i="21"/>
  <c r="N10" i="21"/>
  <c r="M15" i="21"/>
  <c r="M10" i="21"/>
  <c r="M91" i="19"/>
  <c r="G15" i="21"/>
  <c r="G10" i="21"/>
  <c r="J10" i="21"/>
  <c r="J15" i="21"/>
  <c r="I15" i="21"/>
  <c r="I10" i="21"/>
  <c r="L15" i="21"/>
  <c r="L10" i="21"/>
  <c r="D12" i="54" l="1"/>
  <c r="E12" i="54" s="1"/>
  <c r="N82" i="19"/>
  <c r="M59" i="19"/>
  <c r="P54" i="19"/>
  <c r="V77" i="19"/>
  <c r="R67" i="19"/>
  <c r="Y75" i="19"/>
  <c r="P86" i="19"/>
  <c r="Z47" i="19"/>
  <c r="W89" i="19"/>
  <c r="N54" i="19"/>
  <c r="N81" i="19"/>
  <c r="N67" i="19"/>
  <c r="J80" i="19"/>
  <c r="I71" i="19"/>
  <c r="I61" i="19"/>
  <c r="Y54" i="19"/>
  <c r="P77" i="19"/>
  <c r="Q65" i="19"/>
  <c r="X48" i="19"/>
  <c r="N447" i="1" s="1"/>
  <c r="X79" i="19"/>
  <c r="N492" i="1" s="1"/>
  <c r="O71" i="19"/>
  <c r="T69" i="19"/>
  <c r="Q55" i="19"/>
  <c r="U89" i="19"/>
  <c r="O64" i="19"/>
  <c r="R50" i="19"/>
  <c r="U74" i="19"/>
  <c r="I60" i="19"/>
  <c r="L74" i="19"/>
  <c r="J70" i="19"/>
  <c r="L81" i="19"/>
  <c r="M52" i="19"/>
  <c r="L68" i="19"/>
  <c r="M63" i="19"/>
  <c r="M80" i="19"/>
  <c r="L59" i="19"/>
  <c r="L85" i="19"/>
  <c r="K78" i="19"/>
  <c r="K86" i="19"/>
  <c r="I64" i="19"/>
  <c r="T54" i="19"/>
  <c r="R70" i="19"/>
  <c r="O88" i="19"/>
  <c r="S77" i="19"/>
  <c r="R77" i="19"/>
  <c r="X65" i="19"/>
  <c r="N853" i="1" s="1"/>
  <c r="W65" i="19"/>
  <c r="W68" i="19"/>
  <c r="Y67" i="19"/>
  <c r="P67" i="19"/>
  <c r="Z80" i="19"/>
  <c r="Z48" i="19"/>
  <c r="O48" i="19"/>
  <c r="W59" i="19"/>
  <c r="Q75" i="19"/>
  <c r="Z75" i="19"/>
  <c r="S83" i="19"/>
  <c r="W79" i="19"/>
  <c r="R79" i="19"/>
  <c r="S51" i="19"/>
  <c r="Q86" i="19"/>
  <c r="R86" i="19"/>
  <c r="R58" i="19"/>
  <c r="T71" i="19"/>
  <c r="R71" i="19"/>
  <c r="U84" i="19"/>
  <c r="R47" i="19"/>
  <c r="O47" i="19"/>
  <c r="X62" i="19"/>
  <c r="N781" i="1" s="1"/>
  <c r="Q69" i="19"/>
  <c r="P69" i="19"/>
  <c r="S85" i="19"/>
  <c r="Z78" i="19"/>
  <c r="P78" i="19"/>
  <c r="W55" i="19"/>
  <c r="S49" i="19"/>
  <c r="O49" i="19"/>
  <c r="R61" i="19"/>
  <c r="U73" i="19"/>
  <c r="R73" i="19"/>
  <c r="R89" i="19"/>
  <c r="Z53" i="19"/>
  <c r="P53" i="19"/>
  <c r="Q63" i="19"/>
  <c r="S64" i="19"/>
  <c r="R64" i="19"/>
  <c r="Q72" i="19"/>
  <c r="Y82" i="19"/>
  <c r="R82" i="19"/>
  <c r="Q50" i="19"/>
  <c r="Z60" i="19"/>
  <c r="O60" i="19"/>
  <c r="W87" i="19"/>
  <c r="T74" i="19"/>
  <c r="O74" i="19"/>
  <c r="Z81" i="19"/>
  <c r="I74" i="19"/>
  <c r="M64" i="19"/>
  <c r="Z70" i="19"/>
  <c r="Z65" i="19"/>
  <c r="V48" i="19"/>
  <c r="U51" i="19"/>
  <c r="X47" i="19"/>
  <c r="N426" i="1" s="1"/>
  <c r="W85" i="19"/>
  <c r="V49" i="19"/>
  <c r="Y53" i="19"/>
  <c r="P82" i="19"/>
  <c r="M82" i="19"/>
  <c r="K47" i="19"/>
  <c r="P47" i="19"/>
  <c r="X78" i="19"/>
  <c r="N450" i="1" s="1"/>
  <c r="T87" i="19"/>
  <c r="L87" i="19"/>
  <c r="N57" i="19"/>
  <c r="L88" i="19"/>
  <c r="K65" i="19"/>
  <c r="H67" i="19"/>
  <c r="H72" i="19" s="1"/>
  <c r="M77" i="19"/>
  <c r="J47" i="19"/>
  <c r="J69" i="19"/>
  <c r="L48" i="19"/>
  <c r="I75" i="19"/>
  <c r="M58" i="19"/>
  <c r="N83" i="19"/>
  <c r="H79" i="19"/>
  <c r="H84" i="19" s="1"/>
  <c r="L55" i="19"/>
  <c r="N61" i="19"/>
  <c r="J84" i="19"/>
  <c r="R54" i="19"/>
  <c r="O70" i="19"/>
  <c r="U52" i="19"/>
  <c r="H60" i="19"/>
  <c r="H65" i="19" s="1"/>
  <c r="K87" i="19"/>
  <c r="M74" i="19"/>
  <c r="K82" i="19"/>
  <c r="L54" i="19"/>
  <c r="M57" i="19"/>
  <c r="M70" i="19"/>
  <c r="J88" i="19"/>
  <c r="L72" i="19"/>
  <c r="N52" i="19"/>
  <c r="M68" i="19"/>
  <c r="K67" i="19"/>
  <c r="K77" i="19"/>
  <c r="K63" i="19"/>
  <c r="N47" i="19"/>
  <c r="L62" i="19"/>
  <c r="I69" i="19"/>
  <c r="N80" i="19"/>
  <c r="J59" i="19"/>
  <c r="I78" i="19"/>
  <c r="M51" i="19"/>
  <c r="K58" i="19"/>
  <c r="N71" i="19"/>
  <c r="J83" i="19"/>
  <c r="G79" i="19"/>
  <c r="G84" i="19" s="1"/>
  <c r="K53" i="19"/>
  <c r="K55" i="19"/>
  <c r="M61" i="19"/>
  <c r="L73" i="19"/>
  <c r="K64" i="19"/>
  <c r="M89" i="19"/>
  <c r="U54" i="19"/>
  <c r="Z54" i="19"/>
  <c r="S57" i="19"/>
  <c r="T70" i="19"/>
  <c r="Y70" i="19"/>
  <c r="W88" i="19"/>
  <c r="X77" i="19"/>
  <c r="N428" i="1" s="1"/>
  <c r="Y77" i="19"/>
  <c r="S52" i="19"/>
  <c r="T65" i="19"/>
  <c r="O65" i="19"/>
  <c r="O68" i="19"/>
  <c r="U67" i="19"/>
  <c r="V67" i="19"/>
  <c r="T80" i="19"/>
  <c r="S48" i="19"/>
  <c r="U48" i="19"/>
  <c r="Z59" i="19"/>
  <c r="X75" i="19"/>
  <c r="N854" i="1" s="1"/>
  <c r="R75" i="19"/>
  <c r="U83" i="19"/>
  <c r="O79" i="19"/>
  <c r="Y79" i="19"/>
  <c r="Q51" i="19"/>
  <c r="T86" i="19"/>
  <c r="O86" i="19"/>
  <c r="X58" i="19"/>
  <c r="N452" i="1" s="1"/>
  <c r="U71" i="19"/>
  <c r="Z71" i="19"/>
  <c r="Q84" i="19"/>
  <c r="Y47" i="19"/>
  <c r="W47" i="19"/>
  <c r="U62" i="19"/>
  <c r="Y69" i="19"/>
  <c r="V69" i="19"/>
  <c r="R85" i="19"/>
  <c r="T78" i="19"/>
  <c r="V78" i="19"/>
  <c r="O55" i="19"/>
  <c r="T49" i="19"/>
  <c r="W49" i="19"/>
  <c r="S61" i="19"/>
  <c r="W73" i="19"/>
  <c r="Z73" i="19"/>
  <c r="V89" i="19"/>
  <c r="O53" i="19"/>
  <c r="R53" i="19"/>
  <c r="Z63" i="19"/>
  <c r="Q64" i="19"/>
  <c r="Z64" i="19"/>
  <c r="R72" i="19"/>
  <c r="Q82" i="19"/>
  <c r="Z82" i="19"/>
  <c r="O50" i="19"/>
  <c r="Q60" i="19"/>
  <c r="U60" i="19"/>
  <c r="P87" i="19"/>
  <c r="P74" i="19"/>
  <c r="W74" i="19"/>
  <c r="T81" i="19"/>
  <c r="L60" i="19"/>
  <c r="N88" i="19"/>
  <c r="H77" i="19"/>
  <c r="H82" i="19" s="1"/>
  <c r="L80" i="19"/>
  <c r="N86" i="19"/>
  <c r="M53" i="19"/>
  <c r="Z88" i="19"/>
  <c r="V68" i="19"/>
  <c r="V59" i="19"/>
  <c r="Z79" i="19"/>
  <c r="O84" i="19"/>
  <c r="R78" i="19"/>
  <c r="Z49" i="19"/>
  <c r="Q53" i="19"/>
  <c r="P72" i="19"/>
  <c r="S60" i="19"/>
  <c r="V81" i="19"/>
  <c r="G59" i="19"/>
  <c r="G64" i="19" s="1"/>
  <c r="G58" i="19"/>
  <c r="G63" i="19" s="1"/>
  <c r="N53" i="19"/>
  <c r="L84" i="19"/>
  <c r="Y57" i="19"/>
  <c r="U77" i="19"/>
  <c r="X67" i="19"/>
  <c r="N430" i="1" s="1"/>
  <c r="V75" i="19"/>
  <c r="O51" i="19"/>
  <c r="V71" i="19"/>
  <c r="X69" i="19"/>
  <c r="N493" i="1" s="1"/>
  <c r="T61" i="19"/>
  <c r="V53" i="19"/>
  <c r="U72" i="19"/>
  <c r="U81" i="19"/>
  <c r="N60" i="19"/>
  <c r="J87" i="19"/>
  <c r="L82" i="19"/>
  <c r="M54" i="19"/>
  <c r="G57" i="19"/>
  <c r="G62" i="19" s="1"/>
  <c r="I70" i="19"/>
  <c r="K88" i="19"/>
  <c r="K81" i="19"/>
  <c r="K72" i="19"/>
  <c r="I52" i="19"/>
  <c r="L65" i="19"/>
  <c r="G68" i="19"/>
  <c r="G73" i="19" s="1"/>
  <c r="G67" i="19"/>
  <c r="G72" i="19" s="1"/>
  <c r="L77" i="19"/>
  <c r="L63" i="19"/>
  <c r="M47" i="19"/>
  <c r="M62" i="19"/>
  <c r="N69" i="19"/>
  <c r="H80" i="19"/>
  <c r="H85" i="19" s="1"/>
  <c r="K59" i="19"/>
  <c r="N75" i="19"/>
  <c r="M85" i="19"/>
  <c r="J78" i="19"/>
  <c r="I51" i="19"/>
  <c r="J86" i="19"/>
  <c r="L58" i="19"/>
  <c r="I83" i="19"/>
  <c r="N79" i="19"/>
  <c r="L53" i="19"/>
  <c r="M73" i="19"/>
  <c r="N84" i="19"/>
  <c r="J64" i="19"/>
  <c r="L89" i="19"/>
  <c r="V54" i="19"/>
  <c r="Q57" i="19"/>
  <c r="W57" i="19"/>
  <c r="V70" i="19"/>
  <c r="T88" i="19"/>
  <c r="P88" i="19"/>
  <c r="O77" i="19"/>
  <c r="Y52" i="19"/>
  <c r="X52" i="19"/>
  <c r="N786" i="1" s="1"/>
  <c r="Y65" i="19"/>
  <c r="T68" i="19"/>
  <c r="Z68" i="19"/>
  <c r="Q67" i="19"/>
  <c r="O80" i="19"/>
  <c r="X80" i="19"/>
  <c r="N501" i="1" s="1"/>
  <c r="Q48" i="19"/>
  <c r="S59" i="19"/>
  <c r="Q59" i="19"/>
  <c r="W75" i="19"/>
  <c r="X83" i="19"/>
  <c r="N804" i="1" s="1"/>
  <c r="O83" i="19"/>
  <c r="S79" i="19"/>
  <c r="X51" i="19"/>
  <c r="N779" i="1" s="1"/>
  <c r="W51" i="19"/>
  <c r="V86" i="19"/>
  <c r="S58" i="19"/>
  <c r="U58" i="19"/>
  <c r="S71" i="19"/>
  <c r="Y84" i="19"/>
  <c r="W84" i="19"/>
  <c r="V47" i="19"/>
  <c r="Y62" i="19"/>
  <c r="Q62" i="19"/>
  <c r="U69" i="19"/>
  <c r="P85" i="19"/>
  <c r="V85" i="19"/>
  <c r="S78" i="19"/>
  <c r="P55" i="19"/>
  <c r="V55" i="19"/>
  <c r="U49" i="19"/>
  <c r="P61" i="19"/>
  <c r="Q61" i="19"/>
  <c r="X73" i="19"/>
  <c r="N803" i="1" s="1"/>
  <c r="S89" i="19"/>
  <c r="O89" i="19"/>
  <c r="W53" i="19"/>
  <c r="T63" i="19"/>
  <c r="U63" i="19"/>
  <c r="W64" i="19"/>
  <c r="V72" i="19"/>
  <c r="Z72" i="19"/>
  <c r="O82" i="19"/>
  <c r="V50" i="19"/>
  <c r="X50" i="19"/>
  <c r="N496" i="1" s="1"/>
  <c r="P60" i="19"/>
  <c r="S87" i="19"/>
  <c r="Z87" i="19"/>
  <c r="S74" i="19"/>
  <c r="P81" i="19"/>
  <c r="X81" i="19"/>
  <c r="N778" i="1" s="1"/>
  <c r="I54" i="19"/>
  <c r="I72" i="19"/>
  <c r="I68" i="19"/>
  <c r="H47" i="19"/>
  <c r="H52" i="19" s="1"/>
  <c r="N58" i="19"/>
  <c r="I55" i="19"/>
  <c r="K61" i="19"/>
  <c r="Q54" i="19"/>
  <c r="Z77" i="19"/>
  <c r="W67" i="19"/>
  <c r="O75" i="19"/>
  <c r="S86" i="19"/>
  <c r="Y71" i="19"/>
  <c r="Z69" i="19"/>
  <c r="X55" i="19"/>
  <c r="N855" i="1" s="1"/>
  <c r="V73" i="19"/>
  <c r="T64" i="19"/>
  <c r="P50" i="19"/>
  <c r="Y74" i="19"/>
  <c r="N87" i="19"/>
  <c r="L70" i="19"/>
  <c r="J52" i="19"/>
  <c r="H68" i="19"/>
  <c r="H73" i="19" s="1"/>
  <c r="N62" i="19"/>
  <c r="J75" i="19"/>
  <c r="M78" i="19"/>
  <c r="K83" i="19"/>
  <c r="L64" i="19"/>
  <c r="W70" i="19"/>
  <c r="W52" i="19"/>
  <c r="O67" i="19"/>
  <c r="W48" i="19"/>
  <c r="T75" i="19"/>
  <c r="Y86" i="19"/>
  <c r="P84" i="19"/>
  <c r="Q85" i="19"/>
  <c r="X49" i="19"/>
  <c r="N488" i="1" s="1"/>
  <c r="S73" i="19"/>
  <c r="S63" i="19"/>
  <c r="X82" i="19"/>
  <c r="N784" i="1" s="1"/>
  <c r="V74" i="19"/>
  <c r="G60" i="19"/>
  <c r="G65" i="19" s="1"/>
  <c r="I87" i="19"/>
  <c r="K74" i="19"/>
  <c r="J82" i="19"/>
  <c r="L57" i="19"/>
  <c r="K70" i="19"/>
  <c r="J81" i="19"/>
  <c r="N72" i="19"/>
  <c r="M65" i="19"/>
  <c r="K68" i="19"/>
  <c r="I67" i="19"/>
  <c r="J77" i="19"/>
  <c r="J63" i="19"/>
  <c r="I47" i="19"/>
  <c r="K62" i="19"/>
  <c r="H69" i="19"/>
  <c r="H74" i="19" s="1"/>
  <c r="I80" i="19"/>
  <c r="I59" i="19"/>
  <c r="M75" i="19"/>
  <c r="K85" i="19"/>
  <c r="H78" i="19"/>
  <c r="H83" i="19" s="1"/>
  <c r="I86" i="19"/>
  <c r="J58" i="19"/>
  <c r="M71" i="19"/>
  <c r="M79" i="19"/>
  <c r="J55" i="19"/>
  <c r="L61" i="19"/>
  <c r="K84" i="19"/>
  <c r="K89" i="19"/>
  <c r="W54" i="19"/>
  <c r="R57" i="19"/>
  <c r="X57" i="19"/>
  <c r="N431" i="1" s="1"/>
  <c r="P70" i="19"/>
  <c r="Q88" i="19"/>
  <c r="U88" i="19"/>
  <c r="T77" i="19"/>
  <c r="T52" i="19"/>
  <c r="O52" i="19"/>
  <c r="P65" i="19"/>
  <c r="Q68" i="19"/>
  <c r="U68" i="19"/>
  <c r="S67" i="19"/>
  <c r="S80" i="19"/>
  <c r="W80" i="19"/>
  <c r="Y59" i="19"/>
  <c r="X59" i="19"/>
  <c r="N494" i="1" s="1"/>
  <c r="P75" i="19"/>
  <c r="Y83" i="19"/>
  <c r="Q83" i="19"/>
  <c r="V79" i="19"/>
  <c r="T51" i="19"/>
  <c r="R51" i="19"/>
  <c r="W86" i="19"/>
  <c r="O58" i="19"/>
  <c r="Q58" i="19"/>
  <c r="Q71" i="19"/>
  <c r="T84" i="19"/>
  <c r="X84" i="19"/>
  <c r="N846" i="1" s="1"/>
  <c r="S47" i="19"/>
  <c r="T62" i="19"/>
  <c r="P62" i="19"/>
  <c r="R69" i="19"/>
  <c r="Y85" i="19"/>
  <c r="X85" i="19"/>
  <c r="N851" i="1" s="1"/>
  <c r="Q78" i="19"/>
  <c r="Y55" i="19"/>
  <c r="S55" i="19"/>
  <c r="Y49" i="19"/>
  <c r="Y61" i="19"/>
  <c r="U61" i="19"/>
  <c r="P73" i="19"/>
  <c r="Q89" i="19"/>
  <c r="Z89" i="19"/>
  <c r="U53" i="19"/>
  <c r="P63" i="19"/>
  <c r="R63" i="19"/>
  <c r="U64" i="19"/>
  <c r="T72" i="19"/>
  <c r="X72" i="19"/>
  <c r="N782" i="1" s="1"/>
  <c r="W82" i="19"/>
  <c r="T50" i="19"/>
  <c r="Z50" i="19"/>
  <c r="X60" i="19"/>
  <c r="N499" i="1" s="1"/>
  <c r="Y87" i="19"/>
  <c r="V87" i="19"/>
  <c r="Z74" i="19"/>
  <c r="Y81" i="19"/>
  <c r="R81" i="19"/>
  <c r="N70" i="19"/>
  <c r="J67" i="19"/>
  <c r="M69" i="19"/>
  <c r="N78" i="19"/>
  <c r="J71" i="19"/>
  <c r="I73" i="19"/>
  <c r="O57" i="19"/>
  <c r="S65" i="19"/>
  <c r="Y48" i="19"/>
  <c r="Q79" i="19"/>
  <c r="P71" i="19"/>
  <c r="W69" i="19"/>
  <c r="Z61" i="19"/>
  <c r="Y63" i="19"/>
  <c r="S82" i="19"/>
  <c r="R74" i="19"/>
  <c r="M86" i="19"/>
  <c r="I79" i="19"/>
  <c r="N73" i="19"/>
  <c r="X54" i="19"/>
  <c r="N848" i="1" s="1"/>
  <c r="V88" i="19"/>
  <c r="P68" i="19"/>
  <c r="R59" i="19"/>
  <c r="U79" i="19"/>
  <c r="P58" i="19"/>
  <c r="S62" i="19"/>
  <c r="R49" i="19"/>
  <c r="X53" i="19"/>
  <c r="N806" i="1" s="1"/>
  <c r="T82" i="19"/>
  <c r="V60" i="19"/>
  <c r="K60" i="19"/>
  <c r="N74" i="19"/>
  <c r="I82" i="19"/>
  <c r="K54" i="19"/>
  <c r="I57" i="19"/>
  <c r="H70" i="19"/>
  <c r="H75" i="19" s="1"/>
  <c r="M88" i="19"/>
  <c r="M81" i="19"/>
  <c r="M72" i="19"/>
  <c r="L52" i="19"/>
  <c r="J65" i="19"/>
  <c r="J68" i="19"/>
  <c r="M67" i="19"/>
  <c r="I77" i="19"/>
  <c r="N63" i="19"/>
  <c r="G47" i="19"/>
  <c r="G52" i="19" s="1"/>
  <c r="I62" i="19"/>
  <c r="G69" i="19"/>
  <c r="G74" i="19" s="1"/>
  <c r="K80" i="19"/>
  <c r="H59" i="19"/>
  <c r="H64" i="19" s="1"/>
  <c r="L75" i="19"/>
  <c r="I85" i="19"/>
  <c r="L78" i="19"/>
  <c r="K51" i="19"/>
  <c r="L86" i="19"/>
  <c r="H58" i="19"/>
  <c r="H63" i="19" s="1"/>
  <c r="L71" i="19"/>
  <c r="L83" i="19"/>
  <c r="K79" i="19"/>
  <c r="J53" i="19"/>
  <c r="M55" i="19"/>
  <c r="J61" i="19"/>
  <c r="K73" i="19"/>
  <c r="M84" i="19"/>
  <c r="I89" i="19"/>
  <c r="O54" i="19"/>
  <c r="T57" i="19"/>
  <c r="P57" i="19"/>
  <c r="X70" i="19"/>
  <c r="N498" i="1" s="1"/>
  <c r="S88" i="19"/>
  <c r="X88" i="19"/>
  <c r="N952" i="1" s="1"/>
  <c r="W77" i="19"/>
  <c r="V52" i="19"/>
  <c r="Q52" i="19"/>
  <c r="R65" i="19"/>
  <c r="X68" i="19"/>
  <c r="N451" i="1" s="1"/>
  <c r="R68" i="19"/>
  <c r="Z67" i="19"/>
  <c r="R80" i="19"/>
  <c r="P80" i="19"/>
  <c r="R48" i="19"/>
  <c r="U59" i="19"/>
  <c r="P59" i="19"/>
  <c r="U75" i="19"/>
  <c r="P83" i="19"/>
  <c r="W83" i="19"/>
  <c r="P79" i="19"/>
  <c r="Y51" i="19"/>
  <c r="Z51" i="19"/>
  <c r="Z86" i="19"/>
  <c r="W58" i="19"/>
  <c r="T58" i="19"/>
  <c r="W71" i="19"/>
  <c r="V84" i="19"/>
  <c r="Z84" i="19"/>
  <c r="Q47" i="19"/>
  <c r="V62" i="19"/>
  <c r="R62" i="19"/>
  <c r="S69" i="19"/>
  <c r="T85" i="19"/>
  <c r="Z85" i="19"/>
  <c r="O78" i="19"/>
  <c r="U55" i="19"/>
  <c r="R55" i="19"/>
  <c r="Q49" i="19"/>
  <c r="V61" i="19"/>
  <c r="O61" i="19"/>
  <c r="T73" i="19"/>
  <c r="T89" i="19"/>
  <c r="X89" i="19"/>
  <c r="N951" i="1" s="1"/>
  <c r="T53" i="19"/>
  <c r="V63" i="19"/>
  <c r="W63" i="19"/>
  <c r="V64" i="19"/>
  <c r="Y72" i="19"/>
  <c r="O72" i="19"/>
  <c r="U82" i="19"/>
  <c r="S50" i="19"/>
  <c r="U50" i="19"/>
  <c r="T60" i="19"/>
  <c r="Q87" i="19"/>
  <c r="U87" i="19"/>
  <c r="X74" i="19"/>
  <c r="N845" i="1" s="1"/>
  <c r="Q81" i="19"/>
  <c r="O81" i="19"/>
  <c r="J57" i="19"/>
  <c r="N65" i="19"/>
  <c r="N85" i="19"/>
  <c r="J79" i="19"/>
  <c r="Q70" i="19"/>
  <c r="Z52" i="19"/>
  <c r="Y80" i="19"/>
  <c r="T83" i="19"/>
  <c r="Y58" i="19"/>
  <c r="W62" i="19"/>
  <c r="W78" i="19"/>
  <c r="O73" i="19"/>
  <c r="X64" i="19"/>
  <c r="N844" i="1" s="1"/>
  <c r="Y60" i="19"/>
  <c r="R87" i="19"/>
  <c r="J60" i="19"/>
  <c r="H57" i="19"/>
  <c r="H62" i="19" s="1"/>
  <c r="G77" i="19"/>
  <c r="G82" i="19" s="1"/>
  <c r="L69" i="19"/>
  <c r="J51" i="19"/>
  <c r="N89" i="19"/>
  <c r="U70" i="19"/>
  <c r="V65" i="19"/>
  <c r="U80" i="19"/>
  <c r="R83" i="19"/>
  <c r="X86" i="19"/>
  <c r="N953" i="1" s="1"/>
  <c r="U47" i="19"/>
  <c r="U78" i="19"/>
  <c r="Y73" i="19"/>
  <c r="Y64" i="19"/>
  <c r="R60" i="19"/>
  <c r="M60" i="19"/>
  <c r="M87" i="19"/>
  <c r="J74" i="19"/>
  <c r="J54" i="19"/>
  <c r="K57" i="19"/>
  <c r="G70" i="19"/>
  <c r="G75" i="19" s="1"/>
  <c r="I88" i="19"/>
  <c r="I81" i="19"/>
  <c r="J72" i="19"/>
  <c r="K52" i="19"/>
  <c r="I65" i="19"/>
  <c r="N68" i="19"/>
  <c r="L67" i="19"/>
  <c r="N77" i="19"/>
  <c r="I63" i="19"/>
  <c r="L47" i="19"/>
  <c r="J62" i="19"/>
  <c r="K69" i="19"/>
  <c r="G80" i="19"/>
  <c r="G85" i="19" s="1"/>
  <c r="N59" i="19"/>
  <c r="K75" i="19"/>
  <c r="J85" i="19"/>
  <c r="G78" i="19"/>
  <c r="G83" i="19" s="1"/>
  <c r="I58" i="19"/>
  <c r="K71" i="19"/>
  <c r="M83" i="19"/>
  <c r="L79" i="19"/>
  <c r="I53" i="19"/>
  <c r="N55" i="19"/>
  <c r="J73" i="19"/>
  <c r="I84" i="19"/>
  <c r="N64" i="19"/>
  <c r="J89" i="19"/>
  <c r="S54" i="19"/>
  <c r="Z57" i="19"/>
  <c r="V57" i="19"/>
  <c r="S70" i="19"/>
  <c r="Y88" i="19"/>
  <c r="R88" i="19"/>
  <c r="Q77" i="19"/>
  <c r="P52" i="19"/>
  <c r="R52" i="19"/>
  <c r="U65" i="19"/>
  <c r="S68" i="19"/>
  <c r="Y68" i="19"/>
  <c r="T67" i="19"/>
  <c r="Q80" i="19"/>
  <c r="V80" i="19"/>
  <c r="T48" i="19"/>
  <c r="T59" i="19"/>
  <c r="O59" i="19"/>
  <c r="S75" i="19"/>
  <c r="V83" i="19"/>
  <c r="Z83" i="19"/>
  <c r="T79" i="19"/>
  <c r="V51" i="19"/>
  <c r="P51" i="19"/>
  <c r="U86" i="19"/>
  <c r="Z58" i="19"/>
  <c r="V58" i="19"/>
  <c r="X71" i="19"/>
  <c r="N777" i="1" s="1"/>
  <c r="S84" i="19"/>
  <c r="R84" i="19"/>
  <c r="O62" i="19"/>
  <c r="Z62" i="19"/>
  <c r="O69" i="19"/>
  <c r="U85" i="19"/>
  <c r="O85" i="19"/>
  <c r="Y78" i="19"/>
  <c r="T55" i="19"/>
  <c r="Z55" i="19"/>
  <c r="P49" i="19"/>
  <c r="X61" i="19"/>
  <c r="N774" i="1" s="1"/>
  <c r="W61" i="19"/>
  <c r="Q73" i="19"/>
  <c r="Y89" i="19"/>
  <c r="P89" i="19"/>
  <c r="S53" i="19"/>
  <c r="X63" i="19"/>
  <c r="N802" i="1" s="1"/>
  <c r="O63" i="19"/>
  <c r="P64" i="19"/>
  <c r="S72" i="19"/>
  <c r="W72" i="19"/>
  <c r="V82" i="19"/>
  <c r="Y50" i="19"/>
  <c r="W50" i="19"/>
  <c r="W60" i="19"/>
  <c r="X87" i="19"/>
  <c r="N946" i="1" s="1"/>
  <c r="O87" i="19"/>
  <c r="Q74" i="19"/>
  <c r="S81" i="19"/>
  <c r="W81" i="19"/>
  <c r="V22" i="58"/>
  <c r="C11" i="58" s="1"/>
  <c r="D11" i="58" s="1"/>
  <c r="E11" i="58" s="1"/>
  <c r="W22" i="58"/>
  <c r="C15" i="58" s="1"/>
  <c r="D15" i="58" s="1"/>
  <c r="E15" i="58" s="1"/>
  <c r="X21" i="58"/>
  <c r="C21" i="58" s="1"/>
  <c r="D21" i="58" s="1"/>
  <c r="E21" i="58" s="1"/>
  <c r="D12" i="47"/>
  <c r="E12" i="47" s="1"/>
  <c r="V6" i="52"/>
  <c r="X17" i="58"/>
  <c r="C17" i="58" s="1"/>
  <c r="D17" i="58" s="1"/>
  <c r="E17" i="58" s="1"/>
  <c r="X18" i="58"/>
  <c r="C18" i="58" s="1"/>
  <c r="D18" i="58" s="1"/>
  <c r="E18" i="58" s="1"/>
  <c r="X16" i="58"/>
  <c r="D6" i="59"/>
  <c r="E6" i="59" s="1"/>
  <c r="C16" i="60"/>
  <c r="D16" i="60" s="1"/>
  <c r="E16" i="60" s="1"/>
  <c r="X22" i="60"/>
  <c r="C9" i="59"/>
  <c r="D9" i="59" s="1"/>
  <c r="E9" i="59" s="1"/>
  <c r="C13" i="59"/>
  <c r="C7" i="59"/>
  <c r="D7" i="59" s="1"/>
  <c r="E7" i="59" s="1"/>
  <c r="C8" i="59"/>
  <c r="D8" i="59" s="1"/>
  <c r="E8" i="59" s="1"/>
  <c r="C11" i="59"/>
  <c r="D11" i="59" s="1"/>
  <c r="E11" i="59" s="1"/>
  <c r="C10" i="59"/>
  <c r="D10" i="59" s="1"/>
  <c r="E10" i="59" s="1"/>
  <c r="C16" i="59"/>
  <c r="D16" i="59" s="1"/>
  <c r="E16" i="59" s="1"/>
  <c r="X22" i="59"/>
  <c r="J29" i="58"/>
  <c r="K29" i="58" s="1"/>
  <c r="I29" i="58"/>
  <c r="C13" i="60"/>
  <c r="C9" i="60"/>
  <c r="D9" i="60" s="1"/>
  <c r="E9" i="60" s="1"/>
  <c r="C6" i="60"/>
  <c r="C8" i="60"/>
  <c r="D8" i="60" s="1"/>
  <c r="E8" i="60" s="1"/>
  <c r="C10" i="60"/>
  <c r="D10" i="60" s="1"/>
  <c r="E10" i="60" s="1"/>
  <c r="D23" i="58"/>
  <c r="E23" i="58" s="1"/>
  <c r="C11" i="60"/>
  <c r="D11" i="60" s="1"/>
  <c r="E11" i="60" s="1"/>
  <c r="C7" i="60"/>
  <c r="D7" i="60" s="1"/>
  <c r="E7" i="60" s="1"/>
  <c r="C17" i="54"/>
  <c r="D17" i="54" s="1"/>
  <c r="E17" i="54" s="1"/>
  <c r="C29" i="54"/>
  <c r="D29" i="54" s="1"/>
  <c r="E29" i="54" s="1"/>
  <c r="X21" i="54"/>
  <c r="C11" i="54"/>
  <c r="D11" i="54" s="1"/>
  <c r="E11" i="54" s="1"/>
  <c r="C10" i="54"/>
  <c r="D10" i="54" s="1"/>
  <c r="E10" i="54" s="1"/>
  <c r="C23" i="54"/>
  <c r="D23" i="54" s="1"/>
  <c r="E23" i="54" s="1"/>
  <c r="C22" i="54"/>
  <c r="X17" i="51"/>
  <c r="X21" i="51" s="1"/>
  <c r="C20" i="51" s="1"/>
  <c r="C22" i="51"/>
  <c r="D22" i="51" s="1"/>
  <c r="E22" i="51" s="1"/>
  <c r="C11" i="51"/>
  <c r="D11" i="51" s="1"/>
  <c r="E11" i="51" s="1"/>
  <c r="C12" i="51"/>
  <c r="D12" i="51" s="1"/>
  <c r="E12" i="51" s="1"/>
  <c r="C23" i="51"/>
  <c r="D23" i="51" s="1"/>
  <c r="E23" i="51" s="1"/>
  <c r="C10" i="51"/>
  <c r="D10" i="51" s="1"/>
  <c r="E10" i="51" s="1"/>
  <c r="Y15" i="51"/>
  <c r="C13" i="51"/>
  <c r="D13" i="51" s="1"/>
  <c r="E13" i="51" s="1"/>
  <c r="C9" i="50"/>
  <c r="D9" i="50" s="1"/>
  <c r="E9" i="50" s="1"/>
  <c r="C11" i="50"/>
  <c r="D11" i="50" s="1"/>
  <c r="E11" i="50" s="1"/>
  <c r="C10" i="50"/>
  <c r="D10" i="50" s="1"/>
  <c r="E10" i="50" s="1"/>
  <c r="C7" i="50"/>
  <c r="D7" i="50" s="1"/>
  <c r="E7" i="50" s="1"/>
  <c r="C13" i="50"/>
  <c r="D13" i="50" s="1"/>
  <c r="E13" i="50" s="1"/>
  <c r="C8" i="50"/>
  <c r="D8" i="50" s="1"/>
  <c r="E8" i="50" s="1"/>
  <c r="D6" i="50"/>
  <c r="E6" i="50" s="1"/>
  <c r="C21" i="47"/>
  <c r="D21" i="47" s="1"/>
  <c r="E21" i="47" s="1"/>
  <c r="D11" i="47"/>
  <c r="E11" i="47" s="1"/>
  <c r="C6" i="42"/>
  <c r="H6" i="42" s="1"/>
  <c r="K6" i="42" s="1"/>
  <c r="P67" i="20"/>
  <c r="P68" i="20" s="1"/>
  <c r="P48" i="19"/>
  <c r="T67" i="20"/>
  <c r="T68" i="20" s="1"/>
  <c r="T47" i="19"/>
  <c r="U67" i="20"/>
  <c r="U68" i="20" s="1"/>
  <c r="U57" i="19"/>
  <c r="R38" i="21" a="1"/>
  <c r="R38" i="21" s="1"/>
  <c r="W38" i="21" a="1"/>
  <c r="W38" i="21" s="1"/>
  <c r="Q38" i="21" a="1"/>
  <c r="Q38" i="21" s="1"/>
  <c r="U38" i="21" a="1"/>
  <c r="U38" i="21" s="1"/>
  <c r="X38" i="21" a="1"/>
  <c r="X38" i="21" s="1"/>
  <c r="V38" i="21" a="1"/>
  <c r="V38" i="21" s="1"/>
  <c r="T38" i="21" a="1"/>
  <c r="T38" i="21" s="1"/>
  <c r="O38" i="21" a="1"/>
  <c r="O38" i="21" s="1"/>
  <c r="P38" i="21" a="1"/>
  <c r="P38" i="21" s="1"/>
  <c r="Y38" i="21" a="1"/>
  <c r="Y38" i="21" s="1"/>
  <c r="S38" i="21" a="1"/>
  <c r="S38" i="21" s="1"/>
  <c r="Z38" i="21" a="1"/>
  <c r="Z38" i="21" s="1"/>
  <c r="Y30" i="21" a="1"/>
  <c r="Y30" i="21" s="1"/>
  <c r="P30" i="21" a="1"/>
  <c r="P30" i="21" s="1"/>
  <c r="R30" i="21" a="1"/>
  <c r="R30" i="21" s="1"/>
  <c r="X30" i="21" a="1"/>
  <c r="X30" i="21" s="1"/>
  <c r="W30" i="21" a="1"/>
  <c r="W30" i="21" s="1"/>
  <c r="U30" i="21" a="1"/>
  <c r="U30" i="21" s="1"/>
  <c r="T30" i="21" a="1"/>
  <c r="T30" i="21" s="1"/>
  <c r="O30" i="21" a="1"/>
  <c r="O30" i="21" s="1"/>
  <c r="Q30" i="21" a="1"/>
  <c r="Q30" i="21" s="1"/>
  <c r="S30" i="21" a="1"/>
  <c r="S30" i="21" s="1"/>
  <c r="Z30" i="21" a="1"/>
  <c r="Z30" i="21" s="1"/>
  <c r="V30" i="21" a="1"/>
  <c r="V30" i="21" s="1"/>
  <c r="P34" i="21" a="1"/>
  <c r="P34" i="21" s="1"/>
  <c r="Z34" i="21" a="1"/>
  <c r="Z34" i="21" s="1"/>
  <c r="Y34" i="21" a="1"/>
  <c r="Y34" i="21" s="1"/>
  <c r="Q34" i="21" a="1"/>
  <c r="Q34" i="21" s="1"/>
  <c r="V34" i="21" a="1"/>
  <c r="V34" i="21" s="1"/>
  <c r="R34" i="21" a="1"/>
  <c r="R34" i="21" s="1"/>
  <c r="O34" i="21" a="1"/>
  <c r="O34" i="21" s="1"/>
  <c r="W34" i="21" a="1"/>
  <c r="W34" i="21" s="1"/>
  <c r="S34" i="21" a="1"/>
  <c r="S34" i="21" s="1"/>
  <c r="X34" i="21" a="1"/>
  <c r="X34" i="21" s="1"/>
  <c r="U34" i="21" a="1"/>
  <c r="U34" i="21" s="1"/>
  <c r="T34" i="21" a="1"/>
  <c r="T34" i="21" s="1"/>
  <c r="O26" i="21" a="1"/>
  <c r="O26" i="21" s="1"/>
  <c r="X26" i="21" a="1"/>
  <c r="X26" i="21" s="1"/>
  <c r="R26" i="21" a="1"/>
  <c r="R26" i="21" s="1"/>
  <c r="P26" i="21" a="1"/>
  <c r="P26" i="21" s="1"/>
  <c r="T26" i="21" a="1"/>
  <c r="T26" i="21" s="1"/>
  <c r="S26" i="21" a="1"/>
  <c r="S26" i="21" s="1"/>
  <c r="U26" i="21" a="1"/>
  <c r="U26" i="21" s="1"/>
  <c r="Q26" i="21" a="1"/>
  <c r="Q26" i="21" s="1"/>
  <c r="W26" i="21" a="1"/>
  <c r="W26" i="21" s="1"/>
  <c r="Y26" i="21" a="1"/>
  <c r="Y26" i="21" s="1"/>
  <c r="Z26" i="21" a="1"/>
  <c r="Z26" i="21" s="1"/>
  <c r="V26" i="21" a="1"/>
  <c r="V26" i="21" s="1"/>
  <c r="P22" i="21" a="1"/>
  <c r="P22" i="21" s="1"/>
  <c r="Z22" i="21" a="1"/>
  <c r="Z22" i="21" s="1"/>
  <c r="V22" i="21" a="1"/>
  <c r="V22" i="21" s="1"/>
  <c r="T22" i="21" a="1"/>
  <c r="T22" i="21" s="1"/>
  <c r="W22" i="21" a="1"/>
  <c r="W22" i="21" s="1"/>
  <c r="Q22" i="21" a="1"/>
  <c r="Q22" i="21" s="1"/>
  <c r="U22" i="21" a="1"/>
  <c r="U22" i="21" s="1"/>
  <c r="Y22" i="21" a="1"/>
  <c r="Y22" i="21" s="1"/>
  <c r="X22" i="21" a="1"/>
  <c r="X22" i="21" s="1"/>
  <c r="R22" i="21" a="1"/>
  <c r="R22" i="21" s="1"/>
  <c r="S22" i="21" a="1"/>
  <c r="S22" i="21" s="1"/>
  <c r="Q67" i="20"/>
  <c r="Q68" i="20" s="1"/>
  <c r="W67" i="20"/>
  <c r="W68" i="20" s="1"/>
  <c r="Z67" i="20"/>
  <c r="Z68" i="20" s="1"/>
  <c r="X67" i="20"/>
  <c r="X68" i="20" s="1"/>
  <c r="R67" i="20"/>
  <c r="R68" i="20" s="1"/>
  <c r="Y67" i="20"/>
  <c r="Y68" i="20" s="1"/>
  <c r="V67" i="20"/>
  <c r="V68" i="20" s="1"/>
  <c r="O67" i="20"/>
  <c r="O68" i="20" s="1"/>
  <c r="S67" i="20"/>
  <c r="S68" i="20" s="1"/>
  <c r="C21" i="22"/>
  <c r="I67" i="20"/>
  <c r="I68" i="20" s="1"/>
  <c r="E6" i="23"/>
  <c r="K67" i="20"/>
  <c r="K68" i="20" s="1"/>
  <c r="AE98" i="21"/>
  <c r="AE67" i="21"/>
  <c r="AE57" i="21"/>
  <c r="AE73" i="21"/>
  <c r="AE86" i="21"/>
  <c r="AE93" i="21"/>
  <c r="AE35" i="21"/>
  <c r="AE80" i="21"/>
  <c r="AE36" i="21"/>
  <c r="AE56" i="21"/>
  <c r="AE55" i="21"/>
  <c r="M34" i="21" a="1"/>
  <c r="M34" i="21" s="1"/>
  <c r="J34" i="21" a="1"/>
  <c r="J34" i="21" s="1"/>
  <c r="H34" i="21" a="1"/>
  <c r="H34" i="21" s="1"/>
  <c r="L34" i="21" a="1"/>
  <c r="L34" i="21" s="1"/>
  <c r="K34" i="21" a="1"/>
  <c r="K34" i="21" s="1"/>
  <c r="G34" i="21" a="1"/>
  <c r="G34" i="21" s="1"/>
  <c r="I34" i="21" a="1"/>
  <c r="I34" i="21" s="1"/>
  <c r="N34" i="21" a="1"/>
  <c r="N34" i="21" s="1"/>
  <c r="AE91" i="21"/>
  <c r="AE48" i="21"/>
  <c r="AE49" i="21"/>
  <c r="AE47" i="21"/>
  <c r="AE28" i="21"/>
  <c r="AE27" i="21"/>
  <c r="AE71" i="21"/>
  <c r="AE78" i="21"/>
  <c r="AE84" i="21"/>
  <c r="AE96" i="21"/>
  <c r="AE65" i="21"/>
  <c r="J26" i="21" a="1"/>
  <c r="J26" i="21" s="1"/>
  <c r="N26" i="21" a="1"/>
  <c r="N26" i="21" s="1"/>
  <c r="I26" i="21" a="1"/>
  <c r="I26" i="21" s="1"/>
  <c r="K26" i="21" a="1"/>
  <c r="K26" i="21" s="1"/>
  <c r="M26" i="21" a="1"/>
  <c r="M26" i="21" s="1"/>
  <c r="L26" i="21" a="1"/>
  <c r="L26" i="21" s="1"/>
  <c r="H26" i="21" a="1"/>
  <c r="H26" i="21" s="1"/>
  <c r="G26" i="21" a="1"/>
  <c r="G26" i="21" s="1"/>
  <c r="AE83" i="21"/>
  <c r="AE44" i="21"/>
  <c r="AE23" i="21"/>
  <c r="AE90" i="21"/>
  <c r="AE45" i="21"/>
  <c r="AE43" i="21"/>
  <c r="AE24" i="21"/>
  <c r="AE64" i="21"/>
  <c r="AE77" i="21"/>
  <c r="AE95" i="21"/>
  <c r="AE70" i="21"/>
  <c r="M22" i="21" a="1"/>
  <c r="M22" i="21" s="1"/>
  <c r="N22" i="21" a="1"/>
  <c r="N22" i="21" s="1"/>
  <c r="G22" i="21" a="1"/>
  <c r="G22" i="21" s="1"/>
  <c r="K22" i="21" a="1"/>
  <c r="K22" i="21" s="1"/>
  <c r="I22" i="21" a="1"/>
  <c r="I22" i="21" s="1"/>
  <c r="J22" i="21" a="1"/>
  <c r="J22" i="21" s="1"/>
  <c r="H22" i="21" a="1"/>
  <c r="H22" i="21" s="1"/>
  <c r="L22" i="21" a="1"/>
  <c r="L22" i="21" s="1"/>
  <c r="AE99" i="21"/>
  <c r="AE39" i="21"/>
  <c r="AE59" i="21"/>
  <c r="AE68" i="21"/>
  <c r="AE94" i="21"/>
  <c r="AE74" i="21"/>
  <c r="AE60" i="21"/>
  <c r="AE81" i="21"/>
  <c r="AE40" i="21"/>
  <c r="AE87" i="21"/>
  <c r="AE61" i="21"/>
  <c r="W61" i="21" s="1" a="1"/>
  <c r="W61" i="21" s="1"/>
  <c r="H38" i="21" a="1"/>
  <c r="H38" i="21" s="1"/>
  <c r="N38" i="21" a="1"/>
  <c r="N38" i="21" s="1"/>
  <c r="J38" i="21" a="1"/>
  <c r="J38" i="21" s="1"/>
  <c r="M38" i="21" a="1"/>
  <c r="M38" i="21" s="1"/>
  <c r="L38" i="21" a="1"/>
  <c r="L38" i="21" s="1"/>
  <c r="I38" i="21" a="1"/>
  <c r="I38" i="21" s="1"/>
  <c r="G38" i="21" a="1"/>
  <c r="G38" i="21" s="1"/>
  <c r="K38" i="21" a="1"/>
  <c r="K38" i="21" s="1"/>
  <c r="AE51" i="21"/>
  <c r="AE85" i="21"/>
  <c r="AE53" i="21"/>
  <c r="AE97" i="21"/>
  <c r="AE52" i="21"/>
  <c r="AE66" i="21"/>
  <c r="AE32" i="21"/>
  <c r="AE72" i="21"/>
  <c r="AE31" i="21"/>
  <c r="AE79" i="21"/>
  <c r="AE92" i="21"/>
  <c r="N30" i="21" a="1"/>
  <c r="N30" i="21" s="1"/>
  <c r="G30" i="21" a="1"/>
  <c r="G30" i="21" s="1"/>
  <c r="K30" i="21" a="1"/>
  <c r="K30" i="21" s="1"/>
  <c r="I30" i="21" a="1"/>
  <c r="I30" i="21" s="1"/>
  <c r="L30" i="21" a="1"/>
  <c r="L30" i="21" s="1"/>
  <c r="J30" i="21" a="1"/>
  <c r="J30" i="21" s="1"/>
  <c r="M30" i="21" a="1"/>
  <c r="M30" i="21" s="1"/>
  <c r="H30" i="21" a="1"/>
  <c r="H30" i="21" s="1"/>
  <c r="H67" i="20"/>
  <c r="H68" i="20" s="1"/>
  <c r="G67" i="20"/>
  <c r="G68" i="20" s="1"/>
  <c r="M67" i="20"/>
  <c r="M68" i="20" s="1"/>
  <c r="J67" i="20"/>
  <c r="J68" i="20" s="1"/>
  <c r="N51" i="19"/>
  <c r="N67" i="20"/>
  <c r="N68" i="20" s="1"/>
  <c r="L51" i="19"/>
  <c r="L67" i="20"/>
  <c r="L68" i="20" s="1"/>
  <c r="M92" i="19"/>
  <c r="M11" i="21"/>
  <c r="M9" i="21"/>
  <c r="K11" i="21"/>
  <c r="K9" i="21"/>
  <c r="J11" i="21"/>
  <c r="J9" i="21"/>
  <c r="G11" i="21"/>
  <c r="G9" i="21"/>
  <c r="H11" i="21"/>
  <c r="H9" i="21"/>
  <c r="L11" i="21"/>
  <c r="L9" i="21"/>
  <c r="I11" i="21"/>
  <c r="I9" i="21"/>
  <c r="N11" i="21"/>
  <c r="N9" i="21"/>
  <c r="G48" i="19"/>
  <c r="G53" i="19" s="1"/>
  <c r="K48" i="19"/>
  <c r="M48" i="19"/>
  <c r="L49" i="19"/>
  <c r="H48" i="19"/>
  <c r="H53" i="19" s="1"/>
  <c r="I48" i="19"/>
  <c r="J48" i="19"/>
  <c r="N48" i="19"/>
  <c r="N49" i="19"/>
  <c r="M66" i="19"/>
  <c r="I56" i="19"/>
  <c r="K66" i="19"/>
  <c r="L66" i="19"/>
  <c r="I66" i="19"/>
  <c r="J76" i="19"/>
  <c r="I76" i="19"/>
  <c r="N46" i="19"/>
  <c r="M76" i="19"/>
  <c r="J66" i="19"/>
  <c r="L56" i="19"/>
  <c r="N56" i="19"/>
  <c r="K56" i="19"/>
  <c r="M56" i="19"/>
  <c r="K76" i="19"/>
  <c r="I46" i="19"/>
  <c r="J46" i="19"/>
  <c r="N76" i="19"/>
  <c r="N66" i="19"/>
  <c r="M46" i="19"/>
  <c r="K46" i="19"/>
  <c r="L46" i="19"/>
  <c r="J56" i="19"/>
  <c r="L76" i="19"/>
  <c r="G56" i="19"/>
  <c r="G61" i="19" s="1"/>
  <c r="G87" i="19"/>
  <c r="G46" i="19"/>
  <c r="G51" i="19" s="1"/>
  <c r="G76" i="19"/>
  <c r="G81" i="19" s="1"/>
  <c r="G89" i="19" a="1"/>
  <c r="G89" i="19" s="1"/>
  <c r="G66" i="19"/>
  <c r="G71" i="19" s="1"/>
  <c r="G88" i="19"/>
  <c r="H76" i="19"/>
  <c r="H81" i="19" s="1"/>
  <c r="H89" i="19" a="1"/>
  <c r="H89" i="19" s="1"/>
  <c r="H88" i="19"/>
  <c r="H66" i="19"/>
  <c r="H71" i="19" s="1"/>
  <c r="H87" i="19"/>
  <c r="H56" i="19"/>
  <c r="H61" i="19" s="1"/>
  <c r="H46" i="19"/>
  <c r="H51" i="19" s="1"/>
  <c r="D7" i="22"/>
  <c r="E7" i="22" s="1"/>
  <c r="D6" i="22"/>
  <c r="E6" i="22" s="1"/>
  <c r="N91" i="19"/>
  <c r="P91" i="19" s="1"/>
  <c r="Q91" i="19" s="1"/>
  <c r="R91" i="19" s="1"/>
  <c r="S91" i="19" s="1"/>
  <c r="T91" i="19" s="1"/>
  <c r="U91" i="19" s="1"/>
  <c r="V91" i="19" s="1"/>
  <c r="W91" i="19" s="1"/>
  <c r="X91" i="19" s="1"/>
  <c r="Y91" i="19" s="1"/>
  <c r="Z91" i="19" s="1"/>
  <c r="N94" i="19"/>
  <c r="P94" i="19" s="1"/>
  <c r="Q94" i="19" s="1"/>
  <c r="R94" i="19" s="1"/>
  <c r="S94" i="19" s="1"/>
  <c r="T94" i="19" s="1"/>
  <c r="U94" i="19" s="1"/>
  <c r="V94" i="19" s="1"/>
  <c r="W94" i="19" s="1"/>
  <c r="X94" i="19" s="1"/>
  <c r="Y94" i="19" s="1"/>
  <c r="Z94" i="19" s="1"/>
  <c r="N90" i="19"/>
  <c r="P90" i="19" s="1"/>
  <c r="Q90" i="19" s="1"/>
  <c r="R90" i="19" s="1"/>
  <c r="S90" i="19" s="1"/>
  <c r="T90" i="19" s="1"/>
  <c r="U90" i="19" s="1"/>
  <c r="V90" i="19" s="1"/>
  <c r="W90" i="19" s="1"/>
  <c r="X90" i="19" s="1"/>
  <c r="Y90" i="19" s="1"/>
  <c r="Z90" i="19" s="1"/>
  <c r="N93" i="19"/>
  <c r="P93" i="19" s="1"/>
  <c r="Q93" i="19" s="1"/>
  <c r="R93" i="19" s="1"/>
  <c r="S93" i="19" s="1"/>
  <c r="T93" i="19" s="1"/>
  <c r="U93" i="19" s="1"/>
  <c r="V93" i="19" s="1"/>
  <c r="W93" i="19" s="1"/>
  <c r="X93" i="19" s="1"/>
  <c r="Y93" i="19" s="1"/>
  <c r="Z93" i="19" s="1"/>
  <c r="AA359" i="19"/>
  <c r="Z362" i="19" l="1"/>
  <c r="R362" i="19"/>
  <c r="O362" i="19"/>
  <c r="X362" i="19"/>
  <c r="W362" i="19"/>
  <c r="S362" i="19"/>
  <c r="Y362" i="19"/>
  <c r="Q362" i="19"/>
  <c r="L107" i="19"/>
  <c r="K119" i="19"/>
  <c r="G95" i="19"/>
  <c r="L101" i="19"/>
  <c r="M113" i="19"/>
  <c r="Q101" i="19"/>
  <c r="T113" i="19"/>
  <c r="Q113" i="19"/>
  <c r="O107" i="19"/>
  <c r="Z119" i="19"/>
  <c r="U119" i="19"/>
  <c r="J107" i="19"/>
  <c r="H119" i="19"/>
  <c r="W101" i="19"/>
  <c r="I107" i="19"/>
  <c r="G119" i="19"/>
  <c r="S119" i="19"/>
  <c r="K107" i="19"/>
  <c r="K101" i="19"/>
  <c r="I113" i="19"/>
  <c r="S101" i="19"/>
  <c r="X113" i="19"/>
  <c r="N309" i="1" s="1"/>
  <c r="Z113" i="19"/>
  <c r="U107" i="19"/>
  <c r="Y119" i="19"/>
  <c r="W119" i="19"/>
  <c r="K95" i="19"/>
  <c r="Q107" i="19"/>
  <c r="U113" i="19"/>
  <c r="T107" i="19"/>
  <c r="I119" i="19"/>
  <c r="G107" i="19"/>
  <c r="L119" i="19"/>
  <c r="L95" i="19"/>
  <c r="I101" i="19"/>
  <c r="G113" i="19"/>
  <c r="T101" i="19"/>
  <c r="S113" i="19"/>
  <c r="P113" i="19"/>
  <c r="W107" i="19"/>
  <c r="P119" i="19"/>
  <c r="R119" i="19"/>
  <c r="H101" i="19"/>
  <c r="J113" i="19"/>
  <c r="O101" i="19"/>
  <c r="Y107" i="19"/>
  <c r="Y113" i="19"/>
  <c r="Q119" i="19"/>
  <c r="M119" i="19"/>
  <c r="H95" i="19"/>
  <c r="K113" i="19"/>
  <c r="V101" i="19"/>
  <c r="P101" i="19"/>
  <c r="W113" i="19"/>
  <c r="V107" i="19"/>
  <c r="X107" i="19"/>
  <c r="N310" i="1" s="1"/>
  <c r="O119" i="19"/>
  <c r="V113" i="19"/>
  <c r="X119" i="19"/>
  <c r="N308" i="1" s="1"/>
  <c r="H107" i="19"/>
  <c r="J119" i="19"/>
  <c r="J95" i="19"/>
  <c r="J101" i="19"/>
  <c r="L113" i="19"/>
  <c r="Z101" i="19"/>
  <c r="R101" i="19"/>
  <c r="O113" i="19"/>
  <c r="Z107" i="19"/>
  <c r="R107" i="19"/>
  <c r="T119" i="19"/>
  <c r="V362" i="19"/>
  <c r="U101" i="19"/>
  <c r="I95" i="19"/>
  <c r="G101" i="19"/>
  <c r="H113" i="19"/>
  <c r="Y101" i="19"/>
  <c r="X101" i="19"/>
  <c r="N306" i="1" s="1"/>
  <c r="R113" i="19"/>
  <c r="S107" i="19"/>
  <c r="P107" i="19"/>
  <c r="V119" i="19"/>
  <c r="C8" i="58"/>
  <c r="D8" i="58" s="1"/>
  <c r="E8" i="58" s="1"/>
  <c r="C10" i="58"/>
  <c r="D10" i="58" s="1"/>
  <c r="E10" i="58" s="1"/>
  <c r="C26" i="58"/>
  <c r="D26" i="58" s="1"/>
  <c r="E26" i="58" s="1"/>
  <c r="C7" i="58"/>
  <c r="D7" i="58" s="1"/>
  <c r="E7" i="58" s="1"/>
  <c r="C6" i="58"/>
  <c r="D6" i="58" s="1"/>
  <c r="E6" i="58" s="1"/>
  <c r="C13" i="58"/>
  <c r="C9" i="58"/>
  <c r="D9" i="58" s="1"/>
  <c r="E9" i="58" s="1"/>
  <c r="C12" i="59"/>
  <c r="D12" i="59" s="1"/>
  <c r="E12" i="59" s="1"/>
  <c r="C12" i="50"/>
  <c r="D12" i="50" s="1"/>
  <c r="E12" i="50" s="1"/>
  <c r="C16" i="58"/>
  <c r="D16" i="58" s="1"/>
  <c r="E16" i="58" s="1"/>
  <c r="X22" i="58"/>
  <c r="C14" i="60"/>
  <c r="D14" i="60" s="1"/>
  <c r="E14" i="60" s="1"/>
  <c r="D13" i="60"/>
  <c r="E13" i="60" s="1"/>
  <c r="C26" i="60"/>
  <c r="C27" i="60"/>
  <c r="D27" i="60" s="1"/>
  <c r="E27" i="60" s="1"/>
  <c r="C14" i="59"/>
  <c r="D14" i="59" s="1"/>
  <c r="E14" i="59" s="1"/>
  <c r="D13" i="59"/>
  <c r="E13" i="59" s="1"/>
  <c r="C26" i="59"/>
  <c r="C27" i="59"/>
  <c r="D27" i="59" s="1"/>
  <c r="E27" i="59" s="1"/>
  <c r="C22" i="59"/>
  <c r="D22" i="59" s="1"/>
  <c r="E22" i="59" s="1"/>
  <c r="X30" i="59"/>
  <c r="C24" i="59"/>
  <c r="C22" i="60"/>
  <c r="D22" i="60" s="1"/>
  <c r="E22" i="60" s="1"/>
  <c r="X30" i="60"/>
  <c r="C30" i="60" s="1"/>
  <c r="D30" i="60" s="1"/>
  <c r="E30" i="60" s="1"/>
  <c r="C24" i="60"/>
  <c r="C12" i="60"/>
  <c r="D12" i="60" s="1"/>
  <c r="E12" i="60" s="1"/>
  <c r="D6" i="60"/>
  <c r="E6" i="60" s="1"/>
  <c r="C26" i="50"/>
  <c r="D26" i="50" s="1"/>
  <c r="E26" i="50" s="1"/>
  <c r="C27" i="50"/>
  <c r="D27" i="50" s="1"/>
  <c r="E27" i="50" s="1"/>
  <c r="C17" i="51"/>
  <c r="D17" i="51" s="1"/>
  <c r="E17" i="51" s="1"/>
  <c r="C24" i="54"/>
  <c r="D24" i="54" s="1"/>
  <c r="E24" i="54" s="1"/>
  <c r="D22" i="54"/>
  <c r="E22" i="54" s="1"/>
  <c r="X26" i="54"/>
  <c r="C21" i="54"/>
  <c r="C20" i="54"/>
  <c r="C21" i="51"/>
  <c r="X26" i="51"/>
  <c r="C26" i="51" s="1"/>
  <c r="C11" i="53" s="1"/>
  <c r="D11" i="53" s="1"/>
  <c r="C29" i="51"/>
  <c r="D29" i="51" s="1"/>
  <c r="E29" i="51" s="1"/>
  <c r="C24" i="51"/>
  <c r="D24" i="51" s="1"/>
  <c r="E24" i="51" s="1"/>
  <c r="D20" i="51"/>
  <c r="E20" i="51" s="1"/>
  <c r="C14" i="50"/>
  <c r="D14" i="50" s="1"/>
  <c r="E14" i="50" s="1"/>
  <c r="C22" i="47"/>
  <c r="C23" i="47" s="1"/>
  <c r="C25" i="47" s="1"/>
  <c r="C7" i="53" s="1"/>
  <c r="D22" i="47"/>
  <c r="U362" i="19"/>
  <c r="T362" i="19"/>
  <c r="Y95" i="19"/>
  <c r="Q95" i="19"/>
  <c r="W95" i="19"/>
  <c r="P95" i="19"/>
  <c r="S95" i="19"/>
  <c r="T95" i="19"/>
  <c r="X95" i="19"/>
  <c r="N303" i="1" s="1"/>
  <c r="U95" i="19"/>
  <c r="R95" i="19"/>
  <c r="V95" i="19"/>
  <c r="O95" i="19"/>
  <c r="Z95" i="19"/>
  <c r="P362" i="19"/>
  <c r="V60" i="21" a="1"/>
  <c r="V60" i="21" s="1"/>
  <c r="W60" i="21" a="1"/>
  <c r="W60" i="21" s="1"/>
  <c r="U60" i="21" a="1"/>
  <c r="U60" i="21" s="1"/>
  <c r="O60" i="21" a="1"/>
  <c r="O60" i="21" s="1"/>
  <c r="T60" i="21" a="1"/>
  <c r="T60" i="21" s="1"/>
  <c r="Y60" i="21" a="1"/>
  <c r="Y60" i="21" s="1"/>
  <c r="P60" i="21" a="1"/>
  <c r="P60" i="21" s="1"/>
  <c r="Q60" i="21" a="1"/>
  <c r="Q60" i="21" s="1"/>
  <c r="X60" i="21" a="1"/>
  <c r="X60" i="21" s="1"/>
  <c r="Z60" i="21" a="1"/>
  <c r="Z60" i="21" s="1"/>
  <c r="S60" i="21" a="1"/>
  <c r="S60" i="21" s="1"/>
  <c r="R60" i="21" a="1"/>
  <c r="R60" i="21" s="1"/>
  <c r="O66" i="21" a="1"/>
  <c r="O66" i="21" s="1"/>
  <c r="S66" i="21" a="1"/>
  <c r="S66" i="21" s="1"/>
  <c r="R66" i="21" a="1"/>
  <c r="R66" i="21" s="1"/>
  <c r="U66" i="21" a="1"/>
  <c r="U66" i="21" s="1"/>
  <c r="X66" i="21" a="1"/>
  <c r="X66" i="21" s="1"/>
  <c r="V66" i="21" a="1"/>
  <c r="V66" i="21" s="1"/>
  <c r="P66" i="21" a="1"/>
  <c r="P66" i="21" s="1"/>
  <c r="T66" i="21" a="1"/>
  <c r="T66" i="21" s="1"/>
  <c r="Z66" i="21" a="1"/>
  <c r="Z66" i="21" s="1"/>
  <c r="Y66" i="21" a="1"/>
  <c r="Y66" i="21" s="1"/>
  <c r="Q66" i="21" a="1"/>
  <c r="Q66" i="21" s="1"/>
  <c r="W66" i="21" a="1"/>
  <c r="W66" i="21" s="1"/>
  <c r="V40" i="21" a="1"/>
  <c r="V40" i="21" s="1"/>
  <c r="W40" i="21" a="1"/>
  <c r="W40" i="21" s="1"/>
  <c r="X40" i="21" a="1"/>
  <c r="X40" i="21" s="1"/>
  <c r="Z40" i="21" a="1"/>
  <c r="Z40" i="21" s="1"/>
  <c r="R40" i="21" a="1"/>
  <c r="R40" i="21" s="1"/>
  <c r="S40" i="21" a="1"/>
  <c r="S40" i="21" s="1"/>
  <c r="P40" i="21" a="1"/>
  <c r="P40" i="21" s="1"/>
  <c r="O40" i="21" a="1"/>
  <c r="O40" i="21" s="1"/>
  <c r="Y40" i="21" a="1"/>
  <c r="Y40" i="21" s="1"/>
  <c r="U40" i="21" a="1"/>
  <c r="U40" i="21" s="1"/>
  <c r="Q40" i="21" a="1"/>
  <c r="Q40" i="21" s="1"/>
  <c r="T40" i="21" a="1"/>
  <c r="T40" i="21" s="1"/>
  <c r="Z99" i="21" a="1"/>
  <c r="Z99" i="21" s="1"/>
  <c r="Q99" i="21" a="1"/>
  <c r="Q99" i="21" s="1"/>
  <c r="R99" i="21" a="1"/>
  <c r="R99" i="21" s="1"/>
  <c r="Y99" i="21" a="1"/>
  <c r="Y99" i="21" s="1"/>
  <c r="P99" i="21" a="1"/>
  <c r="P99" i="21" s="1"/>
  <c r="X99" i="21" a="1"/>
  <c r="X99" i="21" s="1"/>
  <c r="V99" i="21" a="1"/>
  <c r="V99" i="21" s="1"/>
  <c r="T99" i="21" a="1"/>
  <c r="T99" i="21" s="1"/>
  <c r="W99" i="21" a="1"/>
  <c r="W99" i="21" s="1"/>
  <c r="O99" i="21" a="1"/>
  <c r="O99" i="21" s="1"/>
  <c r="U99" i="21" a="1"/>
  <c r="U99" i="21" s="1"/>
  <c r="S99" i="21" a="1"/>
  <c r="S99" i="21" s="1"/>
  <c r="R90" i="21" a="1"/>
  <c r="R90" i="21" s="1"/>
  <c r="X90" i="21" a="1"/>
  <c r="X90" i="21" s="1"/>
  <c r="S90" i="21" a="1"/>
  <c r="S90" i="21" s="1"/>
  <c r="W90" i="21" a="1"/>
  <c r="W90" i="21" s="1"/>
  <c r="U90" i="21" a="1"/>
  <c r="U90" i="21" s="1"/>
  <c r="Z90" i="21" a="1"/>
  <c r="Z90" i="21" s="1"/>
  <c r="V90" i="21" a="1"/>
  <c r="V90" i="21" s="1"/>
  <c r="P90" i="21" a="1"/>
  <c r="P90" i="21" s="1"/>
  <c r="O90" i="21" a="1"/>
  <c r="O90" i="21" s="1"/>
  <c r="T90" i="21" a="1"/>
  <c r="T90" i="21" s="1"/>
  <c r="Y90" i="21" a="1"/>
  <c r="Y90" i="21" s="1"/>
  <c r="Q90" i="21" a="1"/>
  <c r="Q90" i="21" s="1"/>
  <c r="O71" i="21" a="1"/>
  <c r="O71" i="21" s="1"/>
  <c r="Z71" i="21" a="1"/>
  <c r="Z71" i="21" s="1"/>
  <c r="Y71" i="21" a="1"/>
  <c r="Y71" i="21" s="1"/>
  <c r="V71" i="21" a="1"/>
  <c r="V71" i="21" s="1"/>
  <c r="X71" i="21" a="1"/>
  <c r="X71" i="21" s="1"/>
  <c r="P71" i="21" a="1"/>
  <c r="P71" i="21" s="1"/>
  <c r="U71" i="21" a="1"/>
  <c r="U71" i="21" s="1"/>
  <c r="W71" i="21" a="1"/>
  <c r="W71" i="21" s="1"/>
  <c r="S71" i="21" a="1"/>
  <c r="S71" i="21" s="1"/>
  <c r="Q71" i="21" a="1"/>
  <c r="Q71" i="21" s="1"/>
  <c r="R71" i="21" a="1"/>
  <c r="R71" i="21" s="1"/>
  <c r="T71" i="21" a="1"/>
  <c r="T71" i="21" s="1"/>
  <c r="V56" i="21" a="1"/>
  <c r="V56" i="21" s="1"/>
  <c r="W56" i="21" a="1"/>
  <c r="W56" i="21" s="1"/>
  <c r="U56" i="21" a="1"/>
  <c r="U56" i="21" s="1"/>
  <c r="Y56" i="21" a="1"/>
  <c r="Y56" i="21" s="1"/>
  <c r="P56" i="21" a="1"/>
  <c r="P56" i="21" s="1"/>
  <c r="X56" i="21" a="1"/>
  <c r="X56" i="21" s="1"/>
  <c r="T56" i="21" a="1"/>
  <c r="T56" i="21" s="1"/>
  <c r="O56" i="21" a="1"/>
  <c r="O56" i="21" s="1"/>
  <c r="Q56" i="21" a="1"/>
  <c r="Q56" i="21" s="1"/>
  <c r="Z56" i="21" a="1"/>
  <c r="Z56" i="21" s="1"/>
  <c r="R56" i="21" a="1"/>
  <c r="R56" i="21" s="1"/>
  <c r="S56" i="21" a="1"/>
  <c r="S56" i="21" s="1"/>
  <c r="O67" i="21" a="1"/>
  <c r="O67" i="21" s="1"/>
  <c r="P67" i="21" a="1"/>
  <c r="P67" i="21" s="1"/>
  <c r="T67" i="21" a="1"/>
  <c r="T67" i="21" s="1"/>
  <c r="S67" i="21" a="1"/>
  <c r="S67" i="21" s="1"/>
  <c r="W67" i="21" a="1"/>
  <c r="W67" i="21" s="1"/>
  <c r="Z67" i="21" a="1"/>
  <c r="Z67" i="21" s="1"/>
  <c r="V67" i="21" a="1"/>
  <c r="V67" i="21" s="1"/>
  <c r="U67" i="21" a="1"/>
  <c r="U67" i="21" s="1"/>
  <c r="Q67" i="21" a="1"/>
  <c r="Q67" i="21" s="1"/>
  <c r="Y67" i="21" a="1"/>
  <c r="Y67" i="21" s="1"/>
  <c r="X67" i="21" a="1"/>
  <c r="X67" i="21" s="1"/>
  <c r="R67" i="21" a="1"/>
  <c r="R67" i="21" s="1"/>
  <c r="V44" i="21" a="1"/>
  <c r="V44" i="21" s="1"/>
  <c r="W44" i="21" a="1"/>
  <c r="W44" i="21" s="1"/>
  <c r="U44" i="21" a="1"/>
  <c r="U44" i="21" s="1"/>
  <c r="X44" i="21" a="1"/>
  <c r="X44" i="21" s="1"/>
  <c r="O44" i="21" a="1"/>
  <c r="O44" i="21" s="1"/>
  <c r="Q44" i="21" a="1"/>
  <c r="Q44" i="21" s="1"/>
  <c r="T44" i="21" a="1"/>
  <c r="T44" i="21" s="1"/>
  <c r="P44" i="21" a="1"/>
  <c r="P44" i="21" s="1"/>
  <c r="Y44" i="21" a="1"/>
  <c r="Y44" i="21" s="1"/>
  <c r="S44" i="21" a="1"/>
  <c r="S44" i="21" s="1"/>
  <c r="R44" i="21" a="1"/>
  <c r="R44" i="21" s="1"/>
  <c r="Z44" i="21" a="1"/>
  <c r="Z44" i="21" s="1"/>
  <c r="X28" i="21" a="1"/>
  <c r="X28" i="21" s="1"/>
  <c r="T28" i="21" a="1"/>
  <c r="T28" i="21" s="1"/>
  <c r="Q28" i="21" a="1"/>
  <c r="Q28" i="21" s="1"/>
  <c r="Z28" i="21" a="1"/>
  <c r="Z28" i="21" s="1"/>
  <c r="Y28" i="21" a="1"/>
  <c r="Y28" i="21" s="1"/>
  <c r="S28" i="21" a="1"/>
  <c r="S28" i="21" s="1"/>
  <c r="P28" i="21" a="1"/>
  <c r="P28" i="21" s="1"/>
  <c r="R28" i="21" a="1"/>
  <c r="R28" i="21" s="1"/>
  <c r="O28" i="21" a="1"/>
  <c r="O28" i="21" s="1"/>
  <c r="V28" i="21" a="1"/>
  <c r="V28" i="21" s="1"/>
  <c r="W28" i="21" a="1"/>
  <c r="W28" i="21" s="1"/>
  <c r="U28" i="21" a="1"/>
  <c r="U28" i="21" s="1"/>
  <c r="O72" i="21" a="1"/>
  <c r="O72" i="21" s="1"/>
  <c r="Z72" i="21" a="1"/>
  <c r="Z72" i="21" s="1"/>
  <c r="W72" i="21" a="1"/>
  <c r="W72" i="21" s="1"/>
  <c r="Q72" i="21" a="1"/>
  <c r="Q72" i="21" s="1"/>
  <c r="R72" i="21" a="1"/>
  <c r="R72" i="21" s="1"/>
  <c r="T72" i="21" a="1"/>
  <c r="T72" i="21" s="1"/>
  <c r="P72" i="21" a="1"/>
  <c r="P72" i="21" s="1"/>
  <c r="Y72" i="21" a="1"/>
  <c r="Y72" i="21" s="1"/>
  <c r="U72" i="21" a="1"/>
  <c r="U72" i="21" s="1"/>
  <c r="V72" i="21" a="1"/>
  <c r="V72" i="21" s="1"/>
  <c r="S72" i="21" a="1"/>
  <c r="S72" i="21" s="1"/>
  <c r="X72" i="21" a="1"/>
  <c r="X72" i="21" s="1"/>
  <c r="V52" i="21" a="1"/>
  <c r="V52" i="21" s="1"/>
  <c r="W52" i="21" a="1"/>
  <c r="W52" i="21" s="1"/>
  <c r="Q52" i="21" a="1"/>
  <c r="Q52" i="21" s="1"/>
  <c r="X52" i="21" a="1"/>
  <c r="X52" i="21" s="1"/>
  <c r="U52" i="21" a="1"/>
  <c r="U52" i="21" s="1"/>
  <c r="T52" i="21" a="1"/>
  <c r="T52" i="21" s="1"/>
  <c r="Y52" i="21" a="1"/>
  <c r="Y52" i="21" s="1"/>
  <c r="P52" i="21" a="1"/>
  <c r="P52" i="21" s="1"/>
  <c r="O52" i="21" a="1"/>
  <c r="O52" i="21" s="1"/>
  <c r="S52" i="21" a="1"/>
  <c r="S52" i="21" s="1"/>
  <c r="Z52" i="21" a="1"/>
  <c r="Z52" i="21" s="1"/>
  <c r="R52" i="21" a="1"/>
  <c r="R52" i="21" s="1"/>
  <c r="X81" i="21" a="1"/>
  <c r="X81" i="21" s="1"/>
  <c r="Q81" i="21" a="1"/>
  <c r="Q81" i="21" s="1"/>
  <c r="W81" i="21" a="1"/>
  <c r="W81" i="21" s="1"/>
  <c r="U81" i="21" a="1"/>
  <c r="U81" i="21" s="1"/>
  <c r="V81" i="21" a="1"/>
  <c r="V81" i="21" s="1"/>
  <c r="Y81" i="21" a="1"/>
  <c r="Y81" i="21" s="1"/>
  <c r="T81" i="21" a="1"/>
  <c r="T81" i="21" s="1"/>
  <c r="P81" i="21" a="1"/>
  <c r="P81" i="21" s="1"/>
  <c r="O81" i="21" a="1"/>
  <c r="O81" i="21" s="1"/>
  <c r="Z81" i="21" a="1"/>
  <c r="Z81" i="21" s="1"/>
  <c r="R81" i="21" a="1"/>
  <c r="R81" i="21" s="1"/>
  <c r="S81" i="21" a="1"/>
  <c r="S81" i="21" s="1"/>
  <c r="X70" i="21" a="1"/>
  <c r="X70" i="21" s="1"/>
  <c r="Y70" i="21" a="1"/>
  <c r="Y70" i="21" s="1"/>
  <c r="V70" i="21" a="1"/>
  <c r="V70" i="21" s="1"/>
  <c r="W70" i="21" a="1"/>
  <c r="W70" i="21" s="1"/>
  <c r="R70" i="21" a="1"/>
  <c r="R70" i="21" s="1"/>
  <c r="T70" i="21" a="1"/>
  <c r="T70" i="21" s="1"/>
  <c r="Q70" i="21" a="1"/>
  <c r="Q70" i="21" s="1"/>
  <c r="Z70" i="21" a="1"/>
  <c r="Z70" i="21" s="1"/>
  <c r="U70" i="21" a="1"/>
  <c r="U70" i="21" s="1"/>
  <c r="P70" i="21" a="1"/>
  <c r="P70" i="21" s="1"/>
  <c r="S70" i="21" a="1"/>
  <c r="S70" i="21" s="1"/>
  <c r="O70" i="21" a="1"/>
  <c r="O70" i="21" s="1"/>
  <c r="P23" i="21" a="1"/>
  <c r="P23" i="21" s="1"/>
  <c r="X23" i="21" a="1"/>
  <c r="X23" i="21" s="1"/>
  <c r="S23" i="21" a="1"/>
  <c r="S23" i="21" s="1"/>
  <c r="R23" i="21" a="1"/>
  <c r="R23" i="21" s="1"/>
  <c r="V23" i="21" a="1"/>
  <c r="V23" i="21" s="1"/>
  <c r="Q23" i="21" a="1"/>
  <c r="Q23" i="21" s="1"/>
  <c r="T23" i="21" a="1"/>
  <c r="T23" i="21" s="1"/>
  <c r="Y23" i="21" a="1"/>
  <c r="Y23" i="21" s="1"/>
  <c r="Z23" i="21" a="1"/>
  <c r="Z23" i="21" s="1"/>
  <c r="O23" i="21" a="1"/>
  <c r="O23" i="21" s="1"/>
  <c r="U23" i="21" a="1"/>
  <c r="U23" i="21" s="1"/>
  <c r="W23" i="21" a="1"/>
  <c r="W23" i="21" s="1"/>
  <c r="V27" i="21" a="1"/>
  <c r="V27" i="21" s="1"/>
  <c r="Y27" i="21" a="1"/>
  <c r="Y27" i="21" s="1"/>
  <c r="Q27" i="21" a="1"/>
  <c r="Q27" i="21" s="1"/>
  <c r="T27" i="21" a="1"/>
  <c r="T27" i="21" s="1"/>
  <c r="W27" i="21" a="1"/>
  <c r="W27" i="21" s="1"/>
  <c r="Z27" i="21" a="1"/>
  <c r="Z27" i="21" s="1"/>
  <c r="U27" i="21" a="1"/>
  <c r="U27" i="21" s="1"/>
  <c r="O27" i="21" a="1"/>
  <c r="O27" i="21" s="1"/>
  <c r="X27" i="21" a="1"/>
  <c r="X27" i="21" s="1"/>
  <c r="P27" i="21" a="1"/>
  <c r="P27" i="21" s="1"/>
  <c r="S27" i="21" a="1"/>
  <c r="S27" i="21" s="1"/>
  <c r="R27" i="21" a="1"/>
  <c r="R27" i="21" s="1"/>
  <c r="U36" i="21" a="1"/>
  <c r="U36" i="21" s="1"/>
  <c r="W36" i="21" a="1"/>
  <c r="W36" i="21" s="1"/>
  <c r="S36" i="21" a="1"/>
  <c r="S36" i="21" s="1"/>
  <c r="Q36" i="21" a="1"/>
  <c r="Q36" i="21" s="1"/>
  <c r="Y36" i="21" a="1"/>
  <c r="Y36" i="21" s="1"/>
  <c r="R36" i="21" a="1"/>
  <c r="R36" i="21" s="1"/>
  <c r="T36" i="21" a="1"/>
  <c r="T36" i="21" s="1"/>
  <c r="V36" i="21" a="1"/>
  <c r="V36" i="21" s="1"/>
  <c r="X36" i="21" a="1"/>
  <c r="X36" i="21" s="1"/>
  <c r="P36" i="21" a="1"/>
  <c r="P36" i="21" s="1"/>
  <c r="Z36" i="21" a="1"/>
  <c r="Z36" i="21" s="1"/>
  <c r="O36" i="21" a="1"/>
  <c r="O36" i="21" s="1"/>
  <c r="O98" i="21" a="1"/>
  <c r="O98" i="21" s="1"/>
  <c r="V98" i="21" a="1"/>
  <c r="V98" i="21" s="1"/>
  <c r="P98" i="21" a="1"/>
  <c r="P98" i="21" s="1"/>
  <c r="W98" i="21" a="1"/>
  <c r="W98" i="21" s="1"/>
  <c r="T98" i="21" a="1"/>
  <c r="T98" i="21" s="1"/>
  <c r="Z98" i="21" a="1"/>
  <c r="Z98" i="21" s="1"/>
  <c r="R98" i="21" a="1"/>
  <c r="R98" i="21" s="1"/>
  <c r="X98" i="21" a="1"/>
  <c r="X98" i="21" s="1"/>
  <c r="U98" i="21" a="1"/>
  <c r="U98" i="21" s="1"/>
  <c r="S98" i="21" a="1"/>
  <c r="S98" i="21" s="1"/>
  <c r="Q98" i="21" a="1"/>
  <c r="Q98" i="21" s="1"/>
  <c r="Y98" i="21" a="1"/>
  <c r="Y98" i="21" s="1"/>
  <c r="W95" i="21" a="1"/>
  <c r="W95" i="21" s="1"/>
  <c r="U95" i="21" a="1"/>
  <c r="U95" i="21" s="1"/>
  <c r="O95" i="21" a="1"/>
  <c r="O95" i="21" s="1"/>
  <c r="V95" i="21" a="1"/>
  <c r="V95" i="21" s="1"/>
  <c r="S95" i="21" a="1"/>
  <c r="S95" i="21" s="1"/>
  <c r="X95" i="21" a="1"/>
  <c r="X95" i="21" s="1"/>
  <c r="R95" i="21" a="1"/>
  <c r="R95" i="21" s="1"/>
  <c r="T95" i="21" a="1"/>
  <c r="T95" i="21" s="1"/>
  <c r="P95" i="21" a="1"/>
  <c r="P95" i="21" s="1"/>
  <c r="Y95" i="21" a="1"/>
  <c r="Y95" i="21" s="1"/>
  <c r="Q95" i="21" a="1"/>
  <c r="Q95" i="21" s="1"/>
  <c r="Z95" i="21" a="1"/>
  <c r="Z95" i="21" s="1"/>
  <c r="W92" i="21" a="1"/>
  <c r="W92" i="21" s="1"/>
  <c r="Q92" i="21" a="1"/>
  <c r="Q92" i="21" s="1"/>
  <c r="V92" i="21" a="1"/>
  <c r="V92" i="21" s="1"/>
  <c r="O92" i="21" a="1"/>
  <c r="O92" i="21" s="1"/>
  <c r="Z92" i="21" a="1"/>
  <c r="Z92" i="21" s="1"/>
  <c r="Y92" i="21" a="1"/>
  <c r="Y92" i="21" s="1"/>
  <c r="R92" i="21" a="1"/>
  <c r="R92" i="21" s="1"/>
  <c r="X92" i="21" a="1"/>
  <c r="X92" i="21" s="1"/>
  <c r="T92" i="21" a="1"/>
  <c r="T92" i="21" s="1"/>
  <c r="S92" i="21" a="1"/>
  <c r="S92" i="21" s="1"/>
  <c r="U92" i="21" a="1"/>
  <c r="U92" i="21" s="1"/>
  <c r="P92" i="21" a="1"/>
  <c r="P92" i="21" s="1"/>
  <c r="W53" i="21" a="1"/>
  <c r="W53" i="21" s="1"/>
  <c r="V53" i="21" a="1"/>
  <c r="V53" i="21" s="1"/>
  <c r="U53" i="21" a="1"/>
  <c r="U53" i="21" s="1"/>
  <c r="P53" i="21" a="1"/>
  <c r="P53" i="21" s="1"/>
  <c r="T53" i="21" a="1"/>
  <c r="T53" i="21" s="1"/>
  <c r="Y53" i="21" a="1"/>
  <c r="Y53" i="21" s="1"/>
  <c r="Q53" i="21" a="1"/>
  <c r="Q53" i="21" s="1"/>
  <c r="X53" i="21" a="1"/>
  <c r="X53" i="21" s="1"/>
  <c r="O53" i="21" a="1"/>
  <c r="O53" i="21" s="1"/>
  <c r="S53" i="21" a="1"/>
  <c r="S53" i="21" s="1"/>
  <c r="R53" i="21" a="1"/>
  <c r="R53" i="21" s="1"/>
  <c r="Z53" i="21" a="1"/>
  <c r="Z53" i="21" s="1"/>
  <c r="U74" i="21" a="1"/>
  <c r="U74" i="21" s="1"/>
  <c r="W74" i="21" a="1"/>
  <c r="W74" i="21" s="1"/>
  <c r="Q74" i="21" a="1"/>
  <c r="Q74" i="21" s="1"/>
  <c r="X74" i="21" a="1"/>
  <c r="X74" i="21" s="1"/>
  <c r="S74" i="21" a="1"/>
  <c r="S74" i="21" s="1"/>
  <c r="O74" i="21" a="1"/>
  <c r="O74" i="21" s="1"/>
  <c r="R74" i="21" a="1"/>
  <c r="R74" i="21" s="1"/>
  <c r="V74" i="21" a="1"/>
  <c r="V74" i="21" s="1"/>
  <c r="Y74" i="21" a="1"/>
  <c r="Y74" i="21" s="1"/>
  <c r="T74" i="21" a="1"/>
  <c r="T74" i="21" s="1"/>
  <c r="P74" i="21" a="1"/>
  <c r="P74" i="21" s="1"/>
  <c r="Z74" i="21" a="1"/>
  <c r="Z74" i="21" s="1"/>
  <c r="Q77" i="21" a="1"/>
  <c r="Q77" i="21" s="1"/>
  <c r="X77" i="21" a="1"/>
  <c r="X77" i="21" s="1"/>
  <c r="V77" i="21" a="1"/>
  <c r="V77" i="21" s="1"/>
  <c r="T77" i="21" a="1"/>
  <c r="T77" i="21" s="1"/>
  <c r="P77" i="21" a="1"/>
  <c r="P77" i="21" s="1"/>
  <c r="Y77" i="21" a="1"/>
  <c r="Y77" i="21" s="1"/>
  <c r="O77" i="21" a="1"/>
  <c r="O77" i="21" s="1"/>
  <c r="U77" i="21" a="1"/>
  <c r="U77" i="21" s="1"/>
  <c r="W77" i="21" a="1"/>
  <c r="W77" i="21" s="1"/>
  <c r="S77" i="21" a="1"/>
  <c r="S77" i="21" s="1"/>
  <c r="R77" i="21" a="1"/>
  <c r="R77" i="21" s="1"/>
  <c r="Z77" i="21" a="1"/>
  <c r="Z77" i="21" s="1"/>
  <c r="X83" i="21" a="1"/>
  <c r="X83" i="21" s="1"/>
  <c r="Q83" i="21" a="1"/>
  <c r="Q83" i="21" s="1"/>
  <c r="T83" i="21" a="1"/>
  <c r="T83" i="21" s="1"/>
  <c r="O83" i="21" a="1"/>
  <c r="O83" i="21" s="1"/>
  <c r="Y83" i="21" a="1"/>
  <c r="Y83" i="21" s="1"/>
  <c r="U83" i="21" a="1"/>
  <c r="U83" i="21" s="1"/>
  <c r="V83" i="21" a="1"/>
  <c r="V83" i="21" s="1"/>
  <c r="W83" i="21" a="1"/>
  <c r="W83" i="21" s="1"/>
  <c r="P83" i="21" a="1"/>
  <c r="P83" i="21" s="1"/>
  <c r="S83" i="21" a="1"/>
  <c r="S83" i="21" s="1"/>
  <c r="R83" i="21" a="1"/>
  <c r="R83" i="21" s="1"/>
  <c r="Z83" i="21" a="1"/>
  <c r="Z83" i="21" s="1"/>
  <c r="V47" i="21" a="1"/>
  <c r="V47" i="21" s="1"/>
  <c r="W47" i="21" a="1"/>
  <c r="W47" i="21" s="1"/>
  <c r="Q47" i="21" a="1"/>
  <c r="Q47" i="21" s="1"/>
  <c r="O47" i="21" a="1"/>
  <c r="O47" i="21" s="1"/>
  <c r="X47" i="21" a="1"/>
  <c r="X47" i="21" s="1"/>
  <c r="P47" i="21" a="1"/>
  <c r="P47" i="21" s="1"/>
  <c r="T47" i="21" a="1"/>
  <c r="T47" i="21" s="1"/>
  <c r="U47" i="21" a="1"/>
  <c r="U47" i="21" s="1"/>
  <c r="Y47" i="21" a="1"/>
  <c r="Y47" i="21" s="1"/>
  <c r="S47" i="21" a="1"/>
  <c r="S47" i="21" s="1"/>
  <c r="R47" i="21" a="1"/>
  <c r="R47" i="21" s="1"/>
  <c r="Z47" i="21" a="1"/>
  <c r="Z47" i="21" s="1"/>
  <c r="S35" i="21" a="1"/>
  <c r="S35" i="21" s="1"/>
  <c r="V35" i="21" a="1"/>
  <c r="V35" i="21" s="1"/>
  <c r="O35" i="21" a="1"/>
  <c r="O35" i="21" s="1"/>
  <c r="P35" i="21" a="1"/>
  <c r="P35" i="21" s="1"/>
  <c r="R35" i="21" a="1"/>
  <c r="R35" i="21" s="1"/>
  <c r="Z35" i="21" a="1"/>
  <c r="Z35" i="21" s="1"/>
  <c r="W35" i="21" a="1"/>
  <c r="W35" i="21" s="1"/>
  <c r="Q35" i="21" a="1"/>
  <c r="Q35" i="21" s="1"/>
  <c r="T35" i="21" a="1"/>
  <c r="T35" i="21" s="1"/>
  <c r="Y35" i="21" a="1"/>
  <c r="Y35" i="21" s="1"/>
  <c r="X35" i="21" a="1"/>
  <c r="X35" i="21" s="1"/>
  <c r="U35" i="21" a="1"/>
  <c r="U35" i="21" s="1"/>
  <c r="X79" i="21" a="1"/>
  <c r="X79" i="21" s="1"/>
  <c r="Q79" i="21" a="1"/>
  <c r="Q79" i="21" s="1"/>
  <c r="V79" i="21" a="1"/>
  <c r="V79" i="21" s="1"/>
  <c r="W79" i="21" a="1"/>
  <c r="W79" i="21" s="1"/>
  <c r="P79" i="21" a="1"/>
  <c r="P79" i="21" s="1"/>
  <c r="O79" i="21" a="1"/>
  <c r="O79" i="21" s="1"/>
  <c r="U79" i="21" a="1"/>
  <c r="U79" i="21" s="1"/>
  <c r="T79" i="21" a="1"/>
  <c r="T79" i="21" s="1"/>
  <c r="Y79" i="21" a="1"/>
  <c r="Y79" i="21" s="1"/>
  <c r="Z79" i="21" a="1"/>
  <c r="Z79" i="21" s="1"/>
  <c r="R79" i="21" a="1"/>
  <c r="R79" i="21" s="1"/>
  <c r="S79" i="21" a="1"/>
  <c r="S79" i="21" s="1"/>
  <c r="Q85" i="21" a="1"/>
  <c r="Q85" i="21" s="1"/>
  <c r="X85" i="21" a="1"/>
  <c r="X85" i="21" s="1"/>
  <c r="U85" i="21" a="1"/>
  <c r="U85" i="21" s="1"/>
  <c r="P85" i="21" a="1"/>
  <c r="P85" i="21" s="1"/>
  <c r="W85" i="21" a="1"/>
  <c r="W85" i="21" s="1"/>
  <c r="Y85" i="21" a="1"/>
  <c r="Y85" i="21" s="1"/>
  <c r="O85" i="21" a="1"/>
  <c r="O85" i="21" s="1"/>
  <c r="V85" i="21" a="1"/>
  <c r="V85" i="21" s="1"/>
  <c r="T85" i="21" a="1"/>
  <c r="T85" i="21" s="1"/>
  <c r="Z85" i="21" a="1"/>
  <c r="Z85" i="21" s="1"/>
  <c r="S85" i="21" a="1"/>
  <c r="S85" i="21" s="1"/>
  <c r="R85" i="21" a="1"/>
  <c r="R85" i="21" s="1"/>
  <c r="S94" i="21" a="1"/>
  <c r="S94" i="21" s="1"/>
  <c r="T94" i="21" a="1"/>
  <c r="T94" i="21" s="1"/>
  <c r="Y94" i="21" a="1"/>
  <c r="Y94" i="21" s="1"/>
  <c r="Z94" i="21" a="1"/>
  <c r="Z94" i="21" s="1"/>
  <c r="R94" i="21" a="1"/>
  <c r="R94" i="21" s="1"/>
  <c r="Q94" i="21" a="1"/>
  <c r="Q94" i="21" s="1"/>
  <c r="W94" i="21" a="1"/>
  <c r="W94" i="21" s="1"/>
  <c r="V94" i="21" a="1"/>
  <c r="V94" i="21" s="1"/>
  <c r="X94" i="21" a="1"/>
  <c r="X94" i="21" s="1"/>
  <c r="P94" i="21" a="1"/>
  <c r="P94" i="21" s="1"/>
  <c r="O94" i="21" a="1"/>
  <c r="O94" i="21" s="1"/>
  <c r="U94" i="21" a="1"/>
  <c r="U94" i="21" s="1"/>
  <c r="U64" i="21" a="1"/>
  <c r="U64" i="21" s="1"/>
  <c r="Q64" i="21" a="1"/>
  <c r="Q64" i="21" s="1"/>
  <c r="Z64" i="21" a="1"/>
  <c r="Z64" i="21" s="1"/>
  <c r="P64" i="21" a="1"/>
  <c r="P64" i="21" s="1"/>
  <c r="V64" i="21" a="1"/>
  <c r="V64" i="21" s="1"/>
  <c r="R64" i="21" a="1"/>
  <c r="R64" i="21" s="1"/>
  <c r="T64" i="21" a="1"/>
  <c r="T64" i="21" s="1"/>
  <c r="S64" i="21" a="1"/>
  <c r="S64" i="21" s="1"/>
  <c r="Y64" i="21" a="1"/>
  <c r="Y64" i="21" s="1"/>
  <c r="W64" i="21" a="1"/>
  <c r="W64" i="21" s="1"/>
  <c r="O64" i="21" a="1"/>
  <c r="O64" i="21" s="1"/>
  <c r="X64" i="21" a="1"/>
  <c r="X64" i="21" s="1"/>
  <c r="U65" i="21" a="1"/>
  <c r="U65" i="21" s="1"/>
  <c r="O65" i="21" a="1"/>
  <c r="O65" i="21" s="1"/>
  <c r="Z65" i="21" a="1"/>
  <c r="Z65" i="21" s="1"/>
  <c r="V65" i="21" a="1"/>
  <c r="V65" i="21" s="1"/>
  <c r="X65" i="21" a="1"/>
  <c r="X65" i="21" s="1"/>
  <c r="P65" i="21" a="1"/>
  <c r="P65" i="21" s="1"/>
  <c r="T65" i="21" a="1"/>
  <c r="T65" i="21" s="1"/>
  <c r="S65" i="21" a="1"/>
  <c r="S65" i="21" s="1"/>
  <c r="Q65" i="21" a="1"/>
  <c r="Q65" i="21" s="1"/>
  <c r="W65" i="21" a="1"/>
  <c r="W65" i="21" s="1"/>
  <c r="Y65" i="21" a="1"/>
  <c r="Y65" i="21" s="1"/>
  <c r="R65" i="21" a="1"/>
  <c r="R65" i="21" s="1"/>
  <c r="V49" i="21" a="1"/>
  <c r="V49" i="21" s="1"/>
  <c r="O49" i="21" a="1"/>
  <c r="O49" i="21" s="1"/>
  <c r="W49" i="21" a="1"/>
  <c r="W49" i="21" s="1"/>
  <c r="Q49" i="21" a="1"/>
  <c r="Q49" i="21" s="1"/>
  <c r="P49" i="21" a="1"/>
  <c r="P49" i="21" s="1"/>
  <c r="T49" i="21" a="1"/>
  <c r="T49" i="21" s="1"/>
  <c r="Y49" i="21" a="1"/>
  <c r="Y49" i="21" s="1"/>
  <c r="X49" i="21" a="1"/>
  <c r="X49" i="21" s="1"/>
  <c r="U49" i="21" a="1"/>
  <c r="U49" i="21" s="1"/>
  <c r="Z49" i="21" a="1"/>
  <c r="Z49" i="21" s="1"/>
  <c r="S49" i="21" a="1"/>
  <c r="S49" i="21" s="1"/>
  <c r="R49" i="21" a="1"/>
  <c r="R49" i="21" s="1"/>
  <c r="Q93" i="21" a="1"/>
  <c r="Q93" i="21" s="1"/>
  <c r="R93" i="21" a="1"/>
  <c r="R93" i="21" s="1"/>
  <c r="Y93" i="21" a="1"/>
  <c r="Y93" i="21" s="1"/>
  <c r="Z93" i="21" a="1"/>
  <c r="Z93" i="21" s="1"/>
  <c r="X93" i="21" a="1"/>
  <c r="X93" i="21" s="1"/>
  <c r="O93" i="21" a="1"/>
  <c r="O93" i="21" s="1"/>
  <c r="U93" i="21" a="1"/>
  <c r="U93" i="21" s="1"/>
  <c r="T93" i="21" a="1"/>
  <c r="T93" i="21" s="1"/>
  <c r="S93" i="21" a="1"/>
  <c r="S93" i="21" s="1"/>
  <c r="W93" i="21" a="1"/>
  <c r="W93" i="21" s="1"/>
  <c r="P93" i="21" a="1"/>
  <c r="P93" i="21" s="1"/>
  <c r="V93" i="21" a="1"/>
  <c r="V93" i="21" s="1"/>
  <c r="Q31" i="21" a="1"/>
  <c r="Q31" i="21" s="1"/>
  <c r="U31" i="21" a="1"/>
  <c r="U31" i="21" s="1"/>
  <c r="Y31" i="21" a="1"/>
  <c r="Y31" i="21" s="1"/>
  <c r="V31" i="21" a="1"/>
  <c r="V31" i="21" s="1"/>
  <c r="S31" i="21" a="1"/>
  <c r="S31" i="21" s="1"/>
  <c r="Z31" i="21" a="1"/>
  <c r="Z31" i="21" s="1"/>
  <c r="T31" i="21" a="1"/>
  <c r="T31" i="21" s="1"/>
  <c r="R31" i="21" a="1"/>
  <c r="R31" i="21" s="1"/>
  <c r="W31" i="21" a="1"/>
  <c r="W31" i="21" s="1"/>
  <c r="P31" i="21" a="1"/>
  <c r="P31" i="21" s="1"/>
  <c r="O31" i="21" a="1"/>
  <c r="O31" i="21" s="1"/>
  <c r="X31" i="21" a="1"/>
  <c r="X31" i="21" s="1"/>
  <c r="T51" i="21" a="1"/>
  <c r="T51" i="21" s="1"/>
  <c r="V51" i="21" a="1"/>
  <c r="V51" i="21" s="1"/>
  <c r="W51" i="21" a="1"/>
  <c r="W51" i="21" s="1"/>
  <c r="U51" i="21" a="1"/>
  <c r="U51" i="21" s="1"/>
  <c r="O51" i="21" a="1"/>
  <c r="O51" i="21" s="1"/>
  <c r="X51" i="21" a="1"/>
  <c r="X51" i="21" s="1"/>
  <c r="P51" i="21" a="1"/>
  <c r="P51" i="21" s="1"/>
  <c r="Y51" i="21" a="1"/>
  <c r="Y51" i="21" s="1"/>
  <c r="Q51" i="21" a="1"/>
  <c r="Q51" i="21" s="1"/>
  <c r="Z51" i="21" a="1"/>
  <c r="Z51" i="21" s="1"/>
  <c r="R51" i="21" a="1"/>
  <c r="R51" i="21" s="1"/>
  <c r="S51" i="21" a="1"/>
  <c r="S51" i="21" s="1"/>
  <c r="R68" i="21" a="1"/>
  <c r="R68" i="21" s="1"/>
  <c r="Z68" i="21" a="1"/>
  <c r="Z68" i="21" s="1"/>
  <c r="Y68" i="21" a="1"/>
  <c r="Y68" i="21" s="1"/>
  <c r="W68" i="21" a="1"/>
  <c r="W68" i="21" s="1"/>
  <c r="P68" i="21" a="1"/>
  <c r="P68" i="21" s="1"/>
  <c r="O68" i="21" a="1"/>
  <c r="O68" i="21" s="1"/>
  <c r="X68" i="21" a="1"/>
  <c r="X68" i="21" s="1"/>
  <c r="U68" i="21" a="1"/>
  <c r="U68" i="21" s="1"/>
  <c r="S68" i="21" a="1"/>
  <c r="S68" i="21" s="1"/>
  <c r="T68" i="21" a="1"/>
  <c r="T68" i="21" s="1"/>
  <c r="V68" i="21" a="1"/>
  <c r="V68" i="21" s="1"/>
  <c r="Q68" i="21" a="1"/>
  <c r="Q68" i="21" s="1"/>
  <c r="W24" i="21" a="1"/>
  <c r="W24" i="21" s="1"/>
  <c r="P24" i="21" a="1"/>
  <c r="P24" i="21" s="1"/>
  <c r="X24" i="21" a="1"/>
  <c r="X24" i="21" s="1"/>
  <c r="S24" i="21" a="1"/>
  <c r="S24" i="21" s="1"/>
  <c r="Y24" i="21" a="1"/>
  <c r="Y24" i="21" s="1"/>
  <c r="V24" i="21" a="1"/>
  <c r="V24" i="21" s="1"/>
  <c r="Q24" i="21" a="1"/>
  <c r="Q24" i="21" s="1"/>
  <c r="O24" i="21" a="1"/>
  <c r="O24" i="21" s="1"/>
  <c r="U24" i="21" a="1"/>
  <c r="U24" i="21" s="1"/>
  <c r="T24" i="21" a="1"/>
  <c r="T24" i="21" s="1"/>
  <c r="R24" i="21" a="1"/>
  <c r="R24" i="21" s="1"/>
  <c r="Z24" i="21" a="1"/>
  <c r="Z24" i="21" s="1"/>
  <c r="Q96" i="21" a="1"/>
  <c r="Q96" i="21" s="1"/>
  <c r="R96" i="21" a="1"/>
  <c r="R96" i="21" s="1"/>
  <c r="S96" i="21" a="1"/>
  <c r="S96" i="21" s="1"/>
  <c r="Y96" i="21" a="1"/>
  <c r="Y96" i="21" s="1"/>
  <c r="X96" i="21" a="1"/>
  <c r="X96" i="21" s="1"/>
  <c r="O96" i="21" a="1"/>
  <c r="O96" i="21" s="1"/>
  <c r="W96" i="21" a="1"/>
  <c r="W96" i="21" s="1"/>
  <c r="T96" i="21" a="1"/>
  <c r="T96" i="21" s="1"/>
  <c r="V96" i="21" a="1"/>
  <c r="V96" i="21" s="1"/>
  <c r="U96" i="21" a="1"/>
  <c r="U96" i="21" s="1"/>
  <c r="Z96" i="21" a="1"/>
  <c r="Z96" i="21" s="1"/>
  <c r="P96" i="21" a="1"/>
  <c r="P96" i="21" s="1"/>
  <c r="V48" i="21" a="1"/>
  <c r="V48" i="21" s="1"/>
  <c r="W48" i="21" a="1"/>
  <c r="W48" i="21" s="1"/>
  <c r="O48" i="21" a="1"/>
  <c r="O48" i="21" s="1"/>
  <c r="Y48" i="21" a="1"/>
  <c r="Y48" i="21" s="1"/>
  <c r="U48" i="21" a="1"/>
  <c r="U48" i="21" s="1"/>
  <c r="Q48" i="21" a="1"/>
  <c r="Q48" i="21" s="1"/>
  <c r="P48" i="21" a="1"/>
  <c r="P48" i="21" s="1"/>
  <c r="T48" i="21" a="1"/>
  <c r="T48" i="21" s="1"/>
  <c r="X48" i="21" a="1"/>
  <c r="X48" i="21" s="1"/>
  <c r="Z48" i="21" a="1"/>
  <c r="Z48" i="21" s="1"/>
  <c r="R48" i="21" a="1"/>
  <c r="R48" i="21" s="1"/>
  <c r="S48" i="21" a="1"/>
  <c r="S48" i="21" s="1"/>
  <c r="X86" i="21" a="1"/>
  <c r="X86" i="21" s="1"/>
  <c r="Q86" i="21" a="1"/>
  <c r="Q86" i="21" s="1"/>
  <c r="T86" i="21" a="1"/>
  <c r="T86" i="21" s="1"/>
  <c r="O86" i="21" a="1"/>
  <c r="O86" i="21" s="1"/>
  <c r="W86" i="21" a="1"/>
  <c r="W86" i="21" s="1"/>
  <c r="U86" i="21" a="1"/>
  <c r="U86" i="21" s="1"/>
  <c r="V86" i="21" a="1"/>
  <c r="V86" i="21" s="1"/>
  <c r="Y86" i="21" a="1"/>
  <c r="Y86" i="21" s="1"/>
  <c r="P86" i="21" a="1"/>
  <c r="P86" i="21" s="1"/>
  <c r="S86" i="21" a="1"/>
  <c r="S86" i="21" s="1"/>
  <c r="Z86" i="21" a="1"/>
  <c r="Z86" i="21" s="1"/>
  <c r="R86" i="21" a="1"/>
  <c r="R86" i="21" s="1"/>
  <c r="T97" i="21" a="1"/>
  <c r="T97" i="21" s="1"/>
  <c r="U97" i="21" a="1"/>
  <c r="U97" i="21" s="1"/>
  <c r="S97" i="21" a="1"/>
  <c r="S97" i="21" s="1"/>
  <c r="Y97" i="21" a="1"/>
  <c r="Y97" i="21" s="1"/>
  <c r="W97" i="21" a="1"/>
  <c r="W97" i="21" s="1"/>
  <c r="Z97" i="21" a="1"/>
  <c r="Z97" i="21" s="1"/>
  <c r="Q97" i="21" a="1"/>
  <c r="Q97" i="21" s="1"/>
  <c r="X97" i="21" a="1"/>
  <c r="X97" i="21" s="1"/>
  <c r="O97" i="21" a="1"/>
  <c r="O97" i="21" s="1"/>
  <c r="V97" i="21" a="1"/>
  <c r="V97" i="21" s="1"/>
  <c r="R97" i="21" a="1"/>
  <c r="R97" i="21" s="1"/>
  <c r="P97" i="21" a="1"/>
  <c r="P97" i="21" s="1"/>
  <c r="X80" i="21" a="1"/>
  <c r="X80" i="21" s="1"/>
  <c r="Q80" i="21" a="1"/>
  <c r="Q80" i="21" s="1"/>
  <c r="T80" i="21" a="1"/>
  <c r="T80" i="21" s="1"/>
  <c r="Y80" i="21" a="1"/>
  <c r="Y80" i="21" s="1"/>
  <c r="P80" i="21" a="1"/>
  <c r="P80" i="21" s="1"/>
  <c r="O80" i="21" a="1"/>
  <c r="O80" i="21" s="1"/>
  <c r="W80" i="21" a="1"/>
  <c r="W80" i="21" s="1"/>
  <c r="V80" i="21" a="1"/>
  <c r="V80" i="21" s="1"/>
  <c r="U80" i="21" a="1"/>
  <c r="U80" i="21" s="1"/>
  <c r="Z80" i="21" a="1"/>
  <c r="Z80" i="21" s="1"/>
  <c r="R80" i="21" a="1"/>
  <c r="R80" i="21" s="1"/>
  <c r="S80" i="21" a="1"/>
  <c r="S80" i="21" s="1"/>
  <c r="V61" i="21" a="1"/>
  <c r="V61" i="21" s="1"/>
  <c r="U61" i="21" a="1"/>
  <c r="U61" i="21" s="1"/>
  <c r="W124" i="19"/>
  <c r="O61" i="21" a="1"/>
  <c r="O61" i="21" s="1"/>
  <c r="Y61" i="21" a="1"/>
  <c r="Y61" i="21" s="1"/>
  <c r="P61" i="21" a="1"/>
  <c r="P61" i="21" s="1"/>
  <c r="T61" i="21" a="1"/>
  <c r="T61" i="21" s="1"/>
  <c r="Q61" i="21" a="1"/>
  <c r="Q61" i="21" s="1"/>
  <c r="X61" i="21" a="1"/>
  <c r="X61" i="21" s="1"/>
  <c r="R61" i="21" a="1"/>
  <c r="R61" i="21" s="1"/>
  <c r="S61" i="21" a="1"/>
  <c r="S61" i="21" s="1"/>
  <c r="Z61" i="21" a="1"/>
  <c r="Z61" i="21" s="1"/>
  <c r="O59" i="21" a="1"/>
  <c r="O59" i="21" s="1"/>
  <c r="V59" i="21" a="1"/>
  <c r="V59" i="21" s="1"/>
  <c r="W59" i="21" a="1"/>
  <c r="W59" i="21" s="1"/>
  <c r="U59" i="21" a="1"/>
  <c r="U59" i="21" s="1"/>
  <c r="P59" i="21" a="1"/>
  <c r="P59" i="21" s="1"/>
  <c r="Q59" i="21" a="1"/>
  <c r="Q59" i="21" s="1"/>
  <c r="Y59" i="21" a="1"/>
  <c r="Y59" i="21" s="1"/>
  <c r="X59" i="21" a="1"/>
  <c r="X59" i="21" s="1"/>
  <c r="T59" i="21" a="1"/>
  <c r="T59" i="21" s="1"/>
  <c r="R59" i="21" a="1"/>
  <c r="R59" i="21" s="1"/>
  <c r="S59" i="21" a="1"/>
  <c r="S59" i="21" s="1"/>
  <c r="Z59" i="21" a="1"/>
  <c r="Z59" i="21" s="1"/>
  <c r="O43" i="21" a="1"/>
  <c r="O43" i="21" s="1"/>
  <c r="V43" i="21" a="1"/>
  <c r="V43" i="21" s="1"/>
  <c r="W43" i="21" a="1"/>
  <c r="W43" i="21" s="1"/>
  <c r="U43" i="21" a="1"/>
  <c r="U43" i="21" s="1"/>
  <c r="Q43" i="21" a="1"/>
  <c r="Q43" i="21" s="1"/>
  <c r="X43" i="21" a="1"/>
  <c r="X43" i="21" s="1"/>
  <c r="T43" i="21" a="1"/>
  <c r="T43" i="21" s="1"/>
  <c r="Y43" i="21" a="1"/>
  <c r="Y43" i="21" s="1"/>
  <c r="P43" i="21" a="1"/>
  <c r="P43" i="21" s="1"/>
  <c r="Z43" i="21" a="1"/>
  <c r="Z43" i="21" s="1"/>
  <c r="R43" i="21" a="1"/>
  <c r="R43" i="21" s="1"/>
  <c r="S43" i="21" a="1"/>
  <c r="S43" i="21" s="1"/>
  <c r="Q84" i="21" a="1"/>
  <c r="Q84" i="21" s="1"/>
  <c r="X84" i="21" a="1"/>
  <c r="X84" i="21" s="1"/>
  <c r="V84" i="21" a="1"/>
  <c r="V84" i="21" s="1"/>
  <c r="W84" i="21" a="1"/>
  <c r="W84" i="21" s="1"/>
  <c r="U84" i="21" a="1"/>
  <c r="U84" i="21" s="1"/>
  <c r="P84" i="21" a="1"/>
  <c r="P84" i="21" s="1"/>
  <c r="T84" i="21" a="1"/>
  <c r="T84" i="21" s="1"/>
  <c r="Y84" i="21" a="1"/>
  <c r="Y84" i="21" s="1"/>
  <c r="O84" i="21" a="1"/>
  <c r="O84" i="21" s="1"/>
  <c r="Z84" i="21" a="1"/>
  <c r="Z84" i="21" s="1"/>
  <c r="R84" i="21" a="1"/>
  <c r="R84" i="21" s="1"/>
  <c r="S84" i="21" a="1"/>
  <c r="S84" i="21" s="1"/>
  <c r="Q91" i="21" a="1"/>
  <c r="Q91" i="21" s="1"/>
  <c r="V91" i="21" a="1"/>
  <c r="V91" i="21" s="1"/>
  <c r="W91" i="21" a="1"/>
  <c r="W91" i="21" s="1"/>
  <c r="S91" i="21" a="1"/>
  <c r="S91" i="21" s="1"/>
  <c r="P91" i="21" a="1"/>
  <c r="P91" i="21" s="1"/>
  <c r="U91" i="21" a="1"/>
  <c r="U91" i="21" s="1"/>
  <c r="T91" i="21" a="1"/>
  <c r="T91" i="21" s="1"/>
  <c r="X91" i="21" a="1"/>
  <c r="X91" i="21" s="1"/>
  <c r="O91" i="21" a="1"/>
  <c r="O91" i="21" s="1"/>
  <c r="Z91" i="21" a="1"/>
  <c r="Z91" i="21" s="1"/>
  <c r="Y91" i="21" a="1"/>
  <c r="Y91" i="21" s="1"/>
  <c r="R91" i="21" a="1"/>
  <c r="R91" i="21" s="1"/>
  <c r="V73" i="21" a="1"/>
  <c r="V73" i="21" s="1"/>
  <c r="Q73" i="21" a="1"/>
  <c r="Q73" i="21" s="1"/>
  <c r="R73" i="21" a="1"/>
  <c r="R73" i="21" s="1"/>
  <c r="X73" i="21" a="1"/>
  <c r="X73" i="21" s="1"/>
  <c r="Y73" i="21" a="1"/>
  <c r="Y73" i="21" s="1"/>
  <c r="T73" i="21" a="1"/>
  <c r="T73" i="21" s="1"/>
  <c r="P73" i="21" a="1"/>
  <c r="P73" i="21" s="1"/>
  <c r="S73" i="21" a="1"/>
  <c r="S73" i="21" s="1"/>
  <c r="U73" i="21" a="1"/>
  <c r="U73" i="21" s="1"/>
  <c r="O73" i="21" a="1"/>
  <c r="O73" i="21" s="1"/>
  <c r="Z73" i="21" a="1"/>
  <c r="Z73" i="21" s="1"/>
  <c r="W73" i="21" a="1"/>
  <c r="W73" i="21" s="1"/>
  <c r="U32" i="21" a="1"/>
  <c r="U32" i="21" s="1"/>
  <c r="V32" i="21" a="1"/>
  <c r="V32" i="21" s="1"/>
  <c r="W32" i="21" a="1"/>
  <c r="W32" i="21" s="1"/>
  <c r="S32" i="21" a="1"/>
  <c r="S32" i="21" s="1"/>
  <c r="O32" i="21" a="1"/>
  <c r="O32" i="21" s="1"/>
  <c r="P32" i="21" a="1"/>
  <c r="P32" i="21" s="1"/>
  <c r="Z32" i="21" a="1"/>
  <c r="Z32" i="21" s="1"/>
  <c r="Y32" i="21" a="1"/>
  <c r="Y32" i="21" s="1"/>
  <c r="R32" i="21" a="1"/>
  <c r="R32" i="21" s="1"/>
  <c r="T32" i="21" a="1"/>
  <c r="T32" i="21" s="1"/>
  <c r="X32" i="21" a="1"/>
  <c r="X32" i="21" s="1"/>
  <c r="Q32" i="21" a="1"/>
  <c r="Q32" i="21" s="1"/>
  <c r="Q87" i="21" a="1"/>
  <c r="Q87" i="21" s="1"/>
  <c r="X87" i="21" a="1"/>
  <c r="X87" i="21" s="1"/>
  <c r="Y87" i="21" a="1"/>
  <c r="Y87" i="21" s="1"/>
  <c r="V87" i="21" a="1"/>
  <c r="V87" i="21" s="1"/>
  <c r="P87" i="21" a="1"/>
  <c r="P87" i="21" s="1"/>
  <c r="O87" i="21" a="1"/>
  <c r="O87" i="21" s="1"/>
  <c r="W87" i="21" a="1"/>
  <c r="W87" i="21" s="1"/>
  <c r="U87" i="21" a="1"/>
  <c r="U87" i="21" s="1"/>
  <c r="T87" i="21" a="1"/>
  <c r="T87" i="21" s="1"/>
  <c r="R87" i="21" a="1"/>
  <c r="R87" i="21" s="1"/>
  <c r="S87" i="21" a="1"/>
  <c r="S87" i="21" s="1"/>
  <c r="Z87" i="21" a="1"/>
  <c r="Z87" i="21" s="1"/>
  <c r="R39" i="21" a="1"/>
  <c r="R39" i="21" s="1"/>
  <c r="T39" i="21" a="1"/>
  <c r="T39" i="21" s="1"/>
  <c r="V39" i="21" a="1"/>
  <c r="V39" i="21" s="1"/>
  <c r="O39" i="21" a="1"/>
  <c r="O39" i="21" s="1"/>
  <c r="U39" i="21" a="1"/>
  <c r="U39" i="21" s="1"/>
  <c r="W39" i="21" a="1"/>
  <c r="W39" i="21" s="1"/>
  <c r="X39" i="21" a="1"/>
  <c r="X39" i="21" s="1"/>
  <c r="Q39" i="21" a="1"/>
  <c r="Q39" i="21" s="1"/>
  <c r="P39" i="21" a="1"/>
  <c r="P39" i="21" s="1"/>
  <c r="Y39" i="21" a="1"/>
  <c r="Y39" i="21" s="1"/>
  <c r="S39" i="21" a="1"/>
  <c r="S39" i="21" s="1"/>
  <c r="Z39" i="21" a="1"/>
  <c r="Z39" i="21" s="1"/>
  <c r="V45" i="21" a="1"/>
  <c r="V45" i="21" s="1"/>
  <c r="W45" i="21" a="1"/>
  <c r="W45" i="21" s="1"/>
  <c r="O45" i="21" a="1"/>
  <c r="O45" i="21" s="1"/>
  <c r="P45" i="21" a="1"/>
  <c r="P45" i="21" s="1"/>
  <c r="Y45" i="21" a="1"/>
  <c r="Y45" i="21" s="1"/>
  <c r="X45" i="21" a="1"/>
  <c r="X45" i="21" s="1"/>
  <c r="T45" i="21" a="1"/>
  <c r="T45" i="21" s="1"/>
  <c r="Q45" i="21" a="1"/>
  <c r="Q45" i="21" s="1"/>
  <c r="U45" i="21" a="1"/>
  <c r="U45" i="21" s="1"/>
  <c r="S45" i="21" a="1"/>
  <c r="S45" i="21" s="1"/>
  <c r="R45" i="21" a="1"/>
  <c r="R45" i="21" s="1"/>
  <c r="Z45" i="21" a="1"/>
  <c r="Z45" i="21" s="1"/>
  <c r="X78" i="21" a="1"/>
  <c r="X78" i="21" s="1"/>
  <c r="Q78" i="21" a="1"/>
  <c r="Q78" i="21" s="1"/>
  <c r="Y78" i="21" a="1"/>
  <c r="Y78" i="21" s="1"/>
  <c r="V78" i="21" a="1"/>
  <c r="V78" i="21" s="1"/>
  <c r="P78" i="21" a="1"/>
  <c r="P78" i="21" s="1"/>
  <c r="W78" i="21" a="1"/>
  <c r="W78" i="21" s="1"/>
  <c r="T78" i="21" a="1"/>
  <c r="T78" i="21" s="1"/>
  <c r="U78" i="21" a="1"/>
  <c r="U78" i="21" s="1"/>
  <c r="O78" i="21" a="1"/>
  <c r="O78" i="21" s="1"/>
  <c r="R78" i="21" a="1"/>
  <c r="R78" i="21" s="1"/>
  <c r="Z78" i="21" a="1"/>
  <c r="Z78" i="21" s="1"/>
  <c r="S78" i="21" a="1"/>
  <c r="S78" i="21" s="1"/>
  <c r="W55" i="21" a="1"/>
  <c r="W55" i="21" s="1"/>
  <c r="V55" i="21" a="1"/>
  <c r="V55" i="21" s="1"/>
  <c r="U55" i="21" a="1"/>
  <c r="U55" i="21" s="1"/>
  <c r="O55" i="21" a="1"/>
  <c r="O55" i="21" s="1"/>
  <c r="Y55" i="21" a="1"/>
  <c r="Y55" i="21" s="1"/>
  <c r="X55" i="21" a="1"/>
  <c r="X55" i="21" s="1"/>
  <c r="T55" i="21" a="1"/>
  <c r="T55" i="21" s="1"/>
  <c r="P55" i="21" a="1"/>
  <c r="P55" i="21" s="1"/>
  <c r="Q55" i="21" a="1"/>
  <c r="Q55" i="21" s="1"/>
  <c r="Z55" i="21" a="1"/>
  <c r="Z55" i="21" s="1"/>
  <c r="R55" i="21" a="1"/>
  <c r="R55" i="21" s="1"/>
  <c r="S55" i="21" a="1"/>
  <c r="S55" i="21" s="1"/>
  <c r="U57" i="21" a="1"/>
  <c r="U57" i="21" s="1"/>
  <c r="O57" i="21" a="1"/>
  <c r="O57" i="21" s="1"/>
  <c r="V57" i="21" a="1"/>
  <c r="V57" i="21" s="1"/>
  <c r="W57" i="21" a="1"/>
  <c r="W57" i="21" s="1"/>
  <c r="P57" i="21" a="1"/>
  <c r="P57" i="21" s="1"/>
  <c r="Q57" i="21" a="1"/>
  <c r="Q57" i="21" s="1"/>
  <c r="X57" i="21" a="1"/>
  <c r="X57" i="21" s="1"/>
  <c r="T57" i="21" a="1"/>
  <c r="T57" i="21" s="1"/>
  <c r="Y57" i="21" a="1"/>
  <c r="Y57" i="21" s="1"/>
  <c r="S57" i="21" a="1"/>
  <c r="S57" i="21" s="1"/>
  <c r="R57" i="21" a="1"/>
  <c r="R57" i="21" s="1"/>
  <c r="Z57" i="21" a="1"/>
  <c r="Z57" i="21" s="1"/>
  <c r="C33" i="36"/>
  <c r="C33" i="37"/>
  <c r="C33" i="40"/>
  <c r="J53" i="21" a="1"/>
  <c r="J53" i="21" s="1"/>
  <c r="N53" i="21" a="1"/>
  <c r="N53" i="21" s="1"/>
  <c r="I53" i="21" a="1"/>
  <c r="I53" i="21" s="1"/>
  <c r="L53" i="21" a="1"/>
  <c r="L53" i="21" s="1"/>
  <c r="G53" i="21" a="1"/>
  <c r="G53" i="21" s="1"/>
  <c r="M53" i="21" a="1"/>
  <c r="M53" i="21" s="1"/>
  <c r="H53" i="21" a="1"/>
  <c r="H53" i="21" s="1"/>
  <c r="K53" i="21" a="1"/>
  <c r="K53" i="21" s="1"/>
  <c r="N74" i="21" a="1"/>
  <c r="N74" i="21" s="1"/>
  <c r="H74" i="21" a="1"/>
  <c r="H74" i="21" s="1"/>
  <c r="L74" i="21" a="1"/>
  <c r="L74" i="21" s="1"/>
  <c r="I74" i="21" a="1"/>
  <c r="I74" i="21" s="1"/>
  <c r="K74" i="21" a="1"/>
  <c r="K74" i="21" s="1"/>
  <c r="G74" i="21" a="1"/>
  <c r="G74" i="21" s="1"/>
  <c r="M74" i="21" a="1"/>
  <c r="M74" i="21" s="1"/>
  <c r="J74" i="21" a="1"/>
  <c r="J74" i="21" s="1"/>
  <c r="L77" i="21" a="1"/>
  <c r="L77" i="21" s="1"/>
  <c r="N77" i="21" a="1"/>
  <c r="N77" i="21" s="1"/>
  <c r="G77" i="21" a="1"/>
  <c r="G77" i="21" s="1"/>
  <c r="H77" i="21" a="1"/>
  <c r="H77" i="21" s="1"/>
  <c r="M77" i="21" a="1"/>
  <c r="M77" i="21" s="1"/>
  <c r="J77" i="21" a="1"/>
  <c r="J77" i="21" s="1"/>
  <c r="K77" i="21" a="1"/>
  <c r="K77" i="21" s="1"/>
  <c r="I77" i="21" a="1"/>
  <c r="I77" i="21" s="1"/>
  <c r="L83" i="21" a="1"/>
  <c r="L83" i="21" s="1"/>
  <c r="I83" i="21" a="1"/>
  <c r="I83" i="21" s="1"/>
  <c r="G83" i="21" a="1"/>
  <c r="G83" i="21" s="1"/>
  <c r="K83" i="21" a="1"/>
  <c r="K83" i="21" s="1"/>
  <c r="M83" i="21" a="1"/>
  <c r="M83" i="21" s="1"/>
  <c r="N83" i="21" a="1"/>
  <c r="N83" i="21" s="1"/>
  <c r="J83" i="21" a="1"/>
  <c r="J83" i="21" s="1"/>
  <c r="H83" i="21" a="1"/>
  <c r="H83" i="21" s="1"/>
  <c r="M47" i="21" a="1"/>
  <c r="M47" i="21" s="1"/>
  <c r="K47" i="21" a="1"/>
  <c r="K47" i="21" s="1"/>
  <c r="J47" i="21" a="1"/>
  <c r="J47" i="21" s="1"/>
  <c r="H47" i="21" a="1"/>
  <c r="H47" i="21" s="1"/>
  <c r="I47" i="21" a="1"/>
  <c r="I47" i="21" s="1"/>
  <c r="N47" i="21" a="1"/>
  <c r="N47" i="21" s="1"/>
  <c r="G47" i="21" a="1"/>
  <c r="G47" i="21" s="1"/>
  <c r="L47" i="21" a="1"/>
  <c r="L47" i="21" s="1"/>
  <c r="M35" i="21" a="1"/>
  <c r="M35" i="21" s="1"/>
  <c r="L35" i="21" a="1"/>
  <c r="L35" i="21" s="1"/>
  <c r="J35" i="21" a="1"/>
  <c r="J35" i="21" s="1"/>
  <c r="H35" i="21" a="1"/>
  <c r="H35" i="21" s="1"/>
  <c r="K35" i="21" a="1"/>
  <c r="K35" i="21" s="1"/>
  <c r="I35" i="21" a="1"/>
  <c r="I35" i="21" s="1"/>
  <c r="G35" i="21" a="1"/>
  <c r="G35" i="21" s="1"/>
  <c r="N35" i="21" a="1"/>
  <c r="N35" i="21" s="1"/>
  <c r="I79" i="21" a="1"/>
  <c r="I79" i="21" s="1"/>
  <c r="K79" i="21" a="1"/>
  <c r="K79" i="21" s="1"/>
  <c r="N79" i="21" a="1"/>
  <c r="N79" i="21" s="1"/>
  <c r="L79" i="21" a="1"/>
  <c r="L79" i="21" s="1"/>
  <c r="J79" i="21" a="1"/>
  <c r="J79" i="21" s="1"/>
  <c r="G79" i="21" a="1"/>
  <c r="G79" i="21" s="1"/>
  <c r="H79" i="21" a="1"/>
  <c r="H79" i="21" s="1"/>
  <c r="M79" i="21" a="1"/>
  <c r="M79" i="21" s="1"/>
  <c r="L85" i="21" a="1"/>
  <c r="L85" i="21" s="1"/>
  <c r="J85" i="21" a="1"/>
  <c r="J85" i="21" s="1"/>
  <c r="N85" i="21" a="1"/>
  <c r="N85" i="21" s="1"/>
  <c r="M85" i="21" a="1"/>
  <c r="M85" i="21" s="1"/>
  <c r="K85" i="21" a="1"/>
  <c r="K85" i="21" s="1"/>
  <c r="G85" i="21" a="1"/>
  <c r="G85" i="21" s="1"/>
  <c r="H85" i="21" a="1"/>
  <c r="H85" i="21" s="1"/>
  <c r="I85" i="21" a="1"/>
  <c r="I85" i="21" s="1"/>
  <c r="I64" i="21" a="1"/>
  <c r="I64" i="21" s="1"/>
  <c r="N64" i="21" a="1"/>
  <c r="N64" i="21" s="1"/>
  <c r="L64" i="21" a="1"/>
  <c r="L64" i="21" s="1"/>
  <c r="J64" i="21" a="1"/>
  <c r="J64" i="21" s="1"/>
  <c r="K64" i="21" a="1"/>
  <c r="K64" i="21" s="1"/>
  <c r="M64" i="21" a="1"/>
  <c r="M64" i="21" s="1"/>
  <c r="H64" i="21" a="1"/>
  <c r="H64" i="21" s="1"/>
  <c r="G64" i="21" a="1"/>
  <c r="G64" i="21" s="1"/>
  <c r="L65" i="21" a="1"/>
  <c r="L65" i="21" s="1"/>
  <c r="H65" i="21" a="1"/>
  <c r="H65" i="21" s="1"/>
  <c r="N65" i="21" a="1"/>
  <c r="N65" i="21" s="1"/>
  <c r="G65" i="21" a="1"/>
  <c r="G65" i="21" s="1"/>
  <c r="J65" i="21" a="1"/>
  <c r="J65" i="21" s="1"/>
  <c r="K65" i="21" a="1"/>
  <c r="K65" i="21" s="1"/>
  <c r="M65" i="21" a="1"/>
  <c r="M65" i="21" s="1"/>
  <c r="I65" i="21" a="1"/>
  <c r="I65" i="21" s="1"/>
  <c r="G49" i="21" a="1"/>
  <c r="G49" i="21" s="1"/>
  <c r="N49" i="21" a="1"/>
  <c r="N49" i="21" s="1"/>
  <c r="L49" i="21" a="1"/>
  <c r="L49" i="21" s="1"/>
  <c r="K49" i="21" a="1"/>
  <c r="K49" i="21" s="1"/>
  <c r="I49" i="21" a="1"/>
  <c r="I49" i="21" s="1"/>
  <c r="H49" i="21" a="1"/>
  <c r="H49" i="21" s="1"/>
  <c r="M49" i="21" a="1"/>
  <c r="M49" i="21" s="1"/>
  <c r="J49" i="21" a="1"/>
  <c r="J49" i="21" s="1"/>
  <c r="M28" i="21" a="1"/>
  <c r="M28" i="21" s="1"/>
  <c r="G28" i="21" a="1"/>
  <c r="G28" i="21" s="1"/>
  <c r="I28" i="21" a="1"/>
  <c r="I28" i="21" s="1"/>
  <c r="H28" i="21" a="1"/>
  <c r="H28" i="21" s="1"/>
  <c r="K28" i="21" a="1"/>
  <c r="K28" i="21" s="1"/>
  <c r="N28" i="21" a="1"/>
  <c r="N28" i="21" s="1"/>
  <c r="L28" i="21" a="1"/>
  <c r="L28" i="21" s="1"/>
  <c r="J28" i="21" a="1"/>
  <c r="J28" i="21" s="1"/>
  <c r="J31" i="21" a="1"/>
  <c r="J31" i="21" s="1"/>
  <c r="H31" i="21" a="1"/>
  <c r="H31" i="21" s="1"/>
  <c r="L31" i="21" a="1"/>
  <c r="L31" i="21" s="1"/>
  <c r="I31" i="21" a="1"/>
  <c r="I31" i="21" s="1"/>
  <c r="K31" i="21" a="1"/>
  <c r="K31" i="21" s="1"/>
  <c r="G31" i="21" a="1"/>
  <c r="G31" i="21" s="1"/>
  <c r="N31" i="21" a="1"/>
  <c r="N31" i="21" s="1"/>
  <c r="M31" i="21" a="1"/>
  <c r="M31" i="21" s="1"/>
  <c r="G51" i="21" a="1"/>
  <c r="G51" i="21" s="1"/>
  <c r="M51" i="21" a="1"/>
  <c r="M51" i="21" s="1"/>
  <c r="I51" i="21" a="1"/>
  <c r="I51" i="21" s="1"/>
  <c r="H51" i="21" a="1"/>
  <c r="H51" i="21" s="1"/>
  <c r="K51" i="21" a="1"/>
  <c r="K51" i="21" s="1"/>
  <c r="L51" i="21" a="1"/>
  <c r="L51" i="21" s="1"/>
  <c r="J51" i="21" a="1"/>
  <c r="J51" i="21" s="1"/>
  <c r="N51" i="21" a="1"/>
  <c r="N51" i="21" s="1"/>
  <c r="L68" i="21" a="1"/>
  <c r="L68" i="21" s="1"/>
  <c r="H68" i="21" a="1"/>
  <c r="H68" i="21" s="1"/>
  <c r="I68" i="21" a="1"/>
  <c r="I68" i="21" s="1"/>
  <c r="M68" i="21" a="1"/>
  <c r="M68" i="21" s="1"/>
  <c r="N68" i="21" a="1"/>
  <c r="N68" i="21" s="1"/>
  <c r="K68" i="21" a="1"/>
  <c r="K68" i="21" s="1"/>
  <c r="G68" i="21" a="1"/>
  <c r="G68" i="21" s="1"/>
  <c r="J68" i="21" a="1"/>
  <c r="J68" i="21" s="1"/>
  <c r="I24" i="21" a="1"/>
  <c r="I24" i="21" s="1"/>
  <c r="J24" i="21" a="1"/>
  <c r="J24" i="21" s="1"/>
  <c r="M24" i="21" a="1"/>
  <c r="M24" i="21" s="1"/>
  <c r="K24" i="21" a="1"/>
  <c r="K24" i="21" s="1"/>
  <c r="L24" i="21" a="1"/>
  <c r="L24" i="21" s="1"/>
  <c r="N24" i="21" a="1"/>
  <c r="N24" i="21" s="1"/>
  <c r="G24" i="21" a="1"/>
  <c r="G24" i="21" s="1"/>
  <c r="H24" i="21" a="1"/>
  <c r="H24" i="21" s="1"/>
  <c r="K48" i="21" a="1"/>
  <c r="K48" i="21" s="1"/>
  <c r="I48" i="21" a="1"/>
  <c r="I48" i="21" s="1"/>
  <c r="G48" i="21" a="1"/>
  <c r="G48" i="21" s="1"/>
  <c r="M48" i="21" a="1"/>
  <c r="M48" i="21" s="1"/>
  <c r="N48" i="21" a="1"/>
  <c r="N48" i="21" s="1"/>
  <c r="L48" i="21" a="1"/>
  <c r="L48" i="21" s="1"/>
  <c r="J48" i="21" a="1"/>
  <c r="J48" i="21" s="1"/>
  <c r="H48" i="21" a="1"/>
  <c r="H48" i="21" s="1"/>
  <c r="J86" i="21" a="1"/>
  <c r="J86" i="21" s="1"/>
  <c r="M86" i="21" a="1"/>
  <c r="M86" i="21" s="1"/>
  <c r="N86" i="21" a="1"/>
  <c r="N86" i="21" s="1"/>
  <c r="L86" i="21" a="1"/>
  <c r="L86" i="21" s="1"/>
  <c r="G86" i="21" a="1"/>
  <c r="G86" i="21" s="1"/>
  <c r="H86" i="21" a="1"/>
  <c r="H86" i="21" s="1"/>
  <c r="K86" i="21" a="1"/>
  <c r="K86" i="21" s="1"/>
  <c r="I86" i="21" a="1"/>
  <c r="I86" i="21" s="1"/>
  <c r="L72" i="21" a="1"/>
  <c r="L72" i="21" s="1"/>
  <c r="K72" i="21" a="1"/>
  <c r="K72" i="21" s="1"/>
  <c r="H72" i="21" a="1"/>
  <c r="H72" i="21" s="1"/>
  <c r="N72" i="21" a="1"/>
  <c r="N72" i="21" s="1"/>
  <c r="J72" i="21" a="1"/>
  <c r="J72" i="21" s="1"/>
  <c r="G72" i="21" a="1"/>
  <c r="G72" i="21" s="1"/>
  <c r="I72" i="21" a="1"/>
  <c r="I72" i="21" s="1"/>
  <c r="M72" i="21" a="1"/>
  <c r="M72" i="21" s="1"/>
  <c r="M61" i="21" a="1"/>
  <c r="M61" i="21" s="1"/>
  <c r="N61" i="21" a="1"/>
  <c r="N61" i="21" s="1"/>
  <c r="L61" i="21" a="1"/>
  <c r="L61" i="21" s="1"/>
  <c r="K61" i="21" a="1"/>
  <c r="K61" i="21" s="1"/>
  <c r="J61" i="21" a="1"/>
  <c r="J61" i="21" s="1"/>
  <c r="H61" i="21" a="1"/>
  <c r="H61" i="21" s="1"/>
  <c r="G61" i="21" a="1"/>
  <c r="G61" i="21" s="1"/>
  <c r="I61" i="21" a="1"/>
  <c r="I61" i="21" s="1"/>
  <c r="I59" i="21" a="1"/>
  <c r="I59" i="21" s="1"/>
  <c r="K59" i="21" a="1"/>
  <c r="K59" i="21" s="1"/>
  <c r="H59" i="21" a="1"/>
  <c r="H59" i="21" s="1"/>
  <c r="M59" i="21" a="1"/>
  <c r="M59" i="21" s="1"/>
  <c r="L59" i="21" a="1"/>
  <c r="L59" i="21" s="1"/>
  <c r="N59" i="21" a="1"/>
  <c r="N59" i="21" s="1"/>
  <c r="G59" i="21" a="1"/>
  <c r="G59" i="21" s="1"/>
  <c r="J59" i="21" a="1"/>
  <c r="J59" i="21" s="1"/>
  <c r="J43" i="21" a="1"/>
  <c r="J43" i="21" s="1"/>
  <c r="L43" i="21" a="1"/>
  <c r="L43" i="21" s="1"/>
  <c r="H43" i="21" a="1"/>
  <c r="H43" i="21" s="1"/>
  <c r="G43" i="21" a="1"/>
  <c r="G43" i="21" s="1"/>
  <c r="M43" i="21" a="1"/>
  <c r="M43" i="21" s="1"/>
  <c r="N43" i="21" a="1"/>
  <c r="N43" i="21" s="1"/>
  <c r="K43" i="21" a="1"/>
  <c r="K43" i="21" s="1"/>
  <c r="I43" i="21" a="1"/>
  <c r="I43" i="21" s="1"/>
  <c r="J84" i="21" a="1"/>
  <c r="J84" i="21" s="1"/>
  <c r="K84" i="21" a="1"/>
  <c r="K84" i="21" s="1"/>
  <c r="H84" i="21" a="1"/>
  <c r="H84" i="21" s="1"/>
  <c r="N84" i="21" a="1"/>
  <c r="N84" i="21" s="1"/>
  <c r="G84" i="21" a="1"/>
  <c r="G84" i="21" s="1"/>
  <c r="L84" i="21" a="1"/>
  <c r="L84" i="21" s="1"/>
  <c r="I84" i="21" a="1"/>
  <c r="I84" i="21" s="1"/>
  <c r="M84" i="21" a="1"/>
  <c r="M84" i="21" s="1"/>
  <c r="N73" i="21" a="1"/>
  <c r="N73" i="21" s="1"/>
  <c r="I73" i="21" a="1"/>
  <c r="I73" i="21" s="1"/>
  <c r="H73" i="21" a="1"/>
  <c r="H73" i="21" s="1"/>
  <c r="G73" i="21" a="1"/>
  <c r="G73" i="21" s="1"/>
  <c r="K73" i="21" a="1"/>
  <c r="K73" i="21" s="1"/>
  <c r="J73" i="21" a="1"/>
  <c r="J73" i="21" s="1"/>
  <c r="L73" i="21" a="1"/>
  <c r="L73" i="21" s="1"/>
  <c r="M73" i="21" a="1"/>
  <c r="M73" i="21" s="1"/>
  <c r="M60" i="21" a="1"/>
  <c r="M60" i="21" s="1"/>
  <c r="L60" i="21" a="1"/>
  <c r="L60" i="21" s="1"/>
  <c r="K60" i="21" a="1"/>
  <c r="K60" i="21" s="1"/>
  <c r="G60" i="21" a="1"/>
  <c r="G60" i="21" s="1"/>
  <c r="N60" i="21" a="1"/>
  <c r="N60" i="21" s="1"/>
  <c r="I60" i="21" a="1"/>
  <c r="I60" i="21" s="1"/>
  <c r="H60" i="21" a="1"/>
  <c r="H60" i="21" s="1"/>
  <c r="J60" i="21" a="1"/>
  <c r="J60" i="21" s="1"/>
  <c r="L80" i="21" a="1"/>
  <c r="L80" i="21" s="1"/>
  <c r="N80" i="21" a="1"/>
  <c r="N80" i="21" s="1"/>
  <c r="J80" i="21" a="1"/>
  <c r="J80" i="21" s="1"/>
  <c r="M80" i="21" a="1"/>
  <c r="M80" i="21" s="1"/>
  <c r="I80" i="21" a="1"/>
  <c r="I80" i="21" s="1"/>
  <c r="H80" i="21" a="1"/>
  <c r="H80" i="21" s="1"/>
  <c r="K80" i="21" a="1"/>
  <c r="K80" i="21" s="1"/>
  <c r="G80" i="21" a="1"/>
  <c r="G80" i="21" s="1"/>
  <c r="I32" i="21" a="1"/>
  <c r="I32" i="21" s="1"/>
  <c r="N32" i="21" a="1"/>
  <c r="N32" i="21" s="1"/>
  <c r="H32" i="21" a="1"/>
  <c r="H32" i="21" s="1"/>
  <c r="L32" i="21" a="1"/>
  <c r="L32" i="21" s="1"/>
  <c r="K32" i="21" a="1"/>
  <c r="K32" i="21" s="1"/>
  <c r="M32" i="21" a="1"/>
  <c r="M32" i="21" s="1"/>
  <c r="J32" i="21" a="1"/>
  <c r="J32" i="21" s="1"/>
  <c r="G32" i="21" a="1"/>
  <c r="G32" i="21" s="1"/>
  <c r="H87" i="21" a="1"/>
  <c r="H87" i="21" s="1"/>
  <c r="G87" i="21" a="1"/>
  <c r="G87" i="21" s="1"/>
  <c r="L87" i="21" a="1"/>
  <c r="L87" i="21" s="1"/>
  <c r="J87" i="21" a="1"/>
  <c r="J87" i="21" s="1"/>
  <c r="I87" i="21" a="1"/>
  <c r="I87" i="21" s="1"/>
  <c r="N87" i="21" a="1"/>
  <c r="N87" i="21" s="1"/>
  <c r="K87" i="21" a="1"/>
  <c r="K87" i="21" s="1"/>
  <c r="M87" i="21" a="1"/>
  <c r="M87" i="21" s="1"/>
  <c r="M39" i="21" a="1"/>
  <c r="M39" i="21" s="1"/>
  <c r="K39" i="21" a="1"/>
  <c r="K39" i="21" s="1"/>
  <c r="J39" i="21" a="1"/>
  <c r="J39" i="21" s="1"/>
  <c r="H39" i="21" a="1"/>
  <c r="H39" i="21" s="1"/>
  <c r="I39" i="21" a="1"/>
  <c r="I39" i="21" s="1"/>
  <c r="G39" i="21" a="1"/>
  <c r="G39" i="21" s="1"/>
  <c r="L39" i="21" a="1"/>
  <c r="L39" i="21" s="1"/>
  <c r="N39" i="21" a="1"/>
  <c r="N39" i="21" s="1"/>
  <c r="I45" i="21" a="1"/>
  <c r="I45" i="21" s="1"/>
  <c r="N45" i="21" a="1"/>
  <c r="N45" i="21" s="1"/>
  <c r="K45" i="21" a="1"/>
  <c r="K45" i="21" s="1"/>
  <c r="L45" i="21" a="1"/>
  <c r="L45" i="21" s="1"/>
  <c r="H45" i="21" a="1"/>
  <c r="H45" i="21" s="1"/>
  <c r="J45" i="21" a="1"/>
  <c r="J45" i="21" s="1"/>
  <c r="G45" i="21" a="1"/>
  <c r="G45" i="21" s="1"/>
  <c r="M45" i="21" a="1"/>
  <c r="M45" i="21" s="1"/>
  <c r="G78" i="21" a="1"/>
  <c r="G78" i="21" s="1"/>
  <c r="H78" i="21" a="1"/>
  <c r="H78" i="21" s="1"/>
  <c r="K78" i="21" a="1"/>
  <c r="K78" i="21" s="1"/>
  <c r="I78" i="21" a="1"/>
  <c r="I78" i="21" s="1"/>
  <c r="J78" i="21" a="1"/>
  <c r="J78" i="21" s="1"/>
  <c r="N78" i="21" a="1"/>
  <c r="N78" i="21" s="1"/>
  <c r="M78" i="21" a="1"/>
  <c r="M78" i="21" s="1"/>
  <c r="L78" i="21" a="1"/>
  <c r="L78" i="21" s="1"/>
  <c r="G55" i="21" a="1"/>
  <c r="G55" i="21" s="1"/>
  <c r="L55" i="21" a="1"/>
  <c r="L55" i="21" s="1"/>
  <c r="J55" i="21" a="1"/>
  <c r="J55" i="21" s="1"/>
  <c r="K55" i="21" a="1"/>
  <c r="K55" i="21" s="1"/>
  <c r="I55" i="21" a="1"/>
  <c r="I55" i="21" s="1"/>
  <c r="M55" i="21" a="1"/>
  <c r="M55" i="21" s="1"/>
  <c r="N55" i="21" a="1"/>
  <c r="N55" i="21" s="1"/>
  <c r="H55" i="21" a="1"/>
  <c r="H55" i="21" s="1"/>
  <c r="J57" i="21" a="1"/>
  <c r="J57" i="21" s="1"/>
  <c r="M57" i="21" a="1"/>
  <c r="M57" i="21" s="1"/>
  <c r="K57" i="21" a="1"/>
  <c r="K57" i="21" s="1"/>
  <c r="I57" i="21" a="1"/>
  <c r="I57" i="21" s="1"/>
  <c r="N57" i="21" a="1"/>
  <c r="N57" i="21" s="1"/>
  <c r="H57" i="21" a="1"/>
  <c r="H57" i="21" s="1"/>
  <c r="L57" i="21" a="1"/>
  <c r="L57" i="21" s="1"/>
  <c r="G57" i="21" a="1"/>
  <c r="G57" i="21" s="1"/>
  <c r="M66" i="21" a="1"/>
  <c r="M66" i="21" s="1"/>
  <c r="N66" i="21" a="1"/>
  <c r="N66" i="21" s="1"/>
  <c r="K66" i="21" a="1"/>
  <c r="K66" i="21" s="1"/>
  <c r="L66" i="21" a="1"/>
  <c r="L66" i="21" s="1"/>
  <c r="G66" i="21" a="1"/>
  <c r="G66" i="21" s="1"/>
  <c r="I66" i="21" a="1"/>
  <c r="I66" i="21" s="1"/>
  <c r="J66" i="21" a="1"/>
  <c r="J66" i="21" s="1"/>
  <c r="H66" i="21" a="1"/>
  <c r="H66" i="21" s="1"/>
  <c r="K40" i="21" a="1"/>
  <c r="K40" i="21" s="1"/>
  <c r="I40" i="21" a="1"/>
  <c r="I40" i="21" s="1"/>
  <c r="L40" i="21" a="1"/>
  <c r="L40" i="21" s="1"/>
  <c r="G40" i="21" a="1"/>
  <c r="G40" i="21" s="1"/>
  <c r="N40" i="21" a="1"/>
  <c r="N40" i="21" s="1"/>
  <c r="J40" i="21" a="1"/>
  <c r="J40" i="21" s="1"/>
  <c r="H40" i="21" a="1"/>
  <c r="H40" i="21" s="1"/>
  <c r="M40" i="21" a="1"/>
  <c r="M40" i="21" s="1"/>
  <c r="J71" i="21" a="1"/>
  <c r="J71" i="21" s="1"/>
  <c r="H71" i="21" a="1"/>
  <c r="H71" i="21" s="1"/>
  <c r="N71" i="21" a="1"/>
  <c r="N71" i="21" s="1"/>
  <c r="L71" i="21" a="1"/>
  <c r="L71" i="21" s="1"/>
  <c r="M71" i="21" a="1"/>
  <c r="M71" i="21" s="1"/>
  <c r="I71" i="21" a="1"/>
  <c r="I71" i="21" s="1"/>
  <c r="K71" i="21" a="1"/>
  <c r="K71" i="21" s="1"/>
  <c r="G71" i="21" a="1"/>
  <c r="G71" i="21" s="1"/>
  <c r="K56" i="21" a="1"/>
  <c r="K56" i="21" s="1"/>
  <c r="G56" i="21" a="1"/>
  <c r="G56" i="21" s="1"/>
  <c r="L56" i="21" a="1"/>
  <c r="L56" i="21" s="1"/>
  <c r="J56" i="21" a="1"/>
  <c r="J56" i="21" s="1"/>
  <c r="I56" i="21" a="1"/>
  <c r="I56" i="21" s="1"/>
  <c r="H56" i="21" a="1"/>
  <c r="H56" i="21" s="1"/>
  <c r="M56" i="21" a="1"/>
  <c r="M56" i="21" s="1"/>
  <c r="N56" i="21" a="1"/>
  <c r="N56" i="21" s="1"/>
  <c r="L67" i="21" a="1"/>
  <c r="L67" i="21" s="1"/>
  <c r="I67" i="21" a="1"/>
  <c r="I67" i="21" s="1"/>
  <c r="K67" i="21" a="1"/>
  <c r="K67" i="21" s="1"/>
  <c r="G67" i="21" a="1"/>
  <c r="G67" i="21" s="1"/>
  <c r="N67" i="21" a="1"/>
  <c r="N67" i="21" s="1"/>
  <c r="J67" i="21" a="1"/>
  <c r="J67" i="21" s="1"/>
  <c r="M67" i="21" a="1"/>
  <c r="M67" i="21" s="1"/>
  <c r="H67" i="21" a="1"/>
  <c r="H67" i="21" s="1"/>
  <c r="M44" i="21" a="1"/>
  <c r="M44" i="21" s="1"/>
  <c r="N44" i="21" a="1"/>
  <c r="N44" i="21" s="1"/>
  <c r="H44" i="21" a="1"/>
  <c r="H44" i="21" s="1"/>
  <c r="G44" i="21" a="1"/>
  <c r="G44" i="21" s="1"/>
  <c r="I44" i="21" a="1"/>
  <c r="I44" i="21" s="1"/>
  <c r="K44" i="21" a="1"/>
  <c r="K44" i="21" s="1"/>
  <c r="J44" i="21" a="1"/>
  <c r="J44" i="21" s="1"/>
  <c r="L44" i="21" a="1"/>
  <c r="L44" i="21" s="1"/>
  <c r="M52" i="21" a="1"/>
  <c r="M52" i="21" s="1"/>
  <c r="L52" i="21" a="1"/>
  <c r="L52" i="21" s="1"/>
  <c r="G52" i="21" a="1"/>
  <c r="G52" i="21" s="1"/>
  <c r="N52" i="21" a="1"/>
  <c r="N52" i="21" s="1"/>
  <c r="I52" i="21" a="1"/>
  <c r="I52" i="21" s="1"/>
  <c r="K52" i="21" a="1"/>
  <c r="K52" i="21" s="1"/>
  <c r="H52" i="21" a="1"/>
  <c r="H52" i="21" s="1"/>
  <c r="J52" i="21" a="1"/>
  <c r="J52" i="21" s="1"/>
  <c r="K81" i="21" a="1"/>
  <c r="K81" i="21" s="1"/>
  <c r="N81" i="21" a="1"/>
  <c r="N81" i="21" s="1"/>
  <c r="M81" i="21" a="1"/>
  <c r="M81" i="21" s="1"/>
  <c r="J81" i="21" a="1"/>
  <c r="J81" i="21" s="1"/>
  <c r="G81" i="21" a="1"/>
  <c r="G81" i="21" s="1"/>
  <c r="H81" i="21" a="1"/>
  <c r="H81" i="21" s="1"/>
  <c r="I81" i="21" a="1"/>
  <c r="I81" i="21" s="1"/>
  <c r="L81" i="21" a="1"/>
  <c r="L81" i="21" s="1"/>
  <c r="L70" i="21" a="1"/>
  <c r="L70" i="21" s="1"/>
  <c r="G70" i="21" a="1"/>
  <c r="G70" i="21" s="1"/>
  <c r="H70" i="21" a="1"/>
  <c r="H70" i="21" s="1"/>
  <c r="K70" i="21" a="1"/>
  <c r="K70" i="21" s="1"/>
  <c r="N70" i="21" a="1"/>
  <c r="N70" i="21" s="1"/>
  <c r="J70" i="21" a="1"/>
  <c r="J70" i="21" s="1"/>
  <c r="I70" i="21" a="1"/>
  <c r="I70" i="21" s="1"/>
  <c r="M70" i="21" a="1"/>
  <c r="M70" i="21" s="1"/>
  <c r="M23" i="21" a="1"/>
  <c r="M23" i="21" s="1"/>
  <c r="K23" i="21" a="1"/>
  <c r="K23" i="21" s="1"/>
  <c r="J23" i="21" a="1"/>
  <c r="J23" i="21" s="1"/>
  <c r="L23" i="21" a="1"/>
  <c r="L23" i="21" s="1"/>
  <c r="H23" i="21" a="1"/>
  <c r="H23" i="21" s="1"/>
  <c r="N23" i="21" a="1"/>
  <c r="N23" i="21" s="1"/>
  <c r="G23" i="21" a="1"/>
  <c r="G23" i="21" s="1"/>
  <c r="I23" i="21" a="1"/>
  <c r="I23" i="21" s="1"/>
  <c r="J27" i="21" a="1"/>
  <c r="J27" i="21" s="1"/>
  <c r="H27" i="21" a="1"/>
  <c r="H27" i="21" s="1"/>
  <c r="N27" i="21" a="1"/>
  <c r="N27" i="21" s="1"/>
  <c r="L27" i="21" a="1"/>
  <c r="L27" i="21" s="1"/>
  <c r="M27" i="21" a="1"/>
  <c r="M27" i="21" s="1"/>
  <c r="G27" i="21" a="1"/>
  <c r="G27" i="21" s="1"/>
  <c r="I27" i="21" a="1"/>
  <c r="I27" i="21" s="1"/>
  <c r="K27" i="21" a="1"/>
  <c r="K27" i="21" s="1"/>
  <c r="H36" i="21" a="1"/>
  <c r="H36" i="21" s="1"/>
  <c r="N36" i="21" a="1"/>
  <c r="N36" i="21" s="1"/>
  <c r="K36" i="21" a="1"/>
  <c r="K36" i="21" s="1"/>
  <c r="J36" i="21" a="1"/>
  <c r="J36" i="21" s="1"/>
  <c r="G36" i="21" a="1"/>
  <c r="G36" i="21" s="1"/>
  <c r="I36" i="21" a="1"/>
  <c r="I36" i="21" s="1"/>
  <c r="L36" i="21" a="1"/>
  <c r="L36" i="21" s="1"/>
  <c r="M36" i="21" a="1"/>
  <c r="M36" i="21" s="1"/>
  <c r="M107" i="19"/>
  <c r="M95" i="19"/>
  <c r="N92" i="19"/>
  <c r="P92" i="19" s="1"/>
  <c r="Q92" i="19" s="1"/>
  <c r="R92" i="19" s="1"/>
  <c r="S92" i="19" s="1"/>
  <c r="T92" i="19" s="1"/>
  <c r="U92" i="19" s="1"/>
  <c r="V92" i="19" s="1"/>
  <c r="W92" i="19" s="1"/>
  <c r="X92" i="19" s="1"/>
  <c r="Y92" i="19" s="1"/>
  <c r="Z92" i="19" s="1"/>
  <c r="M101" i="19"/>
  <c r="M49" i="19"/>
  <c r="K49" i="19"/>
  <c r="N50" i="19"/>
  <c r="I49" i="19"/>
  <c r="G49" i="19"/>
  <c r="N95" i="19"/>
  <c r="N101" i="19"/>
  <c r="N113" i="19"/>
  <c r="N107" i="19"/>
  <c r="N119" i="19"/>
  <c r="J115" i="19" l="1"/>
  <c r="L102" i="19"/>
  <c r="L96" i="19"/>
  <c r="K135" i="19"/>
  <c r="J134" i="19"/>
  <c r="N111" i="19"/>
  <c r="G99" i="19"/>
  <c r="G128" i="19"/>
  <c r="J117" i="19"/>
  <c r="L136" i="19"/>
  <c r="G121" i="19"/>
  <c r="L127" i="19"/>
  <c r="I118" i="19"/>
  <c r="K116" i="19"/>
  <c r="I131" i="19"/>
  <c r="L100" i="19"/>
  <c r="H120" i="19"/>
  <c r="J144" i="19"/>
  <c r="L109" i="19"/>
  <c r="M133" i="19"/>
  <c r="G123" i="19"/>
  <c r="G138" i="19"/>
  <c r="N141" i="19"/>
  <c r="G98" i="19"/>
  <c r="M122" i="19"/>
  <c r="K124" i="19"/>
  <c r="N137" i="19"/>
  <c r="L143" i="19"/>
  <c r="M105" i="19"/>
  <c r="K97" i="19"/>
  <c r="M129" i="19"/>
  <c r="H110" i="19"/>
  <c r="I108" i="19"/>
  <c r="H103" i="19"/>
  <c r="K106" i="19"/>
  <c r="G126" i="19"/>
  <c r="J125" i="19"/>
  <c r="M142" i="19"/>
  <c r="L132" i="19"/>
  <c r="H114" i="19"/>
  <c r="H104" i="19"/>
  <c r="K140" i="19"/>
  <c r="I139" i="19"/>
  <c r="L112" i="19"/>
  <c r="Z118" i="19"/>
  <c r="W118" i="19"/>
  <c r="P116" i="19"/>
  <c r="S131" i="19"/>
  <c r="V131" i="19"/>
  <c r="Q100" i="19"/>
  <c r="Z120" i="19"/>
  <c r="O120" i="19"/>
  <c r="U144" i="19"/>
  <c r="S109" i="19"/>
  <c r="S138" i="19"/>
  <c r="R146" i="19"/>
  <c r="S146" i="19"/>
  <c r="Y141" i="19"/>
  <c r="S98" i="19"/>
  <c r="U98" i="19"/>
  <c r="X122" i="19"/>
  <c r="N678" i="1" s="1"/>
  <c r="Z124" i="19"/>
  <c r="O124" i="19"/>
  <c r="V133" i="19"/>
  <c r="P152" i="19"/>
  <c r="Y152" i="19"/>
  <c r="Y143" i="19"/>
  <c r="S105" i="19"/>
  <c r="Y105" i="19"/>
  <c r="T151" i="19"/>
  <c r="Z97" i="19"/>
  <c r="S97" i="19"/>
  <c r="U129" i="19"/>
  <c r="S110" i="19"/>
  <c r="U110" i="19"/>
  <c r="R108" i="19"/>
  <c r="V148" i="19"/>
  <c r="Z148" i="19"/>
  <c r="X106" i="19"/>
  <c r="N728" i="1" s="1"/>
  <c r="R126" i="19"/>
  <c r="V126" i="19"/>
  <c r="S125" i="19"/>
  <c r="U149" i="19"/>
  <c r="Z149" i="19"/>
  <c r="V142" i="19"/>
  <c r="S132" i="19"/>
  <c r="W132" i="19"/>
  <c r="Q114" i="19"/>
  <c r="Z104" i="19"/>
  <c r="O104" i="19"/>
  <c r="W140" i="19"/>
  <c r="Z130" i="19"/>
  <c r="T130" i="19"/>
  <c r="V139" i="19"/>
  <c r="Z112" i="19"/>
  <c r="P112" i="19"/>
  <c r="X147" i="19"/>
  <c r="N943" i="1" s="1"/>
  <c r="Z150" i="19"/>
  <c r="V150" i="19"/>
  <c r="X153" i="19"/>
  <c r="N1032" i="1" s="1"/>
  <c r="O115" i="19"/>
  <c r="Q115" i="19"/>
  <c r="O102" i="19"/>
  <c r="W96" i="19"/>
  <c r="R96" i="19"/>
  <c r="Z135" i="19"/>
  <c r="S134" i="19"/>
  <c r="U134" i="19"/>
  <c r="P111" i="19"/>
  <c r="X137" i="19"/>
  <c r="N417" i="1" s="1"/>
  <c r="Q137" i="19"/>
  <c r="R103" i="19"/>
  <c r="Z99" i="19"/>
  <c r="X99" i="19"/>
  <c r="N714" i="1" s="1"/>
  <c r="U128" i="19"/>
  <c r="S117" i="19"/>
  <c r="Y117" i="19"/>
  <c r="W136" i="19"/>
  <c r="Q145" i="19"/>
  <c r="W145" i="19"/>
  <c r="T154" i="19"/>
  <c r="T121" i="19"/>
  <c r="Z121" i="19"/>
  <c r="T127" i="19"/>
  <c r="R123" i="19"/>
  <c r="O123" i="19"/>
  <c r="G134" i="19"/>
  <c r="I117" i="19"/>
  <c r="J131" i="19"/>
  <c r="N123" i="19"/>
  <c r="J137" i="19"/>
  <c r="K108" i="19"/>
  <c r="K142" i="19"/>
  <c r="M130" i="19"/>
  <c r="Q116" i="19"/>
  <c r="T144" i="19"/>
  <c r="O141" i="19"/>
  <c r="U133" i="19"/>
  <c r="Q151" i="19"/>
  <c r="X148" i="19"/>
  <c r="N970" i="1" s="1"/>
  <c r="R149" i="19"/>
  <c r="X104" i="19"/>
  <c r="N683" i="1" s="1"/>
  <c r="T112" i="19"/>
  <c r="Y115" i="19"/>
  <c r="X135" i="19"/>
  <c r="N411" i="1" s="1"/>
  <c r="R137" i="19"/>
  <c r="X103" i="19"/>
  <c r="N372" i="1" s="1"/>
  <c r="O99" i="19"/>
  <c r="O128" i="19"/>
  <c r="S136" i="19"/>
  <c r="W154" i="19"/>
  <c r="Z154" i="19"/>
  <c r="R121" i="19"/>
  <c r="Z127" i="19"/>
  <c r="O127" i="19"/>
  <c r="T123" i="19"/>
  <c r="N102" i="19"/>
  <c r="H135" i="19"/>
  <c r="G111" i="19"/>
  <c r="K128" i="19"/>
  <c r="N136" i="19"/>
  <c r="K127" i="19"/>
  <c r="J116" i="19"/>
  <c r="K100" i="19"/>
  <c r="L144" i="19"/>
  <c r="J133" i="19"/>
  <c r="H138" i="19"/>
  <c r="H98" i="19"/>
  <c r="L124" i="19"/>
  <c r="N143" i="19"/>
  <c r="M97" i="19"/>
  <c r="I110" i="19"/>
  <c r="I103" i="19"/>
  <c r="N126" i="19"/>
  <c r="N142" i="19"/>
  <c r="J114" i="19"/>
  <c r="G140" i="19"/>
  <c r="L139" i="19"/>
  <c r="V118" i="19"/>
  <c r="T100" i="19"/>
  <c r="V120" i="19"/>
  <c r="X109" i="19"/>
  <c r="N374" i="1" s="1"/>
  <c r="P138" i="19"/>
  <c r="W146" i="19"/>
  <c r="R98" i="19"/>
  <c r="Y122" i="19"/>
  <c r="W133" i="19"/>
  <c r="S152" i="19"/>
  <c r="R105" i="19"/>
  <c r="W151" i="19"/>
  <c r="X97" i="19"/>
  <c r="N369" i="1" s="1"/>
  <c r="R110" i="19"/>
  <c r="T108" i="19"/>
  <c r="Y148" i="19"/>
  <c r="Z126" i="19"/>
  <c r="O149" i="19"/>
  <c r="O142" i="19"/>
  <c r="V132" i="19"/>
  <c r="R104" i="19"/>
  <c r="V140" i="19"/>
  <c r="V130" i="19"/>
  <c r="R112" i="19"/>
  <c r="R147" i="19"/>
  <c r="Q150" i="19"/>
  <c r="O150" i="19"/>
  <c r="R153" i="19"/>
  <c r="Z115" i="19"/>
  <c r="U102" i="19"/>
  <c r="U96" i="19"/>
  <c r="S96" i="19"/>
  <c r="Q135" i="19"/>
  <c r="R134" i="19"/>
  <c r="W134" i="19"/>
  <c r="Y111" i="19"/>
  <c r="S137" i="19"/>
  <c r="W137" i="19"/>
  <c r="P103" i="19"/>
  <c r="R99" i="19"/>
  <c r="U99" i="19"/>
  <c r="V128" i="19"/>
  <c r="R117" i="19"/>
  <c r="U117" i="19"/>
  <c r="U136" i="19"/>
  <c r="Y145" i="19"/>
  <c r="S145" i="19"/>
  <c r="V154" i="19"/>
  <c r="Q121" i="19"/>
  <c r="X121" i="19"/>
  <c r="N376" i="1" s="1"/>
  <c r="P127" i="19"/>
  <c r="S123" i="19"/>
  <c r="U123" i="19"/>
  <c r="H96" i="19"/>
  <c r="M136" i="19"/>
  <c r="H100" i="19"/>
  <c r="K138" i="19"/>
  <c r="L97" i="19"/>
  <c r="V100" i="19"/>
  <c r="V138" i="19"/>
  <c r="Y124" i="19"/>
  <c r="X143" i="19"/>
  <c r="N772" i="1" s="1"/>
  <c r="O110" i="19"/>
  <c r="V106" i="19"/>
  <c r="T142" i="19"/>
  <c r="P140" i="19"/>
  <c r="W147" i="19"/>
  <c r="V134" i="19"/>
  <c r="K115" i="19"/>
  <c r="J96" i="19"/>
  <c r="M134" i="19"/>
  <c r="H99" i="19"/>
  <c r="L117" i="19"/>
  <c r="L121" i="19"/>
  <c r="K118" i="19"/>
  <c r="K131" i="19"/>
  <c r="J120" i="19"/>
  <c r="H109" i="19"/>
  <c r="K123" i="19"/>
  <c r="H141" i="19"/>
  <c r="H122" i="19"/>
  <c r="H137" i="19"/>
  <c r="G105" i="19"/>
  <c r="I129" i="19"/>
  <c r="L108" i="19"/>
  <c r="L106" i="19"/>
  <c r="L125" i="19"/>
  <c r="N132" i="19"/>
  <c r="J104" i="19"/>
  <c r="I112" i="19"/>
  <c r="R118" i="19"/>
  <c r="T116" i="19"/>
  <c r="Y131" i="19"/>
  <c r="S120" i="19"/>
  <c r="W144" i="19"/>
  <c r="W109" i="19"/>
  <c r="Y146" i="19"/>
  <c r="T141" i="19"/>
  <c r="W98" i="19"/>
  <c r="S124" i="19"/>
  <c r="R152" i="19"/>
  <c r="V143" i="19"/>
  <c r="O105" i="19"/>
  <c r="R97" i="19"/>
  <c r="X129" i="19"/>
  <c r="N392" i="1" s="1"/>
  <c r="W110" i="19"/>
  <c r="P148" i="19"/>
  <c r="Y106" i="19"/>
  <c r="Y126" i="19"/>
  <c r="T125" i="19"/>
  <c r="Y149" i="19"/>
  <c r="R132" i="19"/>
  <c r="W114" i="19"/>
  <c r="Q104" i="19"/>
  <c r="R130" i="19"/>
  <c r="R139" i="19"/>
  <c r="U112" i="19"/>
  <c r="S115" i="19"/>
  <c r="N115" i="19"/>
  <c r="H102" i="19"/>
  <c r="K96" i="19"/>
  <c r="G135" i="19"/>
  <c r="N134" i="19"/>
  <c r="L111" i="19"/>
  <c r="N99" i="19"/>
  <c r="I128" i="19"/>
  <c r="G117" i="19"/>
  <c r="H136" i="19"/>
  <c r="I121" i="19"/>
  <c r="N127" i="19"/>
  <c r="M118" i="19"/>
  <c r="L116" i="19"/>
  <c r="H131" i="19"/>
  <c r="N100" i="19"/>
  <c r="K120" i="19"/>
  <c r="G144" i="19"/>
  <c r="N109" i="19"/>
  <c r="N133" i="19"/>
  <c r="L123" i="19"/>
  <c r="I138" i="19"/>
  <c r="K141" i="19"/>
  <c r="L98" i="19"/>
  <c r="K122" i="19"/>
  <c r="N124" i="19"/>
  <c r="K137" i="19"/>
  <c r="M143" i="19"/>
  <c r="I105" i="19"/>
  <c r="J97" i="19"/>
  <c r="H129" i="19"/>
  <c r="M110" i="19"/>
  <c r="H108" i="19"/>
  <c r="G103" i="19"/>
  <c r="N106" i="19"/>
  <c r="H126" i="19"/>
  <c r="N125" i="19"/>
  <c r="J142" i="19"/>
  <c r="K132" i="19"/>
  <c r="L114" i="19"/>
  <c r="K104" i="19"/>
  <c r="I140" i="19"/>
  <c r="N130" i="19"/>
  <c r="H139" i="19"/>
  <c r="N112" i="19"/>
  <c r="S118" i="19"/>
  <c r="O118" i="19"/>
  <c r="X116" i="19"/>
  <c r="N677" i="1" s="1"/>
  <c r="R131" i="19"/>
  <c r="Q131" i="19"/>
  <c r="X100" i="19"/>
  <c r="N723" i="1" s="1"/>
  <c r="Y120" i="19"/>
  <c r="T120" i="19"/>
  <c r="O144" i="19"/>
  <c r="T109" i="19"/>
  <c r="V109" i="19"/>
  <c r="T138" i="19"/>
  <c r="Z146" i="19"/>
  <c r="V146" i="19"/>
  <c r="P141" i="19"/>
  <c r="Z98" i="19"/>
  <c r="V98" i="19"/>
  <c r="Q122" i="19"/>
  <c r="R124" i="19"/>
  <c r="U124" i="19"/>
  <c r="O133" i="19"/>
  <c r="V152" i="19"/>
  <c r="U152" i="19"/>
  <c r="U143" i="19"/>
  <c r="Z105" i="19"/>
  <c r="W105" i="19"/>
  <c r="O151" i="19"/>
  <c r="T97" i="19"/>
  <c r="P97" i="19"/>
  <c r="O129" i="19"/>
  <c r="Z110" i="19"/>
  <c r="V110" i="19"/>
  <c r="Z108" i="19"/>
  <c r="W148" i="19"/>
  <c r="R148" i="19"/>
  <c r="T106" i="19"/>
  <c r="W126" i="19"/>
  <c r="O126" i="19"/>
  <c r="R125" i="19"/>
  <c r="P149" i="19"/>
  <c r="T149" i="19"/>
  <c r="Y142" i="19"/>
  <c r="Z132" i="19"/>
  <c r="Q132" i="19"/>
  <c r="Z114" i="19"/>
  <c r="S104" i="19"/>
  <c r="W104" i="19"/>
  <c r="U140" i="19"/>
  <c r="S130" i="19"/>
  <c r="X130" i="19"/>
  <c r="N748" i="1" s="1"/>
  <c r="O139" i="19"/>
  <c r="S112" i="19"/>
  <c r="V112" i="19"/>
  <c r="Y147" i="19"/>
  <c r="Y150" i="19"/>
  <c r="U150" i="19"/>
  <c r="Z153" i="19"/>
  <c r="P115" i="19"/>
  <c r="W115" i="19"/>
  <c r="Z102" i="19"/>
  <c r="O96" i="19"/>
  <c r="X96" i="19"/>
  <c r="N362" i="1" s="1"/>
  <c r="T135" i="19"/>
  <c r="Z134" i="19"/>
  <c r="Q134" i="19"/>
  <c r="T111" i="19"/>
  <c r="V137" i="19"/>
  <c r="Z137" i="19"/>
  <c r="S103" i="19"/>
  <c r="S99" i="19"/>
  <c r="W99" i="19"/>
  <c r="Z128" i="19"/>
  <c r="Z117" i="19"/>
  <c r="W117" i="19"/>
  <c r="P136" i="19"/>
  <c r="T145" i="19"/>
  <c r="X145" i="19"/>
  <c r="N949" i="1" s="1"/>
  <c r="X154" i="19"/>
  <c r="N1027" i="1" s="1"/>
  <c r="U121" i="19"/>
  <c r="W121" i="19"/>
  <c r="V127" i="19"/>
  <c r="Z123" i="19"/>
  <c r="W123" i="19"/>
  <c r="M102" i="19"/>
  <c r="N128" i="19"/>
  <c r="I116" i="19"/>
  <c r="K109" i="19"/>
  <c r="L122" i="19"/>
  <c r="N129" i="19"/>
  <c r="J126" i="19"/>
  <c r="I104" i="19"/>
  <c r="P118" i="19"/>
  <c r="U120" i="19"/>
  <c r="P146" i="19"/>
  <c r="O122" i="19"/>
  <c r="P143" i="19"/>
  <c r="S129" i="19"/>
  <c r="U106" i="19"/>
  <c r="Q142" i="19"/>
  <c r="X140" i="19"/>
  <c r="N768" i="1" s="1"/>
  <c r="U153" i="19"/>
  <c r="V111" i="19"/>
  <c r="O136" i="19"/>
  <c r="M96" i="19"/>
  <c r="M111" i="19"/>
  <c r="K117" i="19"/>
  <c r="J118" i="19"/>
  <c r="M120" i="19"/>
  <c r="M123" i="19"/>
  <c r="I122" i="19"/>
  <c r="J143" i="19"/>
  <c r="I97" i="19"/>
  <c r="J108" i="19"/>
  <c r="M103" i="19"/>
  <c r="G106" i="19"/>
  <c r="L126" i="19"/>
  <c r="I125" i="19"/>
  <c r="L142" i="19"/>
  <c r="I132" i="19"/>
  <c r="M114" i="19"/>
  <c r="M104" i="19"/>
  <c r="L140" i="19"/>
  <c r="L130" i="19"/>
  <c r="N139" i="19"/>
  <c r="J112" i="19"/>
  <c r="Y118" i="19"/>
  <c r="U118" i="19"/>
  <c r="Y116" i="19"/>
  <c r="O131" i="19"/>
  <c r="X131" i="19"/>
  <c r="N751" i="1" s="1"/>
  <c r="Y100" i="19"/>
  <c r="P120" i="19"/>
  <c r="R120" i="19"/>
  <c r="P144" i="19"/>
  <c r="R109" i="19"/>
  <c r="U109" i="19"/>
  <c r="Y138" i="19"/>
  <c r="O146" i="19"/>
  <c r="Q146" i="19"/>
  <c r="U141" i="19"/>
  <c r="P98" i="19"/>
  <c r="O98" i="19"/>
  <c r="P122" i="19"/>
  <c r="X124" i="19"/>
  <c r="N721" i="1" s="1"/>
  <c r="V124" i="19"/>
  <c r="P133" i="19"/>
  <c r="O152" i="19"/>
  <c r="T152" i="19"/>
  <c r="W143" i="19"/>
  <c r="X105" i="19"/>
  <c r="N718" i="1" s="1"/>
  <c r="V105" i="19"/>
  <c r="X151" i="19"/>
  <c r="N1048" i="1" s="1"/>
  <c r="W97" i="19"/>
  <c r="P129" i="19"/>
  <c r="Q110" i="19"/>
  <c r="T110" i="19"/>
  <c r="S108" i="19"/>
  <c r="S148" i="19"/>
  <c r="Q148" i="19"/>
  <c r="P106" i="19"/>
  <c r="Q126" i="19"/>
  <c r="U126" i="19"/>
  <c r="V125" i="19"/>
  <c r="X149" i="19"/>
  <c r="N944" i="1" s="1"/>
  <c r="S149" i="19"/>
  <c r="W142" i="19"/>
  <c r="Y132" i="19"/>
  <c r="X132" i="19"/>
  <c r="N747" i="1" s="1"/>
  <c r="R114" i="19"/>
  <c r="Y104" i="19"/>
  <c r="V104" i="19"/>
  <c r="Y140" i="19"/>
  <c r="W130" i="19"/>
  <c r="Q130" i="19"/>
  <c r="S139" i="19"/>
  <c r="O112" i="19"/>
  <c r="W112" i="19"/>
  <c r="Z147" i="19"/>
  <c r="W150" i="19"/>
  <c r="T153" i="19"/>
  <c r="X115" i="19"/>
  <c r="N373" i="1" s="1"/>
  <c r="U115" i="19"/>
  <c r="W102" i="19"/>
  <c r="Z96" i="19"/>
  <c r="P96" i="19"/>
  <c r="R135" i="19"/>
  <c r="O134" i="19"/>
  <c r="X134" i="19"/>
  <c r="N746" i="1" s="1"/>
  <c r="U111" i="19"/>
  <c r="U137" i="19"/>
  <c r="O137" i="19"/>
  <c r="Y103" i="19"/>
  <c r="Y99" i="19"/>
  <c r="V99" i="19"/>
  <c r="W128" i="19"/>
  <c r="Q117" i="19"/>
  <c r="V117" i="19"/>
  <c r="X136" i="19"/>
  <c r="N414" i="1" s="1"/>
  <c r="O145" i="19"/>
  <c r="R145" i="19"/>
  <c r="P154" i="19"/>
  <c r="Y121" i="19"/>
  <c r="V121" i="19"/>
  <c r="X127" i="19"/>
  <c r="N391" i="1" s="1"/>
  <c r="X123" i="19"/>
  <c r="N716" i="1" s="1"/>
  <c r="V123" i="19"/>
  <c r="G115" i="19"/>
  <c r="I99" i="19"/>
  <c r="N118" i="19"/>
  <c r="J124" i="19"/>
  <c r="K110" i="19"/>
  <c r="K125" i="19"/>
  <c r="M140" i="19"/>
  <c r="W116" i="19"/>
  <c r="Q144" i="19"/>
  <c r="Q141" i="19"/>
  <c r="X133" i="19"/>
  <c r="N745" i="1" s="1"/>
  <c r="V151" i="19"/>
  <c r="W108" i="19"/>
  <c r="Y125" i="19"/>
  <c r="S114" i="19"/>
  <c r="U139" i="19"/>
  <c r="S150" i="19"/>
  <c r="X102" i="19"/>
  <c r="N365" i="1" s="1"/>
  <c r="O111" i="19"/>
  <c r="O103" i="19"/>
  <c r="U145" i="19"/>
  <c r="H115" i="19"/>
  <c r="L135" i="19"/>
  <c r="M99" i="19"/>
  <c r="J136" i="19"/>
  <c r="G116" i="19"/>
  <c r="H144" i="19"/>
  <c r="N138" i="19"/>
  <c r="M124" i="19"/>
  <c r="L129" i="19"/>
  <c r="K102" i="19"/>
  <c r="L134" i="19"/>
  <c r="J111" i="19"/>
  <c r="L99" i="19"/>
  <c r="H128" i="19"/>
  <c r="N117" i="19"/>
  <c r="G136" i="19"/>
  <c r="M121" i="19"/>
  <c r="H127" i="19"/>
  <c r="G118" i="19"/>
  <c r="H116" i="19"/>
  <c r="L131" i="19"/>
  <c r="M100" i="19"/>
  <c r="N120" i="19"/>
  <c r="M144" i="19"/>
  <c r="G109" i="19"/>
  <c r="G133" i="19"/>
  <c r="J123" i="19"/>
  <c r="M138" i="19"/>
  <c r="M141" i="19"/>
  <c r="I98" i="19"/>
  <c r="J122" i="19"/>
  <c r="I124" i="19"/>
  <c r="M137" i="19"/>
  <c r="I143" i="19"/>
  <c r="H105" i="19"/>
  <c r="H97" i="19"/>
  <c r="J129" i="19"/>
  <c r="M108" i="19"/>
  <c r="J103" i="19"/>
  <c r="J106" i="19"/>
  <c r="I126" i="19"/>
  <c r="G125" i="19"/>
  <c r="I142" i="19"/>
  <c r="M132" i="19"/>
  <c r="N114" i="19"/>
  <c r="L104" i="19"/>
  <c r="H140" i="19"/>
  <c r="J139" i="19"/>
  <c r="K112" i="19"/>
  <c r="S116" i="19"/>
  <c r="O116" i="19"/>
  <c r="U131" i="19"/>
  <c r="Z100" i="19"/>
  <c r="P100" i="19"/>
  <c r="Q120" i="19"/>
  <c r="Z144" i="19"/>
  <c r="V144" i="19"/>
  <c r="Y109" i="19"/>
  <c r="W138" i="19"/>
  <c r="X138" i="19"/>
  <c r="N416" i="1" s="1"/>
  <c r="X146" i="19"/>
  <c r="N962" i="1" s="1"/>
  <c r="S141" i="19"/>
  <c r="W141" i="19"/>
  <c r="Y98" i="19"/>
  <c r="Z122" i="19"/>
  <c r="U122" i="19"/>
  <c r="Q124" i="19"/>
  <c r="S133" i="19"/>
  <c r="Y133" i="19"/>
  <c r="X152" i="19"/>
  <c r="N1030" i="1" s="1"/>
  <c r="R143" i="19"/>
  <c r="O143" i="19"/>
  <c r="T105" i="19"/>
  <c r="P151" i="19"/>
  <c r="Y151" i="19"/>
  <c r="Q129" i="19"/>
  <c r="W129" i="19"/>
  <c r="Y110" i="19"/>
  <c r="V108" i="19"/>
  <c r="T148" i="19"/>
  <c r="R106" i="19"/>
  <c r="Q106" i="19"/>
  <c r="S126" i="19"/>
  <c r="X125" i="19"/>
  <c r="N387" i="1" s="1"/>
  <c r="P125" i="19"/>
  <c r="V149" i="19"/>
  <c r="R142" i="19"/>
  <c r="P142" i="19"/>
  <c r="T132" i="19"/>
  <c r="U114" i="19"/>
  <c r="P114" i="19"/>
  <c r="U104" i="19"/>
  <c r="Z140" i="19"/>
  <c r="O140" i="19"/>
  <c r="U130" i="19"/>
  <c r="Z139" i="19"/>
  <c r="X139" i="19"/>
  <c r="N415" i="1" s="1"/>
  <c r="X112" i="19"/>
  <c r="N722" i="1" s="1"/>
  <c r="P147" i="19"/>
  <c r="O147" i="19"/>
  <c r="T150" i="19"/>
  <c r="Y153" i="19"/>
  <c r="W153" i="19"/>
  <c r="V115" i="19"/>
  <c r="R102" i="19"/>
  <c r="T102" i="19"/>
  <c r="Y96" i="19"/>
  <c r="O135" i="19"/>
  <c r="W135" i="19"/>
  <c r="P134" i="19"/>
  <c r="R111" i="19"/>
  <c r="X111" i="19"/>
  <c r="N712" i="1" s="1"/>
  <c r="Y137" i="19"/>
  <c r="U103" i="19"/>
  <c r="Z103" i="19"/>
  <c r="P99" i="19"/>
  <c r="R128" i="19"/>
  <c r="S128" i="19"/>
  <c r="O117" i="19"/>
  <c r="T136" i="19"/>
  <c r="V136" i="19"/>
  <c r="P145" i="19"/>
  <c r="S154" i="19"/>
  <c r="Y154" i="19"/>
  <c r="O121" i="19"/>
  <c r="W127" i="19"/>
  <c r="U127" i="19"/>
  <c r="Q123" i="19"/>
  <c r="N135" i="19"/>
  <c r="N121" i="19"/>
  <c r="I144" i="19"/>
  <c r="M98" i="19"/>
  <c r="N105" i="19"/>
  <c r="I106" i="19"/>
  <c r="K114" i="19"/>
  <c r="G112" i="19"/>
  <c r="U100" i="19"/>
  <c r="U138" i="19"/>
  <c r="T122" i="19"/>
  <c r="U105" i="19"/>
  <c r="R129" i="19"/>
  <c r="X126" i="19"/>
  <c r="N390" i="1" s="1"/>
  <c r="P132" i="19"/>
  <c r="Y139" i="19"/>
  <c r="O153" i="19"/>
  <c r="U135" i="19"/>
  <c r="P117" i="19"/>
  <c r="J102" i="19"/>
  <c r="K134" i="19"/>
  <c r="L128" i="19"/>
  <c r="M127" i="19"/>
  <c r="I100" i="19"/>
  <c r="L133" i="19"/>
  <c r="J98" i="19"/>
  <c r="K105" i="19"/>
  <c r="M115" i="19"/>
  <c r="I96" i="19"/>
  <c r="L115" i="19"/>
  <c r="G96" i="19"/>
  <c r="I134" i="19"/>
  <c r="J99" i="19"/>
  <c r="K136" i="19"/>
  <c r="J127" i="19"/>
  <c r="N116" i="19"/>
  <c r="G100" i="19"/>
  <c r="K144" i="19"/>
  <c r="K133" i="19"/>
  <c r="L138" i="19"/>
  <c r="K98" i="19"/>
  <c r="G122" i="19"/>
  <c r="G124" i="19"/>
  <c r="I137" i="19"/>
  <c r="K143" i="19"/>
  <c r="J105" i="19"/>
  <c r="G97" i="19"/>
  <c r="G129" i="19"/>
  <c r="J110" i="19"/>
  <c r="N108" i="19"/>
  <c r="L103" i="19"/>
  <c r="M106" i="19"/>
  <c r="M126" i="19"/>
  <c r="H125" i="19"/>
  <c r="H142" i="19"/>
  <c r="H132" i="19"/>
  <c r="G114" i="19"/>
  <c r="G104" i="19"/>
  <c r="J140" i="19"/>
  <c r="M139" i="19"/>
  <c r="H112" i="19"/>
  <c r="X118" i="19"/>
  <c r="N725" i="1" s="1"/>
  <c r="R116" i="19"/>
  <c r="U116" i="19"/>
  <c r="T131" i="19"/>
  <c r="R100" i="19"/>
  <c r="O100" i="19"/>
  <c r="X120" i="19"/>
  <c r="N366" i="1" s="1"/>
  <c r="S144" i="19"/>
  <c r="Y144" i="19"/>
  <c r="Z109" i="19"/>
  <c r="Z138" i="19"/>
  <c r="R138" i="19"/>
  <c r="T146" i="19"/>
  <c r="R141" i="19"/>
  <c r="V141" i="19"/>
  <c r="T98" i="19"/>
  <c r="S122" i="19"/>
  <c r="W122" i="19"/>
  <c r="T124" i="19"/>
  <c r="R133" i="19"/>
  <c r="T133" i="19"/>
  <c r="Q152" i="19"/>
  <c r="Z143" i="19"/>
  <c r="T143" i="19"/>
  <c r="P105" i="19"/>
  <c r="Z151" i="19"/>
  <c r="S151" i="19"/>
  <c r="Q97" i="19"/>
  <c r="V129" i="19"/>
  <c r="Y129" i="19"/>
  <c r="P110" i="19"/>
  <c r="O108" i="19"/>
  <c r="Y108" i="19"/>
  <c r="U148" i="19"/>
  <c r="S106" i="19"/>
  <c r="W106" i="19"/>
  <c r="T126" i="19"/>
  <c r="O125" i="19"/>
  <c r="Z125" i="19"/>
  <c r="W149" i="19"/>
  <c r="S142" i="19"/>
  <c r="U142" i="19"/>
  <c r="U132" i="19"/>
  <c r="X114" i="19"/>
  <c r="N367" i="1" s="1"/>
  <c r="O114" i="19"/>
  <c r="T104" i="19"/>
  <c r="R140" i="19"/>
  <c r="T140" i="19"/>
  <c r="O130" i="19"/>
  <c r="P139" i="19"/>
  <c r="Q139" i="19"/>
  <c r="Q112" i="19"/>
  <c r="U147" i="19"/>
  <c r="V147" i="19"/>
  <c r="R150" i="19"/>
  <c r="Q153" i="19"/>
  <c r="P153" i="19"/>
  <c r="T115" i="19"/>
  <c r="S102" i="19"/>
  <c r="Q102" i="19"/>
  <c r="T96" i="19"/>
  <c r="S135" i="19"/>
  <c r="V135" i="19"/>
  <c r="T134" i="19"/>
  <c r="Z111" i="19"/>
  <c r="Q111" i="19"/>
  <c r="P137" i="19"/>
  <c r="W103" i="19"/>
  <c r="Q103" i="19"/>
  <c r="T99" i="19"/>
  <c r="X128" i="19"/>
  <c r="N393" i="1" s="1"/>
  <c r="T128" i="19"/>
  <c r="T117" i="19"/>
  <c r="R136" i="19"/>
  <c r="Y136" i="19"/>
  <c r="V145" i="19"/>
  <c r="U154" i="19"/>
  <c r="R154" i="19"/>
  <c r="P121" i="19"/>
  <c r="Q127" i="19"/>
  <c r="R127" i="19"/>
  <c r="P123" i="19"/>
  <c r="I111" i="19"/>
  <c r="G127" i="19"/>
  <c r="I120" i="19"/>
  <c r="G141" i="19"/>
  <c r="G143" i="19"/>
  <c r="K103" i="19"/>
  <c r="J132" i="19"/>
  <c r="K139" i="19"/>
  <c r="P131" i="19"/>
  <c r="O109" i="19"/>
  <c r="Q98" i="19"/>
  <c r="W152" i="19"/>
  <c r="Y97" i="19"/>
  <c r="Q108" i="19"/>
  <c r="U125" i="19"/>
  <c r="T114" i="19"/>
  <c r="P130" i="19"/>
  <c r="T147" i="19"/>
  <c r="V102" i="19"/>
  <c r="Q128" i="19"/>
  <c r="K121" i="19"/>
  <c r="G131" i="19"/>
  <c r="I109" i="19"/>
  <c r="J141" i="19"/>
  <c r="L137" i="19"/>
  <c r="G110" i="19"/>
  <c r="M135" i="19"/>
  <c r="I102" i="19"/>
  <c r="I135" i="19"/>
  <c r="H111" i="19"/>
  <c r="M128" i="19"/>
  <c r="M117" i="19"/>
  <c r="H121" i="19"/>
  <c r="L118" i="19"/>
  <c r="M131" i="19"/>
  <c r="L120" i="19"/>
  <c r="J109" i="19"/>
  <c r="H123" i="19"/>
  <c r="I141" i="19"/>
  <c r="I115" i="19"/>
  <c r="G102" i="19"/>
  <c r="N96" i="19"/>
  <c r="J135" i="19"/>
  <c r="H134" i="19"/>
  <c r="K111" i="19"/>
  <c r="K99" i="19"/>
  <c r="J128" i="19"/>
  <c r="H117" i="19"/>
  <c r="I136" i="19"/>
  <c r="J121" i="19"/>
  <c r="I127" i="19"/>
  <c r="H118" i="19"/>
  <c r="M116" i="19"/>
  <c r="N131" i="19"/>
  <c r="J100" i="19"/>
  <c r="G120" i="19"/>
  <c r="N144" i="19"/>
  <c r="M109" i="19"/>
  <c r="H133" i="19"/>
  <c r="I123" i="19"/>
  <c r="J138" i="19"/>
  <c r="L141" i="19"/>
  <c r="N98" i="19"/>
  <c r="N122" i="19"/>
  <c r="H124" i="19"/>
  <c r="G137" i="19"/>
  <c r="H143" i="19"/>
  <c r="L105" i="19"/>
  <c r="N97" i="19"/>
  <c r="K129" i="19"/>
  <c r="L110" i="19"/>
  <c r="G108" i="19"/>
  <c r="N103" i="19"/>
  <c r="H106" i="19"/>
  <c r="K126" i="19"/>
  <c r="M125" i="19"/>
  <c r="G142" i="19"/>
  <c r="G132" i="19"/>
  <c r="I114" i="19"/>
  <c r="N104" i="19"/>
  <c r="N140" i="19"/>
  <c r="G139" i="19"/>
  <c r="M112" i="19"/>
  <c r="Q118" i="19"/>
  <c r="Z116" i="19"/>
  <c r="V116" i="19"/>
  <c r="W131" i="19"/>
  <c r="S100" i="19"/>
  <c r="W100" i="19"/>
  <c r="W120" i="19"/>
  <c r="R144" i="19"/>
  <c r="X144" i="19"/>
  <c r="N771" i="1" s="1"/>
  <c r="P109" i="19"/>
  <c r="O138" i="19"/>
  <c r="Q138" i="19"/>
  <c r="U146" i="19"/>
  <c r="Z141" i="19"/>
  <c r="X141" i="19"/>
  <c r="N773" i="1" s="1"/>
  <c r="X98" i="19"/>
  <c r="N679" i="1" s="1"/>
  <c r="R122" i="19"/>
  <c r="V122" i="19"/>
  <c r="P124" i="19"/>
  <c r="Z133" i="19"/>
  <c r="Q133" i="19"/>
  <c r="Z152" i="19"/>
  <c r="S143" i="19"/>
  <c r="Q143" i="19"/>
  <c r="Q105" i="19"/>
  <c r="U151" i="19"/>
  <c r="R151" i="19"/>
  <c r="V97" i="19"/>
  <c r="T129" i="19"/>
  <c r="Z129" i="19"/>
  <c r="X110" i="19"/>
  <c r="N676" i="1" s="1"/>
  <c r="P108" i="19"/>
  <c r="U108" i="19"/>
  <c r="O148" i="19"/>
  <c r="Z106" i="19"/>
  <c r="O106" i="19"/>
  <c r="P126" i="19"/>
  <c r="W125" i="19"/>
  <c r="Q125" i="19"/>
  <c r="Q149" i="19"/>
  <c r="Z142" i="19"/>
  <c r="X142" i="19"/>
  <c r="N770" i="1" s="1"/>
  <c r="O132" i="19"/>
  <c r="Y114" i="19"/>
  <c r="V114" i="19"/>
  <c r="P104" i="19"/>
  <c r="S140" i="19"/>
  <c r="Q140" i="19"/>
  <c r="Y130" i="19"/>
  <c r="T139" i="19"/>
  <c r="W139" i="19"/>
  <c r="Y112" i="19"/>
  <c r="S147" i="19"/>
  <c r="Q147" i="19"/>
  <c r="X150" i="19"/>
  <c r="N1035" i="1" s="1"/>
  <c r="S153" i="19"/>
  <c r="V153" i="19"/>
  <c r="R115" i="19"/>
  <c r="P102" i="19"/>
  <c r="Y102" i="19"/>
  <c r="Q96" i="19"/>
  <c r="P135" i="19"/>
  <c r="Y135" i="19"/>
  <c r="Y134" i="19"/>
  <c r="S111" i="19"/>
  <c r="W111" i="19"/>
  <c r="T137" i="19"/>
  <c r="V103" i="19"/>
  <c r="T103" i="19"/>
  <c r="Q99" i="19"/>
  <c r="Y128" i="19"/>
  <c r="P128" i="19"/>
  <c r="X117" i="19"/>
  <c r="N713" i="1" s="1"/>
  <c r="Q136" i="19"/>
  <c r="Z136" i="19"/>
  <c r="Z145" i="19"/>
  <c r="O154" i="19"/>
  <c r="Q154" i="19"/>
  <c r="S121" i="19"/>
  <c r="Y127" i="19"/>
  <c r="S127" i="19"/>
  <c r="Y123" i="19"/>
  <c r="C12" i="58"/>
  <c r="D12" i="58" s="1"/>
  <c r="E12" i="58" s="1"/>
  <c r="C14" i="58"/>
  <c r="D14" i="58" s="1"/>
  <c r="E14" i="58" s="1"/>
  <c r="D13" i="58"/>
  <c r="E13" i="58" s="1"/>
  <c r="C26" i="54"/>
  <c r="C13" i="53" s="1"/>
  <c r="D21" i="51"/>
  <c r="E21" i="51" s="1"/>
  <c r="V10" i="52"/>
  <c r="D21" i="54"/>
  <c r="E21" i="54" s="1"/>
  <c r="V11" i="52"/>
  <c r="C30" i="59"/>
  <c r="D30" i="59" s="1"/>
  <c r="E30" i="59" s="1"/>
  <c r="X30" i="58"/>
  <c r="C22" i="58"/>
  <c r="D22" i="58" s="1"/>
  <c r="E22" i="58" s="1"/>
  <c r="C24" i="58"/>
  <c r="V12" i="52" s="1"/>
  <c r="D26" i="59"/>
  <c r="E26" i="59" s="1"/>
  <c r="C28" i="59"/>
  <c r="D28" i="59" s="1"/>
  <c r="E28" i="59" s="1"/>
  <c r="C25" i="59"/>
  <c r="D24" i="59"/>
  <c r="E24" i="59" s="1"/>
  <c r="D26" i="60"/>
  <c r="E26" i="60" s="1"/>
  <c r="C28" i="60"/>
  <c r="D28" i="60" s="1"/>
  <c r="E28" i="60" s="1"/>
  <c r="C25" i="60"/>
  <c r="D24" i="60"/>
  <c r="E24" i="60" s="1"/>
  <c r="C28" i="50"/>
  <c r="D28" i="50" s="1"/>
  <c r="E28" i="50" s="1"/>
  <c r="C25" i="54"/>
  <c r="D25" i="54" s="1"/>
  <c r="E25" i="54" s="1"/>
  <c r="D20" i="54"/>
  <c r="E20" i="54" s="1"/>
  <c r="D26" i="51"/>
  <c r="E26" i="51" s="1"/>
  <c r="C30" i="51"/>
  <c r="D30" i="51" s="1"/>
  <c r="E30" i="51" s="1"/>
  <c r="C25" i="51"/>
  <c r="D25" i="51" s="1"/>
  <c r="E25" i="51" s="1"/>
  <c r="AL11" i="53"/>
  <c r="E11" i="53"/>
  <c r="D7" i="53"/>
  <c r="E7" i="53" s="1"/>
  <c r="AL7" i="53"/>
  <c r="D23" i="47"/>
  <c r="D25" i="47" s="1"/>
  <c r="E25" i="47" s="1"/>
  <c r="E22" i="47"/>
  <c r="V104" i="21"/>
  <c r="V105" i="21" s="1"/>
  <c r="Z104" i="21"/>
  <c r="Z105" i="21" s="1"/>
  <c r="U104" i="21"/>
  <c r="U105" i="21" s="1"/>
  <c r="P104" i="21"/>
  <c r="P105" i="21" s="1"/>
  <c r="X104" i="21"/>
  <c r="X105" i="21" s="1"/>
  <c r="O104" i="21"/>
  <c r="O105" i="21" s="1"/>
  <c r="W104" i="21"/>
  <c r="W105" i="21" s="1"/>
  <c r="T104" i="21"/>
  <c r="T105" i="21" s="1"/>
  <c r="Q104" i="21"/>
  <c r="Q105" i="21" s="1"/>
  <c r="P150" i="19"/>
  <c r="R104" i="21"/>
  <c r="R105" i="21" s="1"/>
  <c r="S104" i="21"/>
  <c r="S105" i="21" s="1"/>
  <c r="Y104" i="21"/>
  <c r="Y105" i="21" s="1"/>
  <c r="T118" i="19"/>
  <c r="U97" i="19"/>
  <c r="O97" i="19"/>
  <c r="X108" i="19"/>
  <c r="N368" i="1" s="1"/>
  <c r="Z131" i="19"/>
  <c r="Q109" i="19"/>
  <c r="V96" i="19"/>
  <c r="C33" i="38"/>
  <c r="C33" i="35" s="1"/>
  <c r="AL33" i="35" s="1"/>
  <c r="I133" i="19"/>
  <c r="I130" i="19"/>
  <c r="G130" i="19"/>
  <c r="K130" i="19"/>
  <c r="J130" i="19"/>
  <c r="H130" i="19"/>
  <c r="N110" i="19"/>
  <c r="L50" i="19"/>
  <c r="M50" i="19"/>
  <c r="H49" i="19"/>
  <c r="J49" i="19"/>
  <c r="N362" i="19"/>
  <c r="G54" i="19"/>
  <c r="G50" i="19"/>
  <c r="I50" i="19"/>
  <c r="I362" i="19" s="1"/>
  <c r="C10" i="22" l="1"/>
  <c r="C10" i="49"/>
  <c r="W363" i="19"/>
  <c r="W365" i="19" s="1"/>
  <c r="W367" i="19" s="1"/>
  <c r="P363" i="19"/>
  <c r="P365" i="19" s="1"/>
  <c r="P367" i="19" s="1"/>
  <c r="Y363" i="19"/>
  <c r="Y365" i="19" s="1"/>
  <c r="Y367" i="19" s="1"/>
  <c r="R363" i="19"/>
  <c r="R365" i="19" s="1"/>
  <c r="R367" i="19" s="1"/>
  <c r="S363" i="19"/>
  <c r="S365" i="19" s="1"/>
  <c r="S367" i="19" s="1"/>
  <c r="Z363" i="19"/>
  <c r="Z365" i="19" s="1"/>
  <c r="Z367" i="19" s="1"/>
  <c r="X363" i="19"/>
  <c r="X365" i="19" s="1"/>
  <c r="X367" i="19" s="1"/>
  <c r="D13" i="53"/>
  <c r="C30" i="54"/>
  <c r="D30" i="54" s="1"/>
  <c r="E30" i="54" s="1"/>
  <c r="D26" i="54"/>
  <c r="E26" i="54" s="1"/>
  <c r="C25" i="58"/>
  <c r="D24" i="58"/>
  <c r="E24" i="58" s="1"/>
  <c r="C29" i="59"/>
  <c r="D29" i="59" s="1"/>
  <c r="E29" i="59" s="1"/>
  <c r="D25" i="59"/>
  <c r="E25" i="59" s="1"/>
  <c r="C29" i="60"/>
  <c r="D29" i="60" s="1"/>
  <c r="E29" i="60" s="1"/>
  <c r="D25" i="60"/>
  <c r="E25" i="60" s="1"/>
  <c r="E23" i="47"/>
  <c r="V363" i="19"/>
  <c r="V365" i="19" s="1"/>
  <c r="V367" i="19" s="1"/>
  <c r="U363" i="19"/>
  <c r="U365" i="19" s="1"/>
  <c r="U367" i="19" s="1"/>
  <c r="T363" i="19"/>
  <c r="T365" i="19" s="1"/>
  <c r="T367" i="19" s="1"/>
  <c r="Q363" i="19"/>
  <c r="Q365" i="19" s="1"/>
  <c r="Q367" i="19" s="1"/>
  <c r="O363" i="19"/>
  <c r="O365" i="19" s="1"/>
  <c r="O367" i="19" s="1"/>
  <c r="G86" i="19"/>
  <c r="K50" i="19"/>
  <c r="H54" i="19"/>
  <c r="M362" i="19"/>
  <c r="L362" i="19"/>
  <c r="G55" i="19"/>
  <c r="E13" i="53" l="1"/>
  <c r="C6" i="52"/>
  <c r="C17" i="53" s="1"/>
  <c r="AL17" i="53" s="1"/>
  <c r="C6" i="7"/>
  <c r="C10" i="23"/>
  <c r="C11" i="23" s="1"/>
  <c r="C12" i="23" s="1"/>
  <c r="C11" i="22"/>
  <c r="D25" i="58"/>
  <c r="E25" i="58" s="1"/>
  <c r="G362" i="19"/>
  <c r="H50" i="19"/>
  <c r="H86" i="19"/>
  <c r="J50" i="19"/>
  <c r="J362" i="19" s="1"/>
  <c r="K362" i="19"/>
  <c r="D7" i="23"/>
  <c r="E7" i="23" s="1"/>
  <c r="D6" i="18"/>
  <c r="E6" i="18" s="1"/>
  <c r="K762" i="1"/>
  <c r="J762" i="1"/>
  <c r="R762" i="1" s="1"/>
  <c r="K307" i="1"/>
  <c r="J307" i="1"/>
  <c r="R307" i="1" s="1"/>
  <c r="K3502" i="1"/>
  <c r="J3502" i="1"/>
  <c r="R3502" i="1" s="1"/>
  <c r="K3483" i="1"/>
  <c r="J3483" i="1"/>
  <c r="R3483" i="1" s="1"/>
  <c r="K375" i="1"/>
  <c r="J375" i="1"/>
  <c r="R375" i="1" s="1"/>
  <c r="Q567" i="9" s="1"/>
  <c r="K1216" i="1"/>
  <c r="J1216" i="1"/>
  <c r="R1216" i="1" s="1"/>
  <c r="Q1617" i="9" s="1"/>
  <c r="K2840" i="1"/>
  <c r="J2840" i="1"/>
  <c r="R2840" i="1" s="1"/>
  <c r="K1393" i="1"/>
  <c r="J1393" i="1"/>
  <c r="R1393" i="1" s="1"/>
  <c r="K1321" i="1"/>
  <c r="J1321" i="1"/>
  <c r="R1321" i="1" s="1"/>
  <c r="K3320" i="1"/>
  <c r="J3320" i="1"/>
  <c r="R3320" i="1" s="1"/>
  <c r="K3146" i="1"/>
  <c r="J3146" i="1"/>
  <c r="R3146" i="1" s="1"/>
  <c r="K3050" i="1"/>
  <c r="J3050" i="1"/>
  <c r="R3050" i="1" s="1"/>
  <c r="K2376" i="1"/>
  <c r="J2376" i="1"/>
  <c r="R2376" i="1" s="1"/>
  <c r="K2310" i="1"/>
  <c r="J2310" i="1"/>
  <c r="R2310" i="1" s="1"/>
  <c r="K1762" i="1"/>
  <c r="J1762" i="1"/>
  <c r="R1762" i="1" s="1"/>
  <c r="K1467" i="1"/>
  <c r="J1467" i="1"/>
  <c r="R1467" i="1" s="1"/>
  <c r="K1293" i="1"/>
  <c r="J1293" i="1"/>
  <c r="R1293" i="1" s="1"/>
  <c r="K2759" i="1"/>
  <c r="J2759" i="1"/>
  <c r="R2759" i="1" s="1"/>
  <c r="C20" i="7" l="1"/>
  <c r="D6" i="52"/>
  <c r="E6" i="52" s="1"/>
  <c r="D17" i="53"/>
  <c r="E17" i="53" s="1"/>
  <c r="C12" i="22"/>
  <c r="C22" i="22"/>
  <c r="C23" i="22" s="1"/>
  <c r="C25" i="22" s="1"/>
  <c r="Q471" i="9"/>
  <c r="H55" i="19"/>
  <c r="H362" i="19" s="1"/>
  <c r="K6" i="18"/>
  <c r="B7" i="18"/>
  <c r="D7" i="18" l="1"/>
  <c r="E7" i="18" s="1"/>
  <c r="AA362" i="19"/>
  <c r="J7" i="18" l="1"/>
  <c r="K7" i="18" s="1"/>
  <c r="K2459" i="1"/>
  <c r="J2459" i="1"/>
  <c r="R2459" i="1" s="1"/>
  <c r="K4632" i="1"/>
  <c r="J4632" i="1"/>
  <c r="R4632" i="1" s="1"/>
  <c r="K4631" i="1"/>
  <c r="J4631" i="1"/>
  <c r="R4631" i="1" s="1"/>
  <c r="K4090" i="1"/>
  <c r="J4090" i="1"/>
  <c r="R4090" i="1" s="1"/>
  <c r="K4089" i="1"/>
  <c r="J4089" i="1"/>
  <c r="R4089" i="1" s="1"/>
  <c r="K2937" i="1" l="1"/>
  <c r="J2937" i="1"/>
  <c r="R2937" i="1" s="1"/>
  <c r="K180" i="1"/>
  <c r="J180" i="1"/>
  <c r="R180" i="1" s="1"/>
  <c r="K30" i="1" l="1"/>
  <c r="J30" i="1"/>
  <c r="R30" i="1" s="1"/>
  <c r="W19" i="36" l="1"/>
  <c r="W16" i="31"/>
  <c r="V14" i="38"/>
  <c r="V18" i="39"/>
  <c r="U14" i="37"/>
  <c r="V14" i="39"/>
  <c r="W14" i="40"/>
  <c r="W16" i="39"/>
  <c r="X16" i="39" s="1"/>
  <c r="C23" i="34"/>
  <c r="V18" i="38"/>
  <c r="W16" i="38"/>
  <c r="X16" i="38" s="1"/>
  <c r="W14" i="38"/>
  <c r="W16" i="36"/>
  <c r="W18" i="39"/>
  <c r="V14" i="40"/>
  <c r="W14" i="36"/>
  <c r="W18" i="36"/>
  <c r="V19" i="32"/>
  <c r="W19" i="34"/>
  <c r="V19" i="33"/>
  <c r="W19" i="33"/>
  <c r="V14" i="36"/>
  <c r="V18" i="36"/>
  <c r="V19" i="34"/>
  <c r="W19" i="32"/>
  <c r="W15" i="40"/>
  <c r="V13" i="38"/>
  <c r="W15" i="36"/>
  <c r="T18" i="37"/>
  <c r="W15" i="39"/>
  <c r="T15" i="37"/>
  <c r="V13" i="39"/>
  <c r="V19" i="40"/>
  <c r="U18" i="37"/>
  <c r="W18" i="40"/>
  <c r="W16" i="40"/>
  <c r="X16" i="40" s="1"/>
  <c r="V13" i="40"/>
  <c r="T19" i="37"/>
  <c r="U13" i="37"/>
  <c r="T13" i="37"/>
  <c r="V18" i="40"/>
  <c r="V15" i="40"/>
  <c r="W13" i="40"/>
  <c r="U19" i="37"/>
  <c r="U15" i="37"/>
  <c r="W13" i="39"/>
  <c r="U16" i="37"/>
  <c r="W19" i="40"/>
  <c r="V19" i="39"/>
  <c r="V19" i="38"/>
  <c r="W13" i="38"/>
  <c r="W19" i="39"/>
  <c r="V15" i="38"/>
  <c r="W19" i="38"/>
  <c r="V15" i="39"/>
  <c r="W15" i="38"/>
  <c r="V15" i="36"/>
  <c r="V19" i="36"/>
  <c r="W13" i="36"/>
  <c r="V13" i="36"/>
  <c r="X27" i="33"/>
  <c r="X27" i="32"/>
  <c r="X27" i="34"/>
  <c r="V20" i="34"/>
  <c r="W20" i="32"/>
  <c r="V21" i="33"/>
  <c r="W20" i="31"/>
  <c r="W18" i="31"/>
  <c r="W17" i="34"/>
  <c r="V20" i="31"/>
  <c r="V21" i="31"/>
  <c r="W16" i="32"/>
  <c r="W17" i="33"/>
  <c r="V20" i="33"/>
  <c r="V16" i="34"/>
  <c r="X26" i="32"/>
  <c r="V21" i="34"/>
  <c r="V20" i="32"/>
  <c r="C23" i="31"/>
  <c r="W17" i="32"/>
  <c r="W20" i="34"/>
  <c r="X26" i="31"/>
  <c r="V21" i="32"/>
  <c r="C23" i="32"/>
  <c r="W17" i="31"/>
  <c r="V18" i="31"/>
  <c r="V17" i="31"/>
  <c r="V16" i="32"/>
  <c r="X26" i="33"/>
  <c r="C23" i="33"/>
  <c r="W21" i="32"/>
  <c r="V18" i="32"/>
  <c r="V17" i="32"/>
  <c r="V16" i="31"/>
  <c r="X26" i="34"/>
  <c r="W18" i="34"/>
  <c r="W16" i="34"/>
  <c r="W21" i="34"/>
  <c r="V18" i="33"/>
  <c r="V17" i="33"/>
  <c r="V16" i="33"/>
  <c r="W18" i="33"/>
  <c r="W16" i="33"/>
  <c r="W21" i="33"/>
  <c r="V18" i="34"/>
  <c r="V17" i="34"/>
  <c r="W18" i="32"/>
  <c r="W20" i="33"/>
  <c r="W21" i="31"/>
  <c r="C28" i="39" l="1"/>
  <c r="C28" i="36"/>
  <c r="C27" i="54"/>
  <c r="W13" i="35"/>
  <c r="V19" i="35"/>
  <c r="V18" i="35"/>
  <c r="X16" i="36"/>
  <c r="W16" i="35"/>
  <c r="X16" i="35" s="1"/>
  <c r="V13" i="35"/>
  <c r="W15" i="35"/>
  <c r="V15" i="35"/>
  <c r="W19" i="35"/>
  <c r="W21" i="30"/>
  <c r="W17" i="30"/>
  <c r="X26" i="30"/>
  <c r="V17" i="30"/>
  <c r="V21" i="30"/>
  <c r="V16" i="30"/>
  <c r="V18" i="30"/>
  <c r="V20" i="30"/>
  <c r="W18" i="30"/>
  <c r="W16" i="30"/>
  <c r="W20" i="30"/>
  <c r="V6" i="7"/>
  <c r="C6" i="36"/>
  <c r="C15" i="23"/>
  <c r="V18" i="37"/>
  <c r="C18" i="37" s="1"/>
  <c r="C27" i="38"/>
  <c r="X14" i="38"/>
  <c r="C14" i="38" s="1"/>
  <c r="X19" i="34"/>
  <c r="C19" i="34" s="1"/>
  <c r="X18" i="39"/>
  <c r="C18" i="39" s="1"/>
  <c r="W14" i="39"/>
  <c r="X14" i="39" s="1"/>
  <c r="C14" i="39" s="1"/>
  <c r="X14" i="40"/>
  <c r="C14" i="40" s="1"/>
  <c r="X19" i="33"/>
  <c r="C19" i="33" s="1"/>
  <c r="X19" i="32"/>
  <c r="C19" i="32" s="1"/>
  <c r="V19" i="31"/>
  <c r="T14" i="37"/>
  <c r="V14" i="37" s="1"/>
  <c r="C14" i="37" s="1"/>
  <c r="W18" i="38"/>
  <c r="X18" i="38" s="1"/>
  <c r="C18" i="38" s="1"/>
  <c r="W19" i="31"/>
  <c r="X13" i="38"/>
  <c r="C13" i="38" s="1"/>
  <c r="C27" i="40"/>
  <c r="C27" i="39"/>
  <c r="C27" i="36"/>
  <c r="C27" i="37"/>
  <c r="X19" i="40"/>
  <c r="C19" i="40" s="1"/>
  <c r="C7" i="38"/>
  <c r="V15" i="37"/>
  <c r="C15" i="37" s="1"/>
  <c r="C7" i="40"/>
  <c r="C16" i="40"/>
  <c r="X21" i="33"/>
  <c r="C21" i="33" s="1"/>
  <c r="B10" i="24"/>
  <c r="B8" i="28" s="1"/>
  <c r="V17" i="39"/>
  <c r="C7" i="39"/>
  <c r="X15" i="38"/>
  <c r="C15" i="38" s="1"/>
  <c r="C8" i="38"/>
  <c r="C6" i="39"/>
  <c r="X15" i="40"/>
  <c r="C15" i="40" s="1"/>
  <c r="C8" i="40"/>
  <c r="C16" i="38"/>
  <c r="V17" i="38"/>
  <c r="X15" i="39"/>
  <c r="C15" i="39" s="1"/>
  <c r="C8" i="39"/>
  <c r="X18" i="40"/>
  <c r="C18" i="40" s="1"/>
  <c r="C9" i="39"/>
  <c r="X19" i="38"/>
  <c r="C19" i="38" s="1"/>
  <c r="V13" i="37"/>
  <c r="V19" i="37"/>
  <c r="C19" i="37" s="1"/>
  <c r="X13" i="39"/>
  <c r="C6" i="38"/>
  <c r="X19" i="39"/>
  <c r="C19" i="39" s="1"/>
  <c r="C9" i="38"/>
  <c r="C28" i="38"/>
  <c r="V16" i="37"/>
  <c r="C16" i="37"/>
  <c r="C9" i="40"/>
  <c r="V17" i="40"/>
  <c r="X13" i="40"/>
  <c r="C28" i="40"/>
  <c r="C6" i="40"/>
  <c r="C8" i="36"/>
  <c r="X27" i="31"/>
  <c r="X17" i="34"/>
  <c r="C17" i="34" s="1"/>
  <c r="X21" i="34"/>
  <c r="C21" i="34" s="1"/>
  <c r="C7" i="36"/>
  <c r="C9" i="36"/>
  <c r="X15" i="36"/>
  <c r="C15" i="36" s="1"/>
  <c r="X14" i="36"/>
  <c r="C14" i="36" s="1"/>
  <c r="C16" i="36"/>
  <c r="V17" i="36"/>
  <c r="X13" i="36"/>
  <c r="C13" i="36" s="1"/>
  <c r="X19" i="36"/>
  <c r="C19" i="36" s="1"/>
  <c r="X18" i="36"/>
  <c r="C18" i="36" s="1"/>
  <c r="X20" i="34"/>
  <c r="C20" i="34" s="1"/>
  <c r="X21" i="32"/>
  <c r="C21" i="32" s="1"/>
  <c r="X16" i="34"/>
  <c r="C16" i="34" s="1"/>
  <c r="X20" i="33"/>
  <c r="C20" i="33" s="1"/>
  <c r="W22" i="32"/>
  <c r="C15" i="32" s="1"/>
  <c r="V22" i="33"/>
  <c r="C6" i="33" s="1"/>
  <c r="X16" i="33"/>
  <c r="X17" i="33"/>
  <c r="C17" i="33" s="1"/>
  <c r="X20" i="32"/>
  <c r="C20" i="32" s="1"/>
  <c r="X18" i="34"/>
  <c r="C18" i="34" s="1"/>
  <c r="X18" i="33"/>
  <c r="C18" i="33" s="1"/>
  <c r="X17" i="32"/>
  <c r="C17" i="32" s="1"/>
  <c r="V22" i="32"/>
  <c r="C8" i="32" s="1"/>
  <c r="X16" i="32"/>
  <c r="C16" i="32" s="1"/>
  <c r="X18" i="32"/>
  <c r="C18" i="32" s="1"/>
  <c r="W22" i="33"/>
  <c r="C15" i="33" s="1"/>
  <c r="V22" i="34"/>
  <c r="C8" i="34" s="1"/>
  <c r="W22" i="34"/>
  <c r="C15" i="34" s="1"/>
  <c r="X18" i="31"/>
  <c r="C18" i="31" s="1"/>
  <c r="X20" i="31"/>
  <c r="C20" i="31" s="1"/>
  <c r="X16" i="31"/>
  <c r="C16" i="31" s="1"/>
  <c r="X17" i="31"/>
  <c r="C17" i="31" s="1"/>
  <c r="X21" i="31"/>
  <c r="C21" i="31" s="1"/>
  <c r="C26" i="8"/>
  <c r="X15" i="35" l="1"/>
  <c r="C15" i="35" s="1"/>
  <c r="X27" i="30"/>
  <c r="X13" i="35"/>
  <c r="C13" i="35" s="1"/>
  <c r="X17" i="30"/>
  <c r="C17" i="30" s="1"/>
  <c r="X19" i="35"/>
  <c r="C19" i="35" s="1"/>
  <c r="C12" i="36"/>
  <c r="V14" i="35"/>
  <c r="C28" i="35" s="1"/>
  <c r="C27" i="35"/>
  <c r="W18" i="35"/>
  <c r="X18" i="35" s="1"/>
  <c r="C18" i="35" s="1"/>
  <c r="W14" i="35"/>
  <c r="C16" i="35" s="1"/>
  <c r="X20" i="30"/>
  <c r="C20" i="30" s="1"/>
  <c r="X18" i="30"/>
  <c r="C18" i="30" s="1"/>
  <c r="X16" i="30"/>
  <c r="C16" i="30" s="1"/>
  <c r="X21" i="30"/>
  <c r="C21" i="30" s="1"/>
  <c r="W22" i="31"/>
  <c r="W19" i="30"/>
  <c r="V22" i="31"/>
  <c r="C10" i="31" s="1"/>
  <c r="V19" i="30"/>
  <c r="B11" i="28"/>
  <c r="C15" i="18"/>
  <c r="C13" i="39"/>
  <c r="C16" i="39"/>
  <c r="C9" i="37"/>
  <c r="T17" i="37"/>
  <c r="T21" i="37" s="1"/>
  <c r="C7" i="37"/>
  <c r="C8" i="37"/>
  <c r="X19" i="31"/>
  <c r="C19" i="31" s="1"/>
  <c r="C6" i="37"/>
  <c r="C28" i="37"/>
  <c r="B12" i="24"/>
  <c r="B12" i="28"/>
  <c r="B10" i="26"/>
  <c r="B10" i="25"/>
  <c r="B41" i="25" s="1"/>
  <c r="V21" i="39"/>
  <c r="C12" i="39"/>
  <c r="C13" i="37"/>
  <c r="V17" i="37"/>
  <c r="X17" i="40"/>
  <c r="C13" i="40"/>
  <c r="X17" i="39"/>
  <c r="C29" i="39" s="1"/>
  <c r="V21" i="40"/>
  <c r="C12" i="40"/>
  <c r="V21" i="38"/>
  <c r="C12" i="38"/>
  <c r="X17" i="38"/>
  <c r="X17" i="36"/>
  <c r="V21" i="36"/>
  <c r="C6" i="32"/>
  <c r="C7" i="34"/>
  <c r="C7" i="32"/>
  <c r="C7" i="33"/>
  <c r="X22" i="34"/>
  <c r="C22" i="34" s="1"/>
  <c r="C11" i="32"/>
  <c r="C8" i="33"/>
  <c r="C16" i="33"/>
  <c r="X22" i="33"/>
  <c r="X22" i="32"/>
  <c r="C11" i="33"/>
  <c r="C13" i="33"/>
  <c r="C9" i="33"/>
  <c r="C10" i="33"/>
  <c r="C11" i="34"/>
  <c r="C13" i="34"/>
  <c r="C10" i="34"/>
  <c r="C9" i="34"/>
  <c r="C6" i="34"/>
  <c r="C13" i="32"/>
  <c r="C9" i="32"/>
  <c r="C10" i="32"/>
  <c r="C20" i="23"/>
  <c r="J8" i="24"/>
  <c r="K8" i="24" s="1"/>
  <c r="C27" i="58" l="1"/>
  <c r="C30" i="58"/>
  <c r="C14" i="53" s="1"/>
  <c r="D14" i="53" s="1"/>
  <c r="C6" i="35"/>
  <c r="C8" i="35"/>
  <c r="C9" i="35"/>
  <c r="AL9" i="35" s="1"/>
  <c r="X14" i="35"/>
  <c r="C14" i="35" s="1"/>
  <c r="C7" i="35"/>
  <c r="V21" i="35"/>
  <c r="C11" i="35" s="1"/>
  <c r="V17" i="35"/>
  <c r="C12" i="35" s="1"/>
  <c r="C11" i="31"/>
  <c r="X19" i="30"/>
  <c r="C19" i="30" s="1"/>
  <c r="C7" i="31"/>
  <c r="C9" i="31"/>
  <c r="C8" i="31"/>
  <c r="C13" i="31"/>
  <c r="C27" i="31" s="1"/>
  <c r="C15" i="31"/>
  <c r="W22" i="30"/>
  <c r="C15" i="30" s="1"/>
  <c r="C6" i="31"/>
  <c r="V22" i="30"/>
  <c r="C6" i="30" s="1"/>
  <c r="J12" i="28"/>
  <c r="K12" i="28" s="1"/>
  <c r="B17" i="49"/>
  <c r="I16" i="49"/>
  <c r="J16" i="49"/>
  <c r="K16" i="49" s="1"/>
  <c r="B13" i="49"/>
  <c r="C21" i="23"/>
  <c r="C21" i="18"/>
  <c r="C22" i="18" s="1"/>
  <c r="J10" i="25"/>
  <c r="K10" i="25" s="1"/>
  <c r="B12" i="29"/>
  <c r="J10" i="26"/>
  <c r="K10" i="26" s="1"/>
  <c r="C12" i="18"/>
  <c r="C12" i="37"/>
  <c r="X22" i="31"/>
  <c r="C22" i="31" s="1"/>
  <c r="B12" i="25"/>
  <c r="B12" i="26"/>
  <c r="X21" i="39"/>
  <c r="C17" i="39"/>
  <c r="V21" i="37"/>
  <c r="C17" i="37"/>
  <c r="C29" i="37"/>
  <c r="C17" i="38"/>
  <c r="C29" i="38"/>
  <c r="X21" i="38"/>
  <c r="C20" i="38" s="1"/>
  <c r="C10" i="38"/>
  <c r="C11" i="38"/>
  <c r="C10" i="39"/>
  <c r="C11" i="39"/>
  <c r="C17" i="40"/>
  <c r="X21" i="40"/>
  <c r="C29" i="40"/>
  <c r="C11" i="40"/>
  <c r="C10" i="40"/>
  <c r="C10" i="37"/>
  <c r="C11" i="37"/>
  <c r="C11" i="36"/>
  <c r="C10" i="36"/>
  <c r="X21" i="36"/>
  <c r="C29" i="36"/>
  <c r="C17" i="36"/>
  <c r="C24" i="34"/>
  <c r="C25" i="34" s="1"/>
  <c r="C12" i="32"/>
  <c r="C12" i="33"/>
  <c r="X30" i="34"/>
  <c r="C30" i="34" s="1"/>
  <c r="C39" i="34" s="1"/>
  <c r="C12" i="34"/>
  <c r="C22" i="32"/>
  <c r="C24" i="32"/>
  <c r="C25" i="32" s="1"/>
  <c r="X30" i="32"/>
  <c r="C30" i="32" s="1"/>
  <c r="C39" i="32" s="1"/>
  <c r="C14" i="34"/>
  <c r="C27" i="34"/>
  <c r="C26" i="34"/>
  <c r="C14" i="32"/>
  <c r="C27" i="32"/>
  <c r="C26" i="32"/>
  <c r="C14" i="33"/>
  <c r="C27" i="33"/>
  <c r="C26" i="33"/>
  <c r="C22" i="33"/>
  <c r="C24" i="33"/>
  <c r="C25" i="33" s="1"/>
  <c r="X30" i="33"/>
  <c r="C30" i="33" s="1"/>
  <c r="C39" i="33" s="1"/>
  <c r="J10" i="24"/>
  <c r="K10" i="24" s="1"/>
  <c r="B14" i="49" l="1"/>
  <c r="U8" i="52" s="1"/>
  <c r="U13" i="52" s="1"/>
  <c r="J17" i="49"/>
  <c r="K17" i="49" s="1"/>
  <c r="D27" i="58"/>
  <c r="E27" i="58" s="1"/>
  <c r="C28" i="58"/>
  <c r="C8" i="30"/>
  <c r="AL14" i="53"/>
  <c r="E14" i="53"/>
  <c r="C15" i="53"/>
  <c r="D15" i="53" s="1"/>
  <c r="C26" i="31"/>
  <c r="C28" i="31" s="1"/>
  <c r="AL13" i="58"/>
  <c r="D30" i="58"/>
  <c r="E30" i="58" s="1"/>
  <c r="X17" i="35"/>
  <c r="X21" i="35" s="1"/>
  <c r="C20" i="35" s="1"/>
  <c r="C10" i="35"/>
  <c r="C14" i="31"/>
  <c r="C12" i="31"/>
  <c r="C7" i="30"/>
  <c r="C11" i="30"/>
  <c r="X22" i="30"/>
  <c r="C24" i="30" s="1"/>
  <c r="C9" i="30"/>
  <c r="C13" i="30"/>
  <c r="C14" i="30" s="1"/>
  <c r="C10" i="30"/>
  <c r="C26" i="30"/>
  <c r="C27" i="30"/>
  <c r="I12" i="28"/>
  <c r="B12" i="27"/>
  <c r="I12" i="27" s="1"/>
  <c r="J12" i="49"/>
  <c r="K12" i="49" s="1"/>
  <c r="I12" i="49"/>
  <c r="I10" i="49"/>
  <c r="J10" i="49"/>
  <c r="K10" i="49" s="1"/>
  <c r="I15" i="49"/>
  <c r="I17" i="49" s="1"/>
  <c r="J15" i="49"/>
  <c r="K15" i="49" s="1"/>
  <c r="J8" i="49"/>
  <c r="K8" i="49" s="1"/>
  <c r="I8" i="49"/>
  <c r="J6" i="49"/>
  <c r="K6" i="49" s="1"/>
  <c r="I6" i="49"/>
  <c r="J7" i="49"/>
  <c r="K7" i="49" s="1"/>
  <c r="I7" i="49"/>
  <c r="B18" i="49"/>
  <c r="B19" i="49" s="1"/>
  <c r="I13" i="49"/>
  <c r="J9" i="49"/>
  <c r="K9" i="49" s="1"/>
  <c r="I9" i="49"/>
  <c r="J11" i="49"/>
  <c r="K11" i="49" s="1"/>
  <c r="I11" i="49"/>
  <c r="C22" i="23"/>
  <c r="C23" i="23" s="1"/>
  <c r="C25" i="23" s="1"/>
  <c r="C9" i="8" s="1"/>
  <c r="J12" i="26"/>
  <c r="K12" i="26" s="1"/>
  <c r="J12" i="25"/>
  <c r="K12" i="25" s="1"/>
  <c r="C23" i="18"/>
  <c r="J12" i="29"/>
  <c r="K12" i="29" s="1"/>
  <c r="I12" i="29"/>
  <c r="AL12" i="35"/>
  <c r="C24" i="31"/>
  <c r="C21" i="37"/>
  <c r="C20" i="37"/>
  <c r="C21" i="40"/>
  <c r="C20" i="40"/>
  <c r="C21" i="38"/>
  <c r="C21" i="39"/>
  <c r="C20" i="39"/>
  <c r="C21" i="36"/>
  <c r="C20" i="36"/>
  <c r="C28" i="34"/>
  <c r="C28" i="32"/>
  <c r="C28" i="33"/>
  <c r="J12" i="24"/>
  <c r="K12" i="24" s="1"/>
  <c r="K3838" i="1"/>
  <c r="J3838" i="1"/>
  <c r="R3838" i="1" s="1"/>
  <c r="K3837" i="1"/>
  <c r="J3837" i="1"/>
  <c r="R3837" i="1" s="1"/>
  <c r="K3808" i="1"/>
  <c r="J3808" i="1"/>
  <c r="R3808" i="1" s="1"/>
  <c r="K3807" i="1"/>
  <c r="J3807" i="1"/>
  <c r="R3807" i="1" s="1"/>
  <c r="K3773" i="1"/>
  <c r="J3773" i="1"/>
  <c r="R3773" i="1" s="1"/>
  <c r="K3772" i="1"/>
  <c r="J3772" i="1"/>
  <c r="R3772" i="1" s="1"/>
  <c r="K3732" i="1"/>
  <c r="J3732" i="1"/>
  <c r="R3732" i="1" s="1"/>
  <c r="K3731" i="1"/>
  <c r="J3731" i="1"/>
  <c r="R3731" i="1" s="1"/>
  <c r="K3683" i="1"/>
  <c r="J3683" i="1"/>
  <c r="R3683" i="1" s="1"/>
  <c r="K3682" i="1"/>
  <c r="J3682" i="1"/>
  <c r="R3682" i="1" s="1"/>
  <c r="K3665" i="1"/>
  <c r="J3665" i="1"/>
  <c r="R3665" i="1" s="1"/>
  <c r="K3664" i="1"/>
  <c r="J3664" i="1"/>
  <c r="R3664" i="1" s="1"/>
  <c r="K3614" i="1"/>
  <c r="J3614" i="1"/>
  <c r="R3614" i="1" s="1"/>
  <c r="K3613" i="1"/>
  <c r="J3613" i="1"/>
  <c r="R3613" i="1" s="1"/>
  <c r="K3567" i="1"/>
  <c r="J3567" i="1"/>
  <c r="R3567" i="1" s="1"/>
  <c r="K3566" i="1"/>
  <c r="J3566" i="1"/>
  <c r="R3566" i="1" s="1"/>
  <c r="K3565" i="1"/>
  <c r="J3565" i="1"/>
  <c r="R3565" i="1" s="1"/>
  <c r="K3564" i="1"/>
  <c r="J3564" i="1"/>
  <c r="R3564" i="1" s="1"/>
  <c r="K3536" i="1"/>
  <c r="J3536" i="1"/>
  <c r="R3536" i="1" s="1"/>
  <c r="Q1600" i="9" s="1"/>
  <c r="K3535" i="1"/>
  <c r="J3535" i="1"/>
  <c r="R3535" i="1" s="1"/>
  <c r="K3526" i="1"/>
  <c r="J3526" i="1"/>
  <c r="R3526" i="1" s="1"/>
  <c r="Q2032" i="9" s="1"/>
  <c r="K3527" i="1"/>
  <c r="J3527" i="1"/>
  <c r="R3527" i="1" s="1"/>
  <c r="K3455" i="1"/>
  <c r="J3455" i="1"/>
  <c r="R3455" i="1" s="1"/>
  <c r="K3454" i="1"/>
  <c r="J3454" i="1"/>
  <c r="R3454" i="1" s="1"/>
  <c r="K3446" i="1"/>
  <c r="J3446" i="1"/>
  <c r="R3446" i="1" s="1"/>
  <c r="K3445" i="1"/>
  <c r="J3445" i="1"/>
  <c r="R3445" i="1" s="1"/>
  <c r="K3385" i="1"/>
  <c r="J3385" i="1"/>
  <c r="R3385" i="1" s="1"/>
  <c r="K3410" i="1"/>
  <c r="J3410" i="1"/>
  <c r="R3410" i="1" s="1"/>
  <c r="K3374" i="1"/>
  <c r="J3374" i="1"/>
  <c r="R3374" i="1" s="1"/>
  <c r="K3373" i="1"/>
  <c r="J3373" i="1"/>
  <c r="R3373" i="1" s="1"/>
  <c r="K3319" i="1"/>
  <c r="J3319" i="1"/>
  <c r="R3319" i="1" s="1"/>
  <c r="K3312" i="1"/>
  <c r="J3312" i="1"/>
  <c r="R3312" i="1" s="1"/>
  <c r="K3283" i="1"/>
  <c r="J3283" i="1"/>
  <c r="R3283" i="1" s="1"/>
  <c r="K3275" i="1"/>
  <c r="J3275" i="1"/>
  <c r="R3275" i="1" s="1"/>
  <c r="K3266" i="1"/>
  <c r="J3266" i="1"/>
  <c r="R3266" i="1" s="1"/>
  <c r="K3265" i="1"/>
  <c r="J3265" i="1"/>
  <c r="R3265" i="1" s="1"/>
  <c r="K3213" i="1"/>
  <c r="J3213" i="1"/>
  <c r="R3213" i="1" s="1"/>
  <c r="K3222" i="1"/>
  <c r="J3222" i="1"/>
  <c r="R3222" i="1" s="1"/>
  <c r="K3205" i="1"/>
  <c r="J3205" i="1"/>
  <c r="R3205" i="1" s="1"/>
  <c r="K3204" i="1"/>
  <c r="J3204" i="1"/>
  <c r="R3204" i="1" s="1"/>
  <c r="K3149" i="1"/>
  <c r="J3149" i="1"/>
  <c r="R3149" i="1" s="1"/>
  <c r="K3148" i="1"/>
  <c r="J3148" i="1"/>
  <c r="R3148" i="1" s="1"/>
  <c r="K3102" i="1"/>
  <c r="J3102" i="1"/>
  <c r="R3102" i="1" s="1"/>
  <c r="K3099" i="1"/>
  <c r="J3099" i="1"/>
  <c r="R3099" i="1" s="1"/>
  <c r="K3051" i="1"/>
  <c r="J3051" i="1"/>
  <c r="R3051" i="1" s="1"/>
  <c r="K3053" i="1"/>
  <c r="J3053" i="1"/>
  <c r="R3053" i="1" s="1"/>
  <c r="K3019" i="1"/>
  <c r="J3019" i="1"/>
  <c r="R3019" i="1" s="1"/>
  <c r="K3018" i="1"/>
  <c r="J3018" i="1"/>
  <c r="R3018" i="1" s="1"/>
  <c r="K2981" i="1"/>
  <c r="J2981" i="1"/>
  <c r="R2981" i="1" s="1"/>
  <c r="K2999" i="1"/>
  <c r="J2999" i="1"/>
  <c r="R2999" i="1" s="1"/>
  <c r="K2964" i="1"/>
  <c r="J2964" i="1"/>
  <c r="R2964" i="1" s="1"/>
  <c r="K2967" i="1"/>
  <c r="J2967" i="1"/>
  <c r="R2967" i="1" s="1"/>
  <c r="K2891" i="1"/>
  <c r="J2891" i="1"/>
  <c r="R2891" i="1" s="1"/>
  <c r="K2895" i="1"/>
  <c r="J2895" i="1"/>
  <c r="R2895" i="1" s="1"/>
  <c r="K4968" i="1"/>
  <c r="J4968" i="1"/>
  <c r="R4968" i="1" s="1"/>
  <c r="K4990" i="1"/>
  <c r="J4990" i="1"/>
  <c r="R4990" i="1" s="1"/>
  <c r="K4929" i="1"/>
  <c r="J4929" i="1"/>
  <c r="R4929" i="1" s="1"/>
  <c r="K4928" i="1"/>
  <c r="J4928" i="1"/>
  <c r="R4928" i="1" s="1"/>
  <c r="K2865" i="1"/>
  <c r="J2865" i="1"/>
  <c r="R2865" i="1" s="1"/>
  <c r="K2864" i="1"/>
  <c r="J2864" i="1"/>
  <c r="R2864" i="1" s="1"/>
  <c r="K2838" i="1"/>
  <c r="J2838" i="1"/>
  <c r="R2838" i="1" s="1"/>
  <c r="K2837" i="1"/>
  <c r="J2837" i="1"/>
  <c r="R2837" i="1" s="1"/>
  <c r="K2813" i="1"/>
  <c r="J2813" i="1"/>
  <c r="R2813" i="1" s="1"/>
  <c r="K2812" i="1"/>
  <c r="J2812" i="1"/>
  <c r="R2812" i="1" s="1"/>
  <c r="K2754" i="1"/>
  <c r="J2754" i="1"/>
  <c r="R2754" i="1" s="1"/>
  <c r="K2756" i="1"/>
  <c r="J2756" i="1"/>
  <c r="R2756" i="1" s="1"/>
  <c r="K2715" i="1"/>
  <c r="J2715" i="1"/>
  <c r="R2715" i="1" s="1"/>
  <c r="K2714" i="1"/>
  <c r="J2714" i="1"/>
  <c r="R2714" i="1" s="1"/>
  <c r="K2674" i="1"/>
  <c r="J2674" i="1"/>
  <c r="R2674" i="1" s="1"/>
  <c r="K2678" i="1"/>
  <c r="J2678" i="1"/>
  <c r="R2678" i="1" s="1"/>
  <c r="K2647" i="1"/>
  <c r="J2647" i="1"/>
  <c r="R2647" i="1" s="1"/>
  <c r="K2646" i="1"/>
  <c r="J2646" i="1"/>
  <c r="R2646" i="1" s="1"/>
  <c r="K2636" i="1"/>
  <c r="J2636" i="1"/>
  <c r="R2636" i="1" s="1"/>
  <c r="K2635" i="1"/>
  <c r="J2635" i="1"/>
  <c r="R2635" i="1" s="1"/>
  <c r="K2586" i="1"/>
  <c r="J2586" i="1"/>
  <c r="R2586" i="1" s="1"/>
  <c r="K2585" i="1"/>
  <c r="J2585" i="1"/>
  <c r="R2585" i="1" s="1"/>
  <c r="K2553" i="1"/>
  <c r="J2553" i="1"/>
  <c r="R2553" i="1" s="1"/>
  <c r="K2577" i="1"/>
  <c r="J2577" i="1"/>
  <c r="R2577" i="1" s="1"/>
  <c r="K2541" i="1"/>
  <c r="J2541" i="1"/>
  <c r="R2541" i="1" s="1"/>
  <c r="K2540" i="1"/>
  <c r="J2540" i="1"/>
  <c r="R2540" i="1" s="1"/>
  <c r="K2482" i="1"/>
  <c r="J2482" i="1"/>
  <c r="R2482" i="1" s="1"/>
  <c r="K2474" i="1"/>
  <c r="J2474" i="1"/>
  <c r="R2474" i="1" s="1"/>
  <c r="K2450" i="1"/>
  <c r="J2450" i="1"/>
  <c r="R2450" i="1" s="1"/>
  <c r="K2465" i="1"/>
  <c r="J2465" i="1"/>
  <c r="R2465" i="1" s="1"/>
  <c r="K2421" i="1"/>
  <c r="J2421" i="1"/>
  <c r="R2421" i="1" s="1"/>
  <c r="K2419" i="1"/>
  <c r="J2419" i="1"/>
  <c r="R2419" i="1" s="1"/>
  <c r="K2377" i="1"/>
  <c r="J2377" i="1"/>
  <c r="R2377" i="1" s="1"/>
  <c r="K2385" i="1"/>
  <c r="J2385" i="1"/>
  <c r="R2385" i="1" s="1"/>
  <c r="K2371" i="1"/>
  <c r="J2371" i="1"/>
  <c r="R2371" i="1" s="1"/>
  <c r="K2370" i="1"/>
  <c r="J2370" i="1"/>
  <c r="R2370" i="1" s="1"/>
  <c r="K2335" i="1"/>
  <c r="J2335" i="1"/>
  <c r="R2335" i="1" s="1"/>
  <c r="K2334" i="1"/>
  <c r="J2334" i="1"/>
  <c r="R2334" i="1" s="1"/>
  <c r="K2235" i="1"/>
  <c r="J2235" i="1"/>
  <c r="R2235" i="1" s="1"/>
  <c r="K2234" i="1"/>
  <c r="J2234" i="1"/>
  <c r="R2234" i="1" s="1"/>
  <c r="K2222" i="1"/>
  <c r="J2222" i="1"/>
  <c r="R2222" i="1" s="1"/>
  <c r="K2221" i="1"/>
  <c r="J2221" i="1"/>
  <c r="R2221" i="1" s="1"/>
  <c r="K2153" i="1"/>
  <c r="J2153" i="1"/>
  <c r="R2153" i="1" s="1"/>
  <c r="K2163" i="1"/>
  <c r="J2163" i="1"/>
  <c r="R2163" i="1" s="1"/>
  <c r="K2147" i="1"/>
  <c r="J2147" i="1"/>
  <c r="R2147" i="1" s="1"/>
  <c r="K2146" i="1"/>
  <c r="J2146" i="1"/>
  <c r="R2146" i="1" s="1"/>
  <c r="K2123" i="1"/>
  <c r="J2123" i="1"/>
  <c r="R2123" i="1" s="1"/>
  <c r="K2122" i="1"/>
  <c r="J2122" i="1"/>
  <c r="R2122" i="1" s="1"/>
  <c r="K2098" i="1"/>
  <c r="J2098" i="1"/>
  <c r="R2098" i="1" s="1"/>
  <c r="K2107" i="1"/>
  <c r="J2107" i="1"/>
  <c r="R2107" i="1" s="1"/>
  <c r="K2082" i="1"/>
  <c r="J2082" i="1"/>
  <c r="R2082" i="1" s="1"/>
  <c r="K2081" i="1"/>
  <c r="J2081" i="1"/>
  <c r="R2081" i="1" s="1"/>
  <c r="K2058" i="1"/>
  <c r="J2058" i="1"/>
  <c r="R2058" i="1" s="1"/>
  <c r="K2057" i="1"/>
  <c r="J2057" i="1"/>
  <c r="R2057" i="1" s="1"/>
  <c r="K2023" i="1"/>
  <c r="J2023" i="1"/>
  <c r="R2023" i="1" s="1"/>
  <c r="K2022" i="1"/>
  <c r="J2022" i="1"/>
  <c r="R2022" i="1" s="1"/>
  <c r="K1977" i="1"/>
  <c r="J1977" i="1"/>
  <c r="R1977" i="1" s="1"/>
  <c r="K1975" i="1"/>
  <c r="J1975" i="1"/>
  <c r="R1975" i="1" s="1"/>
  <c r="K1941" i="1"/>
  <c r="J1941" i="1"/>
  <c r="R1941" i="1" s="1"/>
  <c r="K1940" i="1"/>
  <c r="J1940" i="1"/>
  <c r="R1940" i="1" s="1"/>
  <c r="K1900" i="1"/>
  <c r="J1900" i="1"/>
  <c r="R1900" i="1" s="1"/>
  <c r="K1921" i="1"/>
  <c r="J1921" i="1"/>
  <c r="R1921" i="1" s="1"/>
  <c r="K1870" i="1"/>
  <c r="J1870" i="1"/>
  <c r="R1870" i="1" s="1"/>
  <c r="K1866" i="1"/>
  <c r="J1866" i="1"/>
  <c r="R1866" i="1" s="1"/>
  <c r="K1844" i="1"/>
  <c r="J1844" i="1"/>
  <c r="R1844" i="1" s="1"/>
  <c r="K1843" i="1"/>
  <c r="J1843" i="1"/>
  <c r="R1843" i="1" s="1"/>
  <c r="K1808" i="1"/>
  <c r="J1808" i="1"/>
  <c r="R1808" i="1" s="1"/>
  <c r="K1807" i="1"/>
  <c r="J1807" i="1"/>
  <c r="R1807" i="1" s="1"/>
  <c r="K1787" i="1"/>
  <c r="J1787" i="1"/>
  <c r="R1787" i="1" s="1"/>
  <c r="K1788" i="1"/>
  <c r="J1788" i="1"/>
  <c r="R1788" i="1" s="1"/>
  <c r="K1719" i="1"/>
  <c r="J1719" i="1"/>
  <c r="R1719" i="1" s="1"/>
  <c r="K1718" i="1"/>
  <c r="J1718" i="1"/>
  <c r="R1718" i="1" s="1"/>
  <c r="K1714" i="1"/>
  <c r="J1714" i="1"/>
  <c r="R1714" i="1" s="1"/>
  <c r="K1713" i="1"/>
  <c r="J1713" i="1"/>
  <c r="R1713" i="1" s="1"/>
  <c r="K1643" i="1"/>
  <c r="J1643" i="1"/>
  <c r="R1643" i="1" s="1"/>
  <c r="K1660" i="1"/>
  <c r="J1660" i="1"/>
  <c r="R1660" i="1" s="1"/>
  <c r="K1617" i="1"/>
  <c r="J1617" i="1"/>
  <c r="R1617" i="1" s="1"/>
  <c r="K1616" i="1"/>
  <c r="J1616" i="1"/>
  <c r="R1616" i="1" s="1"/>
  <c r="K1588" i="1"/>
  <c r="J1588" i="1"/>
  <c r="R1588" i="1" s="1"/>
  <c r="K1587" i="1"/>
  <c r="J1587" i="1"/>
  <c r="R1587" i="1" s="1"/>
  <c r="K1542" i="1"/>
  <c r="J1542" i="1"/>
  <c r="R1542" i="1" s="1"/>
  <c r="K1541" i="1"/>
  <c r="J1541" i="1"/>
  <c r="R1541" i="1" s="1"/>
  <c r="K1508" i="1"/>
  <c r="J1508" i="1"/>
  <c r="R1508" i="1" s="1"/>
  <c r="K1507" i="1"/>
  <c r="J1507" i="1"/>
  <c r="R1507" i="1" s="1"/>
  <c r="K1468" i="1"/>
  <c r="J1468" i="1"/>
  <c r="R1468" i="1" s="1"/>
  <c r="K1476" i="1"/>
  <c r="J1476" i="1"/>
  <c r="R1476" i="1" s="1"/>
  <c r="K1446" i="1"/>
  <c r="J1446" i="1"/>
  <c r="R1446" i="1" s="1"/>
  <c r="K1445" i="1"/>
  <c r="J1445" i="1"/>
  <c r="R1445" i="1" s="1"/>
  <c r="K1418" i="1"/>
  <c r="J1418" i="1"/>
  <c r="R1418" i="1" s="1"/>
  <c r="K1402" i="1"/>
  <c r="J1402" i="1"/>
  <c r="R1402" i="1" s="1"/>
  <c r="K1375" i="1"/>
  <c r="J1375" i="1"/>
  <c r="R1375" i="1" s="1"/>
  <c r="K1374" i="1"/>
  <c r="J1374" i="1"/>
  <c r="R1374" i="1" s="1"/>
  <c r="K1325" i="1"/>
  <c r="J1325" i="1"/>
  <c r="R1325" i="1" s="1"/>
  <c r="K1334" i="1"/>
  <c r="J1334" i="1"/>
  <c r="R1334" i="1" s="1"/>
  <c r="K1292" i="1"/>
  <c r="J1292" i="1"/>
  <c r="R1292" i="1" s="1"/>
  <c r="K1299" i="1"/>
  <c r="J1299" i="1"/>
  <c r="R1299" i="1" s="1"/>
  <c r="K1253" i="1"/>
  <c r="J1253" i="1"/>
  <c r="R1253" i="1" s="1"/>
  <c r="K1256" i="1"/>
  <c r="J1256" i="1"/>
  <c r="R1256" i="1" s="1"/>
  <c r="K1218" i="1"/>
  <c r="J1218" i="1"/>
  <c r="R1218" i="1" s="1"/>
  <c r="Q1628" i="9" s="1"/>
  <c r="K1220" i="1"/>
  <c r="J1220" i="1"/>
  <c r="R1220" i="1" s="1"/>
  <c r="Q1629" i="9" s="1"/>
  <c r="K1209" i="1"/>
  <c r="J1209" i="1"/>
  <c r="R1209" i="1" s="1"/>
  <c r="K1208" i="1"/>
  <c r="J1208" i="1"/>
  <c r="R1208" i="1" s="1"/>
  <c r="K1139" i="1"/>
  <c r="J1139" i="1"/>
  <c r="R1139" i="1" s="1"/>
  <c r="K1138" i="1"/>
  <c r="J1138" i="1"/>
  <c r="R1138" i="1" s="1"/>
  <c r="K1104" i="1"/>
  <c r="J1104" i="1"/>
  <c r="R1104" i="1" s="1"/>
  <c r="K1103" i="1"/>
  <c r="J1103" i="1"/>
  <c r="R1103" i="1" s="1"/>
  <c r="K1056" i="1"/>
  <c r="J1056" i="1"/>
  <c r="R1056" i="1" s="1"/>
  <c r="K1073" i="1"/>
  <c r="J1073" i="1"/>
  <c r="R1073" i="1" s="1"/>
  <c r="K1046" i="1"/>
  <c r="J1046" i="1"/>
  <c r="R1046" i="1" s="1"/>
  <c r="K1045" i="1"/>
  <c r="J1045" i="1"/>
  <c r="R1045" i="1" s="1"/>
  <c r="K947" i="1"/>
  <c r="J947" i="1"/>
  <c r="R947" i="1" s="1"/>
  <c r="K948" i="1"/>
  <c r="J948" i="1"/>
  <c r="R948" i="1" s="1"/>
  <c r="K905" i="1"/>
  <c r="J905" i="1"/>
  <c r="R905" i="1" s="1"/>
  <c r="K904" i="1"/>
  <c r="J904" i="1"/>
  <c r="R904" i="1" s="1"/>
  <c r="K899" i="1"/>
  <c r="J899" i="1"/>
  <c r="R899" i="1" s="1"/>
  <c r="K898" i="1"/>
  <c r="J898" i="1"/>
  <c r="R898" i="1" s="1"/>
  <c r="K893" i="1"/>
  <c r="J893" i="1"/>
  <c r="R893" i="1" s="1"/>
  <c r="K892" i="1"/>
  <c r="J892" i="1"/>
  <c r="R892" i="1" s="1"/>
  <c r="K887" i="1"/>
  <c r="J887" i="1"/>
  <c r="R887" i="1" s="1"/>
  <c r="K886" i="1"/>
  <c r="J886" i="1"/>
  <c r="R886" i="1" s="1"/>
  <c r="K883" i="1"/>
  <c r="J883" i="1"/>
  <c r="R883" i="1" s="1"/>
  <c r="K881" i="1"/>
  <c r="J881" i="1"/>
  <c r="R881" i="1" s="1"/>
  <c r="K875" i="1"/>
  <c r="J875" i="1"/>
  <c r="R875" i="1" s="1"/>
  <c r="K874" i="1"/>
  <c r="J874" i="1"/>
  <c r="R874" i="1" s="1"/>
  <c r="K866" i="1"/>
  <c r="J866" i="1"/>
  <c r="R866" i="1" s="1"/>
  <c r="K865" i="1"/>
  <c r="J865" i="1"/>
  <c r="R865" i="1" s="1"/>
  <c r="K861" i="1"/>
  <c r="J861" i="1"/>
  <c r="R861" i="1" s="1"/>
  <c r="K860" i="1"/>
  <c r="J860" i="1"/>
  <c r="R860" i="1" s="1"/>
  <c r="K852" i="1"/>
  <c r="J852" i="1"/>
  <c r="R852" i="1" s="1"/>
  <c r="K857" i="1"/>
  <c r="J857" i="1"/>
  <c r="R857" i="1" s="1"/>
  <c r="K850" i="1"/>
  <c r="J850" i="1"/>
  <c r="R850" i="1" s="1"/>
  <c r="K849" i="1"/>
  <c r="J849" i="1"/>
  <c r="R849" i="1" s="1"/>
  <c r="K840" i="1"/>
  <c r="J840" i="1"/>
  <c r="R840" i="1" s="1"/>
  <c r="K839" i="1"/>
  <c r="J839" i="1"/>
  <c r="R839" i="1" s="1"/>
  <c r="K833" i="1"/>
  <c r="J833" i="1"/>
  <c r="R833" i="1" s="1"/>
  <c r="K832" i="1"/>
  <c r="J832" i="1"/>
  <c r="R832" i="1" s="1"/>
  <c r="K829" i="1"/>
  <c r="J829" i="1"/>
  <c r="R829" i="1" s="1"/>
  <c r="K828" i="1"/>
  <c r="J828" i="1"/>
  <c r="R828" i="1" s="1"/>
  <c r="K821" i="1"/>
  <c r="J821" i="1"/>
  <c r="R821" i="1" s="1"/>
  <c r="K820" i="1"/>
  <c r="J820" i="1"/>
  <c r="R820" i="1" s="1"/>
  <c r="K815" i="1"/>
  <c r="J815" i="1"/>
  <c r="R815" i="1" s="1"/>
  <c r="K814" i="1"/>
  <c r="J814" i="1"/>
  <c r="R814" i="1" s="1"/>
  <c r="K808" i="1"/>
  <c r="J808" i="1"/>
  <c r="R808" i="1" s="1"/>
  <c r="K805" i="1"/>
  <c r="J805" i="1"/>
  <c r="R805" i="1" s="1"/>
  <c r="K801" i="1"/>
  <c r="J801" i="1"/>
  <c r="R801" i="1" s="1"/>
  <c r="K800" i="1"/>
  <c r="J800" i="1"/>
  <c r="R800" i="1" s="1"/>
  <c r="K788" i="1"/>
  <c r="J788" i="1"/>
  <c r="R788" i="1" s="1"/>
  <c r="Q912" i="9" s="1"/>
  <c r="K790" i="1"/>
  <c r="J790" i="1"/>
  <c r="R790" i="1" s="1"/>
  <c r="K785" i="1"/>
  <c r="J785" i="1"/>
  <c r="R785" i="1" s="1"/>
  <c r="K783" i="1"/>
  <c r="J783" i="1"/>
  <c r="R783" i="1" s="1"/>
  <c r="K775" i="1"/>
  <c r="J775" i="1"/>
  <c r="R775" i="1" s="1"/>
  <c r="K776" i="1"/>
  <c r="J776" i="1"/>
  <c r="R776" i="1" s="1"/>
  <c r="K742" i="1"/>
  <c r="J742" i="1"/>
  <c r="R742" i="1" s="1"/>
  <c r="K741" i="1"/>
  <c r="J741" i="1"/>
  <c r="R741" i="1" s="1"/>
  <c r="K701" i="1"/>
  <c r="J701" i="1"/>
  <c r="R701" i="1" s="1"/>
  <c r="K700" i="1"/>
  <c r="J700" i="1"/>
  <c r="R700" i="1" s="1"/>
  <c r="K526" i="1"/>
  <c r="J526" i="1"/>
  <c r="R526" i="1" s="1"/>
  <c r="K525" i="1"/>
  <c r="J525" i="1"/>
  <c r="R525" i="1" s="1"/>
  <c r="K519" i="1"/>
  <c r="J519" i="1"/>
  <c r="R519" i="1" s="1"/>
  <c r="K518" i="1"/>
  <c r="J518" i="1"/>
  <c r="R518" i="1" s="1"/>
  <c r="K512" i="1"/>
  <c r="J512" i="1"/>
  <c r="R512" i="1" s="1"/>
  <c r="K511" i="1"/>
  <c r="J511" i="1"/>
  <c r="R511" i="1" s="1"/>
  <c r="K505" i="1"/>
  <c r="J505" i="1"/>
  <c r="R505" i="1" s="1"/>
  <c r="K504" i="1"/>
  <c r="J504" i="1"/>
  <c r="R504" i="1" s="1"/>
  <c r="K500" i="1"/>
  <c r="J500" i="1"/>
  <c r="R500" i="1" s="1"/>
  <c r="K497" i="1"/>
  <c r="J497" i="1"/>
  <c r="R497" i="1" s="1"/>
  <c r="K491" i="1"/>
  <c r="J491" i="1"/>
  <c r="R491" i="1" s="1"/>
  <c r="K490" i="1"/>
  <c r="J490" i="1"/>
  <c r="R490" i="1" s="1"/>
  <c r="K484" i="1"/>
  <c r="J484" i="1"/>
  <c r="R484" i="1" s="1"/>
  <c r="K483" i="1"/>
  <c r="J483" i="1"/>
  <c r="R483" i="1" s="1"/>
  <c r="K477" i="1"/>
  <c r="J477" i="1"/>
  <c r="R477" i="1" s="1"/>
  <c r="K476" i="1"/>
  <c r="J476" i="1"/>
  <c r="R476" i="1" s="1"/>
  <c r="K470" i="1"/>
  <c r="J470" i="1"/>
  <c r="R470" i="1" s="1"/>
  <c r="K469" i="1"/>
  <c r="J469" i="1"/>
  <c r="R469" i="1" s="1"/>
  <c r="K463" i="1"/>
  <c r="J463" i="1"/>
  <c r="R463" i="1" s="1"/>
  <c r="K462" i="1"/>
  <c r="J462" i="1"/>
  <c r="K456" i="1"/>
  <c r="J456" i="1"/>
  <c r="R456" i="1" s="1"/>
  <c r="K455" i="1"/>
  <c r="J455" i="1"/>
  <c r="R455" i="1" s="1"/>
  <c r="K449" i="1"/>
  <c r="J449" i="1"/>
  <c r="R449" i="1" s="1"/>
  <c r="K448" i="1"/>
  <c r="J448" i="1"/>
  <c r="R448" i="1" s="1"/>
  <c r="K441" i="1"/>
  <c r="J441" i="1"/>
  <c r="R441" i="1" s="1"/>
  <c r="K442" i="1"/>
  <c r="J442" i="1"/>
  <c r="R442" i="1" s="1"/>
  <c r="K438" i="1"/>
  <c r="J438" i="1"/>
  <c r="R438" i="1" s="1"/>
  <c r="K436" i="1"/>
  <c r="J436" i="1"/>
  <c r="R436" i="1" s="1"/>
  <c r="K427" i="1"/>
  <c r="J427" i="1"/>
  <c r="R427" i="1" s="1"/>
  <c r="K429" i="1"/>
  <c r="J429" i="1"/>
  <c r="R429" i="1" s="1"/>
  <c r="K424" i="1"/>
  <c r="J424" i="1"/>
  <c r="R424" i="1" s="1"/>
  <c r="K422" i="1"/>
  <c r="J422" i="1"/>
  <c r="R422" i="1" s="1"/>
  <c r="K328" i="1"/>
  <c r="J328" i="1"/>
  <c r="R328" i="1" s="1"/>
  <c r="K327" i="1"/>
  <c r="J327" i="1"/>
  <c r="AL9" i="8" l="1"/>
  <c r="G9" i="8"/>
  <c r="B13" i="52"/>
  <c r="C8" i="52"/>
  <c r="C7" i="52"/>
  <c r="Q1594" i="9"/>
  <c r="Q1601" i="9"/>
  <c r="Q2033" i="9"/>
  <c r="B9" i="52"/>
  <c r="C14" i="52"/>
  <c r="C10" i="52"/>
  <c r="C9" i="52"/>
  <c r="C13" i="52"/>
  <c r="C15" i="52"/>
  <c r="C11" i="52"/>
  <c r="C12" i="52"/>
  <c r="B15" i="52"/>
  <c r="B12" i="52"/>
  <c r="B8" i="52"/>
  <c r="B7" i="52"/>
  <c r="B11" i="52"/>
  <c r="B10" i="52"/>
  <c r="B14" i="52"/>
  <c r="D28" i="58"/>
  <c r="E28" i="58" s="1"/>
  <c r="C29" i="58"/>
  <c r="D29" i="58" s="1"/>
  <c r="E29" i="58" s="1"/>
  <c r="E15" i="53"/>
  <c r="C25" i="31"/>
  <c r="C29" i="31" s="1"/>
  <c r="AL24" i="58"/>
  <c r="R462" i="1"/>
  <c r="R327" i="1"/>
  <c r="C21" i="35"/>
  <c r="C17" i="35"/>
  <c r="C29" i="35"/>
  <c r="C22" i="30"/>
  <c r="C28" i="30"/>
  <c r="AL13" i="30"/>
  <c r="C12" i="30"/>
  <c r="J12" i="27"/>
  <c r="K12" i="27" s="1"/>
  <c r="J13" i="49"/>
  <c r="K13" i="49" s="1"/>
  <c r="I18" i="49"/>
  <c r="V9" i="7"/>
  <c r="J18" i="49"/>
  <c r="K18" i="49" s="1"/>
  <c r="C3" i="42"/>
  <c r="C25" i="18"/>
  <c r="C29" i="33"/>
  <c r="C29" i="32"/>
  <c r="C29" i="34"/>
  <c r="C25" i="30"/>
  <c r="AL24" i="30"/>
  <c r="S19" i="31"/>
  <c r="S18" i="38"/>
  <c r="S16" i="39"/>
  <c r="T16" i="39" s="1"/>
  <c r="S14" i="40"/>
  <c r="S19" i="32"/>
  <c r="Q14" i="37"/>
  <c r="R18" i="39"/>
  <c r="R14" i="38"/>
  <c r="S19" i="33"/>
  <c r="R19" i="34"/>
  <c r="R15" i="39"/>
  <c r="R18" i="36"/>
  <c r="R19" i="31"/>
  <c r="S19" i="34"/>
  <c r="R14" i="40"/>
  <c r="S18" i="39"/>
  <c r="S14" i="38"/>
  <c r="R15" i="40"/>
  <c r="R14" i="39"/>
  <c r="S14" i="39"/>
  <c r="R18" i="38"/>
  <c r="R14" i="36"/>
  <c r="R19" i="33"/>
  <c r="S16" i="38"/>
  <c r="T16" i="38" s="1"/>
  <c r="R19" i="32"/>
  <c r="P14" i="37"/>
  <c r="S16" i="36"/>
  <c r="V10" i="7" l="1"/>
  <c r="AL21" i="35"/>
  <c r="R14" i="35"/>
  <c r="T16" i="36"/>
  <c r="C29" i="30"/>
  <c r="R19" i="30"/>
  <c r="S19" i="30"/>
  <c r="J14" i="49"/>
  <c r="K14" i="49" s="1"/>
  <c r="I14" i="49"/>
  <c r="B9" i="53"/>
  <c r="B12" i="53" s="1"/>
  <c r="J11" i="28"/>
  <c r="K11" i="28" s="1"/>
  <c r="I11" i="28"/>
  <c r="AM25" i="23"/>
  <c r="R13" i="36"/>
  <c r="T19" i="31"/>
  <c r="Q16" i="37"/>
  <c r="R16" i="37" s="1"/>
  <c r="R15" i="36"/>
  <c r="B11" i="29"/>
  <c r="B10" i="29"/>
  <c r="S16" i="40"/>
  <c r="T16" i="40" s="1"/>
  <c r="B7" i="29"/>
  <c r="B16" i="29"/>
  <c r="B8" i="29"/>
  <c r="T18" i="39"/>
  <c r="B18" i="39" s="1"/>
  <c r="S18" i="40"/>
  <c r="B15" i="29"/>
  <c r="B9" i="29"/>
  <c r="I9" i="29" s="1"/>
  <c r="B6" i="29"/>
  <c r="Q18" i="37"/>
  <c r="R15" i="38"/>
  <c r="S19" i="39"/>
  <c r="T22" i="39"/>
  <c r="T18" i="38"/>
  <c r="B18" i="38" s="1"/>
  <c r="S15" i="40"/>
  <c r="T15" i="40" s="1"/>
  <c r="B15" i="40" s="1"/>
  <c r="S13" i="40"/>
  <c r="T23" i="39"/>
  <c r="S19" i="38"/>
  <c r="S13" i="39"/>
  <c r="P18" i="37"/>
  <c r="Q15" i="37"/>
  <c r="P13" i="37"/>
  <c r="R13" i="40"/>
  <c r="S15" i="39"/>
  <c r="T15" i="39" s="1"/>
  <c r="B15" i="39" s="1"/>
  <c r="Q19" i="37"/>
  <c r="R19" i="39"/>
  <c r="R13" i="39"/>
  <c r="R18" i="40"/>
  <c r="T14" i="40"/>
  <c r="B14" i="40" s="1"/>
  <c r="P15" i="37"/>
  <c r="T23" i="40"/>
  <c r="R19" i="38"/>
  <c r="P19" i="37"/>
  <c r="R23" i="37"/>
  <c r="S13" i="38"/>
  <c r="S15" i="38"/>
  <c r="R13" i="38"/>
  <c r="R19" i="40"/>
  <c r="R22" i="37"/>
  <c r="T22" i="40"/>
  <c r="Q13" i="37"/>
  <c r="S19" i="40"/>
  <c r="R14" i="37"/>
  <c r="B14" i="37" s="1"/>
  <c r="T14" i="39"/>
  <c r="B14" i="39" s="1"/>
  <c r="T23" i="38"/>
  <c r="T14" i="38"/>
  <c r="B14" i="38" s="1"/>
  <c r="S18" i="36"/>
  <c r="S19" i="36"/>
  <c r="T22" i="36"/>
  <c r="S13" i="36"/>
  <c r="S14" i="36"/>
  <c r="S15" i="36"/>
  <c r="T27" i="33"/>
  <c r="R19" i="36"/>
  <c r="T27" i="34"/>
  <c r="T27" i="32"/>
  <c r="T23" i="36"/>
  <c r="T27" i="31"/>
  <c r="R21" i="32"/>
  <c r="R18" i="32"/>
  <c r="S21" i="34"/>
  <c r="B23" i="33"/>
  <c r="R16" i="33"/>
  <c r="R17" i="32"/>
  <c r="R18" i="33"/>
  <c r="R20" i="33"/>
  <c r="R17" i="31"/>
  <c r="R16" i="34"/>
  <c r="T19" i="33"/>
  <c r="B19" i="33" s="1"/>
  <c r="R18" i="31"/>
  <c r="R17" i="34"/>
  <c r="R20" i="31"/>
  <c r="S16" i="32"/>
  <c r="S17" i="33"/>
  <c r="S20" i="34"/>
  <c r="S21" i="32"/>
  <c r="S17" i="31"/>
  <c r="S18" i="31"/>
  <c r="S16" i="34"/>
  <c r="R17" i="33"/>
  <c r="T26" i="33"/>
  <c r="S16" i="33"/>
  <c r="T26" i="31"/>
  <c r="S20" i="33"/>
  <c r="B23" i="31"/>
  <c r="S20" i="31"/>
  <c r="T26" i="34"/>
  <c r="S18" i="33"/>
  <c r="R21" i="31"/>
  <c r="T19" i="32"/>
  <c r="B19" i="32" s="1"/>
  <c r="R21" i="34"/>
  <c r="T19" i="34"/>
  <c r="B19" i="34" s="1"/>
  <c r="S21" i="33"/>
  <c r="R20" i="34"/>
  <c r="S16" i="31"/>
  <c r="S17" i="34"/>
  <c r="R20" i="32"/>
  <c r="S18" i="32"/>
  <c r="B23" i="32"/>
  <c r="R16" i="32"/>
  <c r="R18" i="34"/>
  <c r="S21" i="31"/>
  <c r="T26" i="32"/>
  <c r="S20" i="32"/>
  <c r="S18" i="34"/>
  <c r="S17" i="32"/>
  <c r="R21" i="33"/>
  <c r="R16" i="31"/>
  <c r="B23" i="30"/>
  <c r="B10" i="28"/>
  <c r="B9" i="28"/>
  <c r="B15" i="28"/>
  <c r="B16" i="28"/>
  <c r="B6" i="28"/>
  <c r="B7" i="28"/>
  <c r="B9" i="22"/>
  <c r="B30" i="26"/>
  <c r="B29" i="26"/>
  <c r="B19" i="26"/>
  <c r="B16" i="26"/>
  <c r="B15" i="26"/>
  <c r="B26" i="26"/>
  <c r="B31" i="24"/>
  <c r="B31" i="26"/>
  <c r="B28" i="26"/>
  <c r="U17" i="26"/>
  <c r="I13" i="26" s="1"/>
  <c r="B22" i="26"/>
  <c r="B25" i="26"/>
  <c r="B30" i="24"/>
  <c r="B29" i="24"/>
  <c r="B28" i="24"/>
  <c r="B26" i="24"/>
  <c r="B22" i="24"/>
  <c r="B25" i="24"/>
  <c r="B19" i="24"/>
  <c r="B14" i="24"/>
  <c r="B15" i="24"/>
  <c r="U17" i="24"/>
  <c r="B17" i="24"/>
  <c r="B24" i="18"/>
  <c r="T17" i="25"/>
  <c r="B8" i="18"/>
  <c r="B19" i="22"/>
  <c r="B16" i="18"/>
  <c r="B9" i="18"/>
  <c r="B10" i="22"/>
  <c r="B13" i="22"/>
  <c r="B8" i="22"/>
  <c r="B10" i="18"/>
  <c r="B13" i="18"/>
  <c r="B14" i="18"/>
  <c r="B16" i="22"/>
  <c r="B17" i="22"/>
  <c r="B17" i="18"/>
  <c r="B18" i="18"/>
  <c r="B19" i="18"/>
  <c r="B18" i="22"/>
  <c r="B24" i="22"/>
  <c r="B14" i="22"/>
  <c r="J1728" i="1"/>
  <c r="R1728" i="1" s="1"/>
  <c r="J1724" i="1"/>
  <c r="R1724" i="1" s="1"/>
  <c r="J1722" i="1"/>
  <c r="R1722" i="1" s="1"/>
  <c r="J1729" i="1"/>
  <c r="R1729" i="1" s="1"/>
  <c r="J1768" i="1"/>
  <c r="R1768" i="1" s="1"/>
  <c r="J2372" i="1"/>
  <c r="R2372" i="1" s="1"/>
  <c r="J2343" i="1"/>
  <c r="R2343" i="1" s="1"/>
  <c r="J2342" i="1"/>
  <c r="R2342" i="1" s="1"/>
  <c r="J2340" i="1"/>
  <c r="R2340" i="1" s="1"/>
  <c r="J2344" i="1"/>
  <c r="R2344" i="1" s="1"/>
  <c r="J3669" i="1"/>
  <c r="R3669" i="1" s="1"/>
  <c r="J3637" i="1"/>
  <c r="R3637" i="1" s="1"/>
  <c r="J3668" i="1"/>
  <c r="R3668" i="1" s="1"/>
  <c r="J3667" i="1"/>
  <c r="R3667" i="1" s="1"/>
  <c r="J3638" i="1"/>
  <c r="R3638" i="1" s="1"/>
  <c r="J3778" i="1"/>
  <c r="R3778" i="1" s="1"/>
  <c r="J3746" i="1"/>
  <c r="R3746" i="1" s="1"/>
  <c r="J3776" i="1"/>
  <c r="R3776" i="1" s="1"/>
  <c r="J3775" i="1"/>
  <c r="R3775" i="1" s="1"/>
  <c r="J3747" i="1"/>
  <c r="R3747" i="1" s="1"/>
  <c r="J1485" i="1"/>
  <c r="R1485" i="1" s="1"/>
  <c r="J1481" i="1"/>
  <c r="R1481" i="1" s="1"/>
  <c r="J1487" i="1"/>
  <c r="R1487" i="1" s="1"/>
  <c r="J1483" i="1"/>
  <c r="R1483" i="1" s="1"/>
  <c r="J1488" i="1"/>
  <c r="R1488" i="1" s="1"/>
  <c r="J1504" i="1"/>
  <c r="R1504" i="1" s="1"/>
  <c r="J1509" i="1"/>
  <c r="R1509" i="1" s="1"/>
  <c r="J1502" i="1"/>
  <c r="R1502" i="1" s="1"/>
  <c r="J1510" i="1"/>
  <c r="R1510" i="1" s="1"/>
  <c r="J1538" i="1"/>
  <c r="R1538" i="1" s="1"/>
  <c r="J1543" i="1"/>
  <c r="R1543" i="1" s="1"/>
  <c r="J1536" i="1"/>
  <c r="R1536" i="1" s="1"/>
  <c r="J1544" i="1"/>
  <c r="R1544" i="1" s="1"/>
  <c r="J1613" i="1"/>
  <c r="R1613" i="1" s="1"/>
  <c r="J1618" i="1"/>
  <c r="R1618" i="1" s="1"/>
  <c r="J1612" i="1"/>
  <c r="R1612" i="1" s="1"/>
  <c r="J1619" i="1"/>
  <c r="R1619" i="1" s="1"/>
  <c r="J1658" i="1"/>
  <c r="R1658" i="1" s="1"/>
  <c r="J1661" i="1"/>
  <c r="R1661" i="1" s="1"/>
  <c r="J1656" i="1"/>
  <c r="R1656" i="1" s="1"/>
  <c r="J1654" i="1"/>
  <c r="R1654" i="1" s="1"/>
  <c r="J1662" i="1"/>
  <c r="R1662" i="1" s="1"/>
  <c r="J1772" i="1"/>
  <c r="R1772" i="1" s="1"/>
  <c r="J1765" i="1"/>
  <c r="R1765" i="1" s="1"/>
  <c r="J1770" i="1"/>
  <c r="R1770" i="1" s="1"/>
  <c r="J1774" i="1"/>
  <c r="R1774" i="1" s="1"/>
  <c r="J1939" i="1"/>
  <c r="R1939" i="1" s="1"/>
  <c r="J1942" i="1"/>
  <c r="R1942" i="1" s="1"/>
  <c r="J1937" i="1"/>
  <c r="R1937" i="1" s="1"/>
  <c r="J1936" i="1"/>
  <c r="R1936" i="1" s="1"/>
  <c r="J1943" i="1"/>
  <c r="R1943" i="1" s="1"/>
  <c r="J3598" i="1"/>
  <c r="R3598" i="1" s="1"/>
  <c r="J3568" i="1"/>
  <c r="R3568" i="1" s="1"/>
  <c r="J3597" i="1"/>
  <c r="R3597" i="1" s="1"/>
  <c r="J3569" i="1"/>
  <c r="R3569" i="1" s="1"/>
  <c r="J2173" i="1"/>
  <c r="R2173" i="1" s="1"/>
  <c r="J2152" i="1"/>
  <c r="R2152" i="1" s="1"/>
  <c r="J2175" i="1"/>
  <c r="R2175" i="1" s="1"/>
  <c r="J2171" i="1"/>
  <c r="R2171" i="1" s="1"/>
  <c r="J2169" i="1"/>
  <c r="R2169" i="1" s="1"/>
  <c r="J2192" i="1"/>
  <c r="R2192" i="1" s="1"/>
  <c r="J2194" i="1"/>
  <c r="R2194" i="1" s="1"/>
  <c r="J2190" i="1"/>
  <c r="R2190" i="1" s="1"/>
  <c r="J2189" i="1"/>
  <c r="R2189" i="1" s="1"/>
  <c r="J2195" i="1"/>
  <c r="R2195" i="1" s="1"/>
  <c r="J3245" i="1"/>
  <c r="R3245" i="1" s="1"/>
  <c r="J3225" i="1"/>
  <c r="R3225" i="1" s="1"/>
  <c r="J3242" i="1"/>
  <c r="R3242" i="1" s="1"/>
  <c r="J3244" i="1"/>
  <c r="R3244" i="1" s="1"/>
  <c r="J3226" i="1"/>
  <c r="R3226" i="1" s="1"/>
  <c r="J3270" i="1"/>
  <c r="R3270" i="1" s="1"/>
  <c r="J3451" i="1"/>
  <c r="R3451" i="1" s="1"/>
  <c r="J3418" i="1"/>
  <c r="R3418" i="1" s="1"/>
  <c r="J3447" i="1"/>
  <c r="R3447" i="1" s="1"/>
  <c r="J3450" i="1"/>
  <c r="R3450" i="1" s="1"/>
  <c r="J3419" i="1"/>
  <c r="R3419" i="1" s="1"/>
  <c r="J3813" i="1"/>
  <c r="R3813" i="1" s="1"/>
  <c r="J3781" i="1"/>
  <c r="R3781" i="1" s="1"/>
  <c r="J3811" i="1"/>
  <c r="R3811" i="1" s="1"/>
  <c r="J3810" i="1"/>
  <c r="R3810" i="1" s="1"/>
  <c r="J3782" i="1"/>
  <c r="R3782" i="1" s="1"/>
  <c r="J3306" i="1"/>
  <c r="R3306" i="1" s="1"/>
  <c r="J3284" i="1"/>
  <c r="R3284" i="1" s="1"/>
  <c r="J3303" i="1"/>
  <c r="R3303" i="1" s="1"/>
  <c r="J3285" i="1"/>
  <c r="R3285" i="1" s="1"/>
  <c r="J3305" i="1"/>
  <c r="R3305" i="1" s="1"/>
  <c r="J2299" i="1"/>
  <c r="R2299" i="1" s="1"/>
  <c r="J2280" i="1"/>
  <c r="R2280" i="1" s="1"/>
  <c r="J2281" i="1"/>
  <c r="R2281" i="1" s="1"/>
  <c r="J2279" i="1"/>
  <c r="R2279" i="1" s="1"/>
  <c r="J2277" i="1"/>
  <c r="R2277" i="1" s="1"/>
  <c r="J3140" i="1"/>
  <c r="R3140" i="1" s="1"/>
  <c r="J3178" i="1"/>
  <c r="R3178" i="1" s="1"/>
  <c r="J3206" i="1"/>
  <c r="R3206" i="1" s="1"/>
  <c r="J3209" i="1"/>
  <c r="R3209" i="1" s="1"/>
  <c r="J3179" i="1"/>
  <c r="R3179" i="1" s="1"/>
  <c r="J3341" i="1"/>
  <c r="R3341" i="1" s="1"/>
  <c r="J3339" i="1"/>
  <c r="R3339" i="1" s="1"/>
  <c r="J3322" i="1"/>
  <c r="R3322" i="1" s="1"/>
  <c r="J3337" i="1"/>
  <c r="R3337" i="1" s="1"/>
  <c r="J3323" i="1"/>
  <c r="R3323" i="1" s="1"/>
  <c r="J3379" i="1"/>
  <c r="R3379" i="1" s="1"/>
  <c r="J3378" i="1"/>
  <c r="R3378" i="1" s="1"/>
  <c r="J3347" i="1"/>
  <c r="R3347" i="1" s="1"/>
  <c r="J3375" i="1"/>
  <c r="R3375" i="1" s="1"/>
  <c r="J3348" i="1"/>
  <c r="R3348" i="1" s="1"/>
  <c r="J1156" i="1"/>
  <c r="R1156" i="1" s="1"/>
  <c r="J2955" i="1"/>
  <c r="R2955" i="1" s="1"/>
  <c r="J2954" i="1"/>
  <c r="R2954" i="1" s="1"/>
  <c r="J2936" i="1"/>
  <c r="R2936" i="1" s="1"/>
  <c r="J2959" i="1"/>
  <c r="R2959" i="1" s="1"/>
  <c r="J2971" i="1"/>
  <c r="R2971" i="1" s="1"/>
  <c r="J3007" i="1"/>
  <c r="R3007" i="1" s="1"/>
  <c r="J2974" i="1"/>
  <c r="R2974" i="1" s="1"/>
  <c r="J3005" i="1"/>
  <c r="R3005" i="1" s="1"/>
  <c r="J3003" i="1"/>
  <c r="R3003" i="1" s="1"/>
  <c r="J2983" i="1"/>
  <c r="R2983" i="1" s="1"/>
  <c r="J3632" i="1"/>
  <c r="R3632" i="1" s="1"/>
  <c r="J1683" i="1"/>
  <c r="R1683" i="1" s="1"/>
  <c r="J1677" i="1"/>
  <c r="R1677" i="1" s="1"/>
  <c r="J1681" i="1"/>
  <c r="R1681" i="1" s="1"/>
  <c r="J1680" i="1"/>
  <c r="R1680" i="1" s="1"/>
  <c r="J1686" i="1"/>
  <c r="R1686" i="1" s="1"/>
  <c r="J2336" i="1"/>
  <c r="R2336" i="1" s="1"/>
  <c r="J2308" i="1"/>
  <c r="R2308" i="1" s="1"/>
  <c r="J2306" i="1"/>
  <c r="R2306" i="1" s="1"/>
  <c r="J2309" i="1"/>
  <c r="R2309" i="1" s="1"/>
  <c r="J2434" i="1"/>
  <c r="R2434" i="1" s="1"/>
  <c r="J2425" i="1"/>
  <c r="R2425" i="1" s="1"/>
  <c r="J4994" i="1"/>
  <c r="R4994" i="1" s="1"/>
  <c r="J4974" i="1"/>
  <c r="R4974" i="1" s="1"/>
  <c r="J4992" i="1"/>
  <c r="R4992" i="1" s="1"/>
  <c r="J4975" i="1"/>
  <c r="R4975" i="1" s="1"/>
  <c r="J3089" i="1"/>
  <c r="R3089" i="1" s="1"/>
  <c r="J3087" i="1"/>
  <c r="R3087" i="1" s="1"/>
  <c r="J3415" i="1"/>
  <c r="R3415" i="1" s="1"/>
  <c r="J3386" i="1"/>
  <c r="R3386" i="1" s="1"/>
  <c r="J3411" i="1"/>
  <c r="R3411" i="1" s="1"/>
  <c r="J3414" i="1"/>
  <c r="R3414" i="1" s="1"/>
  <c r="J3387" i="1"/>
  <c r="R3387" i="1" s="1"/>
  <c r="J1987" i="1"/>
  <c r="R1987" i="1" s="1"/>
  <c r="J1989" i="1"/>
  <c r="R1989" i="1" s="1"/>
  <c r="J1985" i="1"/>
  <c r="R1985" i="1" s="1"/>
  <c r="J1983" i="1"/>
  <c r="R1983" i="1" s="1"/>
  <c r="J1990" i="1"/>
  <c r="R1990" i="1" s="1"/>
  <c r="J2817" i="1"/>
  <c r="R2817" i="1" s="1"/>
  <c r="J2785" i="1"/>
  <c r="R2785" i="1" s="1"/>
  <c r="J2809" i="1"/>
  <c r="R2809" i="1" s="1"/>
  <c r="J2816" i="1"/>
  <c r="R2816" i="1" s="1"/>
  <c r="J2786" i="1"/>
  <c r="R2786" i="1" s="1"/>
  <c r="J3630" i="1"/>
  <c r="R3630" i="1" s="1"/>
  <c r="J3674" i="1"/>
  <c r="R3674" i="1" s="1"/>
  <c r="J3684" i="1"/>
  <c r="R3684" i="1" s="1"/>
  <c r="J3702" i="1"/>
  <c r="R3702" i="1" s="1"/>
  <c r="J3740" i="1"/>
  <c r="R3740" i="1" s="1"/>
  <c r="J3849" i="1"/>
  <c r="R3849" i="1" s="1"/>
  <c r="J3839" i="1"/>
  <c r="R3839" i="1" s="1"/>
  <c r="J3845" i="1"/>
  <c r="R3845" i="1" s="1"/>
  <c r="J3840" i="1"/>
  <c r="R3840" i="1" s="1"/>
  <c r="J2745" i="1"/>
  <c r="R2745" i="1" s="1"/>
  <c r="J2716" i="1"/>
  <c r="R2716" i="1" s="1"/>
  <c r="J2717" i="1"/>
  <c r="R2717" i="1" s="1"/>
  <c r="J2744" i="1"/>
  <c r="R2744" i="1" s="1"/>
  <c r="J2719" i="1"/>
  <c r="R2719" i="1" s="1"/>
  <c r="J2783" i="1"/>
  <c r="R2783" i="1" s="1"/>
  <c r="J2781" i="1"/>
  <c r="R2781" i="1" s="1"/>
  <c r="J2760" i="1"/>
  <c r="R2760" i="1" s="1"/>
  <c r="J2779" i="1"/>
  <c r="R2779" i="1" s="1"/>
  <c r="J2762" i="1"/>
  <c r="R2762" i="1" s="1"/>
  <c r="J2258" i="1"/>
  <c r="R2258" i="1" s="1"/>
  <c r="J2409" i="1"/>
  <c r="R2409" i="1" s="1"/>
  <c r="J2393" i="1"/>
  <c r="R2393" i="1" s="1"/>
  <c r="J2392" i="1"/>
  <c r="R2392" i="1" s="1"/>
  <c r="J2394" i="1"/>
  <c r="R2394" i="1" s="1"/>
  <c r="J2613" i="1"/>
  <c r="R2613" i="1" s="1"/>
  <c r="J2587" i="1"/>
  <c r="R2587" i="1" s="1"/>
  <c r="J2582" i="1"/>
  <c r="R2582" i="1" s="1"/>
  <c r="J2584" i="1"/>
  <c r="R2584" i="1" s="1"/>
  <c r="J2588" i="1"/>
  <c r="R2588" i="1" s="1"/>
  <c r="J3488" i="1"/>
  <c r="R3488" i="1" s="1"/>
  <c r="J3456" i="1"/>
  <c r="R3456" i="1" s="1"/>
  <c r="J3484" i="1"/>
  <c r="R3484" i="1" s="1"/>
  <c r="J3487" i="1"/>
  <c r="R3487" i="1" s="1"/>
  <c r="J3457" i="1"/>
  <c r="R3457" i="1" s="1"/>
  <c r="J3493" i="1"/>
  <c r="R3493" i="1" s="1"/>
  <c r="J3496" i="1"/>
  <c r="R3496" i="1" s="1"/>
  <c r="J3498" i="1"/>
  <c r="R3498" i="1" s="1"/>
  <c r="J3500" i="1"/>
  <c r="R3500" i="1" s="1"/>
  <c r="J3504" i="1"/>
  <c r="R3504" i="1" s="1"/>
  <c r="J3175" i="1"/>
  <c r="R3175" i="1" s="1"/>
  <c r="J3155" i="1"/>
  <c r="R3155" i="1" s="1"/>
  <c r="J3172" i="1"/>
  <c r="R3172" i="1" s="1"/>
  <c r="J3174" i="1"/>
  <c r="R3174" i="1" s="1"/>
  <c r="J3156" i="1"/>
  <c r="R3156" i="1" s="1"/>
  <c r="J3079" i="1"/>
  <c r="R3079" i="1" s="1"/>
  <c r="J3075" i="1"/>
  <c r="R3075" i="1" s="1"/>
  <c r="J3049" i="1"/>
  <c r="R3049" i="1" s="1"/>
  <c r="J3077" i="1"/>
  <c r="R3077" i="1" s="1"/>
  <c r="J3059" i="1"/>
  <c r="R3059" i="1" s="1"/>
  <c r="J2887" i="1"/>
  <c r="R2887" i="1" s="1"/>
  <c r="J2888" i="1"/>
  <c r="R2888" i="1" s="1"/>
  <c r="J2866" i="1"/>
  <c r="R2866" i="1" s="1"/>
  <c r="J2884" i="1"/>
  <c r="R2884" i="1" s="1"/>
  <c r="J2867" i="1"/>
  <c r="R2867" i="1" s="1"/>
  <c r="J4959" i="1"/>
  <c r="R4959" i="1" s="1"/>
  <c r="J4930" i="1"/>
  <c r="R4930" i="1" s="1"/>
  <c r="J4957" i="1"/>
  <c r="R4957" i="1" s="1"/>
  <c r="J4963" i="1"/>
  <c r="R4963" i="1" s="1"/>
  <c r="J4931" i="1"/>
  <c r="R4931" i="1" s="1"/>
  <c r="J3133" i="1"/>
  <c r="R3133" i="1" s="1"/>
  <c r="J3112" i="1"/>
  <c r="R3112" i="1" s="1"/>
  <c r="J3131" i="1"/>
  <c r="R3131" i="1" s="1"/>
  <c r="J3129" i="1"/>
  <c r="R3129" i="1" s="1"/>
  <c r="J3113" i="1"/>
  <c r="R3113" i="1" s="1"/>
  <c r="J1180" i="1"/>
  <c r="R1180" i="1" s="1"/>
  <c r="J1184" i="1"/>
  <c r="R1184" i="1" s="1"/>
  <c r="J1185" i="1"/>
  <c r="R1185" i="1" s="1"/>
  <c r="J1305" i="1"/>
  <c r="R1305" i="1" s="1"/>
  <c r="J1301" i="1"/>
  <c r="R1301" i="1" s="1"/>
  <c r="J1290" i="1"/>
  <c r="R1290" i="1" s="1"/>
  <c r="J1303" i="1"/>
  <c r="R1303" i="1" s="1"/>
  <c r="J1307" i="1"/>
  <c r="R1307" i="1" s="1"/>
  <c r="J2506" i="1"/>
  <c r="R2506" i="1" s="1"/>
  <c r="J2489" i="1"/>
  <c r="R2489" i="1" s="1"/>
  <c r="J2488" i="1"/>
  <c r="R2488" i="1" s="1"/>
  <c r="J2486" i="1"/>
  <c r="R2486" i="1" s="1"/>
  <c r="J2490" i="1"/>
  <c r="R2490" i="1" s="1"/>
  <c r="J2542" i="1"/>
  <c r="R2542" i="1" s="1"/>
  <c r="J2516" i="1"/>
  <c r="R2516" i="1" s="1"/>
  <c r="J2514" i="1"/>
  <c r="R2514" i="1" s="1"/>
  <c r="J2513" i="1"/>
  <c r="R2513" i="1" s="1"/>
  <c r="J2517" i="1"/>
  <c r="R2517" i="1" s="1"/>
  <c r="J2579" i="1"/>
  <c r="R2579" i="1" s="1"/>
  <c r="J2559" i="1"/>
  <c r="R2559" i="1" s="1"/>
  <c r="J2558" i="1"/>
  <c r="R2558" i="1" s="1"/>
  <c r="J2556" i="1"/>
  <c r="R2556" i="1" s="1"/>
  <c r="J2560" i="1"/>
  <c r="R2560" i="1" s="1"/>
  <c r="J2616" i="1"/>
  <c r="R2616" i="1" s="1"/>
  <c r="J2618" i="1"/>
  <c r="R2618" i="1" s="1"/>
  <c r="J2619" i="1"/>
  <c r="R2619" i="1" s="1"/>
  <c r="J2848" i="1"/>
  <c r="R2848" i="1" s="1"/>
  <c r="J2672" i="1"/>
  <c r="R2672" i="1" s="1"/>
  <c r="J2653" i="1"/>
  <c r="R2653" i="1" s="1"/>
  <c r="J2651" i="1"/>
  <c r="R2651" i="1" s="1"/>
  <c r="J2654" i="1"/>
  <c r="R2654" i="1" s="1"/>
  <c r="J2655" i="1"/>
  <c r="R2655" i="1" s="1"/>
  <c r="J2708" i="1"/>
  <c r="R2708" i="1" s="1"/>
  <c r="J2679" i="1"/>
  <c r="R2679" i="1" s="1"/>
  <c r="J2677" i="1"/>
  <c r="R2677" i="1" s="1"/>
  <c r="J2684" i="1"/>
  <c r="R2684" i="1" s="1"/>
  <c r="J2682" i="1"/>
  <c r="R2682" i="1" s="1"/>
  <c r="J2078" i="1"/>
  <c r="R2078" i="1" s="1"/>
  <c r="J2083" i="1"/>
  <c r="R2083" i="1" s="1"/>
  <c r="J2076" i="1"/>
  <c r="R2076" i="1" s="1"/>
  <c r="J2075" i="1"/>
  <c r="R2075" i="1" s="1"/>
  <c r="J1068" i="1"/>
  <c r="R1068" i="1" s="1"/>
  <c r="J3538" i="1"/>
  <c r="R3538" i="1" s="1"/>
  <c r="J4356" i="1"/>
  <c r="R4356" i="1" s="1"/>
  <c r="Q395" i="9" s="1"/>
  <c r="J4358" i="1"/>
  <c r="R4358" i="1" s="1"/>
  <c r="J223" i="1"/>
  <c r="R223" i="1" s="1"/>
  <c r="J220" i="1"/>
  <c r="R220" i="1" s="1"/>
  <c r="J228" i="1"/>
  <c r="R228" i="1" s="1"/>
  <c r="J233" i="1"/>
  <c r="R233" i="1" s="1"/>
  <c r="J293" i="1"/>
  <c r="R293" i="1" s="1"/>
  <c r="J298" i="1"/>
  <c r="R298" i="1" s="1"/>
  <c r="J61" i="1"/>
  <c r="R61" i="1" s="1"/>
  <c r="J3729" i="1"/>
  <c r="R3729" i="1" s="1"/>
  <c r="J4366" i="1"/>
  <c r="R4366" i="1" s="1"/>
  <c r="Q398" i="9" s="1"/>
  <c r="J4369" i="1"/>
  <c r="R4369" i="1" s="1"/>
  <c r="J242" i="1"/>
  <c r="R242" i="1" s="1"/>
  <c r="J244" i="1"/>
  <c r="R244" i="1" s="1"/>
  <c r="J250" i="1"/>
  <c r="R250" i="1" s="1"/>
  <c r="J259" i="1"/>
  <c r="R259" i="1" s="1"/>
  <c r="J1090" i="1"/>
  <c r="R1090" i="1" s="1"/>
  <c r="J1125" i="1"/>
  <c r="R1125" i="1" s="1"/>
  <c r="J1798" i="1"/>
  <c r="R1798" i="1" s="1"/>
  <c r="J1833" i="1"/>
  <c r="R1833" i="1" s="1"/>
  <c r="J1883" i="1"/>
  <c r="R1883" i="1" s="1"/>
  <c r="J1914" i="1"/>
  <c r="R1914" i="1" s="1"/>
  <c r="J2013" i="1"/>
  <c r="R2013" i="1" s="1"/>
  <c r="J2048" i="1"/>
  <c r="R2048" i="1" s="1"/>
  <c r="J2241" i="1"/>
  <c r="R2241" i="1" s="1"/>
  <c r="J2428" i="1"/>
  <c r="R2428" i="1" s="1"/>
  <c r="J2892" i="1"/>
  <c r="R2892" i="1" s="1"/>
  <c r="J3009" i="1"/>
  <c r="R3009" i="1" s="1"/>
  <c r="J3608" i="1"/>
  <c r="R3608" i="1" s="1"/>
  <c r="J3677" i="1"/>
  <c r="R3677" i="1" s="1"/>
  <c r="J3708" i="1"/>
  <c r="R3708" i="1" s="1"/>
  <c r="J922" i="1"/>
  <c r="R922" i="1" s="1"/>
  <c r="J940" i="1"/>
  <c r="R940" i="1" s="1"/>
  <c r="J971" i="1"/>
  <c r="R971" i="1" s="1"/>
  <c r="J978" i="1"/>
  <c r="R978" i="1" s="1"/>
  <c r="J1224" i="1"/>
  <c r="R1224" i="1" s="1"/>
  <c r="Q1619" i="9" s="1"/>
  <c r="J1265" i="1"/>
  <c r="R1265" i="1" s="1"/>
  <c r="J1331" i="1"/>
  <c r="R1331" i="1" s="1"/>
  <c r="J1365" i="1"/>
  <c r="R1365" i="1" s="1"/>
  <c r="J1410" i="1"/>
  <c r="R1410" i="1" s="1"/>
  <c r="J1436" i="1"/>
  <c r="R1436" i="1" s="1"/>
  <c r="J1575" i="1"/>
  <c r="R1575" i="1" s="1"/>
  <c r="J75" i="1"/>
  <c r="J81" i="1"/>
  <c r="R81" i="1" s="1"/>
  <c r="J286" i="1"/>
  <c r="R286" i="1" s="1"/>
  <c r="J288" i="1"/>
  <c r="R288" i="1" s="1"/>
  <c r="J4375" i="1"/>
  <c r="R4375" i="1" s="1"/>
  <c r="J4381" i="1"/>
  <c r="R4381" i="1" s="1"/>
  <c r="J265" i="1"/>
  <c r="R265" i="1" s="1"/>
  <c r="J266" i="1"/>
  <c r="R266" i="1" s="1"/>
  <c r="J271" i="1"/>
  <c r="R271" i="1" s="1"/>
  <c r="J281" i="1"/>
  <c r="R281" i="1" s="1"/>
  <c r="J65" i="1"/>
  <c r="R65" i="1" s="1"/>
  <c r="J2829" i="1"/>
  <c r="R2829" i="1" s="1"/>
  <c r="J1058" i="1"/>
  <c r="R1058" i="1" s="1"/>
  <c r="J2055" i="1"/>
  <c r="R2055" i="1" s="1"/>
  <c r="J2103" i="1"/>
  <c r="R2103" i="1" s="1"/>
  <c r="J3042" i="1"/>
  <c r="R3042" i="1" s="1"/>
  <c r="J955" i="1"/>
  <c r="R955" i="1" s="1"/>
  <c r="J1237" i="1"/>
  <c r="R1237" i="1" s="1"/>
  <c r="J1434" i="1"/>
  <c r="R1434" i="1" s="1"/>
  <c r="J4578" i="1"/>
  <c r="R4578" i="1" s="1"/>
  <c r="J4582" i="1"/>
  <c r="R4582" i="1" s="1"/>
  <c r="J4583" i="1"/>
  <c r="R4583" i="1" s="1"/>
  <c r="J4584" i="1"/>
  <c r="R4584" i="1" s="1"/>
  <c r="J4585" i="1"/>
  <c r="R4585" i="1" s="1"/>
  <c r="J4586" i="1"/>
  <c r="R4586" i="1" s="1"/>
  <c r="J4587" i="1"/>
  <c r="R4587" i="1" s="1"/>
  <c r="J4588" i="1"/>
  <c r="R4588" i="1" s="1"/>
  <c r="J4589" i="1"/>
  <c r="R4589" i="1" s="1"/>
  <c r="J4590" i="1"/>
  <c r="R4590" i="1" s="1"/>
  <c r="J4591" i="1"/>
  <c r="R4591" i="1" s="1"/>
  <c r="J4592" i="1"/>
  <c r="R4592" i="1" s="1"/>
  <c r="J4593" i="1"/>
  <c r="R4593" i="1" s="1"/>
  <c r="J4594" i="1"/>
  <c r="R4594" i="1" s="1"/>
  <c r="J4595" i="1"/>
  <c r="R4595" i="1" s="1"/>
  <c r="J4596" i="1"/>
  <c r="R4596" i="1" s="1"/>
  <c r="J4597" i="1"/>
  <c r="R4597" i="1" s="1"/>
  <c r="J4598" i="1"/>
  <c r="R4598" i="1" s="1"/>
  <c r="J4599" i="1"/>
  <c r="R4599" i="1" s="1"/>
  <c r="J4600" i="1"/>
  <c r="R4600" i="1" s="1"/>
  <c r="J4601" i="1"/>
  <c r="R4601" i="1" s="1"/>
  <c r="J4602" i="1"/>
  <c r="R4602" i="1" s="1"/>
  <c r="J4603" i="1"/>
  <c r="R4603" i="1" s="1"/>
  <c r="J4604" i="1"/>
  <c r="R4604" i="1" s="1"/>
  <c r="J4605" i="1"/>
  <c r="R4605" i="1" s="1"/>
  <c r="J4606" i="1"/>
  <c r="R4606" i="1" s="1"/>
  <c r="J4607" i="1"/>
  <c r="R4607" i="1" s="1"/>
  <c r="J4608" i="1"/>
  <c r="R4608" i="1" s="1"/>
  <c r="J4609" i="1"/>
  <c r="R4609" i="1" s="1"/>
  <c r="J4610" i="1"/>
  <c r="R4610" i="1" s="1"/>
  <c r="J4611" i="1"/>
  <c r="R4611" i="1" s="1"/>
  <c r="J4612" i="1"/>
  <c r="R4612" i="1" s="1"/>
  <c r="J4613" i="1"/>
  <c r="R4613" i="1" s="1"/>
  <c r="J4614" i="1"/>
  <c r="R4614" i="1" s="1"/>
  <c r="J4615" i="1"/>
  <c r="R4615" i="1" s="1"/>
  <c r="J4616" i="1"/>
  <c r="R4616" i="1" s="1"/>
  <c r="J4617" i="1"/>
  <c r="R4617" i="1" s="1"/>
  <c r="J4618" i="1"/>
  <c r="R4618" i="1" s="1"/>
  <c r="J4619" i="1"/>
  <c r="R4619" i="1" s="1"/>
  <c r="J4620" i="1"/>
  <c r="R4620" i="1" s="1"/>
  <c r="J4621" i="1"/>
  <c r="R4621" i="1" s="1"/>
  <c r="J4622" i="1"/>
  <c r="R4622" i="1" s="1"/>
  <c r="J4623" i="1"/>
  <c r="R4623" i="1" s="1"/>
  <c r="J4624" i="1"/>
  <c r="R4624" i="1" s="1"/>
  <c r="J4625" i="1"/>
  <c r="R4625" i="1" s="1"/>
  <c r="J4626" i="1"/>
  <c r="R4626" i="1" s="1"/>
  <c r="J4627" i="1"/>
  <c r="R4627" i="1" s="1"/>
  <c r="J4628" i="1"/>
  <c r="R4628" i="1" s="1"/>
  <c r="J4629" i="1"/>
  <c r="R4629" i="1" s="1"/>
  <c r="J4630" i="1"/>
  <c r="R4630" i="1" s="1"/>
  <c r="J4633" i="1"/>
  <c r="R4633" i="1" s="1"/>
  <c r="J4634" i="1"/>
  <c r="R4634" i="1" s="1"/>
  <c r="J4635" i="1"/>
  <c r="R4635" i="1" s="1"/>
  <c r="J4636" i="1"/>
  <c r="R4636" i="1" s="1"/>
  <c r="J4637" i="1"/>
  <c r="R4637" i="1" s="1"/>
  <c r="J4638" i="1"/>
  <c r="R4638" i="1" s="1"/>
  <c r="J4639" i="1"/>
  <c r="R4639" i="1" s="1"/>
  <c r="J4640" i="1"/>
  <c r="R4640" i="1" s="1"/>
  <c r="J8" i="1"/>
  <c r="R8" i="1" s="1"/>
  <c r="J532" i="1"/>
  <c r="R532" i="1" s="1"/>
  <c r="J1067" i="1"/>
  <c r="R1067" i="1" s="1"/>
  <c r="J4889" i="1"/>
  <c r="R4889" i="1" s="1"/>
  <c r="J4899" i="1"/>
  <c r="R4899" i="1" s="1"/>
  <c r="J1099" i="1"/>
  <c r="R1099" i="1" s="1"/>
  <c r="J1840" i="1"/>
  <c r="R1840" i="1" s="1"/>
  <c r="J1888" i="1"/>
  <c r="R1888" i="1" s="1"/>
  <c r="J62" i="1"/>
  <c r="R62" i="1" s="1"/>
  <c r="J3745" i="1"/>
  <c r="R3745" i="1" s="1"/>
  <c r="J3730" i="1"/>
  <c r="R3730" i="1" s="1"/>
  <c r="J1134" i="1"/>
  <c r="R1134" i="1" s="1"/>
  <c r="J3606" i="1"/>
  <c r="R3606" i="1" s="1"/>
  <c r="J1583" i="1"/>
  <c r="R1583" i="1" s="1"/>
  <c r="J1913" i="1"/>
  <c r="R1913" i="1" s="1"/>
  <c r="J2011" i="1"/>
  <c r="R2011" i="1" s="1"/>
  <c r="J3008" i="1"/>
  <c r="R3008" i="1" s="1"/>
  <c r="J961" i="1"/>
  <c r="R961" i="1" s="1"/>
  <c r="J993" i="1"/>
  <c r="R993" i="1" s="1"/>
  <c r="J1019" i="1"/>
  <c r="R1019" i="1" s="1"/>
  <c r="J1796" i="1"/>
  <c r="R1796" i="1" s="1"/>
  <c r="J2853" i="1"/>
  <c r="R2853" i="1" s="1"/>
  <c r="J2894" i="1"/>
  <c r="R2894" i="1" s="1"/>
  <c r="J920" i="1"/>
  <c r="R920" i="1" s="1"/>
  <c r="J1170" i="1"/>
  <c r="R1170" i="1" s="1"/>
  <c r="Q1608" i="9" s="1"/>
  <c r="J1271" i="1"/>
  <c r="R1271" i="1" s="1"/>
  <c r="J1343" i="1"/>
  <c r="R1343" i="1" s="1"/>
  <c r="J1372" i="1"/>
  <c r="R1372" i="1" s="1"/>
  <c r="J1409" i="1"/>
  <c r="R1409" i="1" s="1"/>
  <c r="J4036" i="1"/>
  <c r="R4036" i="1" s="1"/>
  <c r="J4040" i="1"/>
  <c r="R4040" i="1" s="1"/>
  <c r="J4041" i="1"/>
  <c r="R4041" i="1" s="1"/>
  <c r="J4042" i="1"/>
  <c r="R4042" i="1" s="1"/>
  <c r="J4043" i="1"/>
  <c r="R4043" i="1" s="1"/>
  <c r="J4044" i="1"/>
  <c r="R4044" i="1" s="1"/>
  <c r="J4045" i="1"/>
  <c r="R4045" i="1" s="1"/>
  <c r="J4046" i="1"/>
  <c r="R4046" i="1" s="1"/>
  <c r="J4047" i="1"/>
  <c r="R4047" i="1" s="1"/>
  <c r="J4048" i="1"/>
  <c r="R4048" i="1" s="1"/>
  <c r="J4049" i="1"/>
  <c r="R4049" i="1" s="1"/>
  <c r="J4050" i="1"/>
  <c r="R4050" i="1" s="1"/>
  <c r="J4051" i="1"/>
  <c r="R4051" i="1" s="1"/>
  <c r="J4052" i="1"/>
  <c r="R4052" i="1" s="1"/>
  <c r="J4053" i="1"/>
  <c r="R4053" i="1" s="1"/>
  <c r="J4054" i="1"/>
  <c r="R4054" i="1" s="1"/>
  <c r="J4055" i="1"/>
  <c r="R4055" i="1" s="1"/>
  <c r="J4056" i="1"/>
  <c r="R4056" i="1" s="1"/>
  <c r="J4057" i="1"/>
  <c r="R4057" i="1" s="1"/>
  <c r="J4058" i="1"/>
  <c r="R4058" i="1" s="1"/>
  <c r="J4059" i="1"/>
  <c r="R4059" i="1" s="1"/>
  <c r="J4060" i="1"/>
  <c r="R4060" i="1" s="1"/>
  <c r="J4061" i="1"/>
  <c r="R4061" i="1" s="1"/>
  <c r="J4062" i="1"/>
  <c r="R4062" i="1" s="1"/>
  <c r="J4063" i="1"/>
  <c r="R4063" i="1" s="1"/>
  <c r="J4064" i="1"/>
  <c r="R4064" i="1" s="1"/>
  <c r="J4065" i="1"/>
  <c r="R4065" i="1" s="1"/>
  <c r="J4066" i="1"/>
  <c r="R4066" i="1" s="1"/>
  <c r="J4067" i="1"/>
  <c r="R4067" i="1" s="1"/>
  <c r="J4068" i="1"/>
  <c r="R4068" i="1" s="1"/>
  <c r="J4069" i="1"/>
  <c r="R4069" i="1" s="1"/>
  <c r="J4070" i="1"/>
  <c r="R4070" i="1" s="1"/>
  <c r="J4071" i="1"/>
  <c r="R4071" i="1" s="1"/>
  <c r="J4072" i="1"/>
  <c r="R4072" i="1" s="1"/>
  <c r="J4073" i="1"/>
  <c r="R4073" i="1" s="1"/>
  <c r="J4074" i="1"/>
  <c r="R4074" i="1" s="1"/>
  <c r="J4075" i="1"/>
  <c r="R4075" i="1" s="1"/>
  <c r="J4076" i="1"/>
  <c r="R4076" i="1" s="1"/>
  <c r="J4077" i="1"/>
  <c r="R4077" i="1" s="1"/>
  <c r="J4078" i="1"/>
  <c r="R4078" i="1" s="1"/>
  <c r="J4079" i="1"/>
  <c r="R4079" i="1" s="1"/>
  <c r="J4080" i="1"/>
  <c r="R4080" i="1" s="1"/>
  <c r="J4081" i="1"/>
  <c r="R4081" i="1" s="1"/>
  <c r="J4082" i="1"/>
  <c r="R4082" i="1" s="1"/>
  <c r="J4083" i="1"/>
  <c r="R4083" i="1" s="1"/>
  <c r="J4084" i="1"/>
  <c r="R4084" i="1" s="1"/>
  <c r="J4085" i="1"/>
  <c r="R4085" i="1" s="1"/>
  <c r="J4086" i="1"/>
  <c r="R4086" i="1" s="1"/>
  <c r="J4087" i="1"/>
  <c r="R4087" i="1" s="1"/>
  <c r="J4088" i="1"/>
  <c r="R4088" i="1" s="1"/>
  <c r="J4091" i="1"/>
  <c r="R4091" i="1" s="1"/>
  <c r="J4092" i="1"/>
  <c r="R4092" i="1" s="1"/>
  <c r="J4093" i="1"/>
  <c r="R4093" i="1" s="1"/>
  <c r="J4094" i="1"/>
  <c r="R4094" i="1" s="1"/>
  <c r="J4095" i="1"/>
  <c r="R4095" i="1" s="1"/>
  <c r="J4096" i="1"/>
  <c r="R4096" i="1" s="1"/>
  <c r="J4097" i="1"/>
  <c r="R4097" i="1" s="1"/>
  <c r="J4098" i="1"/>
  <c r="R4098" i="1" s="1"/>
  <c r="J2824" i="1"/>
  <c r="R2824" i="1" s="1"/>
  <c r="J2128" i="1"/>
  <c r="R2128" i="1" s="1"/>
  <c r="J3558" i="1"/>
  <c r="R3558" i="1" s="1"/>
  <c r="J873" i="1"/>
  <c r="R873" i="1" s="1"/>
  <c r="J880" i="1"/>
  <c r="R880" i="1" s="1"/>
  <c r="J902" i="1"/>
  <c r="R902" i="1" s="1"/>
  <c r="J780" i="1"/>
  <c r="R780" i="1" s="1"/>
  <c r="J799" i="1"/>
  <c r="R799" i="1" s="1"/>
  <c r="J896" i="1"/>
  <c r="R896" i="1" s="1"/>
  <c r="Q1125" i="9" s="1"/>
  <c r="J856" i="1"/>
  <c r="R856" i="1" s="1"/>
  <c r="J858" i="1"/>
  <c r="R858" i="1" s="1"/>
  <c r="J890" i="1"/>
  <c r="R890" i="1" s="1"/>
  <c r="J787" i="1"/>
  <c r="R787" i="1" s="1"/>
  <c r="J792" i="1"/>
  <c r="R792" i="1" s="1"/>
  <c r="J830" i="1"/>
  <c r="R830" i="1" s="1"/>
  <c r="J838" i="1"/>
  <c r="R838" i="1" s="1"/>
  <c r="J2904" i="1"/>
  <c r="R2904" i="1" s="1"/>
  <c r="J2922" i="1"/>
  <c r="R2922" i="1" s="1"/>
  <c r="J807" i="1"/>
  <c r="R807" i="1" s="1"/>
  <c r="J813" i="1"/>
  <c r="R813" i="1" s="1"/>
  <c r="J819" i="1"/>
  <c r="R819" i="1" s="1"/>
  <c r="J827" i="1"/>
  <c r="R827" i="1" s="1"/>
  <c r="J885" i="1"/>
  <c r="R885" i="1" s="1"/>
  <c r="J2239" i="1"/>
  <c r="R2239" i="1" s="1"/>
  <c r="J847" i="1"/>
  <c r="R847" i="1" s="1"/>
  <c r="J3741" i="1"/>
  <c r="R3741" i="1" s="1"/>
  <c r="J1089" i="1"/>
  <c r="R1089" i="1" s="1"/>
  <c r="J4902" i="1"/>
  <c r="R4902" i="1" s="1"/>
  <c r="J4913" i="1"/>
  <c r="R4913" i="1" s="1"/>
  <c r="J1123" i="1"/>
  <c r="R1123" i="1" s="1"/>
  <c r="J1793" i="1"/>
  <c r="R1793" i="1" s="1"/>
  <c r="J1828" i="1"/>
  <c r="R1828" i="1" s="1"/>
  <c r="J1879" i="1"/>
  <c r="R1879" i="1" s="1"/>
  <c r="J1909" i="1"/>
  <c r="R1909" i="1" s="1"/>
  <c r="J2008" i="1"/>
  <c r="R2008" i="1" s="1"/>
  <c r="J2043" i="1"/>
  <c r="R2043" i="1" s="1"/>
  <c r="J2144" i="1"/>
  <c r="R2144" i="1" s="1"/>
  <c r="J2427" i="1"/>
  <c r="R2427" i="1" s="1"/>
  <c r="J2934" i="1"/>
  <c r="R2934" i="1" s="1"/>
  <c r="J3039" i="1"/>
  <c r="R3039" i="1" s="1"/>
  <c r="J917" i="1"/>
  <c r="R917" i="1" s="1"/>
  <c r="J954" i="1"/>
  <c r="R954" i="1" s="1"/>
  <c r="J1234" i="1"/>
  <c r="R1234" i="1" s="1"/>
  <c r="Q1613" i="9" s="1"/>
  <c r="J1262" i="1"/>
  <c r="R1262" i="1" s="1"/>
  <c r="J1340" i="1"/>
  <c r="R1340" i="1" s="1"/>
  <c r="J1360" i="1"/>
  <c r="R1360" i="1" s="1"/>
  <c r="J1406" i="1"/>
  <c r="R1406" i="1" s="1"/>
  <c r="J1431" i="1"/>
  <c r="R1431" i="1" s="1"/>
  <c r="J1570" i="1"/>
  <c r="R1570" i="1" s="1"/>
  <c r="J418" i="1"/>
  <c r="R418" i="1" s="1"/>
  <c r="J439" i="1"/>
  <c r="R439" i="1" s="1"/>
  <c r="J523" i="1"/>
  <c r="R523" i="1" s="1"/>
  <c r="J495" i="1"/>
  <c r="R495" i="1" s="1"/>
  <c r="J502" i="1"/>
  <c r="R502" i="1" s="1"/>
  <c r="J516" i="1"/>
  <c r="R516" i="1" s="1"/>
  <c r="J3703" i="1"/>
  <c r="R3703" i="1" s="1"/>
  <c r="J425" i="1"/>
  <c r="R425" i="1" s="1"/>
  <c r="J432" i="1"/>
  <c r="R432" i="1" s="1"/>
  <c r="J474" i="1"/>
  <c r="R474" i="1" s="1"/>
  <c r="J482" i="1"/>
  <c r="J446" i="1"/>
  <c r="R446" i="1" s="1"/>
  <c r="J453" i="1"/>
  <c r="R453" i="1" s="1"/>
  <c r="J460" i="1"/>
  <c r="R460" i="1" s="1"/>
  <c r="J467" i="1"/>
  <c r="R467" i="1" s="1"/>
  <c r="J510" i="1"/>
  <c r="R510" i="1" s="1"/>
  <c r="J489" i="1"/>
  <c r="R489" i="1" s="1"/>
  <c r="J2850" i="1"/>
  <c r="R2850" i="1" s="1"/>
  <c r="J1063" i="1"/>
  <c r="R1063" i="1" s="1"/>
  <c r="J2100" i="1"/>
  <c r="R2100" i="1" s="1"/>
  <c r="J2126" i="1"/>
  <c r="R2126" i="1" s="1"/>
  <c r="J3560" i="1"/>
  <c r="R3560" i="1" s="1"/>
  <c r="J724" i="1"/>
  <c r="R724" i="1" s="1"/>
  <c r="J730" i="1"/>
  <c r="R730" i="1" s="1"/>
  <c r="J758" i="1"/>
  <c r="R758" i="1" s="1"/>
  <c r="J764" i="1"/>
  <c r="R764" i="1" s="1"/>
  <c r="J769" i="1"/>
  <c r="R769" i="1" s="1"/>
  <c r="J749" i="1"/>
  <c r="R749" i="1" s="1"/>
  <c r="J740" i="1"/>
  <c r="R740" i="1" s="1"/>
  <c r="R680" i="1"/>
  <c r="R685" i="1"/>
  <c r="J692" i="1"/>
  <c r="R692" i="1" s="1"/>
  <c r="J699" i="1"/>
  <c r="R699" i="1" s="1"/>
  <c r="R708" i="1"/>
  <c r="Q839" i="9" s="1"/>
  <c r="J2237" i="1"/>
  <c r="R2237" i="1" s="1"/>
  <c r="J715" i="1"/>
  <c r="R715" i="1" s="1"/>
  <c r="J1359" i="1"/>
  <c r="R1359" i="1" s="1"/>
  <c r="J1404" i="1"/>
  <c r="R1404" i="1" s="1"/>
  <c r="J1430" i="1"/>
  <c r="R1430" i="1" s="1"/>
  <c r="J988" i="1"/>
  <c r="R988" i="1" s="1"/>
  <c r="J1010" i="1"/>
  <c r="R1010" i="1" s="1"/>
  <c r="J1036" i="1"/>
  <c r="R1036" i="1" s="1"/>
  <c r="J4909" i="1"/>
  <c r="R4909" i="1" s="1"/>
  <c r="J1792" i="1"/>
  <c r="R1792" i="1" s="1"/>
  <c r="J1827" i="1"/>
  <c r="R1827" i="1" s="1"/>
  <c r="J1877" i="1"/>
  <c r="R1877" i="1" s="1"/>
  <c r="J1908" i="1"/>
  <c r="R1908" i="1" s="1"/>
  <c r="J2007" i="1"/>
  <c r="R2007" i="1" s="1"/>
  <c r="J2042" i="1"/>
  <c r="R2042" i="1" s="1"/>
  <c r="J2142" i="1"/>
  <c r="R2142" i="1" s="1"/>
  <c r="J2454" i="1"/>
  <c r="R2454" i="1" s="1"/>
  <c r="J4998" i="1"/>
  <c r="R4998" i="1" s="1"/>
  <c r="Q1304" i="9" s="1"/>
  <c r="J2906" i="1"/>
  <c r="R2906" i="1" s="1"/>
  <c r="J3038" i="1"/>
  <c r="R3038" i="1" s="1"/>
  <c r="J3269" i="1"/>
  <c r="R3269" i="1" s="1"/>
  <c r="J950" i="1"/>
  <c r="R950" i="1" s="1"/>
  <c r="J1229" i="1"/>
  <c r="R1229" i="1" s="1"/>
  <c r="Q1615" i="9" s="1"/>
  <c r="J1259" i="1"/>
  <c r="R1259" i="1" s="1"/>
  <c r="J1337" i="1"/>
  <c r="R1337" i="1" s="1"/>
  <c r="J370" i="1"/>
  <c r="R370" i="1" s="1"/>
  <c r="J378" i="1"/>
  <c r="R378" i="1" s="1"/>
  <c r="J23" i="1"/>
  <c r="R23" i="1" s="1"/>
  <c r="J398" i="1"/>
  <c r="R398" i="1" s="1"/>
  <c r="Q591" i="9" s="1"/>
  <c r="J405" i="1"/>
  <c r="R405" i="1" s="1"/>
  <c r="Q603" i="9" s="1"/>
  <c r="J412" i="1"/>
  <c r="R412" i="1" s="1"/>
  <c r="J388" i="1"/>
  <c r="R388" i="1" s="1"/>
  <c r="Q579" i="9" s="1"/>
  <c r="J304" i="1"/>
  <c r="R304" i="1" s="1"/>
  <c r="J312" i="1"/>
  <c r="R312" i="1" s="1"/>
  <c r="J319" i="1"/>
  <c r="R319" i="1" s="1"/>
  <c r="J326" i="1"/>
  <c r="R326" i="1" s="1"/>
  <c r="J335" i="1"/>
  <c r="R335" i="1" s="1"/>
  <c r="J342" i="1"/>
  <c r="R342" i="1" s="1"/>
  <c r="J349" i="1"/>
  <c r="R349" i="1" s="1"/>
  <c r="J356" i="1"/>
  <c r="R356" i="1" s="1"/>
  <c r="J363" i="1"/>
  <c r="R363" i="1" s="1"/>
  <c r="J2852" i="1"/>
  <c r="R2852" i="1" s="1"/>
  <c r="J1059" i="1"/>
  <c r="R1059" i="1" s="1"/>
  <c r="J2106" i="1"/>
  <c r="R2106" i="1" s="1"/>
  <c r="J3542" i="1"/>
  <c r="R3542" i="1" s="1"/>
  <c r="J942" i="1"/>
  <c r="R942" i="1" s="1"/>
  <c r="J1268" i="1"/>
  <c r="R1268" i="1" s="1"/>
  <c r="J1580" i="1"/>
  <c r="R1580" i="1" s="1"/>
  <c r="J216" i="1"/>
  <c r="R216" i="1" s="1"/>
  <c r="J562" i="1"/>
  <c r="R562" i="1" s="1"/>
  <c r="J571" i="1"/>
  <c r="R571" i="1" s="1"/>
  <c r="J578" i="1"/>
  <c r="R578" i="1" s="1"/>
  <c r="J586" i="1"/>
  <c r="R586" i="1" s="1"/>
  <c r="J597" i="1"/>
  <c r="R597" i="1" s="1"/>
  <c r="J604" i="1"/>
  <c r="R604" i="1" s="1"/>
  <c r="J644" i="1"/>
  <c r="R644" i="1" s="1"/>
  <c r="J654" i="1"/>
  <c r="R654" i="1" s="1"/>
  <c r="J663" i="1"/>
  <c r="R663" i="1" s="1"/>
  <c r="J2242" i="1"/>
  <c r="R2242" i="1" s="1"/>
  <c r="J615" i="1"/>
  <c r="R615" i="1" s="1"/>
  <c r="J621" i="1"/>
  <c r="R621" i="1" s="1"/>
  <c r="J629" i="1"/>
  <c r="R629" i="1" s="1"/>
  <c r="J637" i="1"/>
  <c r="R637" i="1" s="1"/>
  <c r="J66" i="1"/>
  <c r="R66" i="1" s="1"/>
  <c r="J67" i="1"/>
  <c r="R67" i="1" s="1"/>
  <c r="J68" i="1"/>
  <c r="R68" i="1" s="1"/>
  <c r="J69" i="1"/>
  <c r="R69" i="1" s="1"/>
  <c r="J1165" i="1"/>
  <c r="R1165" i="1" s="1"/>
  <c r="J3601" i="1"/>
  <c r="R3601" i="1" s="1"/>
  <c r="J1095" i="1"/>
  <c r="R1095" i="1" s="1"/>
  <c r="J4914" i="1"/>
  <c r="R4914" i="1" s="1"/>
  <c r="J1130" i="1"/>
  <c r="R1130" i="1" s="1"/>
  <c r="J1803" i="1"/>
  <c r="R1803" i="1" s="1"/>
  <c r="J2018" i="1"/>
  <c r="R2018" i="1" s="1"/>
  <c r="J2053" i="1"/>
  <c r="R2053" i="1" s="1"/>
  <c r="J2432" i="1"/>
  <c r="R2432" i="1" s="1"/>
  <c r="J3014" i="1"/>
  <c r="R3014" i="1" s="1"/>
  <c r="J987" i="1"/>
  <c r="R987" i="1" s="1"/>
  <c r="J1009" i="1"/>
  <c r="R1009" i="1" s="1"/>
  <c r="J1031" i="1"/>
  <c r="R1031" i="1" s="1"/>
  <c r="J4903" i="1"/>
  <c r="R4903" i="1" s="1"/>
  <c r="J1838" i="1"/>
  <c r="R1838" i="1" s="1"/>
  <c r="J1865" i="1"/>
  <c r="R1865" i="1" s="1"/>
  <c r="J1899" i="1"/>
  <c r="R1899" i="1" s="1"/>
  <c r="J2893" i="1"/>
  <c r="R2893" i="1" s="1"/>
  <c r="J2913" i="1"/>
  <c r="R2913" i="1" s="1"/>
  <c r="J912" i="1"/>
  <c r="R912" i="1" s="1"/>
  <c r="J1226" i="1"/>
  <c r="R1226" i="1" s="1"/>
  <c r="Q1611" i="9" s="1"/>
  <c r="J1346" i="1"/>
  <c r="R1346" i="1" s="1"/>
  <c r="J1370" i="1"/>
  <c r="R1370" i="1" s="1"/>
  <c r="J1414" i="1"/>
  <c r="R1414" i="1" s="1"/>
  <c r="J1441" i="1"/>
  <c r="R1441" i="1" s="1"/>
  <c r="J82" i="1"/>
  <c r="R82" i="1" s="1"/>
  <c r="J91" i="1"/>
  <c r="R91" i="1" s="1"/>
  <c r="J107" i="1"/>
  <c r="R107" i="1" s="1"/>
  <c r="J109" i="1"/>
  <c r="R109" i="1" s="1"/>
  <c r="J117" i="1"/>
  <c r="R117" i="1" s="1"/>
  <c r="J126" i="1"/>
  <c r="R126" i="1" s="1"/>
  <c r="J134" i="1"/>
  <c r="R134" i="1" s="1"/>
  <c r="Q460" i="9" s="1"/>
  <c r="J143" i="1"/>
  <c r="R143" i="1" s="1"/>
  <c r="J151" i="1"/>
  <c r="R151" i="1" s="1"/>
  <c r="J160" i="1"/>
  <c r="R160" i="1" s="1"/>
  <c r="J2105" i="1"/>
  <c r="R2105" i="1" s="1"/>
  <c r="J3096" i="1"/>
  <c r="R3096" i="1" s="1"/>
  <c r="J1715" i="1"/>
  <c r="R1715" i="1" s="1"/>
  <c r="J1721" i="1"/>
  <c r="R1721" i="1" s="1"/>
  <c r="J1716" i="1"/>
  <c r="R1716" i="1" s="1"/>
  <c r="J1723" i="1"/>
  <c r="R1723" i="1" s="1"/>
  <c r="J1730" i="1"/>
  <c r="R1730" i="1" s="1"/>
  <c r="J1717" i="1"/>
  <c r="R1717" i="1" s="1"/>
  <c r="J1751" i="1"/>
  <c r="R1751" i="1" s="1"/>
  <c r="J1731" i="1"/>
  <c r="R1731" i="1" s="1"/>
  <c r="J1732" i="1"/>
  <c r="R1732" i="1" s="1"/>
  <c r="J1733" i="1"/>
  <c r="R1733" i="1" s="1"/>
  <c r="J1734" i="1"/>
  <c r="R1734" i="1" s="1"/>
  <c r="J1735" i="1"/>
  <c r="R1735" i="1" s="1"/>
  <c r="J1736" i="1"/>
  <c r="R1736" i="1" s="1"/>
  <c r="J1737" i="1"/>
  <c r="R1737" i="1" s="1"/>
  <c r="J1738" i="1"/>
  <c r="R1738" i="1" s="1"/>
  <c r="J1739" i="1"/>
  <c r="R1739" i="1" s="1"/>
  <c r="J1740" i="1"/>
  <c r="R1740" i="1" s="1"/>
  <c r="J1741" i="1"/>
  <c r="R1741" i="1" s="1"/>
  <c r="J1742" i="1"/>
  <c r="R1742" i="1" s="1"/>
  <c r="J1743" i="1"/>
  <c r="R1743" i="1" s="1"/>
  <c r="J1744" i="1"/>
  <c r="R1744" i="1" s="1"/>
  <c r="J1745" i="1"/>
  <c r="R1745" i="1" s="1"/>
  <c r="J1746" i="1"/>
  <c r="R1746" i="1" s="1"/>
  <c r="J1747" i="1"/>
  <c r="R1747" i="1" s="1"/>
  <c r="J1726" i="1"/>
  <c r="R1726" i="1" s="1"/>
  <c r="J1727" i="1"/>
  <c r="R1727" i="1" s="1"/>
  <c r="J1748" i="1"/>
  <c r="R1748" i="1" s="1"/>
  <c r="J1749" i="1"/>
  <c r="R1749" i="1" s="1"/>
  <c r="J1750" i="1"/>
  <c r="R1750" i="1" s="1"/>
  <c r="J2339" i="1"/>
  <c r="R2339" i="1" s="1"/>
  <c r="J2341" i="1"/>
  <c r="R2341" i="1" s="1"/>
  <c r="J2345" i="1"/>
  <c r="R2345" i="1" s="1"/>
  <c r="J2346" i="1"/>
  <c r="R2346" i="1" s="1"/>
  <c r="J2347" i="1"/>
  <c r="R2347" i="1" s="1"/>
  <c r="J2348" i="1"/>
  <c r="R2348" i="1" s="1"/>
  <c r="J2349" i="1"/>
  <c r="R2349" i="1" s="1"/>
  <c r="J2350" i="1"/>
  <c r="R2350" i="1" s="1"/>
  <c r="J2351" i="1"/>
  <c r="R2351" i="1" s="1"/>
  <c r="J2352" i="1"/>
  <c r="R2352" i="1" s="1"/>
  <c r="J2353" i="1"/>
  <c r="R2353" i="1" s="1"/>
  <c r="J2354" i="1"/>
  <c r="R2354" i="1" s="1"/>
  <c r="J2355" i="1"/>
  <c r="R2355" i="1" s="1"/>
  <c r="J2356" i="1"/>
  <c r="R2356" i="1" s="1"/>
  <c r="J2357" i="1"/>
  <c r="R2357" i="1" s="1"/>
  <c r="J2358" i="1"/>
  <c r="R2358" i="1" s="1"/>
  <c r="J2359" i="1"/>
  <c r="R2359" i="1" s="1"/>
  <c r="J2360" i="1"/>
  <c r="R2360" i="1" s="1"/>
  <c r="J2361" i="1"/>
  <c r="R2361" i="1" s="1"/>
  <c r="J2362" i="1"/>
  <c r="R2362" i="1" s="1"/>
  <c r="J2363" i="1"/>
  <c r="R2363" i="1" s="1"/>
  <c r="J2364" i="1"/>
  <c r="R2364" i="1" s="1"/>
  <c r="J2365" i="1"/>
  <c r="R2365" i="1" s="1"/>
  <c r="J2366" i="1"/>
  <c r="R2366" i="1" s="1"/>
  <c r="J2367" i="1"/>
  <c r="R2367" i="1" s="1"/>
  <c r="J2368" i="1"/>
  <c r="R2368" i="1" s="1"/>
  <c r="J2369" i="1"/>
  <c r="R2369" i="1" s="1"/>
  <c r="J3639" i="1"/>
  <c r="R3639" i="1" s="1"/>
  <c r="J3640" i="1"/>
  <c r="R3640" i="1" s="1"/>
  <c r="J3641" i="1"/>
  <c r="R3641" i="1" s="1"/>
  <c r="J3642" i="1"/>
  <c r="R3642" i="1" s="1"/>
  <c r="J3643" i="1"/>
  <c r="R3643" i="1" s="1"/>
  <c r="J3644" i="1"/>
  <c r="R3644" i="1" s="1"/>
  <c r="J3645" i="1"/>
  <c r="R3645" i="1" s="1"/>
  <c r="J3646" i="1"/>
  <c r="R3646" i="1" s="1"/>
  <c r="J3647" i="1"/>
  <c r="R3647" i="1" s="1"/>
  <c r="J3648" i="1"/>
  <c r="R3648" i="1" s="1"/>
  <c r="J3649" i="1"/>
  <c r="R3649" i="1" s="1"/>
  <c r="J3650" i="1"/>
  <c r="R3650" i="1" s="1"/>
  <c r="J3651" i="1"/>
  <c r="R3651" i="1" s="1"/>
  <c r="J3652" i="1"/>
  <c r="R3652" i="1" s="1"/>
  <c r="J3653" i="1"/>
  <c r="R3653" i="1" s="1"/>
  <c r="J3654" i="1"/>
  <c r="R3654" i="1" s="1"/>
  <c r="J3655" i="1"/>
  <c r="R3655" i="1" s="1"/>
  <c r="J3656" i="1"/>
  <c r="R3656" i="1" s="1"/>
  <c r="J3657" i="1"/>
  <c r="R3657" i="1" s="1"/>
  <c r="J3658" i="1"/>
  <c r="R3658" i="1" s="1"/>
  <c r="J3670" i="1"/>
  <c r="R3670" i="1" s="1"/>
  <c r="J3672" i="1"/>
  <c r="R3672" i="1" s="1"/>
  <c r="J3659" i="1"/>
  <c r="R3659" i="1" s="1"/>
  <c r="J3660" i="1"/>
  <c r="R3660" i="1" s="1"/>
  <c r="J3671" i="1"/>
  <c r="R3671" i="1" s="1"/>
  <c r="J3666" i="1"/>
  <c r="R3666" i="1" s="1"/>
  <c r="J3661" i="1"/>
  <c r="R3661" i="1" s="1"/>
  <c r="J3662" i="1"/>
  <c r="R3662" i="1" s="1"/>
  <c r="J3663" i="1"/>
  <c r="R3663" i="1" s="1"/>
  <c r="J3748" i="1"/>
  <c r="R3748" i="1" s="1"/>
  <c r="J3749" i="1"/>
  <c r="R3749" i="1" s="1"/>
  <c r="J3750" i="1"/>
  <c r="R3750" i="1" s="1"/>
  <c r="J3751" i="1"/>
  <c r="R3751" i="1" s="1"/>
  <c r="J3752" i="1"/>
  <c r="R3752" i="1" s="1"/>
  <c r="J3753" i="1"/>
  <c r="R3753" i="1" s="1"/>
  <c r="J3754" i="1"/>
  <c r="R3754" i="1" s="1"/>
  <c r="J3755" i="1"/>
  <c r="R3755" i="1" s="1"/>
  <c r="J3756" i="1"/>
  <c r="R3756" i="1" s="1"/>
  <c r="J3757" i="1"/>
  <c r="R3757" i="1" s="1"/>
  <c r="J3758" i="1"/>
  <c r="R3758" i="1" s="1"/>
  <c r="J3759" i="1"/>
  <c r="R3759" i="1" s="1"/>
  <c r="J3760" i="1"/>
  <c r="R3760" i="1" s="1"/>
  <c r="J3761" i="1"/>
  <c r="R3761" i="1" s="1"/>
  <c r="J3762" i="1"/>
  <c r="R3762" i="1" s="1"/>
  <c r="J3763" i="1"/>
  <c r="R3763" i="1" s="1"/>
  <c r="J3764" i="1"/>
  <c r="R3764" i="1" s="1"/>
  <c r="J3765" i="1"/>
  <c r="R3765" i="1" s="1"/>
  <c r="J3766" i="1"/>
  <c r="R3766" i="1" s="1"/>
  <c r="J3767" i="1"/>
  <c r="R3767" i="1" s="1"/>
  <c r="J3779" i="1"/>
  <c r="R3779" i="1" s="1"/>
  <c r="J3780" i="1"/>
  <c r="R3780" i="1" s="1"/>
  <c r="J3768" i="1"/>
  <c r="R3768" i="1" s="1"/>
  <c r="J3769" i="1"/>
  <c r="R3769" i="1" s="1"/>
  <c r="J3777" i="1"/>
  <c r="R3777" i="1" s="1"/>
  <c r="J3774" i="1"/>
  <c r="R3774" i="1" s="1"/>
  <c r="J3770" i="1"/>
  <c r="R3770" i="1" s="1"/>
  <c r="J3771" i="1"/>
  <c r="R3771" i="1" s="1"/>
  <c r="J1480" i="1"/>
  <c r="R1480" i="1" s="1"/>
  <c r="J1471" i="1"/>
  <c r="R1471" i="1" s="1"/>
  <c r="J1484" i="1"/>
  <c r="R1484" i="1" s="1"/>
  <c r="J1464" i="1"/>
  <c r="R1464" i="1" s="1"/>
  <c r="J1482" i="1"/>
  <c r="R1482" i="1" s="1"/>
  <c r="J1465" i="1"/>
  <c r="R1465" i="1" s="1"/>
  <c r="J1474" i="1"/>
  <c r="R1474" i="1" s="1"/>
  <c r="J1472" i="1"/>
  <c r="R1472" i="1" s="1"/>
  <c r="J1469" i="1"/>
  <c r="R1469" i="1" s="1"/>
  <c r="J1473" i="1"/>
  <c r="R1473" i="1" s="1"/>
  <c r="J1470" i="1"/>
  <c r="R1470" i="1" s="1"/>
  <c r="J1500" i="1"/>
  <c r="R1500" i="1" s="1"/>
  <c r="J1475" i="1"/>
  <c r="R1475" i="1" s="1"/>
  <c r="J1466" i="1"/>
  <c r="R1466" i="1" s="1"/>
  <c r="J1477" i="1"/>
  <c r="R1477" i="1" s="1"/>
  <c r="J1489" i="1"/>
  <c r="R1489" i="1" s="1"/>
  <c r="J1490" i="1"/>
  <c r="R1490" i="1" s="1"/>
  <c r="J1491" i="1"/>
  <c r="R1491" i="1" s="1"/>
  <c r="J1492" i="1"/>
  <c r="R1492" i="1" s="1"/>
  <c r="J1493" i="1"/>
  <c r="R1493" i="1" s="1"/>
  <c r="J1494" i="1"/>
  <c r="R1494" i="1" s="1"/>
  <c r="J1478" i="1"/>
  <c r="R1478" i="1" s="1"/>
  <c r="J1495" i="1"/>
  <c r="R1495" i="1" s="1"/>
  <c r="J1496" i="1"/>
  <c r="R1496" i="1" s="1"/>
  <c r="J1497" i="1"/>
  <c r="R1497" i="1" s="1"/>
  <c r="J1498" i="1"/>
  <c r="R1498" i="1" s="1"/>
  <c r="J1499" i="1"/>
  <c r="R1499" i="1" s="1"/>
  <c r="J1486" i="1"/>
  <c r="R1486" i="1" s="1"/>
  <c r="J1511" i="1"/>
  <c r="R1511" i="1" s="1"/>
  <c r="J1512" i="1"/>
  <c r="R1512" i="1" s="1"/>
  <c r="J1513" i="1"/>
  <c r="R1513" i="1" s="1"/>
  <c r="J1514" i="1"/>
  <c r="R1514" i="1" s="1"/>
  <c r="J1515" i="1"/>
  <c r="R1515" i="1" s="1"/>
  <c r="J1516" i="1"/>
  <c r="R1516" i="1" s="1"/>
  <c r="J1517" i="1"/>
  <c r="R1517" i="1" s="1"/>
  <c r="J1518" i="1"/>
  <c r="R1518" i="1" s="1"/>
  <c r="J1519" i="1"/>
  <c r="R1519" i="1" s="1"/>
  <c r="J1520" i="1"/>
  <c r="R1520" i="1" s="1"/>
  <c r="J1521" i="1"/>
  <c r="R1521" i="1" s="1"/>
  <c r="J1522" i="1"/>
  <c r="R1522" i="1" s="1"/>
  <c r="J1523" i="1"/>
  <c r="R1523" i="1" s="1"/>
  <c r="J1524" i="1"/>
  <c r="R1524" i="1" s="1"/>
  <c r="J1525" i="1"/>
  <c r="R1525" i="1" s="1"/>
  <c r="J1526" i="1"/>
  <c r="R1526" i="1" s="1"/>
  <c r="J1527" i="1"/>
  <c r="R1527" i="1" s="1"/>
  <c r="J1528" i="1"/>
  <c r="R1528" i="1" s="1"/>
  <c r="J1529" i="1"/>
  <c r="R1529" i="1" s="1"/>
  <c r="J1530" i="1"/>
  <c r="R1530" i="1" s="1"/>
  <c r="J1505" i="1"/>
  <c r="R1505" i="1" s="1"/>
  <c r="J1506" i="1"/>
  <c r="R1506" i="1" s="1"/>
  <c r="J1531" i="1"/>
  <c r="R1531" i="1" s="1"/>
  <c r="J1532" i="1"/>
  <c r="R1532" i="1" s="1"/>
  <c r="J1503" i="1"/>
  <c r="R1503" i="1" s="1"/>
  <c r="J1501" i="1"/>
  <c r="R1501" i="1" s="1"/>
  <c r="J1533" i="1"/>
  <c r="R1533" i="1" s="1"/>
  <c r="J1534" i="1"/>
  <c r="R1534" i="1" s="1"/>
  <c r="J1545" i="1"/>
  <c r="R1545" i="1" s="1"/>
  <c r="J1546" i="1"/>
  <c r="R1546" i="1" s="1"/>
  <c r="J1547" i="1"/>
  <c r="R1547" i="1" s="1"/>
  <c r="J1548" i="1"/>
  <c r="R1548" i="1" s="1"/>
  <c r="J1549" i="1"/>
  <c r="R1549" i="1" s="1"/>
  <c r="J1550" i="1"/>
  <c r="R1550" i="1" s="1"/>
  <c r="J1551" i="1"/>
  <c r="R1551" i="1" s="1"/>
  <c r="J1552" i="1"/>
  <c r="R1552" i="1" s="1"/>
  <c r="J1553" i="1"/>
  <c r="R1553" i="1" s="1"/>
  <c r="J1554" i="1"/>
  <c r="R1554" i="1" s="1"/>
  <c r="J1555" i="1"/>
  <c r="R1555" i="1" s="1"/>
  <c r="J1556" i="1"/>
  <c r="R1556" i="1" s="1"/>
  <c r="J1557" i="1"/>
  <c r="R1557" i="1" s="1"/>
  <c r="J1558" i="1"/>
  <c r="R1558" i="1" s="1"/>
  <c r="J1559" i="1"/>
  <c r="R1559" i="1" s="1"/>
  <c r="J1560" i="1"/>
  <c r="R1560" i="1" s="1"/>
  <c r="J1561" i="1"/>
  <c r="R1561" i="1" s="1"/>
  <c r="J1562" i="1"/>
  <c r="R1562" i="1" s="1"/>
  <c r="J1563" i="1"/>
  <c r="R1563" i="1" s="1"/>
  <c r="J1564" i="1"/>
  <c r="R1564" i="1" s="1"/>
  <c r="J1539" i="1"/>
  <c r="R1539" i="1" s="1"/>
  <c r="J1540" i="1"/>
  <c r="R1540" i="1" s="1"/>
  <c r="J1565" i="1"/>
  <c r="R1565" i="1" s="1"/>
  <c r="J1566" i="1"/>
  <c r="R1566" i="1" s="1"/>
  <c r="J1537" i="1"/>
  <c r="R1537" i="1" s="1"/>
  <c r="J1535" i="1"/>
  <c r="R1535" i="1" s="1"/>
  <c r="J1567" i="1"/>
  <c r="R1567" i="1" s="1"/>
  <c r="J1568" i="1"/>
  <c r="R1568" i="1" s="1"/>
  <c r="J1596" i="1"/>
  <c r="R1596" i="1" s="1"/>
  <c r="J1620" i="1"/>
  <c r="R1620" i="1" s="1"/>
  <c r="J1621" i="1"/>
  <c r="R1621" i="1" s="1"/>
  <c r="J1622" i="1"/>
  <c r="R1622" i="1" s="1"/>
  <c r="J1623" i="1"/>
  <c r="R1623" i="1" s="1"/>
  <c r="J1606" i="1"/>
  <c r="R1606" i="1" s="1"/>
  <c r="J1604" i="1"/>
  <c r="R1604" i="1" s="1"/>
  <c r="J1624" i="1"/>
  <c r="R1624" i="1" s="1"/>
  <c r="J1625" i="1"/>
  <c r="R1625" i="1" s="1"/>
  <c r="J1626" i="1"/>
  <c r="R1626" i="1" s="1"/>
  <c r="J1627" i="1"/>
  <c r="R1627" i="1" s="1"/>
  <c r="J1628" i="1"/>
  <c r="R1628" i="1" s="1"/>
  <c r="J1629" i="1"/>
  <c r="R1629" i="1" s="1"/>
  <c r="J1630" i="1"/>
  <c r="R1630" i="1" s="1"/>
  <c r="J1631" i="1"/>
  <c r="R1631" i="1" s="1"/>
  <c r="J1632" i="1"/>
  <c r="R1632" i="1" s="1"/>
  <c r="J1633" i="1"/>
  <c r="R1633" i="1" s="1"/>
  <c r="J1634" i="1"/>
  <c r="R1634" i="1" s="1"/>
  <c r="J1635" i="1"/>
  <c r="R1635" i="1" s="1"/>
  <c r="J1607" i="1"/>
  <c r="R1607" i="1" s="1"/>
  <c r="J1636" i="1"/>
  <c r="R1636" i="1" s="1"/>
  <c r="J1614" i="1"/>
  <c r="R1614" i="1" s="1"/>
  <c r="J1615" i="1"/>
  <c r="R1615" i="1" s="1"/>
  <c r="J1637" i="1"/>
  <c r="R1637" i="1" s="1"/>
  <c r="J1638" i="1"/>
  <c r="R1638" i="1" s="1"/>
  <c r="J1611" i="1"/>
  <c r="R1611" i="1" s="1"/>
  <c r="J1609" i="1"/>
  <c r="R1609" i="1" s="1"/>
  <c r="J1639" i="1"/>
  <c r="R1639" i="1" s="1"/>
  <c r="J1640" i="1"/>
  <c r="R1640" i="1" s="1"/>
  <c r="J1657" i="1"/>
  <c r="R1657" i="1" s="1"/>
  <c r="J1646" i="1"/>
  <c r="R1646" i="1" s="1"/>
  <c r="J1645" i="1"/>
  <c r="R1645" i="1" s="1"/>
  <c r="J1653" i="1"/>
  <c r="R1653" i="1" s="1"/>
  <c r="J1655" i="1"/>
  <c r="R1655" i="1" s="1"/>
  <c r="J1644" i="1"/>
  <c r="R1644" i="1" s="1"/>
  <c r="J1641" i="1"/>
  <c r="R1641" i="1" s="1"/>
  <c r="J1642" i="1"/>
  <c r="R1642" i="1" s="1"/>
  <c r="Q1147" i="9" s="1"/>
  <c r="J1648" i="1"/>
  <c r="R1648" i="1" s="1"/>
  <c r="J1647" i="1"/>
  <c r="R1647" i="1" s="1"/>
  <c r="J1650" i="1"/>
  <c r="R1650" i="1" s="1"/>
  <c r="J1649" i="1"/>
  <c r="R1649" i="1" s="1"/>
  <c r="J1663" i="1"/>
  <c r="R1663" i="1" s="1"/>
  <c r="J1664" i="1"/>
  <c r="R1664" i="1" s="1"/>
  <c r="J1665" i="1"/>
  <c r="R1665" i="1" s="1"/>
  <c r="J1666" i="1"/>
  <c r="R1666" i="1" s="1"/>
  <c r="J1667" i="1"/>
  <c r="R1667" i="1" s="1"/>
  <c r="J1668" i="1"/>
  <c r="R1668" i="1" s="1"/>
  <c r="J1669" i="1"/>
  <c r="R1669" i="1" s="1"/>
  <c r="J1670" i="1"/>
  <c r="R1670" i="1" s="1"/>
  <c r="J1651" i="1"/>
  <c r="R1651" i="1" s="1"/>
  <c r="J1671" i="1"/>
  <c r="R1671" i="1" s="1"/>
  <c r="J1672" i="1"/>
  <c r="R1672" i="1" s="1"/>
  <c r="J1673" i="1"/>
  <c r="R1673" i="1" s="1"/>
  <c r="J1674" i="1"/>
  <c r="R1674" i="1" s="1"/>
  <c r="J1675" i="1"/>
  <c r="R1675" i="1" s="1"/>
  <c r="J1676" i="1"/>
  <c r="R1676" i="1" s="1"/>
  <c r="J1659" i="1"/>
  <c r="R1659" i="1" s="1"/>
  <c r="J1767" i="1"/>
  <c r="R1767" i="1" s="1"/>
  <c r="J1761" i="1"/>
  <c r="R1761" i="1" s="1"/>
  <c r="J1771" i="1"/>
  <c r="R1771" i="1" s="1"/>
  <c r="J1756" i="1"/>
  <c r="R1756" i="1" s="1"/>
  <c r="J1759" i="1"/>
  <c r="R1759" i="1" s="1"/>
  <c r="J1786" i="1"/>
  <c r="R1786" i="1" s="1"/>
  <c r="J1769" i="1"/>
  <c r="R1769" i="1" s="1"/>
  <c r="J1753" i="1"/>
  <c r="R1753" i="1" s="1"/>
  <c r="J1752" i="1"/>
  <c r="R1752" i="1" s="1"/>
  <c r="J1757" i="1"/>
  <c r="R1757" i="1" s="1"/>
  <c r="J1755" i="1"/>
  <c r="R1755" i="1" s="1"/>
  <c r="J1754" i="1"/>
  <c r="R1754" i="1" s="1"/>
  <c r="J1760" i="1"/>
  <c r="R1760" i="1" s="1"/>
  <c r="J1758" i="1"/>
  <c r="R1758" i="1" s="1"/>
  <c r="J1775" i="1"/>
  <c r="R1775" i="1" s="1"/>
  <c r="J1776" i="1"/>
  <c r="R1776" i="1" s="1"/>
  <c r="J1777" i="1"/>
  <c r="R1777" i="1" s="1"/>
  <c r="J1778" i="1"/>
  <c r="R1778" i="1" s="1"/>
  <c r="J1779" i="1"/>
  <c r="R1779" i="1" s="1"/>
  <c r="J1780" i="1"/>
  <c r="R1780" i="1" s="1"/>
  <c r="J1781" i="1"/>
  <c r="R1781" i="1" s="1"/>
  <c r="J1782" i="1"/>
  <c r="R1782" i="1" s="1"/>
  <c r="J1783" i="1"/>
  <c r="R1783" i="1" s="1"/>
  <c r="J1784" i="1"/>
  <c r="R1784" i="1" s="1"/>
  <c r="J1785" i="1"/>
  <c r="R1785" i="1" s="1"/>
  <c r="J1773" i="1"/>
  <c r="R1773" i="1" s="1"/>
  <c r="J1764" i="1"/>
  <c r="R1764" i="1" s="1"/>
  <c r="J1789" i="1"/>
  <c r="R1789" i="1" s="1"/>
  <c r="J1944" i="1"/>
  <c r="R1944" i="1" s="1"/>
  <c r="J1945" i="1"/>
  <c r="R1945" i="1" s="1"/>
  <c r="J1946" i="1"/>
  <c r="R1946" i="1" s="1"/>
  <c r="J1947" i="1"/>
  <c r="R1947" i="1" s="1"/>
  <c r="J1948" i="1"/>
  <c r="R1948" i="1" s="1"/>
  <c r="J1949" i="1"/>
  <c r="R1949" i="1" s="1"/>
  <c r="J1950" i="1"/>
  <c r="R1950" i="1" s="1"/>
  <c r="J1951" i="1"/>
  <c r="R1951" i="1" s="1"/>
  <c r="J1952" i="1"/>
  <c r="R1952" i="1" s="1"/>
  <c r="J1953" i="1"/>
  <c r="R1953" i="1" s="1"/>
  <c r="J1954" i="1"/>
  <c r="R1954" i="1" s="1"/>
  <c r="J1955" i="1"/>
  <c r="R1955" i="1" s="1"/>
  <c r="J1956" i="1"/>
  <c r="R1956" i="1" s="1"/>
  <c r="J1957" i="1"/>
  <c r="R1957" i="1" s="1"/>
  <c r="J1958" i="1"/>
  <c r="R1958" i="1" s="1"/>
  <c r="J1959" i="1"/>
  <c r="R1959" i="1" s="1"/>
  <c r="J1960" i="1"/>
  <c r="R1960" i="1" s="1"/>
  <c r="J1961" i="1"/>
  <c r="R1961" i="1" s="1"/>
  <c r="J1962" i="1"/>
  <c r="R1962" i="1" s="1"/>
  <c r="J1963" i="1"/>
  <c r="R1963" i="1" s="1"/>
  <c r="J1964" i="1"/>
  <c r="R1964" i="1" s="1"/>
  <c r="J1965" i="1"/>
  <c r="R1965" i="1" s="1"/>
  <c r="J1938" i="1"/>
  <c r="R1938" i="1" s="1"/>
  <c r="J1935" i="1"/>
  <c r="R1935" i="1" s="1"/>
  <c r="J1966" i="1"/>
  <c r="R1966" i="1" s="1"/>
  <c r="J1967" i="1"/>
  <c r="R1967" i="1" s="1"/>
  <c r="J1968" i="1"/>
  <c r="R1968" i="1" s="1"/>
  <c r="J3570" i="1"/>
  <c r="R3570" i="1" s="1"/>
  <c r="J3571" i="1"/>
  <c r="R3571" i="1" s="1"/>
  <c r="J3572" i="1"/>
  <c r="R3572" i="1" s="1"/>
  <c r="J3573" i="1"/>
  <c r="R3573" i="1" s="1"/>
  <c r="J3574" i="1"/>
  <c r="R3574" i="1" s="1"/>
  <c r="J3575" i="1"/>
  <c r="R3575" i="1" s="1"/>
  <c r="J3576" i="1"/>
  <c r="R3576" i="1" s="1"/>
  <c r="J3577" i="1"/>
  <c r="R3577" i="1" s="1"/>
  <c r="J3578" i="1"/>
  <c r="R3578" i="1" s="1"/>
  <c r="J3579" i="1"/>
  <c r="R3579" i="1" s="1"/>
  <c r="J3580" i="1"/>
  <c r="R3580" i="1" s="1"/>
  <c r="J3581" i="1"/>
  <c r="R3581" i="1" s="1"/>
  <c r="J3582" i="1"/>
  <c r="R3582" i="1" s="1"/>
  <c r="J3583" i="1"/>
  <c r="R3583" i="1" s="1"/>
  <c r="J3584" i="1"/>
  <c r="R3584" i="1" s="1"/>
  <c r="J3585" i="1"/>
  <c r="R3585" i="1" s="1"/>
  <c r="J3586" i="1"/>
  <c r="R3586" i="1" s="1"/>
  <c r="J3587" i="1"/>
  <c r="R3587" i="1" s="1"/>
  <c r="J3588" i="1"/>
  <c r="R3588" i="1" s="1"/>
  <c r="J3589" i="1"/>
  <c r="R3589" i="1" s="1"/>
  <c r="J3599" i="1"/>
  <c r="R3599" i="1" s="1"/>
  <c r="J3600" i="1"/>
  <c r="R3600" i="1" s="1"/>
  <c r="J3590" i="1"/>
  <c r="R3590" i="1" s="1"/>
  <c r="J3591" i="1"/>
  <c r="R3591" i="1" s="1"/>
  <c r="J3595" i="1"/>
  <c r="R3595" i="1" s="1"/>
  <c r="J3596" i="1"/>
  <c r="R3596" i="1" s="1"/>
  <c r="J3592" i="1"/>
  <c r="R3592" i="1" s="1"/>
  <c r="J3593" i="1"/>
  <c r="R3593" i="1" s="1"/>
  <c r="J3594" i="1"/>
  <c r="R3594" i="1" s="1"/>
  <c r="J2151" i="1"/>
  <c r="R2151" i="1" s="1"/>
  <c r="J2172" i="1"/>
  <c r="R2172" i="1" s="1"/>
  <c r="J2168" i="1"/>
  <c r="R2168" i="1" s="1"/>
  <c r="J2170" i="1"/>
  <c r="R2170" i="1" s="1"/>
  <c r="J2154" i="1"/>
  <c r="R2154" i="1" s="1"/>
  <c r="J2158" i="1"/>
  <c r="R2158" i="1" s="1"/>
  <c r="J2166" i="1"/>
  <c r="R2166" i="1" s="1"/>
  <c r="J2155" i="1"/>
  <c r="R2155" i="1" s="1"/>
  <c r="J2160" i="1"/>
  <c r="R2160" i="1" s="1"/>
  <c r="J2159" i="1"/>
  <c r="R2159" i="1" s="1"/>
  <c r="J2156" i="1"/>
  <c r="R2156" i="1" s="1"/>
  <c r="J2161" i="1"/>
  <c r="R2161" i="1" s="1"/>
  <c r="J2164" i="1"/>
  <c r="R2164" i="1" s="1"/>
  <c r="J2176" i="1"/>
  <c r="R2176" i="1" s="1"/>
  <c r="J2157" i="1"/>
  <c r="R2157" i="1" s="1"/>
  <c r="J2167" i="1"/>
  <c r="R2167" i="1" s="1"/>
  <c r="J2177" i="1"/>
  <c r="R2177" i="1" s="1"/>
  <c r="J2178" i="1"/>
  <c r="R2178" i="1" s="1"/>
  <c r="J2179" i="1"/>
  <c r="R2179" i="1" s="1"/>
  <c r="J2180" i="1"/>
  <c r="R2180" i="1" s="1"/>
  <c r="J2181" i="1"/>
  <c r="R2181" i="1" s="1"/>
  <c r="J2182" i="1"/>
  <c r="R2182" i="1" s="1"/>
  <c r="J2183" i="1"/>
  <c r="R2183" i="1" s="1"/>
  <c r="J2184" i="1"/>
  <c r="R2184" i="1" s="1"/>
  <c r="J2185" i="1"/>
  <c r="R2185" i="1" s="1"/>
  <c r="J2186" i="1"/>
  <c r="R2186" i="1" s="1"/>
  <c r="J2187" i="1"/>
  <c r="R2187" i="1" s="1"/>
  <c r="J2174" i="1"/>
  <c r="R2174" i="1" s="1"/>
  <c r="J2196" i="1"/>
  <c r="R2196" i="1" s="1"/>
  <c r="J2197" i="1"/>
  <c r="R2197" i="1" s="1"/>
  <c r="J2198" i="1"/>
  <c r="R2198" i="1" s="1"/>
  <c r="J2199" i="1"/>
  <c r="R2199" i="1" s="1"/>
  <c r="J2200" i="1"/>
  <c r="R2200" i="1" s="1"/>
  <c r="J2201" i="1"/>
  <c r="R2201" i="1" s="1"/>
  <c r="J2202" i="1"/>
  <c r="R2202" i="1" s="1"/>
  <c r="J2203" i="1"/>
  <c r="R2203" i="1" s="1"/>
  <c r="J2204" i="1"/>
  <c r="R2204" i="1" s="1"/>
  <c r="J2205" i="1"/>
  <c r="R2205" i="1" s="1"/>
  <c r="J2206" i="1"/>
  <c r="R2206" i="1" s="1"/>
  <c r="J2207" i="1"/>
  <c r="R2207" i="1" s="1"/>
  <c r="J2208" i="1"/>
  <c r="R2208" i="1" s="1"/>
  <c r="J2209" i="1"/>
  <c r="R2209" i="1" s="1"/>
  <c r="J2210" i="1"/>
  <c r="R2210" i="1" s="1"/>
  <c r="J2211" i="1"/>
  <c r="R2211" i="1" s="1"/>
  <c r="J2212" i="1"/>
  <c r="R2212" i="1" s="1"/>
  <c r="J2213" i="1"/>
  <c r="R2213" i="1" s="1"/>
  <c r="J2214" i="1"/>
  <c r="R2214" i="1" s="1"/>
  <c r="J2215" i="1"/>
  <c r="R2215" i="1" s="1"/>
  <c r="J2193" i="1"/>
  <c r="R2193" i="1" s="1"/>
  <c r="J2216" i="1"/>
  <c r="R2216" i="1" s="1"/>
  <c r="J2217" i="1"/>
  <c r="R2217" i="1" s="1"/>
  <c r="J2218" i="1"/>
  <c r="R2218" i="1" s="1"/>
  <c r="J2191" i="1"/>
  <c r="R2191" i="1" s="1"/>
  <c r="J2188" i="1"/>
  <c r="R2188" i="1" s="1"/>
  <c r="J2219" i="1"/>
  <c r="R2219" i="1" s="1"/>
  <c r="J2220" i="1"/>
  <c r="R2220" i="1" s="1"/>
  <c r="J3243" i="1"/>
  <c r="R3243" i="1" s="1"/>
  <c r="J3246" i="1"/>
  <c r="R3246" i="1" s="1"/>
  <c r="J3216" i="1"/>
  <c r="R3216" i="1" s="1"/>
  <c r="J3241" i="1"/>
  <c r="R3241" i="1" s="1"/>
  <c r="J3215" i="1"/>
  <c r="R3215" i="1" s="1"/>
  <c r="J3212" i="1"/>
  <c r="R3212" i="1" s="1"/>
  <c r="J3214" i="1"/>
  <c r="R3214" i="1" s="1"/>
  <c r="J3221" i="1"/>
  <c r="R3221" i="1" s="1"/>
  <c r="J3217" i="1"/>
  <c r="R3217" i="1" s="1"/>
  <c r="J3218" i="1"/>
  <c r="R3218" i="1" s="1"/>
  <c r="J3219" i="1"/>
  <c r="R3219" i="1" s="1"/>
  <c r="J3220" i="1"/>
  <c r="R3220" i="1" s="1"/>
  <c r="J3240" i="1"/>
  <c r="R3240" i="1" s="1"/>
  <c r="J3227" i="1"/>
  <c r="R3227" i="1" s="1"/>
  <c r="J3228" i="1"/>
  <c r="R3228" i="1" s="1"/>
  <c r="J3229" i="1"/>
  <c r="R3229" i="1" s="1"/>
  <c r="J3230" i="1"/>
  <c r="R3230" i="1" s="1"/>
  <c r="J3231" i="1"/>
  <c r="R3231" i="1" s="1"/>
  <c r="J3232" i="1"/>
  <c r="R3232" i="1" s="1"/>
  <c r="J3233" i="1"/>
  <c r="R3233" i="1" s="1"/>
  <c r="J3234" i="1"/>
  <c r="R3234" i="1" s="1"/>
  <c r="J3235" i="1"/>
  <c r="R3235" i="1" s="1"/>
  <c r="J3236" i="1"/>
  <c r="R3236" i="1" s="1"/>
  <c r="J3237" i="1"/>
  <c r="R3237" i="1" s="1"/>
  <c r="J3223" i="1"/>
  <c r="R3223" i="1" s="1"/>
  <c r="J3238" i="1"/>
  <c r="R3238" i="1" s="1"/>
  <c r="J3247" i="1"/>
  <c r="R3247" i="1" s="1"/>
  <c r="J3239" i="1"/>
  <c r="R3239" i="1" s="1"/>
  <c r="J3250" i="1"/>
  <c r="R3250" i="1" s="1"/>
  <c r="J3268" i="1"/>
  <c r="R3268" i="1" s="1"/>
  <c r="J3251" i="1"/>
  <c r="R3251" i="1" s="1"/>
  <c r="J3271" i="1"/>
  <c r="R3271" i="1" s="1"/>
  <c r="J3252" i="1"/>
  <c r="R3252" i="1" s="1"/>
  <c r="J3267" i="1"/>
  <c r="R3267" i="1" s="1"/>
  <c r="J3253" i="1"/>
  <c r="R3253" i="1" s="1"/>
  <c r="J3254" i="1"/>
  <c r="R3254" i="1" s="1"/>
  <c r="J3255" i="1"/>
  <c r="R3255" i="1" s="1"/>
  <c r="J3256" i="1"/>
  <c r="R3256" i="1" s="1"/>
  <c r="J3257" i="1"/>
  <c r="R3257" i="1" s="1"/>
  <c r="J3258" i="1"/>
  <c r="R3258" i="1" s="1"/>
  <c r="J3259" i="1"/>
  <c r="R3259" i="1" s="1"/>
  <c r="J3263" i="1"/>
  <c r="R3263" i="1" s="1"/>
  <c r="J3260" i="1"/>
  <c r="R3260" i="1" s="1"/>
  <c r="J3261" i="1"/>
  <c r="R3261" i="1" s="1"/>
  <c r="J3262" i="1"/>
  <c r="R3262" i="1" s="1"/>
  <c r="J3420" i="1"/>
  <c r="R3420" i="1" s="1"/>
  <c r="J3421" i="1"/>
  <c r="R3421" i="1" s="1"/>
  <c r="J3422" i="1"/>
  <c r="R3422" i="1" s="1"/>
  <c r="J3423" i="1"/>
  <c r="R3423" i="1" s="1"/>
  <c r="J3424" i="1"/>
  <c r="R3424" i="1" s="1"/>
  <c r="J3425" i="1"/>
  <c r="R3425" i="1" s="1"/>
  <c r="J3426" i="1"/>
  <c r="R3426" i="1" s="1"/>
  <c r="J3427" i="1"/>
  <c r="R3427" i="1" s="1"/>
  <c r="J3428" i="1"/>
  <c r="R3428" i="1" s="1"/>
  <c r="J3429" i="1"/>
  <c r="R3429" i="1" s="1"/>
  <c r="J3430" i="1"/>
  <c r="R3430" i="1" s="1"/>
  <c r="J3431" i="1"/>
  <c r="R3431" i="1" s="1"/>
  <c r="J3432" i="1"/>
  <c r="R3432" i="1" s="1"/>
  <c r="J3433" i="1"/>
  <c r="R3433" i="1" s="1"/>
  <c r="J3434" i="1"/>
  <c r="R3434" i="1" s="1"/>
  <c r="J3435" i="1"/>
  <c r="R3435" i="1" s="1"/>
  <c r="J3436" i="1"/>
  <c r="R3436" i="1" s="1"/>
  <c r="J3437" i="1"/>
  <c r="R3437" i="1" s="1"/>
  <c r="J3438" i="1"/>
  <c r="R3438" i="1" s="1"/>
  <c r="J3439" i="1"/>
  <c r="R3439" i="1" s="1"/>
  <c r="J3452" i="1"/>
  <c r="R3452" i="1" s="1"/>
  <c r="J3453" i="1"/>
  <c r="R3453" i="1" s="1"/>
  <c r="J3440" i="1"/>
  <c r="R3440" i="1" s="1"/>
  <c r="J3441" i="1"/>
  <c r="R3441" i="1" s="1"/>
  <c r="J3448" i="1"/>
  <c r="R3448" i="1" s="1"/>
  <c r="J3449" i="1"/>
  <c r="R3449" i="1" s="1"/>
  <c r="J3442" i="1"/>
  <c r="R3442" i="1" s="1"/>
  <c r="J3443" i="1"/>
  <c r="R3443" i="1" s="1"/>
  <c r="J3444" i="1"/>
  <c r="R3444" i="1" s="1"/>
  <c r="J3783" i="1"/>
  <c r="R3783" i="1" s="1"/>
  <c r="J3784" i="1"/>
  <c r="R3784" i="1" s="1"/>
  <c r="J3785" i="1"/>
  <c r="R3785" i="1" s="1"/>
  <c r="J3786" i="1"/>
  <c r="R3786" i="1" s="1"/>
  <c r="J3787" i="1"/>
  <c r="R3787" i="1" s="1"/>
  <c r="J3788" i="1"/>
  <c r="R3788" i="1" s="1"/>
  <c r="J3789" i="1"/>
  <c r="R3789" i="1" s="1"/>
  <c r="J3790" i="1"/>
  <c r="R3790" i="1" s="1"/>
  <c r="J3791" i="1"/>
  <c r="R3791" i="1" s="1"/>
  <c r="J3792" i="1"/>
  <c r="R3792" i="1" s="1"/>
  <c r="J3793" i="1"/>
  <c r="R3793" i="1" s="1"/>
  <c r="J3794" i="1"/>
  <c r="R3794" i="1" s="1"/>
  <c r="J3795" i="1"/>
  <c r="R3795" i="1" s="1"/>
  <c r="J3796" i="1"/>
  <c r="R3796" i="1" s="1"/>
  <c r="J3797" i="1"/>
  <c r="R3797" i="1" s="1"/>
  <c r="J3798" i="1"/>
  <c r="R3798" i="1" s="1"/>
  <c r="J3799" i="1"/>
  <c r="R3799" i="1" s="1"/>
  <c r="J3800" i="1"/>
  <c r="R3800" i="1" s="1"/>
  <c r="J3801" i="1"/>
  <c r="R3801" i="1" s="1"/>
  <c r="J3802" i="1"/>
  <c r="R3802" i="1" s="1"/>
  <c r="J3814" i="1"/>
  <c r="R3814" i="1" s="1"/>
  <c r="J3815" i="1"/>
  <c r="R3815" i="1" s="1"/>
  <c r="J3803" i="1"/>
  <c r="R3803" i="1" s="1"/>
  <c r="J3804" i="1"/>
  <c r="R3804" i="1" s="1"/>
  <c r="J3812" i="1"/>
  <c r="R3812" i="1" s="1"/>
  <c r="J3809" i="1"/>
  <c r="R3809" i="1" s="1"/>
  <c r="J3805" i="1"/>
  <c r="R3805" i="1" s="1"/>
  <c r="J3806" i="1"/>
  <c r="R3806" i="1" s="1"/>
  <c r="J3816" i="1"/>
  <c r="R3816" i="1" s="1"/>
  <c r="J3817" i="1"/>
  <c r="R3817" i="1" s="1"/>
  <c r="J3818" i="1"/>
  <c r="R3818" i="1" s="1"/>
  <c r="J3819" i="1"/>
  <c r="R3819" i="1" s="1"/>
  <c r="J3820" i="1"/>
  <c r="R3820" i="1" s="1"/>
  <c r="J3821" i="1"/>
  <c r="R3821" i="1" s="1"/>
  <c r="J3822" i="1"/>
  <c r="R3822" i="1" s="1"/>
  <c r="J3823" i="1"/>
  <c r="R3823" i="1" s="1"/>
  <c r="J3824" i="1"/>
  <c r="R3824" i="1" s="1"/>
  <c r="J3825" i="1"/>
  <c r="R3825" i="1" s="1"/>
  <c r="J3826" i="1"/>
  <c r="R3826" i="1" s="1"/>
  <c r="J3827" i="1"/>
  <c r="R3827" i="1" s="1"/>
  <c r="J3847" i="1"/>
  <c r="R3847" i="1" s="1"/>
  <c r="J3848" i="1"/>
  <c r="R3848" i="1" s="1"/>
  <c r="J3844" i="1"/>
  <c r="R3844" i="1" s="1"/>
  <c r="J3828" i="1"/>
  <c r="R3828" i="1" s="1"/>
  <c r="J3829" i="1"/>
  <c r="R3829" i="1" s="1"/>
  <c r="J3850" i="1"/>
  <c r="R3850" i="1" s="1"/>
  <c r="J3714" i="1"/>
  <c r="R3714" i="1" s="1"/>
  <c r="J3715" i="1"/>
  <c r="R3715" i="1" s="1"/>
  <c r="J3716" i="1"/>
  <c r="R3716" i="1" s="1"/>
  <c r="J3717" i="1"/>
  <c r="R3717" i="1" s="1"/>
  <c r="J3718" i="1"/>
  <c r="R3718" i="1" s="1"/>
  <c r="J3719" i="1"/>
  <c r="R3719" i="1" s="1"/>
  <c r="J3720" i="1"/>
  <c r="R3720" i="1" s="1"/>
  <c r="J3721" i="1"/>
  <c r="R3721" i="1" s="1"/>
  <c r="J3722" i="1"/>
  <c r="R3722" i="1" s="1"/>
  <c r="J3723" i="1"/>
  <c r="R3723" i="1" s="1"/>
  <c r="J3724" i="1"/>
  <c r="R3724" i="1" s="1"/>
  <c r="J3725" i="1"/>
  <c r="R3725" i="1" s="1"/>
  <c r="J3726" i="1"/>
  <c r="R3726" i="1" s="1"/>
  <c r="J3742" i="1"/>
  <c r="R3742" i="1" s="1"/>
  <c r="J3744" i="1"/>
  <c r="R3744" i="1" s="1"/>
  <c r="J3727" i="1"/>
  <c r="R3727" i="1" s="1"/>
  <c r="J3728" i="1"/>
  <c r="R3728" i="1" s="1"/>
  <c r="J3304" i="1"/>
  <c r="R3304" i="1" s="1"/>
  <c r="J3272" i="1"/>
  <c r="R3272" i="1" s="1"/>
  <c r="J3302" i="1"/>
  <c r="R3302" i="1" s="1"/>
  <c r="J3307" i="1"/>
  <c r="R3307" i="1" s="1"/>
  <c r="J3274" i="1"/>
  <c r="R3274" i="1" s="1"/>
  <c r="J3287" i="1"/>
  <c r="R3287" i="1" s="1"/>
  <c r="J3276" i="1"/>
  <c r="R3276" i="1" s="1"/>
  <c r="J3273" i="1"/>
  <c r="R3273" i="1" s="1"/>
  <c r="J3278" i="1"/>
  <c r="R3278" i="1" s="1"/>
  <c r="J3279" i="1"/>
  <c r="R3279" i="1" s="1"/>
  <c r="J3280" i="1"/>
  <c r="R3280" i="1" s="1"/>
  <c r="J3301" i="1"/>
  <c r="R3301" i="1" s="1"/>
  <c r="J3281" i="1"/>
  <c r="R3281" i="1" s="1"/>
  <c r="J3282" i="1"/>
  <c r="R3282" i="1" s="1"/>
  <c r="J3288" i="1"/>
  <c r="R3288" i="1" s="1"/>
  <c r="J3289" i="1"/>
  <c r="R3289" i="1" s="1"/>
  <c r="J3290" i="1"/>
  <c r="R3290" i="1" s="1"/>
  <c r="J3291" i="1"/>
  <c r="R3291" i="1" s="1"/>
  <c r="J3292" i="1"/>
  <c r="R3292" i="1" s="1"/>
  <c r="J3293" i="1"/>
  <c r="R3293" i="1" s="1"/>
  <c r="J3294" i="1"/>
  <c r="R3294" i="1" s="1"/>
  <c r="J3295" i="1"/>
  <c r="R3295" i="1" s="1"/>
  <c r="J3296" i="1"/>
  <c r="R3296" i="1" s="1"/>
  <c r="J3297" i="1"/>
  <c r="R3297" i="1" s="1"/>
  <c r="J3298" i="1"/>
  <c r="R3298" i="1" s="1"/>
  <c r="J3299" i="1"/>
  <c r="R3299" i="1" s="1"/>
  <c r="J3300" i="1"/>
  <c r="R3300" i="1" s="1"/>
  <c r="J3308" i="1"/>
  <c r="R3308" i="1" s="1"/>
  <c r="J2276" i="1"/>
  <c r="R2276" i="1" s="1"/>
  <c r="J2282" i="1"/>
  <c r="R2282" i="1" s="1"/>
  <c r="J2278" i="1"/>
  <c r="R2278" i="1" s="1"/>
  <c r="Q1185" i="9" s="1"/>
  <c r="J2298" i="1"/>
  <c r="R2298" i="1" s="1"/>
  <c r="J2268" i="1"/>
  <c r="R2268" i="1" s="1"/>
  <c r="J2263" i="1"/>
  <c r="R2263" i="1" s="1"/>
  <c r="J2266" i="1"/>
  <c r="R2266" i="1" s="1"/>
  <c r="J2283" i="1"/>
  <c r="R2283" i="1" s="1"/>
  <c r="J2270" i="1"/>
  <c r="R2270" i="1" s="1"/>
  <c r="R2265" i="1"/>
  <c r="J2271" i="1"/>
  <c r="R2271" i="1" s="1"/>
  <c r="J2274" i="1"/>
  <c r="R2274" i="1" s="1"/>
  <c r="J2272" i="1"/>
  <c r="R2272" i="1" s="1"/>
  <c r="J2269" i="1"/>
  <c r="R2269" i="1" s="1"/>
  <c r="R2296" i="1"/>
  <c r="J2275" i="1"/>
  <c r="R2275" i="1" s="1"/>
  <c r="J2284" i="1"/>
  <c r="R2284" i="1" s="1"/>
  <c r="J2273" i="1"/>
  <c r="R2273" i="1" s="1"/>
  <c r="J2285" i="1"/>
  <c r="R2285" i="1" s="1"/>
  <c r="J2286" i="1"/>
  <c r="R2286" i="1" s="1"/>
  <c r="J2287" i="1"/>
  <c r="R2287" i="1" s="1"/>
  <c r="J2288" i="1"/>
  <c r="R2288" i="1" s="1"/>
  <c r="J2289" i="1"/>
  <c r="R2289" i="1" s="1"/>
  <c r="J2290" i="1"/>
  <c r="R2290" i="1" s="1"/>
  <c r="J2291" i="1"/>
  <c r="R2291" i="1" s="1"/>
  <c r="J2292" i="1"/>
  <c r="R2292" i="1" s="1"/>
  <c r="J2293" i="1"/>
  <c r="R2293" i="1" s="1"/>
  <c r="J2294" i="1"/>
  <c r="R2294" i="1" s="1"/>
  <c r="J2295" i="1"/>
  <c r="R2295" i="1" s="1"/>
  <c r="J2300" i="1"/>
  <c r="R2300" i="1" s="1"/>
  <c r="J3135" i="1"/>
  <c r="R3135" i="1" s="1"/>
  <c r="J3136" i="1"/>
  <c r="R3136" i="1" s="1"/>
  <c r="J3137" i="1"/>
  <c r="R3137" i="1" s="1"/>
  <c r="J3139" i="1"/>
  <c r="R3139" i="1" s="1"/>
  <c r="J3138" i="1"/>
  <c r="R3138" i="1" s="1"/>
  <c r="J1204" i="1"/>
  <c r="R1204" i="1" s="1"/>
  <c r="J1205" i="1"/>
  <c r="R1205" i="1" s="1"/>
  <c r="J1206" i="1"/>
  <c r="R1206" i="1" s="1"/>
  <c r="J1179" i="1"/>
  <c r="R1179" i="1" s="1"/>
  <c r="J1207" i="1"/>
  <c r="R1207" i="1" s="1"/>
  <c r="J3180" i="1"/>
  <c r="R3180" i="1" s="1"/>
  <c r="J3181" i="1"/>
  <c r="R3181" i="1" s="1"/>
  <c r="J3182" i="1"/>
  <c r="R3182" i="1" s="1"/>
  <c r="J3183" i="1"/>
  <c r="R3183" i="1" s="1"/>
  <c r="J3184" i="1"/>
  <c r="R3184" i="1" s="1"/>
  <c r="J3185" i="1"/>
  <c r="R3185" i="1" s="1"/>
  <c r="J3186" i="1"/>
  <c r="R3186" i="1" s="1"/>
  <c r="J3187" i="1"/>
  <c r="R3187" i="1" s="1"/>
  <c r="J3188" i="1"/>
  <c r="R3188" i="1" s="1"/>
  <c r="J3189" i="1"/>
  <c r="R3189" i="1" s="1"/>
  <c r="J3190" i="1"/>
  <c r="R3190" i="1" s="1"/>
  <c r="J3191" i="1"/>
  <c r="R3191" i="1" s="1"/>
  <c r="J3192" i="1"/>
  <c r="R3192" i="1" s="1"/>
  <c r="J3193" i="1"/>
  <c r="R3193" i="1" s="1"/>
  <c r="J3194" i="1"/>
  <c r="R3194" i="1" s="1"/>
  <c r="J3195" i="1"/>
  <c r="R3195" i="1" s="1"/>
  <c r="J3196" i="1"/>
  <c r="R3196" i="1" s="1"/>
  <c r="J3197" i="1"/>
  <c r="R3197" i="1" s="1"/>
  <c r="J3198" i="1"/>
  <c r="R3198" i="1" s="1"/>
  <c r="J3199" i="1"/>
  <c r="R3199" i="1" s="1"/>
  <c r="J3210" i="1"/>
  <c r="R3210" i="1" s="1"/>
  <c r="J3211" i="1"/>
  <c r="R3211" i="1" s="1"/>
  <c r="J3200" i="1"/>
  <c r="R3200" i="1" s="1"/>
  <c r="J3207" i="1"/>
  <c r="R3207" i="1" s="1"/>
  <c r="J3208" i="1"/>
  <c r="R3208" i="1" s="1"/>
  <c r="J3201" i="1"/>
  <c r="R3201" i="1" s="1"/>
  <c r="J3202" i="1"/>
  <c r="R3202" i="1" s="1"/>
  <c r="J3203" i="1"/>
  <c r="R3203" i="1" s="1"/>
  <c r="J3340" i="1"/>
  <c r="R3340" i="1" s="1"/>
  <c r="J3309" i="1"/>
  <c r="R3309" i="1" s="1"/>
  <c r="J3310" i="1"/>
  <c r="R3310" i="1" s="1"/>
  <c r="J3311" i="1"/>
  <c r="R3311" i="1" s="1"/>
  <c r="J3314" i="1"/>
  <c r="R3314" i="1" s="1"/>
  <c r="J3338" i="1"/>
  <c r="R3338" i="1" s="1"/>
  <c r="J3336" i="1"/>
  <c r="R3336" i="1" s="1"/>
  <c r="J3316" i="1"/>
  <c r="R3316" i="1" s="1"/>
  <c r="J3313" i="1"/>
  <c r="R3313" i="1" s="1"/>
  <c r="J3315" i="1"/>
  <c r="R3315" i="1" s="1"/>
  <c r="J3335" i="1"/>
  <c r="R3335" i="1" s="1"/>
  <c r="J3317" i="1"/>
  <c r="R3317" i="1" s="1"/>
  <c r="J3344" i="1"/>
  <c r="R3344" i="1" s="1"/>
  <c r="J3318" i="1"/>
  <c r="R3318" i="1" s="1"/>
  <c r="J3324" i="1"/>
  <c r="R3324" i="1" s="1"/>
  <c r="J3325" i="1"/>
  <c r="R3325" i="1" s="1"/>
  <c r="J3326" i="1"/>
  <c r="R3326" i="1" s="1"/>
  <c r="J3327" i="1"/>
  <c r="R3327" i="1" s="1"/>
  <c r="J3328" i="1"/>
  <c r="R3328" i="1" s="1"/>
  <c r="J3329" i="1"/>
  <c r="R3329" i="1" s="1"/>
  <c r="J3343" i="1"/>
  <c r="R3343" i="1" s="1"/>
  <c r="J3345" i="1"/>
  <c r="R3345" i="1" s="1"/>
  <c r="J3330" i="1"/>
  <c r="R3330" i="1" s="1"/>
  <c r="J3331" i="1"/>
  <c r="R3331" i="1" s="1"/>
  <c r="J3332" i="1"/>
  <c r="R3332" i="1" s="1"/>
  <c r="J3333" i="1"/>
  <c r="R3333" i="1" s="1"/>
  <c r="J3334" i="1"/>
  <c r="R3334" i="1" s="1"/>
  <c r="J3342" i="1"/>
  <c r="R3342" i="1" s="1"/>
  <c r="J3372" i="1"/>
  <c r="R3372" i="1" s="1"/>
  <c r="J3377" i="1"/>
  <c r="R3377" i="1" s="1"/>
  <c r="J3349" i="1"/>
  <c r="R3349" i="1" s="1"/>
  <c r="Q1955" i="9" s="1"/>
  <c r="J3380" i="1"/>
  <c r="R3380" i="1" s="1"/>
  <c r="J3350" i="1"/>
  <c r="R3350" i="1" s="1"/>
  <c r="J3351" i="1"/>
  <c r="R3351" i="1" s="1"/>
  <c r="J3352" i="1"/>
  <c r="R3352" i="1" s="1"/>
  <c r="J3376" i="1"/>
  <c r="R3376" i="1" s="1"/>
  <c r="J3353" i="1"/>
  <c r="R3353" i="1" s="1"/>
  <c r="J3354" i="1"/>
  <c r="R3354" i="1" s="1"/>
  <c r="J3355" i="1"/>
  <c r="R3355" i="1" s="1"/>
  <c r="J3356" i="1"/>
  <c r="R3356" i="1" s="1"/>
  <c r="J3357" i="1"/>
  <c r="R3357" i="1" s="1"/>
  <c r="J3358" i="1"/>
  <c r="R3358" i="1" s="1"/>
  <c r="J3359" i="1"/>
  <c r="R3359" i="1" s="1"/>
  <c r="J3360" i="1"/>
  <c r="R3360" i="1" s="1"/>
  <c r="J3361" i="1"/>
  <c r="R3361" i="1" s="1"/>
  <c r="J3362" i="1"/>
  <c r="R3362" i="1" s="1"/>
  <c r="J3363" i="1"/>
  <c r="R3363" i="1" s="1"/>
  <c r="J3364" i="1"/>
  <c r="R3364" i="1" s="1"/>
  <c r="J3365" i="1"/>
  <c r="R3365" i="1" s="1"/>
  <c r="J3366" i="1"/>
  <c r="R3366" i="1" s="1"/>
  <c r="J3367" i="1"/>
  <c r="R3367" i="1" s="1"/>
  <c r="J3368" i="1"/>
  <c r="R3368" i="1" s="1"/>
  <c r="J3369" i="1"/>
  <c r="R3369" i="1" s="1"/>
  <c r="J3370" i="1"/>
  <c r="R3370" i="1" s="1"/>
  <c r="J3381" i="1"/>
  <c r="R3381" i="1" s="1"/>
  <c r="J3371" i="1"/>
  <c r="R3371" i="1" s="1"/>
  <c r="J1157" i="1"/>
  <c r="R1157" i="1" s="1"/>
  <c r="J1158" i="1"/>
  <c r="R1158" i="1" s="1"/>
  <c r="J1159" i="1"/>
  <c r="R1159" i="1" s="1"/>
  <c r="J1160" i="1"/>
  <c r="R1160" i="1" s="1"/>
  <c r="J1161" i="1"/>
  <c r="R1161" i="1" s="1"/>
  <c r="J1162" i="1"/>
  <c r="R1162" i="1" s="1"/>
  <c r="J1163" i="1"/>
  <c r="R1163" i="1" s="1"/>
  <c r="J1164" i="1"/>
  <c r="R1164" i="1" s="1"/>
  <c r="J2938" i="1"/>
  <c r="R2938" i="1" s="1"/>
  <c r="J2939" i="1"/>
  <c r="R2939" i="1" s="1"/>
  <c r="J2940" i="1"/>
  <c r="R2940" i="1" s="1"/>
  <c r="J2941" i="1"/>
  <c r="R2941" i="1" s="1"/>
  <c r="J2942" i="1"/>
  <c r="R2942" i="1" s="1"/>
  <c r="J2943" i="1"/>
  <c r="R2943" i="1" s="1"/>
  <c r="J2944" i="1"/>
  <c r="R2944" i="1" s="1"/>
  <c r="J2945" i="1"/>
  <c r="R2945" i="1" s="1"/>
  <c r="J2946" i="1"/>
  <c r="R2946" i="1" s="1"/>
  <c r="J2947" i="1"/>
  <c r="R2947" i="1" s="1"/>
  <c r="J2948" i="1"/>
  <c r="R2948" i="1" s="1"/>
  <c r="J2957" i="1"/>
  <c r="R2957" i="1" s="1"/>
  <c r="J2949" i="1"/>
  <c r="R2949" i="1" s="1"/>
  <c r="J2960" i="1"/>
  <c r="R2960" i="1" s="1"/>
  <c r="J2950" i="1"/>
  <c r="R2950" i="1" s="1"/>
  <c r="J2951" i="1"/>
  <c r="R2951" i="1" s="1"/>
  <c r="J2963" i="1"/>
  <c r="R2963" i="1" s="1"/>
  <c r="J2968" i="1"/>
  <c r="R2968" i="1" s="1"/>
  <c r="J2958" i="1"/>
  <c r="R2958" i="1" s="1"/>
  <c r="J2962" i="1"/>
  <c r="R2962" i="1" s="1"/>
  <c r="J2952" i="1"/>
  <c r="R2952" i="1" s="1"/>
  <c r="J2970" i="1"/>
  <c r="R2970" i="1" s="1"/>
  <c r="J2966" i="1"/>
  <c r="R2966" i="1" s="1"/>
  <c r="J2965" i="1"/>
  <c r="R2965" i="1" s="1"/>
  <c r="J2969" i="1"/>
  <c r="R2969" i="1" s="1"/>
  <c r="J2956" i="1"/>
  <c r="R2956" i="1" s="1"/>
  <c r="J2953" i="1"/>
  <c r="R2953" i="1" s="1"/>
  <c r="J3004" i="1"/>
  <c r="R3004" i="1" s="1"/>
  <c r="J3002" i="1"/>
  <c r="R3002" i="1" s="1"/>
  <c r="J2977" i="1"/>
  <c r="R2977" i="1" s="1"/>
  <c r="J2979" i="1"/>
  <c r="R2979" i="1" s="1"/>
  <c r="J2980" i="1"/>
  <c r="R2980" i="1" s="1"/>
  <c r="J2993" i="1"/>
  <c r="R2993" i="1" s="1"/>
  <c r="J2984" i="1"/>
  <c r="R2984" i="1" s="1"/>
  <c r="J2985" i="1"/>
  <c r="R2985" i="1" s="1"/>
  <c r="J2986" i="1"/>
  <c r="R2986" i="1" s="1"/>
  <c r="J2987" i="1"/>
  <c r="R2987" i="1" s="1"/>
  <c r="J2978" i="1"/>
  <c r="R2978" i="1" s="1"/>
  <c r="J2988" i="1"/>
  <c r="R2988" i="1" s="1"/>
  <c r="J2989" i="1"/>
  <c r="R2989" i="1" s="1"/>
  <c r="J2990" i="1"/>
  <c r="R2990" i="1" s="1"/>
  <c r="J2991" i="1"/>
  <c r="R2991" i="1" s="1"/>
  <c r="J2992" i="1"/>
  <c r="R2992" i="1" s="1"/>
  <c r="J3092" i="1"/>
  <c r="R3092" i="1" s="1"/>
  <c r="J3093" i="1"/>
  <c r="R3093" i="1" s="1"/>
  <c r="J3094" i="1"/>
  <c r="R3094" i="1" s="1"/>
  <c r="J3095" i="1"/>
  <c r="R3095" i="1" s="1"/>
  <c r="J3" i="1"/>
  <c r="J1016" i="1"/>
  <c r="R1016" i="1" s="1"/>
  <c r="J1096" i="1"/>
  <c r="R1096" i="1" s="1"/>
  <c r="J4915" i="1"/>
  <c r="R4915" i="1" s="1"/>
  <c r="J1687" i="1"/>
  <c r="R1687" i="1" s="1"/>
  <c r="J1688" i="1"/>
  <c r="R1688" i="1" s="1"/>
  <c r="J1684" i="1"/>
  <c r="R1684" i="1" s="1"/>
  <c r="J1689" i="1"/>
  <c r="R1689" i="1" s="1"/>
  <c r="J1679" i="1"/>
  <c r="R1679" i="1" s="1"/>
  <c r="J1691" i="1"/>
  <c r="R1691" i="1" s="1"/>
  <c r="J1690" i="1"/>
  <c r="R1690" i="1" s="1"/>
  <c r="J1692" i="1"/>
  <c r="R1692" i="1" s="1"/>
  <c r="J1693" i="1"/>
  <c r="R1693" i="1" s="1"/>
  <c r="J1694" i="1"/>
  <c r="R1694" i="1" s="1"/>
  <c r="J1695" i="1"/>
  <c r="R1695" i="1" s="1"/>
  <c r="J1696" i="1"/>
  <c r="R1696" i="1" s="1"/>
  <c r="J1697" i="1"/>
  <c r="R1697" i="1" s="1"/>
  <c r="J1698" i="1"/>
  <c r="R1698" i="1" s="1"/>
  <c r="J1699" i="1"/>
  <c r="R1699" i="1" s="1"/>
  <c r="J1700" i="1"/>
  <c r="R1700" i="1" s="1"/>
  <c r="J1701" i="1"/>
  <c r="R1701" i="1" s="1"/>
  <c r="J1702" i="1"/>
  <c r="R1702" i="1" s="1"/>
  <c r="J1703" i="1"/>
  <c r="R1703" i="1" s="1"/>
  <c r="J1704" i="1"/>
  <c r="R1704" i="1" s="1"/>
  <c r="J1705" i="1"/>
  <c r="R1705" i="1" s="1"/>
  <c r="J1706" i="1"/>
  <c r="R1706" i="1" s="1"/>
  <c r="J1707" i="1"/>
  <c r="R1707" i="1" s="1"/>
  <c r="J1708" i="1"/>
  <c r="R1708" i="1" s="1"/>
  <c r="J1709" i="1"/>
  <c r="R1709" i="1" s="1"/>
  <c r="J1685" i="1"/>
  <c r="R1685" i="1" s="1"/>
  <c r="J1710" i="1"/>
  <c r="R1710" i="1" s="1"/>
  <c r="J1711" i="1"/>
  <c r="R1711" i="1" s="1"/>
  <c r="J1682" i="1"/>
  <c r="R1682" i="1" s="1"/>
  <c r="J1712" i="1"/>
  <c r="R1712" i="1" s="1"/>
  <c r="J1839" i="1"/>
  <c r="R1839" i="1" s="1"/>
  <c r="J2054" i="1"/>
  <c r="R2054" i="1" s="1"/>
  <c r="J2337" i="1"/>
  <c r="R2337" i="1" s="1"/>
  <c r="J2304" i="1"/>
  <c r="R2304" i="1" s="1"/>
  <c r="J2311" i="1"/>
  <c r="R2311" i="1" s="1"/>
  <c r="J2307" i="1"/>
  <c r="R2307" i="1" s="1"/>
  <c r="J2312" i="1"/>
  <c r="R2312" i="1" s="1"/>
  <c r="J2302" i="1"/>
  <c r="R2302" i="1" s="1"/>
  <c r="J2303" i="1"/>
  <c r="R2303" i="1" s="1"/>
  <c r="J2313" i="1"/>
  <c r="R2313" i="1" s="1"/>
  <c r="J2314" i="1"/>
  <c r="R2314" i="1" s="1"/>
  <c r="J2315" i="1"/>
  <c r="R2315" i="1" s="1"/>
  <c r="J2316" i="1"/>
  <c r="R2316" i="1" s="1"/>
  <c r="J2317" i="1"/>
  <c r="R2317" i="1" s="1"/>
  <c r="J2318" i="1"/>
  <c r="R2318" i="1" s="1"/>
  <c r="J2319" i="1"/>
  <c r="R2319" i="1" s="1"/>
  <c r="J2320" i="1"/>
  <c r="R2320" i="1" s="1"/>
  <c r="J2321" i="1"/>
  <c r="R2321" i="1" s="1"/>
  <c r="J2322" i="1"/>
  <c r="R2322" i="1" s="1"/>
  <c r="J2323" i="1"/>
  <c r="R2323" i="1" s="1"/>
  <c r="J2324" i="1"/>
  <c r="R2324" i="1" s="1"/>
  <c r="J2325" i="1"/>
  <c r="R2325" i="1" s="1"/>
  <c r="J2326" i="1"/>
  <c r="R2326" i="1" s="1"/>
  <c r="J2327" i="1"/>
  <c r="R2327" i="1" s="1"/>
  <c r="J2328" i="1"/>
  <c r="R2328" i="1" s="1"/>
  <c r="J2329" i="1"/>
  <c r="R2329" i="1" s="1"/>
  <c r="J2330" i="1"/>
  <c r="R2330" i="1" s="1"/>
  <c r="J2331" i="1"/>
  <c r="R2331" i="1" s="1"/>
  <c r="J2332" i="1"/>
  <c r="R2332" i="1" s="1"/>
  <c r="J2338" i="1"/>
  <c r="R2338" i="1" s="1"/>
  <c r="J2305" i="1"/>
  <c r="R2305" i="1" s="1"/>
  <c r="J2333" i="1"/>
  <c r="R2333" i="1" s="1"/>
  <c r="J2433" i="1"/>
  <c r="R2433" i="1" s="1"/>
  <c r="J2460" i="1"/>
  <c r="R2460" i="1" s="1"/>
  <c r="J2461" i="1"/>
  <c r="R2461" i="1" s="1"/>
  <c r="J2462" i="1"/>
  <c r="R2462" i="1" s="1"/>
  <c r="J2463" i="1"/>
  <c r="R2463" i="1" s="1"/>
  <c r="J2464" i="1"/>
  <c r="R2464" i="1" s="1"/>
  <c r="J2858" i="1"/>
  <c r="R2858" i="1" s="1"/>
  <c r="J2861" i="1"/>
  <c r="R2861" i="1" s="1"/>
  <c r="J2862" i="1"/>
  <c r="R2862" i="1" s="1"/>
  <c r="J2863" i="1"/>
  <c r="R2863" i="1" s="1"/>
  <c r="J4965" i="1"/>
  <c r="R4965" i="1" s="1"/>
  <c r="J4995" i="1"/>
  <c r="R4995" i="1" s="1"/>
  <c r="J4970" i="1"/>
  <c r="R4970" i="1" s="1"/>
  <c r="J4972" i="1"/>
  <c r="R4972" i="1" s="1"/>
  <c r="J4993" i="1"/>
  <c r="R4993" i="1" s="1"/>
  <c r="J4969" i="1"/>
  <c r="R4969" i="1" s="1"/>
  <c r="J4971" i="1"/>
  <c r="R4971" i="1" s="1"/>
  <c r="J4976" i="1"/>
  <c r="R4976" i="1" s="1"/>
  <c r="J4977" i="1"/>
  <c r="R4977" i="1" s="1"/>
  <c r="J4978" i="1"/>
  <c r="R4978" i="1" s="1"/>
  <c r="J4979" i="1"/>
  <c r="R4979" i="1" s="1"/>
  <c r="J4980" i="1"/>
  <c r="R4980" i="1" s="1"/>
  <c r="J4981" i="1"/>
  <c r="R4981" i="1" s="1"/>
  <c r="J4982" i="1"/>
  <c r="R4982" i="1" s="1"/>
  <c r="J4983" i="1"/>
  <c r="R4983" i="1" s="1"/>
  <c r="J4984" i="1"/>
  <c r="R4984" i="1" s="1"/>
  <c r="J4985" i="1"/>
  <c r="R4985" i="1" s="1"/>
  <c r="J4986" i="1"/>
  <c r="R4986" i="1" s="1"/>
  <c r="J4987" i="1"/>
  <c r="R4987" i="1" s="1"/>
  <c r="J4988" i="1"/>
  <c r="R4988" i="1" s="1"/>
  <c r="J4989" i="1"/>
  <c r="R4989" i="1" s="1"/>
  <c r="J4996" i="1"/>
  <c r="R4996" i="1" s="1"/>
  <c r="J2928" i="1"/>
  <c r="R2928" i="1" s="1"/>
  <c r="J3081" i="1"/>
  <c r="R3081" i="1" s="1"/>
  <c r="J3082" i="1"/>
  <c r="R3082" i="1" s="1"/>
  <c r="J3090" i="1"/>
  <c r="R3090" i="1" s="1"/>
  <c r="J3091" i="1"/>
  <c r="R3091" i="1" s="1"/>
  <c r="J3083" i="1"/>
  <c r="R3083" i="1" s="1"/>
  <c r="J3088" i="1"/>
  <c r="R3088" i="1" s="1"/>
  <c r="J3086" i="1"/>
  <c r="R3086" i="1" s="1"/>
  <c r="J3084" i="1"/>
  <c r="R3084" i="1" s="1"/>
  <c r="J3085" i="1"/>
  <c r="R3085" i="1" s="1"/>
  <c r="J3264" i="1"/>
  <c r="R3264" i="1" s="1"/>
  <c r="J3413" i="1"/>
  <c r="R3413" i="1" s="1"/>
  <c r="J3416" i="1"/>
  <c r="R3416" i="1" s="1"/>
  <c r="J3388" i="1"/>
  <c r="R3388" i="1" s="1"/>
  <c r="Q1543" i="9" s="1"/>
  <c r="J3382" i="1"/>
  <c r="R3382" i="1" s="1"/>
  <c r="J3412" i="1"/>
  <c r="R3412" i="1" s="1"/>
  <c r="J3389" i="1"/>
  <c r="R3389" i="1" s="1"/>
  <c r="J3390" i="1"/>
  <c r="R3390" i="1" s="1"/>
  <c r="J3391" i="1"/>
  <c r="R3391" i="1" s="1"/>
  <c r="J3383" i="1"/>
  <c r="R3383" i="1" s="1"/>
  <c r="J3392" i="1"/>
  <c r="R3392" i="1" s="1"/>
  <c r="J3393" i="1"/>
  <c r="R3393" i="1" s="1"/>
  <c r="J3394" i="1"/>
  <c r="R3394" i="1" s="1"/>
  <c r="J3395" i="1"/>
  <c r="R3395" i="1" s="1"/>
  <c r="J3396" i="1"/>
  <c r="R3396" i="1" s="1"/>
  <c r="J3397" i="1"/>
  <c r="R3397" i="1" s="1"/>
  <c r="J3398" i="1"/>
  <c r="R3398" i="1" s="1"/>
  <c r="J3399" i="1"/>
  <c r="R3399" i="1" s="1"/>
  <c r="J3400" i="1"/>
  <c r="R3400" i="1" s="1"/>
  <c r="J3401" i="1"/>
  <c r="R3401" i="1" s="1"/>
  <c r="J3384" i="1"/>
  <c r="R3384" i="1" s="1"/>
  <c r="J3402" i="1"/>
  <c r="R3402" i="1" s="1"/>
  <c r="J3403" i="1"/>
  <c r="R3403" i="1" s="1"/>
  <c r="J3404" i="1"/>
  <c r="R3404" i="1" s="1"/>
  <c r="J3405" i="1"/>
  <c r="R3405" i="1" s="1"/>
  <c r="J3406" i="1"/>
  <c r="R3406" i="1" s="1"/>
  <c r="J3407" i="1"/>
  <c r="R3407" i="1" s="1"/>
  <c r="J3408" i="1"/>
  <c r="R3408" i="1" s="1"/>
  <c r="J3417" i="1"/>
  <c r="R3417" i="1" s="1"/>
  <c r="J3409" i="1"/>
  <c r="R3409" i="1" s="1"/>
  <c r="J3830" i="1"/>
  <c r="R3830" i="1" s="1"/>
  <c r="J3831" i="1"/>
  <c r="R3831" i="1" s="1"/>
  <c r="J3832" i="1"/>
  <c r="R3832" i="1" s="1"/>
  <c r="J3833" i="1"/>
  <c r="R3833" i="1" s="1"/>
  <c r="J3834" i="1"/>
  <c r="R3834" i="1" s="1"/>
  <c r="J3835" i="1"/>
  <c r="R3835" i="1" s="1"/>
  <c r="J3836" i="1"/>
  <c r="R3836" i="1" s="1"/>
  <c r="J1982" i="1"/>
  <c r="R1982" i="1" s="1"/>
  <c r="J1984" i="1"/>
  <c r="R1984" i="1" s="1"/>
  <c r="J1986" i="1"/>
  <c r="R1986" i="1" s="1"/>
  <c r="J1973" i="1"/>
  <c r="R1973" i="1" s="1"/>
  <c r="J1969" i="1"/>
  <c r="R1969" i="1" s="1"/>
  <c r="J1971" i="1"/>
  <c r="R1971" i="1" s="1"/>
  <c r="J1991" i="1"/>
  <c r="R1991" i="1" s="1"/>
  <c r="J1970" i="1"/>
  <c r="R1970" i="1" s="1"/>
  <c r="J1980" i="1"/>
  <c r="R1980" i="1" s="1"/>
  <c r="J1972" i="1"/>
  <c r="R1972" i="1" s="1"/>
  <c r="J1974" i="1"/>
  <c r="R1974" i="1" s="1"/>
  <c r="J1976" i="1"/>
  <c r="R1976" i="1" s="1"/>
  <c r="J1979" i="1"/>
  <c r="R1979" i="1" s="1"/>
  <c r="J1992" i="1"/>
  <c r="R1992" i="1" s="1"/>
  <c r="J1993" i="1"/>
  <c r="R1993" i="1" s="1"/>
  <c r="J1994" i="1"/>
  <c r="R1994" i="1" s="1"/>
  <c r="J1995" i="1"/>
  <c r="R1995" i="1" s="1"/>
  <c r="J1996" i="1"/>
  <c r="R1996" i="1" s="1"/>
  <c r="J1997" i="1"/>
  <c r="R1997" i="1" s="1"/>
  <c r="J1998" i="1"/>
  <c r="R1998" i="1" s="1"/>
  <c r="J1999" i="1"/>
  <c r="R1999" i="1" s="1"/>
  <c r="J2000" i="1"/>
  <c r="R2000" i="1" s="1"/>
  <c r="J2001" i="1"/>
  <c r="R2001" i="1" s="1"/>
  <c r="J2002" i="1"/>
  <c r="R2002" i="1" s="1"/>
  <c r="J2003" i="1"/>
  <c r="R2003" i="1" s="1"/>
  <c r="J2004" i="1"/>
  <c r="R2004" i="1" s="1"/>
  <c r="J2005" i="1"/>
  <c r="R2005" i="1" s="1"/>
  <c r="J1988" i="1"/>
  <c r="R1988" i="1" s="1"/>
  <c r="J2787" i="1"/>
  <c r="R2787" i="1" s="1"/>
  <c r="J2818" i="1"/>
  <c r="R2818" i="1" s="1"/>
  <c r="J2788" i="1"/>
  <c r="R2788" i="1" s="1"/>
  <c r="J2789" i="1"/>
  <c r="R2789" i="1" s="1"/>
  <c r="J2790" i="1"/>
  <c r="R2790" i="1" s="1"/>
  <c r="J2791" i="1"/>
  <c r="R2791" i="1" s="1"/>
  <c r="J2792" i="1"/>
  <c r="R2792" i="1" s="1"/>
  <c r="J2793" i="1"/>
  <c r="R2793" i="1" s="1"/>
  <c r="J2794" i="1"/>
  <c r="R2794" i="1" s="1"/>
  <c r="J2795" i="1"/>
  <c r="R2795" i="1" s="1"/>
  <c r="J2796" i="1"/>
  <c r="R2796" i="1" s="1"/>
  <c r="J2797" i="1"/>
  <c r="R2797" i="1" s="1"/>
  <c r="J2798" i="1"/>
  <c r="R2798" i="1" s="1"/>
  <c r="J2799" i="1"/>
  <c r="R2799" i="1" s="1"/>
  <c r="J2800" i="1"/>
  <c r="R2800" i="1" s="1"/>
  <c r="J2801" i="1"/>
  <c r="R2801" i="1" s="1"/>
  <c r="J2802" i="1"/>
  <c r="R2802" i="1" s="1"/>
  <c r="J2803" i="1"/>
  <c r="R2803" i="1" s="1"/>
  <c r="J2804" i="1"/>
  <c r="R2804" i="1" s="1"/>
  <c r="J2805" i="1"/>
  <c r="R2805" i="1" s="1"/>
  <c r="J2806" i="1"/>
  <c r="R2806" i="1" s="1"/>
  <c r="J2819" i="1"/>
  <c r="R2819" i="1" s="1"/>
  <c r="J2807" i="1"/>
  <c r="R2807" i="1" s="1"/>
  <c r="J2808" i="1"/>
  <c r="R2808" i="1" s="1"/>
  <c r="J2814" i="1"/>
  <c r="R2814" i="1" s="1"/>
  <c r="J2815" i="1"/>
  <c r="R2815" i="1" s="1"/>
  <c r="J2810" i="1"/>
  <c r="R2810" i="1" s="1"/>
  <c r="J2811" i="1"/>
  <c r="R2811" i="1" s="1"/>
  <c r="J4110" i="1"/>
  <c r="R4110" i="1" s="1"/>
  <c r="J4120" i="1"/>
  <c r="R4120" i="1" s="1"/>
  <c r="J4128" i="1"/>
  <c r="R4128" i="1" s="1"/>
  <c r="J4138" i="1"/>
  <c r="R4138" i="1" s="1"/>
  <c r="J4147" i="1"/>
  <c r="R4147" i="1" s="1"/>
  <c r="J4156" i="1"/>
  <c r="R4156" i="1" s="1"/>
  <c r="J4165" i="1"/>
  <c r="R4165" i="1" s="1"/>
  <c r="J320" i="1"/>
  <c r="R320" i="1" s="1"/>
  <c r="J329" i="1"/>
  <c r="R329" i="1" s="1"/>
  <c r="J346" i="1"/>
  <c r="R346" i="1" s="1"/>
  <c r="J350" i="1"/>
  <c r="R350" i="1" s="1"/>
  <c r="J357" i="1"/>
  <c r="R357" i="1" s="1"/>
  <c r="J364" i="1"/>
  <c r="R364" i="1" s="1"/>
  <c r="J371" i="1"/>
  <c r="R371" i="1" s="1"/>
  <c r="J379" i="1"/>
  <c r="R379" i="1" s="1"/>
  <c r="J384" i="1"/>
  <c r="R384" i="1" s="1"/>
  <c r="J389" i="1"/>
  <c r="R389" i="1" s="1"/>
  <c r="J394" i="1"/>
  <c r="R394" i="1" s="1"/>
  <c r="J399" i="1"/>
  <c r="R399" i="1" s="1"/>
  <c r="J4387" i="1"/>
  <c r="R4387" i="1" s="1"/>
  <c r="J4390" i="1"/>
  <c r="R4390" i="1" s="1"/>
  <c r="J413" i="1"/>
  <c r="R413" i="1" s="1"/>
  <c r="J682" i="1"/>
  <c r="R682" i="1" s="1"/>
  <c r="J696" i="1"/>
  <c r="R696" i="1" s="1"/>
  <c r="J717" i="1"/>
  <c r="R717" i="1" s="1"/>
  <c r="J727" i="1"/>
  <c r="R727" i="1" s="1"/>
  <c r="J731" i="1"/>
  <c r="R731" i="1" s="1"/>
  <c r="J743" i="1"/>
  <c r="R743" i="1" s="1"/>
  <c r="J750" i="1"/>
  <c r="R750" i="1" s="1"/>
  <c r="J759" i="1"/>
  <c r="R759" i="1" s="1"/>
  <c r="J995" i="1"/>
  <c r="R995" i="1" s="1"/>
  <c r="J2224" i="1"/>
  <c r="R2224" i="1" s="1"/>
  <c r="J2915" i="1"/>
  <c r="R2915" i="1" s="1"/>
  <c r="J3615" i="1"/>
  <c r="R3615" i="1" s="1"/>
  <c r="J3616" i="1"/>
  <c r="R3616" i="1" s="1"/>
  <c r="J3617" i="1"/>
  <c r="R3617" i="1" s="1"/>
  <c r="J3618" i="1"/>
  <c r="R3618" i="1" s="1"/>
  <c r="J3619" i="1"/>
  <c r="R3619" i="1" s="1"/>
  <c r="J3620" i="1"/>
  <c r="R3620" i="1" s="1"/>
  <c r="J3633" i="1"/>
  <c r="R3633" i="1" s="1"/>
  <c r="J3631" i="1"/>
  <c r="R3631" i="1" s="1"/>
  <c r="J3621" i="1"/>
  <c r="R3621" i="1" s="1"/>
  <c r="J3622" i="1"/>
  <c r="R3622" i="1" s="1"/>
  <c r="J3685" i="1"/>
  <c r="R3685" i="1" s="1"/>
  <c r="J2713" i="1"/>
  <c r="R2713" i="1" s="1"/>
  <c r="J2720" i="1"/>
  <c r="R2720" i="1" s="1"/>
  <c r="J2721" i="1"/>
  <c r="R2721" i="1" s="1"/>
  <c r="J2722" i="1"/>
  <c r="R2722" i="1" s="1"/>
  <c r="J2723" i="1"/>
  <c r="R2723" i="1" s="1"/>
  <c r="J2724" i="1"/>
  <c r="R2724" i="1" s="1"/>
  <c r="J2725" i="1"/>
  <c r="R2725" i="1" s="1"/>
  <c r="J2726" i="1"/>
  <c r="R2726" i="1" s="1"/>
  <c r="J2727" i="1"/>
  <c r="R2727" i="1" s="1"/>
  <c r="J2728" i="1"/>
  <c r="R2728" i="1" s="1"/>
  <c r="J2729" i="1"/>
  <c r="R2729" i="1" s="1"/>
  <c r="J2730" i="1"/>
  <c r="R2730" i="1" s="1"/>
  <c r="J2731" i="1"/>
  <c r="R2731" i="1" s="1"/>
  <c r="J2732" i="1"/>
  <c r="R2732" i="1" s="1"/>
  <c r="J2733" i="1"/>
  <c r="R2733" i="1" s="1"/>
  <c r="J2734" i="1"/>
  <c r="R2734" i="1" s="1"/>
  <c r="J2735" i="1"/>
  <c r="R2735" i="1" s="1"/>
  <c r="J2736" i="1"/>
  <c r="R2736" i="1" s="1"/>
  <c r="J2737" i="1"/>
  <c r="R2737" i="1" s="1"/>
  <c r="J2738" i="1"/>
  <c r="R2738" i="1" s="1"/>
  <c r="J2739" i="1"/>
  <c r="R2739" i="1" s="1"/>
  <c r="J2746" i="1"/>
  <c r="R2746" i="1" s="1"/>
  <c r="J2747" i="1"/>
  <c r="R2747" i="1" s="1"/>
  <c r="J2740" i="1"/>
  <c r="R2740" i="1" s="1"/>
  <c r="J2741" i="1"/>
  <c r="R2741" i="1" s="1"/>
  <c r="J2742" i="1"/>
  <c r="R2742" i="1" s="1"/>
  <c r="J2743" i="1"/>
  <c r="R2743" i="1" s="1"/>
  <c r="J2718" i="1"/>
  <c r="R2718" i="1" s="1"/>
  <c r="J2780" i="1"/>
  <c r="R2780" i="1" s="1"/>
  <c r="J2748" i="1"/>
  <c r="R2748" i="1" s="1"/>
  <c r="J2782" i="1"/>
  <c r="R2782" i="1" s="1"/>
  <c r="J2761" i="1"/>
  <c r="R2761" i="1" s="1"/>
  <c r="J2750" i="1"/>
  <c r="R2750" i="1" s="1"/>
  <c r="J2752" i="1"/>
  <c r="R2752" i="1" s="1"/>
  <c r="J2749" i="1"/>
  <c r="R2749" i="1" s="1"/>
  <c r="J2755" i="1"/>
  <c r="R2755" i="1" s="1"/>
  <c r="J2753" i="1"/>
  <c r="R2753" i="1" s="1"/>
  <c r="J2751" i="1"/>
  <c r="R2751" i="1" s="1"/>
  <c r="J2763" i="1"/>
  <c r="R2763" i="1" s="1"/>
  <c r="J2758" i="1"/>
  <c r="R2758" i="1" s="1"/>
  <c r="J2764" i="1"/>
  <c r="R2764" i="1" s="1"/>
  <c r="J2778" i="1"/>
  <c r="R2778" i="1" s="1"/>
  <c r="J2765" i="1"/>
  <c r="R2765" i="1" s="1"/>
  <c r="Q1432" i="9" s="1"/>
  <c r="J2766" i="1"/>
  <c r="R2766" i="1" s="1"/>
  <c r="J2767" i="1"/>
  <c r="R2767" i="1" s="1"/>
  <c r="J2768" i="1"/>
  <c r="R2768" i="1" s="1"/>
  <c r="J2769" i="1"/>
  <c r="R2769" i="1" s="1"/>
  <c r="J2770" i="1"/>
  <c r="R2770" i="1" s="1"/>
  <c r="J2771" i="1"/>
  <c r="R2771" i="1" s="1"/>
  <c r="J2772" i="1"/>
  <c r="R2772" i="1" s="1"/>
  <c r="J2773" i="1"/>
  <c r="R2773" i="1" s="1"/>
  <c r="J2774" i="1"/>
  <c r="R2774" i="1" s="1"/>
  <c r="J2775" i="1"/>
  <c r="R2775" i="1" s="1"/>
  <c r="J2776" i="1"/>
  <c r="R2776" i="1" s="1"/>
  <c r="J2777" i="1"/>
  <c r="R2777" i="1" s="1"/>
  <c r="J2784" i="1"/>
  <c r="R2784" i="1" s="1"/>
  <c r="J2226" i="1"/>
  <c r="R2226" i="1" s="1"/>
  <c r="J2240" i="1"/>
  <c r="R2240" i="1" s="1"/>
  <c r="J2238" i="1"/>
  <c r="R2238" i="1" s="1"/>
  <c r="J2243" i="1"/>
  <c r="R2243" i="1" s="1"/>
  <c r="J2228" i="1"/>
  <c r="R2228" i="1" s="1"/>
  <c r="J2229" i="1"/>
  <c r="R2229" i="1" s="1"/>
  <c r="J2230" i="1"/>
  <c r="R2230" i="1" s="1"/>
  <c r="J2244" i="1"/>
  <c r="R2244" i="1" s="1"/>
  <c r="J2232" i="1"/>
  <c r="R2232" i="1" s="1"/>
  <c r="J2245" i="1"/>
  <c r="R2245" i="1" s="1"/>
  <c r="J2246" i="1"/>
  <c r="R2246" i="1" s="1"/>
  <c r="J2247" i="1"/>
  <c r="R2247" i="1" s="1"/>
  <c r="J2248" i="1"/>
  <c r="R2248" i="1" s="1"/>
  <c r="J2249" i="1"/>
  <c r="R2249" i="1" s="1"/>
  <c r="J2250" i="1"/>
  <c r="R2250" i="1" s="1"/>
  <c r="J2251" i="1"/>
  <c r="R2251" i="1" s="1"/>
  <c r="J2252" i="1"/>
  <c r="R2252" i="1" s="1"/>
  <c r="J2253" i="1"/>
  <c r="R2253" i="1" s="1"/>
  <c r="J2254" i="1"/>
  <c r="R2254" i="1" s="1"/>
  <c r="J2255" i="1"/>
  <c r="R2255" i="1" s="1"/>
  <c r="J2256" i="1"/>
  <c r="R2256" i="1" s="1"/>
  <c r="J2257" i="1"/>
  <c r="R2257" i="1" s="1"/>
  <c r="J2262" i="1"/>
  <c r="R2262" i="1" s="1"/>
  <c r="J2259" i="1"/>
  <c r="R2259" i="1" s="1"/>
  <c r="J2380" i="1"/>
  <c r="R2380" i="1" s="1"/>
  <c r="J2389" i="1"/>
  <c r="R2389" i="1" s="1"/>
  <c r="J2391" i="1"/>
  <c r="R2391" i="1" s="1"/>
  <c r="J2373" i="1"/>
  <c r="R2373" i="1" s="1"/>
  <c r="J2408" i="1"/>
  <c r="R2408" i="1" s="1"/>
  <c r="J2381" i="1"/>
  <c r="R2381" i="1" s="1"/>
  <c r="J2382" i="1"/>
  <c r="R2382" i="1" s="1"/>
  <c r="J2378" i="1"/>
  <c r="R2378" i="1" s="1"/>
  <c r="J2374" i="1"/>
  <c r="R2374" i="1" s="1"/>
  <c r="J2375" i="1"/>
  <c r="R2375" i="1" s="1"/>
  <c r="J2383" i="1"/>
  <c r="R2383" i="1" s="1"/>
  <c r="J2379" i="1"/>
  <c r="R2379" i="1" s="1"/>
  <c r="J2386" i="1"/>
  <c r="R2386" i="1" s="1"/>
  <c r="J2387" i="1"/>
  <c r="R2387" i="1" s="1"/>
  <c r="J2384" i="1"/>
  <c r="R2384" i="1" s="1"/>
  <c r="J2395" i="1"/>
  <c r="R2395" i="1" s="1"/>
  <c r="R2390" i="1"/>
  <c r="J2396" i="1"/>
  <c r="R2396" i="1" s="1"/>
  <c r="J2397" i="1"/>
  <c r="R2397" i="1" s="1"/>
  <c r="J2398" i="1"/>
  <c r="R2398" i="1" s="1"/>
  <c r="J2399" i="1"/>
  <c r="R2399" i="1" s="1"/>
  <c r="J2400" i="1"/>
  <c r="R2400" i="1" s="1"/>
  <c r="J2401" i="1"/>
  <c r="R2401" i="1" s="1"/>
  <c r="J2402" i="1"/>
  <c r="R2402" i="1" s="1"/>
  <c r="J2403" i="1"/>
  <c r="R2403" i="1" s="1"/>
  <c r="J2404" i="1"/>
  <c r="R2404" i="1" s="1"/>
  <c r="J2405" i="1"/>
  <c r="R2405" i="1" s="1"/>
  <c r="J2406" i="1"/>
  <c r="R2406" i="1" s="1"/>
  <c r="J2410" i="1"/>
  <c r="R2410" i="1" s="1"/>
  <c r="J2407" i="1"/>
  <c r="R2407" i="1" s="1"/>
  <c r="J2589" i="1"/>
  <c r="R2589" i="1" s="1"/>
  <c r="J2590" i="1"/>
  <c r="R2590" i="1" s="1"/>
  <c r="J2591" i="1"/>
  <c r="R2591" i="1" s="1"/>
  <c r="J2592" i="1"/>
  <c r="R2592" i="1" s="1"/>
  <c r="J2593" i="1"/>
  <c r="R2593" i="1" s="1"/>
  <c r="J2594" i="1"/>
  <c r="R2594" i="1" s="1"/>
  <c r="J2595" i="1"/>
  <c r="R2595" i="1" s="1"/>
  <c r="J2596" i="1"/>
  <c r="R2596" i="1" s="1"/>
  <c r="J2597" i="1"/>
  <c r="R2597" i="1" s="1"/>
  <c r="J2598" i="1"/>
  <c r="R2598" i="1" s="1"/>
  <c r="J2599" i="1"/>
  <c r="R2599" i="1" s="1"/>
  <c r="J2600" i="1"/>
  <c r="R2600" i="1" s="1"/>
  <c r="J2601" i="1"/>
  <c r="R2601" i="1" s="1"/>
  <c r="J2602" i="1"/>
  <c r="R2602" i="1" s="1"/>
  <c r="J2603" i="1"/>
  <c r="R2603" i="1" s="1"/>
  <c r="J2604" i="1"/>
  <c r="R2604" i="1" s="1"/>
  <c r="J2605" i="1"/>
  <c r="R2605" i="1" s="1"/>
  <c r="J2606" i="1"/>
  <c r="R2606" i="1" s="1"/>
  <c r="J2607" i="1"/>
  <c r="R2607" i="1" s="1"/>
  <c r="J2608" i="1"/>
  <c r="R2608" i="1" s="1"/>
  <c r="J2614" i="1"/>
  <c r="R2614" i="1" s="1"/>
  <c r="J2615" i="1"/>
  <c r="R2615" i="1" s="1"/>
  <c r="J2609" i="1"/>
  <c r="R2609" i="1" s="1"/>
  <c r="J2610" i="1"/>
  <c r="R2610" i="1" s="1"/>
  <c r="J2583" i="1"/>
  <c r="R2583" i="1" s="1"/>
  <c r="J2581" i="1"/>
  <c r="R2581" i="1" s="1"/>
  <c r="J2611" i="1"/>
  <c r="R2611" i="1" s="1"/>
  <c r="J2612" i="1"/>
  <c r="R2612" i="1" s="1"/>
  <c r="J3458" i="1"/>
  <c r="R3458" i="1" s="1"/>
  <c r="J3459" i="1"/>
  <c r="R3459" i="1" s="1"/>
  <c r="J3460" i="1"/>
  <c r="R3460" i="1" s="1"/>
  <c r="J3461" i="1"/>
  <c r="R3461" i="1" s="1"/>
  <c r="J3462" i="1"/>
  <c r="R3462" i="1" s="1"/>
  <c r="J3463" i="1"/>
  <c r="R3463" i="1" s="1"/>
  <c r="J3464" i="1"/>
  <c r="R3464" i="1" s="1"/>
  <c r="Q1997" i="9" s="1"/>
  <c r="J3465" i="1"/>
  <c r="R3465" i="1" s="1"/>
  <c r="J3466" i="1"/>
  <c r="R3466" i="1" s="1"/>
  <c r="J3467" i="1"/>
  <c r="R3467" i="1" s="1"/>
  <c r="J3468" i="1"/>
  <c r="R3468" i="1" s="1"/>
  <c r="J3469" i="1"/>
  <c r="R3469" i="1" s="1"/>
  <c r="J3470" i="1"/>
  <c r="R3470" i="1" s="1"/>
  <c r="J3471" i="1"/>
  <c r="R3471" i="1" s="1"/>
  <c r="J3472" i="1"/>
  <c r="R3472" i="1" s="1"/>
  <c r="J3473" i="1"/>
  <c r="R3473" i="1" s="1"/>
  <c r="J3474" i="1"/>
  <c r="R3474" i="1" s="1"/>
  <c r="J3475" i="1"/>
  <c r="R3475" i="1" s="1"/>
  <c r="J3476" i="1"/>
  <c r="R3476" i="1" s="1"/>
  <c r="J3477" i="1"/>
  <c r="R3477" i="1" s="1"/>
  <c r="J3489" i="1"/>
  <c r="R3489" i="1" s="1"/>
  <c r="J3490" i="1"/>
  <c r="R3490" i="1" s="1"/>
  <c r="J3478" i="1"/>
  <c r="R3478" i="1" s="1"/>
  <c r="J3479" i="1"/>
  <c r="R3479" i="1" s="1"/>
  <c r="J3485" i="1"/>
  <c r="R3485" i="1" s="1"/>
  <c r="J3486" i="1"/>
  <c r="R3486" i="1" s="1"/>
  <c r="J3480" i="1"/>
  <c r="R3480" i="1" s="1"/>
  <c r="J3481" i="1"/>
  <c r="R3481" i="1" s="1"/>
  <c r="J3482" i="1"/>
  <c r="R3482" i="1" s="1"/>
  <c r="J3494" i="1"/>
  <c r="R3494" i="1" s="1"/>
  <c r="J3507" i="1"/>
  <c r="R3507" i="1" s="1"/>
  <c r="J3508" i="1"/>
  <c r="R3508" i="1" s="1"/>
  <c r="J3510" i="1"/>
  <c r="R3510" i="1" s="1"/>
  <c r="J3511" i="1"/>
  <c r="R3511" i="1" s="1"/>
  <c r="Q2026" i="9" s="1"/>
  <c r="J3492" i="1"/>
  <c r="R3492" i="1" s="1"/>
  <c r="J3497" i="1"/>
  <c r="R3497" i="1" s="1"/>
  <c r="J3499" i="1"/>
  <c r="R3499" i="1" s="1"/>
  <c r="J3495" i="1"/>
  <c r="R3495" i="1" s="1"/>
  <c r="J3517" i="1"/>
  <c r="R3517" i="1" s="1"/>
  <c r="Q2029" i="9" s="1"/>
  <c r="J3501" i="1"/>
  <c r="R3501" i="1" s="1"/>
  <c r="J3506" i="1"/>
  <c r="R3506" i="1" s="1"/>
  <c r="J3509" i="1"/>
  <c r="R3509" i="1" s="1"/>
  <c r="J3512" i="1"/>
  <c r="R3512" i="1" s="1"/>
  <c r="Q2027" i="9" s="1"/>
  <c r="J3519" i="1"/>
  <c r="R3519" i="1" s="1"/>
  <c r="J3520" i="1"/>
  <c r="R3520" i="1" s="1"/>
  <c r="J3521" i="1"/>
  <c r="R3521" i="1" s="1"/>
  <c r="J3522" i="1"/>
  <c r="R3522" i="1" s="1"/>
  <c r="J3523" i="1"/>
  <c r="R3523" i="1" s="1"/>
  <c r="Q2030" i="9" s="1"/>
  <c r="J3524" i="1"/>
  <c r="R3524" i="1" s="1"/>
  <c r="Q2031" i="9" s="1"/>
  <c r="J3525" i="1"/>
  <c r="R3525" i="1" s="1"/>
  <c r="J3513" i="1"/>
  <c r="R3513" i="1" s="1"/>
  <c r="J3514" i="1"/>
  <c r="R3514" i="1" s="1"/>
  <c r="J3515" i="1"/>
  <c r="R3515" i="1" s="1"/>
  <c r="J3516" i="1"/>
  <c r="R3516" i="1" s="1"/>
  <c r="Q2028" i="9" s="1"/>
  <c r="J3518" i="1"/>
  <c r="R3518" i="1" s="1"/>
  <c r="J3491" i="1"/>
  <c r="R3491" i="1" s="1"/>
  <c r="J3503" i="1"/>
  <c r="R3503" i="1" s="1"/>
  <c r="J3142" i="1"/>
  <c r="R3142" i="1" s="1"/>
  <c r="J3141" i="1"/>
  <c r="R3141" i="1" s="1"/>
  <c r="J3144" i="1"/>
  <c r="R3144" i="1" s="1"/>
  <c r="J3176" i="1"/>
  <c r="R3176" i="1" s="1"/>
  <c r="J3173" i="1"/>
  <c r="R3173" i="1" s="1"/>
  <c r="J3157" i="1"/>
  <c r="R3157" i="1" s="1"/>
  <c r="J3145" i="1"/>
  <c r="R3145" i="1" s="1"/>
  <c r="J3150" i="1"/>
  <c r="R3150" i="1" s="1"/>
  <c r="J3147" i="1"/>
  <c r="R3147" i="1" s="1"/>
  <c r="J3171" i="1"/>
  <c r="R3171" i="1" s="1"/>
  <c r="J3170" i="1"/>
  <c r="R3170" i="1" s="1"/>
  <c r="J3152" i="1"/>
  <c r="R3152" i="1" s="1"/>
  <c r="J3158" i="1"/>
  <c r="R3158" i="1" s="1"/>
  <c r="J3153" i="1"/>
  <c r="R3153" i="1" s="1"/>
  <c r="J3159" i="1"/>
  <c r="R3159" i="1" s="1"/>
  <c r="J3160" i="1"/>
  <c r="R3160" i="1" s="1"/>
  <c r="J3161" i="1"/>
  <c r="R3161" i="1" s="1"/>
  <c r="J3162" i="1"/>
  <c r="R3162" i="1" s="1"/>
  <c r="J3163" i="1"/>
  <c r="R3163" i="1" s="1"/>
  <c r="J3164" i="1"/>
  <c r="R3164" i="1" s="1"/>
  <c r="J3151" i="1"/>
  <c r="R3151" i="1" s="1"/>
  <c r="J3143" i="1"/>
  <c r="R3143" i="1" s="1"/>
  <c r="J3165" i="1"/>
  <c r="R3165" i="1" s="1"/>
  <c r="J3166" i="1"/>
  <c r="R3166" i="1" s="1"/>
  <c r="J3167" i="1"/>
  <c r="R3167" i="1" s="1"/>
  <c r="J3168" i="1"/>
  <c r="R3168" i="1" s="1"/>
  <c r="J3169" i="1"/>
  <c r="R3169" i="1" s="1"/>
  <c r="J3177" i="1"/>
  <c r="R3177" i="1" s="1"/>
  <c r="J3078" i="1"/>
  <c r="R3078" i="1" s="1"/>
  <c r="J3044" i="1"/>
  <c r="R3044" i="1" s="1"/>
  <c r="J3045" i="1"/>
  <c r="R3045" i="1" s="1"/>
  <c r="J3074" i="1"/>
  <c r="R3074" i="1" s="1"/>
  <c r="J3047" i="1"/>
  <c r="R3047" i="1" s="1"/>
  <c r="J3046" i="1"/>
  <c r="R3046" i="1" s="1"/>
  <c r="J3048" i="1"/>
  <c r="R3048" i="1" s="1"/>
  <c r="J3076" i="1"/>
  <c r="R3076" i="1" s="1"/>
  <c r="J3061" i="1"/>
  <c r="R3061" i="1" s="1"/>
  <c r="J3060" i="1"/>
  <c r="R3060" i="1" s="1"/>
  <c r="J3052" i="1"/>
  <c r="R3052" i="1" s="1"/>
  <c r="J3054" i="1"/>
  <c r="R3054" i="1" s="1"/>
  <c r="J3055" i="1"/>
  <c r="R3055" i="1" s="1"/>
  <c r="J3056" i="1"/>
  <c r="R3056" i="1" s="1"/>
  <c r="J3057" i="1"/>
  <c r="R3057" i="1" s="1"/>
  <c r="J3062" i="1"/>
  <c r="R3062" i="1" s="1"/>
  <c r="J3063" i="1"/>
  <c r="R3063" i="1" s="1"/>
  <c r="J3064" i="1"/>
  <c r="R3064" i="1" s="1"/>
  <c r="J3065" i="1"/>
  <c r="R3065" i="1" s="1"/>
  <c r="J3066" i="1"/>
  <c r="R3066" i="1" s="1"/>
  <c r="J3067" i="1"/>
  <c r="R3067" i="1" s="1"/>
  <c r="J3068" i="1"/>
  <c r="R3068" i="1" s="1"/>
  <c r="J3069" i="1"/>
  <c r="R3069" i="1" s="1"/>
  <c r="J3070" i="1"/>
  <c r="R3070" i="1" s="1"/>
  <c r="J3071" i="1"/>
  <c r="R3071" i="1" s="1"/>
  <c r="J3072" i="1"/>
  <c r="R3072" i="1" s="1"/>
  <c r="J3080" i="1"/>
  <c r="R3080" i="1" s="1"/>
  <c r="J3073" i="1"/>
  <c r="R3073" i="1" s="1"/>
  <c r="J1925" i="1"/>
  <c r="R1925" i="1" s="1"/>
  <c r="J2868" i="1"/>
  <c r="R2868" i="1" s="1"/>
  <c r="J2885" i="1"/>
  <c r="R2885" i="1" s="1"/>
  <c r="J2869" i="1"/>
  <c r="R2869" i="1" s="1"/>
  <c r="J2857" i="1"/>
  <c r="R2857" i="1" s="1"/>
  <c r="J2889" i="1"/>
  <c r="R2889" i="1" s="1"/>
  <c r="J2870" i="1"/>
  <c r="R2870" i="1" s="1"/>
  <c r="J2871" i="1"/>
  <c r="R2871" i="1" s="1"/>
  <c r="J2872" i="1"/>
  <c r="R2872" i="1" s="1"/>
  <c r="J2873" i="1"/>
  <c r="R2873" i="1" s="1"/>
  <c r="J2874" i="1"/>
  <c r="R2874" i="1" s="1"/>
  <c r="J2875" i="1"/>
  <c r="R2875" i="1" s="1"/>
  <c r="J2876" i="1"/>
  <c r="R2876" i="1" s="1"/>
  <c r="J2877" i="1"/>
  <c r="R2877" i="1" s="1"/>
  <c r="J2878" i="1"/>
  <c r="R2878" i="1" s="1"/>
  <c r="J2879" i="1"/>
  <c r="R2879" i="1" s="1"/>
  <c r="J2880" i="1"/>
  <c r="R2880" i="1" s="1"/>
  <c r="J2890" i="1"/>
  <c r="R2890" i="1" s="1"/>
  <c r="J2881" i="1"/>
  <c r="R2881" i="1" s="1"/>
  <c r="J4932" i="1"/>
  <c r="R4932" i="1" s="1"/>
  <c r="J4933" i="1"/>
  <c r="R4933" i="1" s="1"/>
  <c r="J4934" i="1"/>
  <c r="R4934" i="1" s="1"/>
  <c r="J4935" i="1"/>
  <c r="R4935" i="1" s="1"/>
  <c r="J4936" i="1"/>
  <c r="R4936" i="1" s="1"/>
  <c r="J4937" i="1"/>
  <c r="R4937" i="1" s="1"/>
  <c r="J4938" i="1"/>
  <c r="R4938" i="1" s="1"/>
  <c r="J4939" i="1"/>
  <c r="R4939" i="1" s="1"/>
  <c r="J4940" i="1"/>
  <c r="R4940" i="1" s="1"/>
  <c r="J4941" i="1"/>
  <c r="R4941" i="1" s="1"/>
  <c r="J4942" i="1"/>
  <c r="R4942" i="1" s="1"/>
  <c r="J4943" i="1"/>
  <c r="R4943" i="1" s="1"/>
  <c r="J4944" i="1"/>
  <c r="R4944" i="1" s="1"/>
  <c r="J4945" i="1"/>
  <c r="R4945" i="1" s="1"/>
  <c r="J4946" i="1"/>
  <c r="R4946" i="1" s="1"/>
  <c r="J4947" i="1"/>
  <c r="R4947" i="1" s="1"/>
  <c r="J4948" i="1"/>
  <c r="R4948" i="1" s="1"/>
  <c r="J4960" i="1"/>
  <c r="R4960" i="1" s="1"/>
  <c r="J4961" i="1"/>
  <c r="R4961" i="1" s="1"/>
  <c r="J4949" i="1"/>
  <c r="R4949" i="1" s="1"/>
  <c r="J4950" i="1"/>
  <c r="R4950" i="1" s="1"/>
  <c r="J4958" i="1"/>
  <c r="R4958" i="1" s="1"/>
  <c r="J4951" i="1"/>
  <c r="R4951" i="1" s="1"/>
  <c r="J4952" i="1"/>
  <c r="R4952" i="1" s="1"/>
  <c r="J3132" i="1"/>
  <c r="R3132" i="1" s="1"/>
  <c r="J3128" i="1"/>
  <c r="R3128" i="1" s="1"/>
  <c r="J3103" i="1"/>
  <c r="R3103" i="1" s="1"/>
  <c r="J3104" i="1"/>
  <c r="R3104" i="1" s="1"/>
  <c r="J3130" i="1"/>
  <c r="R3130" i="1" s="1"/>
  <c r="Q1861" i="9" s="1"/>
  <c r="J3108" i="1"/>
  <c r="R3108" i="1" s="1"/>
  <c r="J3109" i="1"/>
  <c r="R3109" i="1" s="1"/>
  <c r="J3100" i="1"/>
  <c r="R3100" i="1" s="1"/>
  <c r="J3105" i="1"/>
  <c r="R3105" i="1" s="1"/>
  <c r="J3106" i="1"/>
  <c r="R3106" i="1" s="1"/>
  <c r="J3110" i="1"/>
  <c r="R3110" i="1" s="1"/>
  <c r="J3107" i="1"/>
  <c r="R3107" i="1" s="1"/>
  <c r="J3114" i="1"/>
  <c r="R3114" i="1" s="1"/>
  <c r="J3101" i="1"/>
  <c r="R3101" i="1" s="1"/>
  <c r="J3115" i="1"/>
  <c r="R3115" i="1" s="1"/>
  <c r="J3116" i="1"/>
  <c r="R3116" i="1" s="1"/>
  <c r="J3117" i="1"/>
  <c r="R3117" i="1" s="1"/>
  <c r="J3118" i="1"/>
  <c r="R3118" i="1" s="1"/>
  <c r="J3119" i="1"/>
  <c r="R3119" i="1" s="1"/>
  <c r="J3120" i="1"/>
  <c r="R3120" i="1" s="1"/>
  <c r="J3121" i="1"/>
  <c r="R3121" i="1" s="1"/>
  <c r="J3122" i="1"/>
  <c r="R3122" i="1" s="1"/>
  <c r="J3123" i="1"/>
  <c r="R3123" i="1" s="1"/>
  <c r="J3124" i="1"/>
  <c r="R3124" i="1" s="1"/>
  <c r="J3125" i="1"/>
  <c r="R3125" i="1" s="1"/>
  <c r="J3126" i="1"/>
  <c r="R3126" i="1" s="1"/>
  <c r="J3134" i="1"/>
  <c r="R3134" i="1" s="1"/>
  <c r="J3127" i="1"/>
  <c r="R3127" i="1" s="1"/>
  <c r="J958" i="1"/>
  <c r="R958" i="1" s="1"/>
  <c r="J1186" i="1"/>
  <c r="R1186" i="1" s="1"/>
  <c r="J1187" i="1"/>
  <c r="R1187" i="1" s="1"/>
  <c r="J1188" i="1"/>
  <c r="R1188" i="1" s="1"/>
  <c r="J1189" i="1"/>
  <c r="R1189" i="1" s="1"/>
  <c r="J1190" i="1"/>
  <c r="R1190" i="1" s="1"/>
  <c r="J1191" i="1"/>
  <c r="R1191" i="1" s="1"/>
  <c r="J1192" i="1"/>
  <c r="R1192" i="1" s="1"/>
  <c r="J1193" i="1"/>
  <c r="R1193" i="1" s="1"/>
  <c r="J1194" i="1"/>
  <c r="R1194" i="1" s="1"/>
  <c r="J1195" i="1"/>
  <c r="R1195" i="1" s="1"/>
  <c r="J1196" i="1"/>
  <c r="R1196" i="1" s="1"/>
  <c r="J1197" i="1"/>
  <c r="R1197" i="1" s="1"/>
  <c r="J1198" i="1"/>
  <c r="R1198" i="1" s="1"/>
  <c r="J1199" i="1"/>
  <c r="R1199" i="1" s="1"/>
  <c r="J1181" i="1"/>
  <c r="R1181" i="1" s="1"/>
  <c r="J1200" i="1"/>
  <c r="R1200" i="1" s="1"/>
  <c r="J1201" i="1"/>
  <c r="R1201" i="1" s="1"/>
  <c r="J1183" i="1"/>
  <c r="R1183" i="1" s="1"/>
  <c r="J1202" i="1"/>
  <c r="R1202" i="1" s="1"/>
  <c r="J1203" i="1"/>
  <c r="R1203" i="1" s="1"/>
  <c r="J1304" i="1"/>
  <c r="R1304" i="1" s="1"/>
  <c r="J1300" i="1"/>
  <c r="R1300" i="1" s="1"/>
  <c r="J1284" i="1"/>
  <c r="R1284" i="1" s="1"/>
  <c r="J1285" i="1"/>
  <c r="R1285" i="1" s="1"/>
  <c r="J1286" i="1"/>
  <c r="R1286" i="1" s="1"/>
  <c r="J1302" i="1"/>
  <c r="R1302" i="1" s="1"/>
  <c r="J1287" i="1"/>
  <c r="R1287" i="1" s="1"/>
  <c r="J1309" i="1"/>
  <c r="R1309" i="1" s="1"/>
  <c r="J1288" i="1"/>
  <c r="R1288" i="1" s="1"/>
  <c r="J1308" i="1"/>
  <c r="R1308" i="1" s="1"/>
  <c r="J1291" i="1"/>
  <c r="R1291" i="1" s="1"/>
  <c r="J1294" i="1"/>
  <c r="R1294" i="1" s="1"/>
  <c r="J1289" i="1"/>
  <c r="R1289" i="1" s="1"/>
  <c r="J1296" i="1"/>
  <c r="R1296" i="1" s="1"/>
  <c r="J1297" i="1"/>
  <c r="R1297" i="1" s="1"/>
  <c r="J1298" i="1"/>
  <c r="R1298" i="1" s="1"/>
  <c r="J1310" i="1"/>
  <c r="R1310" i="1" s="1"/>
  <c r="J1311" i="1"/>
  <c r="R1311" i="1" s="1"/>
  <c r="J1312" i="1"/>
  <c r="R1312" i="1" s="1"/>
  <c r="J1313" i="1"/>
  <c r="R1313" i="1" s="1"/>
  <c r="J1314" i="1"/>
  <c r="R1314" i="1" s="1"/>
  <c r="J1315" i="1"/>
  <c r="R1315" i="1" s="1"/>
  <c r="J1316" i="1"/>
  <c r="R1316" i="1" s="1"/>
  <c r="J1317" i="1"/>
  <c r="R1317" i="1" s="1"/>
  <c r="J1318" i="1"/>
  <c r="R1318" i="1" s="1"/>
  <c r="J1319" i="1"/>
  <c r="R1319" i="1" s="1"/>
  <c r="J1320" i="1"/>
  <c r="R1320" i="1" s="1"/>
  <c r="J1306" i="1"/>
  <c r="R1306" i="1" s="1"/>
  <c r="J2485" i="1"/>
  <c r="R2485" i="1" s="1"/>
  <c r="J2505" i="1"/>
  <c r="R2505" i="1" s="1"/>
  <c r="J2487" i="1"/>
  <c r="R2487" i="1" s="1"/>
  <c r="J2473" i="1"/>
  <c r="R2473" i="1" s="1"/>
  <c r="J2475" i="1"/>
  <c r="R2475" i="1" s="1"/>
  <c r="J2472" i="1"/>
  <c r="R2472" i="1" s="1"/>
  <c r="J2471" i="1"/>
  <c r="R2471" i="1" s="1"/>
  <c r="J2479" i="1"/>
  <c r="R2479" i="1" s="1"/>
  <c r="J2476" i="1"/>
  <c r="R2476" i="1" s="1"/>
  <c r="J2477" i="1"/>
  <c r="R2477" i="1" s="1"/>
  <c r="J2478" i="1"/>
  <c r="R2478" i="1" s="1"/>
  <c r="J2481" i="1"/>
  <c r="R2481" i="1" s="1"/>
  <c r="J2491" i="1"/>
  <c r="R2491" i="1" s="1"/>
  <c r="J2492" i="1"/>
  <c r="R2492" i="1" s="1"/>
  <c r="J2493" i="1"/>
  <c r="R2493" i="1" s="1"/>
  <c r="J2494" i="1"/>
  <c r="R2494" i="1" s="1"/>
  <c r="J2495" i="1"/>
  <c r="R2495" i="1" s="1"/>
  <c r="J2496" i="1"/>
  <c r="R2496" i="1" s="1"/>
  <c r="J2497" i="1"/>
  <c r="R2497" i="1" s="1"/>
  <c r="J2498" i="1"/>
  <c r="R2498" i="1" s="1"/>
  <c r="J2499" i="1"/>
  <c r="R2499" i="1" s="1"/>
  <c r="J2500" i="1"/>
  <c r="R2500" i="1" s="1"/>
  <c r="J2501" i="1"/>
  <c r="R2501" i="1" s="1"/>
  <c r="J2502" i="1"/>
  <c r="R2502" i="1" s="1"/>
  <c r="J2480" i="1"/>
  <c r="R2480" i="1" s="1"/>
  <c r="J2503" i="1"/>
  <c r="R2503" i="1" s="1"/>
  <c r="J2507" i="1"/>
  <c r="R2507" i="1" s="1"/>
  <c r="J2504" i="1"/>
  <c r="R2504" i="1" s="1"/>
  <c r="J2512" i="1"/>
  <c r="R2512" i="1" s="1"/>
  <c r="J2508" i="1"/>
  <c r="R2508" i="1" s="1"/>
  <c r="J2518" i="1"/>
  <c r="R2518" i="1" s="1"/>
  <c r="J2510" i="1"/>
  <c r="R2510" i="1" s="1"/>
  <c r="J2509" i="1"/>
  <c r="R2509" i="1" s="1"/>
  <c r="J2515" i="1"/>
  <c r="R2515" i="1" s="1"/>
  <c r="J2543" i="1"/>
  <c r="R2543" i="1" s="1"/>
  <c r="J2519" i="1"/>
  <c r="R2519" i="1" s="1"/>
  <c r="J2520" i="1"/>
  <c r="R2520" i="1" s="1"/>
  <c r="J2521" i="1"/>
  <c r="R2521" i="1" s="1"/>
  <c r="J2522" i="1"/>
  <c r="R2522" i="1" s="1"/>
  <c r="J2523" i="1"/>
  <c r="R2523" i="1" s="1"/>
  <c r="J2524" i="1"/>
  <c r="R2524" i="1" s="1"/>
  <c r="J2525" i="1"/>
  <c r="R2525" i="1" s="1"/>
  <c r="J2526" i="1"/>
  <c r="R2526" i="1" s="1"/>
  <c r="J2527" i="1"/>
  <c r="R2527" i="1" s="1"/>
  <c r="J2528" i="1"/>
  <c r="R2528" i="1" s="1"/>
  <c r="J2529" i="1"/>
  <c r="R2529" i="1" s="1"/>
  <c r="J2530" i="1"/>
  <c r="R2530" i="1" s="1"/>
  <c r="J2531" i="1"/>
  <c r="R2531" i="1" s="1"/>
  <c r="J2532" i="1"/>
  <c r="R2532" i="1" s="1"/>
  <c r="J2533" i="1"/>
  <c r="R2533" i="1" s="1"/>
  <c r="J2534" i="1"/>
  <c r="R2534" i="1" s="1"/>
  <c r="J2535" i="1"/>
  <c r="R2535" i="1" s="1"/>
  <c r="J2536" i="1"/>
  <c r="R2536" i="1" s="1"/>
  <c r="J2544" i="1"/>
  <c r="R2544" i="1" s="1"/>
  <c r="J2537" i="1"/>
  <c r="R2537" i="1" s="1"/>
  <c r="J2538" i="1"/>
  <c r="R2538" i="1" s="1"/>
  <c r="J2539" i="1"/>
  <c r="R2539" i="1" s="1"/>
  <c r="J2550" i="1"/>
  <c r="R2550" i="1" s="1"/>
  <c r="J2578" i="1"/>
  <c r="R2578" i="1" s="1"/>
  <c r="J2555" i="1"/>
  <c r="R2555" i="1" s="1"/>
  <c r="J2545" i="1"/>
  <c r="R2545" i="1" s="1"/>
  <c r="J2546" i="1"/>
  <c r="R2546" i="1" s="1"/>
  <c r="Q1799" i="9" s="1"/>
  <c r="J2547" i="1"/>
  <c r="R2547" i="1" s="1"/>
  <c r="J2548" i="1"/>
  <c r="R2548" i="1" s="1"/>
  <c r="Q1801" i="9" s="1"/>
  <c r="J2551" i="1"/>
  <c r="R2551" i="1" s="1"/>
  <c r="J2549" i="1"/>
  <c r="R2549" i="1" s="1"/>
  <c r="J2562" i="1"/>
  <c r="R2562" i="1" s="1"/>
  <c r="J2557" i="1"/>
  <c r="R2557" i="1" s="1"/>
  <c r="J2561" i="1"/>
  <c r="R2561" i="1" s="1"/>
  <c r="J2552" i="1"/>
  <c r="R2552" i="1" s="1"/>
  <c r="J2563" i="1"/>
  <c r="R2563" i="1" s="1"/>
  <c r="J2564" i="1"/>
  <c r="R2564" i="1" s="1"/>
  <c r="J2565" i="1"/>
  <c r="R2565" i="1" s="1"/>
  <c r="J2566" i="1"/>
  <c r="R2566" i="1" s="1"/>
  <c r="J2567" i="1"/>
  <c r="R2567" i="1" s="1"/>
  <c r="J2568" i="1"/>
  <c r="R2568" i="1" s="1"/>
  <c r="J2569" i="1"/>
  <c r="R2569" i="1" s="1"/>
  <c r="J2570" i="1"/>
  <c r="R2570" i="1" s="1"/>
  <c r="J2571" i="1"/>
  <c r="R2571" i="1" s="1"/>
  <c r="J2572" i="1"/>
  <c r="R2572" i="1" s="1"/>
  <c r="J2573" i="1"/>
  <c r="R2573" i="1" s="1"/>
  <c r="J2574" i="1"/>
  <c r="R2574" i="1" s="1"/>
  <c r="J2575" i="1"/>
  <c r="R2575" i="1" s="1"/>
  <c r="J2576" i="1"/>
  <c r="R2576" i="1" s="1"/>
  <c r="J2580" i="1"/>
  <c r="R2580" i="1" s="1"/>
  <c r="J2620" i="1"/>
  <c r="R2620" i="1" s="1"/>
  <c r="J2621" i="1"/>
  <c r="R2621" i="1" s="1"/>
  <c r="J2622" i="1"/>
  <c r="R2622" i="1" s="1"/>
  <c r="J2623" i="1"/>
  <c r="R2623" i="1" s="1"/>
  <c r="J2624" i="1"/>
  <c r="R2624" i="1" s="1"/>
  <c r="J2625" i="1"/>
  <c r="R2625" i="1" s="1"/>
  <c r="J2626" i="1"/>
  <c r="R2626" i="1" s="1"/>
  <c r="J2627" i="1"/>
  <c r="R2627" i="1" s="1"/>
  <c r="J2628" i="1"/>
  <c r="R2628" i="1" s="1"/>
  <c r="J2629" i="1"/>
  <c r="R2629" i="1" s="1"/>
  <c r="J2630" i="1"/>
  <c r="R2630" i="1" s="1"/>
  <c r="J2631" i="1"/>
  <c r="R2631" i="1" s="1"/>
  <c r="J2632" i="1"/>
  <c r="R2632" i="1" s="1"/>
  <c r="J2633" i="1"/>
  <c r="R2633" i="1" s="1"/>
  <c r="J2617" i="1"/>
  <c r="R2617" i="1" s="1"/>
  <c r="J2634" i="1"/>
  <c r="R2634" i="1" s="1"/>
  <c r="J2645" i="1"/>
  <c r="R2645" i="1" s="1"/>
  <c r="J2671" i="1"/>
  <c r="R2671" i="1" s="1"/>
  <c r="J2641" i="1"/>
  <c r="R2641" i="1" s="1"/>
  <c r="J2656" i="1"/>
  <c r="R2656" i="1" s="1"/>
  <c r="J2657" i="1"/>
  <c r="R2657" i="1" s="1"/>
  <c r="J2642" i="1"/>
  <c r="R2642" i="1" s="1"/>
  <c r="J2658" i="1"/>
  <c r="R2658" i="1" s="1"/>
  <c r="J2637" i="1"/>
  <c r="R2637" i="1" s="1"/>
  <c r="J2638" i="1"/>
  <c r="R2638" i="1" s="1"/>
  <c r="J2659" i="1"/>
  <c r="R2659" i="1" s="1"/>
  <c r="J2660" i="1"/>
  <c r="R2660" i="1" s="1"/>
  <c r="J2661" i="1"/>
  <c r="R2661" i="1" s="1"/>
  <c r="J2662" i="1"/>
  <c r="R2662" i="1" s="1"/>
  <c r="J2663" i="1"/>
  <c r="R2663" i="1" s="1"/>
  <c r="J2639" i="1"/>
  <c r="R2639" i="1" s="1"/>
  <c r="J2640" i="1"/>
  <c r="R2640" i="1" s="1"/>
  <c r="J2664" i="1"/>
  <c r="R2664" i="1" s="1"/>
  <c r="J2665" i="1"/>
  <c r="R2665" i="1" s="1"/>
  <c r="J2666" i="1"/>
  <c r="R2666" i="1" s="1"/>
  <c r="J2667" i="1"/>
  <c r="R2667" i="1" s="1"/>
  <c r="J2668" i="1"/>
  <c r="R2668" i="1" s="1"/>
  <c r="J2673" i="1"/>
  <c r="R2673" i="1" s="1"/>
  <c r="J2643" i="1"/>
  <c r="R2643" i="1" s="1"/>
  <c r="J2669" i="1"/>
  <c r="R2669" i="1" s="1"/>
  <c r="J2650" i="1"/>
  <c r="R2650" i="1" s="1"/>
  <c r="J2652" i="1"/>
  <c r="R2652" i="1" s="1"/>
  <c r="J2670" i="1"/>
  <c r="R2670" i="1" s="1"/>
  <c r="J2644" i="1"/>
  <c r="R2644" i="1" s="1"/>
  <c r="J4920" i="1"/>
  <c r="R4920" i="1" s="1"/>
  <c r="J4921" i="1"/>
  <c r="R4921" i="1" s="1"/>
  <c r="J4922" i="1"/>
  <c r="R4922" i="1" s="1"/>
  <c r="J4923" i="1"/>
  <c r="R4923" i="1" s="1"/>
  <c r="J2683" i="1"/>
  <c r="R2683" i="1" s="1"/>
  <c r="J2680" i="1"/>
  <c r="R2680" i="1" s="1"/>
  <c r="J2709" i="1"/>
  <c r="R2709" i="1" s="1"/>
  <c r="Q1809" i="9" s="1"/>
  <c r="J2681" i="1"/>
  <c r="R2681" i="1" s="1"/>
  <c r="J2685" i="1"/>
  <c r="R2685" i="1" s="1"/>
  <c r="J2686" i="1"/>
  <c r="R2686" i="1" s="1"/>
  <c r="J2687" i="1"/>
  <c r="R2687" i="1" s="1"/>
  <c r="J2688" i="1"/>
  <c r="R2688" i="1" s="1"/>
  <c r="J2689" i="1"/>
  <c r="R2689" i="1" s="1"/>
  <c r="J2690" i="1"/>
  <c r="R2690" i="1" s="1"/>
  <c r="J2695" i="1"/>
  <c r="R2695" i="1" s="1"/>
  <c r="J2691" i="1"/>
  <c r="R2691" i="1" s="1"/>
  <c r="J2692" i="1"/>
  <c r="R2692" i="1" s="1"/>
  <c r="J2693" i="1"/>
  <c r="R2693" i="1" s="1"/>
  <c r="J2696" i="1"/>
  <c r="R2696" i="1" s="1"/>
  <c r="J2694" i="1"/>
  <c r="R2694" i="1" s="1"/>
  <c r="J2697" i="1"/>
  <c r="R2697" i="1" s="1"/>
  <c r="J2698" i="1"/>
  <c r="R2698" i="1" s="1"/>
  <c r="J2699" i="1"/>
  <c r="R2699" i="1" s="1"/>
  <c r="J2700" i="1"/>
  <c r="R2700" i="1" s="1"/>
  <c r="J2701" i="1"/>
  <c r="R2701" i="1" s="1"/>
  <c r="J2702" i="1"/>
  <c r="R2702" i="1" s="1"/>
  <c r="J2703" i="1"/>
  <c r="R2703" i="1" s="1"/>
  <c r="J2704" i="1"/>
  <c r="R2704" i="1" s="1"/>
  <c r="J2705" i="1"/>
  <c r="R2705" i="1" s="1"/>
  <c r="J2706" i="1"/>
  <c r="R2706" i="1" s="1"/>
  <c r="J2707" i="1"/>
  <c r="R2707" i="1" s="1"/>
  <c r="J2710" i="1"/>
  <c r="R2710" i="1" s="1"/>
  <c r="J4924" i="1"/>
  <c r="R4924" i="1" s="1"/>
  <c r="J4925" i="1"/>
  <c r="R4925" i="1" s="1"/>
  <c r="J4926" i="1"/>
  <c r="R4926" i="1" s="1"/>
  <c r="J4927" i="1"/>
  <c r="R4927" i="1" s="1"/>
  <c r="J2084" i="1"/>
  <c r="R2084" i="1" s="1"/>
  <c r="J2085" i="1"/>
  <c r="R2085" i="1" s="1"/>
  <c r="J2086" i="1"/>
  <c r="R2086" i="1" s="1"/>
  <c r="J2087" i="1"/>
  <c r="R2087" i="1" s="1"/>
  <c r="J2088" i="1"/>
  <c r="R2088" i="1" s="1"/>
  <c r="J2089" i="1"/>
  <c r="R2089" i="1" s="1"/>
  <c r="J2090" i="1"/>
  <c r="R2090" i="1" s="1"/>
  <c r="J2079" i="1"/>
  <c r="R2079" i="1" s="1"/>
  <c r="J2080" i="1"/>
  <c r="R2080" i="1" s="1"/>
  <c r="J2091" i="1"/>
  <c r="R2091" i="1" s="1"/>
  <c r="J2092" i="1"/>
  <c r="R2092" i="1" s="1"/>
  <c r="J2077" i="1"/>
  <c r="R2077" i="1" s="1"/>
  <c r="J2074" i="1"/>
  <c r="R2074" i="1" s="1"/>
  <c r="J2093" i="1"/>
  <c r="R2093" i="1" s="1"/>
  <c r="J2297" i="1"/>
  <c r="R2297" i="1" s="1"/>
  <c r="J1069" i="1"/>
  <c r="R1069" i="1" s="1"/>
  <c r="J2097" i="1"/>
  <c r="R2097" i="1" s="1"/>
  <c r="J2124" i="1"/>
  <c r="R2124" i="1" s="1"/>
  <c r="J2132" i="1"/>
  <c r="R2132" i="1" s="1"/>
  <c r="Q1693" i="9" s="1"/>
  <c r="J2133" i="1"/>
  <c r="R2133" i="1" s="1"/>
  <c r="J3531" i="1"/>
  <c r="R3531" i="1" s="1"/>
  <c r="J3539" i="1"/>
  <c r="R3539" i="1" s="1"/>
  <c r="J3540" i="1"/>
  <c r="R3540" i="1" s="1"/>
  <c r="J3541" i="1"/>
  <c r="R3541" i="1" s="1"/>
  <c r="J4893" i="1"/>
  <c r="R4893" i="1" s="1"/>
  <c r="J4894" i="1"/>
  <c r="R4894" i="1" s="1"/>
  <c r="J664" i="1"/>
  <c r="R664" i="1" s="1"/>
  <c r="J665" i="1"/>
  <c r="R665" i="1" s="1"/>
  <c r="J666" i="1"/>
  <c r="R666" i="1" s="1"/>
  <c r="J667" i="1"/>
  <c r="R667" i="1" s="1"/>
  <c r="J668" i="1"/>
  <c r="R668" i="1" s="1"/>
  <c r="J690" i="1"/>
  <c r="R690" i="1" s="1"/>
  <c r="J4353" i="1"/>
  <c r="R4353" i="1" s="1"/>
  <c r="J4354" i="1"/>
  <c r="R4354" i="1" s="1"/>
  <c r="J4357" i="1"/>
  <c r="R4357" i="1" s="1"/>
  <c r="Q396" i="9" s="1"/>
  <c r="J4355" i="1"/>
  <c r="R4355" i="1" s="1"/>
  <c r="Q394" i="9" s="1"/>
  <c r="J4359" i="1"/>
  <c r="R4359" i="1" s="1"/>
  <c r="J4360" i="1"/>
  <c r="R4360" i="1" s="1"/>
  <c r="J4361" i="1"/>
  <c r="R4361" i="1" s="1"/>
  <c r="J4362" i="1"/>
  <c r="R4362" i="1" s="1"/>
  <c r="J217" i="1"/>
  <c r="R217" i="1" s="1"/>
  <c r="J218" i="1"/>
  <c r="R218" i="1" s="1"/>
  <c r="J219" i="1"/>
  <c r="R219" i="1" s="1"/>
  <c r="J221" i="1"/>
  <c r="R221" i="1" s="1"/>
  <c r="J222" i="1"/>
  <c r="R222" i="1" s="1"/>
  <c r="J224" i="1"/>
  <c r="R224" i="1" s="1"/>
  <c r="J225" i="1"/>
  <c r="R225" i="1" s="1"/>
  <c r="J226" i="1"/>
  <c r="R226" i="1" s="1"/>
  <c r="J227" i="1"/>
  <c r="R227" i="1" s="1"/>
  <c r="J229" i="1"/>
  <c r="R229" i="1" s="1"/>
  <c r="J230" i="1"/>
  <c r="R230" i="1" s="1"/>
  <c r="J231" i="1"/>
  <c r="R231" i="1" s="1"/>
  <c r="J232" i="1"/>
  <c r="R232" i="1" s="1"/>
  <c r="J234" i="1"/>
  <c r="R234" i="1" s="1"/>
  <c r="J235" i="1"/>
  <c r="R235" i="1" s="1"/>
  <c r="J236" i="1"/>
  <c r="R236" i="1" s="1"/>
  <c r="J237" i="1"/>
  <c r="R237" i="1" s="1"/>
  <c r="J294" i="1"/>
  <c r="R294" i="1" s="1"/>
  <c r="J295" i="1"/>
  <c r="R295" i="1" s="1"/>
  <c r="J297" i="1"/>
  <c r="R297" i="1" s="1"/>
  <c r="J296" i="1"/>
  <c r="R296" i="1" s="1"/>
  <c r="J299" i="1"/>
  <c r="R299" i="1" s="1"/>
  <c r="J300" i="1"/>
  <c r="R300" i="1" s="1"/>
  <c r="J301" i="1"/>
  <c r="R301" i="1" s="1"/>
  <c r="J302" i="1"/>
  <c r="R302" i="1" s="1"/>
  <c r="J59" i="1"/>
  <c r="R59" i="1" s="1"/>
  <c r="J60" i="1"/>
  <c r="R60" i="1" s="1"/>
  <c r="J4363" i="1"/>
  <c r="R4363" i="1" s="1"/>
  <c r="J4364" i="1"/>
  <c r="R4364" i="1" s="1"/>
  <c r="J4365" i="1"/>
  <c r="R4365" i="1" s="1"/>
  <c r="J4368" i="1"/>
  <c r="R4368" i="1" s="1"/>
  <c r="Q397" i="9" s="1"/>
  <c r="J4367" i="1"/>
  <c r="R4367" i="1" s="1"/>
  <c r="Q399" i="9" s="1"/>
  <c r="J4370" i="1"/>
  <c r="R4370" i="1" s="1"/>
  <c r="J4371" i="1"/>
  <c r="R4371" i="1" s="1"/>
  <c r="J4372" i="1"/>
  <c r="R4372" i="1" s="1"/>
  <c r="J4373" i="1"/>
  <c r="R4373" i="1" s="1"/>
  <c r="J4374" i="1"/>
  <c r="R4374" i="1" s="1"/>
  <c r="J255" i="1"/>
  <c r="R255" i="1" s="1"/>
  <c r="J256" i="1"/>
  <c r="R256" i="1" s="1"/>
  <c r="J257" i="1"/>
  <c r="R257" i="1" s="1"/>
  <c r="J258" i="1"/>
  <c r="R258" i="1" s="1"/>
  <c r="J277" i="1"/>
  <c r="R277" i="1" s="1"/>
  <c r="J278" i="1"/>
  <c r="R278" i="1" s="1"/>
  <c r="J279" i="1"/>
  <c r="R279" i="1" s="1"/>
  <c r="J280" i="1"/>
  <c r="R280" i="1" s="1"/>
  <c r="J238" i="1"/>
  <c r="R238" i="1" s="1"/>
  <c r="J239" i="1"/>
  <c r="R239" i="1" s="1"/>
  <c r="J240" i="1"/>
  <c r="R240" i="1" s="1"/>
  <c r="J241" i="1"/>
  <c r="R241" i="1" s="1"/>
  <c r="J243" i="1"/>
  <c r="R243" i="1" s="1"/>
  <c r="J245" i="1"/>
  <c r="R245" i="1" s="1"/>
  <c r="J246" i="1"/>
  <c r="R246" i="1" s="1"/>
  <c r="J247" i="1"/>
  <c r="R247" i="1" s="1"/>
  <c r="J248" i="1"/>
  <c r="R248" i="1" s="1"/>
  <c r="J249" i="1"/>
  <c r="R249" i="1" s="1"/>
  <c r="J251" i="1"/>
  <c r="R251" i="1" s="1"/>
  <c r="J252" i="1"/>
  <c r="R252" i="1" s="1"/>
  <c r="J253" i="1"/>
  <c r="R253" i="1" s="1"/>
  <c r="J254" i="1"/>
  <c r="R254" i="1" s="1"/>
  <c r="Q415" i="9" s="1"/>
  <c r="J1041" i="1"/>
  <c r="R1041" i="1" s="1"/>
  <c r="J1091" i="1"/>
  <c r="R1091" i="1" s="1"/>
  <c r="J1092" i="1"/>
  <c r="R1092" i="1" s="1"/>
  <c r="J1093" i="1"/>
  <c r="R1093" i="1" s="1"/>
  <c r="J1094" i="1"/>
  <c r="R1094" i="1" s="1"/>
  <c r="J1126" i="1"/>
  <c r="R1126" i="1" s="1"/>
  <c r="J1127" i="1"/>
  <c r="R1127" i="1" s="1"/>
  <c r="J1128" i="1"/>
  <c r="R1128" i="1" s="1"/>
  <c r="J1129" i="1"/>
  <c r="R1129" i="1" s="1"/>
  <c r="J1799" i="1"/>
  <c r="R1799" i="1" s="1"/>
  <c r="J1800" i="1"/>
  <c r="R1800" i="1" s="1"/>
  <c r="J1801" i="1"/>
  <c r="R1801" i="1" s="1"/>
  <c r="J1802" i="1"/>
  <c r="R1802" i="1" s="1"/>
  <c r="J1834" i="1"/>
  <c r="R1834" i="1" s="1"/>
  <c r="J1835" i="1"/>
  <c r="R1835" i="1" s="1"/>
  <c r="J1836" i="1"/>
  <c r="R1836" i="1" s="1"/>
  <c r="J1837" i="1"/>
  <c r="R1837" i="1" s="1"/>
  <c r="J1868" i="1"/>
  <c r="R1868" i="1" s="1"/>
  <c r="J1869" i="1"/>
  <c r="R1869" i="1" s="1"/>
  <c r="J1884" i="1"/>
  <c r="R1884" i="1" s="1"/>
  <c r="J1885" i="1"/>
  <c r="R1885" i="1" s="1"/>
  <c r="J1915" i="1"/>
  <c r="R1915" i="1" s="1"/>
  <c r="J1916" i="1"/>
  <c r="R1916" i="1" s="1"/>
  <c r="J1917" i="1"/>
  <c r="R1917" i="1" s="1"/>
  <c r="J1904" i="1"/>
  <c r="R1904" i="1" s="1"/>
  <c r="J2014" i="1"/>
  <c r="R2014" i="1" s="1"/>
  <c r="J2015" i="1"/>
  <c r="R2015" i="1" s="1"/>
  <c r="J2016" i="1"/>
  <c r="R2016" i="1" s="1"/>
  <c r="J2017" i="1"/>
  <c r="R2017" i="1" s="1"/>
  <c r="J2049" i="1"/>
  <c r="R2049" i="1" s="1"/>
  <c r="J2050" i="1"/>
  <c r="R2050" i="1" s="1"/>
  <c r="J2051" i="1"/>
  <c r="R2051" i="1" s="1"/>
  <c r="J2052" i="1"/>
  <c r="R2052" i="1" s="1"/>
  <c r="J2145" i="1"/>
  <c r="R2145" i="1" s="1"/>
  <c r="J2416" i="1"/>
  <c r="R2416" i="1" s="1"/>
  <c r="J2429" i="1"/>
  <c r="R2429" i="1" s="1"/>
  <c r="J2430" i="1"/>
  <c r="R2430" i="1" s="1"/>
  <c r="J2431" i="1"/>
  <c r="R2431" i="1" s="1"/>
  <c r="J2456" i="1"/>
  <c r="R2456" i="1" s="1"/>
  <c r="J2457" i="1"/>
  <c r="R2457" i="1" s="1"/>
  <c r="J2458" i="1"/>
  <c r="R2458" i="1" s="1"/>
  <c r="J3010" i="1"/>
  <c r="R3010" i="1" s="1"/>
  <c r="J3011" i="1"/>
  <c r="R3011" i="1" s="1"/>
  <c r="J3012" i="1"/>
  <c r="R3012" i="1" s="1"/>
  <c r="J3013" i="1"/>
  <c r="R3013" i="1" s="1"/>
  <c r="J3609" i="1"/>
  <c r="R3609" i="1" s="1"/>
  <c r="J3610" i="1"/>
  <c r="R3610" i="1" s="1"/>
  <c r="J3611" i="1"/>
  <c r="R3611" i="1" s="1"/>
  <c r="J3612" i="1"/>
  <c r="R3612" i="1" s="1"/>
  <c r="J3678" i="1"/>
  <c r="R3678" i="1" s="1"/>
  <c r="J3679" i="1"/>
  <c r="R3679" i="1" s="1"/>
  <c r="J3680" i="1"/>
  <c r="R3680" i="1" s="1"/>
  <c r="J3681" i="1"/>
  <c r="R3681" i="1" s="1"/>
  <c r="J3709" i="1"/>
  <c r="R3709" i="1" s="1"/>
  <c r="J3710" i="1"/>
  <c r="R3710" i="1" s="1"/>
  <c r="J3711" i="1"/>
  <c r="R3711" i="1" s="1"/>
  <c r="J3712" i="1"/>
  <c r="R3712" i="1" s="1"/>
  <c r="J3713" i="1"/>
  <c r="R3713" i="1" s="1"/>
  <c r="J913" i="1"/>
  <c r="R913" i="1" s="1"/>
  <c r="J923" i="1"/>
  <c r="R923" i="1" s="1"/>
  <c r="J924" i="1"/>
  <c r="R924" i="1" s="1"/>
  <c r="J914" i="1"/>
  <c r="R914" i="1" s="1"/>
  <c r="J937" i="1"/>
  <c r="R937" i="1" s="1"/>
  <c r="J939" i="1"/>
  <c r="R939" i="1" s="1"/>
  <c r="J972" i="1"/>
  <c r="R972" i="1" s="1"/>
  <c r="J973" i="1"/>
  <c r="R973" i="1" s="1"/>
  <c r="J974" i="1"/>
  <c r="R974" i="1" s="1"/>
  <c r="J975" i="1"/>
  <c r="R975" i="1" s="1"/>
  <c r="J976" i="1"/>
  <c r="R976" i="1" s="1"/>
  <c r="J979" i="1"/>
  <c r="R979" i="1" s="1"/>
  <c r="J980" i="1"/>
  <c r="R980" i="1" s="1"/>
  <c r="J981" i="1"/>
  <c r="R981" i="1" s="1"/>
  <c r="J982" i="1"/>
  <c r="R982" i="1" s="1"/>
  <c r="J983" i="1"/>
  <c r="R983" i="1" s="1"/>
  <c r="J1225" i="1"/>
  <c r="R1225" i="1" s="1"/>
  <c r="J1223" i="1"/>
  <c r="R1223" i="1" s="1"/>
  <c r="Q1618" i="9" s="1"/>
  <c r="J1235" i="1"/>
  <c r="R1235" i="1" s="1"/>
  <c r="J1236" i="1"/>
  <c r="R1236" i="1" s="1"/>
  <c r="J1281" i="1"/>
  <c r="R1281" i="1" s="1"/>
  <c r="J1254" i="1"/>
  <c r="R1254" i="1" s="1"/>
  <c r="J1266" i="1"/>
  <c r="R1266" i="1" s="1"/>
  <c r="J1267" i="1"/>
  <c r="R1267" i="1" s="1"/>
  <c r="J1329" i="1"/>
  <c r="R1329" i="1" s="1"/>
  <c r="J1328" i="1"/>
  <c r="R1328" i="1" s="1"/>
  <c r="J1344" i="1"/>
  <c r="R1344" i="1" s="1"/>
  <c r="J1345" i="1"/>
  <c r="R1345" i="1" s="1"/>
  <c r="J1366" i="1"/>
  <c r="R1366" i="1" s="1"/>
  <c r="J1367" i="1"/>
  <c r="R1367" i="1" s="1"/>
  <c r="J1368" i="1"/>
  <c r="R1368" i="1" s="1"/>
  <c r="J1369" i="1"/>
  <c r="R1369" i="1" s="1"/>
  <c r="J1400" i="1"/>
  <c r="R1400" i="1" s="1"/>
  <c r="J1411" i="1"/>
  <c r="R1411" i="1" s="1"/>
  <c r="J1412" i="1"/>
  <c r="R1412" i="1" s="1"/>
  <c r="J1413" i="1"/>
  <c r="R1413" i="1" s="1"/>
  <c r="J1437" i="1"/>
  <c r="R1437" i="1" s="1"/>
  <c r="J1438" i="1"/>
  <c r="R1438" i="1" s="1"/>
  <c r="J1439" i="1"/>
  <c r="R1439" i="1" s="1"/>
  <c r="J1440" i="1"/>
  <c r="R1440" i="1" s="1"/>
  <c r="J1576" i="1"/>
  <c r="R1576" i="1" s="1"/>
  <c r="J1577" i="1"/>
  <c r="R1577" i="1" s="1"/>
  <c r="J1578" i="1"/>
  <c r="R1578" i="1" s="1"/>
  <c r="J1579" i="1"/>
  <c r="R1579" i="1" s="1"/>
  <c r="J72" i="1"/>
  <c r="R72" i="1" s="1"/>
  <c r="J73" i="1"/>
  <c r="R73" i="1" s="1"/>
  <c r="J74" i="1"/>
  <c r="R74" i="1" s="1"/>
  <c r="J76" i="1"/>
  <c r="R76" i="1" s="1"/>
  <c r="J77" i="1"/>
  <c r="R77" i="1" s="1"/>
  <c r="J78" i="1"/>
  <c r="R78" i="1" s="1"/>
  <c r="J79" i="1"/>
  <c r="R79" i="1" s="1"/>
  <c r="J80" i="1"/>
  <c r="R80" i="1" s="1"/>
  <c r="J282" i="1"/>
  <c r="R282" i="1" s="1"/>
  <c r="J283" i="1"/>
  <c r="R283" i="1" s="1"/>
  <c r="J284" i="1"/>
  <c r="R284" i="1" s="1"/>
  <c r="J285" i="1"/>
  <c r="R285" i="1" s="1"/>
  <c r="J287" i="1"/>
  <c r="R287" i="1" s="1"/>
  <c r="J289" i="1"/>
  <c r="R289" i="1" s="1"/>
  <c r="J290" i="1"/>
  <c r="R290" i="1" s="1"/>
  <c r="J291" i="1"/>
  <c r="R291" i="1" s="1"/>
  <c r="J292" i="1"/>
  <c r="R292" i="1" s="1"/>
  <c r="J406" i="1"/>
  <c r="R406" i="1" s="1"/>
  <c r="J4376" i="1"/>
  <c r="R4376" i="1" s="1"/>
  <c r="J4377" i="1"/>
  <c r="R4377" i="1" s="1"/>
  <c r="J4378" i="1"/>
  <c r="R4378" i="1" s="1"/>
  <c r="J4379" i="1"/>
  <c r="R4379" i="1" s="1"/>
  <c r="J4380" i="1"/>
  <c r="R4380" i="1" s="1"/>
  <c r="J4382" i="1"/>
  <c r="R4382" i="1" s="1"/>
  <c r="J4383" i="1"/>
  <c r="R4383" i="1" s="1"/>
  <c r="J4384" i="1"/>
  <c r="R4384" i="1" s="1"/>
  <c r="J4385" i="1"/>
  <c r="R4385" i="1" s="1"/>
  <c r="J4386" i="1"/>
  <c r="R4386" i="1" s="1"/>
  <c r="J262" i="1"/>
  <c r="R262" i="1" s="1"/>
  <c r="J263" i="1"/>
  <c r="R263" i="1" s="1"/>
  <c r="J264" i="1"/>
  <c r="R264" i="1" s="1"/>
  <c r="J261" i="1"/>
  <c r="R261" i="1" s="1"/>
  <c r="Q419" i="9" s="1"/>
  <c r="J260" i="1"/>
  <c r="R260" i="1" s="1"/>
  <c r="J267" i="1"/>
  <c r="R267" i="1" s="1"/>
  <c r="J268" i="1"/>
  <c r="R268" i="1" s="1"/>
  <c r="J269" i="1"/>
  <c r="R269" i="1" s="1"/>
  <c r="J270" i="1"/>
  <c r="R270" i="1" s="1"/>
  <c r="J272" i="1"/>
  <c r="R272" i="1" s="1"/>
  <c r="J273" i="1"/>
  <c r="R273" i="1" s="1"/>
  <c r="J274" i="1"/>
  <c r="R274" i="1" s="1"/>
  <c r="J275" i="1"/>
  <c r="R275" i="1" s="1"/>
  <c r="J276" i="1"/>
  <c r="R276" i="1" s="1"/>
  <c r="J314" i="1"/>
  <c r="R314" i="1" s="1"/>
  <c r="J337" i="1"/>
  <c r="R337" i="1" s="1"/>
  <c r="J2830" i="1"/>
  <c r="R2830" i="1" s="1"/>
  <c r="J2831" i="1"/>
  <c r="R2831" i="1" s="1"/>
  <c r="J2832" i="1"/>
  <c r="R2832" i="1" s="1"/>
  <c r="J2833" i="1"/>
  <c r="R2833" i="1" s="1"/>
  <c r="J1044" i="1"/>
  <c r="R1044" i="1" s="1"/>
  <c r="J1043" i="1"/>
  <c r="R1043" i="1" s="1"/>
  <c r="J4904" i="1"/>
  <c r="R4904" i="1" s="1"/>
  <c r="J1065" i="1"/>
  <c r="R1065" i="1" s="1"/>
  <c r="J1066" i="1"/>
  <c r="R1066" i="1" s="1"/>
  <c r="J4911" i="1"/>
  <c r="R4911" i="1" s="1"/>
  <c r="J2045" i="1"/>
  <c r="R2045" i="1" s="1"/>
  <c r="J2046" i="1"/>
  <c r="R2046" i="1" s="1"/>
  <c r="J2094" i="1"/>
  <c r="R2094" i="1" s="1"/>
  <c r="J2056" i="1"/>
  <c r="R2056" i="1" s="1"/>
  <c r="J2116" i="1"/>
  <c r="R2116" i="1" s="1"/>
  <c r="J2104" i="1"/>
  <c r="R2104" i="1" s="1"/>
  <c r="J3016" i="1"/>
  <c r="R3016" i="1" s="1"/>
  <c r="J3017" i="1"/>
  <c r="R3017" i="1" s="1"/>
  <c r="J3041" i="1"/>
  <c r="R3041" i="1" s="1"/>
  <c r="J3543" i="1"/>
  <c r="R3543" i="1" s="1"/>
  <c r="J938" i="1"/>
  <c r="R938" i="1" s="1"/>
  <c r="J956" i="1"/>
  <c r="R956" i="1" s="1"/>
  <c r="Q966" i="9" s="1"/>
  <c r="J4901" i="1"/>
  <c r="R4901" i="1" s="1"/>
  <c r="J957" i="1"/>
  <c r="R957" i="1" s="1"/>
  <c r="J959" i="1"/>
  <c r="R959" i="1" s="1"/>
  <c r="J4910" i="1"/>
  <c r="R4910" i="1" s="1"/>
  <c r="J1264" i="1"/>
  <c r="R1264" i="1" s="1"/>
  <c r="J1232" i="1"/>
  <c r="R1232" i="1" s="1"/>
  <c r="J1239" i="1"/>
  <c r="R1239" i="1" s="1"/>
  <c r="J1260" i="1"/>
  <c r="R1260" i="1" s="1"/>
  <c r="J1263" i="1"/>
  <c r="R1263" i="1" s="1"/>
  <c r="J1238" i="1"/>
  <c r="R1238" i="1" s="1"/>
  <c r="J1444" i="1"/>
  <c r="R1444" i="1" s="1"/>
  <c r="J1572" i="1"/>
  <c r="R1572" i="1" s="1"/>
  <c r="J1573" i="1"/>
  <c r="R1573" i="1" s="1"/>
  <c r="J1574" i="1"/>
  <c r="R1574" i="1" s="1"/>
  <c r="J1581" i="1"/>
  <c r="R1581" i="1" s="1"/>
  <c r="J1582" i="1"/>
  <c r="R1582" i="1" s="1"/>
  <c r="J1442" i="1"/>
  <c r="R1442" i="1" s="1"/>
  <c r="J1443" i="1"/>
  <c r="R1443" i="1" s="1"/>
  <c r="J19" i="1"/>
  <c r="R19" i="1" s="1"/>
  <c r="J20" i="1"/>
  <c r="R20" i="1" s="1"/>
  <c r="J5" i="1"/>
  <c r="R5" i="1" s="1"/>
  <c r="J4" i="1"/>
  <c r="R4" i="1" s="1"/>
  <c r="Q160" i="9" s="1"/>
  <c r="J45" i="1"/>
  <c r="R45" i="1" s="1"/>
  <c r="J46" i="1"/>
  <c r="R46" i="1" s="1"/>
  <c r="J47" i="1"/>
  <c r="R47" i="1" s="1"/>
  <c r="J44" i="1"/>
  <c r="R44" i="1" s="1"/>
  <c r="J49" i="1"/>
  <c r="R49" i="1" s="1"/>
  <c r="J50" i="1"/>
  <c r="R50" i="1" s="1"/>
  <c r="J51" i="1"/>
  <c r="R51" i="1" s="1"/>
  <c r="J48" i="1"/>
  <c r="R48" i="1" s="1"/>
  <c r="J53" i="1"/>
  <c r="R53" i="1" s="1"/>
  <c r="J54" i="1"/>
  <c r="R54" i="1" s="1"/>
  <c r="J55" i="1"/>
  <c r="R55" i="1" s="1"/>
  <c r="J52" i="1"/>
  <c r="R52" i="1" s="1"/>
  <c r="J4876" i="1"/>
  <c r="R4876" i="1" s="1"/>
  <c r="J4877" i="1"/>
  <c r="R4877" i="1" s="1"/>
  <c r="J4878" i="1"/>
  <c r="R4878" i="1" s="1"/>
  <c r="J540" i="1"/>
  <c r="R540" i="1" s="1"/>
  <c r="J541" i="1"/>
  <c r="R541" i="1" s="1"/>
  <c r="J542" i="1"/>
  <c r="R542" i="1" s="1"/>
  <c r="J539" i="1"/>
  <c r="R539" i="1" s="1"/>
  <c r="J548" i="1"/>
  <c r="R548" i="1" s="1"/>
  <c r="J547" i="1"/>
  <c r="R547" i="1" s="1"/>
  <c r="J549" i="1"/>
  <c r="R549" i="1" s="1"/>
  <c r="J550" i="1"/>
  <c r="R550" i="1" s="1"/>
  <c r="J551" i="1"/>
  <c r="R551" i="1" s="1"/>
  <c r="J552" i="1"/>
  <c r="R552" i="1" s="1"/>
  <c r="J553" i="1"/>
  <c r="R553" i="1" s="1"/>
  <c r="J554" i="1"/>
  <c r="R554" i="1" s="1"/>
  <c r="J556" i="1"/>
  <c r="R556" i="1" s="1"/>
  <c r="J555" i="1"/>
  <c r="R555" i="1" s="1"/>
  <c r="J557" i="1"/>
  <c r="R557" i="1" s="1"/>
  <c r="J558" i="1"/>
  <c r="R558" i="1" s="1"/>
  <c r="J673" i="1"/>
  <c r="R673" i="1" s="1"/>
  <c r="J674" i="1"/>
  <c r="R674" i="1" s="1"/>
  <c r="J675" i="1"/>
  <c r="R675" i="1" s="1"/>
  <c r="J672" i="1"/>
  <c r="R672" i="1" s="1"/>
  <c r="J7" i="1"/>
  <c r="R7" i="1" s="1"/>
  <c r="J10" i="1"/>
  <c r="R10" i="1" s="1"/>
  <c r="J11" i="1"/>
  <c r="R11" i="1" s="1"/>
  <c r="J12" i="1"/>
  <c r="R12" i="1" s="1"/>
  <c r="J14" i="1"/>
  <c r="R14" i="1" s="1"/>
  <c r="J6" i="1"/>
  <c r="R6" i="1" s="1"/>
  <c r="J9" i="1"/>
  <c r="R9" i="1" s="1"/>
  <c r="Q302" i="9" s="1"/>
  <c r="J18" i="1"/>
  <c r="R18" i="1" s="1"/>
  <c r="J530" i="1"/>
  <c r="R530" i="1" s="1"/>
  <c r="J531" i="1"/>
  <c r="R531" i="1" s="1"/>
  <c r="J534" i="1"/>
  <c r="R534" i="1" s="1"/>
  <c r="J535" i="1"/>
  <c r="R535" i="1" s="1"/>
  <c r="J536" i="1"/>
  <c r="R536" i="1" s="1"/>
  <c r="J537" i="1"/>
  <c r="R537" i="1" s="1"/>
  <c r="J538" i="1"/>
  <c r="R538" i="1" s="1"/>
  <c r="J533" i="1"/>
  <c r="R533" i="1" s="1"/>
  <c r="J1072" i="1"/>
  <c r="R1072" i="1" s="1"/>
  <c r="J1086" i="1"/>
  <c r="R1086" i="1" s="1"/>
  <c r="J1087" i="1"/>
  <c r="R1087" i="1" s="1"/>
  <c r="J1088" i="1"/>
  <c r="R1088" i="1" s="1"/>
  <c r="J1097" i="1"/>
  <c r="R1097" i="1" s="1"/>
  <c r="J1098" i="1"/>
  <c r="R1098" i="1" s="1"/>
  <c r="J1070" i="1"/>
  <c r="R1070" i="1" s="1"/>
  <c r="J1071" i="1"/>
  <c r="R1071" i="1" s="1"/>
  <c r="J4890" i="1"/>
  <c r="R4890" i="1" s="1"/>
  <c r="J4891" i="1"/>
  <c r="R4891" i="1" s="1"/>
  <c r="J4892" i="1"/>
  <c r="R4892" i="1" s="1"/>
  <c r="J4900" i="1"/>
  <c r="R4900" i="1" s="1"/>
  <c r="J1102" i="1"/>
  <c r="R1102" i="1" s="1"/>
  <c r="J1120" i="1"/>
  <c r="R1120" i="1" s="1"/>
  <c r="J1121" i="1"/>
  <c r="R1121" i="1" s="1"/>
  <c r="J1122" i="1"/>
  <c r="R1122" i="1" s="1"/>
  <c r="J1131" i="1"/>
  <c r="R1131" i="1" s="1"/>
  <c r="J1132" i="1"/>
  <c r="R1132" i="1" s="1"/>
  <c r="J1100" i="1"/>
  <c r="R1100" i="1" s="1"/>
  <c r="J1101" i="1"/>
  <c r="R1101" i="1" s="1"/>
  <c r="J1133" i="1"/>
  <c r="R1133" i="1" s="1"/>
  <c r="J1831" i="1"/>
  <c r="R1831" i="1" s="1"/>
  <c r="J1841" i="1"/>
  <c r="R1841" i="1" s="1"/>
  <c r="Q1271" i="9" s="1"/>
  <c r="J1875" i="1"/>
  <c r="R1875" i="1" s="1"/>
  <c r="J1880" i="1"/>
  <c r="R1880" i="1" s="1"/>
  <c r="J1881" i="1"/>
  <c r="R1881" i="1" s="1"/>
  <c r="J1882" i="1"/>
  <c r="R1882" i="1" s="1"/>
  <c r="J1886" i="1"/>
  <c r="R1886" i="1" s="1"/>
  <c r="J1842" i="1"/>
  <c r="R1842" i="1" s="1"/>
  <c r="J1890" i="1"/>
  <c r="R1890" i="1" s="1"/>
  <c r="J1911" i="1"/>
  <c r="R1911" i="1" s="1"/>
  <c r="J1912" i="1"/>
  <c r="R1912" i="1" s="1"/>
  <c r="J1889" i="1"/>
  <c r="R1889" i="1" s="1"/>
  <c r="J168" i="1"/>
  <c r="R168" i="1" s="1"/>
  <c r="J169" i="1"/>
  <c r="R169" i="1" s="1"/>
  <c r="J170" i="1"/>
  <c r="R170" i="1" s="1"/>
  <c r="J171" i="1"/>
  <c r="R171" i="1" s="1"/>
  <c r="J172" i="1"/>
  <c r="R172" i="1" s="1"/>
  <c r="J70" i="1"/>
  <c r="R70" i="1" s="1"/>
  <c r="J71" i="1"/>
  <c r="R71" i="1" s="1"/>
  <c r="J173" i="1"/>
  <c r="R173" i="1" s="1"/>
  <c r="Q186" i="9" s="1"/>
  <c r="J176" i="1"/>
  <c r="R176" i="1" s="1"/>
  <c r="J174" i="1"/>
  <c r="R174" i="1" s="1"/>
  <c r="J177" i="1"/>
  <c r="R177" i="1" s="1"/>
  <c r="J175" i="1"/>
  <c r="R175" i="1" s="1"/>
  <c r="J1137" i="1"/>
  <c r="R1137" i="1" s="1"/>
  <c r="J1153" i="1"/>
  <c r="R1153" i="1" s="1"/>
  <c r="J1154" i="1"/>
  <c r="R1154" i="1" s="1"/>
  <c r="J1155" i="1"/>
  <c r="R1155" i="1" s="1"/>
  <c r="J1166" i="1"/>
  <c r="R1166" i="1" s="1"/>
  <c r="J1167" i="1"/>
  <c r="R1167" i="1" s="1"/>
  <c r="J1135" i="1"/>
  <c r="R1135" i="1" s="1"/>
  <c r="J1136" i="1"/>
  <c r="R1136" i="1" s="1"/>
  <c r="J2995" i="1"/>
  <c r="R2995" i="1" s="1"/>
  <c r="J2908" i="1"/>
  <c r="R2908" i="1" s="1"/>
  <c r="Q1510" i="9" s="1"/>
  <c r="J2914" i="1"/>
  <c r="R2914" i="1" s="1"/>
  <c r="J2924" i="1"/>
  <c r="R2924" i="1" s="1"/>
  <c r="J2929" i="1"/>
  <c r="R2929" i="1" s="1"/>
  <c r="J2973" i="1"/>
  <c r="R2973" i="1" s="1"/>
  <c r="J2994" i="1"/>
  <c r="R2994" i="1" s="1"/>
  <c r="J2996" i="1"/>
  <c r="R2996" i="1" s="1"/>
  <c r="J3676" i="1"/>
  <c r="R3676" i="1" s="1"/>
  <c r="J3705" i="1"/>
  <c r="R3705" i="1" s="1"/>
  <c r="J3675" i="1"/>
  <c r="R3675" i="1" s="1"/>
  <c r="Q251" i="9" s="1"/>
  <c r="J3706" i="1"/>
  <c r="R3706" i="1" s="1"/>
  <c r="J3856" i="1"/>
  <c r="R3856" i="1" s="1"/>
  <c r="J3857" i="1"/>
  <c r="R3857" i="1" s="1"/>
  <c r="J3858" i="1"/>
  <c r="R3858" i="1" s="1"/>
  <c r="J3852" i="1"/>
  <c r="R3852" i="1" s="1"/>
  <c r="J3864" i="1"/>
  <c r="R3864" i="1" s="1"/>
  <c r="J3865" i="1"/>
  <c r="R3865" i="1" s="1"/>
  <c r="J3860" i="1"/>
  <c r="R3860" i="1" s="1"/>
  <c r="J3866" i="1"/>
  <c r="R3866" i="1" s="1"/>
  <c r="J3872" i="1"/>
  <c r="R3872" i="1" s="1"/>
  <c r="J3873" i="1"/>
  <c r="R3873" i="1" s="1"/>
  <c r="J3874" i="1"/>
  <c r="R3874" i="1" s="1"/>
  <c r="J3868" i="1"/>
  <c r="R3868" i="1" s="1"/>
  <c r="J3880" i="1"/>
  <c r="R3880" i="1" s="1"/>
  <c r="J3881" i="1"/>
  <c r="R3881" i="1" s="1"/>
  <c r="J3882" i="1"/>
  <c r="R3882" i="1" s="1"/>
  <c r="J3876" i="1"/>
  <c r="R3876" i="1" s="1"/>
  <c r="J3888" i="1"/>
  <c r="R3888" i="1" s="1"/>
  <c r="J3889" i="1"/>
  <c r="R3889" i="1" s="1"/>
  <c r="J3890" i="1"/>
  <c r="R3890" i="1" s="1"/>
  <c r="J3884" i="1"/>
  <c r="R3884" i="1" s="1"/>
  <c r="J3896" i="1"/>
  <c r="R3896" i="1" s="1"/>
  <c r="J3897" i="1"/>
  <c r="R3897" i="1" s="1"/>
  <c r="J3898" i="1"/>
  <c r="R3898" i="1" s="1"/>
  <c r="J3892" i="1"/>
  <c r="R3892" i="1" s="1"/>
  <c r="J3904" i="1"/>
  <c r="R3904" i="1" s="1"/>
  <c r="J3905" i="1"/>
  <c r="R3905" i="1" s="1"/>
  <c r="J3906" i="1"/>
  <c r="R3906" i="1" s="1"/>
  <c r="J3900" i="1"/>
  <c r="R3900" i="1" s="1"/>
  <c r="J3912" i="1"/>
  <c r="R3912" i="1" s="1"/>
  <c r="J3913" i="1"/>
  <c r="R3913" i="1" s="1"/>
  <c r="J3914" i="1"/>
  <c r="R3914" i="1" s="1"/>
  <c r="J3908" i="1"/>
  <c r="R3908" i="1" s="1"/>
  <c r="J3920" i="1"/>
  <c r="R3920" i="1" s="1"/>
  <c r="J3921" i="1"/>
  <c r="R3921" i="1" s="1"/>
  <c r="J3922" i="1"/>
  <c r="R3922" i="1" s="1"/>
  <c r="J3916" i="1"/>
  <c r="R3916" i="1" s="1"/>
  <c r="J3928" i="1"/>
  <c r="R3928" i="1" s="1"/>
  <c r="J3929" i="1"/>
  <c r="R3929" i="1" s="1"/>
  <c r="J3930" i="1"/>
  <c r="R3930" i="1" s="1"/>
  <c r="J3924" i="1"/>
  <c r="R3924" i="1" s="1"/>
  <c r="J3936" i="1"/>
  <c r="R3936" i="1" s="1"/>
  <c r="J3937" i="1"/>
  <c r="R3937" i="1" s="1"/>
  <c r="J3938" i="1"/>
  <c r="R3938" i="1" s="1"/>
  <c r="J3932" i="1"/>
  <c r="R3932" i="1" s="1"/>
  <c r="J3944" i="1"/>
  <c r="R3944" i="1" s="1"/>
  <c r="J3945" i="1"/>
  <c r="R3945" i="1" s="1"/>
  <c r="J3940" i="1"/>
  <c r="R3940" i="1" s="1"/>
  <c r="J3946" i="1"/>
  <c r="R3946" i="1" s="1"/>
  <c r="J3952" i="1"/>
  <c r="R3952" i="1" s="1"/>
  <c r="J3953" i="1"/>
  <c r="R3953" i="1" s="1"/>
  <c r="J3954" i="1"/>
  <c r="R3954" i="1" s="1"/>
  <c r="J3948" i="1"/>
  <c r="R3948" i="1" s="1"/>
  <c r="J3960" i="1"/>
  <c r="R3960" i="1" s="1"/>
  <c r="J3961" i="1"/>
  <c r="R3961" i="1" s="1"/>
  <c r="J3962" i="1"/>
  <c r="R3962" i="1" s="1"/>
  <c r="J3956" i="1"/>
  <c r="R3956" i="1" s="1"/>
  <c r="J3968" i="1"/>
  <c r="R3968" i="1" s="1"/>
  <c r="J3969" i="1"/>
  <c r="R3969" i="1" s="1"/>
  <c r="J3970" i="1"/>
  <c r="R3970" i="1" s="1"/>
  <c r="J3964" i="1"/>
  <c r="R3964" i="1" s="1"/>
  <c r="J3976" i="1"/>
  <c r="R3976" i="1" s="1"/>
  <c r="J3977" i="1"/>
  <c r="R3977" i="1" s="1"/>
  <c r="J3978" i="1"/>
  <c r="R3978" i="1" s="1"/>
  <c r="J3972" i="1"/>
  <c r="R3972" i="1" s="1"/>
  <c r="J3984" i="1"/>
  <c r="R3984" i="1" s="1"/>
  <c r="J3985" i="1"/>
  <c r="R3985" i="1" s="1"/>
  <c r="J3986" i="1"/>
  <c r="R3986" i="1" s="1"/>
  <c r="J3980" i="1"/>
  <c r="R3980" i="1" s="1"/>
  <c r="J3992" i="1"/>
  <c r="R3992" i="1" s="1"/>
  <c r="J3993" i="1"/>
  <c r="R3993" i="1" s="1"/>
  <c r="J3994" i="1"/>
  <c r="R3994" i="1" s="1"/>
  <c r="J3988" i="1"/>
  <c r="R3988" i="1" s="1"/>
  <c r="J4000" i="1"/>
  <c r="R4000" i="1" s="1"/>
  <c r="J4001" i="1"/>
  <c r="R4001" i="1" s="1"/>
  <c r="J4002" i="1"/>
  <c r="R4002" i="1" s="1"/>
  <c r="J3996" i="1"/>
  <c r="R3996" i="1" s="1"/>
  <c r="J4008" i="1"/>
  <c r="R4008" i="1" s="1"/>
  <c r="J4009" i="1"/>
  <c r="R4009" i="1" s="1"/>
  <c r="J4010" i="1"/>
  <c r="R4010" i="1" s="1"/>
  <c r="J4004" i="1"/>
  <c r="R4004" i="1" s="1"/>
  <c r="J4016" i="1"/>
  <c r="R4016" i="1" s="1"/>
  <c r="J4017" i="1"/>
  <c r="R4017" i="1" s="1"/>
  <c r="J4018" i="1"/>
  <c r="R4018" i="1" s="1"/>
  <c r="J4012" i="1"/>
  <c r="R4012" i="1" s="1"/>
  <c r="J4024" i="1"/>
  <c r="R4024" i="1" s="1"/>
  <c r="J4025" i="1"/>
  <c r="R4025" i="1" s="1"/>
  <c r="J4026" i="1"/>
  <c r="R4026" i="1" s="1"/>
  <c r="J4020" i="1"/>
  <c r="R4020" i="1" s="1"/>
  <c r="J4032" i="1"/>
  <c r="R4032" i="1" s="1"/>
  <c r="J4033" i="1"/>
  <c r="R4033" i="1" s="1"/>
  <c r="J4034" i="1"/>
  <c r="R4034" i="1" s="1"/>
  <c r="J4028" i="1"/>
  <c r="R4028" i="1" s="1"/>
  <c r="J4100" i="1"/>
  <c r="R4100" i="1" s="1"/>
  <c r="J4101" i="1"/>
  <c r="R4101" i="1" s="1"/>
  <c r="J4102" i="1"/>
  <c r="R4102" i="1" s="1"/>
  <c r="J4099" i="1"/>
  <c r="R4099" i="1" s="1"/>
  <c r="J4108" i="1"/>
  <c r="R4108" i="1" s="1"/>
  <c r="J4109" i="1"/>
  <c r="R4109" i="1" s="1"/>
  <c r="J4111" i="1"/>
  <c r="R4111" i="1" s="1"/>
  <c r="J4104" i="1"/>
  <c r="R4104" i="1" s="1"/>
  <c r="J4117" i="1"/>
  <c r="R4117" i="1" s="1"/>
  <c r="J4118" i="1"/>
  <c r="R4118" i="1" s="1"/>
  <c r="J4113" i="1"/>
  <c r="R4113" i="1" s="1"/>
  <c r="J4119" i="1"/>
  <c r="R4119" i="1" s="1"/>
  <c r="J4126" i="1"/>
  <c r="R4126" i="1" s="1"/>
  <c r="J4127" i="1"/>
  <c r="R4127" i="1" s="1"/>
  <c r="J4129" i="1"/>
  <c r="R4129" i="1" s="1"/>
  <c r="J4121" i="1"/>
  <c r="R4121" i="1" s="1"/>
  <c r="J4135" i="1"/>
  <c r="R4135" i="1" s="1"/>
  <c r="J4136" i="1"/>
  <c r="R4136" i="1" s="1"/>
  <c r="J4137" i="1"/>
  <c r="R4137" i="1" s="1"/>
  <c r="J4131" i="1"/>
  <c r="R4131" i="1" s="1"/>
  <c r="J4144" i="1"/>
  <c r="R4144" i="1" s="1"/>
  <c r="J4145" i="1"/>
  <c r="R4145" i="1" s="1"/>
  <c r="J4146" i="1"/>
  <c r="R4146" i="1" s="1"/>
  <c r="J4140" i="1"/>
  <c r="R4140" i="1" s="1"/>
  <c r="J4153" i="1"/>
  <c r="R4153" i="1" s="1"/>
  <c r="J4154" i="1"/>
  <c r="R4154" i="1" s="1"/>
  <c r="J4155" i="1"/>
  <c r="R4155" i="1" s="1"/>
  <c r="J4149" i="1"/>
  <c r="R4149" i="1" s="1"/>
  <c r="J4162" i="1"/>
  <c r="R4162" i="1" s="1"/>
  <c r="J4163" i="1"/>
  <c r="R4163" i="1" s="1"/>
  <c r="J4164" i="1"/>
  <c r="R4164" i="1" s="1"/>
  <c r="J4158" i="1"/>
  <c r="R4158" i="1" s="1"/>
  <c r="J4179" i="1"/>
  <c r="R4179" i="1" s="1"/>
  <c r="J4180" i="1"/>
  <c r="R4180" i="1" s="1"/>
  <c r="J4181" i="1"/>
  <c r="R4181" i="1" s="1"/>
  <c r="J4174" i="1"/>
  <c r="R4174" i="1" s="1"/>
  <c r="J4189" i="1"/>
  <c r="R4189" i="1" s="1"/>
  <c r="J4190" i="1"/>
  <c r="R4190" i="1" s="1"/>
  <c r="J4191" i="1"/>
  <c r="R4191" i="1" s="1"/>
  <c r="J4188" i="1"/>
  <c r="R4188" i="1" s="1"/>
  <c r="J4197" i="1"/>
  <c r="R4197" i="1" s="1"/>
  <c r="J4198" i="1"/>
  <c r="R4198" i="1" s="1"/>
  <c r="J4199" i="1"/>
  <c r="R4199" i="1" s="1"/>
  <c r="J4193" i="1"/>
  <c r="R4193" i="1" s="1"/>
  <c r="J4205" i="1"/>
  <c r="R4205" i="1" s="1"/>
  <c r="J4206" i="1"/>
  <c r="R4206" i="1" s="1"/>
  <c r="J4207" i="1"/>
  <c r="R4207" i="1" s="1"/>
  <c r="J4201" i="1"/>
  <c r="R4201" i="1" s="1"/>
  <c r="J4212" i="1"/>
  <c r="R4212" i="1" s="1"/>
  <c r="J4213" i="1"/>
  <c r="R4213" i="1" s="1"/>
  <c r="J4214" i="1"/>
  <c r="R4214" i="1" s="1"/>
  <c r="J4209" i="1"/>
  <c r="R4209" i="1" s="1"/>
  <c r="J4221" i="1"/>
  <c r="R4221" i="1" s="1"/>
  <c r="J4222" i="1"/>
  <c r="R4222" i="1" s="1"/>
  <c r="J4223" i="1"/>
  <c r="R4223" i="1" s="1"/>
  <c r="J4217" i="1"/>
  <c r="R4217" i="1" s="1"/>
  <c r="J4229" i="1"/>
  <c r="R4229" i="1" s="1"/>
  <c r="J4230" i="1"/>
  <c r="R4230" i="1" s="1"/>
  <c r="J4231" i="1"/>
  <c r="R4231" i="1" s="1"/>
  <c r="J4225" i="1"/>
  <c r="R4225" i="1" s="1"/>
  <c r="J4237" i="1"/>
  <c r="R4237" i="1" s="1"/>
  <c r="J4238" i="1"/>
  <c r="R4238" i="1" s="1"/>
  <c r="J4239" i="1"/>
  <c r="R4239" i="1" s="1"/>
  <c r="Q355" i="9" s="1"/>
  <c r="J4233" i="1"/>
  <c r="R4233" i="1" s="1"/>
  <c r="J4244" i="1"/>
  <c r="R4244" i="1" s="1"/>
  <c r="J4245" i="1"/>
  <c r="R4245" i="1" s="1"/>
  <c r="J4246" i="1"/>
  <c r="R4246" i="1" s="1"/>
  <c r="J4241" i="1"/>
  <c r="R4241" i="1" s="1"/>
  <c r="J4253" i="1"/>
  <c r="R4253" i="1" s="1"/>
  <c r="J4254" i="1"/>
  <c r="R4254" i="1" s="1"/>
  <c r="J4255" i="1"/>
  <c r="R4255" i="1" s="1"/>
  <c r="J4249" i="1"/>
  <c r="R4249" i="1" s="1"/>
  <c r="J4261" i="1"/>
  <c r="R4261" i="1" s="1"/>
  <c r="J4262" i="1"/>
  <c r="R4262" i="1" s="1"/>
  <c r="J4263" i="1"/>
  <c r="R4263" i="1" s="1"/>
  <c r="J4257" i="1"/>
  <c r="R4257" i="1" s="1"/>
  <c r="J4269" i="1"/>
  <c r="R4269" i="1" s="1"/>
  <c r="J4270" i="1"/>
  <c r="R4270" i="1" s="1"/>
  <c r="J4265" i="1"/>
  <c r="R4265" i="1" s="1"/>
  <c r="J4271" i="1"/>
  <c r="R4271" i="1" s="1"/>
  <c r="J4277" i="1"/>
  <c r="R4277" i="1" s="1"/>
  <c r="J4278" i="1"/>
  <c r="R4278" i="1" s="1"/>
  <c r="J4279" i="1"/>
  <c r="R4279" i="1" s="1"/>
  <c r="J4273" i="1"/>
  <c r="R4273" i="1" s="1"/>
  <c r="J4285" i="1"/>
  <c r="R4285" i="1" s="1"/>
  <c r="J4286" i="1"/>
  <c r="R4286" i="1" s="1"/>
  <c r="J4281" i="1"/>
  <c r="R4281" i="1" s="1"/>
  <c r="J4287" i="1"/>
  <c r="R4287" i="1" s="1"/>
  <c r="Q245" i="9" s="1"/>
  <c r="J4292" i="1"/>
  <c r="R4292" i="1" s="1"/>
  <c r="J4293" i="1"/>
  <c r="R4293" i="1" s="1"/>
  <c r="J4294" i="1"/>
  <c r="R4294" i="1" s="1"/>
  <c r="J4289" i="1"/>
  <c r="R4289" i="1" s="1"/>
  <c r="Q247" i="9" s="1"/>
  <c r="J4301" i="1"/>
  <c r="R4301" i="1" s="1"/>
  <c r="J4302" i="1"/>
  <c r="R4302" i="1" s="1"/>
  <c r="J4303" i="1"/>
  <c r="R4303" i="1" s="1"/>
  <c r="J4297" i="1"/>
  <c r="R4297" i="1" s="1"/>
  <c r="J4309" i="1"/>
  <c r="R4309" i="1" s="1"/>
  <c r="J4310" i="1"/>
  <c r="R4310" i="1" s="1"/>
  <c r="J4311" i="1"/>
  <c r="R4311" i="1" s="1"/>
  <c r="J4305" i="1"/>
  <c r="R4305" i="1" s="1"/>
  <c r="J4317" i="1"/>
  <c r="R4317" i="1" s="1"/>
  <c r="J4318" i="1"/>
  <c r="R4318" i="1" s="1"/>
  <c r="J4319" i="1"/>
  <c r="R4319" i="1" s="1"/>
  <c r="J4313" i="1"/>
  <c r="R4313" i="1" s="1"/>
  <c r="J4325" i="1"/>
  <c r="R4325" i="1" s="1"/>
  <c r="J4326" i="1"/>
  <c r="R4326" i="1" s="1"/>
  <c r="J4327" i="1"/>
  <c r="R4327" i="1" s="1"/>
  <c r="J4321" i="1"/>
  <c r="R4321" i="1" s="1"/>
  <c r="J4333" i="1"/>
  <c r="R4333" i="1" s="1"/>
  <c r="J4334" i="1"/>
  <c r="R4334" i="1" s="1"/>
  <c r="J4335" i="1"/>
  <c r="R4335" i="1" s="1"/>
  <c r="J4329" i="1"/>
  <c r="R4329" i="1" s="1"/>
  <c r="J4341" i="1"/>
  <c r="R4341" i="1" s="1"/>
  <c r="J4342" i="1"/>
  <c r="R4342" i="1" s="1"/>
  <c r="J4343" i="1"/>
  <c r="R4343" i="1" s="1"/>
  <c r="J4337" i="1"/>
  <c r="R4337" i="1" s="1"/>
  <c r="J33" i="1"/>
  <c r="R33" i="1" s="1"/>
  <c r="J34" i="1"/>
  <c r="R34" i="1" s="1"/>
  <c r="Q170" i="9" s="1"/>
  <c r="J35" i="1"/>
  <c r="R35" i="1" s="1"/>
  <c r="J36" i="1"/>
  <c r="R36" i="1" s="1"/>
  <c r="J37" i="1"/>
  <c r="R37" i="1" s="1"/>
  <c r="J38" i="1"/>
  <c r="R38" i="1" s="1"/>
  <c r="J31" i="1"/>
  <c r="R31" i="1" s="1"/>
  <c r="J32" i="1"/>
  <c r="R32" i="1" s="1"/>
  <c r="J4349" i="1"/>
  <c r="R4349" i="1" s="1"/>
  <c r="J4350" i="1"/>
  <c r="R4350" i="1" s="1"/>
  <c r="J4351" i="1"/>
  <c r="R4351" i="1" s="1"/>
  <c r="J4352" i="1"/>
  <c r="R4352" i="1" s="1"/>
  <c r="J4394" i="1"/>
  <c r="R4394" i="1" s="1"/>
  <c r="J4399" i="1"/>
  <c r="R4399" i="1" s="1"/>
  <c r="J4400" i="1"/>
  <c r="R4400" i="1" s="1"/>
  <c r="J4393" i="1"/>
  <c r="R4393" i="1" s="1"/>
  <c r="J4402" i="1"/>
  <c r="R4402" i="1" s="1"/>
  <c r="J4407" i="1"/>
  <c r="R4407" i="1" s="1"/>
  <c r="J4408" i="1"/>
  <c r="R4408" i="1" s="1"/>
  <c r="J4406" i="1"/>
  <c r="R4406" i="1" s="1"/>
  <c r="J4410" i="1"/>
  <c r="R4410" i="1" s="1"/>
  <c r="J4415" i="1"/>
  <c r="R4415" i="1" s="1"/>
  <c r="J4416" i="1"/>
  <c r="R4416" i="1" s="1"/>
  <c r="J4409" i="1"/>
  <c r="R4409" i="1" s="1"/>
  <c r="J4418" i="1"/>
  <c r="R4418" i="1" s="1"/>
  <c r="J4422" i="1"/>
  <c r="R4422" i="1" s="1"/>
  <c r="J4423" i="1"/>
  <c r="R4423" i="1" s="1"/>
  <c r="J4424" i="1"/>
  <c r="R4424" i="1" s="1"/>
  <c r="J4430" i="1"/>
  <c r="R4430" i="1" s="1"/>
  <c r="J4431" i="1"/>
  <c r="R4431" i="1" s="1"/>
  <c r="J4432" i="1"/>
  <c r="R4432" i="1" s="1"/>
  <c r="J4426" i="1"/>
  <c r="R4426" i="1" s="1"/>
  <c r="J4434" i="1"/>
  <c r="R4434" i="1" s="1"/>
  <c r="J4438" i="1"/>
  <c r="R4438" i="1" s="1"/>
  <c r="J4439" i="1"/>
  <c r="R4439" i="1" s="1"/>
  <c r="J4440" i="1"/>
  <c r="R4440" i="1" s="1"/>
  <c r="J4446" i="1"/>
  <c r="R4446" i="1" s="1"/>
  <c r="J4447" i="1"/>
  <c r="R4447" i="1" s="1"/>
  <c r="J4448" i="1"/>
  <c r="R4448" i="1" s="1"/>
  <c r="J4442" i="1"/>
  <c r="R4442" i="1" s="1"/>
  <c r="J4454" i="1"/>
  <c r="R4454" i="1" s="1"/>
  <c r="J4450" i="1"/>
  <c r="R4450" i="1" s="1"/>
  <c r="J4455" i="1"/>
  <c r="R4455" i="1" s="1"/>
  <c r="J4456" i="1"/>
  <c r="R4456" i="1" s="1"/>
  <c r="J4462" i="1"/>
  <c r="R4462" i="1" s="1"/>
  <c r="J4463" i="1"/>
  <c r="R4463" i="1" s="1"/>
  <c r="J4464" i="1"/>
  <c r="R4464" i="1" s="1"/>
  <c r="J4458" i="1"/>
  <c r="R4458" i="1" s="1"/>
  <c r="J4470" i="1"/>
  <c r="R4470" i="1" s="1"/>
  <c r="J4471" i="1"/>
  <c r="R4471" i="1" s="1"/>
  <c r="J4472" i="1"/>
  <c r="R4472" i="1" s="1"/>
  <c r="J4466" i="1"/>
  <c r="R4466" i="1" s="1"/>
  <c r="J4478" i="1"/>
  <c r="R4478" i="1" s="1"/>
  <c r="J4479" i="1"/>
  <c r="R4479" i="1" s="1"/>
  <c r="J4480" i="1"/>
  <c r="R4480" i="1" s="1"/>
  <c r="J4474" i="1"/>
  <c r="R4474" i="1" s="1"/>
  <c r="J4486" i="1"/>
  <c r="R4486" i="1" s="1"/>
  <c r="J4487" i="1"/>
  <c r="R4487" i="1" s="1"/>
  <c r="J4488" i="1"/>
  <c r="R4488" i="1" s="1"/>
  <c r="J4482" i="1"/>
  <c r="R4482" i="1" s="1"/>
  <c r="J4494" i="1"/>
  <c r="R4494" i="1" s="1"/>
  <c r="J4495" i="1"/>
  <c r="R4495" i="1" s="1"/>
  <c r="J4496" i="1"/>
  <c r="R4496" i="1" s="1"/>
  <c r="J4489" i="1"/>
  <c r="R4489" i="1" s="1"/>
  <c r="J4502" i="1"/>
  <c r="R4502" i="1" s="1"/>
  <c r="J4503" i="1"/>
  <c r="R4503" i="1" s="1"/>
  <c r="J4504" i="1"/>
  <c r="R4504" i="1" s="1"/>
  <c r="J4498" i="1"/>
  <c r="R4498" i="1" s="1"/>
  <c r="J4510" i="1"/>
  <c r="R4510" i="1" s="1"/>
  <c r="J4511" i="1"/>
  <c r="R4511" i="1" s="1"/>
  <c r="J4512" i="1"/>
  <c r="R4512" i="1" s="1"/>
  <c r="J4506" i="1"/>
  <c r="R4506" i="1" s="1"/>
  <c r="J4518" i="1"/>
  <c r="R4518" i="1" s="1"/>
  <c r="J4519" i="1"/>
  <c r="R4519" i="1" s="1"/>
  <c r="J4520" i="1"/>
  <c r="R4520" i="1" s="1"/>
  <c r="J4514" i="1"/>
  <c r="R4514" i="1" s="1"/>
  <c r="J4526" i="1"/>
  <c r="R4526" i="1" s="1"/>
  <c r="J4527" i="1"/>
  <c r="R4527" i="1" s="1"/>
  <c r="J4528" i="1"/>
  <c r="R4528" i="1" s="1"/>
  <c r="J4522" i="1"/>
  <c r="R4522" i="1" s="1"/>
  <c r="J4534" i="1"/>
  <c r="R4534" i="1" s="1"/>
  <c r="J4535" i="1"/>
  <c r="R4535" i="1" s="1"/>
  <c r="J4536" i="1"/>
  <c r="R4536" i="1" s="1"/>
  <c r="J4530" i="1"/>
  <c r="R4530" i="1" s="1"/>
  <c r="J4542" i="1"/>
  <c r="R4542" i="1" s="1"/>
  <c r="J4543" i="1"/>
  <c r="R4543" i="1" s="1"/>
  <c r="J4544" i="1"/>
  <c r="R4544" i="1" s="1"/>
  <c r="J4538" i="1"/>
  <c r="R4538" i="1" s="1"/>
  <c r="J4550" i="1"/>
  <c r="R4550" i="1" s="1"/>
  <c r="J4551" i="1"/>
  <c r="R4551" i="1" s="1"/>
  <c r="J4552" i="1"/>
  <c r="R4552" i="1" s="1"/>
  <c r="J4546" i="1"/>
  <c r="R4546" i="1" s="1"/>
  <c r="J4558" i="1"/>
  <c r="R4558" i="1" s="1"/>
  <c r="J4559" i="1"/>
  <c r="R4559" i="1" s="1"/>
  <c r="J4560" i="1"/>
  <c r="R4560" i="1" s="1"/>
  <c r="J4554" i="1"/>
  <c r="R4554" i="1" s="1"/>
  <c r="J4566" i="1"/>
  <c r="R4566" i="1" s="1"/>
  <c r="J4567" i="1"/>
  <c r="R4567" i="1" s="1"/>
  <c r="J4568" i="1"/>
  <c r="R4568" i="1" s="1"/>
  <c r="J4562" i="1"/>
  <c r="R4562" i="1" s="1"/>
  <c r="J4574" i="1"/>
  <c r="R4574" i="1" s="1"/>
  <c r="J4575" i="1"/>
  <c r="R4575" i="1" s="1"/>
  <c r="J4576" i="1"/>
  <c r="R4576" i="1" s="1"/>
  <c r="J4570" i="1"/>
  <c r="R4570" i="1" s="1"/>
  <c r="J4642" i="1"/>
  <c r="R4642" i="1" s="1"/>
  <c r="J4641" i="1"/>
  <c r="R4641" i="1" s="1"/>
  <c r="J4643" i="1"/>
  <c r="R4643" i="1" s="1"/>
  <c r="J4644" i="1"/>
  <c r="R4644" i="1" s="1"/>
  <c r="J4646" i="1"/>
  <c r="R4646" i="1" s="1"/>
  <c r="J4651" i="1"/>
  <c r="R4651" i="1" s="1"/>
  <c r="J4652" i="1"/>
  <c r="R4652" i="1" s="1"/>
  <c r="J4645" i="1"/>
  <c r="R4645" i="1" s="1"/>
  <c r="J4654" i="1"/>
  <c r="R4654" i="1" s="1"/>
  <c r="J4658" i="1"/>
  <c r="R4658" i="1" s="1"/>
  <c r="Q630" i="9" s="1"/>
  <c r="J4659" i="1"/>
  <c r="R4659" i="1" s="1"/>
  <c r="J4660" i="1"/>
  <c r="R4660" i="1" s="1"/>
  <c r="J4663" i="1"/>
  <c r="R4663" i="1" s="1"/>
  <c r="J4667" i="1"/>
  <c r="R4667" i="1" s="1"/>
  <c r="J4668" i="1"/>
  <c r="R4668" i="1" s="1"/>
  <c r="J4661" i="1"/>
  <c r="R4661" i="1" s="1"/>
  <c r="J4674" i="1"/>
  <c r="R4674" i="1" s="1"/>
  <c r="J4675" i="1"/>
  <c r="R4675" i="1" s="1"/>
  <c r="J4676" i="1"/>
  <c r="R4676" i="1" s="1"/>
  <c r="J4670" i="1"/>
  <c r="R4670" i="1" s="1"/>
  <c r="J4682" i="1"/>
  <c r="R4682" i="1" s="1"/>
  <c r="J4683" i="1"/>
  <c r="R4683" i="1" s="1"/>
  <c r="J4684" i="1"/>
  <c r="R4684" i="1" s="1"/>
  <c r="J4678" i="1"/>
  <c r="R4678" i="1" s="1"/>
  <c r="J4690" i="1"/>
  <c r="R4690" i="1" s="1"/>
  <c r="J4691" i="1"/>
  <c r="R4691" i="1" s="1"/>
  <c r="J4692" i="1"/>
  <c r="R4692" i="1" s="1"/>
  <c r="Q918" i="9" s="1"/>
  <c r="J4686" i="1"/>
  <c r="R4686" i="1" s="1"/>
  <c r="J4694" i="1"/>
  <c r="R4694" i="1" s="1"/>
  <c r="Q924" i="9" s="1"/>
  <c r="J4698" i="1"/>
  <c r="R4698" i="1" s="1"/>
  <c r="Q759" i="9" s="1"/>
  <c r="J4699" i="1"/>
  <c r="R4699" i="1" s="1"/>
  <c r="J4700" i="1"/>
  <c r="R4700" i="1" s="1"/>
  <c r="J4714" i="1"/>
  <c r="R4714" i="1" s="1"/>
  <c r="J4715" i="1"/>
  <c r="R4715" i="1" s="1"/>
  <c r="J4716" i="1"/>
  <c r="R4716" i="1" s="1"/>
  <c r="J4710" i="1"/>
  <c r="R4710" i="1" s="1"/>
  <c r="J4724" i="1"/>
  <c r="R4724" i="1" s="1"/>
  <c r="J4723" i="1"/>
  <c r="R4723" i="1" s="1"/>
  <c r="Q766" i="9" s="1"/>
  <c r="J4725" i="1"/>
  <c r="R4725" i="1" s="1"/>
  <c r="J4726" i="1"/>
  <c r="R4726" i="1" s="1"/>
  <c r="J4728" i="1"/>
  <c r="R4728" i="1" s="1"/>
  <c r="J4733" i="1"/>
  <c r="R4733" i="1" s="1"/>
  <c r="J4734" i="1"/>
  <c r="R4734" i="1" s="1"/>
  <c r="J4727" i="1"/>
  <c r="R4727" i="1" s="1"/>
  <c r="J4740" i="1"/>
  <c r="R4740" i="1" s="1"/>
  <c r="J4736" i="1"/>
  <c r="R4736" i="1" s="1"/>
  <c r="J4741" i="1"/>
  <c r="R4741" i="1" s="1"/>
  <c r="J4742" i="1"/>
  <c r="R4742" i="1" s="1"/>
  <c r="J4745" i="1"/>
  <c r="R4745" i="1" s="1"/>
  <c r="J4749" i="1"/>
  <c r="R4749" i="1" s="1"/>
  <c r="J4750" i="1"/>
  <c r="R4750" i="1" s="1"/>
  <c r="J4744" i="1"/>
  <c r="R4744" i="1" s="1"/>
  <c r="J4755" i="1"/>
  <c r="R4755" i="1" s="1"/>
  <c r="J4752" i="1"/>
  <c r="R4752" i="1" s="1"/>
  <c r="J4756" i="1"/>
  <c r="R4756" i="1" s="1"/>
  <c r="J4757" i="1"/>
  <c r="R4757" i="1" s="1"/>
  <c r="J4760" i="1"/>
  <c r="R4760" i="1" s="1"/>
  <c r="J4765" i="1"/>
  <c r="R4765" i="1" s="1"/>
  <c r="J4766" i="1"/>
  <c r="R4766" i="1" s="1"/>
  <c r="J4759" i="1"/>
  <c r="R4759" i="1" s="1"/>
  <c r="Q1136" i="9" s="1"/>
  <c r="J4768" i="1"/>
  <c r="R4768" i="1" s="1"/>
  <c r="J4772" i="1"/>
  <c r="R4772" i="1" s="1"/>
  <c r="J4773" i="1"/>
  <c r="R4773" i="1" s="1"/>
  <c r="J4774" i="1"/>
  <c r="R4774" i="1" s="1"/>
  <c r="J4780" i="1"/>
  <c r="R4780" i="1" s="1"/>
  <c r="J4781" i="1"/>
  <c r="R4781" i="1" s="1"/>
  <c r="J4782" i="1"/>
  <c r="R4782" i="1" s="1"/>
  <c r="J4777" i="1"/>
  <c r="R4777" i="1" s="1"/>
  <c r="J4787" i="1"/>
  <c r="R4787" i="1" s="1"/>
  <c r="J4784" i="1"/>
  <c r="R4784" i="1" s="1"/>
  <c r="Q672" i="9" s="1"/>
  <c r="J4788" i="1"/>
  <c r="R4788" i="1" s="1"/>
  <c r="J4789" i="1"/>
  <c r="R4789" i="1" s="1"/>
  <c r="J4792" i="1"/>
  <c r="R4792" i="1" s="1"/>
  <c r="J4797" i="1"/>
  <c r="R4797" i="1" s="1"/>
  <c r="J4798" i="1"/>
  <c r="R4798" i="1" s="1"/>
  <c r="J4791" i="1"/>
  <c r="R4791" i="1" s="1"/>
  <c r="J4800" i="1"/>
  <c r="R4800" i="1" s="1"/>
  <c r="J4804" i="1"/>
  <c r="R4804" i="1" s="1"/>
  <c r="Q675" i="9" s="1"/>
  <c r="J4805" i="1"/>
  <c r="R4805" i="1" s="1"/>
  <c r="J4806" i="1"/>
  <c r="R4806" i="1" s="1"/>
  <c r="J4808" i="1"/>
  <c r="R4808" i="1" s="1"/>
  <c r="J4813" i="1"/>
  <c r="R4813" i="1" s="1"/>
  <c r="J4814" i="1"/>
  <c r="R4814" i="1" s="1"/>
  <c r="J4807" i="1"/>
  <c r="R4807" i="1" s="1"/>
  <c r="J4816" i="1"/>
  <c r="R4816" i="1" s="1"/>
  <c r="J4820" i="1"/>
  <c r="R4820" i="1" s="1"/>
  <c r="Q680" i="9" s="1"/>
  <c r="J4821" i="1"/>
  <c r="R4821" i="1" s="1"/>
  <c r="J4822" i="1"/>
  <c r="R4822" i="1" s="1"/>
  <c r="J4825" i="1"/>
  <c r="R4825" i="1" s="1"/>
  <c r="J4829" i="1"/>
  <c r="R4829" i="1" s="1"/>
  <c r="J4830" i="1"/>
  <c r="R4830" i="1" s="1"/>
  <c r="J4824" i="1"/>
  <c r="R4824" i="1" s="1"/>
  <c r="J4836" i="1"/>
  <c r="R4836" i="1" s="1"/>
  <c r="J4837" i="1"/>
  <c r="R4837" i="1" s="1"/>
  <c r="J4838" i="1"/>
  <c r="R4838" i="1" s="1"/>
  <c r="J4831" i="1"/>
  <c r="R4831" i="1" s="1"/>
  <c r="J4844" i="1"/>
  <c r="R4844" i="1" s="1"/>
  <c r="J4845" i="1"/>
  <c r="R4845" i="1" s="1"/>
  <c r="J4846" i="1"/>
  <c r="R4846" i="1" s="1"/>
  <c r="J4840" i="1"/>
  <c r="R4840" i="1" s="1"/>
  <c r="J4852" i="1"/>
  <c r="R4852" i="1" s="1"/>
  <c r="J4853" i="1"/>
  <c r="R4853" i="1" s="1"/>
  <c r="J4854" i="1"/>
  <c r="R4854" i="1" s="1"/>
  <c r="J4848" i="1"/>
  <c r="R4848" i="1" s="1"/>
  <c r="J4860" i="1"/>
  <c r="R4860" i="1" s="1"/>
  <c r="J4861" i="1"/>
  <c r="R4861" i="1" s="1"/>
  <c r="J4862" i="1"/>
  <c r="R4862" i="1" s="1"/>
  <c r="J4856" i="1"/>
  <c r="R4856" i="1" s="1"/>
  <c r="J4868" i="1"/>
  <c r="R4868" i="1" s="1"/>
  <c r="J4869" i="1"/>
  <c r="R4869" i="1" s="1"/>
  <c r="J4870" i="1"/>
  <c r="R4870" i="1" s="1"/>
  <c r="J4864" i="1"/>
  <c r="R4864" i="1" s="1"/>
  <c r="J4872" i="1"/>
  <c r="R4872" i="1" s="1"/>
  <c r="J3544" i="1"/>
  <c r="R3544" i="1" s="1"/>
  <c r="J3545" i="1"/>
  <c r="R3545" i="1" s="1"/>
  <c r="J3562" i="1"/>
  <c r="R3562" i="1" s="1"/>
  <c r="J3563" i="1"/>
  <c r="R3563" i="1" s="1"/>
  <c r="J3602" i="1"/>
  <c r="R3602" i="1" s="1"/>
  <c r="J3603" i="1"/>
  <c r="R3603" i="1" s="1"/>
  <c r="J3604" i="1"/>
  <c r="R3604" i="1" s="1"/>
  <c r="J3605" i="1"/>
  <c r="R3605" i="1" s="1"/>
  <c r="J3607" i="1"/>
  <c r="R3607" i="1" s="1"/>
  <c r="J3634" i="1"/>
  <c r="R3634" i="1" s="1"/>
  <c r="J3635" i="1"/>
  <c r="R3635" i="1" s="1"/>
  <c r="J3636" i="1"/>
  <c r="R3636" i="1" s="1"/>
  <c r="J1585" i="1"/>
  <c r="R1585" i="1" s="1"/>
  <c r="J1586" i="1"/>
  <c r="R1586" i="1" s="1"/>
  <c r="J1795" i="1"/>
  <c r="R1795" i="1" s="1"/>
  <c r="J1584" i="1"/>
  <c r="R1584" i="1" s="1"/>
  <c r="J1887" i="1"/>
  <c r="R1887" i="1" s="1"/>
  <c r="J1919" i="1"/>
  <c r="R1919" i="1" s="1"/>
  <c r="J1920" i="1"/>
  <c r="R1920" i="1" s="1"/>
  <c r="J2010" i="1"/>
  <c r="R2010" i="1" s="1"/>
  <c r="J1918" i="1"/>
  <c r="R1918" i="1" s="1"/>
  <c r="J2020" i="1"/>
  <c r="R2020" i="1" s="1"/>
  <c r="J2021" i="1"/>
  <c r="R2021" i="1" s="1"/>
  <c r="J2019" i="1"/>
  <c r="R2019" i="1" s="1"/>
  <c r="J2134" i="1"/>
  <c r="R2134" i="1" s="1"/>
  <c r="J2129" i="1"/>
  <c r="R2129" i="1" s="1"/>
  <c r="J2130" i="1"/>
  <c r="R2130" i="1" s="1"/>
  <c r="J2131" i="1"/>
  <c r="R2131" i="1" s="1"/>
  <c r="J2435" i="1"/>
  <c r="R2435" i="1" s="1"/>
  <c r="J2997" i="1"/>
  <c r="R2997" i="1" s="1"/>
  <c r="J2998" i="1"/>
  <c r="R2998" i="1" s="1"/>
  <c r="J3006" i="1"/>
  <c r="R3006" i="1" s="1"/>
  <c r="J3015" i="1"/>
  <c r="R3015" i="1" s="1"/>
  <c r="J960" i="1"/>
  <c r="R960" i="1" s="1"/>
  <c r="J989" i="1"/>
  <c r="R989" i="1" s="1"/>
  <c r="J991" i="1"/>
  <c r="R991" i="1" s="1"/>
  <c r="J992" i="1"/>
  <c r="R992" i="1" s="1"/>
  <c r="J985" i="1"/>
  <c r="R985" i="1" s="1"/>
  <c r="J1012" i="1"/>
  <c r="R1012" i="1" s="1"/>
  <c r="J1013" i="1"/>
  <c r="R1013" i="1" s="1"/>
  <c r="J1017" i="1"/>
  <c r="R1017" i="1" s="1"/>
  <c r="J994" i="1"/>
  <c r="R994" i="1" s="1"/>
  <c r="J1028" i="1"/>
  <c r="R1028" i="1" s="1"/>
  <c r="J1018" i="1"/>
  <c r="R1018" i="1" s="1"/>
  <c r="J1039" i="1"/>
  <c r="R1039" i="1" s="1"/>
  <c r="J1040" i="1"/>
  <c r="R1040" i="1" s="1"/>
  <c r="J1038" i="1"/>
  <c r="R1038" i="1" s="1"/>
  <c r="J1042" i="1"/>
  <c r="R1042" i="1" s="1"/>
  <c r="J1805" i="1"/>
  <c r="R1805" i="1" s="1"/>
  <c r="J1806" i="1"/>
  <c r="R1806" i="1" s="1"/>
  <c r="J1830" i="1"/>
  <c r="R1830" i="1" s="1"/>
  <c r="J1804" i="1"/>
  <c r="R1804" i="1" s="1"/>
  <c r="J2836" i="1"/>
  <c r="R2836" i="1" s="1"/>
  <c r="J2854" i="1"/>
  <c r="R2854" i="1" s="1"/>
  <c r="J2855" i="1"/>
  <c r="R2855" i="1" s="1"/>
  <c r="J2907" i="1"/>
  <c r="R2907" i="1" s="1"/>
  <c r="J919" i="1"/>
  <c r="R919" i="1" s="1"/>
  <c r="J910" i="1"/>
  <c r="R910" i="1" s="1"/>
  <c r="J925" i="1"/>
  <c r="R925" i="1" s="1"/>
  <c r="J926" i="1"/>
  <c r="R926" i="1" s="1"/>
  <c r="J927" i="1"/>
  <c r="R927" i="1" s="1"/>
  <c r="J921" i="1"/>
  <c r="R921" i="1" s="1"/>
  <c r="J1169" i="1"/>
  <c r="R1169" i="1" s="1"/>
  <c r="Q1607" i="9" s="1"/>
  <c r="J1168" i="1"/>
  <c r="R1168" i="1" s="1"/>
  <c r="Q1620" i="9" s="1"/>
  <c r="J1222" i="1"/>
  <c r="R1222" i="1" s="1"/>
  <c r="J1230" i="1"/>
  <c r="R1230" i="1" s="1"/>
  <c r="J1231" i="1"/>
  <c r="R1231" i="1" s="1"/>
  <c r="J1171" i="1"/>
  <c r="R1171" i="1" s="1"/>
  <c r="J1270" i="1"/>
  <c r="R1270" i="1" s="1"/>
  <c r="Q1050" i="9" s="1"/>
  <c r="J1269" i="1"/>
  <c r="R1269" i="1" s="1"/>
  <c r="Q1064" i="9" s="1"/>
  <c r="J1330" i="1"/>
  <c r="R1330" i="1" s="1"/>
  <c r="J1341" i="1"/>
  <c r="R1341" i="1" s="1"/>
  <c r="J1342" i="1"/>
  <c r="R1342" i="1" s="1"/>
  <c r="J1283" i="1"/>
  <c r="R1283" i="1" s="1"/>
  <c r="J1348" i="1"/>
  <c r="R1348" i="1" s="1"/>
  <c r="J1349" i="1"/>
  <c r="R1349" i="1" s="1"/>
  <c r="J1362" i="1"/>
  <c r="R1362" i="1" s="1"/>
  <c r="J1347" i="1"/>
  <c r="R1347" i="1" s="1"/>
  <c r="J1373" i="1"/>
  <c r="R1373" i="1" s="1"/>
  <c r="J1363" i="1"/>
  <c r="R1363" i="1" s="1"/>
  <c r="J1401" i="1"/>
  <c r="R1401" i="1" s="1"/>
  <c r="J1407" i="1"/>
  <c r="R1407" i="1" s="1"/>
  <c r="J1408" i="1"/>
  <c r="R1408" i="1" s="1"/>
  <c r="J1371" i="1"/>
  <c r="R1371" i="1" s="1"/>
  <c r="J1416" i="1"/>
  <c r="R1416" i="1" s="1"/>
  <c r="J1417" i="1"/>
  <c r="R1417" i="1" s="1"/>
  <c r="J1433" i="1"/>
  <c r="R1433" i="1" s="1"/>
  <c r="J1415" i="1"/>
  <c r="R1415" i="1" s="1"/>
  <c r="J2834" i="1"/>
  <c r="R2834" i="1" s="1"/>
  <c r="J2436" i="1"/>
  <c r="R2436" i="1" s="1"/>
  <c r="J2446" i="1"/>
  <c r="R2446" i="1" s="1"/>
  <c r="J2447" i="1"/>
  <c r="R2447" i="1" s="1"/>
  <c r="J2448" i="1"/>
  <c r="R2448" i="1" s="1"/>
  <c r="J2835" i="1"/>
  <c r="R2835" i="1" s="1"/>
  <c r="J1074" i="1"/>
  <c r="R1074" i="1" s="1"/>
  <c r="J1064" i="1"/>
  <c r="R1064" i="1" s="1"/>
  <c r="J2101" i="1"/>
  <c r="R2101" i="1" s="1"/>
  <c r="J2108" i="1"/>
  <c r="R2108" i="1" s="1"/>
  <c r="J2127" i="1"/>
  <c r="R2127" i="1" s="1"/>
  <c r="J2118" i="1"/>
  <c r="R2118" i="1" s="1"/>
  <c r="J2120" i="1"/>
  <c r="R2120" i="1" s="1"/>
  <c r="Q1695" i="9" s="1"/>
  <c r="J3557" i="1"/>
  <c r="R3557" i="1" s="1"/>
  <c r="J3532" i="1"/>
  <c r="R3532" i="1" s="1"/>
  <c r="Q1597" i="9" s="1"/>
  <c r="J3546" i="1"/>
  <c r="R3546" i="1" s="1"/>
  <c r="J3547" i="1"/>
  <c r="R3547" i="1" s="1"/>
  <c r="J872" i="1"/>
  <c r="R872" i="1" s="1"/>
  <c r="J871" i="1"/>
  <c r="R871" i="1" s="1"/>
  <c r="J876" i="1"/>
  <c r="R876" i="1" s="1"/>
  <c r="J870" i="1"/>
  <c r="R870" i="1" s="1"/>
  <c r="Q955" i="9" s="1"/>
  <c r="J882" i="1"/>
  <c r="R882" i="1" s="1"/>
  <c r="J877" i="1"/>
  <c r="R877" i="1" s="1"/>
  <c r="J878" i="1"/>
  <c r="R878" i="1" s="1"/>
  <c r="J879" i="1"/>
  <c r="R879" i="1" s="1"/>
  <c r="J906" i="1"/>
  <c r="R906" i="1" s="1"/>
  <c r="J907" i="1"/>
  <c r="R907" i="1" s="1"/>
  <c r="J903" i="1"/>
  <c r="R903" i="1" s="1"/>
  <c r="J1105" i="1"/>
  <c r="R1105" i="1" s="1"/>
  <c r="J1106" i="1"/>
  <c r="R1106" i="1" s="1"/>
  <c r="J1107" i="1"/>
  <c r="R1107" i="1" s="1"/>
  <c r="J1085" i="1"/>
  <c r="R1085" i="1" s="1"/>
  <c r="J774" i="1"/>
  <c r="R774" i="1" s="1"/>
  <c r="J779" i="1"/>
  <c r="R779" i="1" s="1"/>
  <c r="J777" i="1"/>
  <c r="R777" i="1" s="1"/>
  <c r="J778" i="1"/>
  <c r="R778" i="1" s="1"/>
  <c r="J798" i="1"/>
  <c r="R798" i="1" s="1"/>
  <c r="J795" i="1"/>
  <c r="R795" i="1" s="1"/>
  <c r="J796" i="1"/>
  <c r="R796" i="1" s="1"/>
  <c r="J797" i="1"/>
  <c r="R797" i="1" s="1"/>
  <c r="J867" i="1"/>
  <c r="R867" i="1" s="1"/>
  <c r="J868" i="1"/>
  <c r="R868" i="1" s="1"/>
  <c r="J869" i="1"/>
  <c r="R869" i="1" s="1"/>
  <c r="J900" i="1"/>
  <c r="R900" i="1" s="1"/>
  <c r="J901" i="1"/>
  <c r="R901" i="1" s="1"/>
  <c r="J897" i="1"/>
  <c r="R897" i="1" s="1"/>
  <c r="J851" i="1"/>
  <c r="R851" i="1" s="1"/>
  <c r="J855" i="1"/>
  <c r="R855" i="1" s="1"/>
  <c r="J853" i="1"/>
  <c r="R853" i="1" s="1"/>
  <c r="J854" i="1"/>
  <c r="R854" i="1" s="1"/>
  <c r="J859" i="1"/>
  <c r="R859" i="1" s="1"/>
  <c r="J862" i="1"/>
  <c r="R862" i="1" s="1"/>
  <c r="J863" i="1"/>
  <c r="R863" i="1" s="1"/>
  <c r="Q953" i="9" s="1"/>
  <c r="J864" i="1"/>
  <c r="R864" i="1" s="1"/>
  <c r="J837" i="1"/>
  <c r="R837" i="1" s="1"/>
  <c r="J841" i="1"/>
  <c r="R841" i="1" s="1"/>
  <c r="J842" i="1"/>
  <c r="R842" i="1" s="1"/>
  <c r="J843" i="1"/>
  <c r="R843" i="1" s="1"/>
  <c r="J894" i="1"/>
  <c r="R894" i="1" s="1"/>
  <c r="J895" i="1"/>
  <c r="R895" i="1" s="1"/>
  <c r="J891" i="1"/>
  <c r="R891" i="1" s="1"/>
  <c r="J786" i="1"/>
  <c r="R786" i="1" s="1"/>
  <c r="Q902" i="9" s="1"/>
  <c r="J781" i="1"/>
  <c r="R781" i="1" s="1"/>
  <c r="J782" i="1"/>
  <c r="R782" i="1" s="1"/>
  <c r="J784" i="1"/>
  <c r="R784" i="1" s="1"/>
  <c r="J791" i="1"/>
  <c r="R791" i="1" s="1"/>
  <c r="J789" i="1"/>
  <c r="R789" i="1" s="1"/>
  <c r="Q909" i="9" s="1"/>
  <c r="J793" i="1"/>
  <c r="R793" i="1" s="1"/>
  <c r="Q911" i="9" s="1"/>
  <c r="J794" i="1"/>
  <c r="R794" i="1" s="1"/>
  <c r="Q910" i="9" s="1"/>
  <c r="J834" i="1"/>
  <c r="R834" i="1" s="1"/>
  <c r="J835" i="1"/>
  <c r="R835" i="1" s="1"/>
  <c r="J836" i="1"/>
  <c r="R836" i="1" s="1"/>
  <c r="J831" i="1"/>
  <c r="R831" i="1" s="1"/>
  <c r="J888" i="1"/>
  <c r="R888" i="1" s="1"/>
  <c r="J889" i="1"/>
  <c r="R889" i="1" s="1"/>
  <c r="J884" i="1"/>
  <c r="R884" i="1" s="1"/>
  <c r="J2910" i="1"/>
  <c r="R2910" i="1" s="1"/>
  <c r="Q1474" i="9" s="1"/>
  <c r="J2911" i="1"/>
  <c r="R2911" i="1" s="1"/>
  <c r="J2912" i="1"/>
  <c r="R2912" i="1" s="1"/>
  <c r="J2905" i="1"/>
  <c r="R2905" i="1" s="1"/>
  <c r="J2916" i="1"/>
  <c r="R2916" i="1" s="1"/>
  <c r="J2917" i="1"/>
  <c r="R2917" i="1" s="1"/>
  <c r="J2918" i="1"/>
  <c r="R2918" i="1" s="1"/>
  <c r="J2923" i="1"/>
  <c r="R2923" i="1" s="1"/>
  <c r="J2933" i="1"/>
  <c r="R2933" i="1" s="1"/>
  <c r="J2925" i="1"/>
  <c r="R2925" i="1" s="1"/>
  <c r="J2927" i="1"/>
  <c r="R2927" i="1" s="1"/>
  <c r="J2926" i="1"/>
  <c r="R2926" i="1" s="1"/>
  <c r="J806" i="1"/>
  <c r="R806" i="1" s="1"/>
  <c r="J802" i="1"/>
  <c r="R802" i="1" s="1"/>
  <c r="J803" i="1"/>
  <c r="R803" i="1" s="1"/>
  <c r="J804" i="1"/>
  <c r="R804" i="1" s="1"/>
  <c r="J812" i="1"/>
  <c r="R812" i="1" s="1"/>
  <c r="J810" i="1"/>
  <c r="R810" i="1" s="1"/>
  <c r="J809" i="1"/>
  <c r="R809" i="1" s="1"/>
  <c r="J811" i="1"/>
  <c r="R811" i="1" s="1"/>
  <c r="J816" i="1"/>
  <c r="R816" i="1" s="1"/>
  <c r="J817" i="1"/>
  <c r="R817" i="1" s="1"/>
  <c r="J818" i="1"/>
  <c r="R818" i="1" s="1"/>
  <c r="J822" i="1"/>
  <c r="R822" i="1" s="1"/>
  <c r="J826" i="1"/>
  <c r="R826" i="1" s="1"/>
  <c r="Q934" i="9" s="1"/>
  <c r="J825" i="1"/>
  <c r="R825" i="1" s="1"/>
  <c r="J824" i="1"/>
  <c r="R824" i="1" s="1"/>
  <c r="J823" i="1"/>
  <c r="R823" i="1" s="1"/>
  <c r="J848" i="1"/>
  <c r="R848" i="1" s="1"/>
  <c r="J844" i="1"/>
  <c r="R844" i="1" s="1"/>
  <c r="J845" i="1"/>
  <c r="R845" i="1" s="1"/>
  <c r="J846" i="1"/>
  <c r="R846" i="1" s="1"/>
  <c r="J179" i="1"/>
  <c r="R179" i="1" s="1"/>
  <c r="J181" i="1"/>
  <c r="R181" i="1" s="1"/>
  <c r="J178" i="1"/>
  <c r="R178" i="1" s="1"/>
  <c r="J185" i="1"/>
  <c r="R185" i="1" s="1"/>
  <c r="J187" i="1"/>
  <c r="R187" i="1" s="1"/>
  <c r="J188" i="1"/>
  <c r="R188" i="1" s="1"/>
  <c r="J189" i="1"/>
  <c r="R189" i="1" s="1"/>
  <c r="J182" i="1"/>
  <c r="R182" i="1" s="1"/>
  <c r="J183" i="1"/>
  <c r="R183" i="1" s="1"/>
  <c r="Q198" i="9" s="1"/>
  <c r="J3733" i="1"/>
  <c r="R3733" i="1" s="1"/>
  <c r="J3734" i="1"/>
  <c r="R3734" i="1" s="1"/>
  <c r="J3735" i="1"/>
  <c r="R3735" i="1" s="1"/>
  <c r="J3736" i="1"/>
  <c r="R3736" i="1" s="1"/>
  <c r="J3737" i="1"/>
  <c r="R3737" i="1" s="1"/>
  <c r="J3743" i="1"/>
  <c r="R3743" i="1" s="1"/>
  <c r="J3739" i="1"/>
  <c r="R3739" i="1" s="1"/>
  <c r="J3738" i="1"/>
  <c r="R3738" i="1" s="1"/>
  <c r="J1037" i="1"/>
  <c r="R1037" i="1" s="1"/>
  <c r="J1047" i="1"/>
  <c r="R1047" i="1" s="1"/>
  <c r="J1034" i="1"/>
  <c r="R1034" i="1" s="1"/>
  <c r="J1140" i="1"/>
  <c r="R1140" i="1" s="1"/>
  <c r="J1141" i="1"/>
  <c r="R1141" i="1" s="1"/>
  <c r="J1142" i="1"/>
  <c r="R1142" i="1" s="1"/>
  <c r="J1124" i="1"/>
  <c r="R1124" i="1" s="1"/>
  <c r="J1794" i="1"/>
  <c r="R1794" i="1" s="1"/>
  <c r="Q1264" i="9" s="1"/>
  <c r="J1809" i="1"/>
  <c r="R1809" i="1" s="1"/>
  <c r="J1810" i="1"/>
  <c r="R1810" i="1" s="1"/>
  <c r="J1811" i="1"/>
  <c r="R1811" i="1" s="1"/>
  <c r="J1845" i="1"/>
  <c r="R1845" i="1" s="1"/>
  <c r="J1846" i="1"/>
  <c r="R1846" i="1" s="1"/>
  <c r="J1847" i="1"/>
  <c r="R1847" i="1" s="1"/>
  <c r="J1829" i="1"/>
  <c r="R1829" i="1" s="1"/>
  <c r="J1878" i="1"/>
  <c r="R1878" i="1" s="1"/>
  <c r="Q1276" i="9" s="1"/>
  <c r="J1867" i="1"/>
  <c r="R1867" i="1" s="1"/>
  <c r="J1871" i="1"/>
  <c r="R1871" i="1" s="1"/>
  <c r="J1872" i="1"/>
  <c r="R1872" i="1" s="1"/>
  <c r="J1910" i="1"/>
  <c r="R1910" i="1" s="1"/>
  <c r="J1922" i="1"/>
  <c r="R1922" i="1" s="1"/>
  <c r="J1923" i="1"/>
  <c r="R1923" i="1" s="1"/>
  <c r="J1924" i="1"/>
  <c r="R1924" i="1" s="1"/>
  <c r="J2024" i="1"/>
  <c r="R2024" i="1" s="1"/>
  <c r="J2025" i="1"/>
  <c r="R2025" i="1" s="1"/>
  <c r="J2026" i="1"/>
  <c r="R2026" i="1" s="1"/>
  <c r="J2009" i="1"/>
  <c r="R2009" i="1" s="1"/>
  <c r="J2059" i="1"/>
  <c r="R2059" i="1" s="1"/>
  <c r="J2060" i="1"/>
  <c r="R2060" i="1" s="1"/>
  <c r="J2061" i="1"/>
  <c r="R2061" i="1" s="1"/>
  <c r="J2044" i="1"/>
  <c r="R2044" i="1" s="1"/>
  <c r="J2140" i="1"/>
  <c r="R2140" i="1" s="1"/>
  <c r="Q1353" i="9" s="1"/>
  <c r="J2143" i="1"/>
  <c r="R2143" i="1" s="1"/>
  <c r="Q1350" i="9" s="1"/>
  <c r="J2148" i="1"/>
  <c r="R2148" i="1" s="1"/>
  <c r="J2149" i="1"/>
  <c r="R2149" i="1" s="1"/>
  <c r="J2426" i="1"/>
  <c r="R2426" i="1" s="1"/>
  <c r="J2417" i="1"/>
  <c r="R2417" i="1" s="1"/>
  <c r="J2422" i="1"/>
  <c r="R2422" i="1" s="1"/>
  <c r="J2437" i="1"/>
  <c r="R2437" i="1" s="1"/>
  <c r="J2455" i="1"/>
  <c r="R2455" i="1" s="1"/>
  <c r="J2466" i="1"/>
  <c r="R2466" i="1" s="1"/>
  <c r="J2467" i="1"/>
  <c r="R2467" i="1" s="1"/>
  <c r="J3020" i="1"/>
  <c r="R3020" i="1" s="1"/>
  <c r="J3021" i="1"/>
  <c r="R3021" i="1" s="1"/>
  <c r="J3022" i="1"/>
  <c r="R3022" i="1" s="1"/>
  <c r="J3040" i="1"/>
  <c r="R3040" i="1" s="1"/>
  <c r="J3841" i="1"/>
  <c r="R3841" i="1" s="1"/>
  <c r="J3842" i="1"/>
  <c r="R3842" i="1" s="1"/>
  <c r="J3843" i="1"/>
  <c r="R3843" i="1" s="1"/>
  <c r="J3846" i="1"/>
  <c r="R3846" i="1" s="1"/>
  <c r="J928" i="1"/>
  <c r="R928" i="1" s="1"/>
  <c r="J918" i="1"/>
  <c r="R918" i="1" s="1"/>
  <c r="J953" i="1"/>
  <c r="R953" i="1" s="1"/>
  <c r="J946" i="1"/>
  <c r="R946" i="1" s="1"/>
  <c r="J951" i="1"/>
  <c r="R951" i="1" s="1"/>
  <c r="J952" i="1"/>
  <c r="R952" i="1" s="1"/>
  <c r="J1233" i="1"/>
  <c r="R1233" i="1" s="1"/>
  <c r="Q1612" i="9" s="1"/>
  <c r="J1217" i="1"/>
  <c r="R1217" i="1" s="1"/>
  <c r="Q1622" i="9" s="1"/>
  <c r="J1240" i="1"/>
  <c r="R1240" i="1" s="1"/>
  <c r="J1227" i="1"/>
  <c r="R1227" i="1" s="1"/>
  <c r="Q1626" i="9" s="1"/>
  <c r="J1261" i="1"/>
  <c r="R1261" i="1" s="1"/>
  <c r="J1251" i="1"/>
  <c r="R1251" i="1" s="1"/>
  <c r="J1257" i="1"/>
  <c r="R1257" i="1" s="1"/>
  <c r="J1272" i="1"/>
  <c r="R1272" i="1" s="1"/>
  <c r="J1339" i="1"/>
  <c r="R1339" i="1" s="1"/>
  <c r="J1326" i="1"/>
  <c r="R1326" i="1" s="1"/>
  <c r="J1332" i="1"/>
  <c r="R1332" i="1" s="1"/>
  <c r="J1333" i="1"/>
  <c r="R1333" i="1" s="1"/>
  <c r="J1376" i="1"/>
  <c r="R1376" i="1" s="1"/>
  <c r="J1377" i="1"/>
  <c r="R1377" i="1" s="1"/>
  <c r="J1378" i="1"/>
  <c r="R1378" i="1" s="1"/>
  <c r="J1361" i="1"/>
  <c r="R1361" i="1" s="1"/>
  <c r="J1405" i="1"/>
  <c r="R1405" i="1" s="1"/>
  <c r="J1398" i="1"/>
  <c r="R1398" i="1" s="1"/>
  <c r="J1419" i="1"/>
  <c r="R1419" i="1" s="1"/>
  <c r="J1420" i="1"/>
  <c r="R1420" i="1" s="1"/>
  <c r="J1447" i="1"/>
  <c r="R1447" i="1" s="1"/>
  <c r="J1448" i="1"/>
  <c r="R1448" i="1" s="1"/>
  <c r="J1449" i="1"/>
  <c r="R1449" i="1" s="1"/>
  <c r="J1432" i="1"/>
  <c r="R1432" i="1" s="1"/>
  <c r="J1589" i="1"/>
  <c r="R1589" i="1" s="1"/>
  <c r="J1590" i="1"/>
  <c r="R1590" i="1" s="1"/>
  <c r="J1591" i="1"/>
  <c r="R1591" i="1" s="1"/>
  <c r="J1571" i="1"/>
  <c r="R1571" i="1" s="1"/>
  <c r="J420" i="1"/>
  <c r="R420" i="1" s="1"/>
  <c r="Q611" i="9" s="1"/>
  <c r="J421" i="1"/>
  <c r="R421" i="1" s="1"/>
  <c r="Q610" i="9" s="1"/>
  <c r="J419" i="1"/>
  <c r="R419" i="1" s="1"/>
  <c r="J423" i="1"/>
  <c r="R423" i="1" s="1"/>
  <c r="J443" i="1"/>
  <c r="R443" i="1" s="1"/>
  <c r="J444" i="1"/>
  <c r="R444" i="1" s="1"/>
  <c r="Q629" i="9" s="1"/>
  <c r="J445" i="1"/>
  <c r="R445" i="1" s="1"/>
  <c r="J440" i="1"/>
  <c r="R440" i="1" s="1"/>
  <c r="J527" i="1"/>
  <c r="R527" i="1" s="1"/>
  <c r="J528" i="1"/>
  <c r="R528" i="1" s="1"/>
  <c r="J529" i="1"/>
  <c r="R529" i="1" s="1"/>
  <c r="J524" i="1"/>
  <c r="R524" i="1" s="1"/>
  <c r="J498" i="1"/>
  <c r="R498" i="1" s="1"/>
  <c r="J499" i="1"/>
  <c r="R499" i="1" s="1"/>
  <c r="J496" i="1"/>
  <c r="R496" i="1" s="1"/>
  <c r="J501" i="1"/>
  <c r="R501" i="1" s="1"/>
  <c r="J506" i="1"/>
  <c r="R506" i="1" s="1"/>
  <c r="J507" i="1"/>
  <c r="R507" i="1" s="1"/>
  <c r="J508" i="1"/>
  <c r="R508" i="1" s="1"/>
  <c r="J503" i="1"/>
  <c r="R503" i="1" s="1"/>
  <c r="J485" i="1"/>
  <c r="R485" i="1" s="1"/>
  <c r="J486" i="1"/>
  <c r="R486" i="1" s="1"/>
  <c r="J487" i="1"/>
  <c r="R487" i="1" s="1"/>
  <c r="J481" i="1"/>
  <c r="R481" i="1" s="1"/>
  <c r="J520" i="1"/>
  <c r="R520" i="1" s="1"/>
  <c r="J521" i="1"/>
  <c r="R521" i="1" s="1"/>
  <c r="J522" i="1"/>
  <c r="R522" i="1" s="1"/>
  <c r="J517" i="1"/>
  <c r="R517" i="1" s="1"/>
  <c r="J3686" i="1"/>
  <c r="R3686" i="1" s="1"/>
  <c r="J3687" i="1"/>
  <c r="R3687" i="1" s="1"/>
  <c r="J3688" i="1"/>
  <c r="R3688" i="1" s="1"/>
  <c r="J3704" i="1"/>
  <c r="R3704" i="1" s="1"/>
  <c r="J428" i="1"/>
  <c r="R428" i="1" s="1"/>
  <c r="J430" i="1"/>
  <c r="R430" i="1" s="1"/>
  <c r="J431" i="1"/>
  <c r="R431" i="1" s="1"/>
  <c r="J426" i="1"/>
  <c r="R426" i="1" s="1"/>
  <c r="J434" i="1"/>
  <c r="R434" i="1" s="1"/>
  <c r="J435" i="1"/>
  <c r="R435" i="1" s="1"/>
  <c r="J437" i="1"/>
  <c r="R437" i="1" s="1"/>
  <c r="J433" i="1"/>
  <c r="R433" i="1" s="1"/>
  <c r="J478" i="1"/>
  <c r="R478" i="1" s="1"/>
  <c r="J479" i="1"/>
  <c r="R479" i="1" s="1"/>
  <c r="J480" i="1"/>
  <c r="R480" i="1" s="1"/>
  <c r="J475" i="1"/>
  <c r="R475" i="1" s="1"/>
  <c r="J513" i="1"/>
  <c r="R513" i="1" s="1"/>
  <c r="J514" i="1"/>
  <c r="R514" i="1" s="1"/>
  <c r="J515" i="1"/>
  <c r="R515" i="1" s="1"/>
  <c r="J509" i="1"/>
  <c r="R509" i="1" s="1"/>
  <c r="J450" i="1"/>
  <c r="R450" i="1" s="1"/>
  <c r="Q635" i="9" s="1"/>
  <c r="J451" i="1"/>
  <c r="R451" i="1" s="1"/>
  <c r="J452" i="1"/>
  <c r="R452" i="1" s="1"/>
  <c r="J447" i="1"/>
  <c r="R447" i="1" s="1"/>
  <c r="J457" i="1"/>
  <c r="R457" i="1" s="1"/>
  <c r="J459" i="1"/>
  <c r="R459" i="1" s="1"/>
  <c r="J458" i="1"/>
  <c r="R458" i="1" s="1"/>
  <c r="Q638" i="9" s="1"/>
  <c r="J454" i="1"/>
  <c r="R454" i="1" s="1"/>
  <c r="Q636" i="9" s="1"/>
  <c r="J464" i="1"/>
  <c r="R464" i="1" s="1"/>
  <c r="J461" i="1"/>
  <c r="R461" i="1" s="1"/>
  <c r="J465" i="1"/>
  <c r="R465" i="1" s="1"/>
  <c r="J466" i="1"/>
  <c r="R466" i="1" s="1"/>
  <c r="J473" i="1"/>
  <c r="R473" i="1" s="1"/>
  <c r="J471" i="1"/>
  <c r="R471" i="1" s="1"/>
  <c r="J472" i="1"/>
  <c r="R472" i="1" s="1"/>
  <c r="J468" i="1"/>
  <c r="R468" i="1" s="1"/>
  <c r="J492" i="1"/>
  <c r="R492" i="1" s="1"/>
  <c r="J493" i="1"/>
  <c r="R493" i="1" s="1"/>
  <c r="J494" i="1"/>
  <c r="R494" i="1" s="1"/>
  <c r="J488" i="1"/>
  <c r="R488" i="1" s="1"/>
  <c r="Q649" i="9" s="1"/>
  <c r="J2849" i="1"/>
  <c r="R2849" i="1" s="1"/>
  <c r="Q1226" i="9" s="1"/>
  <c r="J2825" i="1"/>
  <c r="R2825" i="1" s="1"/>
  <c r="J2827" i="1"/>
  <c r="R2827" i="1" s="1"/>
  <c r="J2828" i="1"/>
  <c r="R2828" i="1" s="1"/>
  <c r="J1075" i="1"/>
  <c r="R1075" i="1" s="1"/>
  <c r="J1060" i="1"/>
  <c r="R1060" i="1" s="1"/>
  <c r="J1076" i="1"/>
  <c r="R1076" i="1" s="1"/>
  <c r="J1062" i="1"/>
  <c r="R1062" i="1" s="1"/>
  <c r="J1077" i="1"/>
  <c r="R1077" i="1" s="1"/>
  <c r="J2099" i="1"/>
  <c r="R2099" i="1" s="1"/>
  <c r="Q1342" i="9" s="1"/>
  <c r="J2109" i="1"/>
  <c r="R2109" i="1" s="1"/>
  <c r="J2110" i="1"/>
  <c r="R2110" i="1" s="1"/>
  <c r="J2111" i="1"/>
  <c r="R2111" i="1" s="1"/>
  <c r="J2112" i="1"/>
  <c r="R2112" i="1" s="1"/>
  <c r="J2119" i="1"/>
  <c r="R2119" i="1" s="1"/>
  <c r="J2125" i="1"/>
  <c r="R2125" i="1" s="1"/>
  <c r="J2121" i="1"/>
  <c r="R2121" i="1" s="1"/>
  <c r="J2117" i="1"/>
  <c r="R2117" i="1" s="1"/>
  <c r="J2135" i="1"/>
  <c r="R2135" i="1" s="1"/>
  <c r="J3097" i="1"/>
  <c r="R3097" i="1" s="1"/>
  <c r="J3559" i="1"/>
  <c r="R3559" i="1" s="1"/>
  <c r="J3528" i="1"/>
  <c r="R3528" i="1" s="1"/>
  <c r="Q1598" i="9" s="1"/>
  <c r="J3534" i="1"/>
  <c r="R3534" i="1" s="1"/>
  <c r="Q1599" i="9" s="1"/>
  <c r="J3548" i="1"/>
  <c r="R3548" i="1" s="1"/>
  <c r="J3549" i="1"/>
  <c r="R3549" i="1" s="1"/>
  <c r="J721" i="1"/>
  <c r="R721" i="1" s="1"/>
  <c r="J728" i="1"/>
  <c r="R728" i="1" s="1"/>
  <c r="J723" i="1"/>
  <c r="R723" i="1" s="1"/>
  <c r="Q850" i="9" s="1"/>
  <c r="J722" i="1"/>
  <c r="R722" i="1" s="1"/>
  <c r="J725" i="1"/>
  <c r="R725" i="1" s="1"/>
  <c r="J732" i="1"/>
  <c r="R732" i="1" s="1"/>
  <c r="J733" i="1"/>
  <c r="R733" i="1" s="1"/>
  <c r="J734" i="1"/>
  <c r="R734" i="1" s="1"/>
  <c r="J729" i="1"/>
  <c r="R729" i="1" s="1"/>
  <c r="J735" i="1"/>
  <c r="R735" i="1" s="1"/>
  <c r="J1020" i="1"/>
  <c r="R1020" i="1" s="1"/>
  <c r="J757" i="1"/>
  <c r="R757" i="1" s="1"/>
  <c r="J756" i="1"/>
  <c r="R756" i="1" s="1"/>
  <c r="J754" i="1"/>
  <c r="R754" i="1" s="1"/>
  <c r="J755" i="1"/>
  <c r="R755" i="1" s="1"/>
  <c r="J760" i="1"/>
  <c r="R760" i="1" s="1"/>
  <c r="J4895" i="1"/>
  <c r="R4895" i="1" s="1"/>
  <c r="J4896" i="1"/>
  <c r="R4896" i="1" s="1"/>
  <c r="J4897" i="1"/>
  <c r="R4897" i="1" s="1"/>
  <c r="J4898" i="1"/>
  <c r="R4898" i="1" s="1"/>
  <c r="J763" i="1"/>
  <c r="R763" i="1" s="1"/>
  <c r="J761" i="1"/>
  <c r="R761" i="1" s="1"/>
  <c r="J765" i="1"/>
  <c r="R765" i="1" s="1"/>
  <c r="Q901" i="9" s="1"/>
  <c r="J766" i="1"/>
  <c r="R766" i="1" s="1"/>
  <c r="J767" i="1"/>
  <c r="R767" i="1" s="1"/>
  <c r="J770" i="1"/>
  <c r="R770" i="1" s="1"/>
  <c r="J771" i="1"/>
  <c r="R771" i="1" s="1"/>
  <c r="Q907" i="9" s="1"/>
  <c r="J772" i="1"/>
  <c r="R772" i="1" s="1"/>
  <c r="J773" i="1"/>
  <c r="R773" i="1" s="1"/>
  <c r="J768" i="1"/>
  <c r="R768" i="1" s="1"/>
  <c r="Q906" i="9" s="1"/>
  <c r="J748" i="1"/>
  <c r="R748" i="1" s="1"/>
  <c r="Q863" i="9" s="1"/>
  <c r="J745" i="1"/>
  <c r="R745" i="1" s="1"/>
  <c r="J751" i="1"/>
  <c r="R751" i="1" s="1"/>
  <c r="J747" i="1"/>
  <c r="R747" i="1" s="1"/>
  <c r="J746" i="1"/>
  <c r="R746" i="1" s="1"/>
  <c r="J752" i="1"/>
  <c r="R752" i="1" s="1"/>
  <c r="J753" i="1"/>
  <c r="R753" i="1" s="1"/>
  <c r="J385" i="1"/>
  <c r="R385" i="1" s="1"/>
  <c r="J386" i="1"/>
  <c r="R386" i="1" s="1"/>
  <c r="J739" i="1"/>
  <c r="R739" i="1" s="1"/>
  <c r="J736" i="1"/>
  <c r="R736" i="1" s="1"/>
  <c r="J738" i="1"/>
  <c r="R738" i="1" s="1"/>
  <c r="J744" i="1"/>
  <c r="R744" i="1" s="1"/>
  <c r="J737" i="1"/>
  <c r="R737" i="1" s="1"/>
  <c r="J679" i="1"/>
  <c r="R679" i="1" s="1"/>
  <c r="J676" i="1"/>
  <c r="R676" i="1" s="1"/>
  <c r="J677" i="1"/>
  <c r="R677" i="1" s="1"/>
  <c r="J678" i="1"/>
  <c r="R678" i="1" s="1"/>
  <c r="J683" i="1"/>
  <c r="R683" i="1" s="1"/>
  <c r="J684" i="1"/>
  <c r="R684" i="1" s="1"/>
  <c r="J687" i="1"/>
  <c r="R687" i="1" s="1"/>
  <c r="J686" i="1"/>
  <c r="R686" i="1" s="1"/>
  <c r="J688" i="1"/>
  <c r="R688" i="1" s="1"/>
  <c r="J689" i="1"/>
  <c r="R689" i="1" s="1"/>
  <c r="J691" i="1"/>
  <c r="R691" i="1" s="1"/>
  <c r="Q832" i="9" s="1"/>
  <c r="J697" i="1"/>
  <c r="R697" i="1" s="1"/>
  <c r="J694" i="1"/>
  <c r="R694" i="1" s="1"/>
  <c r="J693" i="1"/>
  <c r="R693" i="1" s="1"/>
  <c r="J695" i="1"/>
  <c r="R695" i="1" s="1"/>
  <c r="J702" i="1"/>
  <c r="R702" i="1" s="1"/>
  <c r="J703" i="1"/>
  <c r="R703" i="1" s="1"/>
  <c r="J704" i="1"/>
  <c r="R704" i="1" s="1"/>
  <c r="J698" i="1"/>
  <c r="R698" i="1" s="1"/>
  <c r="J705" i="1"/>
  <c r="R705" i="1" s="1"/>
  <c r="J711" i="1"/>
  <c r="R711" i="1" s="1"/>
  <c r="J707" i="1"/>
  <c r="R707" i="1" s="1"/>
  <c r="J706" i="1"/>
  <c r="R706" i="1" s="1"/>
  <c r="J709" i="1"/>
  <c r="R709" i="1" s="1"/>
  <c r="J710" i="1"/>
  <c r="R710" i="1" s="1"/>
  <c r="J719" i="1"/>
  <c r="R719" i="1" s="1"/>
  <c r="J720" i="1"/>
  <c r="R720" i="1" s="1"/>
  <c r="J2223" i="1"/>
  <c r="R2223" i="1" s="1"/>
  <c r="J2236" i="1"/>
  <c r="R2236" i="1" s="1"/>
  <c r="J2231" i="1"/>
  <c r="R2231" i="1" s="1"/>
  <c r="Q1733" i="9" s="1"/>
  <c r="J2233" i="1"/>
  <c r="R2233" i="1" s="1"/>
  <c r="Q1736" i="9" s="1"/>
  <c r="J2260" i="1"/>
  <c r="R2260" i="1" s="1"/>
  <c r="J2261" i="1"/>
  <c r="R2261" i="1" s="1"/>
  <c r="J714" i="1"/>
  <c r="R714" i="1" s="1"/>
  <c r="J712" i="1"/>
  <c r="R712" i="1" s="1"/>
  <c r="J713" i="1"/>
  <c r="R713" i="1" s="1"/>
  <c r="J716" i="1"/>
  <c r="R716" i="1" s="1"/>
  <c r="J718" i="1"/>
  <c r="R718" i="1" s="1"/>
  <c r="J1379" i="1"/>
  <c r="R1379" i="1" s="1"/>
  <c r="J1380" i="1"/>
  <c r="R1380" i="1" s="1"/>
  <c r="J1381" i="1"/>
  <c r="R1381" i="1" s="1"/>
  <c r="J1358" i="1"/>
  <c r="R1358" i="1" s="1"/>
  <c r="J1382" i="1"/>
  <c r="R1382" i="1" s="1"/>
  <c r="J1403" i="1"/>
  <c r="R1403" i="1" s="1"/>
  <c r="Q1081" i="9" s="1"/>
  <c r="J1394" i="1"/>
  <c r="R1394" i="1" s="1"/>
  <c r="J1396" i="1"/>
  <c r="R1396" i="1" s="1"/>
  <c r="J1395" i="1"/>
  <c r="R1395" i="1" s="1"/>
  <c r="Q1094" i="9" s="1"/>
  <c r="J1421" i="1"/>
  <c r="R1421" i="1" s="1"/>
  <c r="J1450" i="1"/>
  <c r="R1450" i="1" s="1"/>
  <c r="J1451" i="1"/>
  <c r="R1451" i="1" s="1"/>
  <c r="J1452" i="1"/>
  <c r="R1452" i="1" s="1"/>
  <c r="J1429" i="1"/>
  <c r="R1429" i="1" s="1"/>
  <c r="J1453" i="1"/>
  <c r="R1453" i="1" s="1"/>
  <c r="J1032" i="1"/>
  <c r="R1032" i="1" s="1"/>
  <c r="J1035" i="1"/>
  <c r="R1035" i="1" s="1"/>
  <c r="J1030" i="1"/>
  <c r="R1030" i="1" s="1"/>
  <c r="J1027" i="1"/>
  <c r="R1027" i="1" s="1"/>
  <c r="J1048" i="1"/>
  <c r="R1048" i="1" s="1"/>
  <c r="J1108" i="1"/>
  <c r="R1108" i="1" s="1"/>
  <c r="J1109" i="1"/>
  <c r="R1109" i="1" s="1"/>
  <c r="J1110" i="1"/>
  <c r="R1110" i="1" s="1"/>
  <c r="J1084" i="1"/>
  <c r="R1084" i="1" s="1"/>
  <c r="J1111" i="1"/>
  <c r="R1111" i="1" s="1"/>
  <c r="J4908" i="1"/>
  <c r="R4908" i="1" s="1"/>
  <c r="J4905" i="1"/>
  <c r="R4905" i="1" s="1"/>
  <c r="J4919" i="1"/>
  <c r="R4919" i="1" s="1"/>
  <c r="J4916" i="1"/>
  <c r="R4916" i="1" s="1"/>
  <c r="Q2012" i="9" s="1"/>
  <c r="J1143" i="1"/>
  <c r="R1143" i="1" s="1"/>
  <c r="J1144" i="1"/>
  <c r="R1144" i="1" s="1"/>
  <c r="J1145" i="1"/>
  <c r="R1145" i="1" s="1"/>
  <c r="J1119" i="1"/>
  <c r="R1119" i="1" s="1"/>
  <c r="J1146" i="1"/>
  <c r="R1146" i="1" s="1"/>
  <c r="J1791" i="1"/>
  <c r="R1791" i="1" s="1"/>
  <c r="J1812" i="1"/>
  <c r="R1812" i="1" s="1"/>
  <c r="J1813" i="1"/>
  <c r="R1813" i="1" s="1"/>
  <c r="J1814" i="1"/>
  <c r="R1814" i="1" s="1"/>
  <c r="J1815" i="1"/>
  <c r="R1815" i="1" s="1"/>
  <c r="J1848" i="1"/>
  <c r="R1848" i="1" s="1"/>
  <c r="J1849" i="1"/>
  <c r="R1849" i="1" s="1"/>
  <c r="J1850" i="1"/>
  <c r="R1850" i="1" s="1"/>
  <c r="J1826" i="1"/>
  <c r="R1826" i="1" s="1"/>
  <c r="J1851" i="1"/>
  <c r="R1851" i="1" s="1"/>
  <c r="J1876" i="1"/>
  <c r="R1876" i="1" s="1"/>
  <c r="Q1277" i="9" s="1"/>
  <c r="J1864" i="1"/>
  <c r="R1864" i="1" s="1"/>
  <c r="J1863" i="1"/>
  <c r="R1863" i="1" s="1"/>
  <c r="J1891" i="1"/>
  <c r="R1891" i="1" s="1"/>
  <c r="J1873" i="1"/>
  <c r="R1873" i="1" s="1"/>
  <c r="J1907" i="1"/>
  <c r="R1907" i="1" s="1"/>
  <c r="J1898" i="1"/>
  <c r="R1898" i="1" s="1"/>
  <c r="J1897" i="1"/>
  <c r="R1897" i="1" s="1"/>
  <c r="J1905" i="1"/>
  <c r="R1905" i="1" s="1"/>
  <c r="J1926" i="1"/>
  <c r="R1926" i="1" s="1"/>
  <c r="J2027" i="1"/>
  <c r="R2027" i="1" s="1"/>
  <c r="J2028" i="1"/>
  <c r="R2028" i="1" s="1"/>
  <c r="J2029" i="1"/>
  <c r="R2029" i="1" s="1"/>
  <c r="J2006" i="1"/>
  <c r="R2006" i="1" s="1"/>
  <c r="J2030" i="1"/>
  <c r="R2030" i="1" s="1"/>
  <c r="J2062" i="1"/>
  <c r="R2062" i="1" s="1"/>
  <c r="J2063" i="1"/>
  <c r="R2063" i="1" s="1"/>
  <c r="J2064" i="1"/>
  <c r="R2064" i="1" s="1"/>
  <c r="J2041" i="1"/>
  <c r="R2041" i="1" s="1"/>
  <c r="J2065" i="1"/>
  <c r="R2065" i="1" s="1"/>
  <c r="J2141" i="1"/>
  <c r="R2141" i="1" s="1"/>
  <c r="J2137" i="1"/>
  <c r="R2137" i="1" s="1"/>
  <c r="J2138" i="1"/>
  <c r="R2138" i="1" s="1"/>
  <c r="Q1356" i="9" s="1"/>
  <c r="J2139" i="1"/>
  <c r="R2139" i="1" s="1"/>
  <c r="J2150" i="1"/>
  <c r="R2150" i="1" s="1"/>
  <c r="J2418" i="1"/>
  <c r="R2418" i="1" s="1"/>
  <c r="J2415" i="1"/>
  <c r="R2415" i="1" s="1"/>
  <c r="J2420" i="1"/>
  <c r="R2420" i="1" s="1"/>
  <c r="J2438" i="1"/>
  <c r="R2438" i="1" s="1"/>
  <c r="J2424" i="1"/>
  <c r="R2424" i="1" s="1"/>
  <c r="J2453" i="1"/>
  <c r="R2453" i="1" s="1"/>
  <c r="Q1762" i="9" s="1"/>
  <c r="J2468" i="1"/>
  <c r="R2468" i="1" s="1"/>
  <c r="J2449" i="1"/>
  <c r="R2449" i="1" s="1"/>
  <c r="Q1767" i="9" s="1"/>
  <c r="J2469" i="1"/>
  <c r="R2469" i="1" s="1"/>
  <c r="J2470" i="1"/>
  <c r="R2470" i="1" s="1"/>
  <c r="J2882" i="1"/>
  <c r="R2882" i="1" s="1"/>
  <c r="J2859" i="1"/>
  <c r="R2859" i="1" s="1"/>
  <c r="J2886" i="1"/>
  <c r="R2886" i="1" s="1"/>
  <c r="J2856" i="1"/>
  <c r="R2856" i="1" s="1"/>
  <c r="J2883" i="1"/>
  <c r="R2883" i="1" s="1"/>
  <c r="J4953" i="1"/>
  <c r="R4953" i="1" s="1"/>
  <c r="J4954" i="1"/>
  <c r="R4954" i="1" s="1"/>
  <c r="J4955" i="1"/>
  <c r="R4955" i="1" s="1"/>
  <c r="J4962" i="1"/>
  <c r="R4962" i="1" s="1"/>
  <c r="J4956" i="1"/>
  <c r="R4956" i="1" s="1"/>
  <c r="Q2014" i="9" s="1"/>
  <c r="J4997" i="1"/>
  <c r="R4997" i="1" s="1"/>
  <c r="J4964" i="1"/>
  <c r="R4964" i="1" s="1"/>
  <c r="J4966" i="1"/>
  <c r="R4966" i="1" s="1"/>
  <c r="J4991" i="1"/>
  <c r="R4991" i="1" s="1"/>
  <c r="Q1459" i="9" s="1"/>
  <c r="J4967" i="1"/>
  <c r="R4967" i="1" s="1"/>
  <c r="J2896" i="1"/>
  <c r="R2896" i="1" s="1"/>
  <c r="J2897" i="1"/>
  <c r="R2897" i="1" s="1"/>
  <c r="J2898" i="1"/>
  <c r="R2898" i="1" s="1"/>
  <c r="J2899" i="1"/>
  <c r="R2899" i="1" s="1"/>
  <c r="J2919" i="1"/>
  <c r="R2919" i="1" s="1"/>
  <c r="J2930" i="1"/>
  <c r="R2930" i="1" s="1"/>
  <c r="J3023" i="1"/>
  <c r="R3023" i="1" s="1"/>
  <c r="J3024" i="1"/>
  <c r="R3024" i="1" s="1"/>
  <c r="J3025" i="1"/>
  <c r="R3025" i="1" s="1"/>
  <c r="J3037" i="1"/>
  <c r="R3037" i="1" s="1"/>
  <c r="J3026" i="1"/>
  <c r="R3026" i="1" s="1"/>
  <c r="J915" i="1"/>
  <c r="R915" i="1" s="1"/>
  <c r="J929" i="1"/>
  <c r="R929" i="1" s="1"/>
  <c r="J949" i="1"/>
  <c r="R949" i="1" s="1"/>
  <c r="J943" i="1"/>
  <c r="R943" i="1" s="1"/>
  <c r="J970" i="1"/>
  <c r="R970" i="1" s="1"/>
  <c r="Q984" i="9" s="1"/>
  <c r="J962" i="1"/>
  <c r="R962" i="1" s="1"/>
  <c r="J944" i="1"/>
  <c r="R944" i="1" s="1"/>
  <c r="J977" i="1"/>
  <c r="R977" i="1" s="1"/>
  <c r="J984" i="1"/>
  <c r="R984" i="1" s="1"/>
  <c r="J996" i="1"/>
  <c r="R996" i="1" s="1"/>
  <c r="J997" i="1"/>
  <c r="R997" i="1" s="1"/>
  <c r="J1228" i="1"/>
  <c r="R1228" i="1" s="1"/>
  <c r="Q1614" i="9" s="1"/>
  <c r="J1215" i="1"/>
  <c r="R1215" i="1" s="1"/>
  <c r="Q1623" i="9" s="1"/>
  <c r="J1213" i="1"/>
  <c r="R1213" i="1" s="1"/>
  <c r="J1241" i="1"/>
  <c r="R1241" i="1" s="1"/>
  <c r="Q1616" i="9" s="1"/>
  <c r="J1214" i="1"/>
  <c r="R1214" i="1" s="1"/>
  <c r="Q1627" i="9" s="1"/>
  <c r="J1258" i="1"/>
  <c r="R1258" i="1" s="1"/>
  <c r="J1249" i="1"/>
  <c r="R1249" i="1" s="1"/>
  <c r="J1252" i="1"/>
  <c r="R1252" i="1" s="1"/>
  <c r="J1273" i="1"/>
  <c r="R1273" i="1" s="1"/>
  <c r="J1255" i="1"/>
  <c r="R1255" i="1" s="1"/>
  <c r="J1336" i="1"/>
  <c r="R1336" i="1" s="1"/>
  <c r="J1324" i="1"/>
  <c r="R1324" i="1" s="1"/>
  <c r="J1323" i="1"/>
  <c r="R1323" i="1" s="1"/>
  <c r="J1322" i="1"/>
  <c r="R1322" i="1" s="1"/>
  <c r="J1350" i="1"/>
  <c r="R1350" i="1" s="1"/>
  <c r="J1592" i="1"/>
  <c r="R1592" i="1" s="1"/>
  <c r="J1593" i="1"/>
  <c r="R1593" i="1" s="1"/>
  <c r="J1594" i="1"/>
  <c r="R1594" i="1" s="1"/>
  <c r="J1569" i="1"/>
  <c r="R1569" i="1" s="1"/>
  <c r="J1595" i="1"/>
  <c r="R1595" i="1" s="1"/>
  <c r="J373" i="1"/>
  <c r="R373" i="1" s="1"/>
  <c r="J374" i="1"/>
  <c r="R374" i="1" s="1"/>
  <c r="Q568" i="9" s="1"/>
  <c r="J369" i="1"/>
  <c r="R369" i="1" s="1"/>
  <c r="J372" i="1"/>
  <c r="R372" i="1" s="1"/>
  <c r="J376" i="1"/>
  <c r="R376" i="1" s="1"/>
  <c r="J380" i="1"/>
  <c r="R380" i="1" s="1"/>
  <c r="J381" i="1"/>
  <c r="R381" i="1" s="1"/>
  <c r="J382" i="1"/>
  <c r="R382" i="1" s="1"/>
  <c r="J377" i="1"/>
  <c r="R377" i="1" s="1"/>
  <c r="J383" i="1"/>
  <c r="R383" i="1" s="1"/>
  <c r="J41" i="1"/>
  <c r="R41" i="1" s="1"/>
  <c r="J39" i="1"/>
  <c r="R39" i="1" s="1"/>
  <c r="J22" i="1"/>
  <c r="R22" i="1" s="1"/>
  <c r="Q167" i="9" s="1"/>
  <c r="J400" i="1"/>
  <c r="R400" i="1" s="1"/>
  <c r="Q592" i="9" s="1"/>
  <c r="J401" i="1"/>
  <c r="R401" i="1" s="1"/>
  <c r="J402" i="1"/>
  <c r="R402" i="1" s="1"/>
  <c r="J403" i="1"/>
  <c r="R403" i="1" s="1"/>
  <c r="J397" i="1"/>
  <c r="R397" i="1" s="1"/>
  <c r="Q590" i="9" s="1"/>
  <c r="J4388" i="1"/>
  <c r="R4388" i="1" s="1"/>
  <c r="J4389" i="1"/>
  <c r="R4389" i="1" s="1"/>
  <c r="J4391" i="1"/>
  <c r="R4391" i="1" s="1"/>
  <c r="J4392" i="1"/>
  <c r="R4392" i="1" s="1"/>
  <c r="J407" i="1"/>
  <c r="R407" i="1" s="1"/>
  <c r="J408" i="1"/>
  <c r="R408" i="1" s="1"/>
  <c r="J409" i="1"/>
  <c r="R409" i="1" s="1"/>
  <c r="J410" i="1"/>
  <c r="R410" i="1" s="1"/>
  <c r="J404" i="1"/>
  <c r="R404" i="1" s="1"/>
  <c r="Q602" i="9" s="1"/>
  <c r="J414" i="1"/>
  <c r="R414" i="1" s="1"/>
  <c r="J415" i="1"/>
  <c r="R415" i="1" s="1"/>
  <c r="J416" i="1"/>
  <c r="R416" i="1" s="1"/>
  <c r="J411" i="1"/>
  <c r="R411" i="1" s="1"/>
  <c r="J417" i="1"/>
  <c r="R417" i="1" s="1"/>
  <c r="Q613" i="9" s="1"/>
  <c r="J3673" i="1"/>
  <c r="R3673" i="1" s="1"/>
  <c r="J3689" i="1"/>
  <c r="R3689" i="1" s="1"/>
  <c r="J3701" i="1"/>
  <c r="R3701" i="1" s="1"/>
  <c r="J3690" i="1"/>
  <c r="R3690" i="1" s="1"/>
  <c r="J392" i="1"/>
  <c r="R392" i="1" s="1"/>
  <c r="J391" i="1"/>
  <c r="R391" i="1" s="1"/>
  <c r="Q581" i="9" s="1"/>
  <c r="J390" i="1"/>
  <c r="R390" i="1" s="1"/>
  <c r="Q580" i="9" s="1"/>
  <c r="J393" i="1"/>
  <c r="R393" i="1" s="1"/>
  <c r="J387" i="1"/>
  <c r="R387" i="1" s="1"/>
  <c r="J395" i="1"/>
  <c r="R395" i="1" s="1"/>
  <c r="J396" i="1"/>
  <c r="R396" i="1" s="1"/>
  <c r="J305" i="1"/>
  <c r="R305" i="1" s="1"/>
  <c r="J306" i="1"/>
  <c r="R306" i="1" s="1"/>
  <c r="J308" i="1"/>
  <c r="R308" i="1" s="1"/>
  <c r="J309" i="1"/>
  <c r="R309" i="1" s="1"/>
  <c r="J310" i="1"/>
  <c r="R310" i="1" s="1"/>
  <c r="J303" i="1"/>
  <c r="R303" i="1" s="1"/>
  <c r="J313" i="1"/>
  <c r="R313" i="1" s="1"/>
  <c r="J315" i="1"/>
  <c r="R315" i="1" s="1"/>
  <c r="J317" i="1"/>
  <c r="R317" i="1" s="1"/>
  <c r="J316" i="1"/>
  <c r="R316" i="1" s="1"/>
  <c r="J311" i="1"/>
  <c r="R311" i="1" s="1"/>
  <c r="J323" i="1"/>
  <c r="R323" i="1" s="1"/>
  <c r="J322" i="1"/>
  <c r="R322" i="1" s="1"/>
  <c r="J324" i="1"/>
  <c r="R324" i="1" s="1"/>
  <c r="J321" i="1"/>
  <c r="R321" i="1" s="1"/>
  <c r="Q513" i="9" s="1"/>
  <c r="J318" i="1"/>
  <c r="R318" i="1" s="1"/>
  <c r="J330" i="1"/>
  <c r="R330" i="1" s="1"/>
  <c r="J331" i="1"/>
  <c r="R331" i="1" s="1"/>
  <c r="J332" i="1"/>
  <c r="R332" i="1" s="1"/>
  <c r="J325" i="1"/>
  <c r="R325" i="1" s="1"/>
  <c r="J333" i="1"/>
  <c r="R333" i="1" s="1"/>
  <c r="J334" i="1"/>
  <c r="R334" i="1" s="1"/>
  <c r="J340" i="1"/>
  <c r="R340" i="1" s="1"/>
  <c r="J339" i="1"/>
  <c r="R339" i="1" s="1"/>
  <c r="J338" i="1"/>
  <c r="R338" i="1" s="1"/>
  <c r="Q512" i="9" s="1"/>
  <c r="J336" i="1"/>
  <c r="R336" i="1" s="1"/>
  <c r="J344" i="1"/>
  <c r="R344" i="1" s="1"/>
  <c r="J341" i="1"/>
  <c r="R341" i="1" s="1"/>
  <c r="J345" i="1"/>
  <c r="R345" i="1" s="1"/>
  <c r="J343" i="1"/>
  <c r="R343" i="1" s="1"/>
  <c r="J347" i="1"/>
  <c r="R347" i="1" s="1"/>
  <c r="J351" i="1"/>
  <c r="R351" i="1" s="1"/>
  <c r="J352" i="1"/>
  <c r="R352" i="1" s="1"/>
  <c r="J353" i="1"/>
  <c r="R353" i="1" s="1"/>
  <c r="J348" i="1"/>
  <c r="R348" i="1" s="1"/>
  <c r="J354" i="1"/>
  <c r="R354" i="1" s="1"/>
  <c r="J359" i="1"/>
  <c r="R359" i="1" s="1"/>
  <c r="J361" i="1"/>
  <c r="R361" i="1" s="1"/>
  <c r="J360" i="1"/>
  <c r="R360" i="1" s="1"/>
  <c r="J355" i="1"/>
  <c r="R355" i="1" s="1"/>
  <c r="J358" i="1"/>
  <c r="R358" i="1" s="1"/>
  <c r="J365" i="1"/>
  <c r="R365" i="1" s="1"/>
  <c r="Q554" i="9" s="1"/>
  <c r="J366" i="1"/>
  <c r="R366" i="1" s="1"/>
  <c r="J367" i="1"/>
  <c r="R367" i="1" s="1"/>
  <c r="Q556" i="9" s="1"/>
  <c r="J368" i="1"/>
  <c r="R368" i="1" s="1"/>
  <c r="Q555" i="9" s="1"/>
  <c r="J362" i="1"/>
  <c r="R362" i="1" s="1"/>
  <c r="J2851" i="1"/>
  <c r="R2851" i="1" s="1"/>
  <c r="J2820" i="1"/>
  <c r="R2820" i="1" s="1"/>
  <c r="Q1238" i="9" s="1"/>
  <c r="J2839" i="1"/>
  <c r="R2839" i="1" s="1"/>
  <c r="J2821" i="1"/>
  <c r="R2821" i="1" s="1"/>
  <c r="Q1240" i="9" s="1"/>
  <c r="J2822" i="1"/>
  <c r="R2822" i="1" s="1"/>
  <c r="J1061" i="1"/>
  <c r="R1061" i="1" s="1"/>
  <c r="J1057" i="1"/>
  <c r="R1057" i="1" s="1"/>
  <c r="J1078" i="1"/>
  <c r="R1078" i="1" s="1"/>
  <c r="J1079" i="1"/>
  <c r="R1079" i="1" s="1"/>
  <c r="J1080" i="1"/>
  <c r="R1080" i="1" s="1"/>
  <c r="J1081" i="1"/>
  <c r="R1081" i="1" s="1"/>
  <c r="J1082" i="1"/>
  <c r="R1082" i="1" s="1"/>
  <c r="J1083" i="1"/>
  <c r="R1083" i="1" s="1"/>
  <c r="J2096" i="1"/>
  <c r="R2096" i="1" s="1"/>
  <c r="J2095" i="1"/>
  <c r="R2095" i="1" s="1"/>
  <c r="J2102" i="1"/>
  <c r="R2102" i="1" s="1"/>
  <c r="Q1337" i="9" s="1"/>
  <c r="J2113" i="1"/>
  <c r="R2113" i="1" s="1"/>
  <c r="J2114" i="1"/>
  <c r="R2114" i="1" s="1"/>
  <c r="J2115" i="1"/>
  <c r="R2115" i="1" s="1"/>
  <c r="J2136" i="1"/>
  <c r="R2136" i="1" s="1"/>
  <c r="J3529" i="1"/>
  <c r="R3529" i="1" s="1"/>
  <c r="J3561" i="1"/>
  <c r="R3561" i="1" s="1"/>
  <c r="J3530" i="1"/>
  <c r="R3530" i="1" s="1"/>
  <c r="Q1595" i="9" s="1"/>
  <c r="J3533" i="1"/>
  <c r="R3533" i="1" s="1"/>
  <c r="Q1596" i="9" s="1"/>
  <c r="J3550" i="1"/>
  <c r="R3550" i="1" s="1"/>
  <c r="J3551" i="1"/>
  <c r="R3551" i="1" s="1"/>
  <c r="J3552" i="1"/>
  <c r="R3552" i="1" s="1"/>
  <c r="J3553" i="1"/>
  <c r="R3553" i="1" s="1"/>
  <c r="J3554" i="1"/>
  <c r="R3554" i="1" s="1"/>
  <c r="J3555" i="1"/>
  <c r="R3555" i="1" s="1"/>
  <c r="J3556" i="1"/>
  <c r="R3556" i="1" s="1"/>
  <c r="J4395" i="1"/>
  <c r="R4395" i="1" s="1"/>
  <c r="J4396" i="1"/>
  <c r="R4396" i="1" s="1"/>
  <c r="J4397" i="1"/>
  <c r="R4397" i="1" s="1"/>
  <c r="J4398" i="1"/>
  <c r="R4398" i="1" s="1"/>
  <c r="J4403" i="1"/>
  <c r="R4403" i="1" s="1"/>
  <c r="J4404" i="1"/>
  <c r="R4404" i="1" s="1"/>
  <c r="J4405" i="1"/>
  <c r="R4405" i="1" s="1"/>
  <c r="J4401" i="1"/>
  <c r="R4401" i="1" s="1"/>
  <c r="J4411" i="1"/>
  <c r="R4411" i="1" s="1"/>
  <c r="J4412" i="1"/>
  <c r="R4412" i="1" s="1"/>
  <c r="J4413" i="1"/>
  <c r="R4413" i="1" s="1"/>
  <c r="J4414" i="1"/>
  <c r="R4414" i="1" s="1"/>
  <c r="J4419" i="1"/>
  <c r="R4419" i="1" s="1"/>
  <c r="J4420" i="1"/>
  <c r="R4420" i="1" s="1"/>
  <c r="J4421" i="1"/>
  <c r="R4421" i="1" s="1"/>
  <c r="J4417" i="1"/>
  <c r="R4417" i="1" s="1"/>
  <c r="J4425" i="1"/>
  <c r="R4425" i="1" s="1"/>
  <c r="J4427" i="1"/>
  <c r="R4427" i="1" s="1"/>
  <c r="J4428" i="1"/>
  <c r="R4428" i="1" s="1"/>
  <c r="J4429" i="1"/>
  <c r="R4429" i="1" s="1"/>
  <c r="J4435" i="1"/>
  <c r="R4435" i="1" s="1"/>
  <c r="J4436" i="1"/>
  <c r="R4436" i="1" s="1"/>
  <c r="J4437" i="1"/>
  <c r="R4437" i="1" s="1"/>
  <c r="J4433" i="1"/>
  <c r="R4433" i="1" s="1"/>
  <c r="J4443" i="1"/>
  <c r="R4443" i="1" s="1"/>
  <c r="J4441" i="1"/>
  <c r="R4441" i="1" s="1"/>
  <c r="J4444" i="1"/>
  <c r="R4444" i="1" s="1"/>
  <c r="J4445" i="1"/>
  <c r="R4445" i="1" s="1"/>
  <c r="J4451" i="1"/>
  <c r="R4451" i="1" s="1"/>
  <c r="J4452" i="1"/>
  <c r="R4452" i="1" s="1"/>
  <c r="J4453" i="1"/>
  <c r="R4453" i="1" s="1"/>
  <c r="J4449" i="1"/>
  <c r="R4449" i="1" s="1"/>
  <c r="J4457" i="1"/>
  <c r="R4457" i="1" s="1"/>
  <c r="Q706" i="9" s="1"/>
  <c r="J4459" i="1"/>
  <c r="R4459" i="1" s="1"/>
  <c r="Q708" i="9" s="1"/>
  <c r="J4460" i="1"/>
  <c r="R4460" i="1" s="1"/>
  <c r="J4461" i="1"/>
  <c r="R4461" i="1" s="1"/>
  <c r="J4467" i="1"/>
  <c r="R4467" i="1" s="1"/>
  <c r="J4468" i="1"/>
  <c r="R4468" i="1" s="1"/>
  <c r="J4469" i="1"/>
  <c r="R4469" i="1" s="1"/>
  <c r="Q710" i="9" s="1"/>
  <c r="J4465" i="1"/>
  <c r="R4465" i="1" s="1"/>
  <c r="Q709" i="9" s="1"/>
  <c r="J4475" i="1"/>
  <c r="R4475" i="1" s="1"/>
  <c r="J4476" i="1"/>
  <c r="R4476" i="1" s="1"/>
  <c r="J4477" i="1"/>
  <c r="R4477" i="1" s="1"/>
  <c r="J4473" i="1"/>
  <c r="R4473" i="1" s="1"/>
  <c r="J4483" i="1"/>
  <c r="R4483" i="1" s="1"/>
  <c r="J4484" i="1"/>
  <c r="R4484" i="1" s="1"/>
  <c r="J4485" i="1"/>
  <c r="R4485" i="1" s="1"/>
  <c r="J4481" i="1"/>
  <c r="R4481" i="1" s="1"/>
  <c r="J4490" i="1"/>
  <c r="R4490" i="1" s="1"/>
  <c r="J4491" i="1"/>
  <c r="R4491" i="1" s="1"/>
  <c r="J4492" i="1"/>
  <c r="R4492" i="1" s="1"/>
  <c r="J4493" i="1"/>
  <c r="R4493" i="1" s="1"/>
  <c r="J4499" i="1"/>
  <c r="R4499" i="1" s="1"/>
  <c r="J4500" i="1"/>
  <c r="R4500" i="1" s="1"/>
  <c r="J4501" i="1"/>
  <c r="R4501" i="1" s="1"/>
  <c r="J4497" i="1"/>
  <c r="R4497" i="1" s="1"/>
  <c r="J4507" i="1"/>
  <c r="R4507" i="1" s="1"/>
  <c r="J4505" i="1"/>
  <c r="R4505" i="1" s="1"/>
  <c r="Q717" i="9" s="1"/>
  <c r="J4508" i="1"/>
  <c r="R4508" i="1" s="1"/>
  <c r="J4509" i="1"/>
  <c r="R4509" i="1" s="1"/>
  <c r="J4515" i="1"/>
  <c r="R4515" i="1" s="1"/>
  <c r="J4516" i="1"/>
  <c r="R4516" i="1" s="1"/>
  <c r="J4517" i="1"/>
  <c r="R4517" i="1" s="1"/>
  <c r="J4513" i="1"/>
  <c r="R4513" i="1" s="1"/>
  <c r="J4521" i="1"/>
  <c r="R4521" i="1" s="1"/>
  <c r="J4523" i="1"/>
  <c r="R4523" i="1" s="1"/>
  <c r="J4524" i="1"/>
  <c r="R4524" i="1" s="1"/>
  <c r="J4525" i="1"/>
  <c r="R4525" i="1" s="1"/>
  <c r="J4531" i="1"/>
  <c r="R4531" i="1" s="1"/>
  <c r="J4532" i="1"/>
  <c r="R4532" i="1" s="1"/>
  <c r="J4533" i="1"/>
  <c r="R4533" i="1" s="1"/>
  <c r="J4529" i="1"/>
  <c r="R4529" i="1" s="1"/>
  <c r="J4539" i="1"/>
  <c r="R4539" i="1" s="1"/>
  <c r="J4540" i="1"/>
  <c r="R4540" i="1" s="1"/>
  <c r="J4541" i="1"/>
  <c r="R4541" i="1" s="1"/>
  <c r="J4537" i="1"/>
  <c r="R4537" i="1" s="1"/>
  <c r="J4547" i="1"/>
  <c r="R4547" i="1" s="1"/>
  <c r="J4548" i="1"/>
  <c r="R4548" i="1" s="1"/>
  <c r="J4549" i="1"/>
  <c r="R4549" i="1" s="1"/>
  <c r="J4545" i="1"/>
  <c r="R4545" i="1" s="1"/>
  <c r="J4555" i="1"/>
  <c r="R4555" i="1" s="1"/>
  <c r="J4556" i="1"/>
  <c r="R4556" i="1" s="1"/>
  <c r="J4557" i="1"/>
  <c r="R4557" i="1" s="1"/>
  <c r="J4553" i="1"/>
  <c r="R4553" i="1" s="1"/>
  <c r="J4563" i="1"/>
  <c r="R4563" i="1" s="1"/>
  <c r="J4564" i="1"/>
  <c r="R4564" i="1" s="1"/>
  <c r="J4565" i="1"/>
  <c r="R4565" i="1" s="1"/>
  <c r="J4561" i="1"/>
  <c r="R4561" i="1" s="1"/>
  <c r="J4569" i="1"/>
  <c r="R4569" i="1" s="1"/>
  <c r="J4571" i="1"/>
  <c r="R4571" i="1" s="1"/>
  <c r="J4572" i="1"/>
  <c r="R4572" i="1" s="1"/>
  <c r="J4573" i="1"/>
  <c r="R4573" i="1" s="1"/>
  <c r="J4579" i="1"/>
  <c r="R4579" i="1" s="1"/>
  <c r="J4580" i="1"/>
  <c r="R4580" i="1" s="1"/>
  <c r="J4581" i="1"/>
  <c r="R4581" i="1" s="1"/>
  <c r="J4577" i="1"/>
  <c r="R4577" i="1" s="1"/>
  <c r="J4648" i="1"/>
  <c r="R4648" i="1" s="1"/>
  <c r="J4649" i="1"/>
  <c r="R4649" i="1" s="1"/>
  <c r="J4650" i="1"/>
  <c r="R4650" i="1" s="1"/>
  <c r="J4647" i="1"/>
  <c r="R4647" i="1" s="1"/>
  <c r="J4655" i="1"/>
  <c r="R4655" i="1" s="1"/>
  <c r="J4656" i="1"/>
  <c r="R4656" i="1" s="1"/>
  <c r="J4657" i="1"/>
  <c r="R4657" i="1" s="1"/>
  <c r="J4653" i="1"/>
  <c r="R4653" i="1" s="1"/>
  <c r="Q755" i="9" s="1"/>
  <c r="J4662" i="1"/>
  <c r="R4662" i="1" s="1"/>
  <c r="J4664" i="1"/>
  <c r="R4664" i="1" s="1"/>
  <c r="J4665" i="1"/>
  <c r="R4665" i="1" s="1"/>
  <c r="J4666" i="1"/>
  <c r="R4666" i="1" s="1"/>
  <c r="J4671" i="1"/>
  <c r="R4671" i="1" s="1"/>
  <c r="J4672" i="1"/>
  <c r="R4672" i="1" s="1"/>
  <c r="J4673" i="1"/>
  <c r="R4673" i="1" s="1"/>
  <c r="J4669" i="1"/>
  <c r="R4669" i="1" s="1"/>
  <c r="Q668" i="9" s="1"/>
  <c r="J4679" i="1"/>
  <c r="R4679" i="1" s="1"/>
  <c r="J4680" i="1"/>
  <c r="R4680" i="1" s="1"/>
  <c r="J4681" i="1"/>
  <c r="R4681" i="1" s="1"/>
  <c r="J4677" i="1"/>
  <c r="R4677" i="1" s="1"/>
  <c r="J4687" i="1"/>
  <c r="R4687" i="1" s="1"/>
  <c r="J4688" i="1"/>
  <c r="R4688" i="1" s="1"/>
  <c r="J4689" i="1"/>
  <c r="R4689" i="1" s="1"/>
  <c r="J4685" i="1"/>
  <c r="R4685" i="1" s="1"/>
  <c r="J4693" i="1"/>
  <c r="R4693" i="1" s="1"/>
  <c r="Q756" i="9" s="1"/>
  <c r="J4695" i="1"/>
  <c r="R4695" i="1" s="1"/>
  <c r="J4696" i="1"/>
  <c r="R4696" i="1" s="1"/>
  <c r="J4697" i="1"/>
  <c r="R4697" i="1" s="1"/>
  <c r="J4703" i="1"/>
  <c r="R4703" i="1" s="1"/>
  <c r="J4704" i="1"/>
  <c r="R4704" i="1" s="1"/>
  <c r="J4705" i="1"/>
  <c r="R4705" i="1" s="1"/>
  <c r="J4706" i="1"/>
  <c r="R4706" i="1" s="1"/>
  <c r="J4707" i="1"/>
  <c r="R4707" i="1" s="1"/>
  <c r="J4708" i="1"/>
  <c r="R4708" i="1" s="1"/>
  <c r="J4701" i="1"/>
  <c r="R4701" i="1" s="1"/>
  <c r="J4702" i="1"/>
  <c r="R4702" i="1" s="1"/>
  <c r="J4711" i="1"/>
  <c r="R4711" i="1" s="1"/>
  <c r="Q760" i="9" s="1"/>
  <c r="J4709" i="1"/>
  <c r="R4709" i="1" s="1"/>
  <c r="Q758" i="9" s="1"/>
  <c r="J4712" i="1"/>
  <c r="R4712" i="1" s="1"/>
  <c r="J4713" i="1"/>
  <c r="R4713" i="1" s="1"/>
  <c r="J4719" i="1"/>
  <c r="R4719" i="1" s="1"/>
  <c r="J4720" i="1"/>
  <c r="R4720" i="1" s="1"/>
  <c r="J4718" i="1"/>
  <c r="R4718" i="1" s="1"/>
  <c r="Q761" i="9" s="1"/>
  <c r="J4721" i="1"/>
  <c r="R4721" i="1" s="1"/>
  <c r="J4729" i="1"/>
  <c r="R4729" i="1" s="1"/>
  <c r="Q765" i="9" s="1"/>
  <c r="J4730" i="1"/>
  <c r="R4730" i="1" s="1"/>
  <c r="J4731" i="1"/>
  <c r="R4731" i="1" s="1"/>
  <c r="J4732" i="1"/>
  <c r="R4732" i="1" s="1"/>
  <c r="J4737" i="1"/>
  <c r="R4737" i="1" s="1"/>
  <c r="J4738" i="1"/>
  <c r="R4738" i="1" s="1"/>
  <c r="J4739" i="1"/>
  <c r="R4739" i="1" s="1"/>
  <c r="J4735" i="1"/>
  <c r="R4735" i="1" s="1"/>
  <c r="J4746" i="1"/>
  <c r="R4746" i="1" s="1"/>
  <c r="J4743" i="1"/>
  <c r="R4743" i="1" s="1"/>
  <c r="J4747" i="1"/>
  <c r="R4747" i="1" s="1"/>
  <c r="J4748" i="1"/>
  <c r="R4748" i="1" s="1"/>
  <c r="J4753" i="1"/>
  <c r="R4753" i="1" s="1"/>
  <c r="J4754" i="1"/>
  <c r="R4754" i="1" s="1"/>
  <c r="J4758" i="1"/>
  <c r="R4758" i="1" s="1"/>
  <c r="Q1137" i="9" s="1"/>
  <c r="J4751" i="1"/>
  <c r="R4751" i="1" s="1"/>
  <c r="J4761" i="1"/>
  <c r="R4761" i="1" s="1"/>
  <c r="Q777" i="9" s="1"/>
  <c r="J4762" i="1"/>
  <c r="R4762" i="1" s="1"/>
  <c r="J4763" i="1"/>
  <c r="R4763" i="1" s="1"/>
  <c r="J4764" i="1"/>
  <c r="R4764" i="1" s="1"/>
  <c r="J4769" i="1"/>
  <c r="R4769" i="1" s="1"/>
  <c r="J4770" i="1"/>
  <c r="R4770" i="1" s="1"/>
  <c r="J4771" i="1"/>
  <c r="R4771" i="1" s="1"/>
  <c r="J4767" i="1"/>
  <c r="R4767" i="1" s="1"/>
  <c r="J4776" i="1"/>
  <c r="R4776" i="1" s="1"/>
  <c r="J4775" i="1"/>
  <c r="R4775" i="1" s="1"/>
  <c r="J4778" i="1"/>
  <c r="R4778" i="1" s="1"/>
  <c r="J4779" i="1"/>
  <c r="R4779" i="1" s="1"/>
  <c r="J4785" i="1"/>
  <c r="R4785" i="1" s="1"/>
  <c r="J4786" i="1"/>
  <c r="R4786" i="1" s="1"/>
  <c r="J4790" i="1"/>
  <c r="R4790" i="1" s="1"/>
  <c r="J4783" i="1"/>
  <c r="R4783" i="1" s="1"/>
  <c r="J4794" i="1"/>
  <c r="R4794" i="1" s="1"/>
  <c r="J4793" i="1"/>
  <c r="R4793" i="1" s="1"/>
  <c r="J4795" i="1"/>
  <c r="R4795" i="1" s="1"/>
  <c r="J4796" i="1"/>
  <c r="R4796" i="1" s="1"/>
  <c r="J4801" i="1"/>
  <c r="R4801" i="1" s="1"/>
  <c r="J4802" i="1"/>
  <c r="R4802" i="1" s="1"/>
  <c r="J4803" i="1"/>
  <c r="R4803" i="1" s="1"/>
  <c r="J4799" i="1"/>
  <c r="R4799" i="1" s="1"/>
  <c r="J4809" i="1"/>
  <c r="R4809" i="1" s="1"/>
  <c r="Q1241" i="9" s="1"/>
  <c r="J4810" i="1"/>
  <c r="R4810" i="1" s="1"/>
  <c r="J4811" i="1"/>
  <c r="R4811" i="1" s="1"/>
  <c r="J4812" i="1"/>
  <c r="R4812" i="1" s="1"/>
  <c r="J4817" i="1"/>
  <c r="R4817" i="1" s="1"/>
  <c r="J4818" i="1"/>
  <c r="R4818" i="1" s="1"/>
  <c r="J4819" i="1"/>
  <c r="R4819" i="1" s="1"/>
  <c r="J4815" i="1"/>
  <c r="R4815" i="1" s="1"/>
  <c r="J4823" i="1"/>
  <c r="R4823" i="1" s="1"/>
  <c r="Q683" i="9" s="1"/>
  <c r="J4826" i="1"/>
  <c r="R4826" i="1" s="1"/>
  <c r="J4827" i="1"/>
  <c r="R4827" i="1" s="1"/>
  <c r="J4828" i="1"/>
  <c r="R4828" i="1" s="1"/>
  <c r="Q1433" i="9" s="1"/>
  <c r="J4833" i="1"/>
  <c r="R4833" i="1" s="1"/>
  <c r="J4834" i="1"/>
  <c r="R4834" i="1" s="1"/>
  <c r="J4835" i="1"/>
  <c r="R4835" i="1" s="1"/>
  <c r="J4832" i="1"/>
  <c r="R4832" i="1" s="1"/>
  <c r="J4841" i="1"/>
  <c r="R4841" i="1" s="1"/>
  <c r="J4842" i="1"/>
  <c r="R4842" i="1" s="1"/>
  <c r="J4843" i="1"/>
  <c r="R4843" i="1" s="1"/>
  <c r="J4839" i="1"/>
  <c r="R4839" i="1" s="1"/>
  <c r="J4849" i="1"/>
  <c r="R4849" i="1" s="1"/>
  <c r="J4850" i="1"/>
  <c r="R4850" i="1" s="1"/>
  <c r="Q1540" i="9" s="1"/>
  <c r="J4851" i="1"/>
  <c r="R4851" i="1" s="1"/>
  <c r="Q1539" i="9" s="1"/>
  <c r="J4847" i="1"/>
  <c r="R4847" i="1" s="1"/>
  <c r="J4857" i="1"/>
  <c r="R4857" i="1" s="1"/>
  <c r="J4858" i="1"/>
  <c r="R4858" i="1" s="1"/>
  <c r="Q1922" i="9" s="1"/>
  <c r="J4859" i="1"/>
  <c r="R4859" i="1" s="1"/>
  <c r="J4855" i="1"/>
  <c r="R4855" i="1" s="1"/>
  <c r="J4865" i="1"/>
  <c r="R4865" i="1" s="1"/>
  <c r="J4866" i="1"/>
  <c r="R4866" i="1" s="1"/>
  <c r="Q1563" i="9" s="1"/>
  <c r="J4867" i="1"/>
  <c r="R4867" i="1" s="1"/>
  <c r="J4863" i="1"/>
  <c r="R4863" i="1" s="1"/>
  <c r="J4873" i="1"/>
  <c r="R4873" i="1" s="1"/>
  <c r="Q1578" i="9" s="1"/>
  <c r="J4874" i="1"/>
  <c r="R4874" i="1" s="1"/>
  <c r="J4875" i="1"/>
  <c r="R4875" i="1" s="1"/>
  <c r="J4871" i="1"/>
  <c r="R4871" i="1" s="1"/>
  <c r="J4880" i="1"/>
  <c r="R4880" i="1" s="1"/>
  <c r="Q1593" i="9" s="1"/>
  <c r="J4881" i="1"/>
  <c r="R4881" i="1" s="1"/>
  <c r="Q1592" i="9" s="1"/>
  <c r="J4882" i="1"/>
  <c r="R4882" i="1" s="1"/>
  <c r="J4879" i="1"/>
  <c r="R4879" i="1" s="1"/>
  <c r="Q2024" i="9" s="1"/>
  <c r="J4885" i="1"/>
  <c r="R4885" i="1" s="1"/>
  <c r="J4886" i="1"/>
  <c r="R4886" i="1" s="1"/>
  <c r="J4887" i="1"/>
  <c r="R4887" i="1" s="1"/>
  <c r="J4883" i="1"/>
  <c r="R4883" i="1" s="1"/>
  <c r="J1006" i="1"/>
  <c r="R1006" i="1" s="1"/>
  <c r="J1011" i="1"/>
  <c r="R1011" i="1" s="1"/>
  <c r="J1014" i="1"/>
  <c r="R1014" i="1" s="1"/>
  <c r="J1015" i="1"/>
  <c r="R1015" i="1" s="1"/>
  <c r="J543" i="1"/>
  <c r="R543" i="1" s="1"/>
  <c r="J544" i="1"/>
  <c r="R544" i="1" s="1"/>
  <c r="J545" i="1"/>
  <c r="R545" i="1" s="1"/>
  <c r="J546" i="1"/>
  <c r="R546" i="1" s="1"/>
  <c r="J577" i="1"/>
  <c r="R577" i="1" s="1"/>
  <c r="J579" i="1"/>
  <c r="R579" i="1" s="1"/>
  <c r="J580" i="1"/>
  <c r="R580" i="1" s="1"/>
  <c r="J581" i="1"/>
  <c r="R581" i="1" s="1"/>
  <c r="J582" i="1"/>
  <c r="R582" i="1" s="1"/>
  <c r="J583" i="1"/>
  <c r="R583" i="1" s="1"/>
  <c r="J584" i="1"/>
  <c r="R584" i="1" s="1"/>
  <c r="J585" i="1"/>
  <c r="R585" i="1" s="1"/>
  <c r="J587" i="1"/>
  <c r="R587" i="1" s="1"/>
  <c r="J588" i="1"/>
  <c r="R588" i="1" s="1"/>
  <c r="Q809" i="9" s="1"/>
  <c r="J589" i="1"/>
  <c r="R589" i="1" s="1"/>
  <c r="J590" i="1"/>
  <c r="R590" i="1" s="1"/>
  <c r="J591" i="1"/>
  <c r="R591" i="1" s="1"/>
  <c r="J592" i="1"/>
  <c r="R592" i="1" s="1"/>
  <c r="J593" i="1"/>
  <c r="R593" i="1" s="1"/>
  <c r="J594" i="1"/>
  <c r="R594" i="1" s="1"/>
  <c r="J595" i="1"/>
  <c r="R595" i="1" s="1"/>
  <c r="J596" i="1"/>
  <c r="R596" i="1" s="1"/>
  <c r="J598" i="1"/>
  <c r="R598" i="1" s="1"/>
  <c r="J599" i="1"/>
  <c r="R599" i="1" s="1"/>
  <c r="J600" i="1"/>
  <c r="R600" i="1" s="1"/>
  <c r="J601" i="1"/>
  <c r="R601" i="1" s="1"/>
  <c r="J602" i="1"/>
  <c r="R602" i="1" s="1"/>
  <c r="J603" i="1"/>
  <c r="R603" i="1" s="1"/>
  <c r="J605" i="1"/>
  <c r="R605" i="1" s="1"/>
  <c r="J606" i="1"/>
  <c r="R606" i="1" s="1"/>
  <c r="J607" i="1"/>
  <c r="R607" i="1" s="1"/>
  <c r="J608" i="1"/>
  <c r="R608" i="1" s="1"/>
  <c r="J609" i="1"/>
  <c r="R609" i="1" s="1"/>
  <c r="J610" i="1"/>
  <c r="R610" i="1" s="1"/>
  <c r="J611" i="1"/>
  <c r="R611" i="1" s="1"/>
  <c r="J645" i="1"/>
  <c r="R645" i="1" s="1"/>
  <c r="J646" i="1"/>
  <c r="R646" i="1" s="1"/>
  <c r="J647" i="1"/>
  <c r="R647" i="1" s="1"/>
  <c r="J936" i="1"/>
  <c r="R936" i="1" s="1"/>
  <c r="J963" i="1"/>
  <c r="R963" i="1" s="1"/>
  <c r="J941" i="1"/>
  <c r="R941" i="1" s="1"/>
  <c r="Q979" i="9" s="1"/>
  <c r="J964" i="1"/>
  <c r="R964" i="1" s="1"/>
  <c r="J965" i="1"/>
  <c r="R965" i="1" s="1"/>
  <c r="J966" i="1"/>
  <c r="R966" i="1" s="1"/>
  <c r="J967" i="1"/>
  <c r="R967" i="1" s="1"/>
  <c r="J968" i="1"/>
  <c r="R968" i="1" s="1"/>
  <c r="J969" i="1"/>
  <c r="R969" i="1" s="1"/>
  <c r="J1250" i="1"/>
  <c r="R1250" i="1" s="1"/>
  <c r="J1282" i="1"/>
  <c r="R1282" i="1" s="1"/>
  <c r="J1274" i="1"/>
  <c r="R1274" i="1" s="1"/>
  <c r="J1275" i="1"/>
  <c r="R1275" i="1" s="1"/>
  <c r="J1276" i="1"/>
  <c r="R1276" i="1" s="1"/>
  <c r="J1277" i="1"/>
  <c r="R1277" i="1" s="1"/>
  <c r="J1278" i="1"/>
  <c r="R1278" i="1" s="1"/>
  <c r="J1279" i="1"/>
  <c r="R1279" i="1" s="1"/>
  <c r="J1280" i="1"/>
  <c r="R1280" i="1" s="1"/>
  <c r="J1597" i="1"/>
  <c r="R1597" i="1" s="1"/>
  <c r="J1598" i="1"/>
  <c r="R1598" i="1" s="1"/>
  <c r="J1599" i="1"/>
  <c r="R1599" i="1" s="1"/>
  <c r="J1600" i="1"/>
  <c r="R1600" i="1" s="1"/>
  <c r="J1601" i="1"/>
  <c r="R1601" i="1" s="1"/>
  <c r="J1602" i="1"/>
  <c r="R1602" i="1" s="1"/>
  <c r="J1603" i="1"/>
  <c r="R1603" i="1" s="1"/>
  <c r="J568" i="1"/>
  <c r="R568" i="1" s="1"/>
  <c r="J569" i="1"/>
  <c r="R569" i="1" s="1"/>
  <c r="J570" i="1"/>
  <c r="R570" i="1" s="1"/>
  <c r="J572" i="1"/>
  <c r="R572" i="1" s="1"/>
  <c r="J573" i="1"/>
  <c r="R573" i="1" s="1"/>
  <c r="J574" i="1"/>
  <c r="R574" i="1" s="1"/>
  <c r="J575" i="1"/>
  <c r="R575" i="1" s="1"/>
  <c r="J576" i="1"/>
  <c r="R576" i="1" s="1"/>
  <c r="J559" i="1"/>
  <c r="R559" i="1" s="1"/>
  <c r="J560" i="1"/>
  <c r="R560" i="1" s="1"/>
  <c r="J563" i="1"/>
  <c r="R563" i="1" s="1"/>
  <c r="J564" i="1"/>
  <c r="R564" i="1" s="1"/>
  <c r="J565" i="1"/>
  <c r="R565" i="1" s="1"/>
  <c r="J566" i="1"/>
  <c r="R566" i="1" s="1"/>
  <c r="J567" i="1"/>
  <c r="R567" i="1" s="1"/>
  <c r="J561" i="1"/>
  <c r="R561" i="1" s="1"/>
  <c r="J612" i="1"/>
  <c r="R612" i="1" s="1"/>
  <c r="J613" i="1"/>
  <c r="R613" i="1" s="1"/>
  <c r="J614" i="1"/>
  <c r="R614" i="1" s="1"/>
  <c r="J616" i="1"/>
  <c r="R616" i="1" s="1"/>
  <c r="J617" i="1"/>
  <c r="R617" i="1" s="1"/>
  <c r="J618" i="1"/>
  <c r="R618" i="1" s="1"/>
  <c r="J619" i="1"/>
  <c r="R619" i="1" s="1"/>
  <c r="J620" i="1"/>
  <c r="R620" i="1" s="1"/>
  <c r="J622" i="1"/>
  <c r="R622" i="1" s="1"/>
  <c r="J623" i="1"/>
  <c r="R623" i="1" s="1"/>
  <c r="J624" i="1"/>
  <c r="R624" i="1" s="1"/>
  <c r="J625" i="1"/>
  <c r="R625" i="1" s="1"/>
  <c r="J626" i="1"/>
  <c r="R626" i="1" s="1"/>
  <c r="J627" i="1"/>
  <c r="R627" i="1" s="1"/>
  <c r="J630" i="1"/>
  <c r="R630" i="1" s="1"/>
  <c r="J628" i="1"/>
  <c r="R628" i="1" s="1"/>
  <c r="J631" i="1"/>
  <c r="R631" i="1" s="1"/>
  <c r="J632" i="1"/>
  <c r="R632" i="1" s="1"/>
  <c r="J633" i="1"/>
  <c r="R633" i="1" s="1"/>
  <c r="J634" i="1"/>
  <c r="R634" i="1" s="1"/>
  <c r="J635" i="1"/>
  <c r="R635" i="1" s="1"/>
  <c r="J636" i="1"/>
  <c r="R636" i="1" s="1"/>
  <c r="J638" i="1"/>
  <c r="R638" i="1" s="1"/>
  <c r="J639" i="1"/>
  <c r="R639" i="1" s="1"/>
  <c r="J640" i="1"/>
  <c r="R640" i="1" s="1"/>
  <c r="J641" i="1"/>
  <c r="R641" i="1" s="1"/>
  <c r="J642" i="1"/>
  <c r="R642" i="1" s="1"/>
  <c r="J643" i="1"/>
  <c r="R643" i="1" s="1"/>
  <c r="J190" i="1"/>
  <c r="R190" i="1" s="1"/>
  <c r="J191" i="1"/>
  <c r="R191" i="1" s="1"/>
  <c r="J192" i="1"/>
  <c r="R192" i="1" s="1"/>
  <c r="J193" i="1"/>
  <c r="R193" i="1" s="1"/>
  <c r="J194" i="1"/>
  <c r="R194" i="1" s="1"/>
  <c r="J195" i="1"/>
  <c r="R195" i="1" s="1"/>
  <c r="J196" i="1"/>
  <c r="R196" i="1" s="1"/>
  <c r="J197" i="1"/>
  <c r="R197" i="1" s="1"/>
  <c r="J198" i="1"/>
  <c r="R198" i="1" s="1"/>
  <c r="J199" i="1"/>
  <c r="R199" i="1" s="1"/>
  <c r="Q187" i="9" s="1"/>
  <c r="J200" i="1"/>
  <c r="R200" i="1" s="1"/>
  <c r="J201" i="1"/>
  <c r="R201" i="1" s="1"/>
  <c r="J202" i="1"/>
  <c r="R202" i="1" s="1"/>
  <c r="J203" i="1"/>
  <c r="R203" i="1" s="1"/>
  <c r="J204" i="1"/>
  <c r="R204" i="1" s="1"/>
  <c r="J205" i="1"/>
  <c r="R205" i="1" s="1"/>
  <c r="J206" i="1"/>
  <c r="R206" i="1" s="1"/>
  <c r="J207" i="1"/>
  <c r="R207" i="1" s="1"/>
  <c r="J208" i="1"/>
  <c r="R208" i="1" s="1"/>
  <c r="J209" i="1"/>
  <c r="R209" i="1" s="1"/>
  <c r="J210" i="1"/>
  <c r="R210" i="1" s="1"/>
  <c r="J211" i="1"/>
  <c r="R211" i="1" s="1"/>
  <c r="J212" i="1"/>
  <c r="R212" i="1" s="1"/>
  <c r="J213" i="1"/>
  <c r="R213" i="1" s="1"/>
  <c r="J214" i="1"/>
  <c r="R214" i="1" s="1"/>
  <c r="J215" i="1"/>
  <c r="R215" i="1" s="1"/>
  <c r="J1172" i="1"/>
  <c r="R1172" i="1" s="1"/>
  <c r="J1173" i="1"/>
  <c r="R1173" i="1" s="1"/>
  <c r="J1174" i="1"/>
  <c r="R1174" i="1" s="1"/>
  <c r="J1175" i="1"/>
  <c r="R1175" i="1" s="1"/>
  <c r="J1176" i="1"/>
  <c r="R1176" i="1" s="1"/>
  <c r="J1177" i="1"/>
  <c r="R1177" i="1" s="1"/>
  <c r="J1178" i="1"/>
  <c r="R1178" i="1" s="1"/>
  <c r="J2972" i="1"/>
  <c r="R2972" i="1" s="1"/>
  <c r="J2975" i="1"/>
  <c r="R2975" i="1" s="1"/>
  <c r="J2976" i="1"/>
  <c r="R2976" i="1" s="1"/>
  <c r="J3000" i="1"/>
  <c r="R3000" i="1" s="1"/>
  <c r="J3001" i="1"/>
  <c r="R3001" i="1" s="1"/>
  <c r="J3623" i="1"/>
  <c r="R3623" i="1" s="1"/>
  <c r="J3624" i="1"/>
  <c r="R3624" i="1" s="1"/>
  <c r="J3625" i="1"/>
  <c r="R3625" i="1" s="1"/>
  <c r="J3626" i="1"/>
  <c r="R3626" i="1" s="1"/>
  <c r="J3627" i="1"/>
  <c r="R3627" i="1" s="1"/>
  <c r="J3628" i="1"/>
  <c r="R3628" i="1" s="1"/>
  <c r="J3629" i="1"/>
  <c r="R3629" i="1" s="1"/>
  <c r="J648" i="1"/>
  <c r="R648" i="1" s="1"/>
  <c r="J649" i="1"/>
  <c r="R649" i="1" s="1"/>
  <c r="J650" i="1"/>
  <c r="R650" i="1" s="1"/>
  <c r="J651" i="1"/>
  <c r="R651" i="1" s="1"/>
  <c r="J652" i="1"/>
  <c r="R652" i="1" s="1"/>
  <c r="J653" i="1"/>
  <c r="R653" i="1" s="1"/>
  <c r="J3707" i="1"/>
  <c r="R3707" i="1" s="1"/>
  <c r="J3691" i="1"/>
  <c r="R3691" i="1" s="1"/>
  <c r="J3692" i="1"/>
  <c r="R3692" i="1" s="1"/>
  <c r="J3693" i="1"/>
  <c r="R3693" i="1" s="1"/>
  <c r="J3694" i="1"/>
  <c r="R3694" i="1" s="1"/>
  <c r="J3695" i="1"/>
  <c r="R3695" i="1" s="1"/>
  <c r="J3696" i="1"/>
  <c r="R3696" i="1" s="1"/>
  <c r="J3697" i="1"/>
  <c r="R3697" i="1" s="1"/>
  <c r="J3698" i="1"/>
  <c r="R3698" i="1" s="1"/>
  <c r="J3699" i="1"/>
  <c r="R3699" i="1" s="1"/>
  <c r="J3700" i="1"/>
  <c r="R3700" i="1" s="1"/>
  <c r="J1112" i="1"/>
  <c r="R1112" i="1" s="1"/>
  <c r="J1113" i="1"/>
  <c r="R1113" i="1" s="1"/>
  <c r="J1114" i="1"/>
  <c r="R1114" i="1" s="1"/>
  <c r="J1115" i="1"/>
  <c r="R1115" i="1" s="1"/>
  <c r="J1116" i="1"/>
  <c r="R1116" i="1" s="1"/>
  <c r="J1117" i="1"/>
  <c r="R1117" i="1" s="1"/>
  <c r="J1118" i="1"/>
  <c r="R1118" i="1" s="1"/>
  <c r="J4906" i="1"/>
  <c r="R4906" i="1" s="1"/>
  <c r="J4907" i="1"/>
  <c r="R4907" i="1" s="1"/>
  <c r="J4912" i="1"/>
  <c r="R4912" i="1" s="1"/>
  <c r="J4917" i="1"/>
  <c r="R4917" i="1" s="1"/>
  <c r="Q480" i="9" s="1"/>
  <c r="J4918" i="1"/>
  <c r="R4918" i="1" s="1"/>
  <c r="Q895" i="9" s="1"/>
  <c r="J1147" i="1"/>
  <c r="R1147" i="1" s="1"/>
  <c r="J1148" i="1"/>
  <c r="R1148" i="1" s="1"/>
  <c r="J1149" i="1"/>
  <c r="R1149" i="1" s="1"/>
  <c r="J1150" i="1"/>
  <c r="R1150" i="1" s="1"/>
  <c r="J1151" i="1"/>
  <c r="R1151" i="1" s="1"/>
  <c r="J1152" i="1"/>
  <c r="R1152" i="1" s="1"/>
  <c r="J1790" i="1"/>
  <c r="R1790" i="1" s="1"/>
  <c r="J1797" i="1"/>
  <c r="R1797" i="1" s="1"/>
  <c r="J1816" i="1"/>
  <c r="R1816" i="1" s="1"/>
  <c r="J1817" i="1"/>
  <c r="R1817" i="1" s="1"/>
  <c r="J1818" i="1"/>
  <c r="R1818" i="1" s="1"/>
  <c r="J1819" i="1"/>
  <c r="R1819" i="1" s="1"/>
  <c r="J1820" i="1"/>
  <c r="R1820" i="1" s="1"/>
  <c r="J1821" i="1"/>
  <c r="R1821" i="1" s="1"/>
  <c r="J1822" i="1"/>
  <c r="R1822" i="1" s="1"/>
  <c r="J1823" i="1"/>
  <c r="R1823" i="1" s="1"/>
  <c r="J1824" i="1"/>
  <c r="R1824" i="1" s="1"/>
  <c r="J1825" i="1"/>
  <c r="R1825" i="1" s="1"/>
  <c r="J1861" i="1"/>
  <c r="R1861" i="1" s="1"/>
  <c r="J1862" i="1"/>
  <c r="R1862" i="1" s="1"/>
  <c r="Q1283" i="9" s="1"/>
  <c r="J1896" i="1"/>
  <c r="R1896" i="1" s="1"/>
  <c r="J1892" i="1"/>
  <c r="R1892" i="1" s="1"/>
  <c r="J1893" i="1"/>
  <c r="R1893" i="1" s="1"/>
  <c r="J1894" i="1"/>
  <c r="R1894" i="1" s="1"/>
  <c r="J1895" i="1"/>
  <c r="R1895" i="1" s="1"/>
  <c r="J1927" i="1"/>
  <c r="R1927" i="1" s="1"/>
  <c r="J1928" i="1"/>
  <c r="R1928" i="1" s="1"/>
  <c r="J1903" i="1"/>
  <c r="R1903" i="1" s="1"/>
  <c r="J1906" i="1"/>
  <c r="R1906" i="1" s="1"/>
  <c r="J1929" i="1"/>
  <c r="R1929" i="1" s="1"/>
  <c r="J1930" i="1"/>
  <c r="R1930" i="1" s="1"/>
  <c r="J1931" i="1"/>
  <c r="R1931" i="1" s="1"/>
  <c r="J1932" i="1"/>
  <c r="R1932" i="1" s="1"/>
  <c r="J1933" i="1"/>
  <c r="R1933" i="1" s="1"/>
  <c r="J1934" i="1"/>
  <c r="R1934" i="1" s="1"/>
  <c r="J2031" i="1"/>
  <c r="R2031" i="1" s="1"/>
  <c r="J2032" i="1"/>
  <c r="R2032" i="1" s="1"/>
  <c r="J2033" i="1"/>
  <c r="R2033" i="1" s="1"/>
  <c r="J2034" i="1"/>
  <c r="R2034" i="1" s="1"/>
  <c r="J2035" i="1"/>
  <c r="R2035" i="1" s="1"/>
  <c r="J2036" i="1"/>
  <c r="R2036" i="1" s="1"/>
  <c r="J2037" i="1"/>
  <c r="R2037" i="1" s="1"/>
  <c r="J2038" i="1"/>
  <c r="R2038" i="1" s="1"/>
  <c r="J2012" i="1"/>
  <c r="R2012" i="1" s="1"/>
  <c r="J2039" i="1"/>
  <c r="R2039" i="1" s="1"/>
  <c r="J2040" i="1"/>
  <c r="R2040" i="1" s="1"/>
  <c r="J2066" i="1"/>
  <c r="R2066" i="1" s="1"/>
  <c r="J2067" i="1"/>
  <c r="R2067" i="1" s="1"/>
  <c r="J2068" i="1"/>
  <c r="R2068" i="1" s="1"/>
  <c r="J2069" i="1"/>
  <c r="R2069" i="1" s="1"/>
  <c r="J2070" i="1"/>
  <c r="R2070" i="1" s="1"/>
  <c r="J2071" i="1"/>
  <c r="R2071" i="1" s="1"/>
  <c r="J2072" i="1"/>
  <c r="R2072" i="1" s="1"/>
  <c r="J2047" i="1"/>
  <c r="R2047" i="1" s="1"/>
  <c r="J2073" i="1"/>
  <c r="R2073" i="1" s="1"/>
  <c r="J2412" i="1"/>
  <c r="R2412" i="1" s="1"/>
  <c r="J2439" i="1"/>
  <c r="R2439" i="1" s="1"/>
  <c r="J2413" i="1"/>
  <c r="R2413" i="1" s="1"/>
  <c r="J2414" i="1"/>
  <c r="R2414" i="1" s="1"/>
  <c r="J2440" i="1"/>
  <c r="R2440" i="1" s="1"/>
  <c r="J2441" i="1"/>
  <c r="R2441" i="1" s="1"/>
  <c r="J2442" i="1"/>
  <c r="R2442" i="1" s="1"/>
  <c r="J2443" i="1"/>
  <c r="R2443" i="1" s="1"/>
  <c r="J2444" i="1"/>
  <c r="R2444" i="1" s="1"/>
  <c r="J2445" i="1"/>
  <c r="R2445" i="1" s="1"/>
  <c r="J2931" i="1"/>
  <c r="R2931" i="1" s="1"/>
  <c r="J2932" i="1"/>
  <c r="R2932" i="1" s="1"/>
  <c r="J3027" i="1"/>
  <c r="R3027" i="1" s="1"/>
  <c r="J3028" i="1"/>
  <c r="R3028" i="1" s="1"/>
  <c r="J3029" i="1"/>
  <c r="R3029" i="1" s="1"/>
  <c r="J3030" i="1"/>
  <c r="R3030" i="1" s="1"/>
  <c r="J3031" i="1"/>
  <c r="R3031" i="1" s="1"/>
  <c r="J3032" i="1"/>
  <c r="R3032" i="1" s="1"/>
  <c r="J3033" i="1"/>
  <c r="R3033" i="1" s="1"/>
  <c r="J3034" i="1"/>
  <c r="R3034" i="1" s="1"/>
  <c r="J3043" i="1"/>
  <c r="R3043" i="1" s="1"/>
  <c r="J3035" i="1"/>
  <c r="R3035" i="1" s="1"/>
  <c r="J3036" i="1"/>
  <c r="R3036" i="1" s="1"/>
  <c r="J655" i="1"/>
  <c r="R655" i="1" s="1"/>
  <c r="J656" i="1"/>
  <c r="R656" i="1" s="1"/>
  <c r="J657" i="1"/>
  <c r="R657" i="1" s="1"/>
  <c r="J658" i="1"/>
  <c r="R658" i="1" s="1"/>
  <c r="J659" i="1"/>
  <c r="R659" i="1" s="1"/>
  <c r="J660" i="1"/>
  <c r="R660" i="1" s="1"/>
  <c r="J661" i="1"/>
  <c r="R661" i="1" s="1"/>
  <c r="J662" i="1"/>
  <c r="R662" i="1" s="1"/>
  <c r="J669" i="1"/>
  <c r="R669" i="1" s="1"/>
  <c r="J670" i="1"/>
  <c r="R670" i="1" s="1"/>
  <c r="J671" i="1"/>
  <c r="R671" i="1" s="1"/>
  <c r="J998" i="1"/>
  <c r="R998" i="1" s="1"/>
  <c r="Q996" i="9" s="1"/>
  <c r="J986" i="1"/>
  <c r="R986" i="1" s="1"/>
  <c r="Q991" i="9" s="1"/>
  <c r="J990" i="1"/>
  <c r="R990" i="1" s="1"/>
  <c r="Q989" i="9" s="1"/>
  <c r="J999" i="1"/>
  <c r="R999" i="1" s="1"/>
  <c r="J1000" i="1"/>
  <c r="R1000" i="1" s="1"/>
  <c r="J1001" i="1"/>
  <c r="R1001" i="1" s="1"/>
  <c r="J1002" i="1"/>
  <c r="R1002" i="1" s="1"/>
  <c r="J1003" i="1"/>
  <c r="R1003" i="1" s="1"/>
  <c r="J1004" i="1"/>
  <c r="R1004" i="1" s="1"/>
  <c r="J1005" i="1"/>
  <c r="R1005" i="1" s="1"/>
  <c r="J1008" i="1"/>
  <c r="R1008" i="1" s="1"/>
  <c r="J1007" i="1"/>
  <c r="R1007" i="1" s="1"/>
  <c r="J1021" i="1"/>
  <c r="R1021" i="1" s="1"/>
  <c r="J1022" i="1"/>
  <c r="R1022" i="1" s="1"/>
  <c r="J1023" i="1"/>
  <c r="R1023" i="1" s="1"/>
  <c r="J1024" i="1"/>
  <c r="R1024" i="1" s="1"/>
  <c r="J1025" i="1"/>
  <c r="R1025" i="1" s="1"/>
  <c r="J1026" i="1"/>
  <c r="R1026" i="1" s="1"/>
  <c r="J1029" i="1"/>
  <c r="R1029" i="1" s="1"/>
  <c r="Q1014" i="9" s="1"/>
  <c r="J1033" i="1"/>
  <c r="R1033" i="1" s="1"/>
  <c r="J1049" i="1"/>
  <c r="R1049" i="1" s="1"/>
  <c r="J1050" i="1"/>
  <c r="R1050" i="1" s="1"/>
  <c r="J1051" i="1"/>
  <c r="R1051" i="1" s="1"/>
  <c r="J1052" i="1"/>
  <c r="R1052" i="1" s="1"/>
  <c r="J1053" i="1"/>
  <c r="R1053" i="1" s="1"/>
  <c r="J1054" i="1"/>
  <c r="R1054" i="1" s="1"/>
  <c r="J1055" i="1"/>
  <c r="R1055" i="1" s="1"/>
  <c r="J1852" i="1"/>
  <c r="R1852" i="1" s="1"/>
  <c r="J1853" i="1"/>
  <c r="R1853" i="1" s="1"/>
  <c r="J1854" i="1"/>
  <c r="R1854" i="1" s="1"/>
  <c r="J1855" i="1"/>
  <c r="R1855" i="1" s="1"/>
  <c r="J1856" i="1"/>
  <c r="R1856" i="1" s="1"/>
  <c r="J1857" i="1"/>
  <c r="R1857" i="1" s="1"/>
  <c r="J1858" i="1"/>
  <c r="R1858" i="1" s="1"/>
  <c r="J1859" i="1"/>
  <c r="R1859" i="1" s="1"/>
  <c r="J1832" i="1"/>
  <c r="R1832" i="1" s="1"/>
  <c r="J1860" i="1"/>
  <c r="R1860" i="1" s="1"/>
  <c r="J2900" i="1"/>
  <c r="R2900" i="1" s="1"/>
  <c r="J2901" i="1"/>
  <c r="R2901" i="1" s="1"/>
  <c r="J2909" i="1"/>
  <c r="R2909" i="1" s="1"/>
  <c r="J2902" i="1"/>
  <c r="R2902" i="1" s="1"/>
  <c r="J2903" i="1"/>
  <c r="R2903" i="1" s="1"/>
  <c r="J2920" i="1"/>
  <c r="R2920" i="1" s="1"/>
  <c r="J2921" i="1"/>
  <c r="R2921" i="1" s="1"/>
  <c r="J909" i="1"/>
  <c r="R909" i="1" s="1"/>
  <c r="J908" i="1"/>
  <c r="R908" i="1" s="1"/>
  <c r="J911" i="1"/>
  <c r="R911" i="1" s="1"/>
  <c r="J930" i="1"/>
  <c r="R930" i="1" s="1"/>
  <c r="J931" i="1"/>
  <c r="R931" i="1" s="1"/>
  <c r="J932" i="1"/>
  <c r="R932" i="1" s="1"/>
  <c r="J933" i="1"/>
  <c r="R933" i="1" s="1"/>
  <c r="J934" i="1"/>
  <c r="R934" i="1" s="1"/>
  <c r="J935" i="1"/>
  <c r="R935" i="1" s="1"/>
  <c r="J1210" i="1"/>
  <c r="R1210" i="1" s="1"/>
  <c r="J1211" i="1"/>
  <c r="R1211" i="1" s="1"/>
  <c r="J1212" i="1"/>
  <c r="R1212" i="1" s="1"/>
  <c r="J1182" i="1"/>
  <c r="R1182" i="1" s="1"/>
  <c r="J1242" i="1"/>
  <c r="R1242" i="1" s="1"/>
  <c r="Q1621" i="9" s="1"/>
  <c r="J1219" i="1"/>
  <c r="R1219" i="1" s="1"/>
  <c r="Q1609" i="9" s="1"/>
  <c r="J1221" i="1"/>
  <c r="R1221" i="1" s="1"/>
  <c r="Q1610" i="9" s="1"/>
  <c r="J1243" i="1"/>
  <c r="R1243" i="1" s="1"/>
  <c r="J1244" i="1"/>
  <c r="R1244" i="1" s="1"/>
  <c r="J1245" i="1"/>
  <c r="R1245" i="1" s="1"/>
  <c r="J1246" i="1"/>
  <c r="R1246" i="1" s="1"/>
  <c r="J1247" i="1"/>
  <c r="R1247" i="1" s="1"/>
  <c r="J1248" i="1"/>
  <c r="R1248" i="1" s="1"/>
  <c r="J1327" i="1"/>
  <c r="R1327" i="1" s="1"/>
  <c r="J1335" i="1"/>
  <c r="R1335" i="1" s="1"/>
  <c r="J1351" i="1"/>
  <c r="R1351" i="1" s="1"/>
  <c r="J1352" i="1"/>
  <c r="R1352" i="1" s="1"/>
  <c r="J1353" i="1"/>
  <c r="R1353" i="1" s="1"/>
  <c r="J1354" i="1"/>
  <c r="R1354" i="1" s="1"/>
  <c r="J1355" i="1"/>
  <c r="R1355" i="1" s="1"/>
  <c r="J1356" i="1"/>
  <c r="R1356" i="1" s="1"/>
  <c r="J1357" i="1"/>
  <c r="R1357" i="1" s="1"/>
  <c r="J1383" i="1"/>
  <c r="R1383" i="1" s="1"/>
  <c r="J1384" i="1"/>
  <c r="R1384" i="1" s="1"/>
  <c r="J1385" i="1"/>
  <c r="R1385" i="1" s="1"/>
  <c r="J1386" i="1"/>
  <c r="R1386" i="1" s="1"/>
  <c r="J1387" i="1"/>
  <c r="R1387" i="1" s="1"/>
  <c r="J1388" i="1"/>
  <c r="R1388" i="1" s="1"/>
  <c r="J1389" i="1"/>
  <c r="R1389" i="1" s="1"/>
  <c r="J1390" i="1"/>
  <c r="R1390" i="1" s="1"/>
  <c r="J1364" i="1"/>
  <c r="R1364" i="1" s="1"/>
  <c r="J1391" i="1"/>
  <c r="R1391" i="1" s="1"/>
  <c r="J1392" i="1"/>
  <c r="R1392" i="1" s="1"/>
  <c r="J1399" i="1"/>
  <c r="R1399" i="1" s="1"/>
  <c r="Q1087" i="9" s="1"/>
  <c r="J1397" i="1"/>
  <c r="R1397" i="1" s="1"/>
  <c r="J1428" i="1"/>
  <c r="R1428" i="1" s="1"/>
  <c r="Q1078" i="9" s="1"/>
  <c r="J1422" i="1"/>
  <c r="R1422" i="1" s="1"/>
  <c r="J1423" i="1"/>
  <c r="R1423" i="1" s="1"/>
  <c r="J1424" i="1"/>
  <c r="R1424" i="1" s="1"/>
  <c r="J1425" i="1"/>
  <c r="R1425" i="1" s="1"/>
  <c r="J1426" i="1"/>
  <c r="R1426" i="1" s="1"/>
  <c r="J1427" i="1"/>
  <c r="R1427" i="1" s="1"/>
  <c r="J1454" i="1"/>
  <c r="R1454" i="1" s="1"/>
  <c r="J1455" i="1"/>
  <c r="R1455" i="1" s="1"/>
  <c r="J1456" i="1"/>
  <c r="R1456" i="1" s="1"/>
  <c r="J1457" i="1"/>
  <c r="R1457" i="1" s="1"/>
  <c r="J1458" i="1"/>
  <c r="R1458" i="1" s="1"/>
  <c r="J1459" i="1"/>
  <c r="R1459" i="1" s="1"/>
  <c r="J1460" i="1"/>
  <c r="R1460" i="1" s="1"/>
  <c r="J1461" i="1"/>
  <c r="R1461" i="1" s="1"/>
  <c r="J1435" i="1"/>
  <c r="R1435" i="1" s="1"/>
  <c r="J1462" i="1"/>
  <c r="R1462" i="1" s="1"/>
  <c r="J1463" i="1"/>
  <c r="R1463" i="1" s="1"/>
  <c r="J3853" i="1"/>
  <c r="R3853" i="1" s="1"/>
  <c r="J3854" i="1"/>
  <c r="R3854" i="1" s="1"/>
  <c r="J3855" i="1"/>
  <c r="R3855" i="1" s="1"/>
  <c r="Q254" i="9" s="1"/>
  <c r="J3851" i="1"/>
  <c r="R3851" i="1" s="1"/>
  <c r="J3861" i="1"/>
  <c r="R3861" i="1" s="1"/>
  <c r="J3862" i="1"/>
  <c r="R3862" i="1" s="1"/>
  <c r="J3863" i="1"/>
  <c r="R3863" i="1" s="1"/>
  <c r="J3859" i="1"/>
  <c r="R3859" i="1" s="1"/>
  <c r="J3869" i="1"/>
  <c r="R3869" i="1" s="1"/>
  <c r="J3870" i="1"/>
  <c r="R3870" i="1" s="1"/>
  <c r="J3871" i="1"/>
  <c r="R3871" i="1" s="1"/>
  <c r="Q260" i="9" s="1"/>
  <c r="J3867" i="1"/>
  <c r="R3867" i="1" s="1"/>
  <c r="J3877" i="1"/>
  <c r="R3877" i="1" s="1"/>
  <c r="J3878" i="1"/>
  <c r="R3878" i="1" s="1"/>
  <c r="J3879" i="1"/>
  <c r="R3879" i="1" s="1"/>
  <c r="J3875" i="1"/>
  <c r="R3875" i="1" s="1"/>
  <c r="J3885" i="1"/>
  <c r="R3885" i="1" s="1"/>
  <c r="J3886" i="1"/>
  <c r="R3886" i="1" s="1"/>
  <c r="J3887" i="1"/>
  <c r="R3887" i="1" s="1"/>
  <c r="J3883" i="1"/>
  <c r="R3883" i="1" s="1"/>
  <c r="Q264" i="9" s="1"/>
  <c r="J3893" i="1"/>
  <c r="R3893" i="1" s="1"/>
  <c r="J3891" i="1"/>
  <c r="R3891" i="1" s="1"/>
  <c r="J3894" i="1"/>
  <c r="R3894" i="1" s="1"/>
  <c r="J3895" i="1"/>
  <c r="R3895" i="1" s="1"/>
  <c r="J3901" i="1"/>
  <c r="R3901" i="1" s="1"/>
  <c r="J3902" i="1"/>
  <c r="R3902" i="1" s="1"/>
  <c r="J3899" i="1"/>
  <c r="R3899" i="1" s="1"/>
  <c r="J3903" i="1"/>
  <c r="R3903" i="1" s="1"/>
  <c r="J3909" i="1"/>
  <c r="R3909" i="1" s="1"/>
  <c r="J3907" i="1"/>
  <c r="R3907" i="1" s="1"/>
  <c r="J3910" i="1"/>
  <c r="R3910" i="1" s="1"/>
  <c r="J3911" i="1"/>
  <c r="R3911" i="1" s="1"/>
  <c r="J3917" i="1"/>
  <c r="R3917" i="1" s="1"/>
  <c r="J3918" i="1"/>
  <c r="R3918" i="1" s="1"/>
  <c r="J3919" i="1"/>
  <c r="R3919" i="1" s="1"/>
  <c r="J3915" i="1"/>
  <c r="R3915" i="1" s="1"/>
  <c r="J3925" i="1"/>
  <c r="R3925" i="1" s="1"/>
  <c r="J3926" i="1"/>
  <c r="R3926" i="1" s="1"/>
  <c r="J3927" i="1"/>
  <c r="R3927" i="1" s="1"/>
  <c r="J3923" i="1"/>
  <c r="R3923" i="1" s="1"/>
  <c r="J3933" i="1"/>
  <c r="R3933" i="1" s="1"/>
  <c r="J3934" i="1"/>
  <c r="R3934" i="1" s="1"/>
  <c r="J3935" i="1"/>
  <c r="R3935" i="1" s="1"/>
  <c r="J3931" i="1"/>
  <c r="R3931" i="1" s="1"/>
  <c r="J3941" i="1"/>
  <c r="R3941" i="1" s="1"/>
  <c r="J3942" i="1"/>
  <c r="R3942" i="1" s="1"/>
  <c r="J3943" i="1"/>
  <c r="R3943" i="1" s="1"/>
  <c r="J3939" i="1"/>
  <c r="R3939" i="1" s="1"/>
  <c r="J3949" i="1"/>
  <c r="R3949" i="1" s="1"/>
  <c r="J3950" i="1"/>
  <c r="R3950" i="1" s="1"/>
  <c r="J3951" i="1"/>
  <c r="R3951" i="1" s="1"/>
  <c r="J3947" i="1"/>
  <c r="R3947" i="1" s="1"/>
  <c r="J3957" i="1"/>
  <c r="R3957" i="1" s="1"/>
  <c r="J3958" i="1"/>
  <c r="R3958" i="1" s="1"/>
  <c r="J3959" i="1"/>
  <c r="R3959" i="1" s="1"/>
  <c r="J3955" i="1"/>
  <c r="R3955" i="1" s="1"/>
  <c r="J3965" i="1"/>
  <c r="R3965" i="1" s="1"/>
  <c r="J3966" i="1"/>
  <c r="R3966" i="1" s="1"/>
  <c r="J3967" i="1"/>
  <c r="R3967" i="1" s="1"/>
  <c r="J3963" i="1"/>
  <c r="R3963" i="1" s="1"/>
  <c r="J3971" i="1"/>
  <c r="R3971" i="1" s="1"/>
  <c r="J3973" i="1"/>
  <c r="R3973" i="1" s="1"/>
  <c r="J3974" i="1"/>
  <c r="R3974" i="1" s="1"/>
  <c r="J3975" i="1"/>
  <c r="R3975" i="1" s="1"/>
  <c r="J3981" i="1"/>
  <c r="R3981" i="1" s="1"/>
  <c r="J3982" i="1"/>
  <c r="R3982" i="1" s="1"/>
  <c r="J3983" i="1"/>
  <c r="R3983" i="1" s="1"/>
  <c r="J3979" i="1"/>
  <c r="R3979" i="1" s="1"/>
  <c r="J3989" i="1"/>
  <c r="R3989" i="1" s="1"/>
  <c r="J3990" i="1"/>
  <c r="R3990" i="1" s="1"/>
  <c r="J3991" i="1"/>
  <c r="R3991" i="1" s="1"/>
  <c r="J3987" i="1"/>
  <c r="R3987" i="1" s="1"/>
  <c r="J3997" i="1"/>
  <c r="R3997" i="1" s="1"/>
  <c r="J3998" i="1"/>
  <c r="R3998" i="1" s="1"/>
  <c r="J3999" i="1"/>
  <c r="R3999" i="1" s="1"/>
  <c r="J3995" i="1"/>
  <c r="R3995" i="1" s="1"/>
  <c r="J4005" i="1"/>
  <c r="R4005" i="1" s="1"/>
  <c r="J4006" i="1"/>
  <c r="R4006" i="1" s="1"/>
  <c r="J4007" i="1"/>
  <c r="R4007" i="1" s="1"/>
  <c r="J4003" i="1"/>
  <c r="R4003" i="1" s="1"/>
  <c r="J4013" i="1"/>
  <c r="R4013" i="1" s="1"/>
  <c r="J4014" i="1"/>
  <c r="R4014" i="1" s="1"/>
  <c r="J4015" i="1"/>
  <c r="R4015" i="1" s="1"/>
  <c r="J4011" i="1"/>
  <c r="R4011" i="1" s="1"/>
  <c r="J4021" i="1"/>
  <c r="R4021" i="1" s="1"/>
  <c r="J4022" i="1"/>
  <c r="R4022" i="1" s="1"/>
  <c r="J4023" i="1"/>
  <c r="R4023" i="1" s="1"/>
  <c r="J4019" i="1"/>
  <c r="R4019" i="1" s="1"/>
  <c r="J4029" i="1"/>
  <c r="R4029" i="1" s="1"/>
  <c r="J4030" i="1"/>
  <c r="R4030" i="1" s="1"/>
  <c r="J4031" i="1"/>
  <c r="R4031" i="1" s="1"/>
  <c r="J4027" i="1"/>
  <c r="R4027" i="1" s="1"/>
  <c r="J4035" i="1"/>
  <c r="R4035" i="1" s="1"/>
  <c r="J4037" i="1"/>
  <c r="R4037" i="1" s="1"/>
  <c r="J4038" i="1"/>
  <c r="R4038" i="1" s="1"/>
  <c r="J4039" i="1"/>
  <c r="R4039" i="1" s="1"/>
  <c r="J4105" i="1"/>
  <c r="R4105" i="1" s="1"/>
  <c r="J4106" i="1"/>
  <c r="R4106" i="1" s="1"/>
  <c r="J4107" i="1"/>
  <c r="R4107" i="1" s="1"/>
  <c r="J4103" i="1"/>
  <c r="R4103" i="1" s="1"/>
  <c r="Q315" i="9" s="1"/>
  <c r="J4114" i="1"/>
  <c r="R4114" i="1" s="1"/>
  <c r="J4115" i="1"/>
  <c r="R4115" i="1" s="1"/>
  <c r="J4116" i="1"/>
  <c r="R4116" i="1" s="1"/>
  <c r="J4112" i="1"/>
  <c r="R4112" i="1" s="1"/>
  <c r="J4123" i="1"/>
  <c r="R4123" i="1" s="1"/>
  <c r="J4124" i="1"/>
  <c r="R4124" i="1" s="1"/>
  <c r="J4125" i="1"/>
  <c r="R4125" i="1" s="1"/>
  <c r="J4122" i="1"/>
  <c r="R4122" i="1" s="1"/>
  <c r="J4132" i="1"/>
  <c r="R4132" i="1" s="1"/>
  <c r="J4133" i="1"/>
  <c r="R4133" i="1" s="1"/>
  <c r="J4134" i="1"/>
  <c r="R4134" i="1" s="1"/>
  <c r="J4130" i="1"/>
  <c r="R4130" i="1" s="1"/>
  <c r="J4141" i="1"/>
  <c r="R4141" i="1" s="1"/>
  <c r="J4142" i="1"/>
  <c r="R4142" i="1" s="1"/>
  <c r="J4143" i="1"/>
  <c r="R4143" i="1" s="1"/>
  <c r="J4139" i="1"/>
  <c r="R4139" i="1" s="1"/>
  <c r="J4150" i="1"/>
  <c r="R4150" i="1" s="1"/>
  <c r="J4151" i="1"/>
  <c r="R4151" i="1" s="1"/>
  <c r="J4152" i="1"/>
  <c r="R4152" i="1" s="1"/>
  <c r="J4148" i="1"/>
  <c r="R4148" i="1" s="1"/>
  <c r="J4159" i="1"/>
  <c r="R4159" i="1" s="1"/>
  <c r="J4160" i="1"/>
  <c r="R4160" i="1" s="1"/>
  <c r="J4161" i="1"/>
  <c r="R4161" i="1" s="1"/>
  <c r="J4157" i="1"/>
  <c r="R4157" i="1" s="1"/>
  <c r="J4168" i="1"/>
  <c r="R4168" i="1" s="1"/>
  <c r="J4169" i="1"/>
  <c r="R4169" i="1" s="1"/>
  <c r="J4170" i="1"/>
  <c r="R4170" i="1" s="1"/>
  <c r="J4171" i="1"/>
  <c r="R4171" i="1" s="1"/>
  <c r="J4172" i="1"/>
  <c r="R4172" i="1" s="1"/>
  <c r="J4173" i="1"/>
  <c r="R4173" i="1" s="1"/>
  <c r="J4166" i="1"/>
  <c r="R4166" i="1" s="1"/>
  <c r="J4167" i="1"/>
  <c r="R4167" i="1" s="1"/>
  <c r="J4176" i="1"/>
  <c r="R4176" i="1" s="1"/>
  <c r="J4177" i="1"/>
  <c r="R4177" i="1" s="1"/>
  <c r="J4175" i="1"/>
  <c r="R4175" i="1" s="1"/>
  <c r="J4178" i="1"/>
  <c r="R4178" i="1" s="1"/>
  <c r="J4184" i="1"/>
  <c r="R4184" i="1" s="1"/>
  <c r="Q323" i="9" s="1"/>
  <c r="J4185" i="1"/>
  <c r="R4185" i="1" s="1"/>
  <c r="J4186" i="1"/>
  <c r="R4186" i="1" s="1"/>
  <c r="J4182" i="1"/>
  <c r="R4182" i="1" s="1"/>
  <c r="J4194" i="1"/>
  <c r="R4194" i="1" s="1"/>
  <c r="J4195" i="1"/>
  <c r="R4195" i="1" s="1"/>
  <c r="J4196" i="1"/>
  <c r="R4196" i="1" s="1"/>
  <c r="J4192" i="1"/>
  <c r="R4192" i="1" s="1"/>
  <c r="J4200" i="1"/>
  <c r="R4200" i="1" s="1"/>
  <c r="J4202" i="1"/>
  <c r="R4202" i="1" s="1"/>
  <c r="J4203" i="1"/>
  <c r="R4203" i="1" s="1"/>
  <c r="J4204" i="1"/>
  <c r="R4204" i="1" s="1"/>
  <c r="J4210" i="1"/>
  <c r="R4210" i="1" s="1"/>
  <c r="J4211" i="1"/>
  <c r="R4211" i="1" s="1"/>
  <c r="J4215" i="1"/>
  <c r="R4215" i="1" s="1"/>
  <c r="J4208" i="1"/>
  <c r="R4208" i="1" s="1"/>
  <c r="J4218" i="1"/>
  <c r="R4218" i="1" s="1"/>
  <c r="J4216" i="1"/>
  <c r="R4216" i="1" s="1"/>
  <c r="J4219" i="1"/>
  <c r="R4219" i="1" s="1"/>
  <c r="J4220" i="1"/>
  <c r="R4220" i="1" s="1"/>
  <c r="J4226" i="1"/>
  <c r="R4226" i="1" s="1"/>
  <c r="J4227" i="1"/>
  <c r="R4227" i="1" s="1"/>
  <c r="J4228" i="1"/>
  <c r="R4228" i="1" s="1"/>
  <c r="J4224" i="1"/>
  <c r="R4224" i="1" s="1"/>
  <c r="J4234" i="1"/>
  <c r="R4234" i="1" s="1"/>
  <c r="J4232" i="1"/>
  <c r="R4232" i="1" s="1"/>
  <c r="J4235" i="1"/>
  <c r="R4235" i="1" s="1"/>
  <c r="J4236" i="1"/>
  <c r="R4236" i="1" s="1"/>
  <c r="J4242" i="1"/>
  <c r="R4242" i="1" s="1"/>
  <c r="J4243" i="1"/>
  <c r="R4243" i="1" s="1"/>
  <c r="J4247" i="1"/>
  <c r="R4247" i="1" s="1"/>
  <c r="Q356" i="9" s="1"/>
  <c r="J4240" i="1"/>
  <c r="R4240" i="1" s="1"/>
  <c r="J4250" i="1"/>
  <c r="R4250" i="1" s="1"/>
  <c r="Q358" i="9" s="1"/>
  <c r="J4251" i="1"/>
  <c r="R4251" i="1" s="1"/>
  <c r="J4252" i="1"/>
  <c r="R4252" i="1" s="1"/>
  <c r="J4248" i="1"/>
  <c r="R4248" i="1" s="1"/>
  <c r="Q357" i="9" s="1"/>
  <c r="J4258" i="1"/>
  <c r="R4258" i="1" s="1"/>
  <c r="J4259" i="1"/>
  <c r="R4259" i="1" s="1"/>
  <c r="J4256" i="1"/>
  <c r="R4256" i="1" s="1"/>
  <c r="Q225" i="9" s="1"/>
  <c r="J4260" i="1"/>
  <c r="R4260" i="1" s="1"/>
  <c r="J4266" i="1"/>
  <c r="R4266" i="1" s="1"/>
  <c r="J4267" i="1"/>
  <c r="R4267" i="1" s="1"/>
  <c r="J4268" i="1"/>
  <c r="R4268" i="1" s="1"/>
  <c r="J4264" i="1"/>
  <c r="R4264" i="1" s="1"/>
  <c r="J4274" i="1"/>
  <c r="R4274" i="1" s="1"/>
  <c r="J4275" i="1"/>
  <c r="R4275" i="1" s="1"/>
  <c r="J4276" i="1"/>
  <c r="R4276" i="1" s="1"/>
  <c r="Q234" i="9" s="1"/>
  <c r="J4272" i="1"/>
  <c r="R4272" i="1" s="1"/>
  <c r="J4280" i="1"/>
  <c r="R4280" i="1" s="1"/>
  <c r="J4282" i="1"/>
  <c r="R4282" i="1" s="1"/>
  <c r="J4283" i="1"/>
  <c r="R4283" i="1" s="1"/>
  <c r="J4284" i="1"/>
  <c r="R4284" i="1" s="1"/>
  <c r="J4290" i="1"/>
  <c r="R4290" i="1" s="1"/>
  <c r="J4291" i="1"/>
  <c r="R4291" i="1" s="1"/>
  <c r="J4288" i="1"/>
  <c r="R4288" i="1" s="1"/>
  <c r="J4295" i="1"/>
  <c r="R4295" i="1" s="1"/>
  <c r="Q246" i="9" s="1"/>
  <c r="J4296" i="1"/>
  <c r="R4296" i="1" s="1"/>
  <c r="J4298" i="1"/>
  <c r="R4298" i="1" s="1"/>
  <c r="Q249" i="9" s="1"/>
  <c r="J4299" i="1"/>
  <c r="R4299" i="1" s="1"/>
  <c r="J4300" i="1"/>
  <c r="R4300" i="1" s="1"/>
  <c r="J4306" i="1"/>
  <c r="R4306" i="1" s="1"/>
  <c r="J4307" i="1"/>
  <c r="R4307" i="1" s="1"/>
  <c r="J4308" i="1"/>
  <c r="R4308" i="1" s="1"/>
  <c r="J4304" i="1"/>
  <c r="R4304" i="1" s="1"/>
  <c r="J4314" i="1"/>
  <c r="R4314" i="1" s="1"/>
  <c r="J4315" i="1"/>
  <c r="R4315" i="1" s="1"/>
  <c r="J4316" i="1"/>
  <c r="R4316" i="1" s="1"/>
  <c r="J4312" i="1"/>
  <c r="R4312" i="1" s="1"/>
  <c r="J4322" i="1"/>
  <c r="R4322" i="1" s="1"/>
  <c r="J4323" i="1"/>
  <c r="R4323" i="1" s="1"/>
  <c r="J4324" i="1"/>
  <c r="R4324" i="1" s="1"/>
  <c r="J4320" i="1"/>
  <c r="R4320" i="1" s="1"/>
  <c r="J4330" i="1"/>
  <c r="R4330" i="1" s="1"/>
  <c r="J4331" i="1"/>
  <c r="R4331" i="1" s="1"/>
  <c r="J4332" i="1"/>
  <c r="R4332" i="1" s="1"/>
  <c r="J4328" i="1"/>
  <c r="R4328" i="1" s="1"/>
  <c r="J4338" i="1"/>
  <c r="R4338" i="1" s="1"/>
  <c r="J4339" i="1"/>
  <c r="R4339" i="1" s="1"/>
  <c r="J4340" i="1"/>
  <c r="R4340" i="1" s="1"/>
  <c r="J4336" i="1"/>
  <c r="R4336" i="1" s="1"/>
  <c r="J4346" i="1"/>
  <c r="R4346" i="1" s="1"/>
  <c r="J4347" i="1"/>
  <c r="R4347" i="1" s="1"/>
  <c r="J4348" i="1"/>
  <c r="R4348" i="1" s="1"/>
  <c r="J4344" i="1"/>
  <c r="R4344" i="1" s="1"/>
  <c r="J15" i="1"/>
  <c r="R15" i="1" s="1"/>
  <c r="J16" i="1"/>
  <c r="R16" i="1" s="1"/>
  <c r="J17" i="1"/>
  <c r="R17" i="1" s="1"/>
  <c r="J13" i="1"/>
  <c r="R13" i="1" s="1"/>
  <c r="J100" i="1"/>
  <c r="R100" i="1" s="1"/>
  <c r="J101" i="1"/>
  <c r="R101" i="1" s="1"/>
  <c r="J102" i="1"/>
  <c r="R102" i="1" s="1"/>
  <c r="J103" i="1"/>
  <c r="R103" i="1" s="1"/>
  <c r="J104" i="1"/>
  <c r="R104" i="1" s="1"/>
  <c r="J105" i="1"/>
  <c r="R105" i="1" s="1"/>
  <c r="J106" i="1"/>
  <c r="R106" i="1" s="1"/>
  <c r="J108" i="1"/>
  <c r="R108" i="1" s="1"/>
  <c r="Q438" i="9" s="1"/>
  <c r="J110" i="1"/>
  <c r="R110" i="1" s="1"/>
  <c r="J111" i="1"/>
  <c r="R111" i="1" s="1"/>
  <c r="J112" i="1"/>
  <c r="R112" i="1" s="1"/>
  <c r="J113" i="1"/>
  <c r="R113" i="1" s="1"/>
  <c r="J114" i="1"/>
  <c r="R114" i="1" s="1"/>
  <c r="J115" i="1"/>
  <c r="R115" i="1" s="1"/>
  <c r="J116" i="1"/>
  <c r="R116" i="1" s="1"/>
  <c r="J118" i="1"/>
  <c r="R118" i="1" s="1"/>
  <c r="J119" i="1"/>
  <c r="R119" i="1" s="1"/>
  <c r="J120" i="1"/>
  <c r="R120" i="1" s="1"/>
  <c r="J121" i="1"/>
  <c r="R121" i="1" s="1"/>
  <c r="J122" i="1"/>
  <c r="R122" i="1" s="1"/>
  <c r="J123" i="1"/>
  <c r="R123" i="1" s="1"/>
  <c r="J124" i="1"/>
  <c r="R124" i="1" s="1"/>
  <c r="J125" i="1"/>
  <c r="R125" i="1" s="1"/>
  <c r="J127" i="1"/>
  <c r="R127" i="1" s="1"/>
  <c r="J128" i="1"/>
  <c r="R128" i="1" s="1"/>
  <c r="J129" i="1"/>
  <c r="R129" i="1" s="1"/>
  <c r="J130" i="1"/>
  <c r="R130" i="1" s="1"/>
  <c r="J131" i="1"/>
  <c r="R131" i="1" s="1"/>
  <c r="J132" i="1"/>
  <c r="R132" i="1" s="1"/>
  <c r="J133" i="1"/>
  <c r="R133" i="1" s="1"/>
  <c r="J92" i="1"/>
  <c r="R92" i="1" s="1"/>
  <c r="J93" i="1"/>
  <c r="R93" i="1" s="1"/>
  <c r="J94" i="1"/>
  <c r="R94" i="1" s="1"/>
  <c r="J95" i="1"/>
  <c r="R95" i="1" s="1"/>
  <c r="J96" i="1"/>
  <c r="R96" i="1" s="1"/>
  <c r="J97" i="1"/>
  <c r="R97" i="1" s="1"/>
  <c r="J98" i="1"/>
  <c r="R98" i="1" s="1"/>
  <c r="J99" i="1"/>
  <c r="R99" i="1" s="1"/>
  <c r="J83" i="1"/>
  <c r="R83" i="1" s="1"/>
  <c r="J84" i="1"/>
  <c r="R84" i="1" s="1"/>
  <c r="J85" i="1"/>
  <c r="R85" i="1" s="1"/>
  <c r="J86" i="1"/>
  <c r="R86" i="1" s="1"/>
  <c r="J87" i="1"/>
  <c r="R87" i="1" s="1"/>
  <c r="J88" i="1"/>
  <c r="R88" i="1" s="1"/>
  <c r="J89" i="1"/>
  <c r="R89" i="1" s="1"/>
  <c r="Q434" i="9" s="1"/>
  <c r="J90" i="1"/>
  <c r="R90" i="1" s="1"/>
  <c r="Q433" i="9" s="1"/>
  <c r="J135" i="1"/>
  <c r="R135" i="1" s="1"/>
  <c r="J136" i="1"/>
  <c r="R136" i="1" s="1"/>
  <c r="J137" i="1"/>
  <c r="R137" i="1" s="1"/>
  <c r="J138" i="1"/>
  <c r="R138" i="1" s="1"/>
  <c r="J139" i="1"/>
  <c r="R139" i="1" s="1"/>
  <c r="J140" i="1"/>
  <c r="R140" i="1" s="1"/>
  <c r="Q459" i="9" s="1"/>
  <c r="J141" i="1"/>
  <c r="R141" i="1" s="1"/>
  <c r="Q461" i="9" s="1"/>
  <c r="J142" i="1"/>
  <c r="R142" i="1" s="1"/>
  <c r="Q458" i="9" s="1"/>
  <c r="J144" i="1"/>
  <c r="R144" i="1" s="1"/>
  <c r="J145" i="1"/>
  <c r="R145" i="1" s="1"/>
  <c r="J146" i="1"/>
  <c r="R146" i="1" s="1"/>
  <c r="J147" i="1"/>
  <c r="R147" i="1" s="1"/>
  <c r="J148" i="1"/>
  <c r="R148" i="1" s="1"/>
  <c r="J149" i="1"/>
  <c r="R149" i="1" s="1"/>
  <c r="J150" i="1"/>
  <c r="R150" i="1" s="1"/>
  <c r="J152" i="1"/>
  <c r="R152" i="1" s="1"/>
  <c r="J153" i="1"/>
  <c r="R153" i="1" s="1"/>
  <c r="J154" i="1"/>
  <c r="R154" i="1" s="1"/>
  <c r="J155" i="1"/>
  <c r="R155" i="1" s="1"/>
  <c r="J156" i="1"/>
  <c r="R156" i="1" s="1"/>
  <c r="J157" i="1"/>
  <c r="R157" i="1" s="1"/>
  <c r="J159" i="1"/>
  <c r="R159" i="1" s="1"/>
  <c r="Q462" i="9" s="1"/>
  <c r="J158" i="1"/>
  <c r="R158" i="1" s="1"/>
  <c r="Q463" i="9" s="1"/>
  <c r="J161" i="1"/>
  <c r="R161" i="1" s="1"/>
  <c r="J162" i="1"/>
  <c r="R162" i="1" s="1"/>
  <c r="J163" i="1"/>
  <c r="R163" i="1" s="1"/>
  <c r="J164" i="1"/>
  <c r="R164" i="1" s="1"/>
  <c r="J165" i="1"/>
  <c r="R165" i="1" s="1"/>
  <c r="J166" i="1"/>
  <c r="R166" i="1" s="1"/>
  <c r="J167" i="1"/>
  <c r="R167" i="1" s="1"/>
  <c r="J2826" i="1"/>
  <c r="R2826" i="1" s="1"/>
  <c r="J2823" i="1"/>
  <c r="R2823" i="1" s="1"/>
  <c r="Q1233" i="9" s="1"/>
  <c r="J2841" i="1"/>
  <c r="R2841" i="1" s="1"/>
  <c r="J2842" i="1"/>
  <c r="R2842" i="1" s="1"/>
  <c r="J2843" i="1"/>
  <c r="R2843" i="1" s="1"/>
  <c r="J2844" i="1"/>
  <c r="R2844" i="1" s="1"/>
  <c r="J2845" i="1"/>
  <c r="R2845" i="1" s="1"/>
  <c r="J2846" i="1"/>
  <c r="R2846" i="1" s="1"/>
  <c r="J2847" i="1"/>
  <c r="R2847" i="1" s="1"/>
  <c r="R2451" i="1"/>
  <c r="J1725" i="1"/>
  <c r="S13" i="35" l="1"/>
  <c r="B16" i="53"/>
  <c r="B18" i="53" s="1"/>
  <c r="B11" i="18"/>
  <c r="B15" i="18"/>
  <c r="Q1052" i="9"/>
  <c r="Q992" i="9"/>
  <c r="Q660" i="9"/>
  <c r="Q1230" i="9"/>
  <c r="Q1305" i="9"/>
  <c r="Q803" i="9"/>
  <c r="Q684" i="9"/>
  <c r="Q1970" i="9"/>
  <c r="Q1640" i="9"/>
  <c r="Q193" i="9"/>
  <c r="Q1670" i="9"/>
  <c r="Q212" i="9"/>
  <c r="Q903" i="9"/>
  <c r="Q1189" i="9"/>
  <c r="Q238" i="9"/>
  <c r="Q814" i="9"/>
  <c r="Q624" i="9"/>
  <c r="Q540" i="9"/>
  <c r="Q557" i="9"/>
  <c r="Q213" i="9"/>
  <c r="Q475" i="9"/>
  <c r="Q490" i="9"/>
  <c r="Q639" i="9"/>
  <c r="Q211" i="9"/>
  <c r="Q1327" i="9"/>
  <c r="Q487" i="9"/>
  <c r="Q502" i="9"/>
  <c r="Q566" i="9"/>
  <c r="Q583" i="9"/>
  <c r="Q553" i="9"/>
  <c r="Q570" i="9"/>
  <c r="Q824" i="9"/>
  <c r="Q983" i="9"/>
  <c r="Q1317" i="9"/>
  <c r="Q1200" i="9"/>
  <c r="Q1102" i="9"/>
  <c r="Q310" i="9"/>
  <c r="Q967" i="9"/>
  <c r="Q1946" i="9"/>
  <c r="Q1129" i="9"/>
  <c r="Q309" i="9"/>
  <c r="Q242" i="9"/>
  <c r="Q248" i="9"/>
  <c r="Q1335" i="9"/>
  <c r="Q329" i="9"/>
  <c r="Q808" i="9"/>
  <c r="Q1116" i="9"/>
  <c r="Q527" i="9"/>
  <c r="Q544" i="9"/>
  <c r="Q1336" i="9"/>
  <c r="Q2025" i="9"/>
  <c r="Q1302" i="9"/>
  <c r="Q525" i="9"/>
  <c r="Q542" i="9"/>
  <c r="Q594" i="9"/>
  <c r="Q595" i="9"/>
  <c r="Q612" i="9"/>
  <c r="Q489" i="9"/>
  <c r="Q504" i="9"/>
  <c r="Q1079" i="9"/>
  <c r="Q810" i="9"/>
  <c r="Q500" i="9"/>
  <c r="Q515" i="9"/>
  <c r="Q220" i="9"/>
  <c r="Q552" i="9"/>
  <c r="Q569" i="9"/>
  <c r="Q905" i="9"/>
  <c r="Q1341" i="9"/>
  <c r="Q1720" i="9"/>
  <c r="Q699" i="9"/>
  <c r="Q2002" i="9"/>
  <c r="Q1794" i="9"/>
  <c r="Q1652" i="9"/>
  <c r="Q1995" i="9"/>
  <c r="Q1744" i="9"/>
  <c r="Q1991" i="9"/>
  <c r="Q488" i="9"/>
  <c r="Q503" i="9"/>
  <c r="Q615" i="9"/>
  <c r="Q994" i="9"/>
  <c r="Q1224" i="9"/>
  <c r="Q1503" i="9"/>
  <c r="Q528" i="9"/>
  <c r="Q545" i="9"/>
  <c r="Q229" i="9"/>
  <c r="Q1721" i="9"/>
  <c r="Q701" i="9"/>
  <c r="Q526" i="9"/>
  <c r="Q543" i="9"/>
  <c r="Q499" i="9"/>
  <c r="Q514" i="9"/>
  <c r="Q565" i="9"/>
  <c r="Q582" i="9"/>
  <c r="Q1279" i="9"/>
  <c r="Q1017" i="9"/>
  <c r="Q1093" i="9"/>
  <c r="Q929" i="9"/>
  <c r="Q1579" i="9"/>
  <c r="Q1242" i="9"/>
  <c r="Q752" i="9"/>
  <c r="Q2003" i="9"/>
  <c r="Q420" i="9"/>
  <c r="Q1421" i="9"/>
  <c r="Q2000" i="9"/>
  <c r="Q1325" i="9"/>
  <c r="Q165" i="9"/>
  <c r="Q524" i="9"/>
  <c r="Q541" i="9"/>
  <c r="Q501" i="9"/>
  <c r="Q516" i="9"/>
  <c r="Q177" i="9"/>
  <c r="Q1815" i="9"/>
  <c r="Q1212" i="9"/>
  <c r="B28" i="36"/>
  <c r="Q802" i="9"/>
  <c r="Q1227" i="9"/>
  <c r="Q1996" i="9"/>
  <c r="Q1360" i="9"/>
  <c r="Q1985" i="9"/>
  <c r="Q1989" i="9"/>
  <c r="Q1993" i="9"/>
  <c r="Q1638" i="9"/>
  <c r="Q1988" i="9"/>
  <c r="Q1839" i="9"/>
  <c r="Q1586" i="9"/>
  <c r="Q1730" i="9"/>
  <c r="Q1448" i="9"/>
  <c r="Q1392" i="9"/>
  <c r="B15" i="8"/>
  <c r="F15" i="8" s="1"/>
  <c r="Q837" i="9"/>
  <c r="Q598" i="9"/>
  <c r="Q1195" i="9"/>
  <c r="Q1029" i="9"/>
  <c r="Q631" i="9"/>
  <c r="Q1685" i="9"/>
  <c r="Q1642" i="9"/>
  <c r="Q1803" i="9"/>
  <c r="Q1758" i="9"/>
  <c r="Q307" i="9"/>
  <c r="Q295" i="9"/>
  <c r="Q1478" i="9"/>
  <c r="Q1215" i="9"/>
  <c r="Q838" i="9"/>
  <c r="Q944" i="9"/>
  <c r="Q1296" i="9"/>
  <c r="Q772" i="9"/>
  <c r="Q1126" i="9"/>
  <c r="Q790" i="9"/>
  <c r="Q847" i="9"/>
  <c r="B7" i="39"/>
  <c r="D7" i="39" s="1"/>
  <c r="E7" i="39" s="1"/>
  <c r="B28" i="39"/>
  <c r="Q642" i="9"/>
  <c r="Q1265" i="9"/>
  <c r="Q942" i="9"/>
  <c r="Q1267" i="9"/>
  <c r="Q1346" i="9"/>
  <c r="Q1984" i="9"/>
  <c r="Q1523" i="9"/>
  <c r="Q1471" i="9"/>
  <c r="Q1104" i="9"/>
  <c r="Q1468" i="9"/>
  <c r="Q1890" i="9"/>
  <c r="Q1208" i="9"/>
  <c r="Q1513" i="9"/>
  <c r="Q724" i="9"/>
  <c r="Q1006" i="9"/>
  <c r="Q1371" i="9"/>
  <c r="Q1273" i="9"/>
  <c r="Q780" i="9"/>
  <c r="Q1156" i="9"/>
  <c r="Q762" i="9"/>
  <c r="Q1763" i="9"/>
  <c r="Q641" i="9"/>
  <c r="Q923" i="9"/>
  <c r="Q978" i="9"/>
  <c r="Q1651" i="9"/>
  <c r="Q1870" i="9"/>
  <c r="Q1987" i="9"/>
  <c r="Q1498" i="9"/>
  <c r="Q1940" i="9"/>
  <c r="Q1188" i="9"/>
  <c r="Q1157" i="9"/>
  <c r="Q1263" i="9"/>
  <c r="Q1456" i="9"/>
  <c r="Q1522" i="9"/>
  <c r="Q771" i="9"/>
  <c r="Q1671" i="9"/>
  <c r="Q1504" i="9"/>
  <c r="Q585" i="9"/>
  <c r="Q1059" i="9"/>
  <c r="Q1020" i="9"/>
  <c r="Q930" i="9"/>
  <c r="Q430" i="9"/>
  <c r="Q1343" i="9"/>
  <c r="Q1811" i="9"/>
  <c r="Q1403" i="9"/>
  <c r="Q1787" i="9"/>
  <c r="Q1859" i="9"/>
  <c r="Q1986" i="9"/>
  <c r="Q1747" i="9"/>
  <c r="Q1743" i="9"/>
  <c r="Q1209" i="9"/>
  <c r="Q1939" i="9"/>
  <c r="Q1186" i="9"/>
  <c r="Q1636" i="9"/>
  <c r="Q1683" i="9"/>
  <c r="Q977" i="9"/>
  <c r="Q1830" i="9"/>
  <c r="Q1900" i="9"/>
  <c r="Q1511" i="9"/>
  <c r="Q1440" i="9"/>
  <c r="Q1232" i="9"/>
  <c r="Q328" i="9"/>
  <c r="Q1402" i="9"/>
  <c r="Q1772" i="9"/>
  <c r="Q1869" i="9"/>
  <c r="Q1887" i="9"/>
  <c r="Q1748" i="9"/>
  <c r="Q1204" i="9"/>
  <c r="Q1951" i="9"/>
  <c r="Q1184" i="9"/>
  <c r="Q1925" i="9"/>
  <c r="Q1901" i="9"/>
  <c r="Q1176" i="9"/>
  <c r="Q1115" i="9"/>
  <c r="Q1791" i="9"/>
  <c r="Q587" i="9"/>
  <c r="Q1351" i="9"/>
  <c r="Q1348" i="9"/>
  <c r="Q1407" i="9"/>
  <c r="Q1841" i="9"/>
  <c r="Q1878" i="9"/>
  <c r="Q2001" i="9"/>
  <c r="Q1314" i="9"/>
  <c r="Q1465" i="9"/>
  <c r="Q176" i="9"/>
  <c r="Q1203" i="9"/>
  <c r="Q1908" i="9"/>
  <c r="Q1903" i="9"/>
  <c r="Q1703" i="9"/>
  <c r="Q1143" i="9"/>
  <c r="Q1040" i="9"/>
  <c r="Q745" i="9"/>
  <c r="Q1320" i="9"/>
  <c r="Q1479" i="9"/>
  <c r="Q904" i="9"/>
  <c r="Q1681" i="9"/>
  <c r="Q707" i="9"/>
  <c r="Q740" i="9"/>
  <c r="Q1779" i="9"/>
  <c r="Q1851" i="9"/>
  <c r="Q1992" i="9"/>
  <c r="Q1422" i="9"/>
  <c r="Q1412" i="9"/>
  <c r="Q1492" i="9"/>
  <c r="Q1704" i="9"/>
  <c r="Q518" i="9"/>
  <c r="Q1300" i="9"/>
  <c r="Q301" i="9"/>
  <c r="Q290" i="9"/>
  <c r="Q288" i="9"/>
  <c r="Q1990" i="9"/>
  <c r="Q432" i="9"/>
  <c r="Q1345" i="9"/>
  <c r="Q1057" i="9"/>
  <c r="Q1694" i="9"/>
  <c r="Q917" i="9"/>
  <c r="Q1792" i="9"/>
  <c r="Q1888" i="9"/>
  <c r="Q1999" i="9"/>
  <c r="Q1994" i="9"/>
  <c r="Q1251" i="9"/>
  <c r="Q1926" i="9"/>
  <c r="Q1199" i="9"/>
  <c r="Q1175" i="9"/>
  <c r="Q1165" i="9"/>
  <c r="Q1151" i="9"/>
  <c r="Q1145" i="9"/>
  <c r="Q1082" i="9"/>
  <c r="Q1262" i="9"/>
  <c r="Q1879" i="9"/>
  <c r="Q1268" i="9"/>
  <c r="Q1007" i="9"/>
  <c r="Q671" i="9"/>
  <c r="Q767" i="9"/>
  <c r="Q597" i="9"/>
  <c r="Q1646" i="9"/>
  <c r="Q1464" i="9"/>
  <c r="Q1285" i="9"/>
  <c r="Q1696" i="9"/>
  <c r="Q623" i="9"/>
  <c r="Q935" i="9"/>
  <c r="Q1473" i="9"/>
  <c r="Q963" i="9"/>
  <c r="Q316" i="9"/>
  <c r="Q1814" i="9"/>
  <c r="Q1806" i="9"/>
  <c r="Q1783" i="9"/>
  <c r="Q1880" i="9"/>
  <c r="Q1998" i="9"/>
  <c r="Q1752" i="9"/>
  <c r="Q1457" i="9"/>
  <c r="Q354" i="9"/>
  <c r="Q1444" i="9"/>
  <c r="Q1219" i="9"/>
  <c r="Q1514" i="9"/>
  <c r="Q1947" i="9"/>
  <c r="Q1929" i="9"/>
  <c r="Q1138" i="9"/>
  <c r="Q1099" i="9"/>
  <c r="Q1315" i="9"/>
  <c r="Q232" i="9"/>
  <c r="Q227" i="9"/>
  <c r="Q753" i="9"/>
  <c r="Q1690" i="9"/>
  <c r="Q1466" i="9"/>
  <c r="Q1012" i="9"/>
  <c r="Q844" i="9"/>
  <c r="Q828" i="9"/>
  <c r="Q662" i="9"/>
  <c r="Q1722" i="9"/>
  <c r="Q1171" i="9"/>
  <c r="Q255" i="9"/>
  <c r="Q1688" i="9"/>
  <c r="Q1833" i="9"/>
  <c r="Q1202" i="9"/>
  <c r="Q261" i="9"/>
  <c r="Q616" i="9"/>
  <c r="Q980" i="9"/>
  <c r="Q224" i="9"/>
  <c r="Q344" i="9"/>
  <c r="Q338" i="9"/>
  <c r="Q332" i="9"/>
  <c r="Q405" i="9"/>
  <c r="Q1364" i="9"/>
  <c r="Q1795" i="9"/>
  <c r="Q1771" i="9"/>
  <c r="Q1413" i="9"/>
  <c r="Q1936" i="9"/>
  <c r="Q296" i="9"/>
  <c r="Q1294" i="9"/>
  <c r="Q235" i="9"/>
  <c r="Q816" i="9"/>
  <c r="Q676" i="9"/>
  <c r="Q926" i="9"/>
  <c r="Q914" i="9"/>
  <c r="Q784" i="9"/>
  <c r="Q778" i="9"/>
  <c r="Q1689" i="9"/>
  <c r="Q1659" i="9"/>
  <c r="Q1860" i="9"/>
  <c r="Q1426" i="9"/>
  <c r="Q1462" i="9"/>
  <c r="Q1483" i="9"/>
  <c r="Q1917" i="9"/>
  <c r="Q1909" i="9"/>
  <c r="Q1174" i="9"/>
  <c r="Q1134" i="9"/>
  <c r="Q1266" i="9"/>
  <c r="Q845" i="9"/>
  <c r="Q632" i="9"/>
  <c r="Q655" i="9"/>
  <c r="Q292" i="9"/>
  <c r="Q1005" i="9"/>
  <c r="Q743" i="9"/>
  <c r="Q737" i="9"/>
  <c r="Q1382" i="9"/>
  <c r="Q1653" i="9"/>
  <c r="Q1843" i="9"/>
  <c r="Q1524" i="9"/>
  <c r="Q1705" i="9"/>
  <c r="Q1161" i="9"/>
  <c r="Q330" i="9"/>
  <c r="Q804" i="9"/>
  <c r="Q240" i="9"/>
  <c r="Q813" i="9"/>
  <c r="Q674" i="9"/>
  <c r="Q1541" i="9"/>
  <c r="Q1133" i="9"/>
  <c r="Q736" i="9"/>
  <c r="Q1529" i="9"/>
  <c r="Q1825" i="9"/>
  <c r="Q1196" i="9"/>
  <c r="Q1162" i="9"/>
  <c r="Q203" i="9"/>
  <c r="Q719" i="9"/>
  <c r="Q646" i="9"/>
  <c r="Q654" i="9"/>
  <c r="Q1231" i="9"/>
  <c r="Q1049" i="9"/>
  <c r="Q1053" i="9"/>
  <c r="Q1727" i="9"/>
  <c r="Q605" i="9"/>
  <c r="Q741" i="9"/>
  <c r="Q879" i="9"/>
  <c r="Q628" i="9"/>
  <c r="Q1774" i="9"/>
  <c r="Q1734" i="9"/>
  <c r="Q748" i="9"/>
  <c r="Q768" i="9"/>
  <c r="Q1311" i="9"/>
  <c r="Q640" i="9"/>
  <c r="Q1229" i="9"/>
  <c r="Q1355" i="9"/>
  <c r="Q1746" i="9"/>
  <c r="Q1217" i="9"/>
  <c r="Q1198" i="9"/>
  <c r="Q305" i="9"/>
  <c r="Q299" i="9"/>
  <c r="Q286" i="9"/>
  <c r="Q436" i="9"/>
  <c r="Q268" i="9"/>
  <c r="Q1458" i="9"/>
  <c r="Q1634" i="9"/>
  <c r="Q1030" i="9"/>
  <c r="Q401" i="9"/>
  <c r="Q1374" i="9"/>
  <c r="Q1542" i="9"/>
  <c r="Q437" i="9"/>
  <c r="Q1070" i="9"/>
  <c r="Q937" i="9"/>
  <c r="Q1415" i="9"/>
  <c r="Q1938" i="9"/>
  <c r="Q1120" i="9"/>
  <c r="Q279" i="9"/>
  <c r="Q1339" i="9"/>
  <c r="Q856" i="9"/>
  <c r="Q424" i="9"/>
  <c r="Q1854" i="9"/>
  <c r="Q342" i="9"/>
  <c r="Q336" i="9"/>
  <c r="Q999" i="9"/>
  <c r="Q1009" i="9"/>
  <c r="Q1924" i="9"/>
  <c r="Q1329" i="9"/>
  <c r="Q764" i="9"/>
  <c r="Q1046" i="9"/>
  <c r="Q314" i="9"/>
  <c r="Q781" i="9"/>
  <c r="Q1686" i="9"/>
  <c r="Q787" i="9"/>
  <c r="Q812" i="9"/>
  <c r="Q997" i="9"/>
  <c r="Q1073" i="9"/>
  <c r="Q1365" i="9"/>
  <c r="Q1354" i="9"/>
  <c r="Q995" i="9"/>
  <c r="Q1725" i="9"/>
  <c r="Q799" i="9"/>
  <c r="Q1042" i="9"/>
  <c r="Q1237" i="9"/>
  <c r="Q644" i="9"/>
  <c r="Q626" i="9"/>
  <c r="Q897" i="9"/>
  <c r="Q1222" i="9"/>
  <c r="Q665" i="9"/>
  <c r="Q1236" i="9"/>
  <c r="Q421" i="9"/>
  <c r="Q1857" i="9"/>
  <c r="Q1445" i="9"/>
  <c r="Q1207" i="9"/>
  <c r="Q1679" i="9"/>
  <c r="Q916" i="9"/>
  <c r="Q1544" i="9"/>
  <c r="Q1218" i="9"/>
  <c r="Q266" i="9"/>
  <c r="Q696" i="9"/>
  <c r="Q1032" i="9"/>
  <c r="Q1234" i="9"/>
  <c r="Q928" i="9"/>
  <c r="Q1754" i="9"/>
  <c r="Q1701" i="9"/>
  <c r="Q345" i="9"/>
  <c r="Q339" i="9"/>
  <c r="Q333" i="9"/>
  <c r="Q679" i="9"/>
  <c r="Q786" i="9"/>
  <c r="Q219" i="9"/>
  <c r="Q972" i="9"/>
  <c r="Q414" i="9"/>
  <c r="Q859" i="9"/>
  <c r="Q216" i="9"/>
  <c r="Q282" i="9"/>
  <c r="Q188" i="9"/>
  <c r="Q695" i="9"/>
  <c r="Q215" i="9"/>
  <c r="Q596" i="9"/>
  <c r="Q846" i="9"/>
  <c r="Q322" i="9"/>
  <c r="Q720" i="9"/>
  <c r="Q563" i="9"/>
  <c r="Q1373" i="9"/>
  <c r="Q915" i="9"/>
  <c r="Q1309" i="9"/>
  <c r="Q633" i="9"/>
  <c r="Q1691" i="9"/>
  <c r="Q431" i="9"/>
  <c r="Q1310" i="9"/>
  <c r="Q317" i="9"/>
  <c r="Q278" i="9"/>
  <c r="Q194" i="9"/>
  <c r="Q721" i="9"/>
  <c r="Q1034" i="9"/>
  <c r="Q1068" i="9"/>
  <c r="Q981" i="9"/>
  <c r="Q1308" i="9"/>
  <c r="Q857" i="9"/>
  <c r="Q1080" i="9"/>
  <c r="Q182" i="9"/>
  <c r="Q178" i="9"/>
  <c r="Q1303" i="9"/>
  <c r="Q441" i="9"/>
  <c r="Q179" i="9"/>
  <c r="Q189" i="9"/>
  <c r="Q204" i="9"/>
  <c r="Q1039" i="9"/>
  <c r="Q1666" i="9"/>
  <c r="Q1153" i="9"/>
  <c r="Q270" i="9"/>
  <c r="Q1281" i="9"/>
  <c r="Q1654" i="9"/>
  <c r="Q1882" i="9"/>
  <c r="Q1732" i="9"/>
  <c r="Q1545" i="9"/>
  <c r="Q1437" i="9"/>
  <c r="Q199" i="9"/>
  <c r="Q311" i="9"/>
  <c r="Q1631" i="9"/>
  <c r="Q1931" i="9"/>
  <c r="Q1124" i="9"/>
  <c r="Q1363" i="9"/>
  <c r="Q700" i="9"/>
  <c r="Q551" i="9"/>
  <c r="Q652" i="9"/>
  <c r="Q1641" i="9"/>
  <c r="Q1838" i="9"/>
  <c r="Q1460" i="9"/>
  <c r="Q1950" i="9"/>
  <c r="Q1943" i="9"/>
  <c r="Q1178" i="9"/>
  <c r="Q1141" i="9"/>
  <c r="Q1128" i="9"/>
  <c r="Q298" i="9"/>
  <c r="Q285" i="9"/>
  <c r="Q201" i="9"/>
  <c r="Q1323" i="9"/>
  <c r="Q1211" i="9"/>
  <c r="Q678" i="9"/>
  <c r="Q1826" i="9"/>
  <c r="Q1781" i="9"/>
  <c r="Q746" i="9"/>
  <c r="Q742" i="9"/>
  <c r="Q271" i="9"/>
  <c r="Q663" i="9"/>
  <c r="Q711" i="9"/>
  <c r="Q691" i="9"/>
  <c r="Q429" i="9"/>
  <c r="Q1406" i="9"/>
  <c r="Q1435" i="9"/>
  <c r="Q1893" i="9"/>
  <c r="Q1216" i="9"/>
  <c r="Q773" i="9"/>
  <c r="Q622" i="9"/>
  <c r="Q1066" i="9"/>
  <c r="Q938" i="9"/>
  <c r="Q1525" i="9"/>
  <c r="Q1118" i="9"/>
  <c r="Q230" i="9"/>
  <c r="Q834" i="9"/>
  <c r="Q825" i="9"/>
  <c r="Q1662" i="9"/>
  <c r="Q1875" i="9"/>
  <c r="Q1847" i="9"/>
  <c r="Q1177" i="9"/>
  <c r="Q1152" i="9"/>
  <c r="Q1130" i="9"/>
  <c r="Q1027" i="9"/>
  <c r="Q982" i="9"/>
  <c r="Q800" i="9"/>
  <c r="Q864" i="9"/>
  <c r="Q882" i="9"/>
  <c r="Q1692" i="9"/>
  <c r="Q1645" i="9"/>
  <c r="Q425" i="9"/>
  <c r="Q1813" i="9"/>
  <c r="Q1404" i="9"/>
  <c r="Q1391" i="9"/>
  <c r="Q1796" i="9"/>
  <c r="Q1461" i="9"/>
  <c r="Q1214" i="9"/>
  <c r="Q1515" i="9"/>
  <c r="Q1512" i="9"/>
  <c r="Q1952" i="9"/>
  <c r="Q327" i="9"/>
  <c r="Q661" i="9"/>
  <c r="Q1083" i="9"/>
  <c r="Q855" i="9"/>
  <c r="Q1797" i="9"/>
  <c r="Q1731" i="9"/>
  <c r="Q1724" i="9"/>
  <c r="Q1197" i="9"/>
  <c r="Q308" i="9"/>
  <c r="Q291" i="9"/>
  <c r="Q609" i="9"/>
  <c r="Q1362" i="9"/>
  <c r="Q666" i="9"/>
  <c r="Q1344" i="9"/>
  <c r="Q1782" i="9"/>
  <c r="Q222" i="9"/>
  <c r="Q276" i="9"/>
  <c r="Q272" i="9"/>
  <c r="Q258" i="9"/>
  <c r="Q252" i="9"/>
  <c r="Q716" i="9"/>
  <c r="Q704" i="9"/>
  <c r="Q538" i="9"/>
  <c r="Q577" i="9"/>
  <c r="Q1092" i="9"/>
  <c r="Q843" i="9"/>
  <c r="Q835" i="9"/>
  <c r="Q829" i="9"/>
  <c r="Q658" i="9"/>
  <c r="Q1091" i="9"/>
  <c r="Q939" i="9"/>
  <c r="Q919" i="9"/>
  <c r="Q960" i="9"/>
  <c r="Q754" i="9"/>
  <c r="Q705" i="9"/>
  <c r="Q1822" i="9"/>
  <c r="Q1820" i="9"/>
  <c r="Q1777" i="9"/>
  <c r="Q1150" i="9"/>
  <c r="Q739" i="9"/>
  <c r="Q1632" i="9"/>
  <c r="Q1239" i="9"/>
  <c r="Q1928" i="9"/>
  <c r="Q435" i="9"/>
  <c r="Q1274" i="9"/>
  <c r="Q1480" i="9"/>
  <c r="Q948" i="9"/>
  <c r="Q1780" i="9"/>
  <c r="Q1769" i="9"/>
  <c r="Q1206" i="9"/>
  <c r="Q1508" i="9"/>
  <c r="Q1949" i="9"/>
  <c r="Q1183" i="9"/>
  <c r="Q1699" i="9"/>
  <c r="Q1673" i="9"/>
  <c r="Q320" i="9"/>
  <c r="Q324" i="9"/>
  <c r="Q173" i="9"/>
  <c r="Q175" i="9"/>
  <c r="Q614" i="9"/>
  <c r="Q625" i="9"/>
  <c r="Q1973" i="9"/>
  <c r="Q2017" i="9"/>
  <c r="Q1548" i="9"/>
  <c r="Q1571" i="9"/>
  <c r="Q1250" i="9"/>
  <c r="Q1493" i="9"/>
  <c r="Q1516" i="9"/>
  <c r="Q1930" i="9"/>
  <c r="Q1954" i="9"/>
  <c r="Q1228" i="9"/>
  <c r="Q1225" i="9"/>
  <c r="Q440" i="9"/>
  <c r="Q347" i="9"/>
  <c r="Q351" i="9"/>
  <c r="Q341" i="9"/>
  <c r="Q335" i="9"/>
  <c r="Q318" i="9"/>
  <c r="Q1477" i="9"/>
  <c r="Q1500" i="9"/>
  <c r="Q1370" i="9"/>
  <c r="Q1295" i="9"/>
  <c r="Q817" i="9"/>
  <c r="Q968" i="9"/>
  <c r="Q987" i="9"/>
  <c r="Q806" i="9"/>
  <c r="Q775" i="9"/>
  <c r="Q792" i="9"/>
  <c r="Q769" i="9"/>
  <c r="Q1684" i="9"/>
  <c r="Q1707" i="9"/>
  <c r="Q522" i="9"/>
  <c r="Q533" i="9"/>
  <c r="Q511" i="9"/>
  <c r="Q521" i="9"/>
  <c r="Q496" i="9"/>
  <c r="Q505" i="9"/>
  <c r="Q217" i="9"/>
  <c r="Q172" i="9"/>
  <c r="Q174" i="9"/>
  <c r="Q547" i="9"/>
  <c r="Q558" i="9"/>
  <c r="Q1449" i="9"/>
  <c r="Q823" i="9"/>
  <c r="Q881" i="9"/>
  <c r="Q873" i="9"/>
  <c r="Q890" i="9"/>
  <c r="Q1568" i="9"/>
  <c r="Q1591" i="9"/>
  <c r="Q1035" i="9"/>
  <c r="Q651" i="9"/>
  <c r="Q608" i="9"/>
  <c r="Q619" i="9"/>
  <c r="Q985" i="9"/>
  <c r="Q1375" i="9"/>
  <c r="Q1398" i="9"/>
  <c r="Q1644" i="9"/>
  <c r="Q1687" i="9"/>
  <c r="Q1710" i="9"/>
  <c r="Q1400" i="9"/>
  <c r="Q1423" i="9"/>
  <c r="Q1784" i="9"/>
  <c r="Q1807" i="9"/>
  <c r="Q1979" i="9"/>
  <c r="Q2023" i="9"/>
  <c r="Q1755" i="9"/>
  <c r="Q1778" i="9"/>
  <c r="Q1726" i="9"/>
  <c r="Q1749" i="9"/>
  <c r="Q1959" i="9"/>
  <c r="Q1983" i="9"/>
  <c r="Q1532" i="9"/>
  <c r="Q1555" i="9"/>
  <c r="Q1712" i="9"/>
  <c r="Q1160" i="9"/>
  <c r="Q1180" i="9"/>
  <c r="Q1107" i="9"/>
  <c r="Q1127" i="9"/>
  <c r="Q444" i="9"/>
  <c r="Q452" i="9"/>
  <c r="Q818" i="9"/>
  <c r="Q703" i="9"/>
  <c r="Q694" i="9"/>
  <c r="Q688" i="9"/>
  <c r="Q1340" i="9"/>
  <c r="Q510" i="9"/>
  <c r="Q520" i="9"/>
  <c r="Q498" i="9"/>
  <c r="Q507" i="9"/>
  <c r="Q486" i="9"/>
  <c r="Q495" i="9"/>
  <c r="Q588" i="9"/>
  <c r="Q599" i="9"/>
  <c r="Q573" i="9"/>
  <c r="Q584" i="9"/>
  <c r="Q1635" i="9"/>
  <c r="Q1658" i="9"/>
  <c r="Q1044" i="9"/>
  <c r="Q1063" i="9"/>
  <c r="Q1299" i="9"/>
  <c r="Q1322" i="9"/>
  <c r="Q1016" i="9"/>
  <c r="Q1738" i="9"/>
  <c r="Q1761" i="9"/>
  <c r="Q841" i="9"/>
  <c r="Q831" i="9"/>
  <c r="Q819" i="9"/>
  <c r="Q875" i="9"/>
  <c r="Q892" i="9"/>
  <c r="Q872" i="9"/>
  <c r="Q889" i="9"/>
  <c r="Q1567" i="9"/>
  <c r="Q1590" i="9"/>
  <c r="Q1036" i="9"/>
  <c r="Q634" i="9"/>
  <c r="Q1377" i="9"/>
  <c r="Q208" i="9"/>
  <c r="Q210" i="9"/>
  <c r="Q922" i="9"/>
  <c r="Q951" i="9"/>
  <c r="Q898" i="9"/>
  <c r="Q956" i="9"/>
  <c r="Q975" i="9"/>
  <c r="Q1661" i="9"/>
  <c r="Q1745" i="9"/>
  <c r="Q1768" i="9"/>
  <c r="Q443" i="9"/>
  <c r="Q451" i="9"/>
  <c r="Q449" i="9"/>
  <c r="Q457" i="9"/>
  <c r="Q447" i="9"/>
  <c r="Q455" i="9"/>
  <c r="Q281" i="9"/>
  <c r="Q274" i="9"/>
  <c r="Q269" i="9"/>
  <c r="Q262" i="9"/>
  <c r="Q256" i="9"/>
  <c r="Q1071" i="9"/>
  <c r="Q1261" i="9"/>
  <c r="Q805" i="9"/>
  <c r="Q822" i="9"/>
  <c r="Q1002" i="9"/>
  <c r="Q1021" i="9"/>
  <c r="Q718" i="9"/>
  <c r="Q714" i="9"/>
  <c r="Q698" i="9"/>
  <c r="Q692" i="9"/>
  <c r="Q686" i="9"/>
  <c r="Q1565" i="9"/>
  <c r="Q1588" i="9"/>
  <c r="Q1026" i="9"/>
  <c r="Q1045" i="9"/>
  <c r="Q535" i="9"/>
  <c r="Q546" i="9"/>
  <c r="Q214" i="9"/>
  <c r="Q508" i="9"/>
  <c r="Q517" i="9"/>
  <c r="Q468" i="9"/>
  <c r="Q477" i="9"/>
  <c r="Q561" i="9"/>
  <c r="Q572" i="9"/>
  <c r="Q576" i="9"/>
  <c r="Q1067" i="9"/>
  <c r="Q1446" i="9"/>
  <c r="Q1469" i="9"/>
  <c r="Q1367" i="9"/>
  <c r="Q1290" i="9"/>
  <c r="Q1313" i="9"/>
  <c r="Q1010" i="9"/>
  <c r="Q549" i="9"/>
  <c r="Q560" i="9"/>
  <c r="Q1812" i="9"/>
  <c r="Q1835" i="9"/>
  <c r="Q1842" i="9"/>
  <c r="Q1866" i="9"/>
  <c r="Q1969" i="9"/>
  <c r="Q2013" i="9"/>
  <c r="Q1716" i="9"/>
  <c r="Q1739" i="9"/>
  <c r="Q1172" i="9"/>
  <c r="Q1192" i="9"/>
  <c r="Q1674" i="9"/>
  <c r="Q1697" i="9"/>
  <c r="Q1056" i="9"/>
  <c r="Q1075" i="9"/>
  <c r="Q1077" i="9"/>
  <c r="Q1096" i="9"/>
  <c r="Q747" i="9"/>
  <c r="Q763" i="9"/>
  <c r="Q1966" i="9"/>
  <c r="Q2010" i="9"/>
  <c r="Q1205" i="9"/>
  <c r="Q448" i="9"/>
  <c r="Q456" i="9"/>
  <c r="Q1048" i="9"/>
  <c r="Q190" i="9"/>
  <c r="Q192" i="9"/>
  <c r="Q789" i="9"/>
  <c r="Q1447" i="9"/>
  <c r="Q1470" i="9"/>
  <c r="Q1376" i="9"/>
  <c r="Q1399" i="9"/>
  <c r="Q868" i="9"/>
  <c r="Q885" i="9"/>
  <c r="Q883" i="9"/>
  <c r="Q900" i="9"/>
  <c r="Q620" i="9"/>
  <c r="Q648" i="9"/>
  <c r="Q659" i="9"/>
  <c r="Q1069" i="9"/>
  <c r="Q1298" i="9"/>
  <c r="Q932" i="9"/>
  <c r="Q949" i="9"/>
  <c r="Q946" i="9"/>
  <c r="Q964" i="9"/>
  <c r="Q1293" i="9"/>
  <c r="Q685" i="9"/>
  <c r="Q169" i="9"/>
  <c r="Q171" i="9"/>
  <c r="Q1085" i="9"/>
  <c r="Q1105" i="9"/>
  <c r="Q1393" i="9"/>
  <c r="Q774" i="9"/>
  <c r="Q791" i="9"/>
  <c r="Q472" i="9"/>
  <c r="Q481" i="9"/>
  <c r="Q1031" i="9"/>
  <c r="Q200" i="9"/>
  <c r="Q1387" i="9"/>
  <c r="Q1410" i="9"/>
  <c r="Q195" i="9"/>
  <c r="Q197" i="9"/>
  <c r="Q485" i="9"/>
  <c r="Q494" i="9"/>
  <c r="Q548" i="9"/>
  <c r="Q559" i="9"/>
  <c r="Q445" i="9"/>
  <c r="Q453" i="9"/>
  <c r="Q348" i="9"/>
  <c r="Q352" i="9"/>
  <c r="Q689" i="9"/>
  <c r="Q1564" i="9"/>
  <c r="Q1587" i="9"/>
  <c r="Q1025" i="9"/>
  <c r="Q986" i="9"/>
  <c r="Q280" i="9"/>
  <c r="Q273" i="9"/>
  <c r="Q1041" i="9"/>
  <c r="Q1060" i="9"/>
  <c r="Q1000" i="9"/>
  <c r="Q702" i="9"/>
  <c r="Q690" i="9"/>
  <c r="Q1557" i="9"/>
  <c r="Q1580" i="9"/>
  <c r="Q539" i="9"/>
  <c r="Q550" i="9"/>
  <c r="Q474" i="9"/>
  <c r="Q483" i="9"/>
  <c r="Q593" i="9"/>
  <c r="Q604" i="9"/>
  <c r="Q578" i="9"/>
  <c r="Q589" i="9"/>
  <c r="Q1625" i="9"/>
  <c r="Q1648" i="9"/>
  <c r="Q974" i="9"/>
  <c r="Q1766" i="9"/>
  <c r="Q1789" i="9"/>
  <c r="Q1288" i="9"/>
  <c r="Q1089" i="9"/>
  <c r="Q849" i="9"/>
  <c r="Q826" i="9"/>
  <c r="Q861" i="9"/>
  <c r="Q878" i="9"/>
  <c r="Q866" i="9"/>
  <c r="Q852" i="9"/>
  <c r="Q1347" i="9"/>
  <c r="Q1369" i="9"/>
  <c r="Q621" i="9"/>
  <c r="Q627" i="9"/>
  <c r="Q1072" i="9"/>
  <c r="Q1289" i="9"/>
  <c r="Q1312" i="9"/>
  <c r="Q1019" i="9"/>
  <c r="Q1038" i="9"/>
  <c r="Q207" i="9"/>
  <c r="Q209" i="9"/>
  <c r="Q874" i="9"/>
  <c r="Q891" i="9"/>
  <c r="Q473" i="9"/>
  <c r="Q482" i="9"/>
  <c r="Q243" i="9"/>
  <c r="Q244" i="9"/>
  <c r="Q236" i="9"/>
  <c r="Q331" i="9"/>
  <c r="Q1306" i="9"/>
  <c r="Q1633" i="9"/>
  <c r="Q681" i="9"/>
  <c r="Q785" i="9"/>
  <c r="Q779" i="9"/>
  <c r="Q1559" i="9"/>
  <c r="Q1582" i="9"/>
  <c r="Q1235" i="9"/>
  <c r="Q484" i="9"/>
  <c r="Q493" i="9"/>
  <c r="Q564" i="9"/>
  <c r="Q575" i="9"/>
  <c r="Q1765" i="9"/>
  <c r="Q1788" i="9"/>
  <c r="Q1378" i="9"/>
  <c r="Q1301" i="9"/>
  <c r="Q1324" i="9"/>
  <c r="Q848" i="9"/>
  <c r="Q840" i="9"/>
  <c r="Q836" i="9"/>
  <c r="Q853" i="9"/>
  <c r="Q821" i="9"/>
  <c r="Q860" i="9"/>
  <c r="Q865" i="9"/>
  <c r="Q880" i="9"/>
  <c r="Q645" i="9"/>
  <c r="Q969" i="9"/>
  <c r="Q988" i="9"/>
  <c r="Q877" i="9"/>
  <c r="Q894" i="9"/>
  <c r="Q607" i="9"/>
  <c r="Q618" i="9"/>
  <c r="Q1476" i="9"/>
  <c r="Q1499" i="9"/>
  <c r="Q349" i="9"/>
  <c r="Q353" i="9"/>
  <c r="Q343" i="9"/>
  <c r="Q337" i="9"/>
  <c r="Q1065" i="9"/>
  <c r="Q1084" i="9"/>
  <c r="Q1003" i="9"/>
  <c r="Q1022" i="9"/>
  <c r="Q801" i="9"/>
  <c r="Q673" i="9"/>
  <c r="Q783" i="9"/>
  <c r="Q537" i="9"/>
  <c r="Q509" i="9"/>
  <c r="Q519" i="9"/>
  <c r="Q470" i="9"/>
  <c r="Q479" i="9"/>
  <c r="Q166" i="9"/>
  <c r="Q168" i="9"/>
  <c r="Q1637" i="9"/>
  <c r="Q1660" i="9"/>
  <c r="Q867" i="9"/>
  <c r="Q884" i="9"/>
  <c r="Q871" i="9"/>
  <c r="Q888" i="9"/>
  <c r="Q647" i="9"/>
  <c r="Q657" i="9"/>
  <c r="Q669" i="9"/>
  <c r="Q1055" i="9"/>
  <c r="Q1074" i="9"/>
  <c r="Q1284" i="9"/>
  <c r="Q1269" i="9"/>
  <c r="Q1291" i="9"/>
  <c r="Q606" i="9"/>
  <c r="Q952" i="9"/>
  <c r="Q1560" i="9"/>
  <c r="Q1583" i="9"/>
  <c r="Q221" i="9"/>
  <c r="Q275" i="9"/>
  <c r="Q257" i="9"/>
  <c r="Q183" i="9"/>
  <c r="Q185" i="9"/>
  <c r="Q303" i="9"/>
  <c r="Q664" i="9"/>
  <c r="Q196" i="9"/>
  <c r="Q943" i="9"/>
  <c r="Q933" i="9"/>
  <c r="Q950" i="9"/>
  <c r="Q899" i="9"/>
  <c r="Q957" i="9"/>
  <c r="Q1013" i="9"/>
  <c r="Q682" i="9"/>
  <c r="Q677" i="9"/>
  <c r="Q670" i="9"/>
  <c r="Q782" i="9"/>
  <c r="Q776" i="9"/>
  <c r="Q770" i="9"/>
  <c r="Q757" i="9"/>
  <c r="Q265" i="9"/>
  <c r="Q1501" i="9"/>
  <c r="Q1282" i="9"/>
  <c r="Q795" i="9"/>
  <c r="Q1682" i="9"/>
  <c r="Q1023" i="9"/>
  <c r="Q1643" i="9"/>
  <c r="Q976" i="9"/>
  <c r="Q206" i="9"/>
  <c r="Q1824" i="9"/>
  <c r="Q1395" i="9"/>
  <c r="Q1800" i="9"/>
  <c r="Q1385" i="9"/>
  <c r="Q1786" i="9"/>
  <c r="Q1663" i="9"/>
  <c r="Q1868" i="9"/>
  <c r="Q1849" i="9"/>
  <c r="Q1846" i="9"/>
  <c r="Q1894" i="9"/>
  <c r="Q1978" i="9"/>
  <c r="Q2022" i="9"/>
  <c r="Q1967" i="9"/>
  <c r="Q2011" i="9"/>
  <c r="Q1972" i="9"/>
  <c r="Q2016" i="9"/>
  <c r="Q1757" i="9"/>
  <c r="Q1420" i="9"/>
  <c r="Q1427" i="9"/>
  <c r="Q1450" i="9"/>
  <c r="Q1829" i="9"/>
  <c r="Q1330" i="9"/>
  <c r="Q1331" i="9"/>
  <c r="Q1551" i="9"/>
  <c r="Q1574" i="9"/>
  <c r="Q1248" i="9"/>
  <c r="Q1497" i="9"/>
  <c r="Q1953" i="9"/>
  <c r="Q1944" i="9"/>
  <c r="Q1968" i="9"/>
  <c r="Q1538" i="9"/>
  <c r="Q1521" i="9"/>
  <c r="Q1910" i="9"/>
  <c r="Q1934" i="9"/>
  <c r="Q1715" i="9"/>
  <c r="Q1702" i="9"/>
  <c r="Q1170" i="9"/>
  <c r="Q1149" i="9"/>
  <c r="Q1169" i="9"/>
  <c r="Q1109" i="9"/>
  <c r="Q1678" i="9"/>
  <c r="Q442" i="9"/>
  <c r="Q450" i="9"/>
  <c r="Q1054" i="9"/>
  <c r="Q536" i="9"/>
  <c r="Q469" i="9"/>
  <c r="Q478" i="9"/>
  <c r="Q1058" i="9"/>
  <c r="Q998" i="9"/>
  <c r="Q729" i="9"/>
  <c r="Q723" i="9"/>
  <c r="Q1558" i="9"/>
  <c r="Q1581" i="9"/>
  <c r="Q1656" i="9"/>
  <c r="Q1837" i="9"/>
  <c r="Q1742" i="9"/>
  <c r="Q1547" i="9"/>
  <c r="Q1570" i="9"/>
  <c r="Q1187" i="9"/>
  <c r="Q1158" i="9"/>
  <c r="Q1675" i="9"/>
  <c r="Q1698" i="9"/>
  <c r="Q1004" i="9"/>
  <c r="Q713" i="9"/>
  <c r="Q239" i="9"/>
  <c r="Q233" i="9"/>
  <c r="Q326" i="9"/>
  <c r="Q267" i="9"/>
  <c r="Q191" i="9"/>
  <c r="Q796" i="9"/>
  <c r="Q1630" i="9"/>
  <c r="Q412" i="9"/>
  <c r="Q411" i="9"/>
  <c r="Q1817" i="9"/>
  <c r="Q1394" i="9"/>
  <c r="Q1386" i="9"/>
  <c r="Q1409" i="9"/>
  <c r="Q1657" i="9"/>
  <c r="Q1680" i="9"/>
  <c r="Q1655" i="9"/>
  <c r="Q1865" i="9"/>
  <c r="Q1844" i="9"/>
  <c r="Q1896" i="9"/>
  <c r="Q1881" i="9"/>
  <c r="Q1977" i="9"/>
  <c r="Q2021" i="9"/>
  <c r="Q1971" i="9"/>
  <c r="Q2015" i="9"/>
  <c r="Q1759" i="9"/>
  <c r="Q1431" i="9"/>
  <c r="Q1424" i="9"/>
  <c r="Q1411" i="9"/>
  <c r="Q1434" i="9"/>
  <c r="Q1832" i="9"/>
  <c r="Q1856" i="9"/>
  <c r="Q1333" i="9"/>
  <c r="Q1316" i="9"/>
  <c r="Q1553" i="9"/>
  <c r="Q1576" i="9"/>
  <c r="Q1546" i="9"/>
  <c r="Q1569" i="9"/>
  <c r="Q1452" i="9"/>
  <c r="Q1475" i="9"/>
  <c r="Q1257" i="9"/>
  <c r="Q1507" i="9"/>
  <c r="Q1489" i="9"/>
  <c r="Q1958" i="9"/>
  <c r="Q1982" i="9"/>
  <c r="Q1941" i="9"/>
  <c r="Q1193" i="9"/>
  <c r="Q1213" i="9"/>
  <c r="Q1537" i="9"/>
  <c r="Q1534" i="9"/>
  <c r="Q1920" i="9"/>
  <c r="Q1914" i="9"/>
  <c r="Q1706" i="9"/>
  <c r="Q1729" i="9"/>
  <c r="Q1714" i="9"/>
  <c r="Q1173" i="9"/>
  <c r="Q1122" i="9"/>
  <c r="Q1112" i="9"/>
  <c r="Q1100" i="9"/>
  <c r="Q1359" i="9"/>
  <c r="Q1008" i="9"/>
  <c r="Q523" i="9"/>
  <c r="Q534" i="9"/>
  <c r="Q562" i="9"/>
  <c r="Q1352" i="9"/>
  <c r="Q1011" i="9"/>
  <c r="Q876" i="9"/>
  <c r="Q893" i="9"/>
  <c r="Q920" i="9"/>
  <c r="Q304" i="9"/>
  <c r="Q1051" i="9"/>
  <c r="Q990" i="9"/>
  <c r="Q735" i="9"/>
  <c r="Q417" i="9"/>
  <c r="Q1775" i="9"/>
  <c r="Q1798" i="9"/>
  <c r="Q1650" i="9"/>
  <c r="Q1858" i="9"/>
  <c r="Q1723" i="9"/>
  <c r="Q1453" i="9"/>
  <c r="Q1505" i="9"/>
  <c r="Q1528" i="9"/>
  <c r="Q1932" i="9"/>
  <c r="Q1519" i="9"/>
  <c r="Q1119" i="9"/>
  <c r="Q842" i="9"/>
  <c r="Q830" i="9"/>
  <c r="Q862" i="9"/>
  <c r="Q869" i="9"/>
  <c r="Q886" i="9"/>
  <c r="Q854" i="9"/>
  <c r="Q1561" i="9"/>
  <c r="Q1584" i="9"/>
  <c r="Q653" i="9"/>
  <c r="Q643" i="9"/>
  <c r="Q617" i="9"/>
  <c r="Q971" i="9"/>
  <c r="Q1372" i="9"/>
  <c r="Q1307" i="9"/>
  <c r="Q205" i="9"/>
  <c r="Q941" i="9"/>
  <c r="Q959" i="9"/>
  <c r="Q931" i="9"/>
  <c r="Q921" i="9"/>
  <c r="Q908" i="9"/>
  <c r="Q925" i="9"/>
  <c r="Q947" i="9"/>
  <c r="Q965" i="9"/>
  <c r="Q896" i="9"/>
  <c r="Q913" i="9"/>
  <c r="Q954" i="9"/>
  <c r="Q1047" i="9"/>
  <c r="Q237" i="9"/>
  <c r="Q231" i="9"/>
  <c r="Q226" i="9"/>
  <c r="Q346" i="9"/>
  <c r="Q350" i="9"/>
  <c r="Q340" i="9"/>
  <c r="Q334" i="9"/>
  <c r="Q319" i="9"/>
  <c r="Q202" i="9"/>
  <c r="Q180" i="9"/>
  <c r="Q161" i="9"/>
  <c r="Q163" i="9"/>
  <c r="Q1639" i="9"/>
  <c r="Q400" i="9"/>
  <c r="Q407" i="9"/>
  <c r="Q1823" i="9"/>
  <c r="Q1819" i="9"/>
  <c r="Q1408" i="9"/>
  <c r="Q1804" i="9"/>
  <c r="Q1827" i="9"/>
  <c r="Q1802" i="9"/>
  <c r="Q1383" i="9"/>
  <c r="Q1667" i="9"/>
  <c r="Q1649" i="9"/>
  <c r="Q1862" i="9"/>
  <c r="Q1886" i="9"/>
  <c r="Q1443" i="9"/>
  <c r="Q1836" i="9"/>
  <c r="Q1895" i="9"/>
  <c r="Q1883" i="9"/>
  <c r="Q1976" i="9"/>
  <c r="Q2020" i="9"/>
  <c r="Q1963" i="9"/>
  <c r="Q2007" i="9"/>
  <c r="Q1962" i="9"/>
  <c r="Q2006" i="9"/>
  <c r="Q1390" i="9"/>
  <c r="Q1751" i="9"/>
  <c r="Q1737" i="9"/>
  <c r="Q1760" i="9"/>
  <c r="Q1428" i="9"/>
  <c r="Q1451" i="9"/>
  <c r="Q1417" i="9"/>
  <c r="Q1328" i="9"/>
  <c r="Q1550" i="9"/>
  <c r="Q1573" i="9"/>
  <c r="Q1455" i="9"/>
  <c r="Q1467" i="9"/>
  <c r="Q1490" i="9"/>
  <c r="Q1260" i="9"/>
  <c r="Q1256" i="9"/>
  <c r="Q1506" i="9"/>
  <c r="Q1495" i="9"/>
  <c r="Q1935" i="9"/>
  <c r="Q1937" i="9"/>
  <c r="Q1244" i="9"/>
  <c r="Q1190" i="9"/>
  <c r="Q1210" i="9"/>
  <c r="Q1527" i="9"/>
  <c r="Q1518" i="9"/>
  <c r="Q1906" i="9"/>
  <c r="Q1718" i="9"/>
  <c r="Q1711" i="9"/>
  <c r="Q1163" i="9"/>
  <c r="Q1154" i="9"/>
  <c r="Q1144" i="9"/>
  <c r="Q1142" i="9"/>
  <c r="Q1121" i="9"/>
  <c r="Q1114" i="9"/>
  <c r="Q1113" i="9"/>
  <c r="Q1358" i="9"/>
  <c r="Q1380" i="9"/>
  <c r="Q1676" i="9"/>
  <c r="Q439" i="9"/>
  <c r="Q1043" i="9"/>
  <c r="Q1001" i="9"/>
  <c r="Q870" i="9"/>
  <c r="Q887" i="9"/>
  <c r="Q650" i="9"/>
  <c r="Q945" i="9"/>
  <c r="Q297" i="9"/>
  <c r="Q284" i="9"/>
  <c r="Q184" i="9"/>
  <c r="Q734" i="9"/>
  <c r="Q722" i="9"/>
  <c r="Q1338" i="9"/>
  <c r="Q1436" i="9"/>
  <c r="Q1884" i="9"/>
  <c r="Q1961" i="9"/>
  <c r="Q2005" i="9"/>
  <c r="Q1366" i="9"/>
  <c r="Q1389" i="9"/>
  <c r="Q1502" i="9"/>
  <c r="Q1927" i="9"/>
  <c r="Q1709" i="9"/>
  <c r="Q1867" i="9"/>
  <c r="Q1892" i="9"/>
  <c r="Q1916" i="9"/>
  <c r="Q1965" i="9"/>
  <c r="Q2009" i="9"/>
  <c r="Q1750" i="9"/>
  <c r="Q1728" i="9"/>
  <c r="Q1416" i="9"/>
  <c r="Q1831" i="9"/>
  <c r="Q1855" i="9"/>
  <c r="Q1332" i="9"/>
  <c r="Q1326" i="9"/>
  <c r="Q1349" i="9"/>
  <c r="Q1549" i="9"/>
  <c r="Q1572" i="9"/>
  <c r="Q1259" i="9"/>
  <c r="Q1280" i="9"/>
  <c r="Q1487" i="9"/>
  <c r="Q1481" i="9"/>
  <c r="Q1957" i="9"/>
  <c r="Q1981" i="9"/>
  <c r="Q1933" i="9"/>
  <c r="Q1243" i="9"/>
  <c r="Q1201" i="9"/>
  <c r="Q1221" i="9"/>
  <c r="Q1719" i="9"/>
  <c r="Q1159" i="9"/>
  <c r="Q1179" i="9"/>
  <c r="Q1111" i="9"/>
  <c r="Q1101" i="9"/>
  <c r="Q993" i="9"/>
  <c r="Q811" i="9"/>
  <c r="Q970" i="9"/>
  <c r="Q586" i="9"/>
  <c r="Q973" i="9"/>
  <c r="Q833" i="9"/>
  <c r="Q940" i="9"/>
  <c r="Q958" i="9"/>
  <c r="Q1223" i="9"/>
  <c r="Q283" i="9"/>
  <c r="Q751" i="9"/>
  <c r="Q733" i="9"/>
  <c r="Q727" i="9"/>
  <c r="Q1024" i="9"/>
  <c r="Q427" i="9"/>
  <c r="Q1441" i="9"/>
  <c r="Q1361" i="9"/>
  <c r="Q1252" i="9"/>
  <c r="Q1485" i="9"/>
  <c r="Q1191" i="9"/>
  <c r="Q1700" i="9"/>
  <c r="Q962" i="9"/>
  <c r="Q1028" i="9"/>
  <c r="Q1086" i="9"/>
  <c r="Q1018" i="9"/>
  <c r="Q1037" i="9"/>
  <c r="Q667" i="9"/>
  <c r="Q715" i="9"/>
  <c r="Q712" i="9"/>
  <c r="Q697" i="9"/>
  <c r="Q693" i="9"/>
  <c r="Q687" i="9"/>
  <c r="Q798" i="9"/>
  <c r="Q794" i="9"/>
  <c r="Q418" i="9"/>
  <c r="Q422" i="9"/>
  <c r="Q1090" i="9"/>
  <c r="Q1061" i="9"/>
  <c r="Q1624" i="9"/>
  <c r="Q1647" i="9"/>
  <c r="Q1368" i="9"/>
  <c r="Q1286" i="9"/>
  <c r="Q1821" i="9"/>
  <c r="Q1845" i="9"/>
  <c r="Q1401" i="9"/>
  <c r="Q1793" i="9"/>
  <c r="Q1816" i="9"/>
  <c r="Q1790" i="9"/>
  <c r="Q1381" i="9"/>
  <c r="Q1773" i="9"/>
  <c r="Q1668" i="9"/>
  <c r="Q1664" i="9"/>
  <c r="Q1873" i="9"/>
  <c r="Q1897" i="9"/>
  <c r="Q1439" i="9"/>
  <c r="Q1852" i="9"/>
  <c r="Q1876" i="9"/>
  <c r="Q1885" i="9"/>
  <c r="Q1889" i="9"/>
  <c r="Q1964" i="9"/>
  <c r="Q2008" i="9"/>
  <c r="Q1753" i="9"/>
  <c r="Q1776" i="9"/>
  <c r="Q1318" i="9"/>
  <c r="Q1463" i="9"/>
  <c r="Q1438" i="9"/>
  <c r="Q1258" i="9"/>
  <c r="Q1486" i="9"/>
  <c r="Q1509" i="9"/>
  <c r="Q1956" i="9"/>
  <c r="Q1980" i="9"/>
  <c r="Q1246" i="9"/>
  <c r="Q1194" i="9"/>
  <c r="Q1535" i="9"/>
  <c r="Q1533" i="9"/>
  <c r="Q1556" i="9"/>
  <c r="Q1520" i="9"/>
  <c r="Q1907" i="9"/>
  <c r="Q1912" i="9"/>
  <c r="Q1717" i="9"/>
  <c r="Q1740" i="9"/>
  <c r="Q1148" i="9"/>
  <c r="Q1168" i="9"/>
  <c r="Q1146" i="9"/>
  <c r="Q1166" i="9"/>
  <c r="Q1132" i="9"/>
  <c r="Q1110" i="9"/>
  <c r="Q1672" i="9"/>
  <c r="Q574" i="9"/>
  <c r="Q1921" i="9"/>
  <c r="Q1945" i="9"/>
  <c r="Q827" i="9"/>
  <c r="Q851" i="9"/>
  <c r="Q313" i="9"/>
  <c r="Q1272" i="9"/>
  <c r="Q750" i="9"/>
  <c r="Q744" i="9"/>
  <c r="Q738" i="9"/>
  <c r="Q732" i="9"/>
  <c r="Q728" i="9"/>
  <c r="Q726" i="9"/>
  <c r="Q1062" i="9"/>
  <c r="Q1810" i="9"/>
  <c r="Q1384" i="9"/>
  <c r="Q1770" i="9"/>
  <c r="Q1249" i="9"/>
  <c r="Q1482" i="9"/>
  <c r="Q1182" i="9"/>
  <c r="Q1918" i="9"/>
  <c r="Q637" i="9"/>
  <c r="Q656" i="9"/>
  <c r="Q1088" i="9"/>
  <c r="Q1287" i="9"/>
  <c r="Q1270" i="9"/>
  <c r="Q1292" i="9"/>
  <c r="Q1015" i="9"/>
  <c r="Q936" i="9"/>
  <c r="Q927" i="9"/>
  <c r="Q1472" i="9"/>
  <c r="Q961" i="9"/>
  <c r="Q1566" i="9"/>
  <c r="Q1589" i="9"/>
  <c r="Q1033" i="9"/>
  <c r="Q1076" i="9"/>
  <c r="Q1095" i="9"/>
  <c r="Q788" i="9"/>
  <c r="Q162" i="9"/>
  <c r="Q164" i="9"/>
  <c r="Q241" i="9"/>
  <c r="Q228" i="9"/>
  <c r="Q321" i="9"/>
  <c r="Q325" i="9"/>
  <c r="Q223" i="9"/>
  <c r="Q277" i="9"/>
  <c r="Q263" i="9"/>
  <c r="Q259" i="9"/>
  <c r="Q253" i="9"/>
  <c r="Q797" i="9"/>
  <c r="Q793" i="9"/>
  <c r="Q181" i="9"/>
  <c r="Q402" i="9"/>
  <c r="Q218" i="9"/>
  <c r="Q426" i="9"/>
  <c r="Q408" i="9"/>
  <c r="Q1562" i="9"/>
  <c r="Q1585" i="9"/>
  <c r="Q1818" i="9"/>
  <c r="Q1805" i="9"/>
  <c r="Q1828" i="9"/>
  <c r="Q1665" i="9"/>
  <c r="Q1871" i="9"/>
  <c r="Q1874" i="9"/>
  <c r="Q1898" i="9"/>
  <c r="Q1850" i="9"/>
  <c r="Q1975" i="9"/>
  <c r="Q2019" i="9"/>
  <c r="Q1960" i="9"/>
  <c r="Q2004" i="9"/>
  <c r="Q1756" i="9"/>
  <c r="Q1741" i="9"/>
  <c r="Q1764" i="9"/>
  <c r="Q1735" i="9"/>
  <c r="Q1425" i="9"/>
  <c r="Q1418" i="9"/>
  <c r="Q1334" i="9"/>
  <c r="Q1319" i="9"/>
  <c r="Q1454" i="9"/>
  <c r="Q1220" i="9"/>
  <c r="Q1255" i="9"/>
  <c r="Q1496" i="9"/>
  <c r="Q1491" i="9"/>
  <c r="Q1247" i="9"/>
  <c r="Q1531" i="9"/>
  <c r="Q1919" i="9"/>
  <c r="Q1902" i="9"/>
  <c r="Q1899" i="9"/>
  <c r="Q1923" i="9"/>
  <c r="Q1713" i="9"/>
  <c r="Q1140" i="9"/>
  <c r="Q1131" i="9"/>
  <c r="Q1108" i="9"/>
  <c r="Q1097" i="9"/>
  <c r="Q1117" i="9"/>
  <c r="Q1297" i="9"/>
  <c r="Q815" i="9"/>
  <c r="Q807" i="9"/>
  <c r="Q1278" i="9"/>
  <c r="Q820" i="9"/>
  <c r="Q312" i="9"/>
  <c r="Q306" i="9"/>
  <c r="Q300" i="9"/>
  <c r="Q294" i="9"/>
  <c r="Q289" i="9"/>
  <c r="Q287" i="9"/>
  <c r="Q749" i="9"/>
  <c r="Q731" i="9"/>
  <c r="Q423" i="9"/>
  <c r="Q413" i="9"/>
  <c r="Q1419" i="9"/>
  <c r="Q1442" i="9"/>
  <c r="Q1948" i="9"/>
  <c r="Q1526" i="9"/>
  <c r="Q1139" i="9"/>
  <c r="Q1103" i="9"/>
  <c r="Q1123" i="9"/>
  <c r="Q404" i="9"/>
  <c r="Q428" i="9"/>
  <c r="Q1397" i="9"/>
  <c r="Q1405" i="9"/>
  <c r="Q1388" i="9"/>
  <c r="Q1785" i="9"/>
  <c r="Q1808" i="9"/>
  <c r="Q1669" i="9"/>
  <c r="Q1872" i="9"/>
  <c r="Q1853" i="9"/>
  <c r="Q1877" i="9"/>
  <c r="Q1891" i="9"/>
  <c r="Q1915" i="9"/>
  <c r="Q1974" i="9"/>
  <c r="Q2018" i="9"/>
  <c r="Q1429" i="9"/>
  <c r="Q1430" i="9"/>
  <c r="Q1834" i="9"/>
  <c r="Q1321" i="9"/>
  <c r="Q1554" i="9"/>
  <c r="Q1577" i="9"/>
  <c r="Q1552" i="9"/>
  <c r="Q1575" i="9"/>
  <c r="Q1253" i="9"/>
  <c r="Q1254" i="9"/>
  <c r="Q1494" i="9"/>
  <c r="Q1517" i="9"/>
  <c r="Q1484" i="9"/>
  <c r="Q1245" i="9"/>
  <c r="Q1181" i="9"/>
  <c r="Q1536" i="9"/>
  <c r="Q1911" i="9"/>
  <c r="Q1913" i="9"/>
  <c r="Q1904" i="9"/>
  <c r="Q1708" i="9"/>
  <c r="Q1167" i="9"/>
  <c r="Q1135" i="9"/>
  <c r="Q1155" i="9"/>
  <c r="Q1106" i="9"/>
  <c r="Q1677" i="9"/>
  <c r="Q446" i="9"/>
  <c r="Q454" i="9"/>
  <c r="Q1275" i="9"/>
  <c r="Q497" i="9"/>
  <c r="Q506" i="9"/>
  <c r="Q858" i="9"/>
  <c r="Q293" i="9"/>
  <c r="Q730" i="9"/>
  <c r="Q725" i="9"/>
  <c r="Q406" i="9"/>
  <c r="Q409" i="9"/>
  <c r="Q1396" i="9"/>
  <c r="Q1863" i="9"/>
  <c r="Q1840" i="9"/>
  <c r="Q1864" i="9"/>
  <c r="Q1414" i="9"/>
  <c r="Q1488" i="9"/>
  <c r="Q1530" i="9"/>
  <c r="Q1905" i="9"/>
  <c r="Q1357" i="9"/>
  <c r="Q1379" i="9"/>
  <c r="Q1098" i="9"/>
  <c r="Q1164" i="9"/>
  <c r="R75" i="1"/>
  <c r="Q403" i="9" s="1"/>
  <c r="R3" i="1"/>
  <c r="Q12" i="9" s="1"/>
  <c r="AF27" i="60"/>
  <c r="AF30" i="60" s="1"/>
  <c r="AB27" i="60"/>
  <c r="AB30" i="60" s="1"/>
  <c r="AF27" i="58"/>
  <c r="AF30" i="58" s="1"/>
  <c r="AB27" i="58"/>
  <c r="AB30" i="58" s="1"/>
  <c r="AF27" i="59"/>
  <c r="AF30" i="59" s="1"/>
  <c r="AB27" i="59"/>
  <c r="AB30" i="59" s="1"/>
  <c r="R482" i="1"/>
  <c r="AF23" i="54"/>
  <c r="AF26" i="54" s="1"/>
  <c r="AB23" i="54"/>
  <c r="AB26" i="54" s="1"/>
  <c r="B27" i="54"/>
  <c r="D27" i="54" s="1"/>
  <c r="E27" i="54" s="1"/>
  <c r="T23" i="35"/>
  <c r="B6" i="27"/>
  <c r="S19" i="35"/>
  <c r="T22" i="35"/>
  <c r="S15" i="35"/>
  <c r="R19" i="35"/>
  <c r="R18" i="35"/>
  <c r="T14" i="36"/>
  <c r="B14" i="36" s="1"/>
  <c r="S14" i="35"/>
  <c r="R13" i="35"/>
  <c r="T13" i="35" s="1"/>
  <c r="T18" i="36"/>
  <c r="B18" i="36" s="1"/>
  <c r="D18" i="36" s="1"/>
  <c r="E18" i="36" s="1"/>
  <c r="S18" i="35"/>
  <c r="S16" i="35"/>
  <c r="T16" i="35" s="1"/>
  <c r="R15" i="35"/>
  <c r="R16" i="30"/>
  <c r="S16" i="30"/>
  <c r="S21" i="30"/>
  <c r="R21" i="30"/>
  <c r="S20" i="30"/>
  <c r="S18" i="30"/>
  <c r="S17" i="30"/>
  <c r="T26" i="30"/>
  <c r="R17" i="30"/>
  <c r="D27" i="51"/>
  <c r="E27" i="51" s="1"/>
  <c r="R18" i="30"/>
  <c r="T27" i="30"/>
  <c r="R20" i="30"/>
  <c r="J16" i="28"/>
  <c r="K16" i="28" s="1"/>
  <c r="B16" i="27"/>
  <c r="I16" i="27" s="1"/>
  <c r="I15" i="28"/>
  <c r="B15" i="27"/>
  <c r="I15" i="27" s="1"/>
  <c r="J9" i="28"/>
  <c r="K9" i="28" s="1"/>
  <c r="B9" i="27"/>
  <c r="J9" i="27" s="1"/>
  <c r="K9" i="27" s="1"/>
  <c r="I8" i="28"/>
  <c r="B8" i="27"/>
  <c r="I8" i="27" s="1"/>
  <c r="J11" i="29"/>
  <c r="K11" i="29" s="1"/>
  <c r="B11" i="27"/>
  <c r="J10" i="28"/>
  <c r="K10" i="28" s="1"/>
  <c r="B10" i="27"/>
  <c r="J10" i="27" s="1"/>
  <c r="K10" i="27" s="1"/>
  <c r="J7" i="28"/>
  <c r="K7" i="28" s="1"/>
  <c r="B7" i="27"/>
  <c r="I7" i="27" s="1"/>
  <c r="B15" i="25"/>
  <c r="J30" i="24"/>
  <c r="K30" i="24" s="1"/>
  <c r="B30" i="25"/>
  <c r="J30" i="25" s="1"/>
  <c r="K30" i="25" s="1"/>
  <c r="B14" i="25"/>
  <c r="J16" i="26"/>
  <c r="K16" i="26" s="1"/>
  <c r="B16" i="25"/>
  <c r="J16" i="25" s="1"/>
  <c r="K16" i="25" s="1"/>
  <c r="J19" i="24"/>
  <c r="K19" i="24" s="1"/>
  <c r="B19" i="25"/>
  <c r="J25" i="24"/>
  <c r="K25" i="24" s="1"/>
  <c r="B25" i="25"/>
  <c r="J22" i="24"/>
  <c r="K22" i="24" s="1"/>
  <c r="B22" i="25"/>
  <c r="J22" i="25" s="1"/>
  <c r="K22" i="25" s="1"/>
  <c r="J26" i="24"/>
  <c r="K26" i="24" s="1"/>
  <c r="B26" i="25"/>
  <c r="J26" i="25" s="1"/>
  <c r="K26" i="25" s="1"/>
  <c r="J17" i="24"/>
  <c r="K17" i="24" s="1"/>
  <c r="B17" i="25"/>
  <c r="I17" i="25" s="1"/>
  <c r="J28" i="24"/>
  <c r="K28" i="24" s="1"/>
  <c r="B28" i="25"/>
  <c r="I28" i="25" s="1"/>
  <c r="J31" i="24"/>
  <c r="K31" i="24" s="1"/>
  <c r="B31" i="25"/>
  <c r="J31" i="25" s="1"/>
  <c r="K31" i="25" s="1"/>
  <c r="J29" i="24"/>
  <c r="K29" i="24" s="1"/>
  <c r="B29" i="25"/>
  <c r="I29" i="25" s="1"/>
  <c r="B18" i="23"/>
  <c r="B17" i="23"/>
  <c r="J9" i="18"/>
  <c r="K9" i="18" s="1"/>
  <c r="B9" i="23"/>
  <c r="J16" i="18"/>
  <c r="K16" i="18" s="1"/>
  <c r="B16" i="23"/>
  <c r="I16" i="23" s="1"/>
  <c r="B19" i="23"/>
  <c r="I8" i="18"/>
  <c r="B8" i="23"/>
  <c r="B10" i="23"/>
  <c r="R1725" i="1"/>
  <c r="Q1848" i="9" s="1"/>
  <c r="AB23" i="51"/>
  <c r="AB26" i="51" s="1"/>
  <c r="AF27" i="50"/>
  <c r="AF30" i="50" s="1"/>
  <c r="AB27" i="50"/>
  <c r="AB30" i="50" s="1"/>
  <c r="AF23" i="51"/>
  <c r="AF26" i="51" s="1"/>
  <c r="J19" i="49"/>
  <c r="K19" i="49" s="1"/>
  <c r="I19" i="49"/>
  <c r="I6" i="28"/>
  <c r="B16" i="39"/>
  <c r="J15" i="29"/>
  <c r="K15" i="29" s="1"/>
  <c r="I15" i="29"/>
  <c r="J8" i="29"/>
  <c r="K8" i="29" s="1"/>
  <c r="I8" i="29"/>
  <c r="J16" i="29"/>
  <c r="K16" i="29" s="1"/>
  <c r="I16" i="29"/>
  <c r="J23" i="31"/>
  <c r="K23" i="31" s="1"/>
  <c r="I23" i="31"/>
  <c r="J7" i="29"/>
  <c r="K7" i="29" s="1"/>
  <c r="I7" i="29"/>
  <c r="J6" i="29"/>
  <c r="K6" i="29" s="1"/>
  <c r="I6" i="29"/>
  <c r="J9" i="29"/>
  <c r="K9" i="29" s="1"/>
  <c r="J10" i="29"/>
  <c r="K10" i="29" s="1"/>
  <c r="I10" i="29"/>
  <c r="J31" i="26"/>
  <c r="K31" i="26" s="1"/>
  <c r="I31" i="26"/>
  <c r="J24" i="22"/>
  <c r="K24" i="22" s="1"/>
  <c r="I24" i="22"/>
  <c r="J13" i="18"/>
  <c r="K13" i="18" s="1"/>
  <c r="I13" i="18"/>
  <c r="B13" i="25"/>
  <c r="I13" i="25"/>
  <c r="J28" i="26"/>
  <c r="K28" i="26" s="1"/>
  <c r="I28" i="26"/>
  <c r="J30" i="26"/>
  <c r="K30" i="26" s="1"/>
  <c r="I30" i="26"/>
  <c r="J8" i="22"/>
  <c r="K8" i="22" s="1"/>
  <c r="I8" i="22"/>
  <c r="J13" i="22"/>
  <c r="K13" i="22" s="1"/>
  <c r="I13" i="22"/>
  <c r="J16" i="24"/>
  <c r="K16" i="24" s="1"/>
  <c r="I16" i="24"/>
  <c r="J26" i="26"/>
  <c r="K26" i="26" s="1"/>
  <c r="I26" i="26"/>
  <c r="J25" i="26"/>
  <c r="K25" i="26" s="1"/>
  <c r="I25" i="26"/>
  <c r="I9" i="18"/>
  <c r="J22" i="26"/>
  <c r="K22" i="26" s="1"/>
  <c r="I22" i="26"/>
  <c r="J16" i="22"/>
  <c r="K16" i="22" s="1"/>
  <c r="I16" i="22"/>
  <c r="J17" i="26"/>
  <c r="K17" i="26" s="1"/>
  <c r="I17" i="26"/>
  <c r="J19" i="26"/>
  <c r="K19" i="26" s="1"/>
  <c r="I19" i="26"/>
  <c r="B13" i="24"/>
  <c r="I13" i="24"/>
  <c r="J29" i="26"/>
  <c r="K29" i="26" s="1"/>
  <c r="I29" i="26"/>
  <c r="D18" i="22"/>
  <c r="E18" i="22" s="1"/>
  <c r="D10" i="18"/>
  <c r="D19" i="34"/>
  <c r="E19" i="34" s="1"/>
  <c r="D19" i="18"/>
  <c r="E19" i="18" s="1"/>
  <c r="D24" i="18"/>
  <c r="E24" i="18" s="1"/>
  <c r="B21" i="24"/>
  <c r="D9" i="22"/>
  <c r="E9" i="22" s="1"/>
  <c r="D23" i="32"/>
  <c r="E23" i="32" s="1"/>
  <c r="D15" i="39"/>
  <c r="E15" i="39" s="1"/>
  <c r="X7" i="7"/>
  <c r="D19" i="32"/>
  <c r="E19" i="32" s="1"/>
  <c r="D23" i="34"/>
  <c r="E23" i="34" s="1"/>
  <c r="D15" i="40"/>
  <c r="E15" i="40" s="1"/>
  <c r="D18" i="18"/>
  <c r="E18" i="18" s="1"/>
  <c r="D17" i="18"/>
  <c r="E17" i="18" s="1"/>
  <c r="D10" i="22"/>
  <c r="B20" i="24"/>
  <c r="D15" i="26"/>
  <c r="E15" i="26" s="1"/>
  <c r="D14" i="38"/>
  <c r="E14" i="38" s="1"/>
  <c r="D18" i="38"/>
  <c r="E18" i="38" s="1"/>
  <c r="D17" i="22"/>
  <c r="E17" i="22" s="1"/>
  <c r="D14" i="40"/>
  <c r="E14" i="40" s="1"/>
  <c r="D18" i="39"/>
  <c r="E18" i="39" s="1"/>
  <c r="D14" i="39"/>
  <c r="E14" i="39" s="1"/>
  <c r="D14" i="22"/>
  <c r="E14" i="22" s="1"/>
  <c r="D14" i="18"/>
  <c r="E14" i="18" s="1"/>
  <c r="D19" i="22"/>
  <c r="E19" i="22" s="1"/>
  <c r="D23" i="30"/>
  <c r="D23" i="33"/>
  <c r="E23" i="33" s="1"/>
  <c r="D14" i="37"/>
  <c r="E14" i="37" s="1"/>
  <c r="F14" i="37"/>
  <c r="H14" i="37" s="1"/>
  <c r="I14" i="37" s="1"/>
  <c r="D19" i="33"/>
  <c r="E19" i="33" s="1"/>
  <c r="T15" i="36"/>
  <c r="B15" i="36" s="1"/>
  <c r="B27" i="40"/>
  <c r="B7" i="36"/>
  <c r="B13" i="26"/>
  <c r="B27" i="38"/>
  <c r="B27" i="39"/>
  <c r="B7" i="40"/>
  <c r="B27" i="36"/>
  <c r="B27" i="37"/>
  <c r="F27" i="37" s="1"/>
  <c r="H27" i="37" s="1"/>
  <c r="I27" i="37" s="1"/>
  <c r="B7" i="38"/>
  <c r="T15" i="38"/>
  <c r="B15" i="38" s="1"/>
  <c r="B16" i="37"/>
  <c r="B8" i="40"/>
  <c r="B16" i="40"/>
  <c r="B8" i="38"/>
  <c r="B16" i="38"/>
  <c r="B9" i="37"/>
  <c r="R13" i="37"/>
  <c r="B6" i="37"/>
  <c r="P17" i="37"/>
  <c r="B28" i="37"/>
  <c r="B7" i="37"/>
  <c r="R17" i="39"/>
  <c r="B6" i="39"/>
  <c r="B9" i="39"/>
  <c r="T13" i="39"/>
  <c r="Y15" i="39" s="1"/>
  <c r="R15" i="37"/>
  <c r="B15" i="37" s="1"/>
  <c r="R19" i="37"/>
  <c r="B19" i="37" s="1"/>
  <c r="R18" i="37"/>
  <c r="B18" i="37" s="1"/>
  <c r="T19" i="38"/>
  <c r="B19" i="38" s="1"/>
  <c r="T18" i="40"/>
  <c r="B18" i="40" s="1"/>
  <c r="T19" i="39"/>
  <c r="B19" i="39" s="1"/>
  <c r="T19" i="40"/>
  <c r="B19" i="40" s="1"/>
  <c r="B8" i="37"/>
  <c r="B8" i="39"/>
  <c r="B28" i="38"/>
  <c r="B6" i="38"/>
  <c r="R17" i="38"/>
  <c r="B9" i="38"/>
  <c r="T13" i="38"/>
  <c r="AB23" i="40"/>
  <c r="AB26" i="40" s="1"/>
  <c r="AF23" i="38"/>
  <c r="AF26" i="38" s="1"/>
  <c r="AB23" i="38"/>
  <c r="AB26" i="38" s="1"/>
  <c r="AD23" i="37"/>
  <c r="AD26" i="37" s="1"/>
  <c r="Z23" i="37"/>
  <c r="Z26" i="37" s="1"/>
  <c r="AF23" i="39"/>
  <c r="AF26" i="39" s="1"/>
  <c r="AB23" i="39"/>
  <c r="AB26" i="39" s="1"/>
  <c r="AF23" i="40"/>
  <c r="AF26" i="40" s="1"/>
  <c r="B6" i="40"/>
  <c r="R17" i="40"/>
  <c r="B9" i="40"/>
  <c r="B28" i="40"/>
  <c r="T13" i="40"/>
  <c r="T21" i="32"/>
  <c r="B21" i="32" s="1"/>
  <c r="B8" i="36"/>
  <c r="B16" i="36"/>
  <c r="T19" i="36"/>
  <c r="B19" i="36" s="1"/>
  <c r="AB23" i="36"/>
  <c r="AB26" i="36" s="1"/>
  <c r="AB23" i="35"/>
  <c r="AF23" i="35"/>
  <c r="AF23" i="36"/>
  <c r="AF26" i="36" s="1"/>
  <c r="T13" i="36"/>
  <c r="B9" i="36"/>
  <c r="R17" i="36"/>
  <c r="B6" i="36"/>
  <c r="T17" i="32"/>
  <c r="B17" i="32" s="1"/>
  <c r="T20" i="33"/>
  <c r="B20" i="33" s="1"/>
  <c r="T18" i="32"/>
  <c r="B18" i="32" s="1"/>
  <c r="T16" i="34"/>
  <c r="B16" i="34" s="1"/>
  <c r="T18" i="33"/>
  <c r="B18" i="33" s="1"/>
  <c r="T17" i="31"/>
  <c r="B17" i="31" s="1"/>
  <c r="S22" i="31"/>
  <c r="T17" i="33"/>
  <c r="B17" i="33" s="1"/>
  <c r="R22" i="34"/>
  <c r="B8" i="34" s="1"/>
  <c r="T21" i="31"/>
  <c r="T18" i="34"/>
  <c r="B18" i="34" s="1"/>
  <c r="S22" i="34"/>
  <c r="B15" i="34" s="1"/>
  <c r="T21" i="33"/>
  <c r="B21" i="33" s="1"/>
  <c r="T16" i="32"/>
  <c r="R22" i="32"/>
  <c r="T20" i="32"/>
  <c r="B20" i="32" s="1"/>
  <c r="S22" i="33"/>
  <c r="B15" i="33" s="1"/>
  <c r="S22" i="32"/>
  <c r="B15" i="32" s="1"/>
  <c r="AB27" i="33"/>
  <c r="AB30" i="33" s="1"/>
  <c r="AF27" i="32"/>
  <c r="AF30" i="32" s="1"/>
  <c r="AF27" i="34"/>
  <c r="AF30" i="34" s="1"/>
  <c r="AB27" i="34"/>
  <c r="AB30" i="34" s="1"/>
  <c r="AB27" i="32"/>
  <c r="AB30" i="32" s="1"/>
  <c r="AF27" i="33"/>
  <c r="AF30" i="33" s="1"/>
  <c r="R22" i="33"/>
  <c r="B11" i="33" s="1"/>
  <c r="T20" i="31"/>
  <c r="B20" i="31" s="1"/>
  <c r="T21" i="34"/>
  <c r="B21" i="34" s="1"/>
  <c r="T16" i="33"/>
  <c r="T17" i="34"/>
  <c r="B17" i="34" s="1"/>
  <c r="T20" i="34"/>
  <c r="B20" i="34" s="1"/>
  <c r="R22" i="31"/>
  <c r="T18" i="31"/>
  <c r="B18" i="31" s="1"/>
  <c r="D23" i="31"/>
  <c r="E23" i="31" s="1"/>
  <c r="T16" i="31"/>
  <c r="T19" i="30"/>
  <c r="B19" i="30" s="1"/>
  <c r="AF27" i="30"/>
  <c r="AF30" i="30" s="1"/>
  <c r="AB27" i="30"/>
  <c r="AB30" i="30" s="1"/>
  <c r="X30" i="30"/>
  <c r="C30" i="30" s="1"/>
  <c r="AF27" i="31"/>
  <c r="AF30" i="31" s="1"/>
  <c r="AB27" i="31"/>
  <c r="AB30" i="31" s="1"/>
  <c r="X30" i="31"/>
  <c r="C30" i="31" s="1"/>
  <c r="B19" i="31"/>
  <c r="B13" i="29"/>
  <c r="B13" i="28"/>
  <c r="B17" i="29"/>
  <c r="B17" i="28"/>
  <c r="B21" i="26"/>
  <c r="B27" i="26"/>
  <c r="B18" i="26"/>
  <c r="D14" i="26"/>
  <c r="E14" i="26" s="1"/>
  <c r="D19" i="26"/>
  <c r="E19" i="26" s="1"/>
  <c r="B32" i="26"/>
  <c r="D9" i="18"/>
  <c r="E9" i="18" s="1"/>
  <c r="B24" i="23"/>
  <c r="D19" i="24"/>
  <c r="E19" i="24" s="1"/>
  <c r="D15" i="24"/>
  <c r="E15" i="24" s="1"/>
  <c r="B18" i="24"/>
  <c r="D24" i="22"/>
  <c r="E24" i="22" s="1"/>
  <c r="D14" i="24"/>
  <c r="E14" i="24" s="1"/>
  <c r="B14" i="23"/>
  <c r="B13" i="23"/>
  <c r="B32" i="24"/>
  <c r="B27" i="24"/>
  <c r="B11" i="22"/>
  <c r="D8" i="22"/>
  <c r="E8" i="22" s="1"/>
  <c r="D13" i="22"/>
  <c r="E13" i="22" s="1"/>
  <c r="B15" i="22"/>
  <c r="B20" i="22"/>
  <c r="D16" i="22"/>
  <c r="E16" i="22" s="1"/>
  <c r="B20" i="18"/>
  <c r="D16" i="18"/>
  <c r="E16" i="18" s="1"/>
  <c r="D13" i="18"/>
  <c r="E13" i="18" s="1"/>
  <c r="D8" i="18"/>
  <c r="E8" i="18" s="1"/>
  <c r="K1728" i="1"/>
  <c r="K1724" i="1"/>
  <c r="K1722" i="1"/>
  <c r="K1729" i="1"/>
  <c r="K1768" i="1"/>
  <c r="K2372" i="1"/>
  <c r="K2343" i="1"/>
  <c r="K2342" i="1"/>
  <c r="K2340" i="1"/>
  <c r="K2344" i="1"/>
  <c r="K3669" i="1"/>
  <c r="K3637" i="1"/>
  <c r="K3668" i="1"/>
  <c r="K3667" i="1"/>
  <c r="K3638" i="1"/>
  <c r="K3778" i="1"/>
  <c r="K3746" i="1"/>
  <c r="K3776" i="1"/>
  <c r="K3775" i="1"/>
  <c r="K3747" i="1"/>
  <c r="K1485" i="1"/>
  <c r="K1481" i="1"/>
  <c r="K1487" i="1"/>
  <c r="K1483" i="1"/>
  <c r="K1488" i="1"/>
  <c r="K1504" i="1"/>
  <c r="K1509" i="1"/>
  <c r="K1502" i="1"/>
  <c r="K1510" i="1"/>
  <c r="K1538" i="1"/>
  <c r="K1543" i="1"/>
  <c r="K1536" i="1"/>
  <c r="K1544" i="1"/>
  <c r="K1613" i="1"/>
  <c r="K1618" i="1"/>
  <c r="K1612" i="1"/>
  <c r="K1619" i="1"/>
  <c r="K1658" i="1"/>
  <c r="K1661" i="1"/>
  <c r="K1656" i="1"/>
  <c r="K1654" i="1"/>
  <c r="K1662" i="1"/>
  <c r="K1772" i="1"/>
  <c r="K1765" i="1"/>
  <c r="K1770" i="1"/>
  <c r="K1774" i="1"/>
  <c r="K1939" i="1"/>
  <c r="K1942" i="1"/>
  <c r="K1937" i="1"/>
  <c r="K1936" i="1"/>
  <c r="K1943" i="1"/>
  <c r="K3598" i="1"/>
  <c r="K3568" i="1"/>
  <c r="K3597" i="1"/>
  <c r="K3569" i="1"/>
  <c r="K2173" i="1"/>
  <c r="K2152" i="1"/>
  <c r="K2175" i="1"/>
  <c r="K2171" i="1"/>
  <c r="K2169" i="1"/>
  <c r="K2192" i="1"/>
  <c r="K2194" i="1"/>
  <c r="K2190" i="1"/>
  <c r="K2189" i="1"/>
  <c r="K2195" i="1"/>
  <c r="K3245" i="1"/>
  <c r="K3225" i="1"/>
  <c r="K3242" i="1"/>
  <c r="K3244" i="1"/>
  <c r="K3226" i="1"/>
  <c r="K3270" i="1"/>
  <c r="K3451" i="1"/>
  <c r="K3418" i="1"/>
  <c r="K3447" i="1"/>
  <c r="K3450" i="1"/>
  <c r="K3419" i="1"/>
  <c r="K3813" i="1"/>
  <c r="K3781" i="1"/>
  <c r="K3811" i="1"/>
  <c r="K3810" i="1"/>
  <c r="K3782" i="1"/>
  <c r="K3306" i="1"/>
  <c r="K3284" i="1"/>
  <c r="K3303" i="1"/>
  <c r="K3285" i="1"/>
  <c r="K3305" i="1"/>
  <c r="K2299" i="1"/>
  <c r="K2280" i="1"/>
  <c r="K2281" i="1"/>
  <c r="K2279" i="1"/>
  <c r="K2277" i="1"/>
  <c r="K3140" i="1"/>
  <c r="K3178" i="1"/>
  <c r="K3206" i="1"/>
  <c r="K3209" i="1"/>
  <c r="K3179" i="1"/>
  <c r="K3341" i="1"/>
  <c r="K3339" i="1"/>
  <c r="K3322" i="1"/>
  <c r="K3337" i="1"/>
  <c r="K3323" i="1"/>
  <c r="K3379" i="1"/>
  <c r="K3378" i="1"/>
  <c r="K3347" i="1"/>
  <c r="K3375" i="1"/>
  <c r="K3348" i="1"/>
  <c r="K1156" i="1"/>
  <c r="K2955" i="1"/>
  <c r="K2954" i="1"/>
  <c r="K2936" i="1"/>
  <c r="K2959" i="1"/>
  <c r="K2971" i="1"/>
  <c r="K3007" i="1"/>
  <c r="K2974" i="1"/>
  <c r="K3005" i="1"/>
  <c r="K3003" i="1"/>
  <c r="K2983" i="1"/>
  <c r="K3632" i="1"/>
  <c r="K1683" i="1"/>
  <c r="K1677" i="1"/>
  <c r="K1681" i="1"/>
  <c r="K1680" i="1"/>
  <c r="K1686" i="1"/>
  <c r="K2336" i="1"/>
  <c r="K2308" i="1"/>
  <c r="K2306" i="1"/>
  <c r="K2309" i="1"/>
  <c r="K2434" i="1"/>
  <c r="K2425" i="1"/>
  <c r="K4994" i="1"/>
  <c r="K4974" i="1"/>
  <c r="K4992" i="1"/>
  <c r="K4975" i="1"/>
  <c r="K3089" i="1"/>
  <c r="K3087" i="1"/>
  <c r="K3415" i="1"/>
  <c r="K3386" i="1"/>
  <c r="K3411" i="1"/>
  <c r="K3414" i="1"/>
  <c r="K3387" i="1"/>
  <c r="K1987" i="1"/>
  <c r="K1989" i="1"/>
  <c r="K1985" i="1"/>
  <c r="K1983" i="1"/>
  <c r="K1990" i="1"/>
  <c r="K2817" i="1"/>
  <c r="K2785" i="1"/>
  <c r="K2809" i="1"/>
  <c r="K2816" i="1"/>
  <c r="K2786" i="1"/>
  <c r="K3630" i="1"/>
  <c r="K3674" i="1"/>
  <c r="K3684" i="1"/>
  <c r="K3702" i="1"/>
  <c r="K3740" i="1"/>
  <c r="K3849" i="1"/>
  <c r="K3839" i="1"/>
  <c r="K3845" i="1"/>
  <c r="K3840" i="1"/>
  <c r="K2745" i="1"/>
  <c r="K2716" i="1"/>
  <c r="K2717" i="1"/>
  <c r="K2744" i="1"/>
  <c r="K2719" i="1"/>
  <c r="K2783" i="1"/>
  <c r="K2781" i="1"/>
  <c r="K2760" i="1"/>
  <c r="K2779" i="1"/>
  <c r="K2762" i="1"/>
  <c r="K2258" i="1"/>
  <c r="K2409" i="1"/>
  <c r="K2393" i="1"/>
  <c r="K2392" i="1"/>
  <c r="K2394" i="1"/>
  <c r="K2613" i="1"/>
  <c r="K2587" i="1"/>
  <c r="K2582" i="1"/>
  <c r="K2584" i="1"/>
  <c r="K2588" i="1"/>
  <c r="K3488" i="1"/>
  <c r="K3456" i="1"/>
  <c r="K3484" i="1"/>
  <c r="K3487" i="1"/>
  <c r="K3457" i="1"/>
  <c r="K3493" i="1"/>
  <c r="K3496" i="1"/>
  <c r="K3498" i="1"/>
  <c r="K3500" i="1"/>
  <c r="K3504" i="1"/>
  <c r="K3175" i="1"/>
  <c r="K3155" i="1"/>
  <c r="K3172" i="1"/>
  <c r="K3174" i="1"/>
  <c r="K3156" i="1"/>
  <c r="K3079" i="1"/>
  <c r="K3075" i="1"/>
  <c r="K3049" i="1"/>
  <c r="K3077" i="1"/>
  <c r="K3059" i="1"/>
  <c r="K2887" i="1"/>
  <c r="K2888" i="1"/>
  <c r="K2866" i="1"/>
  <c r="K2884" i="1"/>
  <c r="K2867" i="1"/>
  <c r="K4959" i="1"/>
  <c r="K4930" i="1"/>
  <c r="K4957" i="1"/>
  <c r="K4963" i="1"/>
  <c r="K4931" i="1"/>
  <c r="K3133" i="1"/>
  <c r="K3112" i="1"/>
  <c r="K3131" i="1"/>
  <c r="K3129" i="1"/>
  <c r="K3113" i="1"/>
  <c r="K1180" i="1"/>
  <c r="K1184" i="1"/>
  <c r="K1185" i="1"/>
  <c r="K1305" i="1"/>
  <c r="K1301" i="1"/>
  <c r="K1290" i="1"/>
  <c r="K1303" i="1"/>
  <c r="K1307" i="1"/>
  <c r="K2506" i="1"/>
  <c r="K2489" i="1"/>
  <c r="K2488" i="1"/>
  <c r="K2486" i="1"/>
  <c r="K2490" i="1"/>
  <c r="K2542" i="1"/>
  <c r="K2516" i="1"/>
  <c r="K2514" i="1"/>
  <c r="K2513" i="1"/>
  <c r="K2517" i="1"/>
  <c r="K2579" i="1"/>
  <c r="K2559" i="1"/>
  <c r="K2558" i="1"/>
  <c r="K2556" i="1"/>
  <c r="K2560" i="1"/>
  <c r="K2616" i="1"/>
  <c r="K2618" i="1"/>
  <c r="K2619" i="1"/>
  <c r="K2848" i="1"/>
  <c r="K2672" i="1"/>
  <c r="K2653" i="1"/>
  <c r="K2651" i="1"/>
  <c r="K2654" i="1"/>
  <c r="K2655" i="1"/>
  <c r="K2708" i="1"/>
  <c r="K2679" i="1"/>
  <c r="K2677" i="1"/>
  <c r="K2684" i="1"/>
  <c r="K2682" i="1"/>
  <c r="K2078" i="1"/>
  <c r="K2083" i="1"/>
  <c r="K2076" i="1"/>
  <c r="K2075" i="1"/>
  <c r="K1068" i="1"/>
  <c r="K3538" i="1"/>
  <c r="K4356" i="1"/>
  <c r="K4358" i="1"/>
  <c r="K223" i="1"/>
  <c r="K220" i="1"/>
  <c r="K228" i="1"/>
  <c r="K233" i="1"/>
  <c r="K293" i="1"/>
  <c r="K298" i="1"/>
  <c r="K61" i="1"/>
  <c r="K3729" i="1"/>
  <c r="K4366" i="1"/>
  <c r="K4369" i="1"/>
  <c r="K242" i="1"/>
  <c r="K244" i="1"/>
  <c r="K250" i="1"/>
  <c r="K259" i="1"/>
  <c r="K1090" i="1"/>
  <c r="K1125" i="1"/>
  <c r="K1798" i="1"/>
  <c r="K1833" i="1"/>
  <c r="K1883" i="1"/>
  <c r="K1914" i="1"/>
  <c r="K2013" i="1"/>
  <c r="K2048" i="1"/>
  <c r="K2241" i="1"/>
  <c r="K2428" i="1"/>
  <c r="K2892" i="1"/>
  <c r="K3009" i="1"/>
  <c r="K3608" i="1"/>
  <c r="K3677" i="1"/>
  <c r="K3708" i="1"/>
  <c r="K922" i="1"/>
  <c r="K940" i="1"/>
  <c r="K971" i="1"/>
  <c r="K978" i="1"/>
  <c r="K1224" i="1"/>
  <c r="K1265" i="1"/>
  <c r="K1331" i="1"/>
  <c r="K1365" i="1"/>
  <c r="K1410" i="1"/>
  <c r="K1436" i="1"/>
  <c r="K1575" i="1"/>
  <c r="K75" i="1"/>
  <c r="K81" i="1"/>
  <c r="K286" i="1"/>
  <c r="K288" i="1"/>
  <c r="K4375" i="1"/>
  <c r="K4381" i="1"/>
  <c r="K265" i="1"/>
  <c r="K266" i="1"/>
  <c r="K271" i="1"/>
  <c r="K281" i="1"/>
  <c r="K65" i="1"/>
  <c r="K2829" i="1"/>
  <c r="K1058" i="1"/>
  <c r="K2055" i="1"/>
  <c r="K2103" i="1"/>
  <c r="K3042" i="1"/>
  <c r="K955" i="1"/>
  <c r="K1237" i="1"/>
  <c r="K1434" i="1"/>
  <c r="K4578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3" i="1"/>
  <c r="K4634" i="1"/>
  <c r="K4635" i="1"/>
  <c r="K4636" i="1"/>
  <c r="K4637" i="1"/>
  <c r="K4638" i="1"/>
  <c r="K4639" i="1"/>
  <c r="K4640" i="1"/>
  <c r="K8" i="1"/>
  <c r="K532" i="1"/>
  <c r="K1067" i="1"/>
  <c r="K4889" i="1"/>
  <c r="K4899" i="1"/>
  <c r="K1099" i="1"/>
  <c r="K1840" i="1"/>
  <c r="K1888" i="1"/>
  <c r="K62" i="1"/>
  <c r="K3745" i="1"/>
  <c r="K3730" i="1"/>
  <c r="K1134" i="1"/>
  <c r="K3606" i="1"/>
  <c r="K1583" i="1"/>
  <c r="K1913" i="1"/>
  <c r="K2011" i="1"/>
  <c r="K3008" i="1"/>
  <c r="K961" i="1"/>
  <c r="K993" i="1"/>
  <c r="K1019" i="1"/>
  <c r="K1796" i="1"/>
  <c r="K2853" i="1"/>
  <c r="K2894" i="1"/>
  <c r="K920" i="1"/>
  <c r="K1170" i="1"/>
  <c r="K1271" i="1"/>
  <c r="K1343" i="1"/>
  <c r="K1372" i="1"/>
  <c r="K1409" i="1"/>
  <c r="K4036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91" i="1"/>
  <c r="K4092" i="1"/>
  <c r="K4093" i="1"/>
  <c r="K4094" i="1"/>
  <c r="K4095" i="1"/>
  <c r="K4096" i="1"/>
  <c r="K4097" i="1"/>
  <c r="K4098" i="1"/>
  <c r="K2824" i="1"/>
  <c r="K2128" i="1"/>
  <c r="K3558" i="1"/>
  <c r="K873" i="1"/>
  <c r="K880" i="1"/>
  <c r="K902" i="1"/>
  <c r="K780" i="1"/>
  <c r="K799" i="1"/>
  <c r="K896" i="1"/>
  <c r="K856" i="1"/>
  <c r="K858" i="1"/>
  <c r="K890" i="1"/>
  <c r="K787" i="1"/>
  <c r="K792" i="1"/>
  <c r="K830" i="1"/>
  <c r="K838" i="1"/>
  <c r="K2904" i="1"/>
  <c r="K2922" i="1"/>
  <c r="K807" i="1"/>
  <c r="K813" i="1"/>
  <c r="K819" i="1"/>
  <c r="K827" i="1"/>
  <c r="K885" i="1"/>
  <c r="K2239" i="1"/>
  <c r="K847" i="1"/>
  <c r="K3741" i="1"/>
  <c r="K1089" i="1"/>
  <c r="K4902" i="1"/>
  <c r="K4913" i="1"/>
  <c r="K1123" i="1"/>
  <c r="K1793" i="1"/>
  <c r="K1828" i="1"/>
  <c r="K1879" i="1"/>
  <c r="K1909" i="1"/>
  <c r="K2008" i="1"/>
  <c r="K2043" i="1"/>
  <c r="K2144" i="1"/>
  <c r="K2427" i="1"/>
  <c r="K2934" i="1"/>
  <c r="K3039" i="1"/>
  <c r="K917" i="1"/>
  <c r="K954" i="1"/>
  <c r="K1234" i="1"/>
  <c r="K1262" i="1"/>
  <c r="K1340" i="1"/>
  <c r="K1360" i="1"/>
  <c r="K1406" i="1"/>
  <c r="K1431" i="1"/>
  <c r="K1570" i="1"/>
  <c r="K418" i="1"/>
  <c r="K439" i="1"/>
  <c r="K523" i="1"/>
  <c r="K495" i="1"/>
  <c r="K502" i="1"/>
  <c r="K516" i="1"/>
  <c r="K3703" i="1"/>
  <c r="K425" i="1"/>
  <c r="K432" i="1"/>
  <c r="K474" i="1"/>
  <c r="K482" i="1"/>
  <c r="K446" i="1"/>
  <c r="K453" i="1"/>
  <c r="K460" i="1"/>
  <c r="K467" i="1"/>
  <c r="K510" i="1"/>
  <c r="K489" i="1"/>
  <c r="K2850" i="1"/>
  <c r="K1063" i="1"/>
  <c r="K2100" i="1"/>
  <c r="K2126" i="1"/>
  <c r="K3560" i="1"/>
  <c r="K724" i="1"/>
  <c r="K730" i="1"/>
  <c r="K758" i="1"/>
  <c r="K764" i="1"/>
  <c r="K769" i="1"/>
  <c r="K749" i="1"/>
  <c r="K740" i="1"/>
  <c r="K680" i="1"/>
  <c r="K685" i="1"/>
  <c r="K692" i="1"/>
  <c r="K699" i="1"/>
  <c r="K708" i="1"/>
  <c r="K2237" i="1"/>
  <c r="K715" i="1"/>
  <c r="K1359" i="1"/>
  <c r="K1404" i="1"/>
  <c r="K1430" i="1"/>
  <c r="K988" i="1"/>
  <c r="K1010" i="1"/>
  <c r="K1036" i="1"/>
  <c r="K4909" i="1"/>
  <c r="K1792" i="1"/>
  <c r="K1827" i="1"/>
  <c r="K1877" i="1"/>
  <c r="K1908" i="1"/>
  <c r="K2007" i="1"/>
  <c r="K2042" i="1"/>
  <c r="K2142" i="1"/>
  <c r="K2454" i="1"/>
  <c r="K4998" i="1"/>
  <c r="K2906" i="1"/>
  <c r="K3038" i="1"/>
  <c r="K3269" i="1"/>
  <c r="K950" i="1"/>
  <c r="K1229" i="1"/>
  <c r="K1259" i="1"/>
  <c r="K1337" i="1"/>
  <c r="K370" i="1"/>
  <c r="K378" i="1"/>
  <c r="K23" i="1"/>
  <c r="K398" i="1"/>
  <c r="K405" i="1"/>
  <c r="K412" i="1"/>
  <c r="K388" i="1"/>
  <c r="K304" i="1"/>
  <c r="K312" i="1"/>
  <c r="K319" i="1"/>
  <c r="K326" i="1"/>
  <c r="K335" i="1"/>
  <c r="K342" i="1"/>
  <c r="K349" i="1"/>
  <c r="K356" i="1"/>
  <c r="K363" i="1"/>
  <c r="K2852" i="1"/>
  <c r="K1059" i="1"/>
  <c r="K2106" i="1"/>
  <c r="K3542" i="1"/>
  <c r="K942" i="1"/>
  <c r="K1268" i="1"/>
  <c r="K1580" i="1"/>
  <c r="K216" i="1"/>
  <c r="K562" i="1"/>
  <c r="K571" i="1"/>
  <c r="K578" i="1"/>
  <c r="K586" i="1"/>
  <c r="K597" i="1"/>
  <c r="K604" i="1"/>
  <c r="K644" i="1"/>
  <c r="K654" i="1"/>
  <c r="K663" i="1"/>
  <c r="K2242" i="1"/>
  <c r="K615" i="1"/>
  <c r="K621" i="1"/>
  <c r="K629" i="1"/>
  <c r="K637" i="1"/>
  <c r="K66" i="1"/>
  <c r="K67" i="1"/>
  <c r="K68" i="1"/>
  <c r="K69" i="1"/>
  <c r="K1165" i="1"/>
  <c r="K3601" i="1"/>
  <c r="K1095" i="1"/>
  <c r="K4914" i="1"/>
  <c r="K1130" i="1"/>
  <c r="K1803" i="1"/>
  <c r="K2018" i="1"/>
  <c r="K2053" i="1"/>
  <c r="K2432" i="1"/>
  <c r="K3014" i="1"/>
  <c r="K987" i="1"/>
  <c r="K1009" i="1"/>
  <c r="K1031" i="1"/>
  <c r="K4903" i="1"/>
  <c r="K1838" i="1"/>
  <c r="K1865" i="1"/>
  <c r="K1899" i="1"/>
  <c r="K2893" i="1"/>
  <c r="K2913" i="1"/>
  <c r="K912" i="1"/>
  <c r="K1226" i="1"/>
  <c r="K1346" i="1"/>
  <c r="K1370" i="1"/>
  <c r="K1414" i="1"/>
  <c r="K1441" i="1"/>
  <c r="K82" i="1"/>
  <c r="K91" i="1"/>
  <c r="K107" i="1"/>
  <c r="K109" i="1"/>
  <c r="K117" i="1"/>
  <c r="K126" i="1"/>
  <c r="K134" i="1"/>
  <c r="K143" i="1"/>
  <c r="K151" i="1"/>
  <c r="K160" i="1"/>
  <c r="K2105" i="1"/>
  <c r="K3096" i="1"/>
  <c r="K1715" i="1"/>
  <c r="K1721" i="1"/>
  <c r="K1716" i="1"/>
  <c r="K1723" i="1"/>
  <c r="K1730" i="1"/>
  <c r="K1717" i="1"/>
  <c r="K1751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26" i="1"/>
  <c r="K1727" i="1"/>
  <c r="K1748" i="1"/>
  <c r="K1749" i="1"/>
  <c r="K1750" i="1"/>
  <c r="K2339" i="1"/>
  <c r="K2341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70" i="1"/>
  <c r="K3672" i="1"/>
  <c r="K3659" i="1"/>
  <c r="K3660" i="1"/>
  <c r="K3671" i="1"/>
  <c r="K3666" i="1"/>
  <c r="K3661" i="1"/>
  <c r="K3662" i="1"/>
  <c r="K3663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79" i="1"/>
  <c r="K3780" i="1"/>
  <c r="K3768" i="1"/>
  <c r="K3769" i="1"/>
  <c r="K3777" i="1"/>
  <c r="K3774" i="1"/>
  <c r="K3770" i="1"/>
  <c r="K3771" i="1"/>
  <c r="K1480" i="1"/>
  <c r="K1471" i="1"/>
  <c r="K1484" i="1"/>
  <c r="K1464" i="1"/>
  <c r="K1482" i="1"/>
  <c r="K1465" i="1"/>
  <c r="K1474" i="1"/>
  <c r="K1472" i="1"/>
  <c r="K1469" i="1"/>
  <c r="K1473" i="1"/>
  <c r="K1470" i="1"/>
  <c r="K1500" i="1"/>
  <c r="K1475" i="1"/>
  <c r="K1466" i="1"/>
  <c r="K1477" i="1"/>
  <c r="K1489" i="1"/>
  <c r="K1490" i="1"/>
  <c r="K1491" i="1"/>
  <c r="K1492" i="1"/>
  <c r="K1493" i="1"/>
  <c r="K1494" i="1"/>
  <c r="K1478" i="1"/>
  <c r="K1495" i="1"/>
  <c r="K1496" i="1"/>
  <c r="K1497" i="1"/>
  <c r="K1498" i="1"/>
  <c r="K1499" i="1"/>
  <c r="K1486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05" i="1"/>
  <c r="K1506" i="1"/>
  <c r="K1531" i="1"/>
  <c r="K1532" i="1"/>
  <c r="K1503" i="1"/>
  <c r="K1501" i="1"/>
  <c r="K1533" i="1"/>
  <c r="K153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39" i="1"/>
  <c r="K1540" i="1"/>
  <c r="K1565" i="1"/>
  <c r="K1566" i="1"/>
  <c r="K1537" i="1"/>
  <c r="K1535" i="1"/>
  <c r="K1567" i="1"/>
  <c r="K1568" i="1"/>
  <c r="K1596" i="1"/>
  <c r="K1620" i="1"/>
  <c r="K1621" i="1"/>
  <c r="K1622" i="1"/>
  <c r="K1623" i="1"/>
  <c r="K1606" i="1"/>
  <c r="K1604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07" i="1"/>
  <c r="K1636" i="1"/>
  <c r="K1614" i="1"/>
  <c r="K1615" i="1"/>
  <c r="K1637" i="1"/>
  <c r="K1638" i="1"/>
  <c r="K1611" i="1"/>
  <c r="K1609" i="1"/>
  <c r="K1639" i="1"/>
  <c r="K1640" i="1"/>
  <c r="K1657" i="1"/>
  <c r="K1646" i="1"/>
  <c r="K1645" i="1"/>
  <c r="K1653" i="1"/>
  <c r="K1655" i="1"/>
  <c r="K1644" i="1"/>
  <c r="K1641" i="1"/>
  <c r="K1642" i="1"/>
  <c r="K1648" i="1"/>
  <c r="K1647" i="1"/>
  <c r="K1650" i="1"/>
  <c r="K1649" i="1"/>
  <c r="K1663" i="1"/>
  <c r="K1664" i="1"/>
  <c r="K1665" i="1"/>
  <c r="K1666" i="1"/>
  <c r="K1667" i="1"/>
  <c r="K1668" i="1"/>
  <c r="K1669" i="1"/>
  <c r="K1670" i="1"/>
  <c r="K1651" i="1"/>
  <c r="K1671" i="1"/>
  <c r="K1672" i="1"/>
  <c r="K1673" i="1"/>
  <c r="K1674" i="1"/>
  <c r="K1675" i="1"/>
  <c r="K1676" i="1"/>
  <c r="K1659" i="1"/>
  <c r="K1767" i="1"/>
  <c r="K1761" i="1"/>
  <c r="K1771" i="1"/>
  <c r="K1756" i="1"/>
  <c r="K1759" i="1"/>
  <c r="K1786" i="1"/>
  <c r="K1769" i="1"/>
  <c r="K1753" i="1"/>
  <c r="K1752" i="1"/>
  <c r="K1757" i="1"/>
  <c r="K1755" i="1"/>
  <c r="K1754" i="1"/>
  <c r="K1760" i="1"/>
  <c r="K1758" i="1"/>
  <c r="K1775" i="1"/>
  <c r="K1776" i="1"/>
  <c r="K1777" i="1"/>
  <c r="K1778" i="1"/>
  <c r="K1779" i="1"/>
  <c r="K1780" i="1"/>
  <c r="K1781" i="1"/>
  <c r="K1782" i="1"/>
  <c r="K1783" i="1"/>
  <c r="K1784" i="1"/>
  <c r="K1785" i="1"/>
  <c r="K1773" i="1"/>
  <c r="K1764" i="1"/>
  <c r="K1789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38" i="1"/>
  <c r="K1935" i="1"/>
  <c r="K1966" i="1"/>
  <c r="K1967" i="1"/>
  <c r="K1968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9" i="1"/>
  <c r="K3600" i="1"/>
  <c r="K3590" i="1"/>
  <c r="K3591" i="1"/>
  <c r="K3595" i="1"/>
  <c r="K3596" i="1"/>
  <c r="K3592" i="1"/>
  <c r="K3593" i="1"/>
  <c r="K3594" i="1"/>
  <c r="K2151" i="1"/>
  <c r="K2172" i="1"/>
  <c r="K2168" i="1"/>
  <c r="K2170" i="1"/>
  <c r="K2154" i="1"/>
  <c r="K2158" i="1"/>
  <c r="K2166" i="1"/>
  <c r="K2155" i="1"/>
  <c r="K2160" i="1"/>
  <c r="K2159" i="1"/>
  <c r="K2156" i="1"/>
  <c r="K2161" i="1"/>
  <c r="K2164" i="1"/>
  <c r="K2176" i="1"/>
  <c r="K2157" i="1"/>
  <c r="K2167" i="1"/>
  <c r="K2177" i="1"/>
  <c r="K2178" i="1"/>
  <c r="K2179" i="1"/>
  <c r="K2180" i="1"/>
  <c r="K2181" i="1"/>
  <c r="K2182" i="1"/>
  <c r="K2183" i="1"/>
  <c r="K2184" i="1"/>
  <c r="K2185" i="1"/>
  <c r="K2186" i="1"/>
  <c r="K2187" i="1"/>
  <c r="K2174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193" i="1"/>
  <c r="K2216" i="1"/>
  <c r="K2217" i="1"/>
  <c r="K2218" i="1"/>
  <c r="K2191" i="1"/>
  <c r="K2188" i="1"/>
  <c r="K2219" i="1"/>
  <c r="K2220" i="1"/>
  <c r="K3243" i="1"/>
  <c r="K3246" i="1"/>
  <c r="K3216" i="1"/>
  <c r="K3241" i="1"/>
  <c r="K3215" i="1"/>
  <c r="K3212" i="1"/>
  <c r="K3214" i="1"/>
  <c r="K3221" i="1"/>
  <c r="K3217" i="1"/>
  <c r="K3218" i="1"/>
  <c r="K3219" i="1"/>
  <c r="K3220" i="1"/>
  <c r="K3240" i="1"/>
  <c r="K3227" i="1"/>
  <c r="K3228" i="1"/>
  <c r="K3229" i="1"/>
  <c r="K3230" i="1"/>
  <c r="K3231" i="1"/>
  <c r="K3232" i="1"/>
  <c r="K3233" i="1"/>
  <c r="K3234" i="1"/>
  <c r="K3235" i="1"/>
  <c r="K3236" i="1"/>
  <c r="K3237" i="1"/>
  <c r="K3223" i="1"/>
  <c r="K3238" i="1"/>
  <c r="K3247" i="1"/>
  <c r="K3239" i="1"/>
  <c r="K3250" i="1"/>
  <c r="K3268" i="1"/>
  <c r="K3251" i="1"/>
  <c r="K3271" i="1"/>
  <c r="K3252" i="1"/>
  <c r="K3267" i="1"/>
  <c r="K3253" i="1"/>
  <c r="K3254" i="1"/>
  <c r="K3255" i="1"/>
  <c r="K3256" i="1"/>
  <c r="K3257" i="1"/>
  <c r="K3258" i="1"/>
  <c r="K3259" i="1"/>
  <c r="K3263" i="1"/>
  <c r="K3260" i="1"/>
  <c r="K3261" i="1"/>
  <c r="K3262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52" i="1"/>
  <c r="K3453" i="1"/>
  <c r="K3440" i="1"/>
  <c r="K3441" i="1"/>
  <c r="K3448" i="1"/>
  <c r="K3449" i="1"/>
  <c r="K3442" i="1"/>
  <c r="K3443" i="1"/>
  <c r="K3444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14" i="1"/>
  <c r="K3815" i="1"/>
  <c r="K3803" i="1"/>
  <c r="K3804" i="1"/>
  <c r="K3812" i="1"/>
  <c r="K3809" i="1"/>
  <c r="K3805" i="1"/>
  <c r="K3806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47" i="1"/>
  <c r="K3848" i="1"/>
  <c r="K3844" i="1"/>
  <c r="K3828" i="1"/>
  <c r="K3829" i="1"/>
  <c r="K3850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42" i="1"/>
  <c r="K3744" i="1"/>
  <c r="K3727" i="1"/>
  <c r="K3728" i="1"/>
  <c r="K3304" i="1"/>
  <c r="K3272" i="1"/>
  <c r="K3302" i="1"/>
  <c r="K3307" i="1"/>
  <c r="K3274" i="1"/>
  <c r="K3287" i="1"/>
  <c r="K3276" i="1"/>
  <c r="K3273" i="1"/>
  <c r="K3278" i="1"/>
  <c r="K3279" i="1"/>
  <c r="K3280" i="1"/>
  <c r="K3301" i="1"/>
  <c r="K3281" i="1"/>
  <c r="K3282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8" i="1"/>
  <c r="K2276" i="1"/>
  <c r="K2282" i="1"/>
  <c r="K2278" i="1"/>
  <c r="K2298" i="1"/>
  <c r="K2268" i="1"/>
  <c r="K2263" i="1"/>
  <c r="K2266" i="1"/>
  <c r="K2283" i="1"/>
  <c r="K2270" i="1"/>
  <c r="K2265" i="1"/>
  <c r="K2271" i="1"/>
  <c r="K2274" i="1"/>
  <c r="K2272" i="1"/>
  <c r="K2269" i="1"/>
  <c r="K2296" i="1"/>
  <c r="K2275" i="1"/>
  <c r="K2284" i="1"/>
  <c r="K2273" i="1"/>
  <c r="K2285" i="1"/>
  <c r="K2286" i="1"/>
  <c r="K2287" i="1"/>
  <c r="K2288" i="1"/>
  <c r="K2289" i="1"/>
  <c r="K2290" i="1"/>
  <c r="K2291" i="1"/>
  <c r="K2292" i="1"/>
  <c r="K2293" i="1"/>
  <c r="K2294" i="1"/>
  <c r="K2295" i="1"/>
  <c r="K2300" i="1"/>
  <c r="K3135" i="1"/>
  <c r="K3136" i="1"/>
  <c r="K3137" i="1"/>
  <c r="K3139" i="1"/>
  <c r="K3138" i="1"/>
  <c r="K1204" i="1"/>
  <c r="K1205" i="1"/>
  <c r="K1206" i="1"/>
  <c r="K1179" i="1"/>
  <c r="K1207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10" i="1"/>
  <c r="K3211" i="1"/>
  <c r="K3200" i="1"/>
  <c r="K3207" i="1"/>
  <c r="K3208" i="1"/>
  <c r="K3201" i="1"/>
  <c r="K3202" i="1"/>
  <c r="K3203" i="1"/>
  <c r="K3340" i="1"/>
  <c r="K3309" i="1"/>
  <c r="K3310" i="1"/>
  <c r="K3311" i="1"/>
  <c r="K3314" i="1"/>
  <c r="K3338" i="1"/>
  <c r="K3336" i="1"/>
  <c r="K3316" i="1"/>
  <c r="K3313" i="1"/>
  <c r="K3315" i="1"/>
  <c r="K3335" i="1"/>
  <c r="K3317" i="1"/>
  <c r="K3344" i="1"/>
  <c r="K3318" i="1"/>
  <c r="K3324" i="1"/>
  <c r="K3325" i="1"/>
  <c r="K3326" i="1"/>
  <c r="K3327" i="1"/>
  <c r="K3328" i="1"/>
  <c r="K3329" i="1"/>
  <c r="K3343" i="1"/>
  <c r="K3345" i="1"/>
  <c r="K3330" i="1"/>
  <c r="K3331" i="1"/>
  <c r="K3332" i="1"/>
  <c r="K3333" i="1"/>
  <c r="K3334" i="1"/>
  <c r="K3342" i="1"/>
  <c r="K3372" i="1"/>
  <c r="K3377" i="1"/>
  <c r="K3349" i="1"/>
  <c r="K3380" i="1"/>
  <c r="K3350" i="1"/>
  <c r="K3351" i="1"/>
  <c r="K3352" i="1"/>
  <c r="K3376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81" i="1"/>
  <c r="K3371" i="1"/>
  <c r="K1157" i="1"/>
  <c r="K1158" i="1"/>
  <c r="K1159" i="1"/>
  <c r="K1160" i="1"/>
  <c r="K1161" i="1"/>
  <c r="K1162" i="1"/>
  <c r="K1163" i="1"/>
  <c r="K1164" i="1"/>
  <c r="K2938" i="1"/>
  <c r="K2939" i="1"/>
  <c r="K2940" i="1"/>
  <c r="K2941" i="1"/>
  <c r="K2942" i="1"/>
  <c r="K2943" i="1"/>
  <c r="K2944" i="1"/>
  <c r="K2945" i="1"/>
  <c r="K2946" i="1"/>
  <c r="K2947" i="1"/>
  <c r="K2948" i="1"/>
  <c r="K2957" i="1"/>
  <c r="K2949" i="1"/>
  <c r="K2960" i="1"/>
  <c r="K2950" i="1"/>
  <c r="K2951" i="1"/>
  <c r="K2963" i="1"/>
  <c r="K2968" i="1"/>
  <c r="K2958" i="1"/>
  <c r="K2962" i="1"/>
  <c r="K2952" i="1"/>
  <c r="K2970" i="1"/>
  <c r="K2966" i="1"/>
  <c r="K2965" i="1"/>
  <c r="K2969" i="1"/>
  <c r="K2956" i="1"/>
  <c r="K2953" i="1"/>
  <c r="K3004" i="1"/>
  <c r="K3002" i="1"/>
  <c r="K2977" i="1"/>
  <c r="K2979" i="1"/>
  <c r="K2980" i="1"/>
  <c r="K2993" i="1"/>
  <c r="K2984" i="1"/>
  <c r="K2985" i="1"/>
  <c r="K2986" i="1"/>
  <c r="K2987" i="1"/>
  <c r="K2978" i="1"/>
  <c r="K2988" i="1"/>
  <c r="K2989" i="1"/>
  <c r="K2990" i="1"/>
  <c r="K2991" i="1"/>
  <c r="K2992" i="1"/>
  <c r="K3092" i="1"/>
  <c r="K3093" i="1"/>
  <c r="K3094" i="1"/>
  <c r="K3095" i="1"/>
  <c r="K3" i="1"/>
  <c r="K1016" i="1"/>
  <c r="K1096" i="1"/>
  <c r="K4915" i="1"/>
  <c r="K1687" i="1"/>
  <c r="K1688" i="1"/>
  <c r="K1684" i="1"/>
  <c r="K1689" i="1"/>
  <c r="K1679" i="1"/>
  <c r="K1691" i="1"/>
  <c r="K1690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685" i="1"/>
  <c r="K1710" i="1"/>
  <c r="K1711" i="1"/>
  <c r="K1682" i="1"/>
  <c r="K1712" i="1"/>
  <c r="K1839" i="1"/>
  <c r="K2054" i="1"/>
  <c r="K2337" i="1"/>
  <c r="K2304" i="1"/>
  <c r="K2311" i="1"/>
  <c r="K2307" i="1"/>
  <c r="K2312" i="1"/>
  <c r="K2302" i="1"/>
  <c r="K2303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8" i="1"/>
  <c r="K2305" i="1"/>
  <c r="K2333" i="1"/>
  <c r="K2433" i="1"/>
  <c r="K2460" i="1"/>
  <c r="K2461" i="1"/>
  <c r="K2462" i="1"/>
  <c r="K2463" i="1"/>
  <c r="K2464" i="1"/>
  <c r="K2858" i="1"/>
  <c r="K2861" i="1"/>
  <c r="K2862" i="1"/>
  <c r="K2863" i="1"/>
  <c r="K4965" i="1"/>
  <c r="K4995" i="1"/>
  <c r="K4970" i="1"/>
  <c r="K4972" i="1"/>
  <c r="K4993" i="1"/>
  <c r="K4969" i="1"/>
  <c r="K4971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6" i="1"/>
  <c r="K2928" i="1"/>
  <c r="K3081" i="1"/>
  <c r="K3082" i="1"/>
  <c r="K3090" i="1"/>
  <c r="K3091" i="1"/>
  <c r="K3083" i="1"/>
  <c r="K3088" i="1"/>
  <c r="K3086" i="1"/>
  <c r="K3084" i="1"/>
  <c r="K3085" i="1"/>
  <c r="K3264" i="1"/>
  <c r="K3413" i="1"/>
  <c r="K3416" i="1"/>
  <c r="K3388" i="1"/>
  <c r="K3382" i="1"/>
  <c r="K3412" i="1"/>
  <c r="K3389" i="1"/>
  <c r="K3390" i="1"/>
  <c r="K3391" i="1"/>
  <c r="K3383" i="1"/>
  <c r="K3392" i="1"/>
  <c r="K3393" i="1"/>
  <c r="K3394" i="1"/>
  <c r="K3395" i="1"/>
  <c r="K3396" i="1"/>
  <c r="K3397" i="1"/>
  <c r="K3398" i="1"/>
  <c r="K3399" i="1"/>
  <c r="K3400" i="1"/>
  <c r="K3401" i="1"/>
  <c r="K3384" i="1"/>
  <c r="K3402" i="1"/>
  <c r="K3403" i="1"/>
  <c r="K3404" i="1"/>
  <c r="K3405" i="1"/>
  <c r="K3406" i="1"/>
  <c r="K3407" i="1"/>
  <c r="K3408" i="1"/>
  <c r="K3417" i="1"/>
  <c r="K3409" i="1"/>
  <c r="K3830" i="1"/>
  <c r="K3831" i="1"/>
  <c r="K3832" i="1"/>
  <c r="K3833" i="1"/>
  <c r="K3834" i="1"/>
  <c r="K3835" i="1"/>
  <c r="K3836" i="1"/>
  <c r="K1982" i="1"/>
  <c r="K1984" i="1"/>
  <c r="K1986" i="1"/>
  <c r="K1973" i="1"/>
  <c r="K1969" i="1"/>
  <c r="K1971" i="1"/>
  <c r="K1991" i="1"/>
  <c r="K1970" i="1"/>
  <c r="K1980" i="1"/>
  <c r="K1972" i="1"/>
  <c r="K1974" i="1"/>
  <c r="K1976" i="1"/>
  <c r="K1979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1988" i="1"/>
  <c r="K2787" i="1"/>
  <c r="K2818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19" i="1"/>
  <c r="K2807" i="1"/>
  <c r="K2808" i="1"/>
  <c r="K2814" i="1"/>
  <c r="K2815" i="1"/>
  <c r="K2810" i="1"/>
  <c r="K2811" i="1"/>
  <c r="K4110" i="1"/>
  <c r="K4120" i="1"/>
  <c r="K4128" i="1"/>
  <c r="K4138" i="1"/>
  <c r="K4147" i="1"/>
  <c r="K4156" i="1"/>
  <c r="K4165" i="1"/>
  <c r="K320" i="1"/>
  <c r="K329" i="1"/>
  <c r="K346" i="1"/>
  <c r="K350" i="1"/>
  <c r="K357" i="1"/>
  <c r="K364" i="1"/>
  <c r="K371" i="1"/>
  <c r="K379" i="1"/>
  <c r="K384" i="1"/>
  <c r="K389" i="1"/>
  <c r="K394" i="1"/>
  <c r="K399" i="1"/>
  <c r="K4387" i="1"/>
  <c r="K4390" i="1"/>
  <c r="K413" i="1"/>
  <c r="K682" i="1"/>
  <c r="K696" i="1"/>
  <c r="K717" i="1"/>
  <c r="K727" i="1"/>
  <c r="K731" i="1"/>
  <c r="K743" i="1"/>
  <c r="K750" i="1"/>
  <c r="K759" i="1"/>
  <c r="K995" i="1"/>
  <c r="K2224" i="1"/>
  <c r="K2915" i="1"/>
  <c r="K3615" i="1"/>
  <c r="K3616" i="1"/>
  <c r="K3617" i="1"/>
  <c r="K3618" i="1"/>
  <c r="K3619" i="1"/>
  <c r="K3620" i="1"/>
  <c r="K3633" i="1"/>
  <c r="K3631" i="1"/>
  <c r="K3621" i="1"/>
  <c r="K3622" i="1"/>
  <c r="K3685" i="1"/>
  <c r="K2713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6" i="1"/>
  <c r="K2747" i="1"/>
  <c r="K2740" i="1"/>
  <c r="K2741" i="1"/>
  <c r="K2742" i="1"/>
  <c r="K2743" i="1"/>
  <c r="K2718" i="1"/>
  <c r="K2780" i="1"/>
  <c r="K2748" i="1"/>
  <c r="K2782" i="1"/>
  <c r="K2761" i="1"/>
  <c r="K2750" i="1"/>
  <c r="K2752" i="1"/>
  <c r="K2749" i="1"/>
  <c r="K2755" i="1"/>
  <c r="K2753" i="1"/>
  <c r="K2751" i="1"/>
  <c r="K2763" i="1"/>
  <c r="K2758" i="1"/>
  <c r="K2764" i="1"/>
  <c r="K2778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84" i="1"/>
  <c r="K2226" i="1"/>
  <c r="K2240" i="1"/>
  <c r="K2238" i="1"/>
  <c r="K2243" i="1"/>
  <c r="K2228" i="1"/>
  <c r="K2229" i="1"/>
  <c r="K2230" i="1"/>
  <c r="K2244" i="1"/>
  <c r="K2232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62" i="1"/>
  <c r="K2259" i="1"/>
  <c r="K2380" i="1"/>
  <c r="K2389" i="1"/>
  <c r="K2391" i="1"/>
  <c r="K2373" i="1"/>
  <c r="K2408" i="1"/>
  <c r="K2381" i="1"/>
  <c r="K2382" i="1"/>
  <c r="K2378" i="1"/>
  <c r="K2374" i="1"/>
  <c r="K2375" i="1"/>
  <c r="K2383" i="1"/>
  <c r="K2379" i="1"/>
  <c r="K2386" i="1"/>
  <c r="K2387" i="1"/>
  <c r="K2384" i="1"/>
  <c r="K2395" i="1"/>
  <c r="K2390" i="1"/>
  <c r="K2396" i="1"/>
  <c r="K2397" i="1"/>
  <c r="K2398" i="1"/>
  <c r="K2399" i="1"/>
  <c r="K2400" i="1"/>
  <c r="K2401" i="1"/>
  <c r="K2402" i="1"/>
  <c r="K2403" i="1"/>
  <c r="K2404" i="1"/>
  <c r="K2405" i="1"/>
  <c r="K2406" i="1"/>
  <c r="K2410" i="1"/>
  <c r="K2407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14" i="1"/>
  <c r="K2615" i="1"/>
  <c r="K2609" i="1"/>
  <c r="K2610" i="1"/>
  <c r="K2583" i="1"/>
  <c r="K2581" i="1"/>
  <c r="K2611" i="1"/>
  <c r="K2612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89" i="1"/>
  <c r="K3490" i="1"/>
  <c r="K3478" i="1"/>
  <c r="K3479" i="1"/>
  <c r="K3485" i="1"/>
  <c r="K3486" i="1"/>
  <c r="K3480" i="1"/>
  <c r="K3481" i="1"/>
  <c r="K3482" i="1"/>
  <c r="K3494" i="1"/>
  <c r="K3507" i="1"/>
  <c r="K3508" i="1"/>
  <c r="K3510" i="1"/>
  <c r="K3511" i="1"/>
  <c r="K3492" i="1"/>
  <c r="K3497" i="1"/>
  <c r="K3499" i="1"/>
  <c r="K3495" i="1"/>
  <c r="K3517" i="1"/>
  <c r="K3501" i="1"/>
  <c r="K3506" i="1"/>
  <c r="K3509" i="1"/>
  <c r="K3512" i="1"/>
  <c r="K3519" i="1"/>
  <c r="K3520" i="1"/>
  <c r="K3521" i="1"/>
  <c r="K3522" i="1"/>
  <c r="K3523" i="1"/>
  <c r="K3524" i="1"/>
  <c r="K3525" i="1"/>
  <c r="K3513" i="1"/>
  <c r="K3514" i="1"/>
  <c r="K3515" i="1"/>
  <c r="K3516" i="1"/>
  <c r="K3518" i="1"/>
  <c r="K3491" i="1"/>
  <c r="K3503" i="1"/>
  <c r="K3142" i="1"/>
  <c r="K3141" i="1"/>
  <c r="K3144" i="1"/>
  <c r="K3176" i="1"/>
  <c r="K3173" i="1"/>
  <c r="K3157" i="1"/>
  <c r="K3145" i="1"/>
  <c r="K3150" i="1"/>
  <c r="K3147" i="1"/>
  <c r="K3171" i="1"/>
  <c r="K3170" i="1"/>
  <c r="K3152" i="1"/>
  <c r="K3158" i="1"/>
  <c r="K3153" i="1"/>
  <c r="K3159" i="1"/>
  <c r="K3160" i="1"/>
  <c r="K3161" i="1"/>
  <c r="K3162" i="1"/>
  <c r="K3163" i="1"/>
  <c r="K3164" i="1"/>
  <c r="K3151" i="1"/>
  <c r="K3143" i="1"/>
  <c r="K3165" i="1"/>
  <c r="K3166" i="1"/>
  <c r="K3167" i="1"/>
  <c r="K3168" i="1"/>
  <c r="K3169" i="1"/>
  <c r="K3177" i="1"/>
  <c r="K3078" i="1"/>
  <c r="K3044" i="1"/>
  <c r="K3045" i="1"/>
  <c r="K3074" i="1"/>
  <c r="K3047" i="1"/>
  <c r="K3046" i="1"/>
  <c r="K3048" i="1"/>
  <c r="K3076" i="1"/>
  <c r="K3061" i="1"/>
  <c r="K3060" i="1"/>
  <c r="K3052" i="1"/>
  <c r="K3054" i="1"/>
  <c r="K3055" i="1"/>
  <c r="K3056" i="1"/>
  <c r="K3057" i="1"/>
  <c r="K3062" i="1"/>
  <c r="K3063" i="1"/>
  <c r="K3064" i="1"/>
  <c r="K3065" i="1"/>
  <c r="K3066" i="1"/>
  <c r="K3067" i="1"/>
  <c r="K3068" i="1"/>
  <c r="K3069" i="1"/>
  <c r="K3070" i="1"/>
  <c r="K3071" i="1"/>
  <c r="K3072" i="1"/>
  <c r="K3080" i="1"/>
  <c r="K3073" i="1"/>
  <c r="K1925" i="1"/>
  <c r="K2868" i="1"/>
  <c r="K2885" i="1"/>
  <c r="K2869" i="1"/>
  <c r="K2857" i="1"/>
  <c r="K2889" i="1"/>
  <c r="K2870" i="1"/>
  <c r="K2871" i="1"/>
  <c r="K2872" i="1"/>
  <c r="K2873" i="1"/>
  <c r="K2874" i="1"/>
  <c r="K2875" i="1"/>
  <c r="K2876" i="1"/>
  <c r="K2877" i="1"/>
  <c r="K2878" i="1"/>
  <c r="K2879" i="1"/>
  <c r="K2880" i="1"/>
  <c r="K2890" i="1"/>
  <c r="K288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60" i="1"/>
  <c r="K4961" i="1"/>
  <c r="K4949" i="1"/>
  <c r="K4950" i="1"/>
  <c r="K4958" i="1"/>
  <c r="K4951" i="1"/>
  <c r="K4952" i="1"/>
  <c r="K3132" i="1"/>
  <c r="K3128" i="1"/>
  <c r="K3103" i="1"/>
  <c r="K3104" i="1"/>
  <c r="K3130" i="1"/>
  <c r="K3108" i="1"/>
  <c r="K3109" i="1"/>
  <c r="K3100" i="1"/>
  <c r="K3105" i="1"/>
  <c r="K3106" i="1"/>
  <c r="K3110" i="1"/>
  <c r="K3107" i="1"/>
  <c r="K3114" i="1"/>
  <c r="K3101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34" i="1"/>
  <c r="K3127" i="1"/>
  <c r="K958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181" i="1"/>
  <c r="K1200" i="1"/>
  <c r="K1201" i="1"/>
  <c r="K1183" i="1"/>
  <c r="K1202" i="1"/>
  <c r="K1203" i="1"/>
  <c r="K1304" i="1"/>
  <c r="K1300" i="1"/>
  <c r="K1284" i="1"/>
  <c r="K1285" i="1"/>
  <c r="K1286" i="1"/>
  <c r="K1302" i="1"/>
  <c r="K1287" i="1"/>
  <c r="K1309" i="1"/>
  <c r="K1288" i="1"/>
  <c r="K1308" i="1"/>
  <c r="K1291" i="1"/>
  <c r="K1294" i="1"/>
  <c r="K1289" i="1"/>
  <c r="K1296" i="1"/>
  <c r="K1297" i="1"/>
  <c r="K1298" i="1"/>
  <c r="K1310" i="1"/>
  <c r="K1311" i="1"/>
  <c r="K1312" i="1"/>
  <c r="K1313" i="1"/>
  <c r="K1314" i="1"/>
  <c r="K1315" i="1"/>
  <c r="K1316" i="1"/>
  <c r="K1317" i="1"/>
  <c r="K1318" i="1"/>
  <c r="K1319" i="1"/>
  <c r="K1320" i="1"/>
  <c r="K1306" i="1"/>
  <c r="K2485" i="1"/>
  <c r="K2505" i="1"/>
  <c r="K2487" i="1"/>
  <c r="K2473" i="1"/>
  <c r="K2475" i="1"/>
  <c r="K2472" i="1"/>
  <c r="K2471" i="1"/>
  <c r="K2479" i="1"/>
  <c r="K2476" i="1"/>
  <c r="K2477" i="1"/>
  <c r="K2478" i="1"/>
  <c r="K2481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480" i="1"/>
  <c r="K2503" i="1"/>
  <c r="K2507" i="1"/>
  <c r="K2504" i="1"/>
  <c r="K2512" i="1"/>
  <c r="K2508" i="1"/>
  <c r="K2518" i="1"/>
  <c r="K2510" i="1"/>
  <c r="K2509" i="1"/>
  <c r="K2515" i="1"/>
  <c r="K2543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44" i="1"/>
  <c r="K2537" i="1"/>
  <c r="K2538" i="1"/>
  <c r="K2539" i="1"/>
  <c r="K2550" i="1"/>
  <c r="K2578" i="1"/>
  <c r="K2555" i="1"/>
  <c r="K2545" i="1"/>
  <c r="K2546" i="1"/>
  <c r="K2547" i="1"/>
  <c r="K2548" i="1"/>
  <c r="K2551" i="1"/>
  <c r="K2549" i="1"/>
  <c r="K2562" i="1"/>
  <c r="K2557" i="1"/>
  <c r="K2561" i="1"/>
  <c r="K255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80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17" i="1"/>
  <c r="K2634" i="1"/>
  <c r="K2645" i="1"/>
  <c r="K2671" i="1"/>
  <c r="K2641" i="1"/>
  <c r="K2656" i="1"/>
  <c r="K2657" i="1"/>
  <c r="K2642" i="1"/>
  <c r="K2658" i="1"/>
  <c r="K2637" i="1"/>
  <c r="K2638" i="1"/>
  <c r="K2659" i="1"/>
  <c r="K2660" i="1"/>
  <c r="K2661" i="1"/>
  <c r="K2662" i="1"/>
  <c r="K2663" i="1"/>
  <c r="K2639" i="1"/>
  <c r="K2640" i="1"/>
  <c r="K2664" i="1"/>
  <c r="K2665" i="1"/>
  <c r="K2666" i="1"/>
  <c r="K2667" i="1"/>
  <c r="K2668" i="1"/>
  <c r="K2673" i="1"/>
  <c r="K2643" i="1"/>
  <c r="K2669" i="1"/>
  <c r="K2650" i="1"/>
  <c r="K2652" i="1"/>
  <c r="K2670" i="1"/>
  <c r="K2644" i="1"/>
  <c r="K4920" i="1"/>
  <c r="K4921" i="1"/>
  <c r="K4922" i="1"/>
  <c r="K4923" i="1"/>
  <c r="K2683" i="1"/>
  <c r="K2680" i="1"/>
  <c r="K2709" i="1"/>
  <c r="K2681" i="1"/>
  <c r="K2685" i="1"/>
  <c r="K2686" i="1"/>
  <c r="K2687" i="1"/>
  <c r="K2688" i="1"/>
  <c r="K2689" i="1"/>
  <c r="K2690" i="1"/>
  <c r="K2695" i="1"/>
  <c r="K2691" i="1"/>
  <c r="K2692" i="1"/>
  <c r="K2693" i="1"/>
  <c r="K2696" i="1"/>
  <c r="K2694" i="1"/>
  <c r="K2697" i="1"/>
  <c r="K2698" i="1"/>
  <c r="K2699" i="1"/>
  <c r="K2700" i="1"/>
  <c r="K2701" i="1"/>
  <c r="K2702" i="1"/>
  <c r="K2703" i="1"/>
  <c r="K2704" i="1"/>
  <c r="K2705" i="1"/>
  <c r="K2706" i="1"/>
  <c r="K2707" i="1"/>
  <c r="K2710" i="1"/>
  <c r="K4924" i="1"/>
  <c r="K4925" i="1"/>
  <c r="K4926" i="1"/>
  <c r="K4927" i="1"/>
  <c r="K2084" i="1"/>
  <c r="K2085" i="1"/>
  <c r="K2086" i="1"/>
  <c r="K2087" i="1"/>
  <c r="K2088" i="1"/>
  <c r="K2089" i="1"/>
  <c r="K2090" i="1"/>
  <c r="K2079" i="1"/>
  <c r="K2080" i="1"/>
  <c r="K2091" i="1"/>
  <c r="K2092" i="1"/>
  <c r="K2077" i="1"/>
  <c r="K2074" i="1"/>
  <c r="K2093" i="1"/>
  <c r="K2297" i="1"/>
  <c r="K1069" i="1"/>
  <c r="K2097" i="1"/>
  <c r="K2124" i="1"/>
  <c r="K2132" i="1"/>
  <c r="K2133" i="1"/>
  <c r="K3531" i="1"/>
  <c r="K3539" i="1"/>
  <c r="K3540" i="1"/>
  <c r="K3541" i="1"/>
  <c r="K4893" i="1"/>
  <c r="K4894" i="1"/>
  <c r="K664" i="1"/>
  <c r="K665" i="1"/>
  <c r="K666" i="1"/>
  <c r="K667" i="1"/>
  <c r="K668" i="1"/>
  <c r="K690" i="1"/>
  <c r="K4353" i="1"/>
  <c r="K4354" i="1"/>
  <c r="K4357" i="1"/>
  <c r="K4355" i="1"/>
  <c r="K4359" i="1"/>
  <c r="K4360" i="1"/>
  <c r="K4361" i="1"/>
  <c r="K4362" i="1"/>
  <c r="K217" i="1"/>
  <c r="K218" i="1"/>
  <c r="K219" i="1"/>
  <c r="K221" i="1"/>
  <c r="K222" i="1"/>
  <c r="K224" i="1"/>
  <c r="K225" i="1"/>
  <c r="K226" i="1"/>
  <c r="K227" i="1"/>
  <c r="K229" i="1"/>
  <c r="K230" i="1"/>
  <c r="K231" i="1"/>
  <c r="K232" i="1"/>
  <c r="K234" i="1"/>
  <c r="K235" i="1"/>
  <c r="K236" i="1"/>
  <c r="K237" i="1"/>
  <c r="K294" i="1"/>
  <c r="K295" i="1"/>
  <c r="K297" i="1"/>
  <c r="K296" i="1"/>
  <c r="K299" i="1"/>
  <c r="K300" i="1"/>
  <c r="K301" i="1"/>
  <c r="K302" i="1"/>
  <c r="K59" i="1"/>
  <c r="K60" i="1"/>
  <c r="K4363" i="1"/>
  <c r="K4364" i="1"/>
  <c r="K4365" i="1"/>
  <c r="K4368" i="1"/>
  <c r="K4367" i="1"/>
  <c r="K4370" i="1"/>
  <c r="K4371" i="1"/>
  <c r="K4372" i="1"/>
  <c r="K4373" i="1"/>
  <c r="K4374" i="1"/>
  <c r="K255" i="1"/>
  <c r="K256" i="1"/>
  <c r="K257" i="1"/>
  <c r="K258" i="1"/>
  <c r="K277" i="1"/>
  <c r="K278" i="1"/>
  <c r="K279" i="1"/>
  <c r="K280" i="1"/>
  <c r="K238" i="1"/>
  <c r="K239" i="1"/>
  <c r="K240" i="1"/>
  <c r="K241" i="1"/>
  <c r="K243" i="1"/>
  <c r="K245" i="1"/>
  <c r="K246" i="1"/>
  <c r="K247" i="1"/>
  <c r="K248" i="1"/>
  <c r="K249" i="1"/>
  <c r="K251" i="1"/>
  <c r="K252" i="1"/>
  <c r="K253" i="1"/>
  <c r="K254" i="1"/>
  <c r="K1041" i="1"/>
  <c r="K1091" i="1"/>
  <c r="K1092" i="1"/>
  <c r="K1093" i="1"/>
  <c r="K1094" i="1"/>
  <c r="K1126" i="1"/>
  <c r="K1127" i="1"/>
  <c r="K1128" i="1"/>
  <c r="K1129" i="1"/>
  <c r="K1799" i="1"/>
  <c r="K1800" i="1"/>
  <c r="K1801" i="1"/>
  <c r="K1802" i="1"/>
  <c r="K1834" i="1"/>
  <c r="K1835" i="1"/>
  <c r="K1836" i="1"/>
  <c r="K1837" i="1"/>
  <c r="K1868" i="1"/>
  <c r="K1869" i="1"/>
  <c r="K1884" i="1"/>
  <c r="K1885" i="1"/>
  <c r="K1915" i="1"/>
  <c r="K1916" i="1"/>
  <c r="K1917" i="1"/>
  <c r="K1904" i="1"/>
  <c r="K2014" i="1"/>
  <c r="K2015" i="1"/>
  <c r="K2016" i="1"/>
  <c r="K2017" i="1"/>
  <c r="K2049" i="1"/>
  <c r="K2050" i="1"/>
  <c r="K2051" i="1"/>
  <c r="K2052" i="1"/>
  <c r="K2145" i="1"/>
  <c r="K2416" i="1"/>
  <c r="K2429" i="1"/>
  <c r="K2430" i="1"/>
  <c r="K2431" i="1"/>
  <c r="K2456" i="1"/>
  <c r="K2457" i="1"/>
  <c r="K2458" i="1"/>
  <c r="K3010" i="1"/>
  <c r="K3011" i="1"/>
  <c r="K3012" i="1"/>
  <c r="K3013" i="1"/>
  <c r="K3609" i="1"/>
  <c r="K3610" i="1"/>
  <c r="K3611" i="1"/>
  <c r="K3612" i="1"/>
  <c r="K3678" i="1"/>
  <c r="K3679" i="1"/>
  <c r="K3680" i="1"/>
  <c r="K3681" i="1"/>
  <c r="K3709" i="1"/>
  <c r="K3710" i="1"/>
  <c r="K3711" i="1"/>
  <c r="K3712" i="1"/>
  <c r="K3713" i="1"/>
  <c r="K913" i="1"/>
  <c r="K923" i="1"/>
  <c r="K924" i="1"/>
  <c r="K914" i="1"/>
  <c r="K937" i="1"/>
  <c r="K939" i="1"/>
  <c r="K972" i="1"/>
  <c r="K973" i="1"/>
  <c r="K974" i="1"/>
  <c r="K975" i="1"/>
  <c r="K976" i="1"/>
  <c r="K979" i="1"/>
  <c r="K980" i="1"/>
  <c r="K981" i="1"/>
  <c r="K982" i="1"/>
  <c r="K983" i="1"/>
  <c r="K1225" i="1"/>
  <c r="K1223" i="1"/>
  <c r="K1235" i="1"/>
  <c r="K1236" i="1"/>
  <c r="K1281" i="1"/>
  <c r="K1254" i="1"/>
  <c r="K1266" i="1"/>
  <c r="K1267" i="1"/>
  <c r="K1329" i="1"/>
  <c r="K1328" i="1"/>
  <c r="K1344" i="1"/>
  <c r="K1345" i="1"/>
  <c r="K1366" i="1"/>
  <c r="K1367" i="1"/>
  <c r="K1368" i="1"/>
  <c r="K1369" i="1"/>
  <c r="K1400" i="1"/>
  <c r="K1411" i="1"/>
  <c r="K1412" i="1"/>
  <c r="K1413" i="1"/>
  <c r="K1437" i="1"/>
  <c r="K1438" i="1"/>
  <c r="K1439" i="1"/>
  <c r="K1440" i="1"/>
  <c r="K1576" i="1"/>
  <c r="K1577" i="1"/>
  <c r="K1578" i="1"/>
  <c r="K1579" i="1"/>
  <c r="K72" i="1"/>
  <c r="K73" i="1"/>
  <c r="K74" i="1"/>
  <c r="K76" i="1"/>
  <c r="K77" i="1"/>
  <c r="K78" i="1"/>
  <c r="K79" i="1"/>
  <c r="K80" i="1"/>
  <c r="K282" i="1"/>
  <c r="K283" i="1"/>
  <c r="K284" i="1"/>
  <c r="K285" i="1"/>
  <c r="K287" i="1"/>
  <c r="K289" i="1"/>
  <c r="K290" i="1"/>
  <c r="K291" i="1"/>
  <c r="K292" i="1"/>
  <c r="K406" i="1"/>
  <c r="K4376" i="1"/>
  <c r="K4377" i="1"/>
  <c r="K4378" i="1"/>
  <c r="K4379" i="1"/>
  <c r="K4380" i="1"/>
  <c r="K4382" i="1"/>
  <c r="K4383" i="1"/>
  <c r="K4384" i="1"/>
  <c r="K4385" i="1"/>
  <c r="K4386" i="1"/>
  <c r="K262" i="1"/>
  <c r="K263" i="1"/>
  <c r="K264" i="1"/>
  <c r="K261" i="1"/>
  <c r="K260" i="1"/>
  <c r="K267" i="1"/>
  <c r="K268" i="1"/>
  <c r="K269" i="1"/>
  <c r="K270" i="1"/>
  <c r="K272" i="1"/>
  <c r="K273" i="1"/>
  <c r="K274" i="1"/>
  <c r="K275" i="1"/>
  <c r="K276" i="1"/>
  <c r="K314" i="1"/>
  <c r="K337" i="1"/>
  <c r="K2830" i="1"/>
  <c r="K2831" i="1"/>
  <c r="K2832" i="1"/>
  <c r="K2833" i="1"/>
  <c r="K1044" i="1"/>
  <c r="K1043" i="1"/>
  <c r="K4904" i="1"/>
  <c r="K1065" i="1"/>
  <c r="K1066" i="1"/>
  <c r="K4911" i="1"/>
  <c r="K2045" i="1"/>
  <c r="K2046" i="1"/>
  <c r="K2094" i="1"/>
  <c r="K2056" i="1"/>
  <c r="K2116" i="1"/>
  <c r="K2104" i="1"/>
  <c r="K3016" i="1"/>
  <c r="K3017" i="1"/>
  <c r="K3041" i="1"/>
  <c r="K3543" i="1"/>
  <c r="K938" i="1"/>
  <c r="K956" i="1"/>
  <c r="K4901" i="1"/>
  <c r="K957" i="1"/>
  <c r="K959" i="1"/>
  <c r="K4910" i="1"/>
  <c r="K1264" i="1"/>
  <c r="K1232" i="1"/>
  <c r="K1239" i="1"/>
  <c r="K1260" i="1"/>
  <c r="K1263" i="1"/>
  <c r="K1238" i="1"/>
  <c r="K1444" i="1"/>
  <c r="K1572" i="1"/>
  <c r="K1573" i="1"/>
  <c r="K1574" i="1"/>
  <c r="K1581" i="1"/>
  <c r="K1582" i="1"/>
  <c r="K1442" i="1"/>
  <c r="K1443" i="1"/>
  <c r="K19" i="1"/>
  <c r="K20" i="1"/>
  <c r="K5" i="1"/>
  <c r="K4" i="1"/>
  <c r="K45" i="1"/>
  <c r="K46" i="1"/>
  <c r="K47" i="1"/>
  <c r="K44" i="1"/>
  <c r="K49" i="1"/>
  <c r="K50" i="1"/>
  <c r="K51" i="1"/>
  <c r="K48" i="1"/>
  <c r="K53" i="1"/>
  <c r="K54" i="1"/>
  <c r="K55" i="1"/>
  <c r="K52" i="1"/>
  <c r="K4876" i="1"/>
  <c r="K4877" i="1"/>
  <c r="K4878" i="1"/>
  <c r="K540" i="1"/>
  <c r="K541" i="1"/>
  <c r="K542" i="1"/>
  <c r="K539" i="1"/>
  <c r="K548" i="1"/>
  <c r="K547" i="1"/>
  <c r="K549" i="1"/>
  <c r="K550" i="1"/>
  <c r="K551" i="1"/>
  <c r="K552" i="1"/>
  <c r="K553" i="1"/>
  <c r="K554" i="1"/>
  <c r="K556" i="1"/>
  <c r="K555" i="1"/>
  <c r="K557" i="1"/>
  <c r="K558" i="1"/>
  <c r="K673" i="1"/>
  <c r="K674" i="1"/>
  <c r="K675" i="1"/>
  <c r="K672" i="1"/>
  <c r="K7" i="1"/>
  <c r="K10" i="1"/>
  <c r="K11" i="1"/>
  <c r="K12" i="1"/>
  <c r="K14" i="1"/>
  <c r="K6" i="1"/>
  <c r="K9" i="1"/>
  <c r="K18" i="1"/>
  <c r="K530" i="1"/>
  <c r="K531" i="1"/>
  <c r="K534" i="1"/>
  <c r="K535" i="1"/>
  <c r="K536" i="1"/>
  <c r="K537" i="1"/>
  <c r="K538" i="1"/>
  <c r="K533" i="1"/>
  <c r="K1072" i="1"/>
  <c r="K1086" i="1"/>
  <c r="K1087" i="1"/>
  <c r="K1088" i="1"/>
  <c r="K1097" i="1"/>
  <c r="K1098" i="1"/>
  <c r="K1070" i="1"/>
  <c r="K1071" i="1"/>
  <c r="K4890" i="1"/>
  <c r="K4891" i="1"/>
  <c r="K4892" i="1"/>
  <c r="K4900" i="1"/>
  <c r="K1102" i="1"/>
  <c r="K1120" i="1"/>
  <c r="K1121" i="1"/>
  <c r="K1122" i="1"/>
  <c r="K1131" i="1"/>
  <c r="K1132" i="1"/>
  <c r="K1100" i="1"/>
  <c r="K1101" i="1"/>
  <c r="K1133" i="1"/>
  <c r="K1831" i="1"/>
  <c r="K1841" i="1"/>
  <c r="K1875" i="1"/>
  <c r="K1880" i="1"/>
  <c r="K1881" i="1"/>
  <c r="K1882" i="1"/>
  <c r="K1886" i="1"/>
  <c r="K1842" i="1"/>
  <c r="K1890" i="1"/>
  <c r="K1911" i="1"/>
  <c r="K1912" i="1"/>
  <c r="K1889" i="1"/>
  <c r="K168" i="1"/>
  <c r="K169" i="1"/>
  <c r="K170" i="1"/>
  <c r="K171" i="1"/>
  <c r="K172" i="1"/>
  <c r="K70" i="1"/>
  <c r="K71" i="1"/>
  <c r="K173" i="1"/>
  <c r="K176" i="1"/>
  <c r="K174" i="1"/>
  <c r="K177" i="1"/>
  <c r="K175" i="1"/>
  <c r="K1137" i="1"/>
  <c r="K1153" i="1"/>
  <c r="K1154" i="1"/>
  <c r="K1155" i="1"/>
  <c r="K1166" i="1"/>
  <c r="K1167" i="1"/>
  <c r="K1135" i="1"/>
  <c r="K1136" i="1"/>
  <c r="K2995" i="1"/>
  <c r="K2908" i="1"/>
  <c r="K2914" i="1"/>
  <c r="K2924" i="1"/>
  <c r="K2929" i="1"/>
  <c r="K2973" i="1"/>
  <c r="K2994" i="1"/>
  <c r="K2996" i="1"/>
  <c r="K3676" i="1"/>
  <c r="K3705" i="1"/>
  <c r="K3675" i="1"/>
  <c r="K3706" i="1"/>
  <c r="K3856" i="1"/>
  <c r="K3857" i="1"/>
  <c r="K3858" i="1"/>
  <c r="K3852" i="1"/>
  <c r="K3864" i="1"/>
  <c r="K3865" i="1"/>
  <c r="K3860" i="1"/>
  <c r="K3866" i="1"/>
  <c r="K3872" i="1"/>
  <c r="K3873" i="1"/>
  <c r="K3874" i="1"/>
  <c r="K3868" i="1"/>
  <c r="K3880" i="1"/>
  <c r="K3881" i="1"/>
  <c r="K3882" i="1"/>
  <c r="K3876" i="1"/>
  <c r="K3888" i="1"/>
  <c r="K3889" i="1"/>
  <c r="K3890" i="1"/>
  <c r="K3884" i="1"/>
  <c r="K3896" i="1"/>
  <c r="K3897" i="1"/>
  <c r="K3898" i="1"/>
  <c r="K3892" i="1"/>
  <c r="K3904" i="1"/>
  <c r="K3905" i="1"/>
  <c r="K3906" i="1"/>
  <c r="K3900" i="1"/>
  <c r="K3912" i="1"/>
  <c r="K3913" i="1"/>
  <c r="K3914" i="1"/>
  <c r="K3908" i="1"/>
  <c r="K3920" i="1"/>
  <c r="K3921" i="1"/>
  <c r="K3922" i="1"/>
  <c r="K3916" i="1"/>
  <c r="K3928" i="1"/>
  <c r="K3929" i="1"/>
  <c r="K3930" i="1"/>
  <c r="K3924" i="1"/>
  <c r="K3936" i="1"/>
  <c r="K3937" i="1"/>
  <c r="K3938" i="1"/>
  <c r="K3932" i="1"/>
  <c r="K3944" i="1"/>
  <c r="K3945" i="1"/>
  <c r="K3940" i="1"/>
  <c r="K3946" i="1"/>
  <c r="K3952" i="1"/>
  <c r="K3953" i="1"/>
  <c r="K3954" i="1"/>
  <c r="K3948" i="1"/>
  <c r="K3960" i="1"/>
  <c r="K3961" i="1"/>
  <c r="K3962" i="1"/>
  <c r="K3956" i="1"/>
  <c r="K3968" i="1"/>
  <c r="K3969" i="1"/>
  <c r="K3970" i="1"/>
  <c r="K3964" i="1"/>
  <c r="K3976" i="1"/>
  <c r="K3977" i="1"/>
  <c r="K3978" i="1"/>
  <c r="K3972" i="1"/>
  <c r="K3984" i="1"/>
  <c r="K3985" i="1"/>
  <c r="K3986" i="1"/>
  <c r="K3980" i="1"/>
  <c r="K3992" i="1"/>
  <c r="K3993" i="1"/>
  <c r="K3994" i="1"/>
  <c r="K3988" i="1"/>
  <c r="K4000" i="1"/>
  <c r="K4001" i="1"/>
  <c r="K4002" i="1"/>
  <c r="K3996" i="1"/>
  <c r="K4008" i="1"/>
  <c r="K4009" i="1"/>
  <c r="K4010" i="1"/>
  <c r="K4004" i="1"/>
  <c r="K4016" i="1"/>
  <c r="K4017" i="1"/>
  <c r="K4018" i="1"/>
  <c r="K4012" i="1"/>
  <c r="K4024" i="1"/>
  <c r="K4025" i="1"/>
  <c r="K4026" i="1"/>
  <c r="K4020" i="1"/>
  <c r="K4032" i="1"/>
  <c r="K4033" i="1"/>
  <c r="K4034" i="1"/>
  <c r="K4028" i="1"/>
  <c r="K4100" i="1"/>
  <c r="K4101" i="1"/>
  <c r="K4102" i="1"/>
  <c r="K4099" i="1"/>
  <c r="K4108" i="1"/>
  <c r="K4109" i="1"/>
  <c r="K4111" i="1"/>
  <c r="K4104" i="1"/>
  <c r="K4117" i="1"/>
  <c r="K4118" i="1"/>
  <c r="K4113" i="1"/>
  <c r="K4119" i="1"/>
  <c r="K4126" i="1"/>
  <c r="K4127" i="1"/>
  <c r="K4129" i="1"/>
  <c r="K4121" i="1"/>
  <c r="K4135" i="1"/>
  <c r="K4136" i="1"/>
  <c r="K4137" i="1"/>
  <c r="K4131" i="1"/>
  <c r="K4144" i="1"/>
  <c r="K4145" i="1"/>
  <c r="K4146" i="1"/>
  <c r="K4140" i="1"/>
  <c r="K4153" i="1"/>
  <c r="K4154" i="1"/>
  <c r="K4155" i="1"/>
  <c r="K4149" i="1"/>
  <c r="K4162" i="1"/>
  <c r="K4163" i="1"/>
  <c r="K4164" i="1"/>
  <c r="K4158" i="1"/>
  <c r="K4179" i="1"/>
  <c r="K4180" i="1"/>
  <c r="K4181" i="1"/>
  <c r="K4174" i="1"/>
  <c r="K4189" i="1"/>
  <c r="K4190" i="1"/>
  <c r="K4191" i="1"/>
  <c r="K4188" i="1"/>
  <c r="K4197" i="1"/>
  <c r="K4198" i="1"/>
  <c r="K4199" i="1"/>
  <c r="K4193" i="1"/>
  <c r="K4205" i="1"/>
  <c r="K4206" i="1"/>
  <c r="K4207" i="1"/>
  <c r="K4201" i="1"/>
  <c r="K4212" i="1"/>
  <c r="K4213" i="1"/>
  <c r="K4214" i="1"/>
  <c r="K4209" i="1"/>
  <c r="K4221" i="1"/>
  <c r="K4222" i="1"/>
  <c r="K4223" i="1"/>
  <c r="K4217" i="1"/>
  <c r="K4229" i="1"/>
  <c r="K4230" i="1"/>
  <c r="K4231" i="1"/>
  <c r="K4225" i="1"/>
  <c r="K4237" i="1"/>
  <c r="K4238" i="1"/>
  <c r="K4239" i="1"/>
  <c r="K4233" i="1"/>
  <c r="K4244" i="1"/>
  <c r="K4245" i="1"/>
  <c r="K4246" i="1"/>
  <c r="K4241" i="1"/>
  <c r="K4253" i="1"/>
  <c r="K4254" i="1"/>
  <c r="K4255" i="1"/>
  <c r="K4249" i="1"/>
  <c r="K4261" i="1"/>
  <c r="K4262" i="1"/>
  <c r="K4263" i="1"/>
  <c r="K4257" i="1"/>
  <c r="K4269" i="1"/>
  <c r="K4270" i="1"/>
  <c r="K4265" i="1"/>
  <c r="K4271" i="1"/>
  <c r="K4277" i="1"/>
  <c r="K4278" i="1"/>
  <c r="K4279" i="1"/>
  <c r="K4273" i="1"/>
  <c r="K4285" i="1"/>
  <c r="K4286" i="1"/>
  <c r="K4281" i="1"/>
  <c r="K4287" i="1"/>
  <c r="K4292" i="1"/>
  <c r="K4293" i="1"/>
  <c r="K4294" i="1"/>
  <c r="K4289" i="1"/>
  <c r="K4301" i="1"/>
  <c r="K4302" i="1"/>
  <c r="K4303" i="1"/>
  <c r="K4297" i="1"/>
  <c r="K4309" i="1"/>
  <c r="K4310" i="1"/>
  <c r="K4311" i="1"/>
  <c r="K4305" i="1"/>
  <c r="K4317" i="1"/>
  <c r="K4318" i="1"/>
  <c r="K4319" i="1"/>
  <c r="K4313" i="1"/>
  <c r="K4325" i="1"/>
  <c r="K4326" i="1"/>
  <c r="K4327" i="1"/>
  <c r="K4321" i="1"/>
  <c r="K4333" i="1"/>
  <c r="K4334" i="1"/>
  <c r="K4335" i="1"/>
  <c r="K4329" i="1"/>
  <c r="K4341" i="1"/>
  <c r="K4342" i="1"/>
  <c r="K4343" i="1"/>
  <c r="K4337" i="1"/>
  <c r="K33" i="1"/>
  <c r="K34" i="1"/>
  <c r="K35" i="1"/>
  <c r="K36" i="1"/>
  <c r="K37" i="1"/>
  <c r="K38" i="1"/>
  <c r="K31" i="1"/>
  <c r="K32" i="1"/>
  <c r="K4349" i="1"/>
  <c r="K4350" i="1"/>
  <c r="K4351" i="1"/>
  <c r="K4352" i="1"/>
  <c r="K4394" i="1"/>
  <c r="K4399" i="1"/>
  <c r="K4400" i="1"/>
  <c r="K4393" i="1"/>
  <c r="K4402" i="1"/>
  <c r="K4407" i="1"/>
  <c r="K4408" i="1"/>
  <c r="K4406" i="1"/>
  <c r="K4410" i="1"/>
  <c r="K4415" i="1"/>
  <c r="K4416" i="1"/>
  <c r="K4409" i="1"/>
  <c r="K4418" i="1"/>
  <c r="K4422" i="1"/>
  <c r="K4423" i="1"/>
  <c r="K4424" i="1"/>
  <c r="K4430" i="1"/>
  <c r="K4431" i="1"/>
  <c r="K4432" i="1"/>
  <c r="K4426" i="1"/>
  <c r="K4434" i="1"/>
  <c r="K4438" i="1"/>
  <c r="K4439" i="1"/>
  <c r="K4440" i="1"/>
  <c r="K4446" i="1"/>
  <c r="K4447" i="1"/>
  <c r="K4448" i="1"/>
  <c r="K4442" i="1"/>
  <c r="K4454" i="1"/>
  <c r="K4450" i="1"/>
  <c r="K4455" i="1"/>
  <c r="K4456" i="1"/>
  <c r="K4462" i="1"/>
  <c r="K4463" i="1"/>
  <c r="K4464" i="1"/>
  <c r="K4458" i="1"/>
  <c r="K4470" i="1"/>
  <c r="K4471" i="1"/>
  <c r="K4472" i="1"/>
  <c r="K4466" i="1"/>
  <c r="K4478" i="1"/>
  <c r="K4479" i="1"/>
  <c r="K4480" i="1"/>
  <c r="K4474" i="1"/>
  <c r="K4486" i="1"/>
  <c r="K4487" i="1"/>
  <c r="K4488" i="1"/>
  <c r="K4482" i="1"/>
  <c r="K4494" i="1"/>
  <c r="K4495" i="1"/>
  <c r="K4496" i="1"/>
  <c r="K4489" i="1"/>
  <c r="K4502" i="1"/>
  <c r="K4503" i="1"/>
  <c r="K4504" i="1"/>
  <c r="K4498" i="1"/>
  <c r="K4510" i="1"/>
  <c r="K4511" i="1"/>
  <c r="K4512" i="1"/>
  <c r="K4506" i="1"/>
  <c r="K4518" i="1"/>
  <c r="K4519" i="1"/>
  <c r="K4520" i="1"/>
  <c r="K4514" i="1"/>
  <c r="K4526" i="1"/>
  <c r="K4527" i="1"/>
  <c r="K4528" i="1"/>
  <c r="K4522" i="1"/>
  <c r="K4534" i="1"/>
  <c r="K4535" i="1"/>
  <c r="K4536" i="1"/>
  <c r="K4530" i="1"/>
  <c r="K4542" i="1"/>
  <c r="K4543" i="1"/>
  <c r="K4544" i="1"/>
  <c r="K4538" i="1"/>
  <c r="K4550" i="1"/>
  <c r="K4551" i="1"/>
  <c r="K4552" i="1"/>
  <c r="K4546" i="1"/>
  <c r="K4558" i="1"/>
  <c r="K4559" i="1"/>
  <c r="K4560" i="1"/>
  <c r="K4554" i="1"/>
  <c r="K4566" i="1"/>
  <c r="K4567" i="1"/>
  <c r="K4568" i="1"/>
  <c r="K4562" i="1"/>
  <c r="K4574" i="1"/>
  <c r="K4575" i="1"/>
  <c r="K4576" i="1"/>
  <c r="K4570" i="1"/>
  <c r="K4642" i="1"/>
  <c r="K4641" i="1"/>
  <c r="K4643" i="1"/>
  <c r="K4644" i="1"/>
  <c r="K4646" i="1"/>
  <c r="K4651" i="1"/>
  <c r="K4652" i="1"/>
  <c r="K4645" i="1"/>
  <c r="K4654" i="1"/>
  <c r="K4658" i="1"/>
  <c r="K4659" i="1"/>
  <c r="K4660" i="1"/>
  <c r="K4663" i="1"/>
  <c r="K4667" i="1"/>
  <c r="K4668" i="1"/>
  <c r="K4661" i="1"/>
  <c r="K4674" i="1"/>
  <c r="K4675" i="1"/>
  <c r="K4676" i="1"/>
  <c r="K4670" i="1"/>
  <c r="K4682" i="1"/>
  <c r="K4683" i="1"/>
  <c r="K4684" i="1"/>
  <c r="K4678" i="1"/>
  <c r="K4690" i="1"/>
  <c r="K4691" i="1"/>
  <c r="K4692" i="1"/>
  <c r="K4686" i="1"/>
  <c r="K4694" i="1"/>
  <c r="K4698" i="1"/>
  <c r="K4699" i="1"/>
  <c r="K4700" i="1"/>
  <c r="K4714" i="1"/>
  <c r="K4715" i="1"/>
  <c r="K4716" i="1"/>
  <c r="K4710" i="1"/>
  <c r="K4724" i="1"/>
  <c r="K4723" i="1"/>
  <c r="K4725" i="1"/>
  <c r="K4726" i="1"/>
  <c r="K4728" i="1"/>
  <c r="K4733" i="1"/>
  <c r="K4734" i="1"/>
  <c r="K4727" i="1"/>
  <c r="K4740" i="1"/>
  <c r="K4736" i="1"/>
  <c r="K4741" i="1"/>
  <c r="K4742" i="1"/>
  <c r="K4745" i="1"/>
  <c r="K4749" i="1"/>
  <c r="K4750" i="1"/>
  <c r="K4744" i="1"/>
  <c r="K4755" i="1"/>
  <c r="K4752" i="1"/>
  <c r="K4756" i="1"/>
  <c r="K4757" i="1"/>
  <c r="K4760" i="1"/>
  <c r="K4765" i="1"/>
  <c r="K4766" i="1"/>
  <c r="K4759" i="1"/>
  <c r="K4768" i="1"/>
  <c r="K4772" i="1"/>
  <c r="K4773" i="1"/>
  <c r="K4774" i="1"/>
  <c r="K4780" i="1"/>
  <c r="K4781" i="1"/>
  <c r="K4782" i="1"/>
  <c r="K4777" i="1"/>
  <c r="K4787" i="1"/>
  <c r="K4784" i="1"/>
  <c r="K4788" i="1"/>
  <c r="K4789" i="1"/>
  <c r="K4792" i="1"/>
  <c r="K4797" i="1"/>
  <c r="K4798" i="1"/>
  <c r="K4791" i="1"/>
  <c r="K4800" i="1"/>
  <c r="K4804" i="1"/>
  <c r="K4805" i="1"/>
  <c r="K4806" i="1"/>
  <c r="K4808" i="1"/>
  <c r="K4813" i="1"/>
  <c r="K4814" i="1"/>
  <c r="K4807" i="1"/>
  <c r="K4816" i="1"/>
  <c r="K4820" i="1"/>
  <c r="K4821" i="1"/>
  <c r="K4822" i="1"/>
  <c r="K4825" i="1"/>
  <c r="K4829" i="1"/>
  <c r="K4830" i="1"/>
  <c r="K4824" i="1"/>
  <c r="K4836" i="1"/>
  <c r="K4837" i="1"/>
  <c r="K4838" i="1"/>
  <c r="K4831" i="1"/>
  <c r="K4844" i="1"/>
  <c r="K4845" i="1"/>
  <c r="K4846" i="1"/>
  <c r="K4840" i="1"/>
  <c r="K4852" i="1"/>
  <c r="K4853" i="1"/>
  <c r="K4854" i="1"/>
  <c r="K4848" i="1"/>
  <c r="K4860" i="1"/>
  <c r="K4861" i="1"/>
  <c r="K4862" i="1"/>
  <c r="K4856" i="1"/>
  <c r="K4868" i="1"/>
  <c r="K4869" i="1"/>
  <c r="K4870" i="1"/>
  <c r="K4864" i="1"/>
  <c r="K4872" i="1"/>
  <c r="K3544" i="1"/>
  <c r="K3545" i="1"/>
  <c r="K3562" i="1"/>
  <c r="K3563" i="1"/>
  <c r="K3602" i="1"/>
  <c r="K3603" i="1"/>
  <c r="K3604" i="1"/>
  <c r="K3605" i="1"/>
  <c r="K3607" i="1"/>
  <c r="K3634" i="1"/>
  <c r="K3635" i="1"/>
  <c r="K3636" i="1"/>
  <c r="K1585" i="1"/>
  <c r="K1586" i="1"/>
  <c r="K1795" i="1"/>
  <c r="K1584" i="1"/>
  <c r="K1887" i="1"/>
  <c r="K1919" i="1"/>
  <c r="K1920" i="1"/>
  <c r="K2010" i="1"/>
  <c r="K1918" i="1"/>
  <c r="K2020" i="1"/>
  <c r="K2021" i="1"/>
  <c r="K2019" i="1"/>
  <c r="K2134" i="1"/>
  <c r="K2129" i="1"/>
  <c r="K2130" i="1"/>
  <c r="K2131" i="1"/>
  <c r="K2435" i="1"/>
  <c r="K2997" i="1"/>
  <c r="K2998" i="1"/>
  <c r="K3006" i="1"/>
  <c r="K3015" i="1"/>
  <c r="K960" i="1"/>
  <c r="K989" i="1"/>
  <c r="K991" i="1"/>
  <c r="K992" i="1"/>
  <c r="K985" i="1"/>
  <c r="K1012" i="1"/>
  <c r="K1013" i="1"/>
  <c r="K1017" i="1"/>
  <c r="K994" i="1"/>
  <c r="K1028" i="1"/>
  <c r="K1018" i="1"/>
  <c r="K1039" i="1"/>
  <c r="K1040" i="1"/>
  <c r="K1038" i="1"/>
  <c r="K1042" i="1"/>
  <c r="K1805" i="1"/>
  <c r="K1806" i="1"/>
  <c r="K1830" i="1"/>
  <c r="K1804" i="1"/>
  <c r="K2836" i="1"/>
  <c r="K2854" i="1"/>
  <c r="K2855" i="1"/>
  <c r="K2907" i="1"/>
  <c r="K919" i="1"/>
  <c r="K910" i="1"/>
  <c r="K925" i="1"/>
  <c r="K926" i="1"/>
  <c r="K927" i="1"/>
  <c r="K921" i="1"/>
  <c r="K1169" i="1"/>
  <c r="K1168" i="1"/>
  <c r="K1222" i="1"/>
  <c r="K1230" i="1"/>
  <c r="K1231" i="1"/>
  <c r="K1171" i="1"/>
  <c r="K1270" i="1"/>
  <c r="K1269" i="1"/>
  <c r="K1330" i="1"/>
  <c r="K1341" i="1"/>
  <c r="K1342" i="1"/>
  <c r="K1283" i="1"/>
  <c r="K1348" i="1"/>
  <c r="K1349" i="1"/>
  <c r="K1362" i="1"/>
  <c r="K1347" i="1"/>
  <c r="K1373" i="1"/>
  <c r="K1363" i="1"/>
  <c r="K1401" i="1"/>
  <c r="K1407" i="1"/>
  <c r="K1408" i="1"/>
  <c r="K1371" i="1"/>
  <c r="K1416" i="1"/>
  <c r="K1417" i="1"/>
  <c r="K1433" i="1"/>
  <c r="K1415" i="1"/>
  <c r="K2834" i="1"/>
  <c r="K2436" i="1"/>
  <c r="K2446" i="1"/>
  <c r="K2447" i="1"/>
  <c r="K2448" i="1"/>
  <c r="K2835" i="1"/>
  <c r="K1074" i="1"/>
  <c r="K1064" i="1"/>
  <c r="K2101" i="1"/>
  <c r="K2108" i="1"/>
  <c r="K2127" i="1"/>
  <c r="K2118" i="1"/>
  <c r="K2120" i="1"/>
  <c r="K3557" i="1"/>
  <c r="K3532" i="1"/>
  <c r="K3546" i="1"/>
  <c r="K3547" i="1"/>
  <c r="K872" i="1"/>
  <c r="K871" i="1"/>
  <c r="K876" i="1"/>
  <c r="K870" i="1"/>
  <c r="K882" i="1"/>
  <c r="K877" i="1"/>
  <c r="K878" i="1"/>
  <c r="K879" i="1"/>
  <c r="K906" i="1"/>
  <c r="K907" i="1"/>
  <c r="K903" i="1"/>
  <c r="K1105" i="1"/>
  <c r="K1106" i="1"/>
  <c r="K1107" i="1"/>
  <c r="K1085" i="1"/>
  <c r="K774" i="1"/>
  <c r="K779" i="1"/>
  <c r="K777" i="1"/>
  <c r="K778" i="1"/>
  <c r="K798" i="1"/>
  <c r="K795" i="1"/>
  <c r="K796" i="1"/>
  <c r="K797" i="1"/>
  <c r="K867" i="1"/>
  <c r="K868" i="1"/>
  <c r="K869" i="1"/>
  <c r="K900" i="1"/>
  <c r="K901" i="1"/>
  <c r="K897" i="1"/>
  <c r="K851" i="1"/>
  <c r="K855" i="1"/>
  <c r="K853" i="1"/>
  <c r="K854" i="1"/>
  <c r="K859" i="1"/>
  <c r="K862" i="1"/>
  <c r="K863" i="1"/>
  <c r="K864" i="1"/>
  <c r="K837" i="1"/>
  <c r="K841" i="1"/>
  <c r="K842" i="1"/>
  <c r="K843" i="1"/>
  <c r="K894" i="1"/>
  <c r="K895" i="1"/>
  <c r="K891" i="1"/>
  <c r="K786" i="1"/>
  <c r="K781" i="1"/>
  <c r="K782" i="1"/>
  <c r="K784" i="1"/>
  <c r="K791" i="1"/>
  <c r="K789" i="1"/>
  <c r="K793" i="1"/>
  <c r="K794" i="1"/>
  <c r="K834" i="1"/>
  <c r="K835" i="1"/>
  <c r="K836" i="1"/>
  <c r="K831" i="1"/>
  <c r="K888" i="1"/>
  <c r="K889" i="1"/>
  <c r="K884" i="1"/>
  <c r="K2910" i="1"/>
  <c r="K2911" i="1"/>
  <c r="K2912" i="1"/>
  <c r="K2905" i="1"/>
  <c r="K2916" i="1"/>
  <c r="K2917" i="1"/>
  <c r="K2918" i="1"/>
  <c r="K2923" i="1"/>
  <c r="K2933" i="1"/>
  <c r="K2925" i="1"/>
  <c r="K2927" i="1"/>
  <c r="K2926" i="1"/>
  <c r="K806" i="1"/>
  <c r="K802" i="1"/>
  <c r="K803" i="1"/>
  <c r="K804" i="1"/>
  <c r="K812" i="1"/>
  <c r="K810" i="1"/>
  <c r="K809" i="1"/>
  <c r="K811" i="1"/>
  <c r="K816" i="1"/>
  <c r="K817" i="1"/>
  <c r="K818" i="1"/>
  <c r="K822" i="1"/>
  <c r="K826" i="1"/>
  <c r="K825" i="1"/>
  <c r="K824" i="1"/>
  <c r="K823" i="1"/>
  <c r="K848" i="1"/>
  <c r="K844" i="1"/>
  <c r="K845" i="1"/>
  <c r="K846" i="1"/>
  <c r="K179" i="1"/>
  <c r="K181" i="1"/>
  <c r="K178" i="1"/>
  <c r="K185" i="1"/>
  <c r="K187" i="1"/>
  <c r="K188" i="1"/>
  <c r="K189" i="1"/>
  <c r="K182" i="1"/>
  <c r="K183" i="1"/>
  <c r="K3733" i="1"/>
  <c r="K3734" i="1"/>
  <c r="K3735" i="1"/>
  <c r="K3736" i="1"/>
  <c r="K3737" i="1"/>
  <c r="K3743" i="1"/>
  <c r="K3739" i="1"/>
  <c r="K3738" i="1"/>
  <c r="K1037" i="1"/>
  <c r="K1047" i="1"/>
  <c r="K1034" i="1"/>
  <c r="K1140" i="1"/>
  <c r="K1141" i="1"/>
  <c r="K1142" i="1"/>
  <c r="K1124" i="1"/>
  <c r="K1794" i="1"/>
  <c r="K1809" i="1"/>
  <c r="K1810" i="1"/>
  <c r="K1811" i="1"/>
  <c r="K1845" i="1"/>
  <c r="K1846" i="1"/>
  <c r="K1847" i="1"/>
  <c r="K1829" i="1"/>
  <c r="K1878" i="1"/>
  <c r="K1867" i="1"/>
  <c r="K1871" i="1"/>
  <c r="K1872" i="1"/>
  <c r="K1910" i="1"/>
  <c r="K1922" i="1"/>
  <c r="K1923" i="1"/>
  <c r="K1924" i="1"/>
  <c r="K2024" i="1"/>
  <c r="K2025" i="1"/>
  <c r="K2026" i="1"/>
  <c r="K2009" i="1"/>
  <c r="K2059" i="1"/>
  <c r="K2060" i="1"/>
  <c r="K2061" i="1"/>
  <c r="K2044" i="1"/>
  <c r="K2140" i="1"/>
  <c r="K2143" i="1"/>
  <c r="K2148" i="1"/>
  <c r="K2149" i="1"/>
  <c r="K2426" i="1"/>
  <c r="K2417" i="1"/>
  <c r="K2422" i="1"/>
  <c r="K2437" i="1"/>
  <c r="K2455" i="1"/>
  <c r="K2466" i="1"/>
  <c r="K2467" i="1"/>
  <c r="K3020" i="1"/>
  <c r="K3021" i="1"/>
  <c r="K3022" i="1"/>
  <c r="K3040" i="1"/>
  <c r="K3841" i="1"/>
  <c r="K3842" i="1"/>
  <c r="K3843" i="1"/>
  <c r="K3846" i="1"/>
  <c r="K928" i="1"/>
  <c r="K918" i="1"/>
  <c r="K953" i="1"/>
  <c r="K946" i="1"/>
  <c r="K951" i="1"/>
  <c r="K952" i="1"/>
  <c r="K1233" i="1"/>
  <c r="K1217" i="1"/>
  <c r="K1240" i="1"/>
  <c r="K1227" i="1"/>
  <c r="K1261" i="1"/>
  <c r="K1251" i="1"/>
  <c r="K1257" i="1"/>
  <c r="K1272" i="1"/>
  <c r="K1339" i="1"/>
  <c r="K1326" i="1"/>
  <c r="K1332" i="1"/>
  <c r="K1333" i="1"/>
  <c r="K1376" i="1"/>
  <c r="K1377" i="1"/>
  <c r="K1378" i="1"/>
  <c r="K1361" i="1"/>
  <c r="K1405" i="1"/>
  <c r="K1398" i="1"/>
  <c r="K1419" i="1"/>
  <c r="K1420" i="1"/>
  <c r="K1447" i="1"/>
  <c r="K1448" i="1"/>
  <c r="K1449" i="1"/>
  <c r="K1432" i="1"/>
  <c r="K1589" i="1"/>
  <c r="K1590" i="1"/>
  <c r="K1591" i="1"/>
  <c r="K1571" i="1"/>
  <c r="K420" i="1"/>
  <c r="K421" i="1"/>
  <c r="K419" i="1"/>
  <c r="K423" i="1"/>
  <c r="K443" i="1"/>
  <c r="K444" i="1"/>
  <c r="K445" i="1"/>
  <c r="K440" i="1"/>
  <c r="K527" i="1"/>
  <c r="K528" i="1"/>
  <c r="K529" i="1"/>
  <c r="K524" i="1"/>
  <c r="K498" i="1"/>
  <c r="K499" i="1"/>
  <c r="K496" i="1"/>
  <c r="K501" i="1"/>
  <c r="K506" i="1"/>
  <c r="K507" i="1"/>
  <c r="K508" i="1"/>
  <c r="K503" i="1"/>
  <c r="K485" i="1"/>
  <c r="K486" i="1"/>
  <c r="K487" i="1"/>
  <c r="K481" i="1"/>
  <c r="K520" i="1"/>
  <c r="K521" i="1"/>
  <c r="K522" i="1"/>
  <c r="K517" i="1"/>
  <c r="K3686" i="1"/>
  <c r="K3687" i="1"/>
  <c r="K3688" i="1"/>
  <c r="K3704" i="1"/>
  <c r="K428" i="1"/>
  <c r="K430" i="1"/>
  <c r="K431" i="1"/>
  <c r="K426" i="1"/>
  <c r="K434" i="1"/>
  <c r="K435" i="1"/>
  <c r="K437" i="1"/>
  <c r="K433" i="1"/>
  <c r="K478" i="1"/>
  <c r="K479" i="1"/>
  <c r="K480" i="1"/>
  <c r="K475" i="1"/>
  <c r="K513" i="1"/>
  <c r="K514" i="1"/>
  <c r="K515" i="1"/>
  <c r="K509" i="1"/>
  <c r="K450" i="1"/>
  <c r="K451" i="1"/>
  <c r="K452" i="1"/>
  <c r="K447" i="1"/>
  <c r="K457" i="1"/>
  <c r="K459" i="1"/>
  <c r="K458" i="1"/>
  <c r="K454" i="1"/>
  <c r="K464" i="1"/>
  <c r="K461" i="1"/>
  <c r="K465" i="1"/>
  <c r="K466" i="1"/>
  <c r="K473" i="1"/>
  <c r="K471" i="1"/>
  <c r="K472" i="1"/>
  <c r="K468" i="1"/>
  <c r="K492" i="1"/>
  <c r="K493" i="1"/>
  <c r="K494" i="1"/>
  <c r="K488" i="1"/>
  <c r="K2849" i="1"/>
  <c r="K2825" i="1"/>
  <c r="K2827" i="1"/>
  <c r="K2828" i="1"/>
  <c r="K1075" i="1"/>
  <c r="K1060" i="1"/>
  <c r="K1076" i="1"/>
  <c r="K1062" i="1"/>
  <c r="K1077" i="1"/>
  <c r="K2099" i="1"/>
  <c r="K2109" i="1"/>
  <c r="K2110" i="1"/>
  <c r="K2111" i="1"/>
  <c r="K2112" i="1"/>
  <c r="K2119" i="1"/>
  <c r="K2125" i="1"/>
  <c r="K2121" i="1"/>
  <c r="K2117" i="1"/>
  <c r="K2135" i="1"/>
  <c r="K3097" i="1"/>
  <c r="K3559" i="1"/>
  <c r="K3528" i="1"/>
  <c r="K3534" i="1"/>
  <c r="K3548" i="1"/>
  <c r="K3549" i="1"/>
  <c r="K721" i="1"/>
  <c r="K728" i="1"/>
  <c r="K723" i="1"/>
  <c r="K722" i="1"/>
  <c r="K725" i="1"/>
  <c r="K732" i="1"/>
  <c r="K733" i="1"/>
  <c r="K734" i="1"/>
  <c r="K729" i="1"/>
  <c r="K735" i="1"/>
  <c r="K1020" i="1"/>
  <c r="K757" i="1"/>
  <c r="K756" i="1"/>
  <c r="K754" i="1"/>
  <c r="K755" i="1"/>
  <c r="K760" i="1"/>
  <c r="K4895" i="1"/>
  <c r="K4896" i="1"/>
  <c r="K4897" i="1"/>
  <c r="K4898" i="1"/>
  <c r="K763" i="1"/>
  <c r="K761" i="1"/>
  <c r="K765" i="1"/>
  <c r="K766" i="1"/>
  <c r="K767" i="1"/>
  <c r="K770" i="1"/>
  <c r="K771" i="1"/>
  <c r="K772" i="1"/>
  <c r="K773" i="1"/>
  <c r="K768" i="1"/>
  <c r="K748" i="1"/>
  <c r="K745" i="1"/>
  <c r="K751" i="1"/>
  <c r="K747" i="1"/>
  <c r="K746" i="1"/>
  <c r="K752" i="1"/>
  <c r="K753" i="1"/>
  <c r="K385" i="1"/>
  <c r="K386" i="1"/>
  <c r="K739" i="1"/>
  <c r="K736" i="1"/>
  <c r="K738" i="1"/>
  <c r="K744" i="1"/>
  <c r="K737" i="1"/>
  <c r="K679" i="1"/>
  <c r="K676" i="1"/>
  <c r="K677" i="1"/>
  <c r="K678" i="1"/>
  <c r="K683" i="1"/>
  <c r="K684" i="1"/>
  <c r="K687" i="1"/>
  <c r="K686" i="1"/>
  <c r="K688" i="1"/>
  <c r="K689" i="1"/>
  <c r="K691" i="1"/>
  <c r="K697" i="1"/>
  <c r="K694" i="1"/>
  <c r="K693" i="1"/>
  <c r="K695" i="1"/>
  <c r="K702" i="1"/>
  <c r="K703" i="1"/>
  <c r="K704" i="1"/>
  <c r="K698" i="1"/>
  <c r="K705" i="1"/>
  <c r="K711" i="1"/>
  <c r="K707" i="1"/>
  <c r="K706" i="1"/>
  <c r="K709" i="1"/>
  <c r="K710" i="1"/>
  <c r="K719" i="1"/>
  <c r="K720" i="1"/>
  <c r="K2223" i="1"/>
  <c r="K2236" i="1"/>
  <c r="K2231" i="1"/>
  <c r="K2233" i="1"/>
  <c r="K2260" i="1"/>
  <c r="K2261" i="1"/>
  <c r="K714" i="1"/>
  <c r="K712" i="1"/>
  <c r="K713" i="1"/>
  <c r="K716" i="1"/>
  <c r="K718" i="1"/>
  <c r="K1379" i="1"/>
  <c r="K1380" i="1"/>
  <c r="K1381" i="1"/>
  <c r="K1358" i="1"/>
  <c r="K1382" i="1"/>
  <c r="K1403" i="1"/>
  <c r="K1394" i="1"/>
  <c r="K1396" i="1"/>
  <c r="K1395" i="1"/>
  <c r="K1421" i="1"/>
  <c r="K1450" i="1"/>
  <c r="K1451" i="1"/>
  <c r="K1452" i="1"/>
  <c r="K1429" i="1"/>
  <c r="K1453" i="1"/>
  <c r="K1032" i="1"/>
  <c r="K1035" i="1"/>
  <c r="K1030" i="1"/>
  <c r="K1027" i="1"/>
  <c r="K1048" i="1"/>
  <c r="K1108" i="1"/>
  <c r="K1109" i="1"/>
  <c r="K1110" i="1"/>
  <c r="K1084" i="1"/>
  <c r="K1111" i="1"/>
  <c r="K4908" i="1"/>
  <c r="K4905" i="1"/>
  <c r="K4919" i="1"/>
  <c r="K4916" i="1"/>
  <c r="K1143" i="1"/>
  <c r="K1144" i="1"/>
  <c r="K1145" i="1"/>
  <c r="K1119" i="1"/>
  <c r="K1146" i="1"/>
  <c r="K1791" i="1"/>
  <c r="K1812" i="1"/>
  <c r="K1813" i="1"/>
  <c r="K1814" i="1"/>
  <c r="K1815" i="1"/>
  <c r="K1848" i="1"/>
  <c r="K1849" i="1"/>
  <c r="K1850" i="1"/>
  <c r="K1826" i="1"/>
  <c r="K1851" i="1"/>
  <c r="K1876" i="1"/>
  <c r="K1864" i="1"/>
  <c r="K1863" i="1"/>
  <c r="K1891" i="1"/>
  <c r="K1873" i="1"/>
  <c r="K1907" i="1"/>
  <c r="K1898" i="1"/>
  <c r="K1897" i="1"/>
  <c r="K1905" i="1"/>
  <c r="K1926" i="1"/>
  <c r="K2027" i="1"/>
  <c r="K2028" i="1"/>
  <c r="K2029" i="1"/>
  <c r="K2006" i="1"/>
  <c r="K2030" i="1"/>
  <c r="K2062" i="1"/>
  <c r="K2063" i="1"/>
  <c r="K2064" i="1"/>
  <c r="K2041" i="1"/>
  <c r="K2065" i="1"/>
  <c r="K2141" i="1"/>
  <c r="K2137" i="1"/>
  <c r="K2138" i="1"/>
  <c r="K2139" i="1"/>
  <c r="K2150" i="1"/>
  <c r="K2418" i="1"/>
  <c r="K2415" i="1"/>
  <c r="K2420" i="1"/>
  <c r="K2438" i="1"/>
  <c r="K2424" i="1"/>
  <c r="K2453" i="1"/>
  <c r="K2468" i="1"/>
  <c r="K2449" i="1"/>
  <c r="K2469" i="1"/>
  <c r="K2470" i="1"/>
  <c r="K2882" i="1"/>
  <c r="K2859" i="1"/>
  <c r="K2886" i="1"/>
  <c r="K2856" i="1"/>
  <c r="K2883" i="1"/>
  <c r="K4953" i="1"/>
  <c r="K4954" i="1"/>
  <c r="K4955" i="1"/>
  <c r="K4962" i="1"/>
  <c r="K4956" i="1"/>
  <c r="K4997" i="1"/>
  <c r="K4964" i="1"/>
  <c r="K4966" i="1"/>
  <c r="K4991" i="1"/>
  <c r="K4967" i="1"/>
  <c r="K2896" i="1"/>
  <c r="K2897" i="1"/>
  <c r="K2898" i="1"/>
  <c r="K2899" i="1"/>
  <c r="K2919" i="1"/>
  <c r="K2930" i="1"/>
  <c r="K3023" i="1"/>
  <c r="K3024" i="1"/>
  <c r="K3025" i="1"/>
  <c r="K3037" i="1"/>
  <c r="K3026" i="1"/>
  <c r="K915" i="1"/>
  <c r="K929" i="1"/>
  <c r="K949" i="1"/>
  <c r="K943" i="1"/>
  <c r="K970" i="1"/>
  <c r="K962" i="1"/>
  <c r="K944" i="1"/>
  <c r="K977" i="1"/>
  <c r="K984" i="1"/>
  <c r="K996" i="1"/>
  <c r="K997" i="1"/>
  <c r="K1228" i="1"/>
  <c r="K1215" i="1"/>
  <c r="K1213" i="1"/>
  <c r="K1241" i="1"/>
  <c r="K1214" i="1"/>
  <c r="K1258" i="1"/>
  <c r="K1249" i="1"/>
  <c r="K1252" i="1"/>
  <c r="K1273" i="1"/>
  <c r="K1255" i="1"/>
  <c r="K1336" i="1"/>
  <c r="K1324" i="1"/>
  <c r="K1323" i="1"/>
  <c r="K1322" i="1"/>
  <c r="K1350" i="1"/>
  <c r="K1592" i="1"/>
  <c r="K1593" i="1"/>
  <c r="K1594" i="1"/>
  <c r="K1569" i="1"/>
  <c r="K1595" i="1"/>
  <c r="K373" i="1"/>
  <c r="K374" i="1"/>
  <c r="K369" i="1"/>
  <c r="K372" i="1"/>
  <c r="K376" i="1"/>
  <c r="K380" i="1"/>
  <c r="K381" i="1"/>
  <c r="K382" i="1"/>
  <c r="K377" i="1"/>
  <c r="K383" i="1"/>
  <c r="K41" i="1"/>
  <c r="K39" i="1"/>
  <c r="K22" i="1"/>
  <c r="K400" i="1"/>
  <c r="K401" i="1"/>
  <c r="K402" i="1"/>
  <c r="K403" i="1"/>
  <c r="K397" i="1"/>
  <c r="K4388" i="1"/>
  <c r="K4389" i="1"/>
  <c r="K4391" i="1"/>
  <c r="K4392" i="1"/>
  <c r="K407" i="1"/>
  <c r="K408" i="1"/>
  <c r="K409" i="1"/>
  <c r="K410" i="1"/>
  <c r="K404" i="1"/>
  <c r="K414" i="1"/>
  <c r="K415" i="1"/>
  <c r="K416" i="1"/>
  <c r="K411" i="1"/>
  <c r="K417" i="1"/>
  <c r="K3673" i="1"/>
  <c r="K3689" i="1"/>
  <c r="K3701" i="1"/>
  <c r="K3690" i="1"/>
  <c r="K392" i="1"/>
  <c r="K391" i="1"/>
  <c r="K390" i="1"/>
  <c r="K393" i="1"/>
  <c r="K387" i="1"/>
  <c r="K395" i="1"/>
  <c r="K396" i="1"/>
  <c r="K305" i="1"/>
  <c r="K306" i="1"/>
  <c r="K308" i="1"/>
  <c r="K309" i="1"/>
  <c r="K310" i="1"/>
  <c r="K303" i="1"/>
  <c r="K313" i="1"/>
  <c r="K315" i="1"/>
  <c r="K317" i="1"/>
  <c r="K316" i="1"/>
  <c r="K311" i="1"/>
  <c r="K323" i="1"/>
  <c r="K322" i="1"/>
  <c r="K324" i="1"/>
  <c r="K321" i="1"/>
  <c r="K318" i="1"/>
  <c r="K330" i="1"/>
  <c r="K331" i="1"/>
  <c r="K332" i="1"/>
  <c r="K325" i="1"/>
  <c r="K333" i="1"/>
  <c r="K334" i="1"/>
  <c r="K340" i="1"/>
  <c r="K339" i="1"/>
  <c r="K338" i="1"/>
  <c r="K336" i="1"/>
  <c r="K344" i="1"/>
  <c r="K341" i="1"/>
  <c r="K345" i="1"/>
  <c r="K343" i="1"/>
  <c r="K347" i="1"/>
  <c r="K351" i="1"/>
  <c r="K352" i="1"/>
  <c r="K353" i="1"/>
  <c r="K348" i="1"/>
  <c r="K354" i="1"/>
  <c r="K359" i="1"/>
  <c r="K361" i="1"/>
  <c r="K360" i="1"/>
  <c r="K355" i="1"/>
  <c r="K358" i="1"/>
  <c r="K365" i="1"/>
  <c r="K366" i="1"/>
  <c r="K367" i="1"/>
  <c r="K368" i="1"/>
  <c r="K362" i="1"/>
  <c r="K2851" i="1"/>
  <c r="K2820" i="1"/>
  <c r="K2839" i="1"/>
  <c r="K2821" i="1"/>
  <c r="K2822" i="1"/>
  <c r="K1061" i="1"/>
  <c r="K1057" i="1"/>
  <c r="K1078" i="1"/>
  <c r="K1079" i="1"/>
  <c r="K1080" i="1"/>
  <c r="K1081" i="1"/>
  <c r="K1082" i="1"/>
  <c r="K1083" i="1"/>
  <c r="K2096" i="1"/>
  <c r="K2095" i="1"/>
  <c r="K2102" i="1"/>
  <c r="K2113" i="1"/>
  <c r="K2114" i="1"/>
  <c r="K2115" i="1"/>
  <c r="K2136" i="1"/>
  <c r="K3529" i="1"/>
  <c r="K3561" i="1"/>
  <c r="K3530" i="1"/>
  <c r="K3533" i="1"/>
  <c r="K3550" i="1"/>
  <c r="K3551" i="1"/>
  <c r="K3552" i="1"/>
  <c r="K3553" i="1"/>
  <c r="K3554" i="1"/>
  <c r="K3555" i="1"/>
  <c r="K3556" i="1"/>
  <c r="K4395" i="1"/>
  <c r="K4396" i="1"/>
  <c r="K4397" i="1"/>
  <c r="K4398" i="1"/>
  <c r="K4403" i="1"/>
  <c r="K4404" i="1"/>
  <c r="K4405" i="1"/>
  <c r="K4401" i="1"/>
  <c r="K4411" i="1"/>
  <c r="K4412" i="1"/>
  <c r="K4413" i="1"/>
  <c r="K4414" i="1"/>
  <c r="K4419" i="1"/>
  <c r="K4420" i="1"/>
  <c r="K4421" i="1"/>
  <c r="K4417" i="1"/>
  <c r="K4425" i="1"/>
  <c r="K4427" i="1"/>
  <c r="K4428" i="1"/>
  <c r="K4429" i="1"/>
  <c r="K4435" i="1"/>
  <c r="K4436" i="1"/>
  <c r="K4437" i="1"/>
  <c r="K4433" i="1"/>
  <c r="K4443" i="1"/>
  <c r="K4441" i="1"/>
  <c r="K4444" i="1"/>
  <c r="K4445" i="1"/>
  <c r="K4451" i="1"/>
  <c r="K4452" i="1"/>
  <c r="K4453" i="1"/>
  <c r="K4449" i="1"/>
  <c r="K4457" i="1"/>
  <c r="K4459" i="1"/>
  <c r="K4460" i="1"/>
  <c r="K4461" i="1"/>
  <c r="K4467" i="1"/>
  <c r="K4468" i="1"/>
  <c r="K4469" i="1"/>
  <c r="K4465" i="1"/>
  <c r="K4475" i="1"/>
  <c r="K4476" i="1"/>
  <c r="K4477" i="1"/>
  <c r="K4473" i="1"/>
  <c r="K4483" i="1"/>
  <c r="K4484" i="1"/>
  <c r="K4485" i="1"/>
  <c r="K4481" i="1"/>
  <c r="K4490" i="1"/>
  <c r="K4491" i="1"/>
  <c r="K4492" i="1"/>
  <c r="K4493" i="1"/>
  <c r="K4499" i="1"/>
  <c r="K4500" i="1"/>
  <c r="K4501" i="1"/>
  <c r="K4497" i="1"/>
  <c r="K4507" i="1"/>
  <c r="K4505" i="1"/>
  <c r="K4508" i="1"/>
  <c r="K4509" i="1"/>
  <c r="K4515" i="1"/>
  <c r="K4516" i="1"/>
  <c r="K4517" i="1"/>
  <c r="K4513" i="1"/>
  <c r="K4521" i="1"/>
  <c r="K4523" i="1"/>
  <c r="K4524" i="1"/>
  <c r="K4525" i="1"/>
  <c r="K4531" i="1"/>
  <c r="K4532" i="1"/>
  <c r="K4533" i="1"/>
  <c r="K4529" i="1"/>
  <c r="K4539" i="1"/>
  <c r="K4540" i="1"/>
  <c r="K4541" i="1"/>
  <c r="K4537" i="1"/>
  <c r="K4547" i="1"/>
  <c r="K4548" i="1"/>
  <c r="K4549" i="1"/>
  <c r="K4545" i="1"/>
  <c r="K4555" i="1"/>
  <c r="K4556" i="1"/>
  <c r="K4557" i="1"/>
  <c r="K4553" i="1"/>
  <c r="K4563" i="1"/>
  <c r="K4564" i="1"/>
  <c r="K4565" i="1"/>
  <c r="K4561" i="1"/>
  <c r="K4569" i="1"/>
  <c r="K4571" i="1"/>
  <c r="K4572" i="1"/>
  <c r="K4573" i="1"/>
  <c r="K4579" i="1"/>
  <c r="K4580" i="1"/>
  <c r="K4581" i="1"/>
  <c r="K4577" i="1"/>
  <c r="K4648" i="1"/>
  <c r="K4649" i="1"/>
  <c r="K4650" i="1"/>
  <c r="K4647" i="1"/>
  <c r="K4655" i="1"/>
  <c r="K4656" i="1"/>
  <c r="K4657" i="1"/>
  <c r="K4653" i="1"/>
  <c r="K4662" i="1"/>
  <c r="K4664" i="1"/>
  <c r="K4665" i="1"/>
  <c r="K4666" i="1"/>
  <c r="K4671" i="1"/>
  <c r="K4672" i="1"/>
  <c r="K4673" i="1"/>
  <c r="K4669" i="1"/>
  <c r="K4679" i="1"/>
  <c r="K4680" i="1"/>
  <c r="K4681" i="1"/>
  <c r="K4677" i="1"/>
  <c r="K4687" i="1"/>
  <c r="K4688" i="1"/>
  <c r="K4689" i="1"/>
  <c r="K4685" i="1"/>
  <c r="K4693" i="1"/>
  <c r="K4695" i="1"/>
  <c r="K4696" i="1"/>
  <c r="K4697" i="1"/>
  <c r="K4703" i="1"/>
  <c r="K4704" i="1"/>
  <c r="K4705" i="1"/>
  <c r="K4706" i="1"/>
  <c r="K4707" i="1"/>
  <c r="K4708" i="1"/>
  <c r="K4701" i="1"/>
  <c r="K4702" i="1"/>
  <c r="K4711" i="1"/>
  <c r="K4709" i="1"/>
  <c r="K4712" i="1"/>
  <c r="K4713" i="1"/>
  <c r="K4719" i="1"/>
  <c r="K4720" i="1"/>
  <c r="K4718" i="1"/>
  <c r="K4721" i="1"/>
  <c r="K4729" i="1"/>
  <c r="K4730" i="1"/>
  <c r="K4731" i="1"/>
  <c r="K4732" i="1"/>
  <c r="K4737" i="1"/>
  <c r="K4738" i="1"/>
  <c r="K4739" i="1"/>
  <c r="K4735" i="1"/>
  <c r="K4746" i="1"/>
  <c r="K4743" i="1"/>
  <c r="K4747" i="1"/>
  <c r="K4748" i="1"/>
  <c r="K4753" i="1"/>
  <c r="K4754" i="1"/>
  <c r="K4758" i="1"/>
  <c r="K4751" i="1"/>
  <c r="K4761" i="1"/>
  <c r="K4762" i="1"/>
  <c r="K4763" i="1"/>
  <c r="K4764" i="1"/>
  <c r="K4769" i="1"/>
  <c r="K4770" i="1"/>
  <c r="K4771" i="1"/>
  <c r="K4767" i="1"/>
  <c r="K4776" i="1"/>
  <c r="K4775" i="1"/>
  <c r="K4778" i="1"/>
  <c r="K4779" i="1"/>
  <c r="K4785" i="1"/>
  <c r="K4786" i="1"/>
  <c r="K4790" i="1"/>
  <c r="K4783" i="1"/>
  <c r="K4794" i="1"/>
  <c r="K4793" i="1"/>
  <c r="K4795" i="1"/>
  <c r="K4796" i="1"/>
  <c r="K4801" i="1"/>
  <c r="K4802" i="1"/>
  <c r="K4803" i="1"/>
  <c r="K4799" i="1"/>
  <c r="K4809" i="1"/>
  <c r="K4810" i="1"/>
  <c r="K4811" i="1"/>
  <c r="K4812" i="1"/>
  <c r="K4817" i="1"/>
  <c r="K4818" i="1"/>
  <c r="K4819" i="1"/>
  <c r="K4815" i="1"/>
  <c r="K4823" i="1"/>
  <c r="K4826" i="1"/>
  <c r="K4827" i="1"/>
  <c r="K4828" i="1"/>
  <c r="K4833" i="1"/>
  <c r="K4834" i="1"/>
  <c r="K4835" i="1"/>
  <c r="K4832" i="1"/>
  <c r="K4841" i="1"/>
  <c r="K4842" i="1"/>
  <c r="K4843" i="1"/>
  <c r="K4839" i="1"/>
  <c r="K4849" i="1"/>
  <c r="K4850" i="1"/>
  <c r="K4851" i="1"/>
  <c r="K4847" i="1"/>
  <c r="K4857" i="1"/>
  <c r="K4858" i="1"/>
  <c r="K4859" i="1"/>
  <c r="K4855" i="1"/>
  <c r="K4865" i="1"/>
  <c r="K4866" i="1"/>
  <c r="K4867" i="1"/>
  <c r="K4863" i="1"/>
  <c r="K4873" i="1"/>
  <c r="K4874" i="1"/>
  <c r="K4875" i="1"/>
  <c r="K4871" i="1"/>
  <c r="K4880" i="1"/>
  <c r="K4881" i="1"/>
  <c r="K4882" i="1"/>
  <c r="K4879" i="1"/>
  <c r="K4885" i="1"/>
  <c r="K4886" i="1"/>
  <c r="K4887" i="1"/>
  <c r="K4883" i="1"/>
  <c r="K1006" i="1"/>
  <c r="K1011" i="1"/>
  <c r="K1014" i="1"/>
  <c r="K1015" i="1"/>
  <c r="K543" i="1"/>
  <c r="K544" i="1"/>
  <c r="K545" i="1"/>
  <c r="K546" i="1"/>
  <c r="K577" i="1"/>
  <c r="K579" i="1"/>
  <c r="K580" i="1"/>
  <c r="K581" i="1"/>
  <c r="K582" i="1"/>
  <c r="K583" i="1"/>
  <c r="K584" i="1"/>
  <c r="K585" i="1"/>
  <c r="K587" i="1"/>
  <c r="K588" i="1"/>
  <c r="K589" i="1"/>
  <c r="K590" i="1"/>
  <c r="K591" i="1"/>
  <c r="K592" i="1"/>
  <c r="K593" i="1"/>
  <c r="K594" i="1"/>
  <c r="K595" i="1"/>
  <c r="K596" i="1"/>
  <c r="K598" i="1"/>
  <c r="K599" i="1"/>
  <c r="K600" i="1"/>
  <c r="K601" i="1"/>
  <c r="K602" i="1"/>
  <c r="K603" i="1"/>
  <c r="K605" i="1"/>
  <c r="K606" i="1"/>
  <c r="K607" i="1"/>
  <c r="K608" i="1"/>
  <c r="K609" i="1"/>
  <c r="K610" i="1"/>
  <c r="K611" i="1"/>
  <c r="K645" i="1"/>
  <c r="K646" i="1"/>
  <c r="K647" i="1"/>
  <c r="K936" i="1"/>
  <c r="K963" i="1"/>
  <c r="K941" i="1"/>
  <c r="K964" i="1"/>
  <c r="K965" i="1"/>
  <c r="K966" i="1"/>
  <c r="K967" i="1"/>
  <c r="K968" i="1"/>
  <c r="K969" i="1"/>
  <c r="K1250" i="1"/>
  <c r="K1282" i="1"/>
  <c r="K1274" i="1"/>
  <c r="K1275" i="1"/>
  <c r="K1276" i="1"/>
  <c r="K1277" i="1"/>
  <c r="K1278" i="1"/>
  <c r="K1279" i="1"/>
  <c r="K1280" i="1"/>
  <c r="K1597" i="1"/>
  <c r="K1598" i="1"/>
  <c r="K1599" i="1"/>
  <c r="K1600" i="1"/>
  <c r="K1601" i="1"/>
  <c r="K1602" i="1"/>
  <c r="K1603" i="1"/>
  <c r="K568" i="1"/>
  <c r="K569" i="1"/>
  <c r="K570" i="1"/>
  <c r="K572" i="1"/>
  <c r="K573" i="1"/>
  <c r="K574" i="1"/>
  <c r="K575" i="1"/>
  <c r="K576" i="1"/>
  <c r="K559" i="1"/>
  <c r="K560" i="1"/>
  <c r="K563" i="1"/>
  <c r="K564" i="1"/>
  <c r="K565" i="1"/>
  <c r="K566" i="1"/>
  <c r="K567" i="1"/>
  <c r="K561" i="1"/>
  <c r="K612" i="1"/>
  <c r="K613" i="1"/>
  <c r="K614" i="1"/>
  <c r="K616" i="1"/>
  <c r="K617" i="1"/>
  <c r="K618" i="1"/>
  <c r="K619" i="1"/>
  <c r="K620" i="1"/>
  <c r="K622" i="1"/>
  <c r="K623" i="1"/>
  <c r="K624" i="1"/>
  <c r="K625" i="1"/>
  <c r="K626" i="1"/>
  <c r="K627" i="1"/>
  <c r="K630" i="1"/>
  <c r="K628" i="1"/>
  <c r="K631" i="1"/>
  <c r="K632" i="1"/>
  <c r="K633" i="1"/>
  <c r="K634" i="1"/>
  <c r="K635" i="1"/>
  <c r="K636" i="1"/>
  <c r="K638" i="1"/>
  <c r="K639" i="1"/>
  <c r="K640" i="1"/>
  <c r="K641" i="1"/>
  <c r="K642" i="1"/>
  <c r="K643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1172" i="1"/>
  <c r="K1173" i="1"/>
  <c r="K1174" i="1"/>
  <c r="K1175" i="1"/>
  <c r="K1176" i="1"/>
  <c r="K1177" i="1"/>
  <c r="K1178" i="1"/>
  <c r="K2972" i="1"/>
  <c r="K2975" i="1"/>
  <c r="K2976" i="1"/>
  <c r="K3000" i="1"/>
  <c r="K3001" i="1"/>
  <c r="K3623" i="1"/>
  <c r="K3624" i="1"/>
  <c r="K3625" i="1"/>
  <c r="K3626" i="1"/>
  <c r="K3627" i="1"/>
  <c r="K3628" i="1"/>
  <c r="K3629" i="1"/>
  <c r="K648" i="1"/>
  <c r="K649" i="1"/>
  <c r="K650" i="1"/>
  <c r="K651" i="1"/>
  <c r="K652" i="1"/>
  <c r="K653" i="1"/>
  <c r="K3707" i="1"/>
  <c r="K3691" i="1"/>
  <c r="K3692" i="1"/>
  <c r="K3693" i="1"/>
  <c r="K3694" i="1"/>
  <c r="K3695" i="1"/>
  <c r="K3696" i="1"/>
  <c r="K3697" i="1"/>
  <c r="K3698" i="1"/>
  <c r="K3699" i="1"/>
  <c r="K3700" i="1"/>
  <c r="K1112" i="1"/>
  <c r="K1113" i="1"/>
  <c r="K1114" i="1"/>
  <c r="K1115" i="1"/>
  <c r="K1116" i="1"/>
  <c r="K1117" i="1"/>
  <c r="K1118" i="1"/>
  <c r="K4906" i="1"/>
  <c r="K4907" i="1"/>
  <c r="K4912" i="1"/>
  <c r="K4917" i="1"/>
  <c r="K4918" i="1"/>
  <c r="K1147" i="1"/>
  <c r="K1148" i="1"/>
  <c r="K1149" i="1"/>
  <c r="K1150" i="1"/>
  <c r="K1151" i="1"/>
  <c r="K1152" i="1"/>
  <c r="K1790" i="1"/>
  <c r="K1797" i="1"/>
  <c r="K1816" i="1"/>
  <c r="K1817" i="1"/>
  <c r="K1818" i="1"/>
  <c r="K1819" i="1"/>
  <c r="K1820" i="1"/>
  <c r="K1821" i="1"/>
  <c r="K1822" i="1"/>
  <c r="K1823" i="1"/>
  <c r="K1824" i="1"/>
  <c r="K1825" i="1"/>
  <c r="K1861" i="1"/>
  <c r="K1862" i="1"/>
  <c r="K1896" i="1"/>
  <c r="K1892" i="1"/>
  <c r="K1893" i="1"/>
  <c r="K1894" i="1"/>
  <c r="K1895" i="1"/>
  <c r="K1927" i="1"/>
  <c r="K1928" i="1"/>
  <c r="K1903" i="1"/>
  <c r="K1906" i="1"/>
  <c r="K1929" i="1"/>
  <c r="K1930" i="1"/>
  <c r="K1931" i="1"/>
  <c r="K1932" i="1"/>
  <c r="K1933" i="1"/>
  <c r="K1934" i="1"/>
  <c r="K2031" i="1"/>
  <c r="K2032" i="1"/>
  <c r="K2033" i="1"/>
  <c r="K2034" i="1"/>
  <c r="K2035" i="1"/>
  <c r="K2036" i="1"/>
  <c r="K2037" i="1"/>
  <c r="K2038" i="1"/>
  <c r="K2012" i="1"/>
  <c r="K2039" i="1"/>
  <c r="K2040" i="1"/>
  <c r="K2066" i="1"/>
  <c r="K2067" i="1"/>
  <c r="K2068" i="1"/>
  <c r="K2069" i="1"/>
  <c r="K2070" i="1"/>
  <c r="K2071" i="1"/>
  <c r="K2072" i="1"/>
  <c r="K2047" i="1"/>
  <c r="K2073" i="1"/>
  <c r="K2412" i="1"/>
  <c r="K2439" i="1"/>
  <c r="K2413" i="1"/>
  <c r="K2414" i="1"/>
  <c r="K2440" i="1"/>
  <c r="K2441" i="1"/>
  <c r="K2442" i="1"/>
  <c r="K2443" i="1"/>
  <c r="K2444" i="1"/>
  <c r="K2445" i="1"/>
  <c r="K2931" i="1"/>
  <c r="K2932" i="1"/>
  <c r="K3027" i="1"/>
  <c r="K3028" i="1"/>
  <c r="K3029" i="1"/>
  <c r="K3030" i="1"/>
  <c r="K3031" i="1"/>
  <c r="K3032" i="1"/>
  <c r="K3033" i="1"/>
  <c r="K3034" i="1"/>
  <c r="K3043" i="1"/>
  <c r="K3035" i="1"/>
  <c r="K3036" i="1"/>
  <c r="K655" i="1"/>
  <c r="K656" i="1"/>
  <c r="K657" i="1"/>
  <c r="K658" i="1"/>
  <c r="K659" i="1"/>
  <c r="K660" i="1"/>
  <c r="K661" i="1"/>
  <c r="K662" i="1"/>
  <c r="K669" i="1"/>
  <c r="K670" i="1"/>
  <c r="K671" i="1"/>
  <c r="K998" i="1"/>
  <c r="K986" i="1"/>
  <c r="K990" i="1"/>
  <c r="K999" i="1"/>
  <c r="K1000" i="1"/>
  <c r="K1001" i="1"/>
  <c r="K1002" i="1"/>
  <c r="K1003" i="1"/>
  <c r="K1004" i="1"/>
  <c r="K1005" i="1"/>
  <c r="K1008" i="1"/>
  <c r="K1007" i="1"/>
  <c r="K1021" i="1"/>
  <c r="K1022" i="1"/>
  <c r="K1023" i="1"/>
  <c r="K1024" i="1"/>
  <c r="K1025" i="1"/>
  <c r="K1026" i="1"/>
  <c r="K1029" i="1"/>
  <c r="K1033" i="1"/>
  <c r="K1049" i="1"/>
  <c r="K1050" i="1"/>
  <c r="K1051" i="1"/>
  <c r="K1052" i="1"/>
  <c r="K1053" i="1"/>
  <c r="K1054" i="1"/>
  <c r="K1055" i="1"/>
  <c r="K1852" i="1"/>
  <c r="K1853" i="1"/>
  <c r="K1854" i="1"/>
  <c r="K1855" i="1"/>
  <c r="K1856" i="1"/>
  <c r="K1857" i="1"/>
  <c r="K1858" i="1"/>
  <c r="K1859" i="1"/>
  <c r="K1832" i="1"/>
  <c r="K1860" i="1"/>
  <c r="K2900" i="1"/>
  <c r="K2901" i="1"/>
  <c r="K2909" i="1"/>
  <c r="K2902" i="1"/>
  <c r="K2903" i="1"/>
  <c r="K2920" i="1"/>
  <c r="K2921" i="1"/>
  <c r="K909" i="1"/>
  <c r="K908" i="1"/>
  <c r="K911" i="1"/>
  <c r="K930" i="1"/>
  <c r="K931" i="1"/>
  <c r="K932" i="1"/>
  <c r="K933" i="1"/>
  <c r="K934" i="1"/>
  <c r="K935" i="1"/>
  <c r="K1210" i="1"/>
  <c r="K1211" i="1"/>
  <c r="K1212" i="1"/>
  <c r="K1182" i="1"/>
  <c r="K1242" i="1"/>
  <c r="K1219" i="1"/>
  <c r="K1221" i="1"/>
  <c r="K1243" i="1"/>
  <c r="K1244" i="1"/>
  <c r="K1245" i="1"/>
  <c r="K1246" i="1"/>
  <c r="K1247" i="1"/>
  <c r="K1248" i="1"/>
  <c r="K1327" i="1"/>
  <c r="K1335" i="1"/>
  <c r="K1351" i="1"/>
  <c r="K1352" i="1"/>
  <c r="K1353" i="1"/>
  <c r="K1354" i="1"/>
  <c r="K1355" i="1"/>
  <c r="K1356" i="1"/>
  <c r="K1357" i="1"/>
  <c r="K1383" i="1"/>
  <c r="K1384" i="1"/>
  <c r="K1385" i="1"/>
  <c r="K1386" i="1"/>
  <c r="K1387" i="1"/>
  <c r="K1388" i="1"/>
  <c r="K1389" i="1"/>
  <c r="K1390" i="1"/>
  <c r="K1364" i="1"/>
  <c r="K1391" i="1"/>
  <c r="K1392" i="1"/>
  <c r="K1399" i="1"/>
  <c r="K1397" i="1"/>
  <c r="K1428" i="1"/>
  <c r="K1422" i="1"/>
  <c r="K1423" i="1"/>
  <c r="K1424" i="1"/>
  <c r="K1425" i="1"/>
  <c r="K1426" i="1"/>
  <c r="K1427" i="1"/>
  <c r="K1454" i="1"/>
  <c r="K1455" i="1"/>
  <c r="K1456" i="1"/>
  <c r="K1457" i="1"/>
  <c r="K1458" i="1"/>
  <c r="K1459" i="1"/>
  <c r="K1460" i="1"/>
  <c r="K1461" i="1"/>
  <c r="K1435" i="1"/>
  <c r="K1462" i="1"/>
  <c r="K1463" i="1"/>
  <c r="K3853" i="1"/>
  <c r="K3854" i="1"/>
  <c r="K3855" i="1"/>
  <c r="K3851" i="1"/>
  <c r="K3861" i="1"/>
  <c r="K3862" i="1"/>
  <c r="K3863" i="1"/>
  <c r="K3859" i="1"/>
  <c r="K3869" i="1"/>
  <c r="K3870" i="1"/>
  <c r="K3871" i="1"/>
  <c r="K3867" i="1"/>
  <c r="K3877" i="1"/>
  <c r="K3878" i="1"/>
  <c r="K3879" i="1"/>
  <c r="K3875" i="1"/>
  <c r="K3885" i="1"/>
  <c r="K3886" i="1"/>
  <c r="K3887" i="1"/>
  <c r="K3883" i="1"/>
  <c r="K3893" i="1"/>
  <c r="K3891" i="1"/>
  <c r="K3894" i="1"/>
  <c r="K3895" i="1"/>
  <c r="K3901" i="1"/>
  <c r="K3902" i="1"/>
  <c r="K3899" i="1"/>
  <c r="K3903" i="1"/>
  <c r="K3909" i="1"/>
  <c r="K3907" i="1"/>
  <c r="K3910" i="1"/>
  <c r="K3911" i="1"/>
  <c r="K3917" i="1"/>
  <c r="K3918" i="1"/>
  <c r="K3919" i="1"/>
  <c r="K3915" i="1"/>
  <c r="K3925" i="1"/>
  <c r="K3926" i="1"/>
  <c r="K3927" i="1"/>
  <c r="K3923" i="1"/>
  <c r="K3933" i="1"/>
  <c r="K3934" i="1"/>
  <c r="K3935" i="1"/>
  <c r="K3931" i="1"/>
  <c r="K3941" i="1"/>
  <c r="K3942" i="1"/>
  <c r="K3943" i="1"/>
  <c r="K3939" i="1"/>
  <c r="K3949" i="1"/>
  <c r="K3950" i="1"/>
  <c r="K3951" i="1"/>
  <c r="K3947" i="1"/>
  <c r="K3957" i="1"/>
  <c r="K3958" i="1"/>
  <c r="K3959" i="1"/>
  <c r="K3955" i="1"/>
  <c r="K3965" i="1"/>
  <c r="K3966" i="1"/>
  <c r="K3967" i="1"/>
  <c r="K3963" i="1"/>
  <c r="K3971" i="1"/>
  <c r="K3973" i="1"/>
  <c r="K3974" i="1"/>
  <c r="K3975" i="1"/>
  <c r="K3981" i="1"/>
  <c r="K3982" i="1"/>
  <c r="K3983" i="1"/>
  <c r="K3979" i="1"/>
  <c r="K3989" i="1"/>
  <c r="K3990" i="1"/>
  <c r="K3991" i="1"/>
  <c r="K3987" i="1"/>
  <c r="K3997" i="1"/>
  <c r="K3998" i="1"/>
  <c r="K3999" i="1"/>
  <c r="K3995" i="1"/>
  <c r="K4005" i="1"/>
  <c r="K4006" i="1"/>
  <c r="K4007" i="1"/>
  <c r="K4003" i="1"/>
  <c r="K4013" i="1"/>
  <c r="K4014" i="1"/>
  <c r="K4015" i="1"/>
  <c r="K4011" i="1"/>
  <c r="K4021" i="1"/>
  <c r="K4022" i="1"/>
  <c r="K4023" i="1"/>
  <c r="K4019" i="1"/>
  <c r="K4029" i="1"/>
  <c r="K4030" i="1"/>
  <c r="K4031" i="1"/>
  <c r="K4027" i="1"/>
  <c r="K4035" i="1"/>
  <c r="K4037" i="1"/>
  <c r="K4038" i="1"/>
  <c r="K4039" i="1"/>
  <c r="K4105" i="1"/>
  <c r="K4106" i="1"/>
  <c r="K4107" i="1"/>
  <c r="K4103" i="1"/>
  <c r="K4114" i="1"/>
  <c r="K4115" i="1"/>
  <c r="K4116" i="1"/>
  <c r="K4112" i="1"/>
  <c r="K4123" i="1"/>
  <c r="K4124" i="1"/>
  <c r="K4125" i="1"/>
  <c r="K4122" i="1"/>
  <c r="K4132" i="1"/>
  <c r="K4133" i="1"/>
  <c r="K4134" i="1"/>
  <c r="K4130" i="1"/>
  <c r="K4141" i="1"/>
  <c r="K4142" i="1"/>
  <c r="K4143" i="1"/>
  <c r="K4139" i="1"/>
  <c r="K4150" i="1"/>
  <c r="K4151" i="1"/>
  <c r="K4152" i="1"/>
  <c r="K4148" i="1"/>
  <c r="K4159" i="1"/>
  <c r="K4160" i="1"/>
  <c r="K4161" i="1"/>
  <c r="K4157" i="1"/>
  <c r="K4168" i="1"/>
  <c r="K4169" i="1"/>
  <c r="K4170" i="1"/>
  <c r="K4171" i="1"/>
  <c r="K4172" i="1"/>
  <c r="K4173" i="1"/>
  <c r="K4166" i="1"/>
  <c r="K4167" i="1"/>
  <c r="K4176" i="1"/>
  <c r="K4177" i="1"/>
  <c r="K4175" i="1"/>
  <c r="K4178" i="1"/>
  <c r="K4184" i="1"/>
  <c r="K4185" i="1"/>
  <c r="K4186" i="1"/>
  <c r="K4182" i="1"/>
  <c r="K4194" i="1"/>
  <c r="K4195" i="1"/>
  <c r="K4196" i="1"/>
  <c r="K4192" i="1"/>
  <c r="K4200" i="1"/>
  <c r="K4202" i="1"/>
  <c r="K4203" i="1"/>
  <c r="K4204" i="1"/>
  <c r="K4210" i="1"/>
  <c r="K4211" i="1"/>
  <c r="K4215" i="1"/>
  <c r="K4208" i="1"/>
  <c r="K4218" i="1"/>
  <c r="K4216" i="1"/>
  <c r="K4219" i="1"/>
  <c r="K4220" i="1"/>
  <c r="K4226" i="1"/>
  <c r="K4227" i="1"/>
  <c r="K4228" i="1"/>
  <c r="K4224" i="1"/>
  <c r="K4234" i="1"/>
  <c r="K4232" i="1"/>
  <c r="K4235" i="1"/>
  <c r="K4236" i="1"/>
  <c r="K4242" i="1"/>
  <c r="K4243" i="1"/>
  <c r="K4247" i="1"/>
  <c r="K4240" i="1"/>
  <c r="K4250" i="1"/>
  <c r="K4251" i="1"/>
  <c r="K4252" i="1"/>
  <c r="K4248" i="1"/>
  <c r="K4258" i="1"/>
  <c r="K4259" i="1"/>
  <c r="K4256" i="1"/>
  <c r="K4260" i="1"/>
  <c r="K4266" i="1"/>
  <c r="K4267" i="1"/>
  <c r="K4268" i="1"/>
  <c r="K4264" i="1"/>
  <c r="K4274" i="1"/>
  <c r="K4275" i="1"/>
  <c r="K4276" i="1"/>
  <c r="K4272" i="1"/>
  <c r="K4280" i="1"/>
  <c r="K4282" i="1"/>
  <c r="K4283" i="1"/>
  <c r="K4284" i="1"/>
  <c r="K4290" i="1"/>
  <c r="K4291" i="1"/>
  <c r="K4288" i="1"/>
  <c r="K4295" i="1"/>
  <c r="K4296" i="1"/>
  <c r="K4298" i="1"/>
  <c r="K4299" i="1"/>
  <c r="K4300" i="1"/>
  <c r="K4306" i="1"/>
  <c r="K4307" i="1"/>
  <c r="K4308" i="1"/>
  <c r="K4304" i="1"/>
  <c r="K4314" i="1"/>
  <c r="K4315" i="1"/>
  <c r="K4316" i="1"/>
  <c r="K4312" i="1"/>
  <c r="K4322" i="1"/>
  <c r="K4323" i="1"/>
  <c r="K4324" i="1"/>
  <c r="K4320" i="1"/>
  <c r="K4330" i="1"/>
  <c r="K4331" i="1"/>
  <c r="K4332" i="1"/>
  <c r="K4328" i="1"/>
  <c r="K4338" i="1"/>
  <c r="K4339" i="1"/>
  <c r="K4340" i="1"/>
  <c r="K4336" i="1"/>
  <c r="K4346" i="1"/>
  <c r="K4347" i="1"/>
  <c r="K4348" i="1"/>
  <c r="K4344" i="1"/>
  <c r="K15" i="1"/>
  <c r="K16" i="1"/>
  <c r="K17" i="1"/>
  <c r="K13" i="1"/>
  <c r="K100" i="1"/>
  <c r="K101" i="1"/>
  <c r="K102" i="1"/>
  <c r="K103" i="1"/>
  <c r="K104" i="1"/>
  <c r="K105" i="1"/>
  <c r="K106" i="1"/>
  <c r="K108" i="1"/>
  <c r="K110" i="1"/>
  <c r="K111" i="1"/>
  <c r="K112" i="1"/>
  <c r="K113" i="1"/>
  <c r="K114" i="1"/>
  <c r="K115" i="1"/>
  <c r="K116" i="1"/>
  <c r="K118" i="1"/>
  <c r="K119" i="1"/>
  <c r="K120" i="1"/>
  <c r="K121" i="1"/>
  <c r="K122" i="1"/>
  <c r="K123" i="1"/>
  <c r="K124" i="1"/>
  <c r="K125" i="1"/>
  <c r="K127" i="1"/>
  <c r="K128" i="1"/>
  <c r="K129" i="1"/>
  <c r="K130" i="1"/>
  <c r="K131" i="1"/>
  <c r="K132" i="1"/>
  <c r="K133" i="1"/>
  <c r="K92" i="1"/>
  <c r="K93" i="1"/>
  <c r="K94" i="1"/>
  <c r="K95" i="1"/>
  <c r="K96" i="1"/>
  <c r="K97" i="1"/>
  <c r="K98" i="1"/>
  <c r="K99" i="1"/>
  <c r="K83" i="1"/>
  <c r="K84" i="1"/>
  <c r="K85" i="1"/>
  <c r="K86" i="1"/>
  <c r="K87" i="1"/>
  <c r="K88" i="1"/>
  <c r="K89" i="1"/>
  <c r="K90" i="1"/>
  <c r="K135" i="1"/>
  <c r="K136" i="1"/>
  <c r="K137" i="1"/>
  <c r="K138" i="1"/>
  <c r="K139" i="1"/>
  <c r="K140" i="1"/>
  <c r="K141" i="1"/>
  <c r="K142" i="1"/>
  <c r="K144" i="1"/>
  <c r="K145" i="1"/>
  <c r="K146" i="1"/>
  <c r="K147" i="1"/>
  <c r="K148" i="1"/>
  <c r="K149" i="1"/>
  <c r="K150" i="1"/>
  <c r="K152" i="1"/>
  <c r="K153" i="1"/>
  <c r="K154" i="1"/>
  <c r="K155" i="1"/>
  <c r="K156" i="1"/>
  <c r="K157" i="1"/>
  <c r="K159" i="1"/>
  <c r="K158" i="1"/>
  <c r="K161" i="1"/>
  <c r="K162" i="1"/>
  <c r="K163" i="1"/>
  <c r="K164" i="1"/>
  <c r="K165" i="1"/>
  <c r="K166" i="1"/>
  <c r="K167" i="1"/>
  <c r="K2826" i="1"/>
  <c r="K2823" i="1"/>
  <c r="K2841" i="1"/>
  <c r="K2842" i="1"/>
  <c r="K2843" i="1"/>
  <c r="K2844" i="1"/>
  <c r="K2845" i="1"/>
  <c r="K2846" i="1"/>
  <c r="K2847" i="1"/>
  <c r="K1725" i="1"/>
  <c r="C39" i="30" l="1"/>
  <c r="C29" i="52"/>
  <c r="C24" i="52"/>
  <c r="C21" i="52"/>
  <c r="C23" i="52"/>
  <c r="C22" i="52"/>
  <c r="C27" i="52"/>
  <c r="C25" i="52"/>
  <c r="C28" i="52"/>
  <c r="C26" i="52"/>
  <c r="H21" i="52"/>
  <c r="H27" i="52"/>
  <c r="H24" i="52"/>
  <c r="H22" i="52"/>
  <c r="H28" i="52"/>
  <c r="H23" i="52"/>
  <c r="H29" i="52"/>
  <c r="H26" i="52"/>
  <c r="H25" i="52"/>
  <c r="I27" i="52"/>
  <c r="I22" i="52"/>
  <c r="I26" i="52"/>
  <c r="I28" i="52"/>
  <c r="I21" i="52"/>
  <c r="I25" i="52"/>
  <c r="I23" i="52"/>
  <c r="I29" i="52"/>
  <c r="I24" i="52"/>
  <c r="D27" i="52"/>
  <c r="D29" i="52"/>
  <c r="D25" i="52"/>
  <c r="D22" i="52"/>
  <c r="D23" i="52"/>
  <c r="D21" i="52"/>
  <c r="D24" i="52"/>
  <c r="D28" i="52"/>
  <c r="D26" i="52"/>
  <c r="B25" i="52"/>
  <c r="B29" i="52"/>
  <c r="B24" i="52"/>
  <c r="B23" i="52"/>
  <c r="B27" i="52"/>
  <c r="B22" i="52"/>
  <c r="B26" i="52"/>
  <c r="B21" i="52"/>
  <c r="B28" i="52"/>
  <c r="G27" i="52"/>
  <c r="G26" i="52"/>
  <c r="G24" i="52"/>
  <c r="G29" i="52"/>
  <c r="G23" i="52"/>
  <c r="G21" i="52"/>
  <c r="G22" i="52"/>
  <c r="G28" i="52"/>
  <c r="G25" i="52"/>
  <c r="E23" i="52"/>
  <c r="E21" i="52"/>
  <c r="E25" i="52"/>
  <c r="E28" i="52"/>
  <c r="E26" i="52"/>
  <c r="E27" i="52"/>
  <c r="E24" i="52"/>
  <c r="E22" i="52"/>
  <c r="E29" i="52"/>
  <c r="J11" i="27"/>
  <c r="K11" i="27" s="1"/>
  <c r="I9" i="36"/>
  <c r="Q416" i="9"/>
  <c r="T20" i="30"/>
  <c r="B20" i="30" s="1"/>
  <c r="D20" i="30" s="1"/>
  <c r="E20" i="30" s="1"/>
  <c r="Q13" i="9"/>
  <c r="Q1942" i="9"/>
  <c r="Q410" i="9"/>
  <c r="B23" i="24"/>
  <c r="C39" i="31"/>
  <c r="AL30" i="58"/>
  <c r="T19" i="35"/>
  <c r="B19" i="35" s="1"/>
  <c r="T15" i="35"/>
  <c r="B15" i="35" s="1"/>
  <c r="J27" i="54"/>
  <c r="K27" i="54" s="1"/>
  <c r="T21" i="30"/>
  <c r="B21" i="30" s="1"/>
  <c r="T18" i="30"/>
  <c r="B18" i="30" s="1"/>
  <c r="B16" i="35"/>
  <c r="T14" i="35"/>
  <c r="B14" i="35" s="1"/>
  <c r="T17" i="30"/>
  <c r="B17" i="30" s="1"/>
  <c r="T16" i="30"/>
  <c r="B16" i="30" s="1"/>
  <c r="T18" i="35"/>
  <c r="B18" i="35" s="1"/>
  <c r="D14" i="36"/>
  <c r="E14" i="36" s="1"/>
  <c r="B6" i="35"/>
  <c r="B7" i="35"/>
  <c r="B28" i="35"/>
  <c r="B27" i="35"/>
  <c r="I27" i="35" s="1"/>
  <c r="B8" i="35"/>
  <c r="B9" i="35"/>
  <c r="J9" i="35" s="1"/>
  <c r="K9" i="35" s="1"/>
  <c r="R17" i="35"/>
  <c r="B12" i="35" s="1"/>
  <c r="D15" i="25"/>
  <c r="E15" i="25" s="1"/>
  <c r="I10" i="28"/>
  <c r="D19" i="25"/>
  <c r="E19" i="25" s="1"/>
  <c r="D19" i="23"/>
  <c r="E19" i="23" s="1"/>
  <c r="I11" i="29"/>
  <c r="J15" i="28"/>
  <c r="K15" i="28" s="1"/>
  <c r="D17" i="23"/>
  <c r="E17" i="23" s="1"/>
  <c r="I27" i="51"/>
  <c r="B15" i="31"/>
  <c r="J15" i="31" s="1"/>
  <c r="K15" i="31" s="1"/>
  <c r="S22" i="30"/>
  <c r="B15" i="30" s="1"/>
  <c r="B6" i="31"/>
  <c r="I6" i="31" s="1"/>
  <c r="R22" i="30"/>
  <c r="B27" i="30" s="1"/>
  <c r="J15" i="27"/>
  <c r="K15" i="27" s="1"/>
  <c r="J8" i="28"/>
  <c r="K8" i="28" s="1"/>
  <c r="I10" i="27"/>
  <c r="J8" i="27"/>
  <c r="K8" i="27" s="1"/>
  <c r="J16" i="27"/>
  <c r="K16" i="27" s="1"/>
  <c r="I16" i="28"/>
  <c r="I17" i="28" s="1"/>
  <c r="J7" i="27"/>
  <c r="K7" i="27" s="1"/>
  <c r="I9" i="27"/>
  <c r="I9" i="28"/>
  <c r="B13" i="27"/>
  <c r="I11" i="27"/>
  <c r="I7" i="28"/>
  <c r="I19" i="24"/>
  <c r="I22" i="24"/>
  <c r="I26" i="25"/>
  <c r="I30" i="25"/>
  <c r="I30" i="24"/>
  <c r="I29" i="24"/>
  <c r="J28" i="25"/>
  <c r="K28" i="25" s="1"/>
  <c r="I26" i="24"/>
  <c r="I31" i="24"/>
  <c r="J29" i="25"/>
  <c r="K29" i="25" s="1"/>
  <c r="D10" i="42"/>
  <c r="I16" i="26"/>
  <c r="I17" i="24"/>
  <c r="I25" i="24"/>
  <c r="I28" i="24"/>
  <c r="I22" i="25"/>
  <c r="I14" i="25"/>
  <c r="B32" i="25"/>
  <c r="J32" i="25" s="1"/>
  <c r="K32" i="25" s="1"/>
  <c r="D14" i="25"/>
  <c r="E14" i="25" s="1"/>
  <c r="I31" i="25"/>
  <c r="D13" i="42"/>
  <c r="H13" i="42" s="1"/>
  <c r="K13" i="42" s="1"/>
  <c r="B18" i="25"/>
  <c r="I21" i="24"/>
  <c r="B21" i="25"/>
  <c r="I21" i="25" s="1"/>
  <c r="I20" i="24"/>
  <c r="B20" i="25"/>
  <c r="J20" i="25" s="1"/>
  <c r="K20" i="25" s="1"/>
  <c r="B27" i="25"/>
  <c r="J27" i="25" s="1"/>
  <c r="K27" i="25" s="1"/>
  <c r="D18" i="23"/>
  <c r="E18" i="23" s="1"/>
  <c r="J16" i="23"/>
  <c r="K16" i="23" s="1"/>
  <c r="B20" i="23"/>
  <c r="J20" i="23" s="1"/>
  <c r="K20" i="23" s="1"/>
  <c r="D16" i="23"/>
  <c r="E16" i="23" s="1"/>
  <c r="I16" i="18"/>
  <c r="J8" i="18"/>
  <c r="K8" i="18" s="1"/>
  <c r="J6" i="28"/>
  <c r="K6" i="28" s="1"/>
  <c r="E23" i="30"/>
  <c r="F21" i="42"/>
  <c r="J20" i="18"/>
  <c r="K20" i="18" s="1"/>
  <c r="B11" i="23"/>
  <c r="J27" i="26"/>
  <c r="K27" i="26" s="1"/>
  <c r="J17" i="28"/>
  <c r="K17" i="28" s="1"/>
  <c r="J27" i="24"/>
  <c r="K27" i="24" s="1"/>
  <c r="J17" i="29"/>
  <c r="K17" i="29" s="1"/>
  <c r="J20" i="22"/>
  <c r="K20" i="22" s="1"/>
  <c r="J32" i="24"/>
  <c r="K32" i="24" s="1"/>
  <c r="J32" i="26"/>
  <c r="K32" i="26" s="1"/>
  <c r="J13" i="24"/>
  <c r="K13" i="24" s="1"/>
  <c r="J13" i="26"/>
  <c r="K13" i="26" s="1"/>
  <c r="J13" i="25"/>
  <c r="K13" i="25" s="1"/>
  <c r="I16" i="25"/>
  <c r="T22" i="31"/>
  <c r="T30" i="31" s="1"/>
  <c r="B30" i="31" s="1"/>
  <c r="I9" i="23"/>
  <c r="C21" i="42"/>
  <c r="J14" i="36"/>
  <c r="K14" i="36" s="1"/>
  <c r="I14" i="36"/>
  <c r="J18" i="39"/>
  <c r="K18" i="39" s="1"/>
  <c r="I18" i="39"/>
  <c r="J18" i="38"/>
  <c r="K18" i="38" s="1"/>
  <c r="I18" i="38"/>
  <c r="J15" i="40"/>
  <c r="K15" i="40" s="1"/>
  <c r="I15" i="40"/>
  <c r="J27" i="36"/>
  <c r="K27" i="36" s="1"/>
  <c r="I27" i="36"/>
  <c r="J14" i="40"/>
  <c r="K14" i="40" s="1"/>
  <c r="I14" i="40"/>
  <c r="J14" i="38"/>
  <c r="K14" i="38" s="1"/>
  <c r="I14" i="38"/>
  <c r="J27" i="40"/>
  <c r="K27" i="40" s="1"/>
  <c r="I27" i="40"/>
  <c r="J27" i="39"/>
  <c r="K27" i="39" s="1"/>
  <c r="I27" i="39"/>
  <c r="J7" i="39"/>
  <c r="K7" i="39" s="1"/>
  <c r="I7" i="39"/>
  <c r="J14" i="39"/>
  <c r="K14" i="39" s="1"/>
  <c r="I14" i="39"/>
  <c r="J15" i="39"/>
  <c r="K15" i="39" s="1"/>
  <c r="I15" i="39"/>
  <c r="J18" i="36"/>
  <c r="K18" i="36" s="1"/>
  <c r="I18" i="36"/>
  <c r="J27" i="38"/>
  <c r="K27" i="38" s="1"/>
  <c r="I27" i="38"/>
  <c r="J23" i="33"/>
  <c r="K23" i="33" s="1"/>
  <c r="I23" i="33"/>
  <c r="J18" i="31"/>
  <c r="K18" i="31" s="1"/>
  <c r="I18" i="31"/>
  <c r="J19" i="33"/>
  <c r="K19" i="33" s="1"/>
  <c r="I19" i="33"/>
  <c r="J23" i="30"/>
  <c r="K23" i="30" s="1"/>
  <c r="I23" i="30"/>
  <c r="J23" i="34"/>
  <c r="K23" i="34" s="1"/>
  <c r="I23" i="34"/>
  <c r="J19" i="34"/>
  <c r="K19" i="34" s="1"/>
  <c r="I19" i="34"/>
  <c r="J19" i="32"/>
  <c r="K19" i="32" s="1"/>
  <c r="I19" i="32"/>
  <c r="I17" i="29"/>
  <c r="J13" i="28"/>
  <c r="K13" i="28" s="1"/>
  <c r="I13" i="28"/>
  <c r="J19" i="31"/>
  <c r="K19" i="31" s="1"/>
  <c r="I19" i="31"/>
  <c r="J23" i="32"/>
  <c r="K23" i="32" s="1"/>
  <c r="I23" i="32"/>
  <c r="J20" i="31"/>
  <c r="K20" i="31" s="1"/>
  <c r="I20" i="31"/>
  <c r="I32" i="26"/>
  <c r="J14" i="18"/>
  <c r="K14" i="18" s="1"/>
  <c r="I14" i="18"/>
  <c r="I15" i="18" s="1"/>
  <c r="J15" i="25"/>
  <c r="K15" i="25" s="1"/>
  <c r="I15" i="25"/>
  <c r="J9" i="22"/>
  <c r="K9" i="22" s="1"/>
  <c r="I9" i="22"/>
  <c r="J18" i="26"/>
  <c r="K18" i="26" s="1"/>
  <c r="I18" i="26"/>
  <c r="J21" i="26"/>
  <c r="K21" i="26" s="1"/>
  <c r="I21" i="26"/>
  <c r="J14" i="22"/>
  <c r="K14" i="22" s="1"/>
  <c r="I14" i="22"/>
  <c r="I15" i="22" s="1"/>
  <c r="J10" i="22"/>
  <c r="K10" i="22" s="1"/>
  <c r="I10" i="22"/>
  <c r="J15" i="24"/>
  <c r="K15" i="24" s="1"/>
  <c r="I15" i="24"/>
  <c r="J6" i="27"/>
  <c r="K6" i="27" s="1"/>
  <c r="I6" i="27"/>
  <c r="J19" i="25"/>
  <c r="K19" i="25" s="1"/>
  <c r="I19" i="25"/>
  <c r="J17" i="22"/>
  <c r="K17" i="22" s="1"/>
  <c r="I17" i="22"/>
  <c r="J15" i="26"/>
  <c r="K15" i="26" s="1"/>
  <c r="I15" i="26"/>
  <c r="J17" i="18"/>
  <c r="K17" i="18" s="1"/>
  <c r="I17" i="18"/>
  <c r="J24" i="18"/>
  <c r="K24" i="18" s="1"/>
  <c r="I24" i="18"/>
  <c r="J10" i="18"/>
  <c r="K10" i="18" s="1"/>
  <c r="I10" i="18"/>
  <c r="I17" i="27"/>
  <c r="J18" i="24"/>
  <c r="K18" i="24" s="1"/>
  <c r="I18" i="24"/>
  <c r="J19" i="22"/>
  <c r="K19" i="22" s="1"/>
  <c r="I19" i="22"/>
  <c r="J14" i="26"/>
  <c r="K14" i="26" s="1"/>
  <c r="I14" i="26"/>
  <c r="J14" i="24"/>
  <c r="K14" i="24" s="1"/>
  <c r="I14" i="24"/>
  <c r="J18" i="18"/>
  <c r="K18" i="18" s="1"/>
  <c r="I18" i="18"/>
  <c r="J19" i="18"/>
  <c r="K19" i="18" s="1"/>
  <c r="I19" i="18"/>
  <c r="J18" i="22"/>
  <c r="K18" i="22" s="1"/>
  <c r="I18" i="22"/>
  <c r="I27" i="26"/>
  <c r="J20" i="26"/>
  <c r="K20" i="26" s="1"/>
  <c r="I20" i="26"/>
  <c r="J19" i="23"/>
  <c r="K19" i="23" s="1"/>
  <c r="I19" i="23"/>
  <c r="J9" i="23"/>
  <c r="K9" i="23" s="1"/>
  <c r="J10" i="23"/>
  <c r="K10" i="23" s="1"/>
  <c r="I10" i="23"/>
  <c r="J17" i="23"/>
  <c r="K17" i="23" s="1"/>
  <c r="I17" i="23"/>
  <c r="J18" i="23"/>
  <c r="K18" i="23" s="1"/>
  <c r="I18" i="23"/>
  <c r="B21" i="31"/>
  <c r="D9" i="23"/>
  <c r="E9" i="23" s="1"/>
  <c r="E10" i="22"/>
  <c r="C9" i="42"/>
  <c r="H9" i="42" s="1"/>
  <c r="K9" i="42" s="1"/>
  <c r="E10" i="18"/>
  <c r="C8" i="42"/>
  <c r="H8" i="42" s="1"/>
  <c r="K8" i="42" s="1"/>
  <c r="B15" i="23"/>
  <c r="J17" i="25"/>
  <c r="D6" i="36"/>
  <c r="E6" i="36" s="1"/>
  <c r="D6" i="38"/>
  <c r="E6" i="38" s="1"/>
  <c r="D18" i="37"/>
  <c r="E18" i="37" s="1"/>
  <c r="F18" i="37"/>
  <c r="H18" i="37" s="1"/>
  <c r="I18" i="37" s="1"/>
  <c r="D7" i="37"/>
  <c r="E7" i="37" s="1"/>
  <c r="F7" i="37"/>
  <c r="H7" i="37" s="1"/>
  <c r="I7" i="37" s="1"/>
  <c r="D16" i="40"/>
  <c r="E16" i="40" s="1"/>
  <c r="D7" i="36"/>
  <c r="E7" i="36" s="1"/>
  <c r="D28" i="40"/>
  <c r="E28" i="40" s="1"/>
  <c r="D28" i="38"/>
  <c r="E28" i="38" s="1"/>
  <c r="D19" i="37"/>
  <c r="E19" i="37" s="1"/>
  <c r="F19" i="37"/>
  <c r="H19" i="37" s="1"/>
  <c r="I19" i="37" s="1"/>
  <c r="D28" i="37"/>
  <c r="E28" i="37" s="1"/>
  <c r="F28" i="37"/>
  <c r="H28" i="37" s="1"/>
  <c r="I28" i="37" s="1"/>
  <c r="D8" i="40"/>
  <c r="E8" i="40" s="1"/>
  <c r="D7" i="40"/>
  <c r="E7" i="40" s="1"/>
  <c r="D20" i="34"/>
  <c r="E20" i="34" s="1"/>
  <c r="D17" i="31"/>
  <c r="E17" i="31" s="1"/>
  <c r="D17" i="34"/>
  <c r="E17" i="34" s="1"/>
  <c r="D21" i="33"/>
  <c r="E21" i="33" s="1"/>
  <c r="D18" i="33"/>
  <c r="E18" i="33" s="1"/>
  <c r="D9" i="36"/>
  <c r="E9" i="36" s="1"/>
  <c r="D9" i="40"/>
  <c r="E9" i="40" s="1"/>
  <c r="D8" i="39"/>
  <c r="E8" i="39" s="1"/>
  <c r="D15" i="37"/>
  <c r="E15" i="37" s="1"/>
  <c r="F15" i="37"/>
  <c r="H15" i="37" s="1"/>
  <c r="I15" i="37" s="1"/>
  <c r="D16" i="37"/>
  <c r="E16" i="37" s="1"/>
  <c r="F16" i="37"/>
  <c r="H16" i="37" s="1"/>
  <c r="I16" i="37" s="1"/>
  <c r="D15" i="36"/>
  <c r="E15" i="36" s="1"/>
  <c r="B12" i="18"/>
  <c r="D15" i="22"/>
  <c r="E15" i="22" s="1"/>
  <c r="J15" i="22"/>
  <c r="K15" i="22" s="1"/>
  <c r="B14" i="29"/>
  <c r="D16" i="34"/>
  <c r="E16" i="34" s="1"/>
  <c r="D8" i="37"/>
  <c r="E8" i="37" s="1"/>
  <c r="F8" i="37"/>
  <c r="H8" i="37" s="1"/>
  <c r="I8" i="37" s="1"/>
  <c r="D6" i="37"/>
  <c r="E6" i="37" s="1"/>
  <c r="F6" i="37"/>
  <c r="H6" i="37" s="1"/>
  <c r="I6" i="37" s="1"/>
  <c r="D14" i="23"/>
  <c r="E14" i="23" s="1"/>
  <c r="B12" i="22"/>
  <c r="D15" i="34"/>
  <c r="E15" i="34" s="1"/>
  <c r="D28" i="36"/>
  <c r="E28" i="36" s="1"/>
  <c r="D19" i="36"/>
  <c r="E19" i="36" s="1"/>
  <c r="D28" i="39"/>
  <c r="E28" i="39" s="1"/>
  <c r="D19" i="30"/>
  <c r="E19" i="30" s="1"/>
  <c r="D21" i="34"/>
  <c r="E21" i="34" s="1"/>
  <c r="D18" i="34"/>
  <c r="E18" i="34" s="1"/>
  <c r="D18" i="32"/>
  <c r="E18" i="32" s="1"/>
  <c r="D6" i="40"/>
  <c r="E6" i="40" s="1"/>
  <c r="D19" i="40"/>
  <c r="E19" i="40" s="1"/>
  <c r="D15" i="38"/>
  <c r="E15" i="38" s="1"/>
  <c r="D24" i="23"/>
  <c r="E24" i="23" s="1"/>
  <c r="D15" i="18"/>
  <c r="E15" i="18" s="1"/>
  <c r="J15" i="18"/>
  <c r="K15" i="18" s="1"/>
  <c r="D15" i="32"/>
  <c r="E15" i="32" s="1"/>
  <c r="D20" i="33"/>
  <c r="E20" i="33" s="1"/>
  <c r="D16" i="36"/>
  <c r="E16" i="36" s="1"/>
  <c r="D19" i="39"/>
  <c r="E19" i="39" s="1"/>
  <c r="D9" i="39"/>
  <c r="E9" i="39" s="1"/>
  <c r="D9" i="37"/>
  <c r="E9" i="37" s="1"/>
  <c r="F9" i="37"/>
  <c r="H9" i="37" s="1"/>
  <c r="I9" i="37" s="1"/>
  <c r="D7" i="38"/>
  <c r="E7" i="38" s="1"/>
  <c r="D11" i="33"/>
  <c r="E11" i="33" s="1"/>
  <c r="D15" i="33"/>
  <c r="E15" i="33" s="1"/>
  <c r="D8" i="34"/>
  <c r="E8" i="34" s="1"/>
  <c r="D17" i="32"/>
  <c r="E17" i="32" s="1"/>
  <c r="D8" i="36"/>
  <c r="E8" i="36" s="1"/>
  <c r="D9" i="38"/>
  <c r="E9" i="38" s="1"/>
  <c r="D18" i="40"/>
  <c r="E18" i="40" s="1"/>
  <c r="D6" i="39"/>
  <c r="E6" i="39" s="1"/>
  <c r="D16" i="38"/>
  <c r="E16" i="38" s="1"/>
  <c r="D16" i="39"/>
  <c r="E16" i="39" s="1"/>
  <c r="D20" i="32"/>
  <c r="E20" i="32" s="1"/>
  <c r="D17" i="33"/>
  <c r="E17" i="33" s="1"/>
  <c r="D21" i="32"/>
  <c r="E21" i="32" s="1"/>
  <c r="D19" i="38"/>
  <c r="E19" i="38" s="1"/>
  <c r="D8" i="38"/>
  <c r="E8" i="38" s="1"/>
  <c r="D8" i="23"/>
  <c r="D13" i="23"/>
  <c r="E13" i="23" s="1"/>
  <c r="C12" i="8"/>
  <c r="G12" i="8" s="1"/>
  <c r="D10" i="23"/>
  <c r="T17" i="38"/>
  <c r="B13" i="38"/>
  <c r="Y15" i="38"/>
  <c r="B12" i="37"/>
  <c r="P21" i="37"/>
  <c r="R21" i="38"/>
  <c r="B12" i="38"/>
  <c r="T17" i="39"/>
  <c r="B13" i="39"/>
  <c r="B13" i="40"/>
  <c r="T17" i="40"/>
  <c r="Y15" i="40"/>
  <c r="R17" i="37"/>
  <c r="B13" i="37"/>
  <c r="W15" i="37"/>
  <c r="R21" i="39"/>
  <c r="B12" i="39"/>
  <c r="R21" i="40"/>
  <c r="B12" i="40"/>
  <c r="B12" i="36"/>
  <c r="R21" i="36"/>
  <c r="AF26" i="35"/>
  <c r="B13" i="36"/>
  <c r="T17" i="36"/>
  <c r="T21" i="36" s="1"/>
  <c r="T26" i="36" s="1"/>
  <c r="Y15" i="36"/>
  <c r="AB26" i="35"/>
  <c r="B10" i="31"/>
  <c r="B9" i="31"/>
  <c r="B7" i="34"/>
  <c r="B11" i="31"/>
  <c r="B8" i="31"/>
  <c r="AL30" i="30"/>
  <c r="B11" i="34"/>
  <c r="B10" i="34"/>
  <c r="B9" i="34"/>
  <c r="B13" i="34"/>
  <c r="B6" i="34"/>
  <c r="T22" i="33"/>
  <c r="B16" i="33"/>
  <c r="B7" i="32"/>
  <c r="B13" i="32"/>
  <c r="B11" i="32"/>
  <c r="B9" i="32"/>
  <c r="B8" i="32"/>
  <c r="T22" i="32"/>
  <c r="T30" i="32" s="1"/>
  <c r="B30" i="32" s="1"/>
  <c r="B16" i="32"/>
  <c r="D18" i="31"/>
  <c r="E18" i="31" s="1"/>
  <c r="D20" i="31"/>
  <c r="E20" i="31" s="1"/>
  <c r="D19" i="31"/>
  <c r="E19" i="31" s="1"/>
  <c r="B7" i="33"/>
  <c r="B13" i="33"/>
  <c r="B9" i="33"/>
  <c r="B8" i="33"/>
  <c r="B10" i="33"/>
  <c r="B6" i="33"/>
  <c r="B10" i="32"/>
  <c r="T22" i="34"/>
  <c r="B6" i="32"/>
  <c r="B7" i="31"/>
  <c r="B16" i="31"/>
  <c r="B13" i="31"/>
  <c r="B14" i="28"/>
  <c r="I14" i="28" s="1"/>
  <c r="B18" i="28"/>
  <c r="B18" i="29"/>
  <c r="D21" i="26"/>
  <c r="E21" i="26" s="1"/>
  <c r="D20" i="26"/>
  <c r="E20" i="26" s="1"/>
  <c r="B23" i="26"/>
  <c r="B33" i="26"/>
  <c r="D21" i="24"/>
  <c r="E21" i="24" s="1"/>
  <c r="D20" i="24"/>
  <c r="E20" i="24" s="1"/>
  <c r="B33" i="24"/>
  <c r="B21" i="22"/>
  <c r="D20" i="22"/>
  <c r="E20" i="22" s="1"/>
  <c r="D11" i="22"/>
  <c r="D11" i="18"/>
  <c r="B21" i="18"/>
  <c r="D20" i="18"/>
  <c r="E20" i="18" s="1"/>
  <c r="F27" i="52" l="1"/>
  <c r="F29" i="52"/>
  <c r="I30" i="52"/>
  <c r="F22" i="52"/>
  <c r="B30" i="52"/>
  <c r="F25" i="52"/>
  <c r="F28" i="52"/>
  <c r="F21" i="52"/>
  <c r="G31" i="52"/>
  <c r="F26" i="52"/>
  <c r="F23" i="52"/>
  <c r="C30" i="52"/>
  <c r="F24" i="52"/>
  <c r="H30" i="52"/>
  <c r="E30" i="52"/>
  <c r="D30" i="52"/>
  <c r="T17" i="35"/>
  <c r="T21" i="35" s="1"/>
  <c r="H10" i="42"/>
  <c r="K10" i="42" s="1"/>
  <c r="B29" i="18"/>
  <c r="I13" i="32"/>
  <c r="B14" i="32"/>
  <c r="B26" i="31"/>
  <c r="AK13" i="58"/>
  <c r="D18" i="30"/>
  <c r="E18" i="30" s="1"/>
  <c r="D19" i="35"/>
  <c r="E19" i="35" s="1"/>
  <c r="D15" i="35"/>
  <c r="E15" i="35" s="1"/>
  <c r="I27" i="54"/>
  <c r="D14" i="35"/>
  <c r="E14" i="35" s="1"/>
  <c r="D16" i="35"/>
  <c r="E16" i="35" s="1"/>
  <c r="Y15" i="35"/>
  <c r="T22" i="30"/>
  <c r="T30" i="30" s="1"/>
  <c r="B30" i="30" s="1"/>
  <c r="B39" i="30" s="1"/>
  <c r="D17" i="30"/>
  <c r="E17" i="30" s="1"/>
  <c r="D18" i="35"/>
  <c r="E18" i="35" s="1"/>
  <c r="AK9" i="35"/>
  <c r="D7" i="35"/>
  <c r="E7" i="35" s="1"/>
  <c r="B13" i="35"/>
  <c r="I9" i="35"/>
  <c r="D6" i="35"/>
  <c r="E6" i="35" s="1"/>
  <c r="D9" i="35"/>
  <c r="E9" i="35" s="1"/>
  <c r="D8" i="35"/>
  <c r="E8" i="35" s="1"/>
  <c r="D28" i="35"/>
  <c r="E28" i="35" s="1"/>
  <c r="R21" i="35"/>
  <c r="B23" i="35" s="1"/>
  <c r="D6" i="31"/>
  <c r="E6" i="31" s="1"/>
  <c r="B7" i="30"/>
  <c r="D15" i="30"/>
  <c r="E15" i="30" s="1"/>
  <c r="J6" i="31"/>
  <c r="K6" i="31" s="1"/>
  <c r="B11" i="30"/>
  <c r="B8" i="30"/>
  <c r="B6" i="30"/>
  <c r="J27" i="51"/>
  <c r="K27" i="51" s="1"/>
  <c r="B13" i="30"/>
  <c r="D15" i="31"/>
  <c r="E15" i="31" s="1"/>
  <c r="B10" i="30"/>
  <c r="B9" i="30"/>
  <c r="I15" i="31"/>
  <c r="B26" i="30"/>
  <c r="J26" i="30" s="1"/>
  <c r="K26" i="30" s="1"/>
  <c r="I32" i="25"/>
  <c r="D21" i="25"/>
  <c r="E21" i="25" s="1"/>
  <c r="I27" i="24"/>
  <c r="J14" i="25"/>
  <c r="K14" i="25" s="1"/>
  <c r="I32" i="24"/>
  <c r="J21" i="25"/>
  <c r="K21" i="25" s="1"/>
  <c r="B33" i="25"/>
  <c r="J33" i="25" s="1"/>
  <c r="K33" i="25" s="1"/>
  <c r="I20" i="25"/>
  <c r="D20" i="25"/>
  <c r="E20" i="25" s="1"/>
  <c r="J18" i="25"/>
  <c r="K18" i="25" s="1"/>
  <c r="I18" i="25"/>
  <c r="J25" i="25"/>
  <c r="K25" i="25" s="1"/>
  <c r="I25" i="25"/>
  <c r="I27" i="25" s="1"/>
  <c r="D20" i="23"/>
  <c r="E20" i="23" s="1"/>
  <c r="J15" i="23"/>
  <c r="K15" i="23" s="1"/>
  <c r="B39" i="31"/>
  <c r="J21" i="18"/>
  <c r="K21" i="18" s="1"/>
  <c r="H21" i="42"/>
  <c r="K21" i="42" s="1"/>
  <c r="I20" i="23"/>
  <c r="B14" i="27"/>
  <c r="J18" i="28"/>
  <c r="K18" i="28" s="1"/>
  <c r="J33" i="26"/>
  <c r="K33" i="26" s="1"/>
  <c r="I18" i="28"/>
  <c r="J18" i="35"/>
  <c r="K18" i="35" s="1"/>
  <c r="I18" i="35"/>
  <c r="J16" i="39"/>
  <c r="K16" i="39" s="1"/>
  <c r="I16" i="39"/>
  <c r="J9" i="38"/>
  <c r="K9" i="38" s="1"/>
  <c r="I9" i="38"/>
  <c r="J7" i="38"/>
  <c r="K7" i="38" s="1"/>
  <c r="I7" i="38"/>
  <c r="J16" i="36"/>
  <c r="K16" i="36" s="1"/>
  <c r="I16" i="36"/>
  <c r="J19" i="40"/>
  <c r="K19" i="40" s="1"/>
  <c r="I19" i="40"/>
  <c r="J28" i="39"/>
  <c r="K28" i="39" s="1"/>
  <c r="I28" i="39"/>
  <c r="J9" i="36"/>
  <c r="K9" i="36" s="1"/>
  <c r="J8" i="40"/>
  <c r="K8" i="40" s="1"/>
  <c r="I8" i="40"/>
  <c r="J28" i="40"/>
  <c r="K28" i="40" s="1"/>
  <c r="I28" i="40"/>
  <c r="J6" i="36"/>
  <c r="K6" i="36" s="1"/>
  <c r="I6" i="36"/>
  <c r="J8" i="38"/>
  <c r="K8" i="38" s="1"/>
  <c r="I8" i="38"/>
  <c r="J16" i="38"/>
  <c r="K16" i="38" s="1"/>
  <c r="I16" i="38"/>
  <c r="J8" i="36"/>
  <c r="K8" i="36" s="1"/>
  <c r="I8" i="36"/>
  <c r="J19" i="35"/>
  <c r="K19" i="35" s="1"/>
  <c r="I19" i="35"/>
  <c r="J6" i="40"/>
  <c r="K6" i="40" s="1"/>
  <c r="I6" i="40"/>
  <c r="J19" i="36"/>
  <c r="K19" i="36" s="1"/>
  <c r="I19" i="36"/>
  <c r="J8" i="39"/>
  <c r="K8" i="39" s="1"/>
  <c r="I8" i="39"/>
  <c r="J8" i="35"/>
  <c r="K8" i="35" s="1"/>
  <c r="I8" i="35"/>
  <c r="J19" i="38"/>
  <c r="K19" i="38" s="1"/>
  <c r="I19" i="38"/>
  <c r="J6" i="39"/>
  <c r="K6" i="39" s="1"/>
  <c r="I6" i="39"/>
  <c r="J6" i="35"/>
  <c r="K6" i="35" s="1"/>
  <c r="I6" i="35"/>
  <c r="J9" i="39"/>
  <c r="K9" i="39" s="1"/>
  <c r="I9" i="39"/>
  <c r="J16" i="35"/>
  <c r="K16" i="35" s="1"/>
  <c r="I16" i="35"/>
  <c r="J12" i="35"/>
  <c r="K12" i="35" s="1"/>
  <c r="I12" i="35"/>
  <c r="J28" i="36"/>
  <c r="K28" i="36" s="1"/>
  <c r="I28" i="36"/>
  <c r="J15" i="36"/>
  <c r="K15" i="36" s="1"/>
  <c r="I15" i="36"/>
  <c r="J9" i="40"/>
  <c r="K9" i="40" s="1"/>
  <c r="I9" i="40"/>
  <c r="J7" i="36"/>
  <c r="K7" i="36" s="1"/>
  <c r="I7" i="36"/>
  <c r="J6" i="38"/>
  <c r="K6" i="38" s="1"/>
  <c r="I6" i="38"/>
  <c r="J18" i="40"/>
  <c r="K18" i="40" s="1"/>
  <c r="I18" i="40"/>
  <c r="J7" i="35"/>
  <c r="K7" i="35" s="1"/>
  <c r="I7" i="35"/>
  <c r="J19" i="39"/>
  <c r="K19" i="39" s="1"/>
  <c r="I19" i="39"/>
  <c r="J15" i="38"/>
  <c r="K15" i="38" s="1"/>
  <c r="I15" i="38"/>
  <c r="J14" i="35"/>
  <c r="K14" i="35" s="1"/>
  <c r="I14" i="35"/>
  <c r="J15" i="35"/>
  <c r="K15" i="35" s="1"/>
  <c r="I15" i="35"/>
  <c r="J7" i="40"/>
  <c r="K7" i="40" s="1"/>
  <c r="I7" i="40"/>
  <c r="J28" i="38"/>
  <c r="K28" i="38" s="1"/>
  <c r="I28" i="38"/>
  <c r="J16" i="40"/>
  <c r="K16" i="40" s="1"/>
  <c r="I16" i="40"/>
  <c r="J28" i="35"/>
  <c r="K28" i="35" s="1"/>
  <c r="I28" i="35"/>
  <c r="J13" i="32"/>
  <c r="K13" i="32" s="1"/>
  <c r="J20" i="32"/>
  <c r="K20" i="32" s="1"/>
  <c r="I20" i="32"/>
  <c r="J20" i="33"/>
  <c r="K20" i="33" s="1"/>
  <c r="I20" i="33"/>
  <c r="J19" i="30"/>
  <c r="K19" i="30" s="1"/>
  <c r="I19" i="30"/>
  <c r="J18" i="33"/>
  <c r="K18" i="33" s="1"/>
  <c r="I18" i="33"/>
  <c r="J17" i="31"/>
  <c r="K17" i="31" s="1"/>
  <c r="I17" i="31"/>
  <c r="J20" i="30"/>
  <c r="K20" i="30" s="1"/>
  <c r="I20" i="30"/>
  <c r="J17" i="30"/>
  <c r="K17" i="30" s="1"/>
  <c r="I17" i="30"/>
  <c r="J21" i="33"/>
  <c r="K21" i="33" s="1"/>
  <c r="I21" i="33"/>
  <c r="J20" i="34"/>
  <c r="K20" i="34" s="1"/>
  <c r="I20" i="34"/>
  <c r="J16" i="31"/>
  <c r="K16" i="31" s="1"/>
  <c r="I16" i="31"/>
  <c r="J6" i="33"/>
  <c r="K6" i="33" s="1"/>
  <c r="I6" i="33"/>
  <c r="J21" i="32"/>
  <c r="K21" i="32" s="1"/>
  <c r="I21" i="32"/>
  <c r="J11" i="33"/>
  <c r="K11" i="33" s="1"/>
  <c r="I11" i="33"/>
  <c r="J18" i="32"/>
  <c r="K18" i="32" s="1"/>
  <c r="I18" i="32"/>
  <c r="J21" i="31"/>
  <c r="K21" i="31" s="1"/>
  <c r="I21" i="31"/>
  <c r="J15" i="34"/>
  <c r="K15" i="34" s="1"/>
  <c r="I15" i="34"/>
  <c r="J13" i="29"/>
  <c r="K13" i="29" s="1"/>
  <c r="I13" i="29"/>
  <c r="I18" i="29" s="1"/>
  <c r="J17" i="34"/>
  <c r="K17" i="34" s="1"/>
  <c r="I17" i="34"/>
  <c r="J6" i="32"/>
  <c r="K6" i="32" s="1"/>
  <c r="I6" i="32"/>
  <c r="J16" i="34"/>
  <c r="K16" i="34" s="1"/>
  <c r="I16" i="34"/>
  <c r="J7" i="31"/>
  <c r="K7" i="31" s="1"/>
  <c r="I7" i="31"/>
  <c r="J17" i="32"/>
  <c r="K17" i="32" s="1"/>
  <c r="I17" i="32"/>
  <c r="J15" i="30"/>
  <c r="K15" i="30" s="1"/>
  <c r="I15" i="30"/>
  <c r="J18" i="34"/>
  <c r="K18" i="34" s="1"/>
  <c r="I18" i="34"/>
  <c r="J14" i="29"/>
  <c r="K14" i="29" s="1"/>
  <c r="I14" i="29"/>
  <c r="J18" i="30"/>
  <c r="K18" i="30" s="1"/>
  <c r="I18" i="30"/>
  <c r="J13" i="33"/>
  <c r="K13" i="33" s="1"/>
  <c r="I13" i="33"/>
  <c r="J17" i="33"/>
  <c r="K17" i="33" s="1"/>
  <c r="I17" i="33"/>
  <c r="J8" i="34"/>
  <c r="K8" i="34" s="1"/>
  <c r="I8" i="34"/>
  <c r="J21" i="34"/>
  <c r="K21" i="34" s="1"/>
  <c r="I21" i="34"/>
  <c r="J15" i="33"/>
  <c r="K15" i="33" s="1"/>
  <c r="I15" i="33"/>
  <c r="J15" i="32"/>
  <c r="K15" i="32" s="1"/>
  <c r="I15" i="32"/>
  <c r="I33" i="26"/>
  <c r="I20" i="18"/>
  <c r="I21" i="18" s="1"/>
  <c r="J11" i="22"/>
  <c r="K11" i="22" s="1"/>
  <c r="I11" i="22"/>
  <c r="I20" i="22"/>
  <c r="I21" i="22" s="1"/>
  <c r="J11" i="18"/>
  <c r="K11" i="18" s="1"/>
  <c r="I11" i="18"/>
  <c r="J23" i="24"/>
  <c r="K23" i="24" s="1"/>
  <c r="I23" i="24"/>
  <c r="J23" i="26"/>
  <c r="K23" i="26" s="1"/>
  <c r="I23" i="26"/>
  <c r="J13" i="27"/>
  <c r="K13" i="27" s="1"/>
  <c r="I13" i="27"/>
  <c r="I18" i="27" s="1"/>
  <c r="J13" i="23"/>
  <c r="K13" i="23" s="1"/>
  <c r="I13" i="23"/>
  <c r="J14" i="23"/>
  <c r="K14" i="23" s="1"/>
  <c r="I14" i="23"/>
  <c r="J24" i="23"/>
  <c r="K24" i="23" s="1"/>
  <c r="I24" i="23"/>
  <c r="J8" i="23"/>
  <c r="K8" i="23" s="1"/>
  <c r="I8" i="23"/>
  <c r="F3" i="42"/>
  <c r="D21" i="31"/>
  <c r="E21" i="31" s="1"/>
  <c r="K17" i="25"/>
  <c r="E8" i="23"/>
  <c r="C7" i="42"/>
  <c r="H7" i="42" s="1"/>
  <c r="K7" i="42" s="1"/>
  <c r="B24" i="24"/>
  <c r="D27" i="30"/>
  <c r="E27" i="30" s="1"/>
  <c r="D16" i="30"/>
  <c r="E16" i="30" s="1"/>
  <c r="D7" i="33"/>
  <c r="E7" i="33" s="1"/>
  <c r="D11" i="32"/>
  <c r="E11" i="32" s="1"/>
  <c r="D9" i="34"/>
  <c r="E9" i="34" s="1"/>
  <c r="D10" i="31"/>
  <c r="E10" i="31" s="1"/>
  <c r="D12" i="18"/>
  <c r="E12" i="18" s="1"/>
  <c r="B12" i="23"/>
  <c r="U6" i="7" s="1"/>
  <c r="D21" i="18"/>
  <c r="E21" i="18" s="1"/>
  <c r="D10" i="32"/>
  <c r="E10" i="32" s="1"/>
  <c r="D10" i="34"/>
  <c r="E10" i="34" s="1"/>
  <c r="D12" i="38"/>
  <c r="E12" i="38" s="1"/>
  <c r="B19" i="29"/>
  <c r="J18" i="29"/>
  <c r="K18" i="29" s="1"/>
  <c r="D7" i="32"/>
  <c r="E7" i="32" s="1"/>
  <c r="D11" i="34"/>
  <c r="E11" i="34" s="1"/>
  <c r="D13" i="37"/>
  <c r="E13" i="37" s="1"/>
  <c r="F13" i="37"/>
  <c r="H13" i="37" s="1"/>
  <c r="I13" i="37" s="1"/>
  <c r="D16" i="33"/>
  <c r="E16" i="33" s="1"/>
  <c r="D16" i="32"/>
  <c r="E16" i="32" s="1"/>
  <c r="D8" i="31"/>
  <c r="E8" i="31" s="1"/>
  <c r="D12" i="36"/>
  <c r="E12" i="36" s="1"/>
  <c r="D12" i="37"/>
  <c r="E12" i="37" s="1"/>
  <c r="F12" i="37"/>
  <c r="H12" i="37" s="1"/>
  <c r="I12" i="37" s="1"/>
  <c r="D8" i="33"/>
  <c r="E8" i="33" s="1"/>
  <c r="D6" i="34"/>
  <c r="E6" i="34" s="1"/>
  <c r="D11" i="31"/>
  <c r="E11" i="31" s="1"/>
  <c r="D12" i="40"/>
  <c r="E12" i="40" s="1"/>
  <c r="D21" i="30"/>
  <c r="E21" i="30" s="1"/>
  <c r="D10" i="33"/>
  <c r="E10" i="33" s="1"/>
  <c r="D21" i="22"/>
  <c r="E21" i="22" s="1"/>
  <c r="J21" i="22"/>
  <c r="K21" i="22" s="1"/>
  <c r="D9" i="33"/>
  <c r="E9" i="33" s="1"/>
  <c r="D8" i="32"/>
  <c r="E8" i="32" s="1"/>
  <c r="D7" i="34"/>
  <c r="E7" i="34" s="1"/>
  <c r="D13" i="40"/>
  <c r="E13" i="40" s="1"/>
  <c r="D13" i="38"/>
  <c r="E13" i="38" s="1"/>
  <c r="D15" i="23"/>
  <c r="E15" i="23" s="1"/>
  <c r="D12" i="22"/>
  <c r="E12" i="22" s="1"/>
  <c r="B34" i="24"/>
  <c r="J33" i="24"/>
  <c r="K33" i="24" s="1"/>
  <c r="D9" i="32"/>
  <c r="E9" i="32" s="1"/>
  <c r="D13" i="34"/>
  <c r="E13" i="34" s="1"/>
  <c r="D9" i="31"/>
  <c r="E9" i="31" s="1"/>
  <c r="D13" i="36"/>
  <c r="E13" i="36" s="1"/>
  <c r="D12" i="39"/>
  <c r="E12" i="39" s="1"/>
  <c r="D13" i="39"/>
  <c r="E13" i="39" s="1"/>
  <c r="E10" i="23"/>
  <c r="B26" i="34"/>
  <c r="B27" i="34"/>
  <c r="B29" i="37"/>
  <c r="B17" i="37"/>
  <c r="R21" i="37"/>
  <c r="B10" i="38"/>
  <c r="B23" i="38"/>
  <c r="B22" i="38"/>
  <c r="B11" i="38"/>
  <c r="B23" i="37"/>
  <c r="F23" i="37" s="1"/>
  <c r="H23" i="37" s="1"/>
  <c r="I23" i="37" s="1"/>
  <c r="B11" i="37"/>
  <c r="B10" i="37"/>
  <c r="B22" i="37"/>
  <c r="F22" i="37" s="1"/>
  <c r="H22" i="37" s="1"/>
  <c r="I22" i="37" s="1"/>
  <c r="T21" i="40"/>
  <c r="B29" i="40"/>
  <c r="B17" i="40"/>
  <c r="B22" i="40"/>
  <c r="B10" i="40"/>
  <c r="B23" i="40"/>
  <c r="B11" i="40"/>
  <c r="D12" i="35"/>
  <c r="E12" i="35" s="1"/>
  <c r="AK12" i="35"/>
  <c r="B10" i="39"/>
  <c r="B22" i="39"/>
  <c r="B11" i="39"/>
  <c r="B23" i="39"/>
  <c r="T21" i="38"/>
  <c r="B29" i="38"/>
  <c r="B17" i="38"/>
  <c r="B17" i="39"/>
  <c r="B29" i="39"/>
  <c r="T21" i="39"/>
  <c r="T26" i="39" s="1"/>
  <c r="B26" i="39" s="1"/>
  <c r="B39" i="39" s="1"/>
  <c r="B17" i="36"/>
  <c r="B29" i="36"/>
  <c r="B10" i="36"/>
  <c r="B11" i="36"/>
  <c r="B22" i="36"/>
  <c r="B23" i="36"/>
  <c r="B12" i="34"/>
  <c r="B14" i="34"/>
  <c r="D16" i="31"/>
  <c r="E16" i="31" s="1"/>
  <c r="D13" i="32"/>
  <c r="E13" i="32" s="1"/>
  <c r="B27" i="32"/>
  <c r="B26" i="32"/>
  <c r="B12" i="33"/>
  <c r="D6" i="33"/>
  <c r="E6" i="33" s="1"/>
  <c r="D6" i="32"/>
  <c r="E6" i="32" s="1"/>
  <c r="B12" i="32"/>
  <c r="D7" i="31"/>
  <c r="E7" i="31" s="1"/>
  <c r="B24" i="33"/>
  <c r="B22" i="33"/>
  <c r="T30" i="33"/>
  <c r="B30" i="33" s="1"/>
  <c r="B27" i="31"/>
  <c r="D13" i="31"/>
  <c r="E13" i="31" s="1"/>
  <c r="B24" i="32"/>
  <c r="B22" i="32"/>
  <c r="T30" i="34"/>
  <c r="B30" i="34" s="1"/>
  <c r="B39" i="34" s="1"/>
  <c r="B22" i="34"/>
  <c r="B24" i="34"/>
  <c r="B14" i="33"/>
  <c r="B27" i="33"/>
  <c r="D13" i="33"/>
  <c r="E13" i="33" s="1"/>
  <c r="B26" i="33"/>
  <c r="B12" i="31"/>
  <c r="B14" i="31"/>
  <c r="B24" i="31"/>
  <c r="B22" i="31"/>
  <c r="B19" i="28"/>
  <c r="B34" i="26"/>
  <c r="B24" i="26"/>
  <c r="B21" i="23"/>
  <c r="D11" i="23"/>
  <c r="B22" i="22"/>
  <c r="E11" i="22"/>
  <c r="E11" i="18"/>
  <c r="B22" i="18"/>
  <c r="G33" i="52" l="1"/>
  <c r="I18" i="42" s="1"/>
  <c r="G32" i="52"/>
  <c r="F30" i="52"/>
  <c r="F31" i="52" s="1"/>
  <c r="I31" i="52"/>
  <c r="T26" i="35"/>
  <c r="B26" i="35" s="1"/>
  <c r="B17" i="35"/>
  <c r="D17" i="35" s="1"/>
  <c r="E17" i="35" s="1"/>
  <c r="AK10" i="53"/>
  <c r="AK30" i="58"/>
  <c r="J24" i="31"/>
  <c r="K24" i="31" s="1"/>
  <c r="AK24" i="58"/>
  <c r="B22" i="30"/>
  <c r="B24" i="30"/>
  <c r="I24" i="30" s="1"/>
  <c r="B11" i="35"/>
  <c r="B29" i="35"/>
  <c r="B20" i="35"/>
  <c r="B22" i="35"/>
  <c r="J22" i="35" s="1"/>
  <c r="K22" i="35" s="1"/>
  <c r="D13" i="35"/>
  <c r="E13" i="35" s="1"/>
  <c r="B10" i="35"/>
  <c r="D7" i="30"/>
  <c r="E7" i="30" s="1"/>
  <c r="B14" i="30"/>
  <c r="D13" i="30"/>
  <c r="E13" i="30" s="1"/>
  <c r="B12" i="30"/>
  <c r="D8" i="30"/>
  <c r="E8" i="30" s="1"/>
  <c r="D26" i="30"/>
  <c r="E26" i="30" s="1"/>
  <c r="AK13" i="30"/>
  <c r="D11" i="30"/>
  <c r="E11" i="30" s="1"/>
  <c r="D10" i="30"/>
  <c r="E10" i="30" s="1"/>
  <c r="D6" i="30"/>
  <c r="E6" i="30" s="1"/>
  <c r="D9" i="30"/>
  <c r="E9" i="30" s="1"/>
  <c r="B28" i="30"/>
  <c r="I33" i="25"/>
  <c r="I33" i="24"/>
  <c r="I34" i="24" s="1"/>
  <c r="J24" i="24"/>
  <c r="K24" i="24" s="1"/>
  <c r="B24" i="25"/>
  <c r="I12" i="23"/>
  <c r="I14" i="27"/>
  <c r="I23" i="35"/>
  <c r="J23" i="35"/>
  <c r="K23" i="35" s="1"/>
  <c r="I26" i="30"/>
  <c r="J30" i="33"/>
  <c r="K30" i="33" s="1"/>
  <c r="B39" i="33"/>
  <c r="J30" i="34"/>
  <c r="K30" i="34" s="1"/>
  <c r="J30" i="32"/>
  <c r="K30" i="32" s="1"/>
  <c r="B39" i="32"/>
  <c r="B28" i="31"/>
  <c r="B22" i="23"/>
  <c r="I19" i="28"/>
  <c r="B19" i="27"/>
  <c r="B35" i="24"/>
  <c r="J14" i="31"/>
  <c r="K14" i="31" s="1"/>
  <c r="I14" i="31"/>
  <c r="J23" i="36"/>
  <c r="K23" i="36" s="1"/>
  <c r="I23" i="36"/>
  <c r="J12" i="39"/>
  <c r="K12" i="39" s="1"/>
  <c r="I12" i="39"/>
  <c r="J13" i="38"/>
  <c r="K13" i="38" s="1"/>
  <c r="I13" i="38"/>
  <c r="J12" i="40"/>
  <c r="K12" i="40" s="1"/>
  <c r="I12" i="40"/>
  <c r="J22" i="36"/>
  <c r="K22" i="36" s="1"/>
  <c r="I22" i="36"/>
  <c r="J13" i="35"/>
  <c r="K13" i="35" s="1"/>
  <c r="I13" i="35"/>
  <c r="J17" i="35"/>
  <c r="K17" i="35" s="1"/>
  <c r="I17" i="35"/>
  <c r="J23" i="40"/>
  <c r="K23" i="40" s="1"/>
  <c r="I23" i="40"/>
  <c r="J13" i="36"/>
  <c r="K13" i="36" s="1"/>
  <c r="I13" i="36"/>
  <c r="J13" i="40"/>
  <c r="K13" i="40" s="1"/>
  <c r="I13" i="40"/>
  <c r="J12" i="38"/>
  <c r="K12" i="38" s="1"/>
  <c r="I12" i="38"/>
  <c r="J22" i="39"/>
  <c r="K22" i="39" s="1"/>
  <c r="I22" i="39"/>
  <c r="J22" i="38"/>
  <c r="K22" i="38" s="1"/>
  <c r="I22" i="38"/>
  <c r="J12" i="36"/>
  <c r="K12" i="36" s="1"/>
  <c r="I12" i="36"/>
  <c r="J23" i="38"/>
  <c r="K23" i="38" s="1"/>
  <c r="I23" i="38"/>
  <c r="J13" i="39"/>
  <c r="K13" i="39" s="1"/>
  <c r="I13" i="39"/>
  <c r="J23" i="39"/>
  <c r="K23" i="39" s="1"/>
  <c r="I23" i="39"/>
  <c r="J22" i="40"/>
  <c r="K22" i="40" s="1"/>
  <c r="I22" i="40"/>
  <c r="J26" i="32"/>
  <c r="K26" i="32" s="1"/>
  <c r="I26" i="32"/>
  <c r="J16" i="32"/>
  <c r="K16" i="32" s="1"/>
  <c r="I16" i="32"/>
  <c r="J7" i="30"/>
  <c r="K7" i="30" s="1"/>
  <c r="I7" i="30"/>
  <c r="J7" i="33"/>
  <c r="K7" i="33" s="1"/>
  <c r="I7" i="33"/>
  <c r="J9" i="32"/>
  <c r="K9" i="32" s="1"/>
  <c r="I9" i="32"/>
  <c r="J9" i="33"/>
  <c r="K9" i="33" s="1"/>
  <c r="I9" i="33"/>
  <c r="J6" i="30"/>
  <c r="K6" i="30" s="1"/>
  <c r="I6" i="30"/>
  <c r="J13" i="30"/>
  <c r="K13" i="30" s="1"/>
  <c r="I13" i="30"/>
  <c r="J13" i="31"/>
  <c r="K13" i="31" s="1"/>
  <c r="I13" i="31"/>
  <c r="J22" i="31"/>
  <c r="K22" i="31" s="1"/>
  <c r="I22" i="31"/>
  <c r="J12" i="31"/>
  <c r="K12" i="31" s="1"/>
  <c r="I12" i="31"/>
  <c r="J11" i="31"/>
  <c r="K11" i="31" s="1"/>
  <c r="I11" i="31"/>
  <c r="J19" i="29"/>
  <c r="K19" i="29" s="1"/>
  <c r="I19" i="29"/>
  <c r="J14" i="28"/>
  <c r="K14" i="28" s="1"/>
  <c r="J16" i="33"/>
  <c r="K16" i="33" s="1"/>
  <c r="I16" i="33"/>
  <c r="J11" i="34"/>
  <c r="K11" i="34" s="1"/>
  <c r="I11" i="34"/>
  <c r="J8" i="30"/>
  <c r="K8" i="30" s="1"/>
  <c r="I8" i="30"/>
  <c r="J10" i="31"/>
  <c r="K10" i="31" s="1"/>
  <c r="I10" i="31"/>
  <c r="J16" i="30"/>
  <c r="K16" i="30" s="1"/>
  <c r="I16" i="30"/>
  <c r="J24" i="34"/>
  <c r="K24" i="34" s="1"/>
  <c r="I24" i="34"/>
  <c r="J8" i="31"/>
  <c r="K8" i="31" s="1"/>
  <c r="I8" i="31"/>
  <c r="J10" i="30"/>
  <c r="K10" i="30" s="1"/>
  <c r="I10" i="30"/>
  <c r="J10" i="32"/>
  <c r="K10" i="32" s="1"/>
  <c r="I10" i="32"/>
  <c r="J11" i="32"/>
  <c r="K11" i="32" s="1"/>
  <c r="I11" i="32"/>
  <c r="J24" i="33"/>
  <c r="K24" i="33" s="1"/>
  <c r="I24" i="33"/>
  <c r="J24" i="32"/>
  <c r="K24" i="32" s="1"/>
  <c r="I24" i="32"/>
  <c r="J26" i="34"/>
  <c r="K26" i="34" s="1"/>
  <c r="I26" i="34"/>
  <c r="J9" i="31"/>
  <c r="K9" i="31" s="1"/>
  <c r="I9" i="31"/>
  <c r="J7" i="34"/>
  <c r="K7" i="34" s="1"/>
  <c r="I7" i="34"/>
  <c r="J10" i="33"/>
  <c r="K10" i="33" s="1"/>
  <c r="I10" i="33"/>
  <c r="J6" i="34"/>
  <c r="K6" i="34" s="1"/>
  <c r="I6" i="34"/>
  <c r="I34" i="26"/>
  <c r="J19" i="28"/>
  <c r="K19" i="28" s="1"/>
  <c r="J11" i="30"/>
  <c r="K11" i="30" s="1"/>
  <c r="I11" i="30"/>
  <c r="J7" i="32"/>
  <c r="K7" i="32" s="1"/>
  <c r="I7" i="32"/>
  <c r="J10" i="34"/>
  <c r="K10" i="34" s="1"/>
  <c r="I10" i="34"/>
  <c r="J9" i="34"/>
  <c r="K9" i="34" s="1"/>
  <c r="I9" i="34"/>
  <c r="J27" i="30"/>
  <c r="K27" i="30" s="1"/>
  <c r="I27" i="30"/>
  <c r="J26" i="33"/>
  <c r="K26" i="33" s="1"/>
  <c r="I26" i="33"/>
  <c r="J13" i="34"/>
  <c r="K13" i="34" s="1"/>
  <c r="I13" i="34"/>
  <c r="J8" i="32"/>
  <c r="K8" i="32" s="1"/>
  <c r="I8" i="32"/>
  <c r="J21" i="30"/>
  <c r="K21" i="30" s="1"/>
  <c r="I21" i="30"/>
  <c r="J8" i="33"/>
  <c r="K8" i="33" s="1"/>
  <c r="I8" i="33"/>
  <c r="I22" i="18"/>
  <c r="J12" i="22"/>
  <c r="K12" i="22" s="1"/>
  <c r="I12" i="22"/>
  <c r="J24" i="26"/>
  <c r="K24" i="26" s="1"/>
  <c r="I24" i="26"/>
  <c r="I22" i="22"/>
  <c r="J12" i="18"/>
  <c r="K12" i="18" s="1"/>
  <c r="I12" i="18"/>
  <c r="J11" i="23"/>
  <c r="K11" i="23" s="1"/>
  <c r="I11" i="23"/>
  <c r="I15" i="23"/>
  <c r="I21" i="23" s="1"/>
  <c r="D22" i="18"/>
  <c r="E22" i="18" s="1"/>
  <c r="D22" i="22"/>
  <c r="E22" i="22" s="1"/>
  <c r="J22" i="18"/>
  <c r="K22" i="18" s="1"/>
  <c r="D12" i="23"/>
  <c r="E12" i="23" s="1"/>
  <c r="D27" i="32"/>
  <c r="E27" i="32" s="1"/>
  <c r="D29" i="38"/>
  <c r="E29" i="38" s="1"/>
  <c r="D11" i="40"/>
  <c r="E11" i="40" s="1"/>
  <c r="D10" i="37"/>
  <c r="E10" i="37" s="1"/>
  <c r="F10" i="37"/>
  <c r="H10" i="37" s="1"/>
  <c r="I10" i="37" s="1"/>
  <c r="D17" i="37"/>
  <c r="E17" i="37" s="1"/>
  <c r="F17" i="37"/>
  <c r="H17" i="37" s="1"/>
  <c r="I17" i="37" s="1"/>
  <c r="D22" i="32"/>
  <c r="E22" i="32" s="1"/>
  <c r="X9" i="7"/>
  <c r="D11" i="36"/>
  <c r="E11" i="36" s="1"/>
  <c r="D11" i="37"/>
  <c r="E11" i="37" s="1"/>
  <c r="F11" i="37"/>
  <c r="H11" i="37" s="1"/>
  <c r="I11" i="37" s="1"/>
  <c r="D29" i="37"/>
  <c r="E29" i="37" s="1"/>
  <c r="F29" i="37"/>
  <c r="H29" i="37" s="1"/>
  <c r="I29" i="37" s="1"/>
  <c r="J34" i="24"/>
  <c r="K34" i="24" s="1"/>
  <c r="X6" i="7"/>
  <c r="D27" i="34"/>
  <c r="E27" i="34" s="1"/>
  <c r="B23" i="22"/>
  <c r="F24" i="42"/>
  <c r="F26" i="42" s="1"/>
  <c r="D26" i="31"/>
  <c r="E26" i="31" s="1"/>
  <c r="D14" i="34"/>
  <c r="E14" i="34" s="1"/>
  <c r="D29" i="36"/>
  <c r="E29" i="36" s="1"/>
  <c r="D11" i="39"/>
  <c r="E11" i="39" s="1"/>
  <c r="D11" i="38"/>
  <c r="E11" i="38" s="1"/>
  <c r="B35" i="26"/>
  <c r="J34" i="26"/>
  <c r="K34" i="26" s="1"/>
  <c r="D12" i="34"/>
  <c r="E12" i="34" s="1"/>
  <c r="D17" i="36"/>
  <c r="E17" i="36" s="1"/>
  <c r="D17" i="40"/>
  <c r="E17" i="40" s="1"/>
  <c r="J22" i="22"/>
  <c r="K22" i="22" s="1"/>
  <c r="D27" i="31"/>
  <c r="E27" i="31" s="1"/>
  <c r="D12" i="33"/>
  <c r="E12" i="33" s="1"/>
  <c r="D29" i="39"/>
  <c r="E29" i="39" s="1"/>
  <c r="D10" i="39"/>
  <c r="E10" i="39" s="1"/>
  <c r="D29" i="40"/>
  <c r="E29" i="40" s="1"/>
  <c r="D21" i="23"/>
  <c r="D22" i="23" s="1"/>
  <c r="E22" i="23" s="1"/>
  <c r="D17" i="39"/>
  <c r="E17" i="39" s="1"/>
  <c r="D10" i="38"/>
  <c r="E10" i="38" s="1"/>
  <c r="D27" i="33"/>
  <c r="E27" i="33" s="1"/>
  <c r="D12" i="32"/>
  <c r="E12" i="32" s="1"/>
  <c r="D10" i="36"/>
  <c r="E10" i="36" s="1"/>
  <c r="D10" i="40"/>
  <c r="E10" i="40" s="1"/>
  <c r="B23" i="18"/>
  <c r="D14" i="33"/>
  <c r="E14" i="33" s="1"/>
  <c r="X8" i="7"/>
  <c r="D22" i="34"/>
  <c r="E22" i="34" s="1"/>
  <c r="D22" i="33"/>
  <c r="E22" i="33" s="1"/>
  <c r="D14" i="32"/>
  <c r="E14" i="32" s="1"/>
  <c r="D17" i="38"/>
  <c r="E17" i="38" s="1"/>
  <c r="D30" i="34"/>
  <c r="E30" i="34" s="1"/>
  <c r="D30" i="33"/>
  <c r="E30" i="33" s="1"/>
  <c r="D30" i="32"/>
  <c r="E30" i="32" s="1"/>
  <c r="U8" i="7"/>
  <c r="B28" i="34"/>
  <c r="D30" i="30"/>
  <c r="E30" i="30" s="1"/>
  <c r="B12" i="8"/>
  <c r="F12" i="8" s="1"/>
  <c r="D26" i="34"/>
  <c r="E26" i="34" s="1"/>
  <c r="B21" i="39"/>
  <c r="B20" i="39"/>
  <c r="B24" i="40"/>
  <c r="B24" i="39"/>
  <c r="B24" i="38"/>
  <c r="B21" i="40"/>
  <c r="T26" i="40"/>
  <c r="B26" i="40" s="1"/>
  <c r="B39" i="40" s="1"/>
  <c r="B20" i="40"/>
  <c r="B24" i="37"/>
  <c r="F24" i="37" s="1"/>
  <c r="H24" i="37" s="1"/>
  <c r="I24" i="37" s="1"/>
  <c r="B20" i="37"/>
  <c r="F20" i="37" s="1"/>
  <c r="H20" i="37" s="1"/>
  <c r="I20" i="37" s="1"/>
  <c r="R26" i="37"/>
  <c r="B26" i="37" s="1"/>
  <c r="F26" i="37" s="1"/>
  <c r="H26" i="37" s="1"/>
  <c r="I26" i="37" s="1"/>
  <c r="B21" i="37"/>
  <c r="B20" i="38"/>
  <c r="B21" i="38"/>
  <c r="T26" i="38"/>
  <c r="B26" i="38" s="1"/>
  <c r="B26" i="36"/>
  <c r="B39" i="36" s="1"/>
  <c r="B21" i="36"/>
  <c r="B20" i="36"/>
  <c r="B24" i="36"/>
  <c r="B28" i="32"/>
  <c r="D26" i="32"/>
  <c r="E26" i="32" s="1"/>
  <c r="B28" i="33"/>
  <c r="D26" i="33"/>
  <c r="E26" i="33" s="1"/>
  <c r="B25" i="33"/>
  <c r="D24" i="33"/>
  <c r="E24" i="33" s="1"/>
  <c r="D12" i="31"/>
  <c r="E12" i="31" s="1"/>
  <c r="B25" i="32"/>
  <c r="D24" i="32"/>
  <c r="E24" i="32" s="1"/>
  <c r="D14" i="31"/>
  <c r="E14" i="31" s="1"/>
  <c r="B25" i="34"/>
  <c r="D24" i="34"/>
  <c r="E24" i="34" s="1"/>
  <c r="B25" i="31"/>
  <c r="D24" i="31"/>
  <c r="E24" i="31" s="1"/>
  <c r="D22" i="31"/>
  <c r="E22" i="31" s="1"/>
  <c r="D30" i="31"/>
  <c r="E30" i="31" s="1"/>
  <c r="AK30" i="30"/>
  <c r="E11" i="23"/>
  <c r="D6" i="7"/>
  <c r="B32" i="52" l="1"/>
  <c r="F33" i="52"/>
  <c r="I33" i="52"/>
  <c r="I19" i="42" s="1"/>
  <c r="K19" i="42" s="1"/>
  <c r="H32" i="52"/>
  <c r="K18" i="42"/>
  <c r="I24" i="31"/>
  <c r="B25" i="30"/>
  <c r="J25" i="30" s="1"/>
  <c r="K25" i="30" s="1"/>
  <c r="AK24" i="30"/>
  <c r="D24" i="30"/>
  <c r="F16" i="42" s="1"/>
  <c r="B13" i="8"/>
  <c r="F13" i="8" s="1"/>
  <c r="D22" i="30"/>
  <c r="E22" i="30" s="1"/>
  <c r="U9" i="7"/>
  <c r="D11" i="35"/>
  <c r="E11" i="35" s="1"/>
  <c r="B21" i="35"/>
  <c r="D29" i="35"/>
  <c r="E29" i="35" s="1"/>
  <c r="B24" i="35"/>
  <c r="J24" i="35" s="1"/>
  <c r="K24" i="35" s="1"/>
  <c r="D10" i="35"/>
  <c r="E10" i="35" s="1"/>
  <c r="D14" i="30"/>
  <c r="E14" i="30" s="1"/>
  <c r="D12" i="30"/>
  <c r="E12" i="30" s="1"/>
  <c r="D28" i="30"/>
  <c r="E28" i="30" s="1"/>
  <c r="J9" i="30"/>
  <c r="K9" i="30" s="1"/>
  <c r="I9" i="30"/>
  <c r="B23" i="25"/>
  <c r="U7" i="7"/>
  <c r="J14" i="27"/>
  <c r="K14" i="27" s="1"/>
  <c r="J12" i="23"/>
  <c r="K12" i="23" s="1"/>
  <c r="J24" i="30"/>
  <c r="K24" i="30" s="1"/>
  <c r="Y8" i="7"/>
  <c r="Y9" i="7"/>
  <c r="AK9" i="53"/>
  <c r="Y6" i="7"/>
  <c r="I22" i="35"/>
  <c r="I30" i="33"/>
  <c r="I30" i="32"/>
  <c r="I30" i="34"/>
  <c r="J26" i="38"/>
  <c r="K26" i="38" s="1"/>
  <c r="B39" i="38"/>
  <c r="I26" i="40"/>
  <c r="I26" i="39"/>
  <c r="B23" i="23"/>
  <c r="I24" i="42"/>
  <c r="I12" i="8"/>
  <c r="I24" i="24"/>
  <c r="I26" i="36"/>
  <c r="J14" i="33"/>
  <c r="K14" i="33" s="1"/>
  <c r="I14" i="33"/>
  <c r="J14" i="34"/>
  <c r="K14" i="34" s="1"/>
  <c r="I14" i="34"/>
  <c r="J14" i="32"/>
  <c r="K14" i="32" s="1"/>
  <c r="I14" i="32"/>
  <c r="J14" i="30"/>
  <c r="K14" i="30" s="1"/>
  <c r="I14" i="30"/>
  <c r="J24" i="36"/>
  <c r="K24" i="36" s="1"/>
  <c r="I24" i="36"/>
  <c r="J10" i="35"/>
  <c r="K10" i="35" s="1"/>
  <c r="I10" i="35"/>
  <c r="J17" i="36"/>
  <c r="K17" i="36" s="1"/>
  <c r="I17" i="36"/>
  <c r="J11" i="39"/>
  <c r="K11" i="39" s="1"/>
  <c r="I11" i="39"/>
  <c r="J20" i="35"/>
  <c r="K20" i="35" s="1"/>
  <c r="I20" i="35"/>
  <c r="J10" i="40"/>
  <c r="K10" i="40" s="1"/>
  <c r="I10" i="40"/>
  <c r="J10" i="38"/>
  <c r="K10" i="38" s="1"/>
  <c r="I10" i="38"/>
  <c r="J29" i="40"/>
  <c r="K29" i="40" s="1"/>
  <c r="I29" i="40"/>
  <c r="J11" i="36"/>
  <c r="K11" i="36" s="1"/>
  <c r="I11" i="36"/>
  <c r="J24" i="39"/>
  <c r="K24" i="39" s="1"/>
  <c r="I24" i="39"/>
  <c r="J20" i="38"/>
  <c r="K20" i="38" s="1"/>
  <c r="I20" i="38"/>
  <c r="J24" i="40"/>
  <c r="K24" i="40" s="1"/>
  <c r="I24" i="40"/>
  <c r="J17" i="38"/>
  <c r="K17" i="38" s="1"/>
  <c r="I17" i="38"/>
  <c r="J10" i="36"/>
  <c r="K10" i="36" s="1"/>
  <c r="I10" i="36"/>
  <c r="J17" i="39"/>
  <c r="K17" i="39" s="1"/>
  <c r="I17" i="39"/>
  <c r="J10" i="39"/>
  <c r="K10" i="39" s="1"/>
  <c r="I10" i="39"/>
  <c r="J11" i="40"/>
  <c r="K11" i="40" s="1"/>
  <c r="I11" i="40"/>
  <c r="J24" i="38"/>
  <c r="K24" i="38" s="1"/>
  <c r="I24" i="38"/>
  <c r="J20" i="36"/>
  <c r="K20" i="36" s="1"/>
  <c r="I20" i="36"/>
  <c r="J20" i="39"/>
  <c r="K20" i="39" s="1"/>
  <c r="I20" i="39"/>
  <c r="J29" i="36"/>
  <c r="K29" i="36" s="1"/>
  <c r="I29" i="36"/>
  <c r="J11" i="35"/>
  <c r="K11" i="35" s="1"/>
  <c r="I11" i="35"/>
  <c r="J29" i="39"/>
  <c r="K29" i="39" s="1"/>
  <c r="I29" i="39"/>
  <c r="J29" i="38"/>
  <c r="K29" i="38" s="1"/>
  <c r="I29" i="38"/>
  <c r="J20" i="40"/>
  <c r="K20" i="40" s="1"/>
  <c r="I20" i="40"/>
  <c r="J17" i="40"/>
  <c r="K17" i="40" s="1"/>
  <c r="I17" i="40"/>
  <c r="J11" i="38"/>
  <c r="K11" i="38" s="1"/>
  <c r="I11" i="38"/>
  <c r="J29" i="35"/>
  <c r="K29" i="35" s="1"/>
  <c r="I29" i="35"/>
  <c r="J12" i="34"/>
  <c r="K12" i="34" s="1"/>
  <c r="I12" i="34"/>
  <c r="J28" i="30"/>
  <c r="K28" i="30" s="1"/>
  <c r="I28" i="30"/>
  <c r="J27" i="31"/>
  <c r="K27" i="31" s="1"/>
  <c r="I27" i="31"/>
  <c r="J30" i="30"/>
  <c r="K30" i="30" s="1"/>
  <c r="I30" i="30"/>
  <c r="J12" i="30"/>
  <c r="K12" i="30" s="1"/>
  <c r="I12" i="30"/>
  <c r="J12" i="32"/>
  <c r="K12" i="32" s="1"/>
  <c r="I12" i="32"/>
  <c r="J22" i="32"/>
  <c r="K22" i="32" s="1"/>
  <c r="I22" i="32"/>
  <c r="J25" i="32"/>
  <c r="K25" i="32" s="1"/>
  <c r="I25" i="32"/>
  <c r="J22" i="34"/>
  <c r="K22" i="34" s="1"/>
  <c r="I22" i="34"/>
  <c r="J27" i="33"/>
  <c r="K27" i="33" s="1"/>
  <c r="I27" i="33"/>
  <c r="J22" i="30"/>
  <c r="K22" i="30" s="1"/>
  <c r="I22" i="30"/>
  <c r="J27" i="34"/>
  <c r="K27" i="34" s="1"/>
  <c r="I27" i="34"/>
  <c r="J27" i="32"/>
  <c r="K27" i="32" s="1"/>
  <c r="I27" i="32"/>
  <c r="J30" i="31"/>
  <c r="K30" i="31" s="1"/>
  <c r="I30" i="31"/>
  <c r="J28" i="33"/>
  <c r="K28" i="33" s="1"/>
  <c r="I28" i="33"/>
  <c r="J26" i="31"/>
  <c r="K26" i="31" s="1"/>
  <c r="I26" i="31"/>
  <c r="J25" i="34"/>
  <c r="K25" i="34" s="1"/>
  <c r="I25" i="34"/>
  <c r="J22" i="33"/>
  <c r="K22" i="33" s="1"/>
  <c r="I22" i="33"/>
  <c r="J12" i="33"/>
  <c r="K12" i="33" s="1"/>
  <c r="I12" i="33"/>
  <c r="J35" i="24"/>
  <c r="K35" i="24" s="1"/>
  <c r="I35" i="24"/>
  <c r="J35" i="26"/>
  <c r="K35" i="26" s="1"/>
  <c r="I35" i="26"/>
  <c r="J23" i="22"/>
  <c r="J25" i="22" s="1"/>
  <c r="I23" i="22"/>
  <c r="J23" i="18"/>
  <c r="K23" i="18" s="1"/>
  <c r="I23" i="18"/>
  <c r="I22" i="23"/>
  <c r="J21" i="23"/>
  <c r="K21" i="23" s="1"/>
  <c r="B25" i="22"/>
  <c r="D23" i="22"/>
  <c r="E23" i="22" s="1"/>
  <c r="B25" i="18"/>
  <c r="D23" i="18"/>
  <c r="D25" i="18" s="1"/>
  <c r="E25" i="18" s="1"/>
  <c r="E21" i="23"/>
  <c r="D21" i="36"/>
  <c r="E21" i="36" s="1"/>
  <c r="D28" i="32"/>
  <c r="E28" i="32" s="1"/>
  <c r="D21" i="39"/>
  <c r="E21" i="39" s="1"/>
  <c r="D25" i="31"/>
  <c r="E25" i="31" s="1"/>
  <c r="E24" i="42"/>
  <c r="D28" i="31"/>
  <c r="E28" i="31" s="1"/>
  <c r="D25" i="33"/>
  <c r="E25" i="33" s="1"/>
  <c r="D21" i="38"/>
  <c r="E21" i="38" s="1"/>
  <c r="D21" i="40"/>
  <c r="E21" i="40" s="1"/>
  <c r="D21" i="37"/>
  <c r="E21" i="37" s="1"/>
  <c r="F21" i="37"/>
  <c r="H21" i="37" s="1"/>
  <c r="I21" i="37" s="1"/>
  <c r="D28" i="34"/>
  <c r="E28" i="34" s="1"/>
  <c r="J12" i="8"/>
  <c r="AK12" i="8"/>
  <c r="D12" i="8"/>
  <c r="B11" i="8"/>
  <c r="F11" i="8" s="1"/>
  <c r="AL19" i="27"/>
  <c r="B30" i="37"/>
  <c r="F30" i="37" s="1"/>
  <c r="H30" i="37" s="1"/>
  <c r="I30" i="37" s="1"/>
  <c r="D20" i="37"/>
  <c r="E20" i="37" s="1"/>
  <c r="B25" i="37"/>
  <c r="F25" i="37" s="1"/>
  <c r="H25" i="37" s="1"/>
  <c r="I25" i="37" s="1"/>
  <c r="B30" i="38"/>
  <c r="B25" i="40"/>
  <c r="D20" i="40"/>
  <c r="E20" i="40" s="1"/>
  <c r="B30" i="40"/>
  <c r="D20" i="39"/>
  <c r="E20" i="39" s="1"/>
  <c r="B25" i="39"/>
  <c r="B25" i="38"/>
  <c r="D20" i="38"/>
  <c r="E20" i="38" s="1"/>
  <c r="B30" i="39"/>
  <c r="B25" i="36"/>
  <c r="D20" i="36"/>
  <c r="E20" i="36" s="1"/>
  <c r="B30" i="36"/>
  <c r="J27" i="35"/>
  <c r="K27" i="35" s="1"/>
  <c r="D20" i="35"/>
  <c r="E20" i="35" s="1"/>
  <c r="D25" i="34"/>
  <c r="E25" i="34" s="1"/>
  <c r="B29" i="34"/>
  <c r="B29" i="33"/>
  <c r="D28" i="33"/>
  <c r="E28" i="33" s="1"/>
  <c r="D25" i="32"/>
  <c r="E25" i="32" s="1"/>
  <c r="B29" i="32"/>
  <c r="B29" i="31"/>
  <c r="E6" i="7"/>
  <c r="C16" i="8"/>
  <c r="G16" i="8" s="1"/>
  <c r="K33" i="42" l="1"/>
  <c r="I34" i="52"/>
  <c r="AK11" i="53"/>
  <c r="I25" i="30"/>
  <c r="D25" i="30"/>
  <c r="E25" i="30" s="1"/>
  <c r="B29" i="30"/>
  <c r="AK26" i="35"/>
  <c r="B30" i="35"/>
  <c r="G24" i="42"/>
  <c r="B39" i="35"/>
  <c r="E24" i="30"/>
  <c r="J26" i="35"/>
  <c r="K26" i="35" s="1"/>
  <c r="AK21" i="35"/>
  <c r="B25" i="35"/>
  <c r="J25" i="35" s="1"/>
  <c r="K25" i="35" s="1"/>
  <c r="D21" i="35"/>
  <c r="G14" i="42" s="1"/>
  <c r="H14" i="42" s="1"/>
  <c r="K14" i="42" s="1"/>
  <c r="I21" i="35"/>
  <c r="U10" i="7"/>
  <c r="I24" i="25"/>
  <c r="J24" i="25"/>
  <c r="K24" i="25" s="1"/>
  <c r="Y7" i="7"/>
  <c r="B34" i="25"/>
  <c r="K25" i="22"/>
  <c r="H16" i="42"/>
  <c r="K16" i="42" s="1"/>
  <c r="K29" i="42" s="1"/>
  <c r="F22" i="42"/>
  <c r="B25" i="23"/>
  <c r="B9" i="8" s="1"/>
  <c r="F9" i="8" s="1"/>
  <c r="I25" i="18"/>
  <c r="AL16" i="8"/>
  <c r="J3" i="42"/>
  <c r="J26" i="42" s="1"/>
  <c r="D23" i="23"/>
  <c r="D25" i="23" s="1"/>
  <c r="E25" i="23" s="1"/>
  <c r="I25" i="22"/>
  <c r="I16" i="8"/>
  <c r="I22" i="8" s="1"/>
  <c r="I24" i="35"/>
  <c r="J26" i="40"/>
  <c r="K26" i="40" s="1"/>
  <c r="J15" i="8"/>
  <c r="K15" i="8" s="1"/>
  <c r="J26" i="36"/>
  <c r="K26" i="36" s="1"/>
  <c r="J26" i="39"/>
  <c r="K26" i="39" s="1"/>
  <c r="I26" i="38"/>
  <c r="J25" i="40"/>
  <c r="K25" i="40" s="1"/>
  <c r="I25" i="40"/>
  <c r="J25" i="39"/>
  <c r="K25" i="39" s="1"/>
  <c r="I25" i="39"/>
  <c r="J25" i="38"/>
  <c r="K25" i="38" s="1"/>
  <c r="I25" i="38"/>
  <c r="J21" i="38"/>
  <c r="K21" i="38" s="1"/>
  <c r="I21" i="38"/>
  <c r="J30" i="36"/>
  <c r="K30" i="36" s="1"/>
  <c r="I30" i="36"/>
  <c r="J21" i="36"/>
  <c r="K21" i="36" s="1"/>
  <c r="I21" i="36"/>
  <c r="J30" i="40"/>
  <c r="K30" i="40" s="1"/>
  <c r="I30" i="40"/>
  <c r="J25" i="36"/>
  <c r="K25" i="36" s="1"/>
  <c r="I25" i="36"/>
  <c r="J6" i="7"/>
  <c r="K6" i="7" s="1"/>
  <c r="I6" i="7"/>
  <c r="J30" i="39"/>
  <c r="K30" i="39" s="1"/>
  <c r="I30" i="39"/>
  <c r="J30" i="38"/>
  <c r="K30" i="38" s="1"/>
  <c r="I30" i="38"/>
  <c r="J21" i="40"/>
  <c r="K21" i="40" s="1"/>
  <c r="I21" i="40"/>
  <c r="J21" i="39"/>
  <c r="K21" i="39" s="1"/>
  <c r="I21" i="39"/>
  <c r="K23" i="22"/>
  <c r="J25" i="31"/>
  <c r="K25" i="31" s="1"/>
  <c r="I25" i="31"/>
  <c r="J28" i="32"/>
  <c r="K28" i="32" s="1"/>
  <c r="I28" i="32"/>
  <c r="J28" i="34"/>
  <c r="K28" i="34" s="1"/>
  <c r="I28" i="34"/>
  <c r="J25" i="33"/>
  <c r="K25" i="33" s="1"/>
  <c r="I25" i="33"/>
  <c r="J28" i="31"/>
  <c r="K28" i="31" s="1"/>
  <c r="I28" i="31"/>
  <c r="J29" i="31"/>
  <c r="K29" i="31" s="1"/>
  <c r="I29" i="31"/>
  <c r="J25" i="18"/>
  <c r="K25" i="18" s="1"/>
  <c r="J19" i="27"/>
  <c r="K19" i="27" s="1"/>
  <c r="I19" i="27"/>
  <c r="J22" i="23"/>
  <c r="K22" i="23" s="1"/>
  <c r="D25" i="22"/>
  <c r="E25" i="22" s="1"/>
  <c r="E23" i="18"/>
  <c r="D29" i="32"/>
  <c r="E29" i="32" s="1"/>
  <c r="D29" i="33"/>
  <c r="E29" i="33" s="1"/>
  <c r="X10" i="7"/>
  <c r="D29" i="34"/>
  <c r="E29" i="34" s="1"/>
  <c r="J16" i="8"/>
  <c r="K16" i="8" s="1"/>
  <c r="J13" i="8"/>
  <c r="J11" i="8"/>
  <c r="D16" i="8"/>
  <c r="E16" i="8" s="1"/>
  <c r="AK11" i="8"/>
  <c r="B22" i="8"/>
  <c r="F22" i="8" s="1"/>
  <c r="AK16" i="8"/>
  <c r="C22" i="8"/>
  <c r="G22" i="8" s="1"/>
  <c r="D27" i="37"/>
  <c r="E27" i="37" s="1"/>
  <c r="D27" i="38"/>
  <c r="E27" i="38" s="1"/>
  <c r="D27" i="40"/>
  <c r="E27" i="40" s="1"/>
  <c r="D27" i="39"/>
  <c r="E27" i="39" s="1"/>
  <c r="D27" i="36"/>
  <c r="E27" i="36" s="1"/>
  <c r="D27" i="35"/>
  <c r="E27" i="35" s="1"/>
  <c r="D29" i="31"/>
  <c r="E29" i="31" s="1"/>
  <c r="J20" i="24"/>
  <c r="K20" i="24" s="1"/>
  <c r="J21" i="24"/>
  <c r="K21" i="24" s="1"/>
  <c r="AK9" i="8" l="1"/>
  <c r="AK13" i="8"/>
  <c r="AK7" i="53"/>
  <c r="D29" i="30"/>
  <c r="E29" i="30" s="1"/>
  <c r="I26" i="35"/>
  <c r="E21" i="35"/>
  <c r="J21" i="35"/>
  <c r="K21" i="35" s="1"/>
  <c r="Y10" i="7"/>
  <c r="I25" i="35"/>
  <c r="J9" i="52"/>
  <c r="K9" i="52" s="1"/>
  <c r="I11" i="52"/>
  <c r="J14" i="52"/>
  <c r="K14" i="52" s="1"/>
  <c r="J12" i="52"/>
  <c r="K12" i="52" s="1"/>
  <c r="J34" i="25"/>
  <c r="K34" i="25" s="1"/>
  <c r="B35" i="25"/>
  <c r="J23" i="25"/>
  <c r="K23" i="25" s="1"/>
  <c r="I23" i="25"/>
  <c r="I34" i="25" s="1"/>
  <c r="J10" i="52"/>
  <c r="K10" i="52" s="1"/>
  <c r="I10" i="52"/>
  <c r="J13" i="52"/>
  <c r="K13" i="52" s="1"/>
  <c r="I13" i="52"/>
  <c r="J15" i="52"/>
  <c r="K15" i="52" s="1"/>
  <c r="I15" i="52"/>
  <c r="J8" i="52"/>
  <c r="K8" i="52" s="1"/>
  <c r="I8" i="52"/>
  <c r="I25" i="23"/>
  <c r="E23" i="23"/>
  <c r="J22" i="42"/>
  <c r="J30" i="35"/>
  <c r="K30" i="35" s="1"/>
  <c r="I30" i="35"/>
  <c r="J29" i="33"/>
  <c r="K29" i="33" s="1"/>
  <c r="I29" i="33"/>
  <c r="J29" i="30"/>
  <c r="K29" i="30" s="1"/>
  <c r="I29" i="30"/>
  <c r="J29" i="34"/>
  <c r="K29" i="34" s="1"/>
  <c r="I29" i="34"/>
  <c r="J29" i="32"/>
  <c r="K29" i="32" s="1"/>
  <c r="I29" i="32"/>
  <c r="J23" i="23"/>
  <c r="K23" i="23" s="1"/>
  <c r="I23" i="23"/>
  <c r="C24" i="42"/>
  <c r="AL25" i="23"/>
  <c r="J22" i="8"/>
  <c r="K22" i="8" s="1"/>
  <c r="D22" i="8"/>
  <c r="E22" i="8" s="1"/>
  <c r="C22" i="42" l="1"/>
  <c r="C26" i="42"/>
  <c r="J11" i="52"/>
  <c r="K11" i="52" s="1"/>
  <c r="I9" i="52"/>
  <c r="I14" i="52"/>
  <c r="B16" i="52"/>
  <c r="J16" i="52" s="1"/>
  <c r="K16" i="52" s="1"/>
  <c r="I12" i="52"/>
  <c r="B10" i="8"/>
  <c r="AL35" i="25"/>
  <c r="AK8" i="53"/>
  <c r="D24" i="42"/>
  <c r="J7" i="52"/>
  <c r="K7" i="52" s="1"/>
  <c r="I7" i="52"/>
  <c r="J25" i="23"/>
  <c r="K25" i="23" s="1"/>
  <c r="D9" i="8"/>
  <c r="K11" i="8"/>
  <c r="H24" i="42" l="1"/>
  <c r="B14" i="8"/>
  <c r="B17" i="8" s="1"/>
  <c r="F10" i="8"/>
  <c r="AK10" i="8"/>
  <c r="AK14" i="8" s="1"/>
  <c r="AK17" i="8" s="1"/>
  <c r="I16" i="52"/>
  <c r="I35" i="25"/>
  <c r="J35" i="25"/>
  <c r="K35" i="25" s="1"/>
  <c r="AK12" i="53"/>
  <c r="AK18" i="53" s="1"/>
  <c r="J9" i="8"/>
  <c r="K9" i="8" s="1"/>
  <c r="I9" i="8"/>
  <c r="E12" i="8"/>
  <c r="X11" i="7"/>
  <c r="K12" i="8"/>
  <c r="Y11" i="7"/>
  <c r="K24" i="42" l="1"/>
  <c r="J10" i="8"/>
  <c r="K10" i="8" s="1"/>
  <c r="F14" i="8"/>
  <c r="E9" i="8"/>
  <c r="K13" i="8"/>
  <c r="F17" i="8" l="1"/>
  <c r="B23" i="8"/>
  <c r="F23" i="8" s="1"/>
  <c r="B17" i="27"/>
  <c r="J17" i="27" l="1"/>
  <c r="K17" i="27" s="1"/>
  <c r="B18" i="27"/>
  <c r="J18" i="27" l="1"/>
  <c r="K18" i="27" s="1"/>
  <c r="U11" i="7"/>
  <c r="U20" i="7" s="1"/>
  <c r="B25" i="7" l="1"/>
  <c r="B27" i="7" s="1"/>
  <c r="B22" i="7"/>
  <c r="B11" i="7"/>
  <c r="B9" i="7"/>
  <c r="B10" i="7"/>
  <c r="B7" i="7"/>
  <c r="B12" i="7"/>
  <c r="B13" i="7"/>
  <c r="B8" i="7"/>
  <c r="B14" i="7"/>
  <c r="B15" i="7"/>
  <c r="B19" i="8"/>
  <c r="F19" i="8" s="1"/>
  <c r="J11" i="7" l="1"/>
  <c r="K11" i="7" s="1"/>
  <c r="I11" i="7"/>
  <c r="J13" i="7"/>
  <c r="K13" i="7" s="1"/>
  <c r="I13" i="7"/>
  <c r="J10" i="7"/>
  <c r="K10" i="7" s="1"/>
  <c r="I10" i="7"/>
  <c r="J8" i="7"/>
  <c r="K8" i="7" s="1"/>
  <c r="I8" i="7"/>
  <c r="J14" i="7"/>
  <c r="K14" i="7" s="1"/>
  <c r="I14" i="7"/>
  <c r="J7" i="7"/>
  <c r="K7" i="7" s="1"/>
  <c r="I7" i="7"/>
  <c r="J15" i="7"/>
  <c r="K15" i="7" s="1"/>
  <c r="I15" i="7"/>
  <c r="J12" i="7"/>
  <c r="K12" i="7" s="1"/>
  <c r="I12" i="7"/>
  <c r="J9" i="7"/>
  <c r="K9" i="7" s="1"/>
  <c r="I9" i="7"/>
  <c r="J19" i="8"/>
  <c r="K19" i="8" s="1"/>
  <c r="B16" i="7"/>
  <c r="J16" i="7" l="1"/>
  <c r="K16" i="7" s="1"/>
  <c r="I16" i="7"/>
  <c r="B21" i="8"/>
  <c r="F21" i="8" s="1"/>
  <c r="J14" i="8" l="1"/>
  <c r="K14" i="8" s="1"/>
  <c r="J21" i="8"/>
  <c r="K21" i="8" s="1"/>
  <c r="B18" i="8"/>
  <c r="F18" i="8" s="1"/>
  <c r="J17" i="8" l="1"/>
  <c r="K17" i="8" s="1"/>
  <c r="J18" i="8"/>
  <c r="K18" i="8" s="1"/>
  <c r="J23" i="8"/>
  <c r="K23" i="8" s="1"/>
  <c r="G19" i="21"/>
  <c r="G95" i="21" a="1"/>
  <c r="G95" i="21" s="1"/>
  <c r="G90" i="21" a="1"/>
  <c r="G90" i="21" s="1"/>
  <c r="G93" i="21" a="1"/>
  <c r="G93" i="21" s="1"/>
  <c r="G98" i="21" a="1"/>
  <c r="G98" i="21" s="1"/>
  <c r="G96" i="21" a="1"/>
  <c r="G96" i="21" s="1"/>
  <c r="G91" i="21" a="1"/>
  <c r="G91" i="21" s="1"/>
  <c r="G92" i="21" a="1"/>
  <c r="G92" i="21" s="1"/>
  <c r="G94" i="21" a="1"/>
  <c r="G94" i="21" s="1"/>
  <c r="G97" i="21" a="1"/>
  <c r="G97" i="21" s="1"/>
  <c r="G99" i="21" a="1"/>
  <c r="G99" i="21" s="1"/>
  <c r="G150" i="19" l="1"/>
  <c r="G149" i="19"/>
  <c r="G147" i="19"/>
  <c r="G152" i="19"/>
  <c r="G146" i="19"/>
  <c r="G154" i="19"/>
  <c r="G151" i="19"/>
  <c r="G148" i="19"/>
  <c r="G153" i="19"/>
  <c r="G145" i="19"/>
  <c r="G104" i="21"/>
  <c r="G105" i="21" s="1"/>
  <c r="G363" i="19" l="1"/>
  <c r="G365" i="19" s="1"/>
  <c r="G367" i="19" s="1"/>
  <c r="I19" i="21"/>
  <c r="I94" i="21" a="1"/>
  <c r="I94" i="21" s="1"/>
  <c r="I90" i="21" a="1"/>
  <c r="I90" i="21" s="1"/>
  <c r="I99" i="21" a="1"/>
  <c r="I99" i="21" s="1"/>
  <c r="I98" i="21" a="1"/>
  <c r="I98" i="21" s="1"/>
  <c r="I96" i="21" a="1"/>
  <c r="I96" i="21" s="1"/>
  <c r="I92" i="21" a="1"/>
  <c r="I92" i="21" s="1"/>
  <c r="I91" i="21" a="1"/>
  <c r="I91" i="21" s="1"/>
  <c r="I95" i="21" a="1"/>
  <c r="I95" i="21" s="1"/>
  <c r="I93" i="21" a="1"/>
  <c r="I93" i="21" s="1"/>
  <c r="I97" i="21" a="1"/>
  <c r="I97" i="21" s="1"/>
  <c r="I154" i="19" l="1"/>
  <c r="I149" i="19"/>
  <c r="I151" i="19"/>
  <c r="I150" i="19"/>
  <c r="I152" i="19"/>
  <c r="I146" i="19"/>
  <c r="I153" i="19"/>
  <c r="I148" i="19"/>
  <c r="I147" i="19"/>
  <c r="I145" i="19"/>
  <c r="I104" i="21"/>
  <c r="I105" i="21" s="1"/>
  <c r="I363" i="19" l="1"/>
  <c r="I365" i="19" s="1"/>
  <c r="I367" i="19" s="1"/>
  <c r="L19" i="21" l="1"/>
  <c r="L93" i="21" a="1"/>
  <c r="L93" i="21" s="1"/>
  <c r="L98" i="21" a="1"/>
  <c r="L98" i="21" s="1"/>
  <c r="L95" i="21" a="1"/>
  <c r="L95" i="21" s="1"/>
  <c r="L91" i="21" a="1"/>
  <c r="L91" i="21" s="1"/>
  <c r="L94" i="21" a="1"/>
  <c r="L94" i="21" s="1"/>
  <c r="L97" i="21" a="1"/>
  <c r="L97" i="21" s="1"/>
  <c r="L92" i="21" a="1"/>
  <c r="L92" i="21" s="1"/>
  <c r="L90" i="21" a="1"/>
  <c r="L90" i="21" s="1"/>
  <c r="L96" i="21" a="1"/>
  <c r="L96" i="21" s="1"/>
  <c r="L99" i="21" a="1"/>
  <c r="L99" i="21" s="1"/>
  <c r="M19" i="21"/>
  <c r="M92" i="21" a="1"/>
  <c r="M92" i="21" s="1"/>
  <c r="M93" i="21" a="1"/>
  <c r="M93" i="21" s="1"/>
  <c r="M96" i="21" a="1"/>
  <c r="M96" i="21" s="1"/>
  <c r="M99" i="21" a="1"/>
  <c r="M99" i="21" s="1"/>
  <c r="M98" i="21" a="1"/>
  <c r="M98" i="21" s="1"/>
  <c r="M97" i="21" a="1"/>
  <c r="M97" i="21" s="1"/>
  <c r="M91" i="21" a="1"/>
  <c r="M91" i="21" s="1"/>
  <c r="M90" i="21" a="1"/>
  <c r="M90" i="21" s="1"/>
  <c r="M94" i="21" a="1"/>
  <c r="M94" i="21" s="1"/>
  <c r="M95" i="21" a="1"/>
  <c r="M95" i="21" s="1"/>
  <c r="M153" i="19" l="1"/>
  <c r="M151" i="19"/>
  <c r="L152" i="19"/>
  <c r="M150" i="19"/>
  <c r="L146" i="19"/>
  <c r="M154" i="19"/>
  <c r="M148" i="19"/>
  <c r="M149" i="19"/>
  <c r="L150" i="19"/>
  <c r="M146" i="19"/>
  <c r="L154" i="19"/>
  <c r="L153" i="19"/>
  <c r="L147" i="19"/>
  <c r="L149" i="19"/>
  <c r="M147" i="19"/>
  <c r="M152" i="19"/>
  <c r="L151" i="19"/>
  <c r="L148" i="19"/>
  <c r="L145" i="19"/>
  <c r="L104" i="21"/>
  <c r="L105" i="21" s="1"/>
  <c r="M145" i="19"/>
  <c r="M104" i="21"/>
  <c r="M105" i="21" s="1"/>
  <c r="M363" i="19" l="1"/>
  <c r="L363" i="19"/>
  <c r="N19" i="21"/>
  <c r="N91" i="21" a="1"/>
  <c r="N91" i="21" s="1"/>
  <c r="N96" i="21" a="1"/>
  <c r="N96" i="21" s="1"/>
  <c r="N99" i="21" a="1"/>
  <c r="N99" i="21" s="1"/>
  <c r="N90" i="21" a="1"/>
  <c r="N90" i="21" s="1"/>
  <c r="N92" i="21" a="1"/>
  <c r="N92" i="21" s="1"/>
  <c r="N93" i="21" a="1"/>
  <c r="N93" i="21" s="1"/>
  <c r="N95" i="21" a="1"/>
  <c r="N95" i="21" s="1"/>
  <c r="N94" i="21" a="1"/>
  <c r="N94" i="21" s="1"/>
  <c r="N97" i="21" a="1"/>
  <c r="N97" i="21" s="1"/>
  <c r="N98" i="21" a="1"/>
  <c r="N98" i="21" s="1"/>
  <c r="N150" i="19" l="1"/>
  <c r="X23" i="36" s="1"/>
  <c r="C23" i="36" s="1"/>
  <c r="D23" i="36" s="1"/>
  <c r="E23" i="36" s="1"/>
  <c r="N151" i="19"/>
  <c r="V23" i="37" s="1"/>
  <c r="C23" i="37" s="1"/>
  <c r="D23" i="37" s="1"/>
  <c r="E23" i="37" s="1"/>
  <c r="N148" i="19"/>
  <c r="X22" i="39" s="1"/>
  <c r="C22" i="39" s="1"/>
  <c r="D22" i="39" s="1"/>
  <c r="E22" i="39" s="1"/>
  <c r="N146" i="19"/>
  <c r="V22" i="37" s="1"/>
  <c r="C22" i="37" s="1"/>
  <c r="D22" i="37" s="1"/>
  <c r="E22" i="37" s="1"/>
  <c r="N147" i="19"/>
  <c r="X22" i="38" s="1"/>
  <c r="C22" i="38" s="1"/>
  <c r="N154" i="19"/>
  <c r="X23" i="40" s="1"/>
  <c r="C23" i="40" s="1"/>
  <c r="D23" i="40" s="1"/>
  <c r="E23" i="40" s="1"/>
  <c r="N153" i="19"/>
  <c r="N152" i="19"/>
  <c r="X23" i="38" s="1"/>
  <c r="C23" i="38" s="1"/>
  <c r="D23" i="38" s="1"/>
  <c r="E23" i="38" s="1"/>
  <c r="N149" i="19"/>
  <c r="X22" i="40" s="1"/>
  <c r="C22" i="40" s="1"/>
  <c r="D22" i="40" s="1"/>
  <c r="E22" i="40" s="1"/>
  <c r="X23" i="39"/>
  <c r="C23" i="39" s="1"/>
  <c r="D23" i="39" s="1"/>
  <c r="E23" i="39" s="1"/>
  <c r="N145" i="19"/>
  <c r="N104" i="21"/>
  <c r="N105" i="21" s="1"/>
  <c r="X26" i="38" l="1"/>
  <c r="C26" i="38" s="1"/>
  <c r="V26" i="37"/>
  <c r="C26" i="37" s="1"/>
  <c r="D26" i="37" s="1"/>
  <c r="E26" i="37" s="1"/>
  <c r="C24" i="37"/>
  <c r="C25" i="37" s="1"/>
  <c r="D25" i="37" s="1"/>
  <c r="E25" i="37" s="1"/>
  <c r="C24" i="40"/>
  <c r="C25" i="40" s="1"/>
  <c r="D25" i="40" s="1"/>
  <c r="E25" i="40" s="1"/>
  <c r="C24" i="38"/>
  <c r="D24" i="38" s="1"/>
  <c r="E24" i="38" s="1"/>
  <c r="X26" i="40"/>
  <c r="C26" i="40" s="1"/>
  <c r="X23" i="35"/>
  <c r="C23" i="35" s="1"/>
  <c r="D23" i="35" s="1"/>
  <c r="E23" i="35" s="1"/>
  <c r="D22" i="38"/>
  <c r="E22" i="38" s="1"/>
  <c r="C24" i="39"/>
  <c r="N363" i="19"/>
  <c r="X26" i="39"/>
  <c r="C26" i="39" s="1"/>
  <c r="C39" i="39" l="1"/>
  <c r="C39" i="40"/>
  <c r="C39" i="38"/>
  <c r="C30" i="38"/>
  <c r="D30" i="38" s="1"/>
  <c r="E30" i="38" s="1"/>
  <c r="D26" i="38"/>
  <c r="E26" i="38" s="1"/>
  <c r="C30" i="37"/>
  <c r="D30" i="37" s="1"/>
  <c r="E30" i="37" s="1"/>
  <c r="D26" i="40"/>
  <c r="E26" i="40" s="1"/>
  <c r="D24" i="40"/>
  <c r="E24" i="40" s="1"/>
  <c r="D24" i="37"/>
  <c r="E24" i="37" s="1"/>
  <c r="C30" i="40"/>
  <c r="D30" i="40" s="1"/>
  <c r="E30" i="40" s="1"/>
  <c r="C25" i="38"/>
  <c r="D25" i="38" s="1"/>
  <c r="E25" i="38" s="1"/>
  <c r="D26" i="39"/>
  <c r="E26" i="39" s="1"/>
  <c r="C30" i="39"/>
  <c r="D30" i="39" s="1"/>
  <c r="E30" i="39" s="1"/>
  <c r="X22" i="36"/>
  <c r="C25" i="39"/>
  <c r="D25" i="39" s="1"/>
  <c r="E25" i="39" s="1"/>
  <c r="D24" i="39"/>
  <c r="E24" i="39" s="1"/>
  <c r="X22" i="35" l="1"/>
  <c r="X26" i="35" s="1"/>
  <c r="C26" i="35" s="1"/>
  <c r="C39" i="35" s="1"/>
  <c r="C22" i="36"/>
  <c r="X26" i="36"/>
  <c r="C26" i="36" s="1"/>
  <c r="C22" i="35" l="1"/>
  <c r="C39" i="36"/>
  <c r="C13" i="8"/>
  <c r="G13" i="8" s="1"/>
  <c r="I13" i="8" s="1"/>
  <c r="C30" i="35"/>
  <c r="D30" i="35" s="1"/>
  <c r="E30" i="35" s="1"/>
  <c r="AL26" i="35"/>
  <c r="D26" i="35"/>
  <c r="E26" i="35" s="1"/>
  <c r="D26" i="36"/>
  <c r="E26" i="36" s="1"/>
  <c r="C30" i="36"/>
  <c r="D30" i="36" s="1"/>
  <c r="E30" i="36" s="1"/>
  <c r="D22" i="36"/>
  <c r="E22" i="36" s="1"/>
  <c r="C24" i="36"/>
  <c r="C24" i="35" l="1"/>
  <c r="C25" i="35" s="1"/>
  <c r="D25" i="35" s="1"/>
  <c r="E25" i="35" s="1"/>
  <c r="D22" i="35"/>
  <c r="E22" i="35" s="1"/>
  <c r="G3" i="42"/>
  <c r="D13" i="8"/>
  <c r="E13" i="8" s="1"/>
  <c r="C25" i="36"/>
  <c r="D25" i="36" s="1"/>
  <c r="E25" i="36" s="1"/>
  <c r="D24" i="36"/>
  <c r="E24" i="36" s="1"/>
  <c r="G22" i="42" l="1"/>
  <c r="G26" i="42"/>
  <c r="D24" i="35"/>
  <c r="E24" i="35" s="1"/>
  <c r="AL12" i="8"/>
  <c r="L30" i="19" l="1"/>
  <c r="L32" i="19" s="1"/>
  <c r="L31" i="19"/>
  <c r="L33" i="19" s="1"/>
  <c r="M31" i="19" l="1"/>
  <c r="M33" i="19" s="1"/>
  <c r="M30" i="19" l="1"/>
  <c r="M32" i="19" s="1"/>
  <c r="L23" i="19"/>
  <c r="L25" i="19" s="1"/>
  <c r="L22" i="19"/>
  <c r="L24" i="19" s="1"/>
  <c r="M22" i="19" l="1"/>
  <c r="M24" i="19" s="1"/>
  <c r="M23" i="19"/>
  <c r="M25" i="19" s="1"/>
  <c r="L361" i="19"/>
  <c r="L360" i="19" l="1"/>
  <c r="M361" i="19"/>
  <c r="M360" i="19" l="1"/>
  <c r="M365" i="19" s="1"/>
  <c r="M367" i="19" s="1"/>
  <c r="L365" i="19"/>
  <c r="L367" i="19" s="1"/>
  <c r="N31" i="19" l="1"/>
  <c r="N33" i="19" s="1"/>
  <c r="N30" i="19" l="1"/>
  <c r="C9" i="25"/>
  <c r="C17" i="25" s="1"/>
  <c r="V17" i="24" l="1"/>
  <c r="N32" i="19"/>
  <c r="V17" i="26"/>
  <c r="D9" i="24"/>
  <c r="E9" i="24" s="1"/>
  <c r="D9" i="25"/>
  <c r="D11" i="42" s="1"/>
  <c r="D9" i="26"/>
  <c r="E9" i="26" s="1"/>
  <c r="N23" i="19"/>
  <c r="N25" i="19" s="1"/>
  <c r="N22" i="19"/>
  <c r="N24" i="19" s="1"/>
  <c r="C10" i="25" l="1"/>
  <c r="D8" i="25"/>
  <c r="E8" i="25" s="1"/>
  <c r="N361" i="19"/>
  <c r="AA361" i="19" s="1"/>
  <c r="E9" i="25"/>
  <c r="H11" i="42"/>
  <c r="K11" i="42" s="1"/>
  <c r="D8" i="24"/>
  <c r="E8" i="24" s="1"/>
  <c r="C10" i="24"/>
  <c r="C23" i="24" s="1"/>
  <c r="D17" i="24"/>
  <c r="E17" i="24" s="1"/>
  <c r="D17" i="26"/>
  <c r="E17" i="26" s="1"/>
  <c r="D17" i="25"/>
  <c r="C10" i="26"/>
  <c r="D8" i="26"/>
  <c r="E8" i="26" s="1"/>
  <c r="C16" i="28" l="1"/>
  <c r="C6" i="28"/>
  <c r="C15" i="28"/>
  <c r="C7" i="28"/>
  <c r="C8" i="28"/>
  <c r="C10" i="28"/>
  <c r="D10" i="28" s="1"/>
  <c r="E10" i="28" s="1"/>
  <c r="C9" i="28"/>
  <c r="D9" i="28" s="1"/>
  <c r="E9" i="28" s="1"/>
  <c r="C11" i="28"/>
  <c r="C12" i="28"/>
  <c r="C11" i="29"/>
  <c r="D11" i="29" s="1"/>
  <c r="E11" i="29" s="1"/>
  <c r="C16" i="29"/>
  <c r="D16" i="29" s="1"/>
  <c r="E16" i="29" s="1"/>
  <c r="C15" i="29"/>
  <c r="D15" i="29" s="1"/>
  <c r="E15" i="29" s="1"/>
  <c r="C8" i="29"/>
  <c r="D8" i="29" s="1"/>
  <c r="E8" i="29" s="1"/>
  <c r="C6" i="29"/>
  <c r="D6" i="29" s="1"/>
  <c r="E6" i="29" s="1"/>
  <c r="C7" i="29"/>
  <c r="D7" i="29" s="1"/>
  <c r="E7" i="29" s="1"/>
  <c r="C10" i="29"/>
  <c r="D10" i="29" s="1"/>
  <c r="E10" i="29" s="1"/>
  <c r="C12" i="29"/>
  <c r="D12" i="29" s="1"/>
  <c r="E12" i="29" s="1"/>
  <c r="C9" i="29"/>
  <c r="D9" i="29" s="1"/>
  <c r="E9" i="29" s="1"/>
  <c r="C28" i="25"/>
  <c r="D28" i="25" s="1"/>
  <c r="E28" i="25" s="1"/>
  <c r="C26" i="25"/>
  <c r="C18" i="25"/>
  <c r="D18" i="25" s="1"/>
  <c r="E18" i="25" s="1"/>
  <c r="Z10" i="24"/>
  <c r="D11" i="49"/>
  <c r="E11" i="49" s="1"/>
  <c r="D12" i="49"/>
  <c r="E12" i="49" s="1"/>
  <c r="D9" i="49"/>
  <c r="E9" i="49" s="1"/>
  <c r="D10" i="49"/>
  <c r="E10" i="49" s="1"/>
  <c r="D8" i="49"/>
  <c r="E8" i="49" s="1"/>
  <c r="C29" i="24"/>
  <c r="C25" i="24"/>
  <c r="C27" i="24" s="1"/>
  <c r="C29" i="26"/>
  <c r="C25" i="26"/>
  <c r="C27" i="26" s="1"/>
  <c r="C23" i="26"/>
  <c r="C18" i="24"/>
  <c r="D31" i="24"/>
  <c r="E31" i="24" s="1"/>
  <c r="C12" i="25"/>
  <c r="D12" i="25" s="1"/>
  <c r="E12" i="25" s="1"/>
  <c r="D10" i="25"/>
  <c r="E10" i="25" s="1"/>
  <c r="N360" i="19"/>
  <c r="N365" i="19" s="1"/>
  <c r="N367" i="19" s="1"/>
  <c r="D30" i="24"/>
  <c r="E30" i="24" s="1"/>
  <c r="D22" i="24"/>
  <c r="E22" i="24" s="1"/>
  <c r="C12" i="24"/>
  <c r="D12" i="24" s="1"/>
  <c r="E12" i="24" s="1"/>
  <c r="D10" i="24"/>
  <c r="E10" i="24" s="1"/>
  <c r="C12" i="26"/>
  <c r="D12" i="26" s="1"/>
  <c r="E12" i="26" s="1"/>
  <c r="D10" i="26"/>
  <c r="E10" i="26" s="1"/>
  <c r="D12" i="42"/>
  <c r="K30" i="42" s="1"/>
  <c r="E17" i="25"/>
  <c r="H12" i="42" l="1"/>
  <c r="K12" i="42" s="1"/>
  <c r="C11" i="27"/>
  <c r="D11" i="27" s="1"/>
  <c r="E11" i="27" s="1"/>
  <c r="C8" i="27"/>
  <c r="D8" i="27" s="1"/>
  <c r="E8" i="27" s="1"/>
  <c r="C6" i="27"/>
  <c r="D6" i="27" s="1"/>
  <c r="E6" i="27" s="1"/>
  <c r="D11" i="28"/>
  <c r="E11" i="28" s="1"/>
  <c r="C7" i="27"/>
  <c r="D7" i="27" s="1"/>
  <c r="E7" i="27" s="1"/>
  <c r="C16" i="27"/>
  <c r="D16" i="27" s="1"/>
  <c r="E16" i="27" s="1"/>
  <c r="C9" i="27"/>
  <c r="D9" i="27" s="1"/>
  <c r="E9" i="27" s="1"/>
  <c r="D16" i="28"/>
  <c r="E16" i="28" s="1"/>
  <c r="C10" i="27"/>
  <c r="D10" i="27" s="1"/>
  <c r="E10" i="27" s="1"/>
  <c r="C15" i="27"/>
  <c r="D15" i="27" s="1"/>
  <c r="E15" i="27" s="1"/>
  <c r="D6" i="28"/>
  <c r="E6" i="28" s="1"/>
  <c r="D8" i="28"/>
  <c r="E8" i="28" s="1"/>
  <c r="D7" i="28"/>
  <c r="E7" i="28" s="1"/>
  <c r="C12" i="27"/>
  <c r="D12" i="27" s="1"/>
  <c r="E12" i="27" s="1"/>
  <c r="D12" i="28"/>
  <c r="E12" i="28" s="1"/>
  <c r="C29" i="25"/>
  <c r="D29" i="25" s="1"/>
  <c r="E29" i="25" s="1"/>
  <c r="C25" i="25"/>
  <c r="D25" i="25" s="1"/>
  <c r="E25" i="25" s="1"/>
  <c r="D16" i="49"/>
  <c r="E16" i="49" s="1"/>
  <c r="D7" i="49"/>
  <c r="E7" i="49" s="1"/>
  <c r="D29" i="26"/>
  <c r="E29" i="26" s="1"/>
  <c r="C17" i="29"/>
  <c r="D17" i="29" s="1"/>
  <c r="E17" i="29" s="1"/>
  <c r="D25" i="24"/>
  <c r="E25" i="24" s="1"/>
  <c r="D25" i="26"/>
  <c r="E25" i="26" s="1"/>
  <c r="C17" i="28"/>
  <c r="D17" i="28" s="1"/>
  <c r="E17" i="28" s="1"/>
  <c r="D15" i="28"/>
  <c r="E15" i="28" s="1"/>
  <c r="D29" i="24"/>
  <c r="E29" i="24" s="1"/>
  <c r="D26" i="24"/>
  <c r="E26" i="24" s="1"/>
  <c r="D26" i="25"/>
  <c r="E26" i="25" s="1"/>
  <c r="D26" i="26"/>
  <c r="E26" i="26" s="1"/>
  <c r="D28" i="24"/>
  <c r="E28" i="24" s="1"/>
  <c r="C13" i="29"/>
  <c r="C14" i="29" s="1"/>
  <c r="D14" i="29" s="1"/>
  <c r="E14" i="29" s="1"/>
  <c r="C13" i="28"/>
  <c r="C14" i="28" s="1"/>
  <c r="D14" i="28" s="1"/>
  <c r="E14" i="28" s="1"/>
  <c r="D16" i="25"/>
  <c r="E16" i="25" s="1"/>
  <c r="C17" i="27" l="1"/>
  <c r="D17" i="27" s="1"/>
  <c r="E17" i="27" s="1"/>
  <c r="C13" i="27"/>
  <c r="D13" i="27" s="1"/>
  <c r="E13" i="27" s="1"/>
  <c r="C27" i="25"/>
  <c r="D27" i="25" s="1"/>
  <c r="E27" i="25" s="1"/>
  <c r="D27" i="26"/>
  <c r="E27" i="26" s="1"/>
  <c r="C32" i="24"/>
  <c r="D32" i="24" s="1"/>
  <c r="E32" i="24" s="1"/>
  <c r="D13" i="29"/>
  <c r="E13" i="29" s="1"/>
  <c r="D27" i="24"/>
  <c r="E27" i="24" s="1"/>
  <c r="D28" i="26"/>
  <c r="E28" i="26" s="1"/>
  <c r="C18" i="29"/>
  <c r="D18" i="29" s="1"/>
  <c r="E18" i="29" s="1"/>
  <c r="D13" i="28"/>
  <c r="E13" i="28" s="1"/>
  <c r="C18" i="28"/>
  <c r="D18" i="28" s="1"/>
  <c r="E18" i="28" s="1"/>
  <c r="D16" i="24"/>
  <c r="E16" i="24" s="1"/>
  <c r="D18" i="24"/>
  <c r="E18" i="24" s="1"/>
  <c r="D16" i="26"/>
  <c r="E16" i="26" s="1"/>
  <c r="C18" i="26"/>
  <c r="D18" i="26" s="1"/>
  <c r="E18" i="26" s="1"/>
  <c r="C14" i="27" l="1"/>
  <c r="D14" i="27" s="1"/>
  <c r="E15" i="42" s="1"/>
  <c r="C18" i="27"/>
  <c r="D18" i="27" s="1"/>
  <c r="E18" i="27" s="1"/>
  <c r="C33" i="24"/>
  <c r="D33" i="24" s="1"/>
  <c r="E33" i="24" s="1"/>
  <c r="C19" i="29"/>
  <c r="C19" i="28"/>
  <c r="C24" i="26"/>
  <c r="D24" i="26" s="1"/>
  <c r="E24" i="26" s="1"/>
  <c r="D23" i="26"/>
  <c r="E23" i="26" s="1"/>
  <c r="D23" i="24"/>
  <c r="E23" i="24" s="1"/>
  <c r="C24" i="24"/>
  <c r="D19" i="29" l="1"/>
  <c r="E19" i="29" s="1"/>
  <c r="V8" i="7"/>
  <c r="C19" i="27"/>
  <c r="D19" i="27" s="1"/>
  <c r="E19" i="27" s="1"/>
  <c r="C24" i="25"/>
  <c r="V7" i="7" s="1"/>
  <c r="D24" i="24"/>
  <c r="E24" i="24" s="1"/>
  <c r="E14" i="27"/>
  <c r="H15" i="42"/>
  <c r="K15" i="42" s="1"/>
  <c r="D19" i="28"/>
  <c r="E19" i="28" s="1"/>
  <c r="C34" i="24"/>
  <c r="D34" i="24" s="1"/>
  <c r="E34" i="24" s="1"/>
  <c r="AM19" i="27" l="1"/>
  <c r="C11" i="8"/>
  <c r="V11" i="7"/>
  <c r="C23" i="25"/>
  <c r="D10" i="52"/>
  <c r="E10" i="52" s="1"/>
  <c r="D7" i="52"/>
  <c r="E7" i="52" s="1"/>
  <c r="D15" i="52"/>
  <c r="E15" i="52" s="1"/>
  <c r="D24" i="25"/>
  <c r="E24" i="25" s="1"/>
  <c r="C35" i="24"/>
  <c r="AL11" i="8" l="1"/>
  <c r="G11" i="8"/>
  <c r="I11" i="8" s="1"/>
  <c r="D23" i="25"/>
  <c r="E23" i="25" s="1"/>
  <c r="C9" i="7"/>
  <c r="D9" i="7" s="1"/>
  <c r="E9" i="7" s="1"/>
  <c r="C8" i="7"/>
  <c r="D8" i="7" s="1"/>
  <c r="E8" i="7" s="1"/>
  <c r="C19" i="8"/>
  <c r="C10" i="7"/>
  <c r="D10" i="7" s="1"/>
  <c r="E10" i="7" s="1"/>
  <c r="C14" i="7"/>
  <c r="D14" i="7" s="1"/>
  <c r="E14" i="7" s="1"/>
  <c r="E3" i="42"/>
  <c r="D11" i="8"/>
  <c r="E11" i="8" s="1"/>
  <c r="C7" i="7"/>
  <c r="D7" i="7" s="1"/>
  <c r="E7" i="7" s="1"/>
  <c r="C11" i="7"/>
  <c r="D11" i="7" s="1"/>
  <c r="E11" i="7" s="1"/>
  <c r="C12" i="7"/>
  <c r="D12" i="7" s="1"/>
  <c r="E12" i="7" s="1"/>
  <c r="C15" i="7"/>
  <c r="D15" i="7" s="1"/>
  <c r="E15" i="7" s="1"/>
  <c r="C13" i="7"/>
  <c r="D13" i="7" s="1"/>
  <c r="E13" i="7" s="1"/>
  <c r="D14" i="52"/>
  <c r="E14" i="52" s="1"/>
  <c r="D13" i="52"/>
  <c r="E13" i="52" s="1"/>
  <c r="D9" i="52"/>
  <c r="E9" i="52" s="1"/>
  <c r="D11" i="52"/>
  <c r="E11" i="52" s="1"/>
  <c r="D12" i="52"/>
  <c r="E12" i="52" s="1"/>
  <c r="D8" i="52"/>
  <c r="E8" i="52" s="1"/>
  <c r="D35" i="24"/>
  <c r="E35" i="24" s="1"/>
  <c r="D19" i="8" l="1"/>
  <c r="E19" i="8" s="1"/>
  <c r="G19" i="8"/>
  <c r="I19" i="8" s="1"/>
  <c r="E22" i="42"/>
  <c r="E26" i="42"/>
  <c r="C16" i="7"/>
  <c r="D16" i="7" s="1"/>
  <c r="E16" i="7" s="1"/>
  <c r="C16" i="52"/>
  <c r="D16" i="52" s="1"/>
  <c r="E16" i="52" s="1"/>
  <c r="J360" i="19"/>
  <c r="H360" i="19" l="1"/>
  <c r="AA360" i="19" s="1"/>
  <c r="H92" i="21" l="1" a="1"/>
  <c r="H92" i="21" s="1"/>
  <c r="H99" i="21" a="1"/>
  <c r="H99" i="21" s="1"/>
  <c r="H97" i="21" a="1"/>
  <c r="H97" i="21" s="1"/>
  <c r="H95" i="21" a="1"/>
  <c r="H95" i="21" s="1"/>
  <c r="H91" i="21" a="1"/>
  <c r="H91" i="21" s="1"/>
  <c r="H90" i="21" a="1"/>
  <c r="H90" i="21" s="1"/>
  <c r="H96" i="21" a="1"/>
  <c r="H96" i="21" s="1"/>
  <c r="H94" i="21" a="1"/>
  <c r="H94" i="21" s="1"/>
  <c r="H93" i="21" a="1"/>
  <c r="H93" i="21" s="1"/>
  <c r="H98" i="21" a="1"/>
  <c r="H98" i="21" s="1"/>
  <c r="H19" i="21"/>
  <c r="H151" i="19" l="1"/>
  <c r="H146" i="19"/>
  <c r="H150" i="19"/>
  <c r="H149" i="19"/>
  <c r="H152" i="19"/>
  <c r="H154" i="19"/>
  <c r="H153" i="19"/>
  <c r="H148" i="19"/>
  <c r="H147" i="19"/>
  <c r="H145" i="19"/>
  <c r="H363" i="19" s="1"/>
  <c r="H104" i="21"/>
  <c r="H105" i="21" s="1"/>
  <c r="H365" i="19" l="1"/>
  <c r="H367" i="19" s="1"/>
  <c r="J94" i="21" l="1" a="1"/>
  <c r="J94" i="21" s="1"/>
  <c r="J96" i="21" a="1"/>
  <c r="J96" i="21" s="1"/>
  <c r="J92" i="21" a="1"/>
  <c r="J92" i="21" s="1"/>
  <c r="J91" i="21" a="1"/>
  <c r="J91" i="21" s="1"/>
  <c r="J98" i="21" a="1"/>
  <c r="J98" i="21" s="1"/>
  <c r="J93" i="21" a="1"/>
  <c r="J93" i="21" s="1"/>
  <c r="J95" i="21" a="1"/>
  <c r="J95" i="21" s="1"/>
  <c r="J19" i="21"/>
  <c r="J97" i="21" a="1"/>
  <c r="J97" i="21" s="1"/>
  <c r="J90" i="21" a="1"/>
  <c r="J90" i="21" s="1"/>
  <c r="J99" i="21" a="1"/>
  <c r="J99" i="21" s="1"/>
  <c r="J150" i="19" l="1"/>
  <c r="J148" i="19"/>
  <c r="J153" i="19"/>
  <c r="J146" i="19"/>
  <c r="J154" i="19"/>
  <c r="J147" i="19"/>
  <c r="J151" i="19"/>
  <c r="J152" i="19"/>
  <c r="J149" i="19"/>
  <c r="J145" i="19"/>
  <c r="J104" i="21"/>
  <c r="J105" i="21" s="1"/>
  <c r="K19" i="21"/>
  <c r="K92" i="21" a="1"/>
  <c r="K92" i="21" s="1"/>
  <c r="K95" i="21" a="1"/>
  <c r="K95" i="21" s="1"/>
  <c r="K91" i="21" a="1"/>
  <c r="K91" i="21" s="1"/>
  <c r="K98" i="21" a="1"/>
  <c r="K98" i="21" s="1"/>
  <c r="K90" i="21" a="1"/>
  <c r="K90" i="21" s="1"/>
  <c r="K93" i="21" a="1"/>
  <c r="K93" i="21" s="1"/>
  <c r="K94" i="21" a="1"/>
  <c r="K94" i="21" s="1"/>
  <c r="K96" i="21" a="1"/>
  <c r="K96" i="21" s="1"/>
  <c r="K97" i="21" a="1"/>
  <c r="K97" i="21" s="1"/>
  <c r="K99" i="21" a="1"/>
  <c r="K99" i="21" s="1"/>
  <c r="J363" i="19" l="1"/>
  <c r="J365" i="19" s="1"/>
  <c r="J367" i="19" s="1"/>
  <c r="K147" i="19"/>
  <c r="K154" i="19"/>
  <c r="K151" i="19"/>
  <c r="K150" i="19"/>
  <c r="K152" i="19"/>
  <c r="K149" i="19"/>
  <c r="K148" i="19"/>
  <c r="K153" i="19"/>
  <c r="K146" i="19"/>
  <c r="K145" i="19"/>
  <c r="K104" i="21"/>
  <c r="K105" i="21" s="1"/>
  <c r="K363" i="19" l="1"/>
  <c r="K365" i="19" s="1"/>
  <c r="K367" i="19" s="1"/>
  <c r="AA363" i="19" l="1"/>
  <c r="AA365" i="19" s="1"/>
  <c r="AA367" i="19" s="1"/>
  <c r="AL13" i="8"/>
  <c r="C22" i="25" l="1"/>
  <c r="D22" i="25" s="1"/>
  <c r="E22" i="25" s="1"/>
  <c r="D22" i="26"/>
  <c r="E22" i="26" s="1"/>
  <c r="C30" i="25"/>
  <c r="D30" i="25" s="1"/>
  <c r="E30" i="25" s="1"/>
  <c r="D30" i="26"/>
  <c r="E30" i="26" s="1"/>
  <c r="C32" i="26"/>
  <c r="C33" i="26" s="1"/>
  <c r="C31" i="25"/>
  <c r="D31" i="26"/>
  <c r="E31" i="26" s="1"/>
  <c r="C32" i="25" l="1"/>
  <c r="D32" i="25" s="1"/>
  <c r="E32" i="25" s="1"/>
  <c r="D33" i="26"/>
  <c r="E33" i="26" s="1"/>
  <c r="C34" i="26"/>
  <c r="D31" i="25"/>
  <c r="E31" i="25" s="1"/>
  <c r="D32" i="26"/>
  <c r="E32" i="26" s="1"/>
  <c r="C33" i="25" l="1"/>
  <c r="C34" i="25" s="1"/>
  <c r="C35" i="26"/>
  <c r="D34" i="26"/>
  <c r="E34" i="26" s="1"/>
  <c r="D35" i="26" l="1"/>
  <c r="E35" i="26" s="1"/>
  <c r="D33" i="25"/>
  <c r="E33" i="25" s="1"/>
  <c r="C35" i="25"/>
  <c r="D34" i="25"/>
  <c r="E34" i="25" s="1"/>
  <c r="D35" i="25" l="1"/>
  <c r="E35" i="25" s="1"/>
  <c r="C10" i="8"/>
  <c r="G10" i="8" s="1"/>
  <c r="I10" i="8" s="1"/>
  <c r="AM35" i="25"/>
  <c r="D3" i="42" l="1"/>
  <c r="D26" i="42" s="1"/>
  <c r="D10" i="8"/>
  <c r="E10" i="8" s="1"/>
  <c r="AL10" i="8"/>
  <c r="C14" i="8"/>
  <c r="G14" i="8" s="1"/>
  <c r="I14" i="8" s="1"/>
  <c r="I21" i="8" s="1"/>
  <c r="AL14" i="8" l="1"/>
  <c r="C21" i="8"/>
  <c r="D14" i="8"/>
  <c r="E14" i="8" s="1"/>
  <c r="H3" i="42"/>
  <c r="H26" i="42" s="1"/>
  <c r="D22" i="42"/>
  <c r="D21" i="8" l="1"/>
  <c r="E21" i="8" s="1"/>
  <c r="G21" i="8"/>
  <c r="H22" i="42"/>
  <c r="K22" i="42" s="1"/>
  <c r="K31" i="42" s="1"/>
  <c r="X191" i="19"/>
  <c r="N4356" i="1" s="1"/>
  <c r="X192" i="19"/>
  <c r="N940" i="1" s="1"/>
  <c r="Z192" i="19" l="1"/>
  <c r="Z191" i="19"/>
  <c r="Y192" i="19"/>
  <c r="Y191" i="19"/>
  <c r="X187" i="19" l="1"/>
  <c r="N578" i="1" s="1"/>
  <c r="Y187" i="19"/>
  <c r="Z187" i="19"/>
  <c r="T187" i="19" l="1"/>
  <c r="U187" i="19"/>
  <c r="P187" i="19"/>
  <c r="Q187" i="19"/>
  <c r="V187" i="19"/>
  <c r="R187" i="19"/>
  <c r="S187" i="19"/>
  <c r="O199" i="19" l="1"/>
  <c r="O198" i="19"/>
  <c r="O197" i="19"/>
  <c r="P191" i="19"/>
  <c r="P192" i="19"/>
  <c r="U192" i="19"/>
  <c r="U191" i="19"/>
  <c r="R192" i="19"/>
  <c r="R191" i="19"/>
  <c r="T192" i="19"/>
  <c r="T191" i="19"/>
  <c r="W191" i="19"/>
  <c r="C6" i="49" s="1"/>
  <c r="W192" i="19"/>
  <c r="C15" i="49" s="1"/>
  <c r="V191" i="19"/>
  <c r="V192" i="19"/>
  <c r="S192" i="19"/>
  <c r="S191" i="19"/>
  <c r="Q191" i="19"/>
  <c r="Q192" i="19"/>
  <c r="P199" i="19" l="1"/>
  <c r="P197" i="19"/>
  <c r="P198" i="19"/>
  <c r="C13" i="49"/>
  <c r="D6" i="49"/>
  <c r="E6" i="49" s="1"/>
  <c r="D15" i="49"/>
  <c r="E15" i="49" s="1"/>
  <c r="C17" i="49"/>
  <c r="D17" i="49" s="1"/>
  <c r="E17" i="49" s="1"/>
  <c r="Q198" i="19" l="1"/>
  <c r="Q199" i="19"/>
  <c r="Q197" i="19"/>
  <c r="C14" i="49"/>
  <c r="C18" i="49"/>
  <c r="D13" i="49"/>
  <c r="E13" i="49" s="1"/>
  <c r="R199" i="19" l="1"/>
  <c r="R198" i="19"/>
  <c r="R197" i="19"/>
  <c r="C19" i="49"/>
  <c r="D18" i="49"/>
  <c r="E18" i="49" s="1"/>
  <c r="D14" i="49"/>
  <c r="E14" i="49" s="1"/>
  <c r="V8" i="52"/>
  <c r="S197" i="19" l="1"/>
  <c r="S198" i="19"/>
  <c r="S199" i="19"/>
  <c r="C9" i="53"/>
  <c r="D19" i="49"/>
  <c r="E19" i="49" s="1"/>
  <c r="T197" i="19" l="1"/>
  <c r="T198" i="19"/>
  <c r="T199" i="19"/>
  <c r="AL9" i="53"/>
  <c r="D9" i="53"/>
  <c r="E9" i="53" s="1"/>
  <c r="U197" i="19" l="1"/>
  <c r="U199" i="19"/>
  <c r="U198" i="19"/>
  <c r="V197" i="19" l="1"/>
  <c r="V199" i="19"/>
  <c r="V198" i="19"/>
  <c r="W199" i="19" l="1"/>
  <c r="W198" i="19"/>
  <c r="W197" i="19"/>
  <c r="X199" i="19" l="1"/>
  <c r="N856" i="1" s="1"/>
  <c r="W20" i="50" s="1"/>
  <c r="X20" i="50" s="1"/>
  <c r="C20" i="50" s="1"/>
  <c r="D20" i="50" s="1"/>
  <c r="E20" i="50" s="1"/>
  <c r="X197" i="19"/>
  <c r="N807" i="1" s="1"/>
  <c r="W18" i="50" s="1"/>
  <c r="X198" i="19"/>
  <c r="N847" i="1" s="1"/>
  <c r="W19" i="50" s="1"/>
  <c r="X19" i="50" s="1"/>
  <c r="C19" i="50" s="1"/>
  <c r="D19" i="50" s="1"/>
  <c r="E19" i="50" s="1"/>
  <c r="Y199" i="19"/>
  <c r="Y198" i="19"/>
  <c r="Y197" i="19"/>
  <c r="W22" i="50" l="1"/>
  <c r="C15" i="50" s="1"/>
  <c r="D15" i="50" s="1"/>
  <c r="E15" i="50" s="1"/>
  <c r="X18" i="50"/>
  <c r="C18" i="50" s="1"/>
  <c r="D18" i="50" s="1"/>
  <c r="E18" i="50" s="1"/>
  <c r="Z199" i="19"/>
  <c r="Z197" i="19"/>
  <c r="Z198" i="19"/>
  <c r="X22" i="50" l="1"/>
  <c r="C24" i="50" s="1"/>
  <c r="C22" i="50"/>
  <c r="D22" i="50" s="1"/>
  <c r="E22" i="50" s="1"/>
  <c r="X30" i="50"/>
  <c r="C30" i="50" s="1"/>
  <c r="C10" i="53" l="1"/>
  <c r="D30" i="50"/>
  <c r="E30" i="50" s="1"/>
  <c r="D24" i="50"/>
  <c r="E24" i="50" s="1"/>
  <c r="V9" i="52"/>
  <c r="C25" i="50"/>
  <c r="D25" i="50" l="1"/>
  <c r="E25" i="50" s="1"/>
  <c r="C29" i="50"/>
  <c r="D29" i="50" s="1"/>
  <c r="E29" i="50" s="1"/>
  <c r="D10" i="53"/>
  <c r="E10" i="53" s="1"/>
  <c r="AL10" i="53"/>
  <c r="W187" i="19" l="1"/>
  <c r="C15" i="48" l="1"/>
  <c r="C11" i="48"/>
  <c r="C16" i="48" l="1"/>
  <c r="C26" i="48"/>
  <c r="V11" i="48"/>
  <c r="C10" i="48" s="1"/>
  <c r="D10" i="48" s="1"/>
  <c r="E10" i="48" s="1"/>
  <c r="N1" i="1"/>
  <c r="U17" i="25"/>
  <c r="C13" i="25" s="1"/>
  <c r="C12" i="48"/>
  <c r="D12" i="48" s="1"/>
  <c r="E12" i="48" s="1"/>
  <c r="D11" i="48"/>
  <c r="E11" i="48" s="1"/>
  <c r="D15" i="48"/>
  <c r="E15" i="48" s="1"/>
  <c r="C27" i="48" l="1"/>
  <c r="D26" i="48"/>
  <c r="E26" i="48" s="1"/>
  <c r="V7" i="52"/>
  <c r="V13" i="52" s="1"/>
  <c r="V20" i="7" s="1"/>
  <c r="B29" i="7" s="1"/>
  <c r="D16" i="48"/>
  <c r="E16" i="48" s="1"/>
  <c r="C13" i="24"/>
  <c r="D13" i="24" s="1"/>
  <c r="E13" i="24" s="1"/>
  <c r="C13" i="26"/>
  <c r="D13" i="26" s="1"/>
  <c r="E13" i="26" s="1"/>
  <c r="D13" i="25"/>
  <c r="E13" i="25" s="1"/>
  <c r="C22" i="7" l="1"/>
  <c r="C25" i="7"/>
  <c r="C27" i="7" s="1"/>
  <c r="C8" i="53"/>
  <c r="D27" i="48"/>
  <c r="E27" i="48" s="1"/>
  <c r="AL8" i="53" l="1"/>
  <c r="AL12" i="53" s="1"/>
  <c r="AL18" i="53" s="1"/>
  <c r="D8" i="53"/>
  <c r="E8" i="53" s="1"/>
  <c r="C12" i="53"/>
  <c r="D12" i="53" l="1"/>
  <c r="E12" i="53" s="1"/>
  <c r="C16" i="53"/>
  <c r="D16" i="53" l="1"/>
  <c r="E16" i="53" s="1"/>
  <c r="C18" i="53"/>
  <c r="D18" i="53" l="1"/>
  <c r="E18" i="53" s="1"/>
  <c r="C15" i="8"/>
  <c r="G15" i="8" s="1"/>
  <c r="I15" i="8" s="1"/>
  <c r="AL15" i="8" l="1"/>
  <c r="AL17" i="8" s="1"/>
  <c r="I3" i="42"/>
  <c r="D15" i="8"/>
  <c r="E15" i="8" s="1"/>
  <c r="C17" i="8"/>
  <c r="G17" i="8" s="1"/>
  <c r="I17" i="8" s="1"/>
  <c r="I18" i="8" l="1"/>
  <c r="I23" i="8"/>
  <c r="I17" i="42"/>
  <c r="K32" i="42" s="1"/>
  <c r="I26" i="42"/>
  <c r="C23" i="8"/>
  <c r="D17" i="8"/>
  <c r="E17" i="8" s="1"/>
  <c r="C18" i="8"/>
  <c r="K3" i="42"/>
  <c r="K26" i="42" s="1"/>
  <c r="K34" i="42" s="1"/>
  <c r="D23" i="8" l="1"/>
  <c r="E23" i="8" s="1"/>
  <c r="G23" i="8"/>
  <c r="D18" i="8"/>
  <c r="E18" i="8" s="1"/>
  <c r="G18" i="8"/>
  <c r="K17" i="42"/>
  <c r="K36" i="42"/>
  <c r="O187" i="19"/>
  <c r="O191" i="19" l="1"/>
  <c r="O192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Peter Sun</author>
  </authors>
  <commentList>
    <comment ref="F21" authorId="0" shapeId="0" xr:uid="{5362A12D-8743-41BD-8103-DCF0377EC593}">
      <text>
        <r>
          <rPr>
            <b/>
            <sz val="9"/>
            <color indexed="81"/>
            <rFont val="Tahoma"/>
            <family val="2"/>
          </rPr>
          <t>Peter Sun:</t>
        </r>
        <r>
          <rPr>
            <sz val="9"/>
            <color indexed="81"/>
            <rFont val="Tahoma"/>
            <family val="2"/>
          </rPr>
          <t xml:space="preserve">
All generated from services, leave it as part departments for reporting purposes but recoded it to Serives for comm purposes</t>
        </r>
      </text>
    </comment>
    <comment ref="C22" authorId="0" shapeId="0" xr:uid="{DBC3F992-D616-4839-9426-81358A2A8CA8}">
      <text>
        <r>
          <rPr>
            <b/>
            <sz val="9"/>
            <color indexed="81"/>
            <rFont val="Tahoma"/>
            <family val="2"/>
          </rPr>
          <t>Peter Sun:</t>
        </r>
        <r>
          <rPr>
            <sz val="9"/>
            <color indexed="81"/>
            <rFont val="Tahoma"/>
            <family val="2"/>
          </rPr>
          <t xml:space="preserve">
Direct Delivery Fees - $1,194 off target of $4,000 and Selling expenses lower due to commissions lower</t>
        </r>
      </text>
    </comment>
    <comment ref="D22" authorId="0" shapeId="0" xr:uid="{3F0AD9F5-6471-440E-BDC5-9CDE3EB70FFD}">
      <text>
        <r>
          <rPr>
            <b/>
            <sz val="9"/>
            <color indexed="81"/>
            <rFont val="Tahoma"/>
            <family val="2"/>
          </rPr>
          <t>Peter Sun:</t>
        </r>
        <r>
          <rPr>
            <sz val="9"/>
            <color indexed="81"/>
            <rFont val="Tahoma"/>
            <family val="2"/>
          </rPr>
          <t xml:space="preserve">
$7k expenses overrun due to interest expenses increase and 31 units whole sales profit of $623 per units</t>
        </r>
      </text>
    </comment>
    <comment ref="F22" authorId="0" shapeId="0" xr:uid="{4A2408EF-3809-4AFD-846F-6E4C1C160131}">
      <text>
        <r>
          <rPr>
            <b/>
            <sz val="9"/>
            <color indexed="81"/>
            <rFont val="Tahoma"/>
            <family val="2"/>
          </rPr>
          <t>Peter Sun:</t>
        </r>
        <r>
          <rPr>
            <sz val="9"/>
            <color indexed="81"/>
            <rFont val="Tahoma"/>
            <family val="2"/>
          </rPr>
          <t xml:space="preserve">
Keegan final paid
Jamiee final paid</t>
        </r>
      </text>
    </comment>
    <comment ref="G22" authorId="0" shapeId="0" xr:uid="{A3ACC44A-22B3-4616-9285-E4BB44E88529}">
      <text>
        <r>
          <rPr>
            <b/>
            <sz val="9"/>
            <color indexed="81"/>
            <rFont val="Tahoma"/>
            <family val="2"/>
          </rPr>
          <t>Peter Sun:</t>
        </r>
        <r>
          <rPr>
            <sz val="9"/>
            <color indexed="81"/>
            <rFont val="Tahoma"/>
            <family val="2"/>
          </rPr>
          <t xml:space="preserve">
Prtty much just a reflect of reallocation of coding. Which doesn't help selling gross.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tc={8BE74DDF-ED5A-4F71-B511-C424C597A1C7}</author>
  </authors>
  <commentList>
    <comment ref="B33" authorId="0" shapeId="0" xr:uid="{8BE74DDF-ED5A-4F71-B511-C424C597A1C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[Tasks]
There is a task anchored to this comment that cannot be viewed in your client.
Comment:
    @Peter Sun - can you check this against TNZ definitions?
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tc={393F2536-2A1E-4E83-9131-B7AA64D6BB79}</author>
  </authors>
  <commentList>
    <comment ref="B33" authorId="0" shapeId="0" xr:uid="{393F2536-2A1E-4E83-9131-B7AA64D6BB79}">
      <text>
        <t>[Threaded comment]
Your version of Excel allows you to read this threaded comment; however, any edits to it will get removed if the file is opened in a newer version of Excel. Learn more: https://go.microsoft.com/fwlink/?linkid=870924
[Tasks]
There is a task anchored to this comment that cannot be viewed in your client.
Comment:
    @Peter Sun - loss of Jamie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tc={84AA0CCA-4597-4B18-8108-97E890AF3026}</author>
  </authors>
  <commentList>
    <comment ref="B33" authorId="0" shapeId="0" xr:uid="{84AA0CCA-4597-4B18-8108-97E890AF3026}">
      <text>
        <t>[Threaded comment]
Your version of Excel allows you to read this threaded comment; however, any edits to it will get removed if the file is opened in a newer version of Excel. Learn more: https://go.microsoft.com/fwlink/?linkid=870924
Comment:
    @Peter Sun - can you send me the breakdown by cc for tech numbers.  We are using different numbers on a weekly basis.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<sst xmlns="http://schemas.openxmlformats.org/spreadsheetml/2006/main" count="48030" uniqueCount="1777">
  <si>
    <t>MISSING INFORMATION</t>
  </si>
  <si>
    <t>OVERALL</t>
  </si>
  <si>
    <t>Total Revenue - Toyota</t>
  </si>
  <si>
    <t>Total Revenue - Other</t>
  </si>
  <si>
    <t>Comments</t>
  </si>
  <si>
    <t>Parts</t>
  </si>
  <si>
    <t>Selling Gross Per Employees</t>
  </si>
  <si>
    <t>Seprate out performance parts</t>
  </si>
  <si>
    <t>Date INPUT</t>
  </si>
  <si>
    <t>TOTAL COMPANY</t>
  </si>
  <si>
    <t>2023 Year</t>
  </si>
  <si>
    <t>2024 Year</t>
  </si>
  <si>
    <t>Actual</t>
  </si>
  <si>
    <t>Projected</t>
  </si>
  <si>
    <t>New Vehicles</t>
  </si>
  <si>
    <t>Used Vehicles</t>
  </si>
  <si>
    <t>F&amp;I</t>
  </si>
  <si>
    <t>Service</t>
  </si>
  <si>
    <t>Other Income (incl Lexus)</t>
  </si>
  <si>
    <t>Total Selling Gross</t>
  </si>
  <si>
    <t>FEF Incentive</t>
  </si>
  <si>
    <t>Overheads</t>
  </si>
  <si>
    <t>Net Profit</t>
  </si>
  <si>
    <t>NV GP</t>
  </si>
  <si>
    <t>UV GP</t>
  </si>
  <si>
    <t>F&amp;I GP</t>
  </si>
  <si>
    <t>Parts GP</t>
  </si>
  <si>
    <t>Service GP</t>
  </si>
  <si>
    <t>Check</t>
  </si>
  <si>
    <t>New Vehicle</t>
  </si>
  <si>
    <t>Used Vehicle</t>
  </si>
  <si>
    <t>TOTAL SELLING GROSS</t>
  </si>
  <si>
    <t>Other INCOME</t>
  </si>
  <si>
    <t>Other OH</t>
  </si>
  <si>
    <t>TOTAL NET PROFIT</t>
  </si>
  <si>
    <t>Projected - Jan</t>
  </si>
  <si>
    <t>New Vehicle delivery fee</t>
  </si>
  <si>
    <t>Volume difference</t>
  </si>
  <si>
    <t>1 units down resulting lower agency fees received</t>
  </si>
  <si>
    <t>GP/Unit difference</t>
  </si>
  <si>
    <t>$28 per unit favourable due to model mix</t>
  </si>
  <si>
    <t>Accessory losses - NS</t>
  </si>
  <si>
    <t>Accessory gains - NW</t>
  </si>
  <si>
    <t>GP difference on TNZ Sourced</t>
  </si>
  <si>
    <t>Both units and GP on track</t>
  </si>
  <si>
    <t>Volume difference on Own Sourced</t>
  </si>
  <si>
    <t>18 units down lower the GP per unit</t>
  </si>
  <si>
    <t>GP/Unit difference on Own Sourced</t>
  </si>
  <si>
    <t>$311 unfavourable GP per unit</t>
  </si>
  <si>
    <t>GP difference on Demo</t>
  </si>
  <si>
    <t>3 units more than budget but $985 per unit profit unfavourable</t>
  </si>
  <si>
    <t xml:space="preserve">Labour GP </t>
  </si>
  <si>
    <t>$77 per unit margin unfavourable</t>
  </si>
  <si>
    <t>Parts GP difference</t>
  </si>
  <si>
    <t>Lexus operations</t>
  </si>
  <si>
    <t>Projected 66k NP, we only made 37k</t>
  </si>
  <si>
    <t>Retail detailing</t>
  </si>
  <si>
    <t>Projected small loss of 8k, we loss 31k actual</t>
  </si>
  <si>
    <t>Bridgestone</t>
  </si>
  <si>
    <t>Projected 22k net profit, we only made 6k</t>
  </si>
  <si>
    <t>Incentive</t>
  </si>
  <si>
    <t>Other saving or overrun</t>
  </si>
  <si>
    <t xml:space="preserve">General overun - HP Interest gone up about 11% for the past 2 months due to 5 new LEX loan cars and driver car refresh </t>
  </si>
  <si>
    <t>Selling and overhead Expenses</t>
  </si>
  <si>
    <t>Lexus</t>
  </si>
  <si>
    <t>Retail Detailing / Bridgestone</t>
  </si>
  <si>
    <t>Other</t>
  </si>
  <si>
    <t>Cost Centre</t>
  </si>
  <si>
    <t>Code</t>
  </si>
  <si>
    <t>6142#</t>
  </si>
  <si>
    <t>NEW</t>
  </si>
  <si>
    <t>Units - TNZ Agency</t>
  </si>
  <si>
    <t>9285M#</t>
  </si>
  <si>
    <t>Sales Person/Reps - New</t>
  </si>
  <si>
    <t>Agency Sales Fee</t>
  </si>
  <si>
    <t>Commission: Salesperson</t>
  </si>
  <si>
    <t>Vehicle Advertising &amp; Prom</t>
  </si>
  <si>
    <t>Sales - Direct Delivery Fees</t>
  </si>
  <si>
    <t>9290M#</t>
  </si>
  <si>
    <t>USED</t>
  </si>
  <si>
    <t>Sales Person/Reps - Used</t>
  </si>
  <si>
    <t>6090R#</t>
  </si>
  <si>
    <t>Units - Hilux 4 x 4</t>
  </si>
  <si>
    <t>6205#</t>
  </si>
  <si>
    <t>Units - Used Veh Signature</t>
  </si>
  <si>
    <t>6209#</t>
  </si>
  <si>
    <t>Units - Used Veh Retail Other</t>
  </si>
  <si>
    <t>3090R</t>
  </si>
  <si>
    <t>Sales - Hilux 4 x 4</t>
  </si>
  <si>
    <t>4090R</t>
  </si>
  <si>
    <t>COGS - Hilux 4 x 4</t>
  </si>
  <si>
    <t>Sales - Used Veh Signature</t>
  </si>
  <si>
    <t>COGS - Used Veh Signature</t>
  </si>
  <si>
    <t>Sales - Used Veh Pass Retail</t>
  </si>
  <si>
    <t>COGS - Used Veh Pass Retail</t>
  </si>
  <si>
    <t>3165R</t>
  </si>
  <si>
    <t>Finance Income New</t>
  </si>
  <si>
    <t>9490M#</t>
  </si>
  <si>
    <t>PARTS</t>
  </si>
  <si>
    <t>TOTAL PARTS PERSONNEL</t>
  </si>
  <si>
    <t>Sales - Counter Retail</t>
  </si>
  <si>
    <t>Sales - Trade</t>
  </si>
  <si>
    <t>Sales - Toyota W'shop Retail</t>
  </si>
  <si>
    <t>Sales - Warranty</t>
  </si>
  <si>
    <t>Sales - Internal</t>
  </si>
  <si>
    <t>COGS - Counter Retail</t>
  </si>
  <si>
    <t>COGS - Trade</t>
  </si>
  <si>
    <t>COGS - Toyota W'shop Retail</t>
  </si>
  <si>
    <t>COGS - Warranty</t>
  </si>
  <si>
    <t>COGS - Internal</t>
  </si>
  <si>
    <t>9360M#</t>
  </si>
  <si>
    <t>SERVICE</t>
  </si>
  <si>
    <t>Technicians - Service</t>
  </si>
  <si>
    <t>Sales - Cust Labour-Fran</t>
  </si>
  <si>
    <t>Sales - Warr Labour-Fran</t>
  </si>
  <si>
    <t>Sales - Internal Labour</t>
  </si>
  <si>
    <t>COGS - Cust Labour - Fran</t>
  </si>
  <si>
    <t>COGS - Warr Labour - Fran</t>
  </si>
  <si>
    <t>COGS - Internal Labour</t>
  </si>
  <si>
    <t>Sales - Sublet Repairs - Fran</t>
  </si>
  <si>
    <t>COGS - Sublet Repairs - Fran</t>
  </si>
  <si>
    <t>Sales - Miscellaneous Service</t>
  </si>
  <si>
    <t>COGS - Miscellaneous Service</t>
  </si>
  <si>
    <t>Vehicle Policy/Free Service</t>
  </si>
  <si>
    <t>OH</t>
  </si>
  <si>
    <t>Salaries: Support Services</t>
  </si>
  <si>
    <t>Rent</t>
  </si>
  <si>
    <t>Depreciation</t>
  </si>
  <si>
    <t>Bank Charges</t>
  </si>
  <si>
    <t>Insurance General</t>
  </si>
  <si>
    <t>Data Processing</t>
  </si>
  <si>
    <t>Equipment Maintenance</t>
  </si>
  <si>
    <t>Consultancy Fees</t>
  </si>
  <si>
    <t>Travel/Entertainment - Customer</t>
  </si>
  <si>
    <t>FEF INCENTIVE</t>
  </si>
  <si>
    <t>Toyota Care</t>
  </si>
  <si>
    <t>LEX NEW</t>
  </si>
  <si>
    <t>Units - LNZ New</t>
  </si>
  <si>
    <t>3050R</t>
  </si>
  <si>
    <t>Gross / Units</t>
  </si>
  <si>
    <t>LEF INCENTIVE</t>
  </si>
  <si>
    <t>LEX USED</t>
  </si>
  <si>
    <t>LEX F&amp;I</t>
  </si>
  <si>
    <t>LEX Parts</t>
  </si>
  <si>
    <t>LEX SERVICE</t>
  </si>
  <si>
    <t>Retail Detailing</t>
  </si>
  <si>
    <t>Training</t>
  </si>
  <si>
    <t>LEX OH</t>
  </si>
  <si>
    <t>SUMMARY</t>
  </si>
  <si>
    <t>OTHER</t>
  </si>
  <si>
    <t>Current Month</t>
  </si>
  <si>
    <t xml:space="preserve">CY YTD </t>
  </si>
  <si>
    <t>CY YTD</t>
  </si>
  <si>
    <t>GP</t>
  </si>
  <si>
    <t>Selling Expenses</t>
  </si>
  <si>
    <t>Month</t>
  </si>
  <si>
    <t>YTD</t>
  </si>
  <si>
    <t>EXP</t>
  </si>
  <si>
    <t>Over</t>
  </si>
  <si>
    <t>Under</t>
  </si>
  <si>
    <t>Breakeven</t>
  </si>
  <si>
    <t>TOTAL</t>
  </si>
  <si>
    <t>Total Revenue</t>
  </si>
  <si>
    <t>Total COGS</t>
  </si>
  <si>
    <t>Total GP</t>
  </si>
  <si>
    <t>Total Expenses</t>
  </si>
  <si>
    <t>Sales &amp; COGS</t>
  </si>
  <si>
    <t>Driver Selection:</t>
  </si>
  <si>
    <t>Driver</t>
  </si>
  <si>
    <t>Revenue</t>
  </si>
  <si>
    <t>Proportion</t>
  </si>
  <si>
    <t>Accounts</t>
  </si>
  <si>
    <t>Headcount</t>
  </si>
  <si>
    <t>GP Contribution</t>
  </si>
  <si>
    <t>Expenses Contribution</t>
  </si>
  <si>
    <t>3465</t>
  </si>
  <si>
    <t>3466</t>
  </si>
  <si>
    <t>3475</t>
  </si>
  <si>
    <t>3500</t>
  </si>
  <si>
    <t>3505</t>
  </si>
  <si>
    <t>COGS</t>
  </si>
  <si>
    <t>Total Labour Sales</t>
  </si>
  <si>
    <t>Total Labour COGS</t>
  </si>
  <si>
    <t>Total Labour GP</t>
  </si>
  <si>
    <t>Total Other Sales</t>
  </si>
  <si>
    <t>Total Other COGS</t>
  </si>
  <si>
    <t>Total Other GP</t>
  </si>
  <si>
    <t>Total Sales</t>
  </si>
  <si>
    <t>Grooming recharges</t>
  </si>
  <si>
    <t>Labour Sales</t>
  </si>
  <si>
    <t>3300</t>
  </si>
  <si>
    <t>3320</t>
  </si>
  <si>
    <t>3340</t>
  </si>
  <si>
    <t>Labour COGS</t>
  </si>
  <si>
    <t>Other Sales</t>
  </si>
  <si>
    <t>3390</t>
  </si>
  <si>
    <t>3430</t>
  </si>
  <si>
    <t>Other Sales COGS</t>
  </si>
  <si>
    <t>Account</t>
  </si>
  <si>
    <t>Account Name</t>
  </si>
  <si>
    <t>Cost Centre Name</t>
  </si>
  <si>
    <t>Account Type</t>
  </si>
  <si>
    <t xml:space="preserve"> Bal(2023/09)</t>
  </si>
  <si>
    <t>Section</t>
  </si>
  <si>
    <t>Budget MTD</t>
  </si>
  <si>
    <t>Budget YTD</t>
  </si>
  <si>
    <t>Ledger</t>
  </si>
  <si>
    <t>TNZ ACCOUNT</t>
  </si>
  <si>
    <t>UNIT</t>
  </si>
  <si>
    <t>COSTCENTRE</t>
  </si>
  <si>
    <t>Toyota Store Report page</t>
  </si>
  <si>
    <t>Department Report Line</t>
  </si>
  <si>
    <t>PS Reporting Line</t>
  </si>
  <si>
    <t>Petty Cash / Till Floats</t>
  </si>
  <si>
    <t>Balance Sheet</t>
  </si>
  <si>
    <t>CASH AND EQUIVALENT</t>
  </si>
  <si>
    <t>Bank - 1 NBML</t>
  </si>
  <si>
    <t>Bank - 3 WAL</t>
  </si>
  <si>
    <t>Bank - 4 NBML Savings</t>
  </si>
  <si>
    <t>Bank - 5 NBML Savings On Call (Lexus Deposits)</t>
  </si>
  <si>
    <t>Clearing Union Pay</t>
  </si>
  <si>
    <t>Clearing Cash &amp; Cheques</t>
  </si>
  <si>
    <t>Clearing Eftpos</t>
  </si>
  <si>
    <t>Clearing Amex</t>
  </si>
  <si>
    <t>Clearing Diners &amp; Q Card</t>
  </si>
  <si>
    <t>Clearing Direct Deposits</t>
  </si>
  <si>
    <t>Admin Use Only</t>
  </si>
  <si>
    <t>Vehicle New Agency Department 100</t>
  </si>
  <si>
    <t>Clearing WE/ALI PAY</t>
  </si>
  <si>
    <t>Debtors - Parts &amp; Service</t>
  </si>
  <si>
    <t>RECEIVABLES</t>
  </si>
  <si>
    <t>Debtors - Sundry receivable</t>
  </si>
  <si>
    <t>Debtors - Vehicles Toyota</t>
  </si>
  <si>
    <t>Debtors - Vehicles Lexus</t>
  </si>
  <si>
    <t>Debtors - Vehicles Wholesales</t>
  </si>
  <si>
    <t>Debtors TNZ Stakeholder Pymt</t>
  </si>
  <si>
    <t>TNZ Quarterly Incentive Due</t>
  </si>
  <si>
    <t>Debtors - Toyota Demo Reimbursement</t>
  </si>
  <si>
    <t>Debtors - Fleet Rebates Lexus</t>
  </si>
  <si>
    <t>Debtors - Toyota Agency</t>
  </si>
  <si>
    <t>Debtors - Warranty Toyota</t>
  </si>
  <si>
    <t>Debtors - Warranty Lexus</t>
  </si>
  <si>
    <t>Debtors - Finance Commission</t>
  </si>
  <si>
    <t>Stock - Demo Toyota</t>
  </si>
  <si>
    <t>INVENTORIES</t>
  </si>
  <si>
    <t>1230#</t>
  </si>
  <si>
    <t>Stock Units - Demo Toyota</t>
  </si>
  <si>
    <t>Statistical</t>
  </si>
  <si>
    <t>Stock - Demo Lexus</t>
  </si>
  <si>
    <t>1233#</t>
  </si>
  <si>
    <t>Stock Units - Demo Lexus</t>
  </si>
  <si>
    <t>Accessories - Demo Toyota</t>
  </si>
  <si>
    <t>Accessories - Demo Lexus</t>
  </si>
  <si>
    <t>Stock - New Passenger Toyota</t>
  </si>
  <si>
    <t>Stock - New Lexus</t>
  </si>
  <si>
    <t>1241#</t>
  </si>
  <si>
    <t>Stock Units - New Lexus</t>
  </si>
  <si>
    <t>Accessories - New Pass Toyota</t>
  </si>
  <si>
    <t>Accessories - New Lexus</t>
  </si>
  <si>
    <t>Stock - New Commercial Toyota</t>
  </si>
  <si>
    <t>Accessories - New Comm Toyota</t>
  </si>
  <si>
    <t>Stock - Signature &amp; OT FP</t>
  </si>
  <si>
    <t>1319#</t>
  </si>
  <si>
    <t>Stock Units - Signature &amp; OT</t>
  </si>
  <si>
    <t>Stock - Used Toyota</t>
  </si>
  <si>
    <t>1320#</t>
  </si>
  <si>
    <t>Stock Units - Used Toyota</t>
  </si>
  <si>
    <t>Stock - Used Lexus</t>
  </si>
  <si>
    <t>1321#</t>
  </si>
  <si>
    <t>Stock Units - Used Lexus</t>
  </si>
  <si>
    <t>Reconditioning - Used Toyota</t>
  </si>
  <si>
    <t>Reconditioning - Sig &amp; OT FP</t>
  </si>
  <si>
    <t>Reconditioning - Used Lexus</t>
  </si>
  <si>
    <t>Agency Vehicle Suspense</t>
  </si>
  <si>
    <t>Agency PDI Suspense</t>
  </si>
  <si>
    <t>Stock - Parts Toyota</t>
  </si>
  <si>
    <t>Stock - Parts Accessories Toy</t>
  </si>
  <si>
    <t>Stock - Parts Other Franchise</t>
  </si>
  <si>
    <t>Stock - Tyres</t>
  </si>
  <si>
    <t>Transit Parts Accessories</t>
  </si>
  <si>
    <t>Stock - Oil &amp; Grease North Sho</t>
  </si>
  <si>
    <t>1510B</t>
  </si>
  <si>
    <t>Stock - Oil &amp; Grease Hobsonville</t>
  </si>
  <si>
    <t>1510H</t>
  </si>
  <si>
    <t>Stock - Oil &amp; Grease Henderson</t>
  </si>
  <si>
    <t>1510N</t>
  </si>
  <si>
    <t>Stock - Oil &amp; Grease New Lynn</t>
  </si>
  <si>
    <t>Stock - Oil &amp; Grease Lexus</t>
  </si>
  <si>
    <t>Stock - Oil &amp; Grease GR</t>
  </si>
  <si>
    <t>Accessories - P&amp;F/Enhancements</t>
  </si>
  <si>
    <t>Sublet W.I.P North Shore</t>
  </si>
  <si>
    <t>1550I</t>
  </si>
  <si>
    <t>Sublet W.I.P Internal</t>
  </si>
  <si>
    <t>Sublet W.I.P Henderson</t>
  </si>
  <si>
    <t>Sublet W.I.P New Lynn.</t>
  </si>
  <si>
    <t>W.I.P Labour Toyota North Shor</t>
  </si>
  <si>
    <t>1570B</t>
  </si>
  <si>
    <t>W.I.P Labour Toyota Hobsonvill</t>
  </si>
  <si>
    <t>1570H</t>
  </si>
  <si>
    <t>W.I.P. Labour Toyota Henderson</t>
  </si>
  <si>
    <t>1570N</t>
  </si>
  <si>
    <t>W.I.P. Labour Toyota New Lynn</t>
  </si>
  <si>
    <t>W.I.P. Labour Lexus</t>
  </si>
  <si>
    <t>W.I.P Labour NS Technical</t>
  </si>
  <si>
    <t>Provisional Tax Paid</t>
  </si>
  <si>
    <t>PREPAID EXPENSES</t>
  </si>
  <si>
    <t>RWT Paid</t>
  </si>
  <si>
    <t>Prepaid Insurance</t>
  </si>
  <si>
    <t>TCSA Prepayments Clearing</t>
  </si>
  <si>
    <t>Prepaid Vehicle Expenses</t>
  </si>
  <si>
    <t>Sundry Amounts Owing</t>
  </si>
  <si>
    <t>FA - Computer Equipment NST</t>
  </si>
  <si>
    <t>FIXED ASSETS</t>
  </si>
  <si>
    <t>1772H</t>
  </si>
  <si>
    <t>FA - Computer Equipment NWT</t>
  </si>
  <si>
    <t>FA - Furniture &amp; Fittings NST</t>
  </si>
  <si>
    <t>1773H</t>
  </si>
  <si>
    <t>FA - Furniture &amp; Fittings NWT</t>
  </si>
  <si>
    <t>FA - Company Vehicle NST</t>
  </si>
  <si>
    <t>1774H</t>
  </si>
  <si>
    <t>FA - Company Vehicle  NWT</t>
  </si>
  <si>
    <t>FA - Plant &amp; Equipment NST</t>
  </si>
  <si>
    <t>1780H</t>
  </si>
  <si>
    <t>FA - Plant &amp; Equipment NWT</t>
  </si>
  <si>
    <t>FA - Loose Tools NST</t>
  </si>
  <si>
    <t>FA - Leasehold Improvement NST</t>
  </si>
  <si>
    <t>1800H</t>
  </si>
  <si>
    <t>FA - Leasehold Improvement NWT</t>
  </si>
  <si>
    <t>AD - Computer Equipment NST</t>
  </si>
  <si>
    <t>ACCUMILATED DEPRECIATION</t>
  </si>
  <si>
    <t>2782H</t>
  </si>
  <si>
    <t>AD - Computer Equipment NWT</t>
  </si>
  <si>
    <t>AD - Furniture &amp; Fittings NST</t>
  </si>
  <si>
    <t>2783H</t>
  </si>
  <si>
    <t>AD - Furniture &amp; Fittings NWT</t>
  </si>
  <si>
    <t>AD - Company Vehicles NST</t>
  </si>
  <si>
    <t>2784H</t>
  </si>
  <si>
    <t>AD - Company Vehicles NWT</t>
  </si>
  <si>
    <t>AD - Plant &amp; Equipment NST</t>
  </si>
  <si>
    <t>2790H</t>
  </si>
  <si>
    <t>AD - Plant &amp; Equipment NWT</t>
  </si>
  <si>
    <t>AD - Leasehold Improvement NST</t>
  </si>
  <si>
    <t>2800H</t>
  </si>
  <si>
    <t>AD - Leasehold Improvement NWT</t>
  </si>
  <si>
    <t>1350#</t>
  </si>
  <si>
    <t>New Agency Vehicles Toyota</t>
  </si>
  <si>
    <t>OTHER ASSETS</t>
  </si>
  <si>
    <t>6064r#</t>
  </si>
  <si>
    <t>Units - Lexus IS 300 Limited</t>
  </si>
  <si>
    <t>North Shore New Lexus</t>
  </si>
  <si>
    <t>6144R#</t>
  </si>
  <si>
    <t>Units -Lexus RZ450e</t>
  </si>
  <si>
    <t>Miscellaneous Assets</t>
  </si>
  <si>
    <t>INTANGIBLES</t>
  </si>
  <si>
    <t>Refund request</t>
  </si>
  <si>
    <t>PAYABLES</t>
  </si>
  <si>
    <t>Creditors Trade</t>
  </si>
  <si>
    <t>Customer Deposits Vehicles</t>
  </si>
  <si>
    <t>Customer Deposits Parts NST</t>
  </si>
  <si>
    <t>2131H</t>
  </si>
  <si>
    <t>Customer Deposits Parts NWT</t>
  </si>
  <si>
    <t>Customer Deposits Service NST</t>
  </si>
  <si>
    <t>2132H</t>
  </si>
  <si>
    <t>Customer Deposits Service NWT</t>
  </si>
  <si>
    <t>Stakeholder Agency Payments</t>
  </si>
  <si>
    <t>Customer Laybys</t>
  </si>
  <si>
    <t>Agency Supplier Payable</t>
  </si>
  <si>
    <t>TFS Charge Plan - Loan A/C</t>
  </si>
  <si>
    <t>FLOORPLAN</t>
  </si>
  <si>
    <t>Floorplan New Toyota</t>
  </si>
  <si>
    <t>Deferred GST FP New Toyota</t>
  </si>
  <si>
    <t>Floorplan New Lexus</t>
  </si>
  <si>
    <t>Deferred GST FP New Lexus</t>
  </si>
  <si>
    <t>Floorplan Signature</t>
  </si>
  <si>
    <t>Deferred GST FP Signature</t>
  </si>
  <si>
    <t>Provision for Salary Support</t>
  </si>
  <si>
    <t>ACCRUALS</t>
  </si>
  <si>
    <t>Accrued Child Support</t>
  </si>
  <si>
    <t>Accrued Southern Cross Expense</t>
  </si>
  <si>
    <t>Accrued Payroll</t>
  </si>
  <si>
    <t>Accrued Signature VIP</t>
  </si>
  <si>
    <t>Accrued Bonuses</t>
  </si>
  <si>
    <t>Accrued Free/1st Service</t>
  </si>
  <si>
    <t>Clearing Registration Costs</t>
  </si>
  <si>
    <t>Clearing Extra Care Contracts</t>
  </si>
  <si>
    <t>Provision for Holiday Pay</t>
  </si>
  <si>
    <t>Prov Uninsured Losses Service</t>
  </si>
  <si>
    <t>Provision for FBT</t>
  </si>
  <si>
    <t>Provision for Interest</t>
  </si>
  <si>
    <t>Provision for Security</t>
  </si>
  <si>
    <t>2581P</t>
  </si>
  <si>
    <t>Prov for Bad Debts - Parts</t>
  </si>
  <si>
    <t>2581S</t>
  </si>
  <si>
    <t>Prov for Bad Debts - Service</t>
  </si>
  <si>
    <t>2581T</t>
  </si>
  <si>
    <t>Prov for Bad Debts - Tyres</t>
  </si>
  <si>
    <t>Provision for Computer Charges</t>
  </si>
  <si>
    <t>Provision for ACC Levy</t>
  </si>
  <si>
    <t>Provision for Rates</t>
  </si>
  <si>
    <t>Clearing Shareholder Salaries</t>
  </si>
  <si>
    <t>Accrued PAYE</t>
  </si>
  <si>
    <t>Accrued Kiwisaver Employee Ded</t>
  </si>
  <si>
    <t>GST Net</t>
  </si>
  <si>
    <t>Accrued Kiwisaver Employer Con</t>
  </si>
  <si>
    <t>Taxation - Prior Year</t>
  </si>
  <si>
    <t>Taxation - Current Year</t>
  </si>
  <si>
    <t>Taxation - Provisional Paid</t>
  </si>
  <si>
    <t>Taxation - Accrued Income Tax</t>
  </si>
  <si>
    <t>Jago Investment Trust</t>
  </si>
  <si>
    <t>LOANS ST</t>
  </si>
  <si>
    <t>Deferred  Tax  Asset</t>
  </si>
  <si>
    <t>TAXES</t>
  </si>
  <si>
    <t>GST Input Tax (Paid)</t>
  </si>
  <si>
    <t>GST Output Tax (Received)</t>
  </si>
  <si>
    <t>Resident Withholding Tax</t>
  </si>
  <si>
    <t>HP Finance Agreements</t>
  </si>
  <si>
    <t>LOANS LT</t>
  </si>
  <si>
    <t>R D Jago</t>
  </si>
  <si>
    <t>Mrs P Jago</t>
  </si>
  <si>
    <t>Loan - Oteha Valley Properties</t>
  </si>
  <si>
    <t>Loan - Northern Bays Trust</t>
  </si>
  <si>
    <t>Paid Up / Autorised Capital</t>
  </si>
  <si>
    <t>NET WORTH</t>
  </si>
  <si>
    <t>Retained Earnings</t>
  </si>
  <si>
    <t>Capital Reserve</t>
  </si>
  <si>
    <t>Investment - Contact Energy</t>
  </si>
  <si>
    <t>P&amp;L</t>
  </si>
  <si>
    <t>SALES</t>
  </si>
  <si>
    <t>Vehicle New Agency Department 200</t>
  </si>
  <si>
    <t>Sundry Income</t>
  </si>
  <si>
    <t>North Shore  New Toyota</t>
  </si>
  <si>
    <t>North Shore Used Toyota</t>
  </si>
  <si>
    <t>North Shore Parts Toyota</t>
  </si>
  <si>
    <t>North Shore Service Toyota</t>
  </si>
  <si>
    <t>North Shore F &amp; I Toyota</t>
  </si>
  <si>
    <t>Overhead Expenses</t>
  </si>
  <si>
    <t>Henderson New Toyota</t>
  </si>
  <si>
    <t>Henderson Used Toyota</t>
  </si>
  <si>
    <t>Henderson Parts</t>
  </si>
  <si>
    <t>Henderson Service</t>
  </si>
  <si>
    <t>New Lynn Service</t>
  </si>
  <si>
    <t>Hobsonville Service</t>
  </si>
  <si>
    <t>Bridgestone Target Road</t>
  </si>
  <si>
    <t>Bridgestone New Lynn</t>
  </si>
  <si>
    <t>ORC Non-Agency Sales</t>
  </si>
  <si>
    <t>ORC Agency Reimbursement</t>
  </si>
  <si>
    <t>PDI Agency Reimbursement</t>
  </si>
  <si>
    <t>New  VIP and Target Bonus</t>
  </si>
  <si>
    <t>Sales - Incentive VIP Sign</t>
  </si>
  <si>
    <t>North Shore Signature</t>
  </si>
  <si>
    <t>Sales - Incentive VIP OT FP</t>
  </si>
  <si>
    <t>Sales - Incentive KPI</t>
  </si>
  <si>
    <t>North Shore Used Lexus</t>
  </si>
  <si>
    <t>North Shore Parts Lexus</t>
  </si>
  <si>
    <t>North Shore Service  Lexus</t>
  </si>
  <si>
    <t>North Shore F &amp; I Lexus</t>
  </si>
  <si>
    <t>Henderson F &amp; I</t>
  </si>
  <si>
    <t>New Lynn Parts</t>
  </si>
  <si>
    <t>Hobsonville Parts</t>
  </si>
  <si>
    <t>Discount - Service Menu</t>
  </si>
  <si>
    <t>Other Income</t>
  </si>
  <si>
    <t>3076R</t>
  </si>
  <si>
    <t>Sales - Land Cruiser 70</t>
  </si>
  <si>
    <t>COMMERCIAL VEHICLE SALES</t>
  </si>
  <si>
    <t>3090RD</t>
  </si>
  <si>
    <t>Discount - Hilux 4 x 4</t>
  </si>
  <si>
    <t>3095R</t>
  </si>
  <si>
    <t>Sales - Hilux 4 x 2</t>
  </si>
  <si>
    <t>3095RD</t>
  </si>
  <si>
    <t>Discount - Hilux 4 x 2</t>
  </si>
  <si>
    <t>3105R</t>
  </si>
  <si>
    <t>Sales - Hiace</t>
  </si>
  <si>
    <t>3105RD</t>
  </si>
  <si>
    <t>Discount - Hiace</t>
  </si>
  <si>
    <t>6076R#</t>
  </si>
  <si>
    <t>Units - Land Cruiser 70</t>
  </si>
  <si>
    <t>6095R#</t>
  </si>
  <si>
    <t>Units - Hilux 4 x 2</t>
  </si>
  <si>
    <t>6105R#</t>
  </si>
  <si>
    <t>Units - Hiace</t>
  </si>
  <si>
    <t>3002R</t>
  </si>
  <si>
    <t>Sales - Yaris</t>
  </si>
  <si>
    <t>PASSENGER VEHICLE SALES</t>
  </si>
  <si>
    <t>3002RD</t>
  </si>
  <si>
    <t>Discount - Yaris</t>
  </si>
  <si>
    <t>3004R</t>
  </si>
  <si>
    <t>Sales - Corolla Hybrid</t>
  </si>
  <si>
    <t>3004RD</t>
  </si>
  <si>
    <t>Discount - Corolla Hybrid</t>
  </si>
  <si>
    <t>3006R</t>
  </si>
  <si>
    <t>Sales - Corolla Hatch</t>
  </si>
  <si>
    <t>3006RD</t>
  </si>
  <si>
    <t>Discount - Corolla Hatch</t>
  </si>
  <si>
    <t>3007R</t>
  </si>
  <si>
    <t>Sales - Corolla Sedan</t>
  </si>
  <si>
    <t>3007RD</t>
  </si>
  <si>
    <t>Discount - Corolla Sedan</t>
  </si>
  <si>
    <t>3008R</t>
  </si>
  <si>
    <t>Sales - Corolla Wagon</t>
  </si>
  <si>
    <t>3008RD</t>
  </si>
  <si>
    <t>Discount - Corolla Wagon</t>
  </si>
  <si>
    <t>3010R</t>
  </si>
  <si>
    <t>Sales - Camry</t>
  </si>
  <si>
    <t>3010RD</t>
  </si>
  <si>
    <t>Discount - Camry</t>
  </si>
  <si>
    <t>3011R</t>
  </si>
  <si>
    <t>Sales - Hybrid Camry</t>
  </si>
  <si>
    <t>3011RD</t>
  </si>
  <si>
    <t>Discount - Hybrid Camry</t>
  </si>
  <si>
    <t>3037R</t>
  </si>
  <si>
    <t>Sales - Prius</t>
  </si>
  <si>
    <t>3039R</t>
  </si>
  <si>
    <t>Sales - Lexus IS350</t>
  </si>
  <si>
    <t>3039RD</t>
  </si>
  <si>
    <t>Discount - Lexus IS350</t>
  </si>
  <si>
    <t>3040R</t>
  </si>
  <si>
    <t>Sales - Lexus IS300h</t>
  </si>
  <si>
    <t>3040RD</t>
  </si>
  <si>
    <t>Discount - Lexus IS300h</t>
  </si>
  <si>
    <t>3042R</t>
  </si>
  <si>
    <t>Sales - Lexus ES300h</t>
  </si>
  <si>
    <t>3042RD</t>
  </si>
  <si>
    <t>Discount - Lexus ES300h</t>
  </si>
  <si>
    <t>3046R</t>
  </si>
  <si>
    <t>Sales - Lexus GS450h</t>
  </si>
  <si>
    <t>3046RD</t>
  </si>
  <si>
    <t>Discount - Lexus GS450h</t>
  </si>
  <si>
    <t>3048R</t>
  </si>
  <si>
    <t>Sales - Lexus LS600h</t>
  </si>
  <si>
    <t>3049R</t>
  </si>
  <si>
    <t>Sales - Lexus RX350</t>
  </si>
  <si>
    <t>3049RD</t>
  </si>
  <si>
    <t>Discount - RX350</t>
  </si>
  <si>
    <t>Sales - Lexus RX450h</t>
  </si>
  <si>
    <t>3050RD</t>
  </si>
  <si>
    <t>Discount - RX450h</t>
  </si>
  <si>
    <t>3051R</t>
  </si>
  <si>
    <t>Sales - Lexus LX570</t>
  </si>
  <si>
    <t>3051RD</t>
  </si>
  <si>
    <t>Discount - Lexus LX570</t>
  </si>
  <si>
    <t>3052R</t>
  </si>
  <si>
    <t>Sales - Lexus CT200h</t>
  </si>
  <si>
    <t>3052RD</t>
  </si>
  <si>
    <t>Discount - Lexus CT200h</t>
  </si>
  <si>
    <t>3054R</t>
  </si>
  <si>
    <t>Sales - Lexus NX300h</t>
  </si>
  <si>
    <t>3054RD</t>
  </si>
  <si>
    <t>Discount - Lexus NX300h</t>
  </si>
  <si>
    <t>3061R</t>
  </si>
  <si>
    <t>Sales - Lexus LX 450D</t>
  </si>
  <si>
    <t>3061RD</t>
  </si>
  <si>
    <t>Discount - Lexus LX 450D</t>
  </si>
  <si>
    <t>3063R</t>
  </si>
  <si>
    <t>Sales - Lexus ISF</t>
  </si>
  <si>
    <t>3063RD</t>
  </si>
  <si>
    <t>Discount - Lexus ISF</t>
  </si>
  <si>
    <t>3064R</t>
  </si>
  <si>
    <t>Sales - Lexus IS300 Limited</t>
  </si>
  <si>
    <t>3064RD</t>
  </si>
  <si>
    <t>Discount - Lexus IS 300 Limited</t>
  </si>
  <si>
    <t>3070R</t>
  </si>
  <si>
    <t>Sales - Lexus UX250h</t>
  </si>
  <si>
    <t>3070RD</t>
  </si>
  <si>
    <t>Discount - Lexus UX250h</t>
  </si>
  <si>
    <t>3071R</t>
  </si>
  <si>
    <t>Sales - Lexus UX300e</t>
  </si>
  <si>
    <t>3071RD</t>
  </si>
  <si>
    <t>Discount - Lexus UX300e</t>
  </si>
  <si>
    <t>3074R</t>
  </si>
  <si>
    <t>Sales - Lexus NX450h</t>
  </si>
  <si>
    <t>3074RD</t>
  </si>
  <si>
    <t>Discount - Lexus NX450h</t>
  </si>
  <si>
    <t>3075R</t>
  </si>
  <si>
    <t>Sales - Land Cruiser</t>
  </si>
  <si>
    <t>3080R</t>
  </si>
  <si>
    <t>Sales - Prado</t>
  </si>
  <si>
    <t>3080RD</t>
  </si>
  <si>
    <t>Discount - Prado</t>
  </si>
  <si>
    <t>3082R</t>
  </si>
  <si>
    <t>Sales - Lexus RX500h</t>
  </si>
  <si>
    <t>3082rd</t>
  </si>
  <si>
    <t>Discont - Lexus RX500h</t>
  </si>
  <si>
    <t>3083R</t>
  </si>
  <si>
    <t>Sales - C - HR</t>
  </si>
  <si>
    <t>3083RD</t>
  </si>
  <si>
    <t>Discount - C - HR</t>
  </si>
  <si>
    <t>3085R</t>
  </si>
  <si>
    <t>Sales - Rav 4</t>
  </si>
  <si>
    <t>3085RD</t>
  </si>
  <si>
    <t>Discount - Rav 4</t>
  </si>
  <si>
    <t>3087R</t>
  </si>
  <si>
    <t>Sales - Highlander</t>
  </si>
  <si>
    <t>3087RD</t>
  </si>
  <si>
    <t>Discount - Highlander</t>
  </si>
  <si>
    <t>3088R</t>
  </si>
  <si>
    <t>Sales - Fortuner</t>
  </si>
  <si>
    <t>3088RD</t>
  </si>
  <si>
    <t>Discount - Fortuner</t>
  </si>
  <si>
    <t>3144R</t>
  </si>
  <si>
    <t>Sales - Lexus RZ450e</t>
  </si>
  <si>
    <t>6002R#</t>
  </si>
  <si>
    <t>Units - Yaris</t>
  </si>
  <si>
    <t>6004R#</t>
  </si>
  <si>
    <t>Units - Corolla Hybrid</t>
  </si>
  <si>
    <t>6006R#</t>
  </si>
  <si>
    <t>Units - Corolla Hatch</t>
  </si>
  <si>
    <t>6007R#</t>
  </si>
  <si>
    <t>Units - Corolla Sedan</t>
  </si>
  <si>
    <t>6008R#</t>
  </si>
  <si>
    <t>Units - Corolla Wagon</t>
  </si>
  <si>
    <t>6010R#</t>
  </si>
  <si>
    <t>Units - Camry</t>
  </si>
  <si>
    <t>6011R#</t>
  </si>
  <si>
    <t>Units - Hybrid Camry</t>
  </si>
  <si>
    <t>6037R#</t>
  </si>
  <si>
    <t>Units - Prius</t>
  </si>
  <si>
    <t>6039R#</t>
  </si>
  <si>
    <t>Units - Lexus IS350</t>
  </si>
  <si>
    <t>6040R#</t>
  </si>
  <si>
    <t>Units - Lexus IS300h</t>
  </si>
  <si>
    <t>6042R#</t>
  </si>
  <si>
    <t>Units - Lexus ES300h</t>
  </si>
  <si>
    <t>6046R#</t>
  </si>
  <si>
    <t>Units - Lexus GS450h</t>
  </si>
  <si>
    <t>6049R#</t>
  </si>
  <si>
    <t>Units - Lexus RX350</t>
  </si>
  <si>
    <t>6050R#</t>
  </si>
  <si>
    <t>Units - Lexus RX450h</t>
  </si>
  <si>
    <t>6051R#</t>
  </si>
  <si>
    <t>Units - Lexus LX570</t>
  </si>
  <si>
    <t>6052R#</t>
  </si>
  <si>
    <t>Units - Lexus CT200h</t>
  </si>
  <si>
    <t>6054R#</t>
  </si>
  <si>
    <t>Units - Lexus NX300h</t>
  </si>
  <si>
    <t>6058R#</t>
  </si>
  <si>
    <t>Units - Lexus LC500</t>
  </si>
  <si>
    <t>6060#</t>
  </si>
  <si>
    <t>Units - Direct Deals</t>
  </si>
  <si>
    <t>6061R#</t>
  </si>
  <si>
    <t>Units - Lexus LX 450D</t>
  </si>
  <si>
    <t>6063R#</t>
  </si>
  <si>
    <t>Units - Lexus ISF</t>
  </si>
  <si>
    <t>6070R#</t>
  </si>
  <si>
    <t>Units - Lexus UX250h</t>
  </si>
  <si>
    <t>6071R#</t>
  </si>
  <si>
    <t>Units - Lexus UX300e</t>
  </si>
  <si>
    <t>6074R#</t>
  </si>
  <si>
    <t>Units - Lexus NX450h</t>
  </si>
  <si>
    <t>6075R#</t>
  </si>
  <si>
    <t>Units - Land Cruiser 200</t>
  </si>
  <si>
    <t>6080R#</t>
  </si>
  <si>
    <t>Units - Prado</t>
  </si>
  <si>
    <t>6082R#</t>
  </si>
  <si>
    <t>Units - Lexus RX500h</t>
  </si>
  <si>
    <t>6083R#</t>
  </si>
  <si>
    <t>Units - C - HR</t>
  </si>
  <si>
    <t>6085R#</t>
  </si>
  <si>
    <t>Units - Rav 4</t>
  </si>
  <si>
    <t>6087R#</t>
  </si>
  <si>
    <t>Units - Highlander</t>
  </si>
  <si>
    <t>6088R#</t>
  </si>
  <si>
    <t>Units - Fortuner</t>
  </si>
  <si>
    <t>FINANCE AND INSURANCE</t>
  </si>
  <si>
    <t>3175R</t>
  </si>
  <si>
    <t>TVI Income New</t>
  </si>
  <si>
    <t>3180R</t>
  </si>
  <si>
    <t>Extra Care Income New</t>
  </si>
  <si>
    <t>3185R</t>
  </si>
  <si>
    <t>Other Ext Warranty Income New</t>
  </si>
  <si>
    <t>Paint/Fabric Protector - Sales</t>
  </si>
  <si>
    <t>Other Finance Comm Received</t>
  </si>
  <si>
    <t>Finance Income Used</t>
  </si>
  <si>
    <t>Finance Income Used Signature</t>
  </si>
  <si>
    <t>TVI Income Used</t>
  </si>
  <si>
    <t>TVI Income Used Signature</t>
  </si>
  <si>
    <t>Extra Care Income Used</t>
  </si>
  <si>
    <t>Customer Support Centre</t>
  </si>
  <si>
    <t>Extra Care Income Used Signatu</t>
  </si>
  <si>
    <t>Other Ext Warr Income Used</t>
  </si>
  <si>
    <t>Paint/Fabric Protector - Used</t>
  </si>
  <si>
    <t>Paint/Fabric Protector - Signa</t>
  </si>
  <si>
    <t>Other Finance Comm Recd Used</t>
  </si>
  <si>
    <t>Other Finance Comm Recd Signat</t>
  </si>
  <si>
    <t>4180R</t>
  </si>
  <si>
    <t>COS ExtraCare Income</t>
  </si>
  <si>
    <t>USED VEHICLES</t>
  </si>
  <si>
    <t>Sales - Used Veh OT FP</t>
  </si>
  <si>
    <t>Sales - Used Veh Comm Retail</t>
  </si>
  <si>
    <t>Sales -Used Veh Pass Wholesale</t>
  </si>
  <si>
    <t>Sales -Used Veh Comm Wholesale</t>
  </si>
  <si>
    <t>6206#</t>
  </si>
  <si>
    <t>Units - Used Veh OT FP</t>
  </si>
  <si>
    <t>6211#</t>
  </si>
  <si>
    <t>Units - Used Veh Comm Retail</t>
  </si>
  <si>
    <t>6230#</t>
  </si>
  <si>
    <t>Units -  Used Veh Pass Whole</t>
  </si>
  <si>
    <t>6232#</t>
  </si>
  <si>
    <t>Units -  Used Veh Comm Whole</t>
  </si>
  <si>
    <t>SERVICE SALES</t>
  </si>
  <si>
    <t>GR Garage NSTechnical</t>
  </si>
  <si>
    <t>North Shore Detailing</t>
  </si>
  <si>
    <t>3300#</t>
  </si>
  <si>
    <t># - Cust Labour-Fran</t>
  </si>
  <si>
    <t>Sales - Extracare Labour</t>
  </si>
  <si>
    <t>3301#</t>
  </si>
  <si>
    <t># - Extracare</t>
  </si>
  <si>
    <t>Sales Labour - WOF</t>
  </si>
  <si>
    <t>3302#</t>
  </si>
  <si>
    <t>#Sales Labour - WOF</t>
  </si>
  <si>
    <t>Discount - TCSA</t>
  </si>
  <si>
    <t>3304#</t>
  </si>
  <si>
    <t># - Discount - TCSA</t>
  </si>
  <si>
    <t>3305#</t>
  </si>
  <si>
    <t># - Discount Service Menu</t>
  </si>
  <si>
    <t>Sales - CustLabour-Non Fran</t>
  </si>
  <si>
    <t>3312#</t>
  </si>
  <si>
    <t># - CustLabour-Non Fran</t>
  </si>
  <si>
    <t>3320#</t>
  </si>
  <si>
    <t># - Warr Labour-Fran</t>
  </si>
  <si>
    <t>3340#</t>
  </si>
  <si>
    <t># - Internal Labour</t>
  </si>
  <si>
    <t>3390#</t>
  </si>
  <si>
    <t># - Sublet Repairs - Fran</t>
  </si>
  <si>
    <t>Sales - Petrol/Oil/Grease</t>
  </si>
  <si>
    <t>3400#</t>
  </si>
  <si>
    <t># - Petrol/Oil/Grease</t>
  </si>
  <si>
    <t>Sales - Paint and Materials</t>
  </si>
  <si>
    <t>3410#</t>
  </si>
  <si>
    <t># - Paint and Materials</t>
  </si>
  <si>
    <t>3430#</t>
  </si>
  <si>
    <t># - Miscellaneous Service</t>
  </si>
  <si>
    <t>Parts - Toyota Incentive</t>
  </si>
  <si>
    <t>PARTS SALES</t>
  </si>
  <si>
    <t>Sales - Trade Other</t>
  </si>
  <si>
    <t>Sales - Count. Ret'L Oth</t>
  </si>
  <si>
    <t>Sales - Toyota W'shop Fleet</t>
  </si>
  <si>
    <t>Sales - Other W'Shop Fleet</t>
  </si>
  <si>
    <t>Sales - Other W'shop Retail</t>
  </si>
  <si>
    <t>Sales - Inter- Dealer</t>
  </si>
  <si>
    <t>Sales - Accessories (Genuine)</t>
  </si>
  <si>
    <t>Agency Vehicle Cost of Sales</t>
  </si>
  <si>
    <t>COST OF SALES</t>
  </si>
  <si>
    <t>4076R</t>
  </si>
  <si>
    <t>COGS - Land Cruiser 70</t>
  </si>
  <si>
    <t>COMMERCIAL VEHICLE COS/BONUS/FCLAIM</t>
  </si>
  <si>
    <t>4076RR</t>
  </si>
  <si>
    <t>Rebate - Land Cruiser 70</t>
  </si>
  <si>
    <t>4082r</t>
  </si>
  <si>
    <t>COGS - Lexus RX500h</t>
  </si>
  <si>
    <t>4090RR</t>
  </si>
  <si>
    <t>Rebate - Hilux 4 x 4</t>
  </si>
  <si>
    <t>4095R</t>
  </si>
  <si>
    <t>COGS - Hilux 4 x 2</t>
  </si>
  <si>
    <t>4095RR</t>
  </si>
  <si>
    <t>Rebate - Hilux 4 x 2</t>
  </si>
  <si>
    <t>4105R</t>
  </si>
  <si>
    <t>COGS - Hiace</t>
  </si>
  <si>
    <t>4105RR</t>
  </si>
  <si>
    <t>Rebate - Hiace</t>
  </si>
  <si>
    <t>4002R</t>
  </si>
  <si>
    <t>COGS - Yaris</t>
  </si>
  <si>
    <t>PASSENGER VEHICLE COS/BONUS/FCLAIM</t>
  </si>
  <si>
    <t>4002RR</t>
  </si>
  <si>
    <t>Rebate - Yaris</t>
  </si>
  <si>
    <t>4004R</t>
  </si>
  <si>
    <t>COGS - Corolla Hybrid</t>
  </si>
  <si>
    <t>4004RR</t>
  </si>
  <si>
    <t>Rebate - Corolla Hybrid</t>
  </si>
  <si>
    <t>4006R</t>
  </si>
  <si>
    <t>COGS - Corolla Hatch</t>
  </si>
  <si>
    <t>4006RR</t>
  </si>
  <si>
    <t>Rebate - Corolla Hatch</t>
  </si>
  <si>
    <t>4007R</t>
  </si>
  <si>
    <t>COGS - Corolla Sedan</t>
  </si>
  <si>
    <t>4007RR</t>
  </si>
  <si>
    <t>Rebate - Corolla Sedan</t>
  </si>
  <si>
    <t>4008R</t>
  </si>
  <si>
    <t>COGS - Corolla Wagon</t>
  </si>
  <si>
    <t>4008RR</t>
  </si>
  <si>
    <t>Rebate - Corolla Wagon</t>
  </si>
  <si>
    <t>4009R</t>
  </si>
  <si>
    <t>COGS - 86</t>
  </si>
  <si>
    <t>4010R</t>
  </si>
  <si>
    <t>COGS - Camry</t>
  </si>
  <si>
    <t>4010RR</t>
  </si>
  <si>
    <t>Rebate - Camry</t>
  </si>
  <si>
    <t>4011R</t>
  </si>
  <si>
    <t>COGS - Hybrid Camry</t>
  </si>
  <si>
    <t>4011RR</t>
  </si>
  <si>
    <t>Rebate - Hybrid Camry</t>
  </si>
  <si>
    <t>4037R</t>
  </si>
  <si>
    <t>COGS - Prius</t>
  </si>
  <si>
    <t>4039R</t>
  </si>
  <si>
    <t>COGS - Lexus IS350</t>
  </si>
  <si>
    <t>4040R</t>
  </si>
  <si>
    <t>COGS - Lexus IS300h</t>
  </si>
  <si>
    <t>4040RR</t>
  </si>
  <si>
    <t>Rebate - Lexus IS300h</t>
  </si>
  <si>
    <t>4041R</t>
  </si>
  <si>
    <t>COGS - Lexus ES350</t>
  </si>
  <si>
    <t>4042R</t>
  </si>
  <si>
    <t>COGS - Lexus ES300h</t>
  </si>
  <si>
    <t>4042RR</t>
  </si>
  <si>
    <t>Rebate - Lexus ES300h</t>
  </si>
  <si>
    <t>4046R</t>
  </si>
  <si>
    <t>COGS - Lexus GS450h</t>
  </si>
  <si>
    <t>4048R</t>
  </si>
  <si>
    <t>COGS - Lexus LS600h</t>
  </si>
  <si>
    <t>4049R</t>
  </si>
  <si>
    <t>COGS - Lexus RX350</t>
  </si>
  <si>
    <t>4049RR</t>
  </si>
  <si>
    <t>Rebate - Lexus RX350</t>
  </si>
  <si>
    <t>4050R</t>
  </si>
  <si>
    <t>COGS - Lexus RX450h</t>
  </si>
  <si>
    <t>4050RR</t>
  </si>
  <si>
    <t>Rebate - Lexus RX450h</t>
  </si>
  <si>
    <t>4051R</t>
  </si>
  <si>
    <t>COGS - Lexus LX570</t>
  </si>
  <si>
    <t>4051RR</t>
  </si>
  <si>
    <t>Rebate - Lexus LX570</t>
  </si>
  <si>
    <t>4052R</t>
  </si>
  <si>
    <t>COGS - Lexus CT200h</t>
  </si>
  <si>
    <t>4052RR</t>
  </si>
  <si>
    <t>Rebate - Lexus CT200h</t>
  </si>
  <si>
    <t>4054R</t>
  </si>
  <si>
    <t>COGS - Lexus NX300h</t>
  </si>
  <si>
    <t>4054RR</t>
  </si>
  <si>
    <t>Rebate - Lexus NX300h</t>
  </si>
  <si>
    <t>COGS - Distributor Direct</t>
  </si>
  <si>
    <t>4061R</t>
  </si>
  <si>
    <t>COGS - Lexus LX 450D</t>
  </si>
  <si>
    <t>4061RR</t>
  </si>
  <si>
    <t>Rebate - Lexus LX 450D</t>
  </si>
  <si>
    <t>4063R</t>
  </si>
  <si>
    <t>COGS - Lexus ISF</t>
  </si>
  <si>
    <t>4063RR</t>
  </si>
  <si>
    <t>Rebate - Lexus ISF</t>
  </si>
  <si>
    <t>4064R</t>
  </si>
  <si>
    <t>COGS - Lexus IS 300 Limited</t>
  </si>
  <si>
    <t>4064RR</t>
  </si>
  <si>
    <t>Rebate - Lexus IS 300 Limited</t>
  </si>
  <si>
    <t>4070R</t>
  </si>
  <si>
    <t>COGS - Lexus UX250h</t>
  </si>
  <si>
    <t>4070RR</t>
  </si>
  <si>
    <t>Rebate - Lexus UX250h</t>
  </si>
  <si>
    <t>4071R</t>
  </si>
  <si>
    <t>COGS - Lexus UX300e</t>
  </si>
  <si>
    <t>4071RR</t>
  </si>
  <si>
    <t>Rebate - Lexus UX300e</t>
  </si>
  <si>
    <t>4074R</t>
  </si>
  <si>
    <t>COGS - Lexus NX450h</t>
  </si>
  <si>
    <t>4074RR</t>
  </si>
  <si>
    <t>Rebate - Lexus NX450h</t>
  </si>
  <si>
    <t>4075R</t>
  </si>
  <si>
    <t>COGS - Land Cruiser</t>
  </si>
  <si>
    <t>4075RR</t>
  </si>
  <si>
    <t>Rebate - Land Cruiser</t>
  </si>
  <si>
    <t>4078R</t>
  </si>
  <si>
    <t>COGS - Land Cruiser 200</t>
  </si>
  <si>
    <t>4080R</t>
  </si>
  <si>
    <t>COGS - Prado</t>
  </si>
  <si>
    <t>4080RR</t>
  </si>
  <si>
    <t>Rebate - Prado</t>
  </si>
  <si>
    <t>4082RR</t>
  </si>
  <si>
    <t>Rebate - Lexus RX500h</t>
  </si>
  <si>
    <t>4083R</t>
  </si>
  <si>
    <t>COGS - C - HR</t>
  </si>
  <si>
    <t>4083RR</t>
  </si>
  <si>
    <t>Rebate - C - HR</t>
  </si>
  <si>
    <t>4085R</t>
  </si>
  <si>
    <t>COGS - Rav 4</t>
  </si>
  <si>
    <t>4085RR</t>
  </si>
  <si>
    <t>Rebate - Rav 4</t>
  </si>
  <si>
    <t>4087R</t>
  </si>
  <si>
    <t>COGS - Highlander</t>
  </si>
  <si>
    <t>4087RR</t>
  </si>
  <si>
    <t>Rebate - Highlander</t>
  </si>
  <si>
    <t>4088R</t>
  </si>
  <si>
    <t>COGS - Fortuner</t>
  </si>
  <si>
    <t>4088RR</t>
  </si>
  <si>
    <t>Rebate - Fortuner</t>
  </si>
  <si>
    <t>4125R</t>
  </si>
  <si>
    <t>COGS - Supra_Ret</t>
  </si>
  <si>
    <t>Over/Under Trade Allowance</t>
  </si>
  <si>
    <t>4144R</t>
  </si>
  <si>
    <t>COGS - RZ450e</t>
  </si>
  <si>
    <t>4144RR</t>
  </si>
  <si>
    <t>Rebate- Lexus RZ450e</t>
  </si>
  <si>
    <t>ORC Non-Agency Cost of Sales</t>
  </si>
  <si>
    <t>ORC Agency Costs</t>
  </si>
  <si>
    <t>PDI Agency Costs</t>
  </si>
  <si>
    <t>USED VEHICLE COS</t>
  </si>
  <si>
    <t>COGS - Used Veh OT FP</t>
  </si>
  <si>
    <t>COGS- Used Veh Pass Retail Rec</t>
  </si>
  <si>
    <t>COGS - Used Veh Comm Retail</t>
  </si>
  <si>
    <t>COGS - Used Veh Pass Whole</t>
  </si>
  <si>
    <t>COGS - Used Veh Comm Wholesale</t>
  </si>
  <si>
    <t>SERVICE COS</t>
  </si>
  <si>
    <t>COGS - Extracare</t>
  </si>
  <si>
    <t>COGS - Labour - WOF</t>
  </si>
  <si>
    <t>COGS - Cust Labour-Non Fran</t>
  </si>
  <si>
    <t>COGS - Unsold Labour</t>
  </si>
  <si>
    <t>COGS - Petrol/Oil/Grease</t>
  </si>
  <si>
    <t>COGS - Paint and Materials</t>
  </si>
  <si>
    <t>9810M#</t>
  </si>
  <si>
    <t>Total Bays - Service</t>
  </si>
  <si>
    <t>9811M#</t>
  </si>
  <si>
    <t>Available Bays - Service</t>
  </si>
  <si>
    <t>9812M#</t>
  </si>
  <si>
    <t>Master Technicians - Service</t>
  </si>
  <si>
    <t>PARTS COS</t>
  </si>
  <si>
    <t>COGS - Trade Other</t>
  </si>
  <si>
    <t>C O S - Count. Ret'L Oth</t>
  </si>
  <si>
    <t>COGS - Toyota W'shop Fleet</t>
  </si>
  <si>
    <t>COGS - Other W'shop Fleet</t>
  </si>
  <si>
    <t>COGS - Other W'shop Retail</t>
  </si>
  <si>
    <t>COGS - Inter- Dealer</t>
  </si>
  <si>
    <t>COGS - Accessories (Genuine)</t>
  </si>
  <si>
    <t>Parts Inventory Adjustment</t>
  </si>
  <si>
    <t>Parts Inventory Adjustment COG</t>
  </si>
  <si>
    <t>SELLING EXPENSES</t>
  </si>
  <si>
    <t>Spotters Fees</t>
  </si>
  <si>
    <t>Vehicle Delivery Expense</t>
  </si>
  <si>
    <t>Vehicle New Agency Department 400</t>
  </si>
  <si>
    <t>Salaries: Salesperson</t>
  </si>
  <si>
    <t>EMPLOYMENT EXPENSES</t>
  </si>
  <si>
    <t>Salaries: Other</t>
  </si>
  <si>
    <t>Hobsonville New</t>
  </si>
  <si>
    <t>Sick</t>
  </si>
  <si>
    <t>ACC</t>
  </si>
  <si>
    <t>Employee Wellbeing</t>
  </si>
  <si>
    <t>Fringe Benefits Tax</t>
  </si>
  <si>
    <t>Kiwisaver</t>
  </si>
  <si>
    <t>Health &amp; Safety,Clothing</t>
  </si>
  <si>
    <t>Recruitment</t>
  </si>
  <si>
    <t>Salary Owner/Director</t>
  </si>
  <si>
    <t>DIRECT EXPENSES</t>
  </si>
  <si>
    <t>Fines Non-Deductable</t>
  </si>
  <si>
    <t>Company Vehicles</t>
  </si>
  <si>
    <t>M/V Petrol</t>
  </si>
  <si>
    <t>M/V Maintenance</t>
  </si>
  <si>
    <t>Office Supplies/Stationery</t>
  </si>
  <si>
    <t>Sponsorship</t>
  </si>
  <si>
    <t>Policy Work - Parts Service</t>
  </si>
  <si>
    <t>Data Charges</t>
  </si>
  <si>
    <t>Debt Collection Fee</t>
  </si>
  <si>
    <t>General Expenses</t>
  </si>
  <si>
    <t>Laundry</t>
  </si>
  <si>
    <t>Outside services General</t>
  </si>
  <si>
    <t>Travel/Entertainment - Team only</t>
  </si>
  <si>
    <t>Telephone Rental</t>
  </si>
  <si>
    <t>Telephone Tolls</t>
  </si>
  <si>
    <t>7570R</t>
  </si>
  <si>
    <t>Equipment Rental</t>
  </si>
  <si>
    <t>Freight &amp; General</t>
  </si>
  <si>
    <t>Parts Cartage</t>
  </si>
  <si>
    <t>Interest  Other</t>
  </si>
  <si>
    <t>Heat/Light/Power</t>
  </si>
  <si>
    <t>Donations/Subscriptions/Mem</t>
  </si>
  <si>
    <t>9355M#</t>
  </si>
  <si>
    <t>Advisors - Service</t>
  </si>
  <si>
    <t>9365M#</t>
  </si>
  <si>
    <t>Apprentices - Service</t>
  </si>
  <si>
    <t>9485M#</t>
  </si>
  <si>
    <t>TOTAL SERVICE PERSONNEL</t>
  </si>
  <si>
    <t>9510M#</t>
  </si>
  <si>
    <t>TOTAL ALL PERSONNEL</t>
  </si>
  <si>
    <t>Salaries: Manager/Supervisor</t>
  </si>
  <si>
    <t>INDIRECT EXPENSES</t>
  </si>
  <si>
    <t>Commission: Manager/Supervisor</t>
  </si>
  <si>
    <t>Bad Debts</t>
  </si>
  <si>
    <t>General Advertising</t>
  </si>
  <si>
    <t>Accountancy Fees</t>
  </si>
  <si>
    <t>Special Tools</t>
  </si>
  <si>
    <t>Contract Cleaning</t>
  </si>
  <si>
    <t>Security</t>
  </si>
  <si>
    <t>Postage</t>
  </si>
  <si>
    <t>Property Maintenance</t>
  </si>
  <si>
    <t>Property Rates</t>
  </si>
  <si>
    <t>Low value assets</t>
  </si>
  <si>
    <t>Uninsured Losses</t>
  </si>
  <si>
    <t>Audit Expenses</t>
  </si>
  <si>
    <t>Legal Expenses</t>
  </si>
  <si>
    <t>Calendar Month Year</t>
  </si>
  <si>
    <t>Parent Dealer Code</t>
  </si>
  <si>
    <t>Dealer Code</t>
  </si>
  <si>
    <t>Tunz Account Code</t>
  </si>
  <si>
    <t>Tunz Cost Centre</t>
  </si>
  <si>
    <t>TNZ Account Code</t>
  </si>
  <si>
    <t>TNZ Account Code Description</t>
  </si>
  <si>
    <t>Toyota Store Report line</t>
  </si>
  <si>
    <t>Cost Centre Report Line</t>
  </si>
  <si>
    <t>ACTUAL MTH</t>
  </si>
  <si>
    <t>ACTUAL YTD</t>
  </si>
  <si>
    <t>BUDGET MTH</t>
  </si>
  <si>
    <t>BUDGET YTD</t>
  </si>
  <si>
    <t>Aug 2022</t>
  </si>
  <si>
    <t>TKP</t>
  </si>
  <si>
    <t>PTAMIS</t>
  </si>
  <si>
    <t>Miscellaneous expenses - Toyota</t>
  </si>
  <si>
    <t>Admin &amp; Other</t>
  </si>
  <si>
    <t>Other Overheads as % of Total Gross Profit</t>
  </si>
  <si>
    <t>PTNCVE</t>
  </si>
  <si>
    <t>New Vehicle Cost of Sales - Toyota</t>
  </si>
  <si>
    <t>Retail Gross p.u.</t>
  </si>
  <si>
    <t>HDN</t>
  </si>
  <si>
    <t>PTNDDF</t>
  </si>
  <si>
    <t>NV Direct Delivery Fees (net) - Toyota</t>
  </si>
  <si>
    <t>Direct Delivery Fees (net)</t>
  </si>
  <si>
    <t>PLNDDF</t>
  </si>
  <si>
    <t>NV Direct Delivery Fees (net) - Lexus</t>
  </si>
  <si>
    <t>LEX New Vehicle</t>
  </si>
  <si>
    <t>HTO</t>
  </si>
  <si>
    <t>NWN</t>
  </si>
  <si>
    <t>PTUSDM</t>
  </si>
  <si>
    <t>Ex-Toyota NV Demonstrator revenue</t>
  </si>
  <si>
    <t>Ex NV demonstrators gross profit p.u.</t>
  </si>
  <si>
    <t>PTSSOH</t>
  </si>
  <si>
    <t>Service Miscellaneous Sales - Toyota</t>
  </si>
  <si>
    <t>Miscellaneous % of Total Sales</t>
  </si>
  <si>
    <t>PLSSOH</t>
  </si>
  <si>
    <t>Service Miscellaneous Sales - Lexus</t>
  </si>
  <si>
    <t>Lex Service</t>
  </si>
  <si>
    <t>LEX Admin &amp; Other</t>
  </si>
  <si>
    <t>PTNOIN</t>
  </si>
  <si>
    <t>New Vehicle Other Income - Lexus</t>
  </si>
  <si>
    <t>Other Income per NV unit</t>
  </si>
  <si>
    <t>New Vehicle Other Income - Toyota</t>
  </si>
  <si>
    <t>Toyota Care Incentive per vehicle retailed</t>
  </si>
  <si>
    <t>PTFINC</t>
  </si>
  <si>
    <t>F&amp;I Incentive (TFS) - Toyota</t>
  </si>
  <si>
    <t>TFS Incentive per vehicle retailed</t>
  </si>
  <si>
    <t>PLFINC</t>
  </si>
  <si>
    <t>F&amp;I Incentive (TFS) - Lexus</t>
  </si>
  <si>
    <t>PLNINC</t>
  </si>
  <si>
    <t>New Vehicle Incentive - Lexus</t>
  </si>
  <si>
    <t>Incentive p.u.</t>
  </si>
  <si>
    <t>PLFTCI</t>
  </si>
  <si>
    <t>Toyota Care incentive - Lexus</t>
  </si>
  <si>
    <t>PLUINC</t>
  </si>
  <si>
    <t>Lexus UV incentive income</t>
  </si>
  <si>
    <t>LEX Used Vehicle</t>
  </si>
  <si>
    <t>Overall gross per UV retail incl. incentives</t>
  </si>
  <si>
    <t>PTNINC</t>
  </si>
  <si>
    <t>New Vehicle Incentive - Toyota</t>
  </si>
  <si>
    <t>PTFSPF</t>
  </si>
  <si>
    <t>Paint &amp; Fab Sales - Toyota</t>
  </si>
  <si>
    <t>Paint &amp; Fab income per vehicle retailed</t>
  </si>
  <si>
    <t>PLFSPF</t>
  </si>
  <si>
    <t>Paint &amp; Fab Sales - Lexus</t>
  </si>
  <si>
    <t>PLUSRE</t>
  </si>
  <si>
    <t>Lexus UV Retail revenue</t>
  </si>
  <si>
    <t>Overall UV retail gross profit p.u.</t>
  </si>
  <si>
    <t>PTUSSG</t>
  </si>
  <si>
    <t>Toyota SIG Class UV revenue</t>
  </si>
  <si>
    <t>SIG Class retail gross profit p.u.</t>
  </si>
  <si>
    <t>PTUSOT</t>
  </si>
  <si>
    <t>Toyota OT UV revenue</t>
  </si>
  <si>
    <t>OT retail gross profit p.u.</t>
  </si>
  <si>
    <t>PTUSNF</t>
  </si>
  <si>
    <t>Toyota Non-FP UV retail revenue</t>
  </si>
  <si>
    <t>PLUSWH</t>
  </si>
  <si>
    <t>Lexus UV Wholesale revenue</t>
  </si>
  <si>
    <t>Gross profit per wholesale unit</t>
  </si>
  <si>
    <t>PTUSWH</t>
  </si>
  <si>
    <t>Toyota UV Wholesale revenue</t>
  </si>
  <si>
    <t>PTPINC</t>
  </si>
  <si>
    <t>Parts Incentive - Toyota</t>
  </si>
  <si>
    <t>PTUINC</t>
  </si>
  <si>
    <t>Toyota UV incentive income</t>
  </si>
  <si>
    <t>OT/SIG Class total gross p.u. incl. incentives</t>
  </si>
  <si>
    <t>PLUCRE</t>
  </si>
  <si>
    <t>Lexus UV Cost of Sales</t>
  </si>
  <si>
    <t>Other UV retail gross profit p.u.</t>
  </si>
  <si>
    <t>PTFFIU</t>
  </si>
  <si>
    <t>Finance income - Used Toyota</t>
  </si>
  <si>
    <t>Finance Income per vehicle retailed</t>
  </si>
  <si>
    <t>PLFFIU</t>
  </si>
  <si>
    <t>Finance income - Used Lexus</t>
  </si>
  <si>
    <t>PLFFIN</t>
  </si>
  <si>
    <t>Finance income - New Lexus</t>
  </si>
  <si>
    <t>PTFIUI</t>
  </si>
  <si>
    <t>Insurance income - Used Toyota</t>
  </si>
  <si>
    <t>Insurance Income per vehicle retailed</t>
  </si>
  <si>
    <t>PLFIUI</t>
  </si>
  <si>
    <t>Insurance income - Used Lexus</t>
  </si>
  <si>
    <t>PTFINI</t>
  </si>
  <si>
    <t>Insurance income - New Toyota</t>
  </si>
  <si>
    <t>PTFSTC</t>
  </si>
  <si>
    <t>Toyota Care Sales - Toyota</t>
  </si>
  <si>
    <t>Toyota Care Income per vehicle retailed</t>
  </si>
  <si>
    <t>PLFSTC</t>
  </si>
  <si>
    <t>Toyota Care Sales - Lexus</t>
  </si>
  <si>
    <t>PTSSWR</t>
  </si>
  <si>
    <t>Service Retail labour Sales - Toyota</t>
  </si>
  <si>
    <t>Retail % of Labour Sales</t>
  </si>
  <si>
    <t>PLSSWR</t>
  </si>
  <si>
    <t>Service Retail labour Sales - Lexus</t>
  </si>
  <si>
    <t>PTAOIN</t>
  </si>
  <si>
    <t>Other Income - Toyota</t>
  </si>
  <si>
    <t>POREVE</t>
  </si>
  <si>
    <t>Other franchise/business revenue</t>
  </si>
  <si>
    <t>PTSSWT</t>
  </si>
  <si>
    <t>Service Warranty labour Sales - Toyota</t>
  </si>
  <si>
    <t>Warranty % of Labour Sales</t>
  </si>
  <si>
    <t>PLSSWT</t>
  </si>
  <si>
    <t>Service Warranty labour Sales - Lexus</t>
  </si>
  <si>
    <t>PTSSIN</t>
  </si>
  <si>
    <t>Service Internal labour Sales - Toyota</t>
  </si>
  <si>
    <t>Internal % of Labour Sales</t>
  </si>
  <si>
    <t>PLSSIN</t>
  </si>
  <si>
    <t>Service Internal labour Sales - Lexus</t>
  </si>
  <si>
    <t>PTSCUN</t>
  </si>
  <si>
    <t>Service Unsold Labour - Toyota</t>
  </si>
  <si>
    <t>Unsold Labour  as % of Labour COS</t>
  </si>
  <si>
    <t>PTSSSU</t>
  </si>
  <si>
    <t>Service Sublet Sales - Toyota</t>
  </si>
  <si>
    <t>Sublet % of Total Sales</t>
  </si>
  <si>
    <t>PLSSSU</t>
  </si>
  <si>
    <t>Service Sublet Sales - Lexus</t>
  </si>
  <si>
    <t>PLPSCO</t>
  </si>
  <si>
    <t>Parts Counter Sales - Lexus</t>
  </si>
  <si>
    <t>Counter Sales %  Sales</t>
  </si>
  <si>
    <t>PTPSCO</t>
  </si>
  <si>
    <t>Parts Counter Sales - Toyota</t>
  </si>
  <si>
    <t>PLPSTR</t>
  </si>
  <si>
    <t>Parts Trade Sales - Lexus</t>
  </si>
  <si>
    <t>Trade Sales %  Sales</t>
  </si>
  <si>
    <t>PTPSTR</t>
  </si>
  <si>
    <t>Parts Trade Sales - Toyota</t>
  </si>
  <si>
    <t>PLPSWR</t>
  </si>
  <si>
    <t>Parts Workshop Retail Sales - Lexus</t>
  </si>
  <si>
    <t>Workshop Retail Sales %  Sales</t>
  </si>
  <si>
    <t>PTPSWR</t>
  </si>
  <si>
    <t>Parts Workshop Retail Sales - Toyota</t>
  </si>
  <si>
    <t>PTPSOH</t>
  </si>
  <si>
    <t>Parts Other Sales - Toyota</t>
  </si>
  <si>
    <t>Other Sales %  Sales</t>
  </si>
  <si>
    <t>PTPSWT</t>
  </si>
  <si>
    <t>Parts Warranty Sales - Toyota</t>
  </si>
  <si>
    <t>Warranty Sales %  Sales</t>
  </si>
  <si>
    <t>PLPSWT</t>
  </si>
  <si>
    <t>Parts Warranty Sales - Lexus</t>
  </si>
  <si>
    <t>PLPSIN</t>
  </si>
  <si>
    <t>Parts Internal Sales - Lexus</t>
  </si>
  <si>
    <t>Internal Sales %  Sales</t>
  </si>
  <si>
    <t>PTPSIN</t>
  </si>
  <si>
    <t>Parts Internal Sales - Toyota</t>
  </si>
  <si>
    <t>PLPSOH</t>
  </si>
  <si>
    <t>Parts Other Sales - Lexus</t>
  </si>
  <si>
    <t>PTUCNF</t>
  </si>
  <si>
    <t>Toyota Non-FP UV Cost of Sales</t>
  </si>
  <si>
    <t>PTUCSG</t>
  </si>
  <si>
    <t>Toyota SIG Class UV Cost of Sales</t>
  </si>
  <si>
    <t>July</t>
  </si>
  <si>
    <t>PTUCOT</t>
  </si>
  <si>
    <t>Toyota OT UV Cost of Sales</t>
  </si>
  <si>
    <t>PTUCWH</t>
  </si>
  <si>
    <t>Toyota UV Wholesale Cost of Sales</t>
  </si>
  <si>
    <t>May</t>
  </si>
  <si>
    <t>PLUCWH</t>
  </si>
  <si>
    <t>Lexus UV Wholesale Cost of Sales</t>
  </si>
  <si>
    <t>PTUOIN</t>
  </si>
  <si>
    <t>Toyota Used Vehicle Other Income</t>
  </si>
  <si>
    <t>Other UV income</t>
  </si>
  <si>
    <t>PTUOVA</t>
  </si>
  <si>
    <t>Toyota UV Other Variable expense</t>
  </si>
  <si>
    <t>Other Variable expenses per retail</t>
  </si>
  <si>
    <t>PTFCTC</t>
  </si>
  <si>
    <t>Toyota Care Cost of Sales - Toyota</t>
  </si>
  <si>
    <t>PTSCWR</t>
  </si>
  <si>
    <t>Service Retail labour COS - Toyota</t>
  </si>
  <si>
    <t>Retail Gross Profit % of  Sales</t>
  </si>
  <si>
    <t>PLSCWR</t>
  </si>
  <si>
    <t>Service Retail labour COS - Lexus</t>
  </si>
  <si>
    <t>POEXPE</t>
  </si>
  <si>
    <t>Other franchise/business expense</t>
  </si>
  <si>
    <t>PTSCWT</t>
  </si>
  <si>
    <t>Service Warranty labour COS - Toyota</t>
  </si>
  <si>
    <t>Warranty Gross Profit % of  Sales</t>
  </si>
  <si>
    <t>PLSCWT</t>
  </si>
  <si>
    <t>Service Warranty labour COS - Lexus</t>
  </si>
  <si>
    <t>PTSCIN</t>
  </si>
  <si>
    <t>Service Internal labour COS - Toyota</t>
  </si>
  <si>
    <t>Internal Gross Profit % of  Sales</t>
  </si>
  <si>
    <t>PLSCIN</t>
  </si>
  <si>
    <t>Service Internal labour COS - Lexus</t>
  </si>
  <si>
    <t>PLSCUN</t>
  </si>
  <si>
    <t>Service Unsold Labour - Lexus</t>
  </si>
  <si>
    <t>PTSCSU</t>
  </si>
  <si>
    <t>Service Sublet COS - Toyota</t>
  </si>
  <si>
    <t>Sublet Gross Profit % of Sales</t>
  </si>
  <si>
    <t>PLSCSU</t>
  </si>
  <si>
    <t>Service Sublet COS - Lexus</t>
  </si>
  <si>
    <t>PTSCOH</t>
  </si>
  <si>
    <t>Service Miscellaneous COS - Toyota</t>
  </si>
  <si>
    <t>Miscellaneous Gross Profit % of Sales</t>
  </si>
  <si>
    <t>PLSCOH</t>
  </si>
  <si>
    <t>Service Miscellaneous COS - Lexus</t>
  </si>
  <si>
    <t>PTPCCO</t>
  </si>
  <si>
    <t>Parts Counter COS - Toyota</t>
  </si>
  <si>
    <t>Counter Sales Gross Profit % of Sales</t>
  </si>
  <si>
    <t>December</t>
  </si>
  <si>
    <t>January</t>
  </si>
  <si>
    <t>February</t>
  </si>
  <si>
    <t>PLPCCO</t>
  </si>
  <si>
    <t>Parts Counter COS - Lexus</t>
  </si>
  <si>
    <t>PTPCTR</t>
  </si>
  <si>
    <t>Parts Trade COS - Toyota</t>
  </si>
  <si>
    <t>Trade Sales Gross Profit % of Sales</t>
  </si>
  <si>
    <t>October</t>
  </si>
  <si>
    <t>PLPCTR</t>
  </si>
  <si>
    <t>Parts Trade COS - Lexus</t>
  </si>
  <si>
    <t>September</t>
  </si>
  <si>
    <t>PTPCWR</t>
  </si>
  <si>
    <t>Parts Workshop Retail COS - Toyota</t>
  </si>
  <si>
    <t>Workshop Retail Sales Gross Profit % of Sales</t>
  </si>
  <si>
    <t>March</t>
  </si>
  <si>
    <t>PLPCWR</t>
  </si>
  <si>
    <t>Parts Workshop Retail COS - Lexus</t>
  </si>
  <si>
    <t>PTPCOH</t>
  </si>
  <si>
    <t>Parts Other COS - Toyota</t>
  </si>
  <si>
    <t>Other Sales Gross Profit % of Sales</t>
  </si>
  <si>
    <t>PTPCWT</t>
  </si>
  <si>
    <t>Parts Warranty COS - Toyota</t>
  </si>
  <si>
    <t>Warranty Sales Gross Profit % of Sales</t>
  </si>
  <si>
    <t>PLPCWT</t>
  </si>
  <si>
    <t>Parts Warranty COS - Lexus</t>
  </si>
  <si>
    <t>PTPCIN</t>
  </si>
  <si>
    <t>Parts Internal COS - Toyota</t>
  </si>
  <si>
    <t>Internal Sales Gross Profit % of Sales</t>
  </si>
  <si>
    <t>PLPCIN</t>
  </si>
  <si>
    <t>Parts Internal COS - Lexus</t>
  </si>
  <si>
    <t>PTPCAD</t>
  </si>
  <si>
    <t>Parts Other COS - Inventory adjustment -Toyota</t>
  </si>
  <si>
    <t>PLPCAD</t>
  </si>
  <si>
    <t>Parts Other COS - Inventory adjustment - Lexus</t>
  </si>
  <si>
    <t>PLPCOH</t>
  </si>
  <si>
    <t>Parts Other COS - Lexus</t>
  </si>
  <si>
    <t>PTUSAL</t>
  </si>
  <si>
    <t>Toyota UV Salaries &amp; Wages</t>
  </si>
  <si>
    <t>Salaries &amp; Wages per retail</t>
  </si>
  <si>
    <t>PTNSAL</t>
  </si>
  <si>
    <t>NV Salaries &amp; Wages - Toyota</t>
  </si>
  <si>
    <t>Salaries &amp; Wages p.u.</t>
  </si>
  <si>
    <t>PLUSAL</t>
  </si>
  <si>
    <t>Lexus UV Salaries &amp; Wages</t>
  </si>
  <si>
    <t>PTFSAL</t>
  </si>
  <si>
    <t>F&amp;I Salaries &amp; Commission - Toyota</t>
  </si>
  <si>
    <t>Salaries &amp; Commission per vehicle retailed</t>
  </si>
  <si>
    <t>PTSSAL</t>
  </si>
  <si>
    <t>Service Salaries &amp; Commission - Toyota</t>
  </si>
  <si>
    <t>Salaries, Commission &amp; Leave as % of Sales</t>
  </si>
  <si>
    <t>PLPSAL</t>
  </si>
  <si>
    <t>Parts Salaries &amp; Commission - Lexus</t>
  </si>
  <si>
    <t>Salaries &amp; Commission as % of Sales</t>
  </si>
  <si>
    <t>PTPSAL</t>
  </si>
  <si>
    <t>Parts Salaries &amp; Commission - Toyota</t>
  </si>
  <si>
    <t>PLNSAL</t>
  </si>
  <si>
    <t>NV Salaries &amp; Wages - Lexus</t>
  </si>
  <si>
    <t>PLFSAL</t>
  </si>
  <si>
    <t>F&amp;I Salaries &amp; Commission - Lexus</t>
  </si>
  <si>
    <t>PTUCOM</t>
  </si>
  <si>
    <t>Toyota UV Commission expense</t>
  </si>
  <si>
    <t>Commission per retail</t>
  </si>
  <si>
    <t>PTNCOM</t>
  </si>
  <si>
    <t>NV Commission - Toyota</t>
  </si>
  <si>
    <t>Commission p.u.</t>
  </si>
  <si>
    <t>PLUCOM</t>
  </si>
  <si>
    <t>Lexus UV Commission expense</t>
  </si>
  <si>
    <t>PLSSAL</t>
  </si>
  <si>
    <t>Service Salaries &amp; Commission - Lexus</t>
  </si>
  <si>
    <t>PLNCOM</t>
  </si>
  <si>
    <t>NV Commission - Lexus</t>
  </si>
  <si>
    <t>PTASAL</t>
  </si>
  <si>
    <t>Admin Staff Salaries - Toyota</t>
  </si>
  <si>
    <t xml:space="preserve">Staff Remuneration &amp; Benefits as % of Total Gross </t>
  </si>
  <si>
    <t>PTNOVA</t>
  </si>
  <si>
    <t>NV Other variable expenses - Toyota</t>
  </si>
  <si>
    <t>Other Variable expenses p.u.</t>
  </si>
  <si>
    <t>PLNOVA</t>
  </si>
  <si>
    <t>NV Other variable expenses - Lexus</t>
  </si>
  <si>
    <t>PLUOVA</t>
  </si>
  <si>
    <t>Lexus UV Other Variable expense</t>
  </si>
  <si>
    <t>PLSMIS</t>
  </si>
  <si>
    <t>Service Other expenses - Lexus</t>
  </si>
  <si>
    <t>Other Expenses as % of Sales</t>
  </si>
  <si>
    <t>PTUCDM</t>
  </si>
  <si>
    <t>Ex-Toyota NV demonstrator Cost of Sales</t>
  </si>
  <si>
    <t>PTSMIS</t>
  </si>
  <si>
    <t>Service Other expenses - Toyota</t>
  </si>
  <si>
    <t>PTPMIS</t>
  </si>
  <si>
    <t>Parts Other Expenses - Toyota</t>
  </si>
  <si>
    <t>PTFMIS</t>
  </si>
  <si>
    <t>F&amp;I Other expenses - Toyota</t>
  </si>
  <si>
    <t>Other Expenses per vehicle retailed</t>
  </si>
  <si>
    <t>PTNADV</t>
  </si>
  <si>
    <t>NV Advertising &amp; Promotion - Toyota</t>
  </si>
  <si>
    <t>Advertising p.u.</t>
  </si>
  <si>
    <t>PTUADV</t>
  </si>
  <si>
    <t>Toyota UV Advertising &amp; Promotion</t>
  </si>
  <si>
    <t>Advertising per retail</t>
  </si>
  <si>
    <t>PLNADV</t>
  </si>
  <si>
    <t>NV Advertising &amp; Promotion - Lexus</t>
  </si>
  <si>
    <t>PLUADV</t>
  </si>
  <si>
    <t>Lexus UV Advertising &amp; Promotion</t>
  </si>
  <si>
    <t>PTSADV</t>
  </si>
  <si>
    <t>Service Advertising &amp; Promotion - Toyota</t>
  </si>
  <si>
    <t>PLSADV</t>
  </si>
  <si>
    <t>Service Advertising &amp; Promotion - Lexus</t>
  </si>
  <si>
    <t>PTPADV</t>
  </si>
  <si>
    <t>Parts Advertising &amp; Promotion - Toyota</t>
  </si>
  <si>
    <t>PLNDEM</t>
  </si>
  <si>
    <t>NV Demo Expenses - Lexus</t>
  </si>
  <si>
    <t>Demo Expenses (incl. interest) p.u.</t>
  </si>
  <si>
    <t>PLFADV</t>
  </si>
  <si>
    <t>F&amp;I Advertising &amp; Promotion - Lexus</t>
  </si>
  <si>
    <t>PTFADV</t>
  </si>
  <si>
    <t>F&amp;I Advertising &amp; Promotion - Toyota</t>
  </si>
  <si>
    <t>PTNDEM</t>
  </si>
  <si>
    <t>NV Demo Expenses - Toyota</t>
  </si>
  <si>
    <t>PLPMIS</t>
  </si>
  <si>
    <t>Parts Other Expenses - Lexus</t>
  </si>
  <si>
    <t>PLFMIS</t>
  </si>
  <si>
    <t>F&amp;I Other expenses - Lexus</t>
  </si>
  <si>
    <t>PLUOSF</t>
  </si>
  <si>
    <t>Lexus UV Other Semi-Fixed expenses</t>
  </si>
  <si>
    <t>Other Semi-Fixed expenses per retail</t>
  </si>
  <si>
    <t>PTUOSF</t>
  </si>
  <si>
    <t>Toyota UV Other Semi-Fixed expenses</t>
  </si>
  <si>
    <t>PLNINT</t>
  </si>
  <si>
    <t>NV Lexus Interest expense</t>
  </si>
  <si>
    <t>PTNINT</t>
  </si>
  <si>
    <t>NV Toyota Interest expense</t>
  </si>
  <si>
    <t>PLAINT</t>
  </si>
  <si>
    <t>Interest &amp; Bank Charges - Lexus</t>
  </si>
  <si>
    <t>interest &amp; Bank Charges as % of Total Gross Profit</t>
  </si>
  <si>
    <t>PTAINT</t>
  </si>
  <si>
    <t>Interest &amp; Bank Charges - Toyota</t>
  </si>
  <si>
    <t>PLUINT</t>
  </si>
  <si>
    <t>Lexus UV Floorplan Interest</t>
  </si>
  <si>
    <t>Floorplan interest per retail</t>
  </si>
  <si>
    <t>PTUINT</t>
  </si>
  <si>
    <t>Toyota UV Floorplan Interest</t>
  </si>
  <si>
    <t>PTAGRP</t>
  </si>
  <si>
    <t>Internal Group charges/income - Toyota</t>
  </si>
  <si>
    <t>PLASAL</t>
  </si>
  <si>
    <t>Admin Staff Salaries - Lexus</t>
  </si>
  <si>
    <t>PTSLVE</t>
  </si>
  <si>
    <t>Service Leave Expense - Toyota</t>
  </si>
  <si>
    <t>PLSLVE</t>
  </si>
  <si>
    <t>Service Leave Expense - Lexus</t>
  </si>
  <si>
    <t>June</t>
  </si>
  <si>
    <t>PTABEN</t>
  </si>
  <si>
    <t>Staff Benefits (Superannuation, FBT, ACC) - Toyota</t>
  </si>
  <si>
    <t>PLABEN</t>
  </si>
  <si>
    <t>Staff Benefits (Superannuation, FBT, ACC) - Lexus</t>
  </si>
  <si>
    <t>PLNOSF</t>
  </si>
  <si>
    <t>NV Other Semi-Fixed expenses - Lexus</t>
  </si>
  <si>
    <t>Other Semi-Fixed Expenses p.u</t>
  </si>
  <si>
    <t>PTNOSF</t>
  </si>
  <si>
    <t>NV Other Semi-Fixed expenses - Toyota</t>
  </si>
  <si>
    <t>PLAMIS</t>
  </si>
  <si>
    <t>Miscellaneous expenses - Lexus</t>
  </si>
  <si>
    <t>PTABAD</t>
  </si>
  <si>
    <t>Bad Debts - Toyota</t>
  </si>
  <si>
    <t>PLABAD</t>
  </si>
  <si>
    <t>Bad Debts - Lexus</t>
  </si>
  <si>
    <t>PTAREP</t>
  </si>
  <si>
    <t>Repairs &amp; Maintenance - Toyota</t>
  </si>
  <si>
    <t>R&amp;M and Cleaning as % of Total Gross Profit</t>
  </si>
  <si>
    <t>PTAOFF</t>
  </si>
  <si>
    <t>Office expenses (Stationery, postage) - Toyota</t>
  </si>
  <si>
    <t>PLAOFF</t>
  </si>
  <si>
    <t>Office expenses (Stationery, postage) - Lexus</t>
  </si>
  <si>
    <t>PTAUNI</t>
  </si>
  <si>
    <t>Uniforms - Toyota</t>
  </si>
  <si>
    <t>PLAUNI</t>
  </si>
  <si>
    <t>Uniforms - Lexus</t>
  </si>
  <si>
    <t>PTAADV</t>
  </si>
  <si>
    <t>General Advertising &amp; Promotion - Toyota</t>
  </si>
  <si>
    <t>PLPADV</t>
  </si>
  <si>
    <t>Parts Advertising &amp; Promotion - Lexus</t>
  </si>
  <si>
    <t>PTADAT</t>
  </si>
  <si>
    <t>Data Processing - Toyota</t>
  </si>
  <si>
    <t>Data Processing as % of Total Gross Profit</t>
  </si>
  <si>
    <t>PLADAT</t>
  </si>
  <si>
    <t>Data Processing - Lexus</t>
  </si>
  <si>
    <t>PTAPRO</t>
  </si>
  <si>
    <t>Professional Fees - Toyota</t>
  </si>
  <si>
    <t>Professional Fees as % of Total Gross Profit</t>
  </si>
  <si>
    <t>PLAPRO</t>
  </si>
  <si>
    <t>Professional Fees - Lexus</t>
  </si>
  <si>
    <t>PTAENV</t>
  </si>
  <si>
    <t>Environmental &amp; Health &amp; Safety expenses - Toyota</t>
  </si>
  <si>
    <t>Health &amp; Safety, Clothing</t>
  </si>
  <si>
    <t>PLAENV</t>
  </si>
  <si>
    <t>Environmental &amp; Health &amp; Safety expenses - Lexus</t>
  </si>
  <si>
    <t>PTNTRA</t>
  </si>
  <si>
    <t>NV Training expense - Toyota</t>
  </si>
  <si>
    <t>PTASEC</t>
  </si>
  <si>
    <t>Cleaning &amp; Security - Toyota</t>
  </si>
  <si>
    <t>PLASEC</t>
  </si>
  <si>
    <t>Cleaning &amp; Security - Lexus</t>
  </si>
  <si>
    <t>PTATRV</t>
  </si>
  <si>
    <t>Travel expenses - Toyota</t>
  </si>
  <si>
    <t>PLATRV</t>
  </si>
  <si>
    <t>Travel expenses - Lexus</t>
  </si>
  <si>
    <t>PTAPHO</t>
  </si>
  <si>
    <t>Phone &amp; Internet expenses - Toyota</t>
  </si>
  <si>
    <t>PLAPHO</t>
  </si>
  <si>
    <t>Phone &amp; Internet expenses - Lexus</t>
  </si>
  <si>
    <t>PTSTRA</t>
  </si>
  <si>
    <t>Service Training expense - Toyota</t>
  </si>
  <si>
    <t>PTUTRA</t>
  </si>
  <si>
    <t>Toyota UV Training expense</t>
  </si>
  <si>
    <t>PLNTRA</t>
  </si>
  <si>
    <t>NV Training expense - Lexus</t>
  </si>
  <si>
    <t>PTPTRA</t>
  </si>
  <si>
    <t>Parts Training - Toyota</t>
  </si>
  <si>
    <t>PLFTRA</t>
  </si>
  <si>
    <t>F&amp;I Training expense - Lexus</t>
  </si>
  <si>
    <t>PTFTRA</t>
  </si>
  <si>
    <t>F&amp;I Training expense - Toyota</t>
  </si>
  <si>
    <t>PLATRA</t>
  </si>
  <si>
    <t>Training Expense - Lexus</t>
  </si>
  <si>
    <t>PLPTRA</t>
  </si>
  <si>
    <t>Parts Training - Lexus</t>
  </si>
  <si>
    <t>PLSTRA</t>
  </si>
  <si>
    <t>Service Training expense - Lexus</t>
  </si>
  <si>
    <t>PLAREP</t>
  </si>
  <si>
    <t>Repairs &amp; Maintenance - Lexus</t>
  </si>
  <si>
    <t>PTAREN</t>
  </si>
  <si>
    <t>Rent - Toyota</t>
  </si>
  <si>
    <t>Rent &amp; Rates as % of Total Gross Profit</t>
  </si>
  <si>
    <t>PLAREN</t>
  </si>
  <si>
    <t>Rent - Lexus</t>
  </si>
  <si>
    <t>PTARAT</t>
  </si>
  <si>
    <t>Rates - Toyota</t>
  </si>
  <si>
    <t>PLARAT</t>
  </si>
  <si>
    <t>Rates - Lexus</t>
  </si>
  <si>
    <t>PLAINS</t>
  </si>
  <si>
    <t>Insurance expense - Lexus</t>
  </si>
  <si>
    <t>Insurance as % of Total Gross Profit</t>
  </si>
  <si>
    <t>PTAINS</t>
  </si>
  <si>
    <t>Insurance expense - Toyota</t>
  </si>
  <si>
    <t>PTADEP</t>
  </si>
  <si>
    <t>Depreciation - Toyota</t>
  </si>
  <si>
    <t>Depreciation as % of Total Gross Profit</t>
  </si>
  <si>
    <t>PLADEP</t>
  </si>
  <si>
    <t>Depreciation - Lexus</t>
  </si>
  <si>
    <t>PTAELE</t>
  </si>
  <si>
    <t>Heat/Light/Power - Toyota</t>
  </si>
  <si>
    <t>PLAELE</t>
  </si>
  <si>
    <t>Heat/Light/Power - Lexus</t>
  </si>
  <si>
    <t>PLFOIN</t>
  </si>
  <si>
    <t>Other F&amp;I income - Lexus</t>
  </si>
  <si>
    <t>F&amp;I Other Income per vehicle retailed</t>
  </si>
  <si>
    <t>PTFOIN</t>
  </si>
  <si>
    <t>Other F&amp;I income - Toyota</t>
  </si>
  <si>
    <t>PLAOIN</t>
  </si>
  <si>
    <t>Other Income - Lexus</t>
  </si>
  <si>
    <t>PTADGF</t>
  </si>
  <si>
    <t>DGF income - Toyota</t>
  </si>
  <si>
    <t>PLPINC</t>
  </si>
  <si>
    <t>Parts Incentive - Lexus</t>
  </si>
  <si>
    <t>April</t>
  </si>
  <si>
    <t>3009R</t>
  </si>
  <si>
    <t>3009RD</t>
  </si>
  <si>
    <t>3021R</t>
  </si>
  <si>
    <t>3021RD</t>
  </si>
  <si>
    <t>3023R</t>
  </si>
  <si>
    <t>3023RD</t>
  </si>
  <si>
    <t>3024R</t>
  </si>
  <si>
    <t>3024RD</t>
  </si>
  <si>
    <t>3037RD</t>
  </si>
  <si>
    <t>3038R</t>
  </si>
  <si>
    <t>PLNSVE</t>
  </si>
  <si>
    <t>New Vehicle Sales - Lexus</t>
  </si>
  <si>
    <t>3038RD</t>
  </si>
  <si>
    <t>3041R</t>
  </si>
  <si>
    <t>3041RD</t>
  </si>
  <si>
    <t>3043R</t>
  </si>
  <si>
    <t>3043RD</t>
  </si>
  <si>
    <t>3044R</t>
  </si>
  <si>
    <t>3044RD</t>
  </si>
  <si>
    <t>3045R</t>
  </si>
  <si>
    <t>3045RD</t>
  </si>
  <si>
    <t>3047R</t>
  </si>
  <si>
    <t>3047RD</t>
  </si>
  <si>
    <t>3048RD</t>
  </si>
  <si>
    <t>3053R</t>
  </si>
  <si>
    <t>3053RD</t>
  </si>
  <si>
    <t>3055R</t>
  </si>
  <si>
    <t>3055RD</t>
  </si>
  <si>
    <t>3056R</t>
  </si>
  <si>
    <t>3056RD</t>
  </si>
  <si>
    <t>3057R</t>
  </si>
  <si>
    <t>3057RD</t>
  </si>
  <si>
    <t>3058R</t>
  </si>
  <si>
    <t>3058RD</t>
  </si>
  <si>
    <t>3059R</t>
  </si>
  <si>
    <t>3059RD</t>
  </si>
  <si>
    <t>3062R</t>
  </si>
  <si>
    <t>3062RD</t>
  </si>
  <si>
    <t>3069R</t>
  </si>
  <si>
    <t>3069RD</t>
  </si>
  <si>
    <t>3075RD</t>
  </si>
  <si>
    <t>3076RD</t>
  </si>
  <si>
    <t>3077R</t>
  </si>
  <si>
    <t>3077RD</t>
  </si>
  <si>
    <t>3078R</t>
  </si>
  <si>
    <t>3078RD</t>
  </si>
  <si>
    <t>3110R</t>
  </si>
  <si>
    <t>3110RD</t>
  </si>
  <si>
    <t>3115R</t>
  </si>
  <si>
    <t>3115RD</t>
  </si>
  <si>
    <t>3125D</t>
  </si>
  <si>
    <t>3125R</t>
  </si>
  <si>
    <t>PTFFIN</t>
  </si>
  <si>
    <t>Finance income - New Toyota</t>
  </si>
  <si>
    <t>3170R</t>
  </si>
  <si>
    <t>PLFINI</t>
  </si>
  <si>
    <t>Insurance income - New Lexus</t>
  </si>
  <si>
    <t>3176R</t>
  </si>
  <si>
    <t>3400L</t>
  </si>
  <si>
    <t>3400P</t>
  </si>
  <si>
    <t>4009RR</t>
  </si>
  <si>
    <t>4021R</t>
  </si>
  <si>
    <t>4021RR</t>
  </si>
  <si>
    <t>4023R</t>
  </si>
  <si>
    <t>4023RR</t>
  </si>
  <si>
    <t>4024R</t>
  </si>
  <si>
    <t>4024RR</t>
  </si>
  <si>
    <t>4037RR</t>
  </si>
  <si>
    <t>4038R</t>
  </si>
  <si>
    <t>PLNCVE</t>
  </si>
  <si>
    <t>New Vehicle Cost of Sales - Lexus</t>
  </si>
  <si>
    <t>4038RR</t>
  </si>
  <si>
    <t>4039RR</t>
  </si>
  <si>
    <t>4041RR</t>
  </si>
  <si>
    <t>4043R</t>
  </si>
  <si>
    <t>4043RR</t>
  </si>
  <si>
    <t>4044R</t>
  </si>
  <si>
    <t>4044RR</t>
  </si>
  <si>
    <t>4045R</t>
  </si>
  <si>
    <t>4045RR</t>
  </si>
  <si>
    <t>4046RR</t>
  </si>
  <si>
    <t>4047R</t>
  </si>
  <si>
    <t>4047RR</t>
  </si>
  <si>
    <t>4048RR</t>
  </si>
  <si>
    <t>4053R</t>
  </si>
  <si>
    <t>4053RR</t>
  </si>
  <si>
    <t>4055R</t>
  </si>
  <si>
    <t>4055RR</t>
  </si>
  <si>
    <t>4056R</t>
  </si>
  <si>
    <t>4056RR</t>
  </si>
  <si>
    <t>4057R</t>
  </si>
  <si>
    <t>4057RR</t>
  </si>
  <si>
    <t>4058R</t>
  </si>
  <si>
    <t>4058RR</t>
  </si>
  <si>
    <t>4059R</t>
  </si>
  <si>
    <t>4059RR</t>
  </si>
  <si>
    <t>4062R</t>
  </si>
  <si>
    <t>4062RR</t>
  </si>
  <si>
    <t>4069R</t>
  </si>
  <si>
    <t>4069RR</t>
  </si>
  <si>
    <t>4077R</t>
  </si>
  <si>
    <t>4077RR</t>
  </si>
  <si>
    <t>4078RR</t>
  </si>
  <si>
    <t>August</t>
  </si>
  <si>
    <t>November</t>
  </si>
  <si>
    <t>4110R</t>
  </si>
  <si>
    <t>4110RR</t>
  </si>
  <si>
    <t>4115R</t>
  </si>
  <si>
    <t>4115RR</t>
  </si>
  <si>
    <t>4125T</t>
  </si>
  <si>
    <t>4125RR</t>
  </si>
  <si>
    <t>7100D</t>
  </si>
  <si>
    <t>4400L</t>
  </si>
  <si>
    <t>4400P</t>
  </si>
  <si>
    <t>7100V</t>
  </si>
  <si>
    <t>7510E</t>
  </si>
  <si>
    <t>7510T</t>
  </si>
  <si>
    <t>7520E</t>
  </si>
  <si>
    <t>7520T</t>
  </si>
  <si>
    <t>7570M</t>
  </si>
  <si>
    <t>Dec 2023</t>
  </si>
  <si>
    <t>Jan 2024</t>
  </si>
  <si>
    <t>4020R</t>
  </si>
  <si>
    <t>COGS - bZ4X</t>
  </si>
  <si>
    <t/>
  </si>
  <si>
    <t>Budget</t>
  </si>
  <si>
    <t>Q123</t>
  </si>
  <si>
    <t>Selling Gross by Toyota Department</t>
  </si>
  <si>
    <t>Total Toyota Selling Gross</t>
  </si>
  <si>
    <t>OverallOther Income</t>
  </si>
  <si>
    <t>Monthly Net Profit per Employee</t>
  </si>
  <si>
    <t>Toyota Gross Profit as % of Revenue</t>
  </si>
  <si>
    <t>Toyota Department Expenses as % of Revenue</t>
  </si>
  <si>
    <t>Toyota Selling Gross as % of Revenue</t>
  </si>
  <si>
    <t>Total Overhead Expenses as % of Total Revenue</t>
  </si>
  <si>
    <t>NP% (Net Profit as % of Total Revenue)</t>
  </si>
  <si>
    <t>Total Staff</t>
  </si>
  <si>
    <t>Toyota Store Financial Performance Report</t>
  </si>
  <si>
    <t>Month:</t>
  </si>
  <si>
    <t>Checking</t>
  </si>
  <si>
    <t>Actual vs Budget</t>
  </si>
  <si>
    <t>Store vs Size Group</t>
  </si>
  <si>
    <t>Variance</t>
  </si>
  <si>
    <t>% Variance</t>
  </si>
  <si>
    <t>0124</t>
  </si>
  <si>
    <t>0224</t>
  </si>
  <si>
    <t>0324</t>
  </si>
  <si>
    <t>Q124</t>
  </si>
  <si>
    <t>NEW VEHICLE</t>
  </si>
  <si>
    <t>NV units sold</t>
  </si>
  <si>
    <t>Monthly NV sales per salesperson</t>
  </si>
  <si>
    <t>Total NV Gross p.u.</t>
  </si>
  <si>
    <t>Total NV Gross profit</t>
  </si>
  <si>
    <t>Total Variable expenses p.u.</t>
  </si>
  <si>
    <t>Total Semi-Fixed Expenses p.u.</t>
  </si>
  <si>
    <t>Total Expenses p.u.</t>
  </si>
  <si>
    <t>Selling Gross p.u.</t>
  </si>
  <si>
    <t>Selling Gross on NV retails</t>
  </si>
  <si>
    <t>Total NV Selling Gross</t>
  </si>
  <si>
    <t>Sales People</t>
  </si>
  <si>
    <t>100-9285M#</t>
  </si>
  <si>
    <t>200-9285M#</t>
  </si>
  <si>
    <t>CYTD</t>
  </si>
  <si>
    <t>USED VEHICLE</t>
  </si>
  <si>
    <t>SIG Class units retailed</t>
  </si>
  <si>
    <t>OT units retailed</t>
  </si>
  <si>
    <t>Ex NV demonstrator units retailed</t>
  </si>
  <si>
    <t>Other UV units retailed</t>
  </si>
  <si>
    <t>122-6209#</t>
  </si>
  <si>
    <t>122-6211#</t>
  </si>
  <si>
    <t>Total UV units retailed</t>
  </si>
  <si>
    <t>Total units wholesaled</t>
  </si>
  <si>
    <t>Av. Monthly UV Retails per salesperson</t>
  </si>
  <si>
    <t>Av. days stock on hand</t>
  </si>
  <si>
    <t>Mth</t>
  </si>
  <si>
    <t>Sales</t>
  </si>
  <si>
    <t>SIG Class total gross p.u. incl. incentives</t>
  </si>
  <si>
    <t>OT total gross p.u. incl. incentives</t>
  </si>
  <si>
    <t>Total UV Gross profit</t>
  </si>
  <si>
    <t>Total Variable expenses per retail</t>
  </si>
  <si>
    <t>Total Semi-Fixed expenses per retail</t>
  </si>
  <si>
    <t>Total Expenses per retail</t>
  </si>
  <si>
    <t>Av. Selling Gross per retail</t>
  </si>
  <si>
    <t>Total UV Selling Gross (incl. W'Sale)</t>
  </si>
  <si>
    <t>120-9290M#</t>
  </si>
  <si>
    <t>220-9290M#</t>
  </si>
  <si>
    <t>122-9290M#</t>
  </si>
  <si>
    <t>Stock Holding</t>
  </si>
  <si>
    <t>900-1320</t>
  </si>
  <si>
    <t>120-6209#</t>
  </si>
  <si>
    <t>120-6211#</t>
  </si>
  <si>
    <t>220-6209#</t>
  </si>
  <si>
    <t>220-6211#</t>
  </si>
  <si>
    <t>Toyota Care incentive per vehicle retailed</t>
  </si>
  <si>
    <t>F&amp;I Income per vehicle retailed</t>
  </si>
  <si>
    <t>Total F&amp;I Income</t>
  </si>
  <si>
    <t>Total F&amp;I Expense per vehicle retailed</t>
  </si>
  <si>
    <t>F&amp;I Selling Gross per vehicle retailed</t>
  </si>
  <si>
    <t>Total F&amp;I Selling Gross</t>
  </si>
  <si>
    <t>Total % Sales</t>
  </si>
  <si>
    <t>Total Parts Sales</t>
  </si>
  <si>
    <t>Monthly Sales per Parts Employee</t>
  </si>
  <si>
    <t>Av. days Stock on hand</t>
  </si>
  <si>
    <t>Total Parts Sales Gross Profit % of Sales</t>
  </si>
  <si>
    <t>Total Gross Profit incl. Incentives</t>
  </si>
  <si>
    <t>Total Gross incl. Incentive as % of Sales</t>
  </si>
  <si>
    <t>PartsOther Expenses as % of Sales</t>
  </si>
  <si>
    <t>Total Expenses as % of Sales</t>
  </si>
  <si>
    <t>Selling Gross as % of Sales</t>
  </si>
  <si>
    <t>Total Parts Selling Gross</t>
  </si>
  <si>
    <t>Parts Employees</t>
  </si>
  <si>
    <t>130-9490M#</t>
  </si>
  <si>
    <t>230-9490M#</t>
  </si>
  <si>
    <t>330-9490M#</t>
  </si>
  <si>
    <t>430-9490M#</t>
  </si>
  <si>
    <t>900-1380</t>
  </si>
  <si>
    <t>900-1470</t>
  </si>
  <si>
    <t>FEF INCENTIVE - Related to Service</t>
  </si>
  <si>
    <t>Total Parts Selling Gross inc Incentive</t>
  </si>
  <si>
    <t>130-3248</t>
  </si>
  <si>
    <t>230-3248</t>
  </si>
  <si>
    <t>330-3248</t>
  </si>
  <si>
    <t>430-3248</t>
  </si>
  <si>
    <t>Total Service Revenue</t>
  </si>
  <si>
    <t>Total Labour Gross Profit % of Sales</t>
  </si>
  <si>
    <t>Total Service Gross Profit % of Sales</t>
  </si>
  <si>
    <t>Total Service Gross Profit</t>
  </si>
  <si>
    <t>ServiceOther Expenses as % of Sales</t>
  </si>
  <si>
    <t>Total Service Selling Gross</t>
  </si>
  <si>
    <t>Parts:Labour Ratio on Retail jobs</t>
  </si>
  <si>
    <t>Monthly Labour Sales per Tech</t>
  </si>
  <si>
    <t>Monthly Labour Gross per Tech</t>
  </si>
  <si>
    <t>Monthly Selling Gross per Tech</t>
  </si>
  <si>
    <t>Technicians</t>
  </si>
  <si>
    <t>140-9360M#</t>
  </si>
  <si>
    <t>147-9360M#</t>
  </si>
  <si>
    <t>240-9360M#</t>
  </si>
  <si>
    <t>340-9360M#</t>
  </si>
  <si>
    <t>440-9360M#</t>
  </si>
  <si>
    <t>140-9365M#</t>
  </si>
  <si>
    <t>147-9365M#</t>
  </si>
  <si>
    <t>240-9365M#</t>
  </si>
  <si>
    <t>340-9365M#</t>
  </si>
  <si>
    <t>440-9365M#</t>
  </si>
  <si>
    <t>Total Service Selling Gross inc Incentive</t>
  </si>
  <si>
    <t>140-3248</t>
  </si>
  <si>
    <t>0123</t>
  </si>
  <si>
    <t>240-3248</t>
  </si>
  <si>
    <t>340-3248</t>
  </si>
  <si>
    <t>440-3248</t>
  </si>
  <si>
    <t>ADMIN &amp; OTHER</t>
  </si>
  <si>
    <t>Total Overheads ($'s)</t>
  </si>
  <si>
    <t>New Vehicle GP</t>
  </si>
  <si>
    <t>Used Vehicle GP</t>
  </si>
  <si>
    <t>Total Overheads as % of Total Gross Profit</t>
  </si>
  <si>
    <t>Lex &amp; Other Store Financial Performance Report</t>
  </si>
  <si>
    <t>Q423</t>
  </si>
  <si>
    <t>Selling Gross by Other Department</t>
  </si>
  <si>
    <t>LEX New Vehicles</t>
  </si>
  <si>
    <t>LEX Used Vehicles</t>
  </si>
  <si>
    <t>LEX Service</t>
  </si>
  <si>
    <t>Total LEX Selling Gross</t>
  </si>
  <si>
    <t>Total Other Selling Gross</t>
  </si>
  <si>
    <t>Total LEX &amp; Other Selling Gross</t>
  </si>
  <si>
    <t>LEX Store Financial Performance Report</t>
  </si>
  <si>
    <t>112-6064r#</t>
  </si>
  <si>
    <t>112-6144R#</t>
  </si>
  <si>
    <t>112-6039R#</t>
  </si>
  <si>
    <t>112-6040R#</t>
  </si>
  <si>
    <t>112-6042R#</t>
  </si>
  <si>
    <t>112-6046R#</t>
  </si>
  <si>
    <t>112-6049R#</t>
  </si>
  <si>
    <t>112-6050R#</t>
  </si>
  <si>
    <t>112-6051R#</t>
  </si>
  <si>
    <t>112-6052R#</t>
  </si>
  <si>
    <t>112-6054R#</t>
  </si>
  <si>
    <t>112-6061R#</t>
  </si>
  <si>
    <t>112-6063R#</t>
  </si>
  <si>
    <t>112-6070R#</t>
  </si>
  <si>
    <t>112-6071R#</t>
  </si>
  <si>
    <t>112-6074R#</t>
  </si>
  <si>
    <t>112-6082R#</t>
  </si>
  <si>
    <t>112-9285M#</t>
  </si>
  <si>
    <t>900-1321</t>
  </si>
  <si>
    <t>142-9360M#</t>
  </si>
  <si>
    <t>142-9365M#</t>
  </si>
  <si>
    <t>Retail Detailing Store Financial Performance Report</t>
  </si>
  <si>
    <t>150-9360M#</t>
  </si>
  <si>
    <t>150-9365M#</t>
  </si>
  <si>
    <t>Bridgestone Store Financial Performance Report</t>
  </si>
  <si>
    <t>900-1480</t>
  </si>
  <si>
    <t>LEX &amp; Other Store Financial Performance Report</t>
  </si>
  <si>
    <t>Retail Detailing GP</t>
  </si>
  <si>
    <t>Bridgestone GP</t>
  </si>
  <si>
    <t>LEX</t>
  </si>
  <si>
    <t xml:space="preserve">LEX Admin &amp; OtherStaff Remuneration &amp; Benefits as % of Total Gross </t>
  </si>
  <si>
    <t>LEX Admin &amp; OtherRent &amp; Rates as % of Total Gross Profit</t>
  </si>
  <si>
    <t>LEX Admin &amp; OtherDepreciation as % of Total Gross Profit</t>
  </si>
  <si>
    <t>LEX Admin &amp; Otherinterest &amp; Bank Charges as % of Total Gross Profit</t>
  </si>
  <si>
    <t>LEX Admin &amp; OtherInsurance as % of Total Gross Profit</t>
  </si>
  <si>
    <t>LEX Admin &amp; OtherData Processing as % of Total Gross Profit</t>
  </si>
  <si>
    <t>LEX Admin &amp; OtherR&amp;M and Cleaning as % of Total Gross Profit</t>
  </si>
  <si>
    <t>LEX Admin &amp; OtherProfessional Fees as % of Total Gross Profit</t>
  </si>
  <si>
    <t>LEX Admin &amp; OtherOther Overheads as % of Total Gross Profit</t>
  </si>
  <si>
    <t>Total</t>
  </si>
  <si>
    <t>Net Profits</t>
  </si>
  <si>
    <t xml:space="preserve"> Mov(2023/10)</t>
  </si>
  <si>
    <t xml:space="preserve"> Bal(2023/10)</t>
  </si>
  <si>
    <t>Clearing Service Materials</t>
  </si>
  <si>
    <t>Marketing Centralised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</si>
</sst>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5" formatCode="&quot;$&quot;#,##0;\-&quot;$&quot;#,##0"/>
    <numFmt numFmtId="6" formatCode="&quot;$&quot;#,##0;[Red]\-&quot;$&quot;#,##0"/>
    <numFmt numFmtId="7" formatCode="&quot;$&quot;#,##0.00;\-&quot;$&quot;#,##0.00"/>
    <numFmt numFmtId="8" formatCode="&quot;$&quot;#,##0.00;[Red]\-&quot;$&quot;#,##0.00"/>
    <numFmt numFmtId="42" formatCode="_-&quot;$&quot;* #,##0_-;\-&quot;$&quot;* #,##0_-;_-&quot;$&quot;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_-;\-* #,##0_-;_-* &quot;-&quot;??_-;_-@_-"/>
    <numFmt numFmtId="165" formatCode="0.0%"/>
    <numFmt numFmtId="166" formatCode="#,##0_ ;[Red]\-#,##0\ "/>
    <numFmt numFmtId="167" formatCode="#,##0.00_ ;[Red]\-#,##0.00\ "/>
    <numFmt numFmtId="168" formatCode="[$$-C09]#,##0;[Red]\-[$$-C09]#,##0"/>
    <numFmt numFmtId="169" formatCode="[$$-C09]#,##0"/>
    <numFmt numFmtId="170" formatCode="#,##0.0%;[Red]\-#,##0.0%"/>
    <numFmt numFmtId="171" formatCode="#,##0.0%\ ;[Red]\-#,##0.0%"/>
    <numFmt numFmtId="172" formatCode="#,##0.0%_ ;[Red]\-#,##0.0%"/>
    <numFmt numFmtId="173" formatCode="#,##0;\(#,##0\)"/>
    <numFmt numFmtId="174" formatCode="#,##0.00;\(#,##0.00\)"/>
    <numFmt numFmtId="175" formatCode="[$$-C09]#,##0.00;[Red]\-[$$-C09]#,##0.00"/>
    <numFmt numFmtId="176" formatCode="&quot;$&quot;#,##0.0;[Red]\-&quot;$&quot;#,##0.0"/>
    <numFmt numFmtId="177" formatCode="_-&quot;$&quot;* #,##0_-;\-&quot;$&quot;* #,##0_-;_-&quot;$&quot;* &quot;-&quot;??_-;_-@_-"/>
  </numFmts>
  <fonts count="57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rgb="FF000099"/>
      <name val="Calibri"/>
      <family val="2"/>
    </font>
    <font>
      <sz val="11"/>
      <name val="Calibri"/>
      <family val="2"/>
    </font>
    <font>
      <sz val="11"/>
      <color rgb="FF000099"/>
      <name val="Calibri"/>
      <family val="2"/>
    </font>
    <font>
      <b/>
      <sz val="10"/>
      <color rgb="FF000000"/>
      <name val="Century Gothic"/>
      <family val="2"/>
    </font>
    <font>
      <sz val="10"/>
      <color rgb="FF000000"/>
      <name val="Century Gothic"/>
      <family val="2"/>
    </font>
    <font>
      <sz val="7"/>
      <name val="Calibri"/>
      <family val="2"/>
    </font>
    <font>
      <b/>
      <u/>
      <sz val="7.5"/>
      <color rgb="FF000000"/>
      <name val="Century Gothic"/>
      <family val="2"/>
    </font>
    <font>
      <b/>
      <sz val="11"/>
      <name val="Calibri"/>
      <family val="2"/>
    </font>
    <font>
      <sz val="7.5"/>
      <color rgb="FF000000"/>
      <name val="Century Gothic"/>
      <family val="2"/>
    </font>
    <font>
      <b/>
      <sz val="7.5"/>
      <color rgb="FF000000"/>
      <name val="Century Gothic"/>
      <family val="2"/>
    </font>
    <font>
      <sz val="7"/>
      <color rgb="FF000000"/>
      <name val="Century Gothic"/>
      <family val="2"/>
    </font>
    <font>
      <b/>
      <sz val="7"/>
      <name val="Calibri"/>
      <family val="2"/>
    </font>
    <font>
      <b/>
      <sz val="7"/>
      <color rgb="FF000000"/>
      <name val="Century Gothic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u/>
      <sz val="7"/>
      <color rgb="FF000000"/>
      <name val="Century Gothic"/>
      <family val="2"/>
    </font>
    <font>
      <b/>
      <sz val="8"/>
      <color theme="1"/>
      <name val="Calibri"/>
      <family val="2"/>
      <scheme val="minor"/>
    </font>
    <font>
      <sz val="10"/>
      <name val="Arial"/>
      <family val="2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name val="Calibri"/>
      <family val="2"/>
    </font>
    <font>
      <u/>
      <sz val="11"/>
      <name val="Calibri"/>
      <family val="2"/>
    </font>
    <font>
      <i/>
      <sz val="7"/>
      <color rgb="FF000000"/>
      <name val="Century Gothic"/>
      <family val="2"/>
    </font>
    <font>
      <b/>
      <i/>
      <sz val="7"/>
      <color rgb="FF000000"/>
      <name val="Century Gothic"/>
      <family val="2"/>
    </font>
    <font>
      <sz val="8"/>
      <name val="Calibri"/>
      <family val="2"/>
    </font>
    <font>
      <b/>
      <u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2"/>
      <name val="Calibri"/>
      <family val="2"/>
    </font>
    <font>
      <b/>
      <i/>
      <sz val="11"/>
      <color theme="2"/>
      <name val="Calibri"/>
      <family val="2"/>
    </font>
    <font>
      <b/>
      <sz val="12"/>
      <color theme="4" tint="-0.499984740745262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6">
    <fill>
      <patternFill patternType="none"/>
    </fill>
    <fill>
      <patternFill patternType="gray125"/>
    </fill>
    <fill>
      <patternFill patternType="solid">
        <fgColor rgb="FFFFD700"/>
        <bgColor rgb="FFFFD700"/>
      </patternFill>
    </fill>
    <fill>
      <patternFill patternType="solid">
        <fgColor rgb="FFADD8E6"/>
        <bgColor rgb="FFADD8E6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CFC00"/>
        <bgColor rgb="FF7CFC00"/>
      </patternFill>
    </fill>
    <fill>
      <patternFill patternType="solid">
        <fgColor rgb="FF87CEEB"/>
        <bgColor rgb="FF87CEEB"/>
      </patternFill>
    </fill>
    <fill>
      <patternFill patternType="solid">
        <fgColor rgb="FFFF7F50"/>
        <bgColor rgb="FFFF7F50"/>
      </patternFill>
    </fill>
    <fill>
      <patternFill patternType="solid">
        <fgColor rgb="FFFFDAB9"/>
        <bgColor rgb="FFFFDAB9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6400"/>
      </left>
      <right/>
      <top style="double">
        <color rgb="FF006400"/>
      </top>
      <bottom/>
      <diagonal/>
    </border>
    <border>
      <left/>
      <right/>
      <top style="double">
        <color rgb="FF006400"/>
      </top>
      <bottom/>
      <diagonal/>
    </border>
    <border>
      <left/>
      <right style="double">
        <color rgb="FF006400"/>
      </right>
      <top style="double">
        <color rgb="FF006400"/>
      </top>
      <bottom/>
      <diagonal/>
    </border>
    <border>
      <left style="double">
        <color rgb="FF006400"/>
      </left>
      <right/>
      <top/>
      <bottom/>
      <diagonal/>
    </border>
    <border>
      <left/>
      <right style="double">
        <color rgb="FF006400"/>
      </right>
      <top/>
      <bottom/>
      <diagonal/>
    </border>
    <border>
      <left style="double">
        <color rgb="FF006400"/>
      </left>
      <right/>
      <top style="thin">
        <color rgb="FF006400"/>
      </top>
      <bottom style="thin">
        <color rgb="FF006400"/>
      </bottom>
      <diagonal/>
    </border>
    <border>
      <left style="thin">
        <color rgb="FF006400"/>
      </left>
      <right style="thin">
        <color rgb="FF006400"/>
      </right>
      <top style="thin">
        <color rgb="FF006400"/>
      </top>
      <bottom style="thin">
        <color rgb="FF006400"/>
      </bottom>
      <diagonal/>
    </border>
    <border>
      <left style="thin">
        <color rgb="FF006400"/>
      </left>
      <right style="double">
        <color rgb="FF006400"/>
      </right>
      <top style="thin">
        <color rgb="FF006400"/>
      </top>
      <bottom style="thin">
        <color rgb="FF006400"/>
      </bottom>
      <diagonal/>
    </border>
    <border>
      <left style="double">
        <color rgb="FF006400"/>
      </left>
      <right/>
      <top style="thin">
        <color rgb="FF006400"/>
      </top>
      <bottom style="double">
        <color rgb="FF006400"/>
      </bottom>
      <diagonal/>
    </border>
    <border>
      <left style="thin">
        <color rgb="FF006400"/>
      </left>
      <right style="thin">
        <color rgb="FF006400"/>
      </right>
      <top style="thin">
        <color rgb="FF006400"/>
      </top>
      <bottom style="double">
        <color rgb="FF006400"/>
      </bottom>
      <diagonal/>
    </border>
    <border>
      <left style="thin">
        <color rgb="FF006400"/>
      </left>
      <right style="double">
        <color rgb="FF006400"/>
      </right>
      <top style="thin">
        <color rgb="FF006400"/>
      </top>
      <bottom style="double">
        <color rgb="FF0064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9">
    <xf numFmtId="0" fontId="0" fillId="0" borderId="0"/>
    <xf numFmtId="43" fontId="9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" fillId="0" borderId="0"/>
    <xf numFmtId="0" fontId="25" fillId="0" borderId="0"/>
    <xf numFmtId="0" fontId="6" fillId="0" borderId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26" applyNumberFormat="0" applyFill="0" applyAlignment="0" applyProtection="0"/>
    <xf numFmtId="0" fontId="41" fillId="0" borderId="27" applyNumberFormat="0" applyFill="0" applyAlignment="0" applyProtection="0"/>
    <xf numFmtId="0" fontId="42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3" fillId="14" borderId="0" applyNumberFormat="0" applyBorder="0" applyAlignment="0" applyProtection="0"/>
    <xf numFmtId="0" fontId="44" fillId="15" borderId="0" applyNumberFormat="0" applyBorder="0" applyAlignment="0" applyProtection="0"/>
    <xf numFmtId="0" fontId="45" fillId="16" borderId="0" applyNumberFormat="0" applyBorder="0" applyAlignment="0" applyProtection="0"/>
    <xf numFmtId="0" fontId="46" fillId="17" borderId="29" applyNumberFormat="0" applyAlignment="0" applyProtection="0"/>
    <xf numFmtId="0" fontId="47" fillId="18" borderId="30" applyNumberFormat="0" applyAlignment="0" applyProtection="0"/>
    <xf numFmtId="0" fontId="48" fillId="18" borderId="29" applyNumberFormat="0" applyAlignment="0" applyProtection="0"/>
    <xf numFmtId="0" fontId="49" fillId="0" borderId="31" applyNumberFormat="0" applyFill="0" applyAlignment="0" applyProtection="0"/>
    <xf numFmtId="0" fontId="50" fillId="19" borderId="32" applyNumberFormat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35" fillId="0" borderId="34" applyNumberFormat="0" applyFill="0" applyAlignment="0" applyProtection="0"/>
    <xf numFmtId="0" fontId="5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5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5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5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5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39" borderId="0" applyNumberFormat="0" applyBorder="0" applyAlignment="0" applyProtection="0"/>
    <xf numFmtId="0" fontId="3" fillId="40" borderId="0" applyNumberFormat="0" applyBorder="0" applyAlignment="0" applyProtection="0"/>
    <xf numFmtId="0" fontId="5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3" borderId="0" applyNumberFormat="0" applyBorder="0" applyAlignment="0" applyProtection="0"/>
    <xf numFmtId="0" fontId="3" fillId="44" borderId="0" applyNumberFormat="0" applyBorder="0" applyAlignment="0" applyProtection="0"/>
    <xf numFmtId="0" fontId="3" fillId="0" borderId="0"/>
    <xf numFmtId="0" fontId="3" fillId="20" borderId="33" applyNumberFormat="0" applyFont="0" applyAlignment="0" applyProtection="0"/>
    <xf numFmtId="0" fontId="9" fillId="0" borderId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54" fillId="0" borderId="0" applyFont="0" applyFill="0" applyBorder="0" applyAlignment="0" applyProtection="0"/>
  </cellStyleXfs>
  <cellXfs count="359">
    <xf numFmtId="0" fontId="0" fillId="0" borderId="0" xfId="0"/>
    <xf numFmtId="0" fontId="9" fillId="2" borderId="3" xfId="0" applyFont="1" applyFill="1" applyBorder="1" applyAlignment="1">
      <alignment vertical="top" wrapText="1"/>
    </xf>
    <xf numFmtId="0" fontId="11" fillId="2" borderId="3" xfId="0" applyFont="1" applyFill="1" applyBorder="1" applyAlignment="1">
      <alignment vertical="center" wrapText="1" readingOrder="1"/>
    </xf>
    <xf numFmtId="0" fontId="13" fillId="0" borderId="0" xfId="0" applyFont="1"/>
    <xf numFmtId="0" fontId="11" fillId="3" borderId="5" xfId="0" applyFont="1" applyFill="1" applyBorder="1" applyAlignment="1">
      <alignment horizontal="center" vertical="center" wrapText="1" readingOrder="1"/>
    </xf>
    <xf numFmtId="0" fontId="11" fillId="3" borderId="8" xfId="0" applyFont="1" applyFill="1" applyBorder="1" applyAlignment="1">
      <alignment horizontal="center" vertical="center" wrapText="1" readingOrder="1"/>
    </xf>
    <xf numFmtId="0" fontId="16" fillId="3" borderId="0" xfId="0" applyFont="1" applyFill="1" applyAlignment="1">
      <alignment horizontal="center" vertical="top" wrapText="1" readingOrder="1"/>
    </xf>
    <xf numFmtId="0" fontId="17" fillId="3" borderId="0" xfId="0" applyFont="1" applyFill="1" applyAlignment="1">
      <alignment horizontal="center" vertical="center" wrapText="1" readingOrder="1"/>
    </xf>
    <xf numFmtId="0" fontId="16" fillId="3" borderId="0" xfId="0" applyFont="1" applyFill="1" applyAlignment="1">
      <alignment horizontal="center" vertical="center" wrapText="1" readingOrder="1"/>
    </xf>
    <xf numFmtId="0" fontId="16" fillId="3" borderId="9" xfId="0" applyFont="1" applyFill="1" applyBorder="1" applyAlignment="1">
      <alignment horizontal="center" vertical="center" wrapText="1" readingOrder="1"/>
    </xf>
    <xf numFmtId="0" fontId="18" fillId="0" borderId="10" xfId="0" applyFont="1" applyBorder="1" applyAlignment="1">
      <alignment horizontal="right" vertical="top" wrapText="1" readingOrder="1"/>
    </xf>
    <xf numFmtId="0" fontId="20" fillId="0" borderId="13" xfId="0" applyFont="1" applyBorder="1" applyAlignment="1">
      <alignment horizontal="right" vertical="top" wrapText="1" readingOrder="1"/>
    </xf>
    <xf numFmtId="164" fontId="18" fillId="6" borderId="11" xfId="1" applyNumberFormat="1" applyFont="1" applyFill="1" applyBorder="1" applyAlignment="1">
      <alignment vertical="center" wrapText="1" readingOrder="1"/>
    </xf>
    <xf numFmtId="0" fontId="12" fillId="2" borderId="3" xfId="0" applyFont="1" applyFill="1" applyBorder="1" applyAlignment="1">
      <alignment horizontal="left" vertical="center" wrapText="1" readingOrder="1"/>
    </xf>
    <xf numFmtId="0" fontId="9" fillId="2" borderId="3" xfId="2" applyFont="1" applyFill="1" applyBorder="1" applyAlignment="1">
      <alignment vertical="top" wrapText="1"/>
    </xf>
    <xf numFmtId="0" fontId="11" fillId="2" borderId="3" xfId="2" applyFont="1" applyFill="1" applyBorder="1" applyAlignment="1">
      <alignment vertical="center" wrapText="1" readingOrder="1"/>
    </xf>
    <xf numFmtId="0" fontId="9" fillId="0" borderId="0" xfId="2" applyFont="1"/>
    <xf numFmtId="0" fontId="13" fillId="0" borderId="0" xfId="2" applyFont="1"/>
    <xf numFmtId="0" fontId="11" fillId="7" borderId="5" xfId="2" applyFont="1" applyFill="1" applyBorder="1" applyAlignment="1">
      <alignment horizontal="center" vertical="center" wrapText="1" readingOrder="1"/>
    </xf>
    <xf numFmtId="0" fontId="11" fillId="7" borderId="8" xfId="2" applyFont="1" applyFill="1" applyBorder="1" applyAlignment="1">
      <alignment horizontal="center" vertical="center" wrapText="1" readingOrder="1"/>
    </xf>
    <xf numFmtId="0" fontId="16" fillId="7" borderId="0" xfId="2" applyFont="1" applyFill="1" applyAlignment="1">
      <alignment horizontal="center" vertical="top" wrapText="1" readingOrder="1"/>
    </xf>
    <xf numFmtId="0" fontId="17" fillId="7" borderId="0" xfId="2" applyFont="1" applyFill="1" applyAlignment="1">
      <alignment horizontal="center" vertical="center" wrapText="1" readingOrder="1"/>
    </xf>
    <xf numFmtId="0" fontId="16" fillId="7" borderId="0" xfId="2" applyFont="1" applyFill="1" applyAlignment="1">
      <alignment horizontal="center" vertical="center" wrapText="1" readingOrder="1"/>
    </xf>
    <xf numFmtId="0" fontId="16" fillId="7" borderId="9" xfId="2" applyFont="1" applyFill="1" applyBorder="1" applyAlignment="1">
      <alignment horizontal="center" vertical="center" wrapText="1" readingOrder="1"/>
    </xf>
    <xf numFmtId="0" fontId="18" fillId="0" borderId="10" xfId="2" applyFont="1" applyBorder="1" applyAlignment="1">
      <alignment horizontal="right" vertical="top" wrapText="1" readingOrder="1"/>
    </xf>
    <xf numFmtId="0" fontId="18" fillId="4" borderId="11" xfId="2" applyFont="1" applyFill="1" applyBorder="1" applyAlignment="1">
      <alignment horizontal="center" vertical="top" wrapText="1" readingOrder="1"/>
    </xf>
    <xf numFmtId="0" fontId="18" fillId="0" borderId="11" xfId="2" applyFont="1" applyBorder="1" applyAlignment="1">
      <alignment horizontal="center" vertical="top" wrapText="1" readingOrder="1"/>
    </xf>
    <xf numFmtId="0" fontId="20" fillId="0" borderId="10" xfId="2" applyFont="1" applyBorder="1" applyAlignment="1">
      <alignment horizontal="right" vertical="top" wrapText="1" readingOrder="1"/>
    </xf>
    <xf numFmtId="0" fontId="15" fillId="0" borderId="0" xfId="2" applyFont="1"/>
    <xf numFmtId="0" fontId="20" fillId="0" borderId="13" xfId="2" applyFont="1" applyBorder="1" applyAlignment="1">
      <alignment horizontal="right" vertical="top" wrapText="1" readingOrder="1"/>
    </xf>
    <xf numFmtId="164" fontId="18" fillId="6" borderId="11" xfId="4" applyNumberFormat="1" applyFont="1" applyFill="1" applyBorder="1" applyAlignment="1">
      <alignment vertical="center" wrapText="1" readingOrder="1"/>
    </xf>
    <xf numFmtId="0" fontId="12" fillId="2" borderId="3" xfId="2" applyFont="1" applyFill="1" applyBorder="1" applyAlignment="1">
      <alignment horizontal="left" vertical="center" wrapText="1" readingOrder="1"/>
    </xf>
    <xf numFmtId="0" fontId="11" fillId="8" borderId="5" xfId="2" applyFont="1" applyFill="1" applyBorder="1" applyAlignment="1">
      <alignment horizontal="center" vertical="center" wrapText="1" readingOrder="1"/>
    </xf>
    <xf numFmtId="0" fontId="11" fillId="8" borderId="8" xfId="2" applyFont="1" applyFill="1" applyBorder="1" applyAlignment="1">
      <alignment horizontal="center" vertical="center" wrapText="1" readingOrder="1"/>
    </xf>
    <xf numFmtId="0" fontId="16" fillId="8" borderId="0" xfId="2" applyFont="1" applyFill="1" applyAlignment="1">
      <alignment horizontal="center" vertical="top" wrapText="1" readingOrder="1"/>
    </xf>
    <xf numFmtId="0" fontId="17" fillId="8" borderId="0" xfId="2" applyFont="1" applyFill="1" applyAlignment="1">
      <alignment horizontal="center" vertical="center" wrapText="1" readingOrder="1"/>
    </xf>
    <xf numFmtId="0" fontId="16" fillId="8" borderId="0" xfId="2" applyFont="1" applyFill="1" applyAlignment="1">
      <alignment horizontal="center" vertical="center" wrapText="1" readingOrder="1"/>
    </xf>
    <xf numFmtId="0" fontId="16" fillId="8" borderId="9" xfId="2" applyFont="1" applyFill="1" applyBorder="1" applyAlignment="1">
      <alignment horizontal="center" vertical="center" wrapText="1" readingOrder="1"/>
    </xf>
    <xf numFmtId="0" fontId="11" fillId="2" borderId="5" xfId="2" applyFont="1" applyFill="1" applyBorder="1" applyAlignment="1">
      <alignment horizontal="center" vertical="center" wrapText="1" readingOrder="1"/>
    </xf>
    <xf numFmtId="0" fontId="11" fillId="2" borderId="8" xfId="2" applyFont="1" applyFill="1" applyBorder="1" applyAlignment="1">
      <alignment horizontal="center" vertical="center" wrapText="1" readingOrder="1"/>
    </xf>
    <xf numFmtId="0" fontId="16" fillId="2" borderId="0" xfId="2" applyFont="1" applyFill="1" applyAlignment="1">
      <alignment horizontal="center" vertical="top" wrapText="1" readingOrder="1"/>
    </xf>
    <xf numFmtId="0" fontId="17" fillId="2" borderId="0" xfId="2" applyFont="1" applyFill="1" applyAlignment="1">
      <alignment horizontal="center" vertical="center" wrapText="1" readingOrder="1"/>
    </xf>
    <xf numFmtId="0" fontId="16" fillId="2" borderId="0" xfId="2" applyFont="1" applyFill="1" applyAlignment="1">
      <alignment horizontal="center" vertical="center" wrapText="1" readingOrder="1"/>
    </xf>
    <xf numFmtId="0" fontId="16" fillId="2" borderId="9" xfId="2" applyFont="1" applyFill="1" applyBorder="1" applyAlignment="1">
      <alignment horizontal="center" vertical="center" wrapText="1" readingOrder="1"/>
    </xf>
    <xf numFmtId="0" fontId="11" fillId="9" borderId="5" xfId="2" applyFont="1" applyFill="1" applyBorder="1" applyAlignment="1">
      <alignment horizontal="center" vertical="center" wrapText="1" readingOrder="1"/>
    </xf>
    <xf numFmtId="0" fontId="11" fillId="9" borderId="8" xfId="2" applyFont="1" applyFill="1" applyBorder="1" applyAlignment="1">
      <alignment horizontal="center" vertical="center" wrapText="1" readingOrder="1"/>
    </xf>
    <xf numFmtId="0" fontId="16" fillId="9" borderId="0" xfId="2" applyFont="1" applyFill="1" applyAlignment="1">
      <alignment horizontal="center" vertical="top" wrapText="1" readingOrder="1"/>
    </xf>
    <xf numFmtId="0" fontId="17" fillId="9" borderId="0" xfId="2" applyFont="1" applyFill="1" applyAlignment="1">
      <alignment horizontal="center" vertical="center" wrapText="1" readingOrder="1"/>
    </xf>
    <xf numFmtId="0" fontId="16" fillId="9" borderId="0" xfId="2" applyFont="1" applyFill="1" applyAlignment="1">
      <alignment horizontal="center" vertical="center" wrapText="1" readingOrder="1"/>
    </xf>
    <xf numFmtId="0" fontId="16" fillId="9" borderId="9" xfId="2" applyFont="1" applyFill="1" applyBorder="1" applyAlignment="1">
      <alignment horizontal="center" vertical="center" wrapText="1" readingOrder="1"/>
    </xf>
    <xf numFmtId="0" fontId="19" fillId="0" borderId="0" xfId="0" applyFont="1"/>
    <xf numFmtId="165" fontId="18" fillId="4" borderId="11" xfId="5" applyNumberFormat="1" applyFont="1" applyFill="1" applyBorder="1" applyAlignment="1">
      <alignment horizontal="center" vertical="top" wrapText="1" readingOrder="1"/>
    </xf>
    <xf numFmtId="166" fontId="13" fillId="0" borderId="0" xfId="1" applyNumberFormat="1" applyFont="1"/>
    <xf numFmtId="165" fontId="18" fillId="4" borderId="11" xfId="2" applyNumberFormat="1" applyFont="1" applyFill="1" applyBorder="1" applyAlignment="1">
      <alignment horizontal="center" vertical="top" wrapText="1" readingOrder="1"/>
    </xf>
    <xf numFmtId="5" fontId="20" fillId="4" borderId="11" xfId="2" applyNumberFormat="1" applyFont="1" applyFill="1" applyBorder="1" applyAlignment="1">
      <alignment horizontal="center" vertical="top" wrapText="1" readingOrder="1"/>
    </xf>
    <xf numFmtId="0" fontId="20" fillId="0" borderId="10" xfId="0" applyFont="1" applyBorder="1" applyAlignment="1">
      <alignment horizontal="right" vertical="top" wrapText="1" readingOrder="1"/>
    </xf>
    <xf numFmtId="5" fontId="9" fillId="0" borderId="0" xfId="2" applyNumberFormat="1" applyFont="1"/>
    <xf numFmtId="165" fontId="20" fillId="4" borderId="14" xfId="2" applyNumberFormat="1" applyFont="1" applyFill="1" applyBorder="1" applyAlignment="1">
      <alignment horizontal="center" vertical="top" wrapText="1" readingOrder="1"/>
    </xf>
    <xf numFmtId="0" fontId="19" fillId="0" borderId="0" xfId="2" applyFont="1"/>
    <xf numFmtId="5" fontId="13" fillId="0" borderId="0" xfId="2" applyNumberFormat="1" applyFont="1"/>
    <xf numFmtId="5" fontId="13" fillId="0" borderId="0" xfId="5" applyNumberFormat="1" applyFont="1"/>
    <xf numFmtId="5" fontId="19" fillId="0" borderId="0" xfId="2" applyNumberFormat="1" applyFont="1"/>
    <xf numFmtId="0" fontId="11" fillId="10" borderId="5" xfId="2" applyFont="1" applyFill="1" applyBorder="1" applyAlignment="1">
      <alignment horizontal="center" vertical="center" wrapText="1" readingOrder="1"/>
    </xf>
    <xf numFmtId="0" fontId="11" fillId="10" borderId="8" xfId="2" applyFont="1" applyFill="1" applyBorder="1" applyAlignment="1">
      <alignment horizontal="center" vertical="center" wrapText="1" readingOrder="1"/>
    </xf>
    <xf numFmtId="0" fontId="16" fillId="10" borderId="0" xfId="2" applyFont="1" applyFill="1" applyAlignment="1">
      <alignment horizontal="center" vertical="top" wrapText="1" readingOrder="1"/>
    </xf>
    <xf numFmtId="0" fontId="17" fillId="10" borderId="0" xfId="2" applyFont="1" applyFill="1" applyAlignment="1">
      <alignment horizontal="center" vertical="center" wrapText="1" readingOrder="1"/>
    </xf>
    <xf numFmtId="0" fontId="16" fillId="10" borderId="0" xfId="2" applyFont="1" applyFill="1" applyAlignment="1">
      <alignment horizontal="center" vertical="center" wrapText="1" readingOrder="1"/>
    </xf>
    <xf numFmtId="0" fontId="16" fillId="10" borderId="9" xfId="2" applyFont="1" applyFill="1" applyBorder="1" applyAlignment="1">
      <alignment horizontal="center" vertical="center" wrapText="1" readingOrder="1"/>
    </xf>
    <xf numFmtId="0" fontId="23" fillId="0" borderId="10" xfId="2" applyFont="1" applyBorder="1" applyAlignment="1">
      <alignment horizontal="right" vertical="top" wrapText="1" readingOrder="1"/>
    </xf>
    <xf numFmtId="166" fontId="19" fillId="0" borderId="0" xfId="1" applyNumberFormat="1" applyFont="1"/>
    <xf numFmtId="49" fontId="24" fillId="11" borderId="16" xfId="6" applyNumberFormat="1" applyFont="1" applyFill="1" applyBorder="1"/>
    <xf numFmtId="49" fontId="24" fillId="11" borderId="0" xfId="6" applyNumberFormat="1" applyFont="1" applyFill="1"/>
    <xf numFmtId="167" fontId="24" fillId="11" borderId="0" xfId="6" applyNumberFormat="1" applyFont="1" applyFill="1"/>
    <xf numFmtId="167" fontId="24" fillId="11" borderId="17" xfId="6" applyNumberFormat="1" applyFont="1" applyFill="1" applyBorder="1"/>
    <xf numFmtId="0" fontId="26" fillId="0" borderId="0" xfId="7" applyFont="1"/>
    <xf numFmtId="49" fontId="27" fillId="11" borderId="16" xfId="6" applyNumberFormat="1" applyFont="1" applyFill="1" applyBorder="1"/>
    <xf numFmtId="49" fontId="27" fillId="11" borderId="0" xfId="6" applyNumberFormat="1" applyFont="1" applyFill="1"/>
    <xf numFmtId="167" fontId="27" fillId="11" borderId="0" xfId="6" applyNumberFormat="1" applyFont="1" applyFill="1"/>
    <xf numFmtId="167" fontId="27" fillId="11" borderId="17" xfId="6" applyNumberFormat="1" applyFont="1" applyFill="1" applyBorder="1"/>
    <xf numFmtId="0" fontId="28" fillId="0" borderId="0" xfId="7" applyFont="1"/>
    <xf numFmtId="167" fontId="28" fillId="0" borderId="0" xfId="7" applyNumberFormat="1" applyFont="1"/>
    <xf numFmtId="0" fontId="0" fillId="5" borderId="0" xfId="0" applyFill="1"/>
    <xf numFmtId="5" fontId="20" fillId="5" borderId="11" xfId="2" applyNumberFormat="1" applyFont="1" applyFill="1" applyBorder="1" applyAlignment="1">
      <alignment horizontal="center" vertical="top" wrapText="1" readingOrder="1"/>
    </xf>
    <xf numFmtId="6" fontId="18" fillId="5" borderId="11" xfId="0" applyNumberFormat="1" applyFont="1" applyFill="1" applyBorder="1" applyAlignment="1">
      <alignment horizontal="center" vertical="top" wrapText="1" readingOrder="1"/>
    </xf>
    <xf numFmtId="6" fontId="20" fillId="5" borderId="11" xfId="0" applyNumberFormat="1" applyFont="1" applyFill="1" applyBorder="1" applyAlignment="1">
      <alignment horizontal="center" vertical="top" wrapText="1" readingOrder="1"/>
    </xf>
    <xf numFmtId="6" fontId="20" fillId="5" borderId="14" xfId="0" applyNumberFormat="1" applyFont="1" applyFill="1" applyBorder="1" applyAlignment="1">
      <alignment horizontal="center" vertical="top" wrapText="1" readingOrder="1"/>
    </xf>
    <xf numFmtId="6" fontId="18" fillId="4" borderId="11" xfId="0" applyNumberFormat="1" applyFont="1" applyFill="1" applyBorder="1" applyAlignment="1">
      <alignment horizontal="center" vertical="top" wrapText="1" readingOrder="1"/>
    </xf>
    <xf numFmtId="6" fontId="20" fillId="4" borderId="11" xfId="0" applyNumberFormat="1" applyFont="1" applyFill="1" applyBorder="1" applyAlignment="1">
      <alignment horizontal="center" vertical="top" wrapText="1" readingOrder="1"/>
    </xf>
    <xf numFmtId="6" fontId="20" fillId="4" borderId="14" xfId="0" applyNumberFormat="1" applyFont="1" applyFill="1" applyBorder="1" applyAlignment="1">
      <alignment horizontal="center" vertical="top" wrapText="1" readingOrder="1"/>
    </xf>
    <xf numFmtId="6" fontId="18" fillId="4" borderId="11" xfId="2" applyNumberFormat="1" applyFont="1" applyFill="1" applyBorder="1" applyAlignment="1">
      <alignment horizontal="center" vertical="top" wrapText="1" readingOrder="1"/>
    </xf>
    <xf numFmtId="6" fontId="18" fillId="5" borderId="11" xfId="2" applyNumberFormat="1" applyFont="1" applyFill="1" applyBorder="1" applyAlignment="1">
      <alignment horizontal="center" vertical="top" wrapText="1" readingOrder="1"/>
    </xf>
    <xf numFmtId="6" fontId="20" fillId="4" borderId="11" xfId="2" applyNumberFormat="1" applyFont="1" applyFill="1" applyBorder="1" applyAlignment="1">
      <alignment horizontal="center" vertical="top" wrapText="1" readingOrder="1"/>
    </xf>
    <xf numFmtId="6" fontId="20" fillId="5" borderId="11" xfId="2" applyNumberFormat="1" applyFont="1" applyFill="1" applyBorder="1" applyAlignment="1">
      <alignment horizontal="center" vertical="top" wrapText="1" readingOrder="1"/>
    </xf>
    <xf numFmtId="6" fontId="20" fillId="5" borderId="14" xfId="2" applyNumberFormat="1" applyFont="1" applyFill="1" applyBorder="1" applyAlignment="1">
      <alignment horizontal="center" vertical="top" wrapText="1" readingOrder="1"/>
    </xf>
    <xf numFmtId="6" fontId="20" fillId="4" borderId="14" xfId="2" applyNumberFormat="1" applyFont="1" applyFill="1" applyBorder="1" applyAlignment="1">
      <alignment horizontal="center" vertical="top" wrapText="1" readingOrder="1"/>
    </xf>
    <xf numFmtId="166" fontId="13" fillId="0" borderId="0" xfId="1" applyNumberFormat="1" applyFont="1" applyAlignment="1">
      <alignment horizontal="center" vertical="center"/>
    </xf>
    <xf numFmtId="165" fontId="18" fillId="5" borderId="11" xfId="5" applyNumberFormat="1" applyFont="1" applyFill="1" applyBorder="1" applyAlignment="1">
      <alignment horizontal="center" vertical="top" wrapText="1" readingOrder="1"/>
    </xf>
    <xf numFmtId="5" fontId="13" fillId="0" borderId="0" xfId="2" applyNumberFormat="1" applyFont="1" applyAlignment="1">
      <alignment horizontal="center" vertical="center"/>
    </xf>
    <xf numFmtId="0" fontId="13" fillId="0" borderId="0" xfId="2" applyFont="1" applyAlignment="1">
      <alignment horizontal="center" vertical="center"/>
    </xf>
    <xf numFmtId="165" fontId="20" fillId="5" borderId="14" xfId="5" applyNumberFormat="1" applyFont="1" applyFill="1" applyBorder="1" applyAlignment="1">
      <alignment horizontal="center" vertical="top" wrapText="1" readingOrder="1"/>
    </xf>
    <xf numFmtId="6" fontId="18" fillId="0" borderId="11" xfId="2" applyNumberFormat="1" applyFont="1" applyBorder="1" applyAlignment="1">
      <alignment horizontal="center" vertical="top" wrapText="1" readingOrder="1"/>
    </xf>
    <xf numFmtId="6" fontId="20" fillId="0" borderId="11" xfId="2" applyNumberFormat="1" applyFont="1" applyBorder="1" applyAlignment="1">
      <alignment horizontal="center" vertical="top" wrapText="1" readingOrder="1"/>
    </xf>
    <xf numFmtId="6" fontId="18" fillId="0" borderId="11" xfId="0" applyNumberFormat="1" applyFont="1" applyBorder="1" applyAlignment="1">
      <alignment horizontal="center" vertical="top" wrapText="1" readingOrder="1"/>
    </xf>
    <xf numFmtId="6" fontId="20" fillId="0" borderId="11" xfId="0" applyNumberFormat="1" applyFont="1" applyBorder="1" applyAlignment="1">
      <alignment horizontal="center" vertical="top" wrapText="1" readingOrder="1"/>
    </xf>
    <xf numFmtId="6" fontId="20" fillId="0" borderId="14" xfId="0" applyNumberFormat="1" applyFont="1" applyBorder="1" applyAlignment="1">
      <alignment horizontal="center" vertical="top" wrapText="1" readingOrder="1"/>
    </xf>
    <xf numFmtId="168" fontId="18" fillId="0" borderId="11" xfId="2" applyNumberFormat="1" applyFont="1" applyBorder="1" applyAlignment="1">
      <alignment horizontal="center" vertical="top" wrapText="1" readingOrder="1"/>
    </xf>
    <xf numFmtId="168" fontId="20" fillId="0" borderId="11" xfId="2" applyNumberFormat="1" applyFont="1" applyBorder="1" applyAlignment="1">
      <alignment horizontal="center" vertical="top" wrapText="1" readingOrder="1"/>
    </xf>
    <xf numFmtId="168" fontId="20" fillId="0" borderId="14" xfId="2" applyNumberFormat="1" applyFont="1" applyBorder="1" applyAlignment="1">
      <alignment horizontal="center" vertical="top" wrapText="1" readingOrder="1"/>
    </xf>
    <xf numFmtId="6" fontId="20" fillId="0" borderId="14" xfId="2" applyNumberFormat="1" applyFont="1" applyBorder="1" applyAlignment="1">
      <alignment horizontal="center" vertical="top" wrapText="1" readingOrder="1"/>
    </xf>
    <xf numFmtId="165" fontId="18" fillId="0" borderId="11" xfId="5" applyNumberFormat="1" applyFont="1" applyBorder="1" applyAlignment="1">
      <alignment horizontal="center" vertical="top" wrapText="1" readingOrder="1"/>
    </xf>
    <xf numFmtId="5" fontId="20" fillId="0" borderId="11" xfId="2" applyNumberFormat="1" applyFont="1" applyBorder="1" applyAlignment="1">
      <alignment horizontal="center" vertical="top" wrapText="1" readingOrder="1"/>
    </xf>
    <xf numFmtId="6" fontId="15" fillId="0" borderId="0" xfId="2" applyNumberFormat="1" applyFont="1"/>
    <xf numFmtId="170" fontId="18" fillId="0" borderId="11" xfId="0" applyNumberFormat="1" applyFont="1" applyBorder="1" applyAlignment="1">
      <alignment horizontal="center" vertical="top" wrapText="1" readingOrder="1"/>
    </xf>
    <xf numFmtId="170" fontId="20" fillId="0" borderId="11" xfId="0" applyNumberFormat="1" applyFont="1" applyBorder="1" applyAlignment="1">
      <alignment horizontal="center" vertical="top" wrapText="1" readingOrder="1"/>
    </xf>
    <xf numFmtId="170" fontId="20" fillId="0" borderId="14" xfId="0" applyNumberFormat="1" applyFont="1" applyBorder="1" applyAlignment="1">
      <alignment horizontal="center" vertical="top" wrapText="1" readingOrder="1"/>
    </xf>
    <xf numFmtId="170" fontId="18" fillId="0" borderId="12" xfId="0" applyNumberFormat="1" applyFont="1" applyBorder="1" applyAlignment="1">
      <alignment horizontal="center" vertical="top" wrapText="1" readingOrder="1"/>
    </xf>
    <xf numFmtId="170" fontId="20" fillId="0" borderId="12" xfId="0" applyNumberFormat="1" applyFont="1" applyBorder="1" applyAlignment="1">
      <alignment horizontal="center" vertical="top" wrapText="1" readingOrder="1"/>
    </xf>
    <xf numFmtId="170" fontId="20" fillId="0" borderId="15" xfId="0" applyNumberFormat="1" applyFont="1" applyBorder="1" applyAlignment="1">
      <alignment horizontal="center" vertical="top" wrapText="1" readingOrder="1"/>
    </xf>
    <xf numFmtId="170" fontId="18" fillId="0" borderId="11" xfId="2" applyNumberFormat="1" applyFont="1" applyBorder="1" applyAlignment="1">
      <alignment horizontal="center" vertical="top" wrapText="1" readingOrder="1"/>
    </xf>
    <xf numFmtId="170" fontId="20" fillId="0" borderId="11" xfId="2" applyNumberFormat="1" applyFont="1" applyBorder="1" applyAlignment="1">
      <alignment horizontal="center" vertical="top" wrapText="1" readingOrder="1"/>
    </xf>
    <xf numFmtId="170" fontId="20" fillId="0" borderId="14" xfId="2" applyNumberFormat="1" applyFont="1" applyBorder="1" applyAlignment="1">
      <alignment horizontal="center" vertical="top" wrapText="1" readingOrder="1"/>
    </xf>
    <xf numFmtId="170" fontId="9" fillId="0" borderId="0" xfId="2" applyNumberFormat="1" applyFont="1"/>
    <xf numFmtId="170" fontId="18" fillId="0" borderId="12" xfId="2" applyNumberFormat="1" applyFont="1" applyBorder="1" applyAlignment="1">
      <alignment horizontal="center" vertical="top" wrapText="1" readingOrder="1"/>
    </xf>
    <xf numFmtId="170" fontId="20" fillId="0" borderId="12" xfId="2" applyNumberFormat="1" applyFont="1" applyBorder="1" applyAlignment="1">
      <alignment horizontal="center" vertical="top" wrapText="1" readingOrder="1"/>
    </xf>
    <xf numFmtId="170" fontId="20" fillId="0" borderId="15" xfId="2" applyNumberFormat="1" applyFont="1" applyBorder="1" applyAlignment="1">
      <alignment horizontal="center" vertical="top" wrapText="1" readingOrder="1"/>
    </xf>
    <xf numFmtId="170" fontId="18" fillId="0" borderId="12" xfId="5" applyNumberFormat="1" applyFont="1" applyBorder="1" applyAlignment="1">
      <alignment horizontal="center" vertical="top" wrapText="1" readingOrder="1"/>
    </xf>
    <xf numFmtId="170" fontId="18" fillId="0" borderId="11" xfId="5" applyNumberFormat="1" applyFont="1" applyBorder="1" applyAlignment="1">
      <alignment horizontal="center" vertical="top" wrapText="1" readingOrder="1"/>
    </xf>
    <xf numFmtId="170" fontId="20" fillId="0" borderId="14" xfId="5" applyNumberFormat="1" applyFont="1" applyBorder="1" applyAlignment="1">
      <alignment horizontal="center" vertical="top" wrapText="1" readingOrder="1"/>
    </xf>
    <xf numFmtId="171" fontId="18" fillId="0" borderId="11" xfId="5" applyNumberFormat="1" applyFont="1" applyBorder="1" applyAlignment="1">
      <alignment horizontal="center" vertical="top" wrapText="1" readingOrder="1"/>
    </xf>
    <xf numFmtId="171" fontId="18" fillId="0" borderId="11" xfId="2" applyNumberFormat="1" applyFont="1" applyBorder="1" applyAlignment="1">
      <alignment horizontal="center" vertical="top" wrapText="1" readingOrder="1"/>
    </xf>
    <xf numFmtId="171" fontId="18" fillId="4" borderId="11" xfId="5" applyNumberFormat="1" applyFont="1" applyFill="1" applyBorder="1" applyAlignment="1">
      <alignment horizontal="center" vertical="top" wrapText="1" readingOrder="1"/>
    </xf>
    <xf numFmtId="171" fontId="18" fillId="5" borderId="11" xfId="5" applyNumberFormat="1" applyFont="1" applyFill="1" applyBorder="1" applyAlignment="1">
      <alignment horizontal="center" vertical="top" wrapText="1" readingOrder="1"/>
    </xf>
    <xf numFmtId="171" fontId="18" fillId="4" borderId="11" xfId="2" applyNumberFormat="1" applyFont="1" applyFill="1" applyBorder="1" applyAlignment="1">
      <alignment horizontal="center" vertical="top" wrapText="1" readingOrder="1"/>
    </xf>
    <xf numFmtId="172" fontId="18" fillId="4" borderId="11" xfId="5" applyNumberFormat="1" applyFont="1" applyFill="1" applyBorder="1" applyAlignment="1">
      <alignment horizontal="center" vertical="top" wrapText="1" readingOrder="1"/>
    </xf>
    <xf numFmtId="0" fontId="29" fillId="0" borderId="0" xfId="0" applyFont="1"/>
    <xf numFmtId="0" fontId="30" fillId="0" borderId="0" xfId="0" applyFont="1"/>
    <xf numFmtId="165" fontId="20" fillId="4" borderId="14" xfId="5" applyNumberFormat="1" applyFont="1" applyFill="1" applyBorder="1" applyAlignment="1">
      <alignment horizontal="center" vertical="top" wrapText="1" readingOrder="1"/>
    </xf>
    <xf numFmtId="170" fontId="18" fillId="5" borderId="11" xfId="2" applyNumberFormat="1" applyFont="1" applyFill="1" applyBorder="1" applyAlignment="1">
      <alignment horizontal="center" vertical="top" wrapText="1" readingOrder="1"/>
    </xf>
    <xf numFmtId="170" fontId="20" fillId="5" borderId="14" xfId="2" applyNumberFormat="1" applyFont="1" applyFill="1" applyBorder="1" applyAlignment="1">
      <alignment horizontal="center" vertical="top" wrapText="1" readingOrder="1"/>
    </xf>
    <xf numFmtId="165" fontId="31" fillId="4" borderId="11" xfId="5" applyNumberFormat="1" applyFont="1" applyFill="1" applyBorder="1" applyAlignment="1">
      <alignment horizontal="center" vertical="top" wrapText="1" readingOrder="1"/>
    </xf>
    <xf numFmtId="6" fontId="32" fillId="4" borderId="11" xfId="2" applyNumberFormat="1" applyFont="1" applyFill="1" applyBorder="1" applyAlignment="1">
      <alignment horizontal="center" vertical="top" wrapText="1" readingOrder="1"/>
    </xf>
    <xf numFmtId="1" fontId="18" fillId="4" borderId="11" xfId="0" applyNumberFormat="1" applyFont="1" applyFill="1" applyBorder="1" applyAlignment="1">
      <alignment horizontal="center" vertical="top" wrapText="1" readingOrder="1"/>
    </xf>
    <xf numFmtId="1" fontId="18" fillId="5" borderId="11" xfId="0" applyNumberFormat="1" applyFont="1" applyFill="1" applyBorder="1" applyAlignment="1">
      <alignment horizontal="center" vertical="top" wrapText="1" readingOrder="1"/>
    </xf>
    <xf numFmtId="38" fontId="18" fillId="0" borderId="11" xfId="1" applyNumberFormat="1" applyFont="1" applyBorder="1" applyAlignment="1">
      <alignment horizontal="center" vertical="top" wrapText="1" readingOrder="1"/>
    </xf>
    <xf numFmtId="1" fontId="18" fillId="5" borderId="11" xfId="2" applyNumberFormat="1" applyFont="1" applyFill="1" applyBorder="1" applyAlignment="1">
      <alignment horizontal="center" vertical="top" wrapText="1" readingOrder="1"/>
    </xf>
    <xf numFmtId="49" fontId="18" fillId="4" borderId="11" xfId="2" applyNumberFormat="1" applyFont="1" applyFill="1" applyBorder="1" applyAlignment="1">
      <alignment horizontal="center" vertical="top" wrapText="1" readingOrder="1"/>
    </xf>
    <xf numFmtId="3" fontId="18" fillId="4" borderId="11" xfId="2" applyNumberFormat="1" applyFont="1" applyFill="1" applyBorder="1" applyAlignment="1">
      <alignment horizontal="center" vertical="top" wrapText="1" readingOrder="1"/>
    </xf>
    <xf numFmtId="3" fontId="18" fillId="5" borderId="11" xfId="2" applyNumberFormat="1" applyFont="1" applyFill="1" applyBorder="1" applyAlignment="1">
      <alignment horizontal="center" vertical="top" wrapText="1" readingOrder="1"/>
    </xf>
    <xf numFmtId="3" fontId="18" fillId="0" borderId="11" xfId="2" applyNumberFormat="1" applyFont="1" applyBorder="1" applyAlignment="1">
      <alignment horizontal="center" vertical="top" wrapText="1" readingOrder="1"/>
    </xf>
    <xf numFmtId="0" fontId="9" fillId="0" borderId="0" xfId="0" applyFont="1"/>
    <xf numFmtId="0" fontId="20" fillId="4" borderId="11" xfId="2" applyFont="1" applyFill="1" applyBorder="1" applyAlignment="1">
      <alignment horizontal="center" vertical="top" wrapText="1" readingOrder="1"/>
    </xf>
    <xf numFmtId="1" fontId="20" fillId="5" borderId="11" xfId="2" applyNumberFormat="1" applyFont="1" applyFill="1" applyBorder="1" applyAlignment="1">
      <alignment horizontal="center" vertical="top" wrapText="1" readingOrder="1"/>
    </xf>
    <xf numFmtId="1" fontId="20" fillId="4" borderId="11" xfId="0" applyNumberFormat="1" applyFont="1" applyFill="1" applyBorder="1" applyAlignment="1">
      <alignment horizontal="center" vertical="top" wrapText="1" readingOrder="1"/>
    </xf>
    <xf numFmtId="1" fontId="20" fillId="5" borderId="11" xfId="0" applyNumberFormat="1" applyFont="1" applyFill="1" applyBorder="1" applyAlignment="1">
      <alignment horizontal="center" vertical="top" wrapText="1" readingOrder="1"/>
    </xf>
    <xf numFmtId="38" fontId="20" fillId="0" borderId="11" xfId="0" applyNumberFormat="1" applyFont="1" applyBorder="1" applyAlignment="1">
      <alignment horizontal="center" vertical="top" wrapText="1" readingOrder="1"/>
    </xf>
    <xf numFmtId="4" fontId="18" fillId="4" borderId="11" xfId="2" applyNumberFormat="1" applyFont="1" applyFill="1" applyBorder="1" applyAlignment="1">
      <alignment horizontal="center" vertical="top" wrapText="1" readingOrder="1"/>
    </xf>
    <xf numFmtId="2" fontId="18" fillId="5" borderId="11" xfId="2" applyNumberFormat="1" applyFont="1" applyFill="1" applyBorder="1" applyAlignment="1">
      <alignment horizontal="center" vertical="top" wrapText="1" readingOrder="1"/>
    </xf>
    <xf numFmtId="2" fontId="18" fillId="0" borderId="11" xfId="2" applyNumberFormat="1" applyFont="1" applyBorder="1" applyAlignment="1">
      <alignment horizontal="center" vertical="top" wrapText="1" readingOrder="1"/>
    </xf>
    <xf numFmtId="2" fontId="18" fillId="4" borderId="11" xfId="2" applyNumberFormat="1" applyFont="1" applyFill="1" applyBorder="1" applyAlignment="1">
      <alignment horizontal="center" vertical="top" wrapText="1" readingOrder="1"/>
    </xf>
    <xf numFmtId="0" fontId="13" fillId="0" borderId="0" xfId="0" applyFont="1" applyAlignment="1">
      <alignment horizontal="center"/>
    </xf>
    <xf numFmtId="6" fontId="13" fillId="0" borderId="0" xfId="0" applyNumberFormat="1" applyFont="1"/>
    <xf numFmtId="0" fontId="9" fillId="12" borderId="0" xfId="0" applyFont="1" applyFill="1"/>
    <xf numFmtId="0" fontId="13" fillId="12" borderId="0" xfId="0" applyFont="1" applyFill="1"/>
    <xf numFmtId="0" fontId="15" fillId="12" borderId="0" xfId="0" applyFont="1" applyFill="1"/>
    <xf numFmtId="0" fontId="19" fillId="12" borderId="0" xfId="0" applyFont="1" applyFill="1"/>
    <xf numFmtId="0" fontId="0" fillId="0" borderId="0" xfId="0" applyAlignment="1">
      <alignment horizontal="center"/>
    </xf>
    <xf numFmtId="38" fontId="18" fillId="0" borderId="11" xfId="2" applyNumberFormat="1" applyFont="1" applyBorder="1" applyAlignment="1">
      <alignment horizontal="center" vertical="top" wrapText="1" readingOrder="1"/>
    </xf>
    <xf numFmtId="38" fontId="20" fillId="0" borderId="11" xfId="2" applyNumberFormat="1" applyFont="1" applyBorder="1" applyAlignment="1">
      <alignment horizontal="center" vertical="top" wrapText="1" readingOrder="1"/>
    </xf>
    <xf numFmtId="166" fontId="9" fillId="0" borderId="0" xfId="2" applyNumberFormat="1" applyFont="1"/>
    <xf numFmtId="166" fontId="33" fillId="0" borderId="0" xfId="2" applyNumberFormat="1" applyFont="1"/>
    <xf numFmtId="166" fontId="19" fillId="0" borderId="0" xfId="1" applyNumberFormat="1" applyFont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center"/>
    </xf>
    <xf numFmtId="6" fontId="15" fillId="0" borderId="18" xfId="0" applyNumberFormat="1" applyFont="1" applyBorder="1"/>
    <xf numFmtId="6" fontId="15" fillId="0" borderId="0" xfId="0" applyNumberFormat="1" applyFont="1"/>
    <xf numFmtId="9" fontId="0" fillId="0" borderId="0" xfId="0" applyNumberFormat="1"/>
    <xf numFmtId="166" fontId="0" fillId="0" borderId="0" xfId="0" applyNumberFormat="1"/>
    <xf numFmtId="0" fontId="15" fillId="0" borderId="0" xfId="0" applyFont="1" applyAlignment="1">
      <alignment horizontal="center" vertical="center" wrapText="1"/>
    </xf>
    <xf numFmtId="6" fontId="9" fillId="0" borderId="0" xfId="0" applyNumberFormat="1" applyFont="1"/>
    <xf numFmtId="6" fontId="9" fillId="12" borderId="0" xfId="0" applyNumberFormat="1" applyFont="1" applyFill="1"/>
    <xf numFmtId="7" fontId="9" fillId="0" borderId="0" xfId="2" applyNumberFormat="1" applyFont="1"/>
    <xf numFmtId="0" fontId="24" fillId="0" borderId="0" xfId="9" applyFont="1"/>
    <xf numFmtId="0" fontId="24" fillId="0" borderId="0" xfId="9" applyFont="1" applyAlignment="1">
      <alignment horizontal="left"/>
    </xf>
    <xf numFmtId="17" fontId="24" fillId="0" borderId="0" xfId="9" applyNumberFormat="1" applyFont="1"/>
    <xf numFmtId="0" fontId="27" fillId="0" borderId="0" xfId="9" applyFont="1"/>
    <xf numFmtId="0" fontId="27" fillId="0" borderId="0" xfId="9" applyFont="1" applyAlignment="1">
      <alignment horizontal="left"/>
    </xf>
    <xf numFmtId="166" fontId="27" fillId="0" borderId="0" xfId="9" applyNumberFormat="1" applyFont="1"/>
    <xf numFmtId="0" fontId="27" fillId="0" borderId="0" xfId="9" quotePrefix="1" applyFont="1" applyAlignment="1">
      <alignment horizontal="left"/>
    </xf>
    <xf numFmtId="9" fontId="27" fillId="0" borderId="0" xfId="10" applyFont="1"/>
    <xf numFmtId="166" fontId="34" fillId="0" borderId="0" xfId="9" applyNumberFormat="1" applyFont="1"/>
    <xf numFmtId="164" fontId="27" fillId="0" borderId="0" xfId="11" applyNumberFormat="1" applyFont="1"/>
    <xf numFmtId="9" fontId="24" fillId="0" borderId="0" xfId="10" applyFont="1"/>
    <xf numFmtId="0" fontId="27" fillId="0" borderId="0" xfId="9" quotePrefix="1" applyFont="1"/>
    <xf numFmtId="8" fontId="9" fillId="0" borderId="0" xfId="2" applyNumberFormat="1" applyFont="1"/>
    <xf numFmtId="2" fontId="13" fillId="0" borderId="0" xfId="0" applyNumberFormat="1" applyFont="1"/>
    <xf numFmtId="6" fontId="9" fillId="0" borderId="0" xfId="2" applyNumberFormat="1" applyFont="1"/>
    <xf numFmtId="1" fontId="9" fillId="12" borderId="0" xfId="0" applyNumberFormat="1" applyFont="1" applyFill="1"/>
    <xf numFmtId="164" fontId="9" fillId="0" borderId="0" xfId="2" applyNumberFormat="1" applyFont="1"/>
    <xf numFmtId="167" fontId="0" fillId="0" borderId="1" xfId="1" applyNumberFormat="1" applyFont="1" applyFill="1" applyBorder="1" applyAlignment="1">
      <alignment horizontal="center" vertical="center" wrapText="1"/>
    </xf>
    <xf numFmtId="167" fontId="0" fillId="0" borderId="0" xfId="1" applyNumberFormat="1" applyFont="1" applyFill="1"/>
    <xf numFmtId="14" fontId="0" fillId="5" borderId="0" xfId="0" applyNumberFormat="1" applyFill="1"/>
    <xf numFmtId="0" fontId="36" fillId="0" borderId="0" xfId="2" applyFont="1"/>
    <xf numFmtId="173" fontId="36" fillId="0" borderId="0" xfId="2" applyNumberFormat="1" applyFont="1"/>
    <xf numFmtId="173" fontId="37" fillId="0" borderId="0" xfId="2" applyNumberFormat="1" applyFont="1"/>
    <xf numFmtId="6" fontId="15" fillId="13" borderId="0" xfId="0" applyNumberFormat="1" applyFont="1" applyFill="1"/>
    <xf numFmtId="6" fontId="15" fillId="13" borderId="18" xfId="0" applyNumberFormat="1" applyFont="1" applyFill="1" applyBorder="1"/>
    <xf numFmtId="0" fontId="15" fillId="13" borderId="0" xfId="0" applyFont="1" applyFill="1" applyAlignment="1">
      <alignment horizontal="center" vertical="center" wrapText="1"/>
    </xf>
    <xf numFmtId="0" fontId="9" fillId="0" borderId="0" xfId="0" applyFont="1" applyAlignment="1">
      <alignment wrapText="1"/>
    </xf>
    <xf numFmtId="0" fontId="9" fillId="0" borderId="0" xfId="0" applyFont="1" applyAlignment="1">
      <alignment horizontal="center" vertical="center" wrapText="1"/>
    </xf>
    <xf numFmtId="0" fontId="9" fillId="13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center"/>
    </xf>
    <xf numFmtId="6" fontId="9" fillId="13" borderId="0" xfId="0" applyNumberFormat="1" applyFont="1" applyFill="1"/>
    <xf numFmtId="164" fontId="27" fillId="0" borderId="0" xfId="1" applyNumberFormat="1" applyFont="1"/>
    <xf numFmtId="164" fontId="27" fillId="0" borderId="0" xfId="9" applyNumberFormat="1" applyFont="1"/>
    <xf numFmtId="164" fontId="27" fillId="0" borderId="0" xfId="10" applyNumberFormat="1" applyFont="1"/>
    <xf numFmtId="167" fontId="27" fillId="0" borderId="0" xfId="9" applyNumberFormat="1" applyFont="1"/>
    <xf numFmtId="43" fontId="27" fillId="0" borderId="0" xfId="9" applyNumberFormat="1" applyFont="1"/>
    <xf numFmtId="164" fontId="24" fillId="0" borderId="0" xfId="1" applyNumberFormat="1" applyFont="1"/>
    <xf numFmtId="9" fontId="27" fillId="0" borderId="0" xfId="5" applyFont="1"/>
    <xf numFmtId="9" fontId="27" fillId="0" borderId="21" xfId="10" applyFont="1" applyBorder="1"/>
    <xf numFmtId="0" fontId="27" fillId="0" borderId="21" xfId="9" applyFont="1" applyBorder="1"/>
    <xf numFmtId="164" fontId="27" fillId="0" borderId="21" xfId="1" applyNumberFormat="1" applyFont="1" applyBorder="1"/>
    <xf numFmtId="9" fontId="24" fillId="0" borderId="21" xfId="10" applyFont="1" applyBorder="1"/>
    <xf numFmtId="0" fontId="24" fillId="0" borderId="21" xfId="9" applyFont="1" applyBorder="1"/>
    <xf numFmtId="9" fontId="27" fillId="0" borderId="0" xfId="5" quotePrefix="1" applyFont="1"/>
    <xf numFmtId="166" fontId="35" fillId="0" borderId="0" xfId="0" applyNumberFormat="1" applyFont="1"/>
    <xf numFmtId="166" fontId="35" fillId="0" borderId="0" xfId="0" applyNumberFormat="1" applyFont="1" applyAlignment="1">
      <alignment horizontal="center" vertical="center"/>
    </xf>
    <xf numFmtId="174" fontId="0" fillId="0" borderId="19" xfId="1" applyNumberFormat="1" applyFont="1" applyBorder="1" applyAlignment="1">
      <alignment horizontal="center"/>
    </xf>
    <xf numFmtId="174" fontId="0" fillId="0" borderId="19" xfId="0" applyNumberFormat="1" applyBorder="1" applyAlignment="1">
      <alignment horizontal="center"/>
    </xf>
    <xf numFmtId="174" fontId="0" fillId="0" borderId="20" xfId="0" applyNumberFormat="1" applyBorder="1" applyAlignment="1">
      <alignment horizontal="center"/>
    </xf>
    <xf numFmtId="174" fontId="0" fillId="0" borderId="20" xfId="1" applyNumberFormat="1" applyFont="1" applyBorder="1" applyAlignment="1">
      <alignment horizontal="center"/>
    </xf>
    <xf numFmtId="166" fontId="15" fillId="0" borderId="0" xfId="0" applyNumberFormat="1" applyFont="1" applyAlignment="1">
      <alignment horizontal="center"/>
    </xf>
    <xf numFmtId="166" fontId="35" fillId="0" borderId="0" xfId="0" applyNumberFormat="1" applyFont="1" applyAlignment="1">
      <alignment horizontal="center"/>
    </xf>
    <xf numFmtId="9" fontId="27" fillId="0" borderId="21" xfId="9" applyNumberFormat="1" applyFont="1" applyBorder="1"/>
    <xf numFmtId="8" fontId="15" fillId="0" borderId="0" xfId="2" applyNumberFormat="1" applyFont="1"/>
    <xf numFmtId="43" fontId="9" fillId="0" borderId="0" xfId="2" applyNumberFormat="1" applyFont="1"/>
    <xf numFmtId="7" fontId="15" fillId="0" borderId="0" xfId="2" applyNumberFormat="1" applyFont="1"/>
    <xf numFmtId="17" fontId="9" fillId="2" borderId="3" xfId="0" quotePrefix="1" applyNumberFormat="1" applyFont="1" applyFill="1" applyBorder="1" applyAlignment="1">
      <alignment vertical="top" wrapText="1"/>
    </xf>
    <xf numFmtId="10" fontId="9" fillId="0" borderId="0" xfId="5" applyNumberFormat="1" applyFont="1"/>
    <xf numFmtId="43" fontId="18" fillId="6" borderId="11" xfId="1" applyFont="1" applyFill="1" applyBorder="1" applyAlignment="1">
      <alignment vertical="center" wrapText="1" readingOrder="1"/>
    </xf>
    <xf numFmtId="0" fontId="38" fillId="0" borderId="0" xfId="0" applyFont="1" applyAlignment="1">
      <alignment horizontal="center"/>
    </xf>
    <xf numFmtId="17" fontId="35" fillId="0" borderId="0" xfId="0" applyNumberFormat="1" applyFont="1" applyAlignment="1">
      <alignment horizontal="center"/>
    </xf>
    <xf numFmtId="0" fontId="35" fillId="0" borderId="0" xfId="0" applyFont="1" applyAlignment="1">
      <alignment horizontal="center"/>
    </xf>
    <xf numFmtId="6" fontId="0" fillId="0" borderId="0" xfId="1" applyNumberFormat="1" applyFont="1"/>
    <xf numFmtId="6" fontId="0" fillId="0" borderId="0" xfId="0" applyNumberFormat="1"/>
    <xf numFmtId="6" fontId="0" fillId="0" borderId="1" xfId="1" applyNumberFormat="1" applyFont="1" applyBorder="1"/>
    <xf numFmtId="6" fontId="0" fillId="0" borderId="0" xfId="1" applyNumberFormat="1" applyFont="1" applyBorder="1"/>
    <xf numFmtId="0" fontId="35" fillId="0" borderId="0" xfId="0" applyFont="1"/>
    <xf numFmtId="6" fontId="35" fillId="0" borderId="0" xfId="1" applyNumberFormat="1" applyFont="1"/>
    <xf numFmtId="6" fontId="35" fillId="0" borderId="0" xfId="0" applyNumberFormat="1" applyFont="1"/>
    <xf numFmtId="6" fontId="35" fillId="0" borderId="18" xfId="1" applyNumberFormat="1" applyFont="1" applyBorder="1"/>
    <xf numFmtId="6" fontId="35" fillId="0" borderId="0" xfId="1" applyNumberFormat="1" applyFont="1" applyBorder="1"/>
    <xf numFmtId="42" fontId="0" fillId="0" borderId="0" xfId="1" applyNumberFormat="1" applyFont="1"/>
    <xf numFmtId="42" fontId="0" fillId="0" borderId="0" xfId="0" applyNumberFormat="1"/>
    <xf numFmtId="6" fontId="0" fillId="0" borderId="18" xfId="1" applyNumberFormat="1" applyFont="1" applyBorder="1"/>
    <xf numFmtId="166" fontId="0" fillId="0" borderId="0" xfId="1" applyNumberFormat="1" applyFont="1"/>
    <xf numFmtId="164" fontId="0" fillId="0" borderId="0" xfId="1" applyNumberFormat="1" applyFont="1"/>
    <xf numFmtId="17" fontId="17" fillId="10" borderId="0" xfId="2" applyNumberFormat="1" applyFont="1" applyFill="1" applyAlignment="1">
      <alignment horizontal="center" vertical="center" wrapText="1" readingOrder="1"/>
    </xf>
    <xf numFmtId="0" fontId="17" fillId="10" borderId="0" xfId="2" quotePrefix="1" applyFont="1" applyFill="1" applyAlignment="1">
      <alignment horizontal="center" vertical="center" wrapText="1" readingOrder="1"/>
    </xf>
    <xf numFmtId="0" fontId="17" fillId="3" borderId="0" xfId="0" quotePrefix="1" applyFont="1" applyFill="1" applyAlignment="1">
      <alignment horizontal="center" vertical="center" wrapText="1" readingOrder="1"/>
    </xf>
    <xf numFmtId="0" fontId="17" fillId="7" borderId="0" xfId="2" quotePrefix="1" applyFont="1" applyFill="1" applyAlignment="1">
      <alignment horizontal="center" vertical="center" wrapText="1" readingOrder="1"/>
    </xf>
    <xf numFmtId="0" fontId="17" fillId="8" borderId="0" xfId="2" quotePrefix="1" applyFont="1" applyFill="1" applyAlignment="1">
      <alignment horizontal="center" vertical="center" wrapText="1" readingOrder="1"/>
    </xf>
    <xf numFmtId="0" fontId="17" fillId="2" borderId="0" xfId="2" quotePrefix="1" applyFont="1" applyFill="1" applyAlignment="1">
      <alignment horizontal="center" vertical="center" wrapText="1" readingOrder="1"/>
    </xf>
    <xf numFmtId="0" fontId="17" fillId="9" borderId="0" xfId="2" quotePrefix="1" applyFont="1" applyFill="1" applyAlignment="1">
      <alignment horizontal="center" vertical="center" wrapText="1" readingOrder="1"/>
    </xf>
    <xf numFmtId="165" fontId="18" fillId="5" borderId="11" xfId="2" applyNumberFormat="1" applyFont="1" applyFill="1" applyBorder="1" applyAlignment="1">
      <alignment horizontal="center" vertical="top" wrapText="1" readingOrder="1"/>
    </xf>
    <xf numFmtId="169" fontId="20" fillId="5" borderId="11" xfId="2" applyNumberFormat="1" applyFont="1" applyFill="1" applyBorder="1" applyAlignment="1">
      <alignment horizontal="center" vertical="top" wrapText="1" readingOrder="1"/>
    </xf>
    <xf numFmtId="17" fontId="15" fillId="0" borderId="0" xfId="0" applyNumberFormat="1" applyFont="1"/>
    <xf numFmtId="0" fontId="9" fillId="0" borderId="0" xfId="0" quotePrefix="1" applyFont="1"/>
    <xf numFmtId="9" fontId="9" fillId="0" borderId="0" xfId="5" applyFont="1"/>
    <xf numFmtId="2" fontId="9" fillId="0" borderId="0" xfId="2" applyNumberFormat="1" applyFont="1"/>
    <xf numFmtId="175" fontId="9" fillId="0" borderId="0" xfId="2" applyNumberFormat="1" applyFont="1"/>
    <xf numFmtId="169" fontId="9" fillId="0" borderId="0" xfId="2" applyNumberFormat="1" applyFont="1"/>
    <xf numFmtId="9" fontId="15" fillId="0" borderId="0" xfId="5" applyFont="1"/>
    <xf numFmtId="44" fontId="15" fillId="0" borderId="0" xfId="68" applyFont="1"/>
    <xf numFmtId="44" fontId="9" fillId="0" borderId="0" xfId="2" applyNumberFormat="1" applyFont="1"/>
    <xf numFmtId="0" fontId="9" fillId="0" borderId="0" xfId="0" quotePrefix="1" applyFont="1" applyAlignment="1">
      <alignment wrapText="1"/>
    </xf>
    <xf numFmtId="6" fontId="1" fillId="0" borderId="0" xfId="1" applyNumberFormat="1" applyFont="1"/>
    <xf numFmtId="43" fontId="9" fillId="0" borderId="0" xfId="1" applyFont="1"/>
    <xf numFmtId="0" fontId="9" fillId="0" borderId="0" xfId="2" quotePrefix="1" applyFont="1"/>
    <xf numFmtId="16" fontId="9" fillId="0" borderId="0" xfId="2" quotePrefix="1" applyNumberFormat="1" applyFont="1"/>
    <xf numFmtId="168" fontId="9" fillId="0" borderId="0" xfId="2" applyNumberFormat="1" applyFont="1"/>
    <xf numFmtId="0" fontId="9" fillId="2" borderId="4" xfId="0" applyFont="1" applyFill="1" applyBorder="1" applyAlignment="1">
      <alignment vertical="top" wrapText="1"/>
    </xf>
    <xf numFmtId="164" fontId="18" fillId="6" borderId="0" xfId="1" applyNumberFormat="1" applyFont="1" applyFill="1" applyBorder="1" applyAlignment="1">
      <alignment vertical="center" wrapText="1" readingOrder="1"/>
    </xf>
    <xf numFmtId="6" fontId="18" fillId="4" borderId="0" xfId="2" applyNumberFormat="1" applyFont="1" applyFill="1" applyAlignment="1">
      <alignment horizontal="center" vertical="top" wrapText="1" readingOrder="1"/>
    </xf>
    <xf numFmtId="8" fontId="9" fillId="12" borderId="0" xfId="0" applyNumberFormat="1" applyFont="1" applyFill="1"/>
    <xf numFmtId="17" fontId="12" fillId="2" borderId="3" xfId="0" applyNumberFormat="1" applyFont="1" applyFill="1" applyBorder="1" applyAlignment="1">
      <alignment horizontal="left" vertical="center" wrapText="1" readingOrder="1"/>
    </xf>
    <xf numFmtId="17" fontId="12" fillId="2" borderId="3" xfId="2" applyNumberFormat="1" applyFont="1" applyFill="1" applyBorder="1" applyAlignment="1">
      <alignment horizontal="left" vertical="center" wrapText="1" readingOrder="1"/>
    </xf>
    <xf numFmtId="167" fontId="27" fillId="5" borderId="0" xfId="6" applyNumberFormat="1" applyFont="1" applyFill="1"/>
    <xf numFmtId="9" fontId="35" fillId="0" borderId="22" xfId="59" applyFont="1" applyBorder="1" applyAlignment="1">
      <alignment horizontal="center"/>
    </xf>
    <xf numFmtId="9" fontId="35" fillId="0" borderId="23" xfId="59" applyFont="1" applyBorder="1" applyAlignment="1">
      <alignment horizontal="center"/>
    </xf>
    <xf numFmtId="176" fontId="9" fillId="0" borderId="0" xfId="2" applyNumberFormat="1" applyFont="1"/>
    <xf numFmtId="171" fontId="9" fillId="0" borderId="0" xfId="2" applyNumberFormat="1" applyFont="1"/>
    <xf numFmtId="3" fontId="9" fillId="0" borderId="0" xfId="2" applyNumberFormat="1" applyFont="1"/>
    <xf numFmtId="9" fontId="0" fillId="0" borderId="0" xfId="5" applyFont="1"/>
    <xf numFmtId="6" fontId="9" fillId="45" borderId="0" xfId="0" applyNumberFormat="1" applyFont="1" applyFill="1"/>
    <xf numFmtId="6" fontId="9" fillId="5" borderId="0" xfId="0" applyNumberFormat="1" applyFont="1" applyFill="1"/>
    <xf numFmtId="6" fontId="0" fillId="12" borderId="0" xfId="0" applyNumberFormat="1" applyFill="1"/>
    <xf numFmtId="49" fontId="27" fillId="5" borderId="16" xfId="6" applyNumberFormat="1" applyFont="1" applyFill="1" applyBorder="1"/>
    <xf numFmtId="49" fontId="27" fillId="5" borderId="0" xfId="6" applyNumberFormat="1" applyFont="1" applyFill="1"/>
    <xf numFmtId="167" fontId="27" fillId="5" borderId="17" xfId="6" applyNumberFormat="1" applyFont="1" applyFill="1" applyBorder="1"/>
    <xf numFmtId="0" fontId="28" fillId="5" borderId="0" xfId="7" applyFont="1" applyFill="1"/>
    <xf numFmtId="167" fontId="28" fillId="5" borderId="0" xfId="7" applyNumberFormat="1" applyFont="1" applyFill="1"/>
    <xf numFmtId="49" fontId="9" fillId="0" borderId="0" xfId="2" applyNumberFormat="1" applyFont="1"/>
    <xf numFmtId="43" fontId="9" fillId="12" borderId="0" xfId="1" applyFont="1" applyFill="1"/>
    <xf numFmtId="164" fontId="9" fillId="0" borderId="0" xfId="1" applyNumberFormat="1" applyFont="1"/>
    <xf numFmtId="6" fontId="9" fillId="0" borderId="1" xfId="0" applyNumberFormat="1" applyFont="1" applyBorder="1"/>
    <xf numFmtId="177" fontId="9" fillId="0" borderId="0" xfId="68" applyNumberFormat="1" applyFont="1"/>
    <xf numFmtId="173" fontId="15" fillId="0" borderId="0" xfId="2" applyNumberFormat="1" applyFont="1"/>
    <xf numFmtId="9" fontId="13" fillId="0" borderId="0" xfId="5" applyFont="1"/>
    <xf numFmtId="6" fontId="9" fillId="5" borderId="0" xfId="0" quotePrefix="1" applyNumberFormat="1" applyFont="1" applyFill="1"/>
    <xf numFmtId="6" fontId="13" fillId="0" borderId="0" xfId="2" applyNumberFormat="1" applyFont="1"/>
    <xf numFmtId="167" fontId="0" fillId="0" borderId="0" xfId="0" applyNumberFormat="1"/>
    <xf numFmtId="0" fontId="0" fillId="0" borderId="1" xfId="0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0" fillId="0" borderId="0" xfId="0" applyFont="1"/>
    <xf numFmtId="17" fontId="0" fillId="0" borderId="0" xfId="0" applyNumberFormat="1"/>
    <xf numFmtId="0" fontId="0" fillId="0" borderId="0" xfId="0" applyAlignment="1">
      <alignment horizontal="left"/>
    </xf>
    <xf numFmtId="9" fontId="27" fillId="0" borderId="0" xfId="9" applyNumberFormat="1" applyFont="1"/>
    <xf numFmtId="6" fontId="0" fillId="5" borderId="0" xfId="0" applyNumberFormat="1" applyFill="1"/>
    <xf numFmtId="164" fontId="9" fillId="0" borderId="0" xfId="2" applyNumberFormat="1" applyFont="1" applyAlignment="1">
      <alignment vertical="center"/>
    </xf>
    <xf numFmtId="0" fontId="9" fillId="0" borderId="0" xfId="2" applyFont="1" applyAlignment="1">
      <alignment vertical="center"/>
    </xf>
    <xf numFmtId="164" fontId="9" fillId="0" borderId="1" xfId="1" applyNumberFormat="1" applyFont="1" applyBorder="1"/>
    <xf numFmtId="0" fontId="35" fillId="0" borderId="24" xfId="0" applyFont="1" applyBorder="1" applyAlignment="1">
      <alignment horizontal="center" vertical="center"/>
    </xf>
    <xf numFmtId="0" fontId="35" fillId="0" borderId="25" xfId="0" applyFont="1" applyBorder="1" applyAlignment="1">
      <alignment horizontal="center" vertical="center"/>
    </xf>
    <xf numFmtId="0" fontId="24" fillId="0" borderId="0" xfId="9" applyFont="1" applyAlignment="1">
      <alignment horizontal="center"/>
    </xf>
    <xf numFmtId="0" fontId="11" fillId="2" borderId="2" xfId="2" applyFont="1" applyFill="1" applyBorder="1" applyAlignment="1">
      <alignment vertical="center" wrapText="1" readingOrder="1"/>
    </xf>
    <xf numFmtId="0" fontId="9" fillId="2" borderId="3" xfId="2" applyFont="1" applyFill="1" applyBorder="1" applyAlignment="1">
      <alignment vertical="top" wrapText="1"/>
    </xf>
    <xf numFmtId="0" fontId="14" fillId="10" borderId="6" xfId="2" applyFont="1" applyFill="1" applyBorder="1" applyAlignment="1">
      <alignment horizontal="center" vertical="top" wrapText="1" readingOrder="1"/>
    </xf>
    <xf numFmtId="0" fontId="15" fillId="0" borderId="6" xfId="2" applyFont="1" applyBorder="1" applyAlignment="1">
      <alignment vertical="top" wrapText="1"/>
    </xf>
    <xf numFmtId="0" fontId="16" fillId="10" borderId="0" xfId="2" applyFont="1" applyFill="1" applyAlignment="1">
      <alignment horizontal="center" vertical="top" wrapText="1" readingOrder="1"/>
    </xf>
    <xf numFmtId="0" fontId="9" fillId="0" borderId="0" xfId="2" applyFont="1"/>
    <xf numFmtId="0" fontId="16" fillId="10" borderId="9" xfId="2" applyFont="1" applyFill="1" applyBorder="1" applyAlignment="1">
      <alignment horizontal="center" vertical="top" wrapText="1" readingOrder="1"/>
    </xf>
    <xf numFmtId="0" fontId="14" fillId="10" borderId="7" xfId="2" applyFont="1" applyFill="1" applyBorder="1" applyAlignment="1">
      <alignment horizontal="center" vertical="top" wrapText="1" readingOrder="1"/>
    </xf>
    <xf numFmtId="0" fontId="11" fillId="2" borderId="2" xfId="0" applyFont="1" applyFill="1" applyBorder="1" applyAlignment="1">
      <alignment vertical="center" wrapText="1" readingOrder="1"/>
    </xf>
    <xf numFmtId="0" fontId="9" fillId="2" borderId="3" xfId="0" applyFont="1" applyFill="1" applyBorder="1" applyAlignment="1">
      <alignment vertical="top" wrapText="1"/>
    </xf>
    <xf numFmtId="17" fontId="9" fillId="2" borderId="3" xfId="0" quotePrefix="1" applyNumberFormat="1" applyFont="1" applyFill="1" applyBorder="1" applyAlignment="1">
      <alignment vertical="top" wrapText="1"/>
    </xf>
    <xf numFmtId="17" fontId="9" fillId="2" borderId="4" xfId="0" quotePrefix="1" applyNumberFormat="1" applyFont="1" applyFill="1" applyBorder="1" applyAlignment="1">
      <alignment vertical="top" wrapText="1"/>
    </xf>
    <xf numFmtId="0" fontId="14" fillId="3" borderId="6" xfId="0" applyFont="1" applyFill="1" applyBorder="1" applyAlignment="1">
      <alignment horizontal="center" vertical="top" wrapText="1" readingOrder="1"/>
    </xf>
    <xf numFmtId="0" fontId="15" fillId="0" borderId="6" xfId="0" applyFont="1" applyBorder="1" applyAlignment="1">
      <alignment vertical="top" wrapText="1"/>
    </xf>
    <xf numFmtId="0" fontId="15" fillId="0" borderId="7" xfId="0" applyFont="1" applyBorder="1" applyAlignment="1">
      <alignment vertical="top" wrapText="1"/>
    </xf>
    <xf numFmtId="0" fontId="16" fillId="3" borderId="0" xfId="0" applyFont="1" applyFill="1" applyAlignment="1">
      <alignment horizontal="center" vertical="top" wrapText="1" readingOrder="1"/>
    </xf>
    <xf numFmtId="0" fontId="9" fillId="0" borderId="0" xfId="0" applyFont="1"/>
    <xf numFmtId="0" fontId="9" fillId="0" borderId="9" xfId="0" applyFont="1" applyBorder="1" applyAlignment="1">
      <alignment vertical="top" wrapText="1"/>
    </xf>
    <xf numFmtId="0" fontId="14" fillId="7" borderId="6" xfId="2" applyFont="1" applyFill="1" applyBorder="1" applyAlignment="1">
      <alignment horizontal="center" vertical="top" wrapText="1" readingOrder="1"/>
    </xf>
    <xf numFmtId="0" fontId="15" fillId="0" borderId="7" xfId="2" applyFont="1" applyBorder="1" applyAlignment="1">
      <alignment vertical="top" wrapText="1"/>
    </xf>
    <xf numFmtId="0" fontId="16" fillId="7" borderId="0" xfId="2" applyFont="1" applyFill="1" applyAlignment="1">
      <alignment horizontal="center" vertical="top" wrapText="1" readingOrder="1"/>
    </xf>
    <xf numFmtId="0" fontId="9" fillId="0" borderId="9" xfId="2" applyFont="1" applyBorder="1" applyAlignment="1">
      <alignment vertical="top" wrapText="1"/>
    </xf>
    <xf numFmtId="0" fontId="14" fillId="8" borderId="6" xfId="2" applyFont="1" applyFill="1" applyBorder="1" applyAlignment="1">
      <alignment horizontal="center" vertical="top" wrapText="1" readingOrder="1"/>
    </xf>
    <xf numFmtId="0" fontId="16" fillId="8" borderId="0" xfId="2" applyFont="1" applyFill="1" applyAlignment="1">
      <alignment horizontal="center" vertical="top" wrapText="1" readingOrder="1"/>
    </xf>
    <xf numFmtId="0" fontId="14" fillId="2" borderId="6" xfId="2" applyFont="1" applyFill="1" applyBorder="1" applyAlignment="1">
      <alignment horizontal="center" vertical="top" wrapText="1" readingOrder="1"/>
    </xf>
    <xf numFmtId="0" fontId="16" fillId="2" borderId="0" xfId="2" applyFont="1" applyFill="1" applyAlignment="1">
      <alignment horizontal="center" vertical="top" wrapText="1" readingOrder="1"/>
    </xf>
    <xf numFmtId="0" fontId="16" fillId="9" borderId="0" xfId="2" applyFont="1" applyFill="1" applyAlignment="1">
      <alignment horizontal="center" vertical="top" wrapText="1" readingOrder="1"/>
    </xf>
    <xf numFmtId="0" fontId="9" fillId="2" borderId="4" xfId="0" applyFont="1" applyFill="1" applyBorder="1" applyAlignment="1">
      <alignment vertical="top" wrapText="1"/>
    </xf>
    <xf numFmtId="0" fontId="14" fillId="9" borderId="6" xfId="2" applyFont="1" applyFill="1" applyBorder="1" applyAlignment="1">
      <alignment horizontal="center" vertical="top" wrapText="1" readingOrder="1"/>
    </xf>
    <xf numFmtId="5" fontId="9" fillId="0" borderId="0" xfId="2" applyNumberFormat="1" applyFont="1" applyAlignment="1">
      <alignment horizontal="center"/>
    </xf>
    <xf numFmtId="0" fontId="9" fillId="0" borderId="0" xfId="2" applyFont="1" applyAlignment="1">
      <alignment horizontal="center"/>
    </xf>
    <xf numFmtId="9" fontId="9" fillId="0" borderId="0" xfId="5" applyFont="1" applyAlignment="1">
      <alignment horizontal="center" vertical="center"/>
    </xf>
    <xf numFmtId="9" fontId="9" fillId="0" borderId="0" xfId="5" applyFont="1" applyAlignment="1">
      <alignment horizontal="center"/>
    </xf>
  </cellXfs>
  <cellStyles count="69">
    <cellStyle name="20% - Accent1" xfId="31" builtinId="30" customBuiltin="1"/>
    <cellStyle name="20% - Accent2" xfId="35" builtinId="34" customBuiltin="1"/>
    <cellStyle name="20% - Accent3" xfId="39" builtinId="38" customBuiltin="1"/>
    <cellStyle name="20% - Accent4" xfId="43" builtinId="42" customBuiltin="1"/>
    <cellStyle name="20% - Accent5" xfId="47" builtinId="46" customBuiltin="1"/>
    <cellStyle name="20% - Accent6" xfId="51" builtinId="50" customBuiltin="1"/>
    <cellStyle name="40% - Accent1" xfId="32" builtinId="31" customBuiltin="1"/>
    <cellStyle name="40% - Accent2" xfId="36" builtinId="35" customBuiltin="1"/>
    <cellStyle name="40% - Accent3" xfId="40" builtinId="39" customBuiltin="1"/>
    <cellStyle name="40% - Accent4" xfId="44" builtinId="43" customBuiltin="1"/>
    <cellStyle name="40% - Accent5" xfId="48" builtinId="47" customBuiltin="1"/>
    <cellStyle name="40% - Accent6" xfId="52" builtinId="51" customBuiltin="1"/>
    <cellStyle name="60% - Accent1" xfId="33" builtinId="32" customBuiltin="1"/>
    <cellStyle name="60% - Accent2" xfId="37" builtinId="36" customBuiltin="1"/>
    <cellStyle name="60% - Accent3" xfId="41" builtinId="40" customBuiltin="1"/>
    <cellStyle name="60% - Accent4" xfId="45" builtinId="44" customBuiltin="1"/>
    <cellStyle name="60% - Accent5" xfId="49" builtinId="48" customBuiltin="1"/>
    <cellStyle name="60% - Accent6" xfId="53" builtinId="52" customBuiltin="1"/>
    <cellStyle name="Accent1" xfId="30" builtinId="29" customBuiltin="1"/>
    <cellStyle name="Accent2" xfId="34" builtinId="33" customBuiltin="1"/>
    <cellStyle name="Accent3" xfId="38" builtinId="37" customBuiltin="1"/>
    <cellStyle name="Accent4" xfId="42" builtinId="41" customBuiltin="1"/>
    <cellStyle name="Accent5" xfId="46" builtinId="45" customBuiltin="1"/>
    <cellStyle name="Accent6" xfId="50" builtinId="49" customBuiltin="1"/>
    <cellStyle name="Bad" xfId="20" builtinId="27" customBuiltin="1"/>
    <cellStyle name="Calculation" xfId="24" builtinId="22" customBuiltin="1"/>
    <cellStyle name="Check Cell" xfId="26" builtinId="23" customBuiltin="1"/>
    <cellStyle name="Comma" xfId="1" builtinId="3"/>
    <cellStyle name="Comma 2" xfId="4" xr:uid="{4A223AD9-42A8-48BA-8C2A-633B5D749483}"/>
    <cellStyle name="Comma 2 2" xfId="58" xr:uid="{5A54F2CD-8BFD-40D3-952B-37129408786D}"/>
    <cellStyle name="Comma 3" xfId="11" xr:uid="{ACADAAB1-9889-4B5F-822A-E87A67308944}"/>
    <cellStyle name="Comma 3 2" xfId="64" xr:uid="{174A4824-DE6B-46AC-9414-0228A373D635}"/>
    <cellStyle name="Comma 4" xfId="13" xr:uid="{F59E8621-5152-4124-9F38-330863D29660}"/>
    <cellStyle name="Comma 4 2" xfId="66" xr:uid="{A38E6485-3466-418D-BA05-F4245D7C42D1}"/>
    <cellStyle name="Comma 5" xfId="57" xr:uid="{83D45EBC-E359-4326-83F8-2E66A74645C5}"/>
    <cellStyle name="Currency" xfId="68" builtinId="4"/>
    <cellStyle name="Currency 2" xfId="67" xr:uid="{B4A558A3-0B87-48FA-8970-5C87807185CE}"/>
    <cellStyle name="Explanatory Text" xfId="28" builtinId="53" customBuiltin="1"/>
    <cellStyle name="Good" xfId="19" builtinId="26" customBuiltin="1"/>
    <cellStyle name="Heading 1" xfId="15" builtinId="16" customBuiltin="1"/>
    <cellStyle name="Heading 2" xfId="16" builtinId="17" customBuiltin="1"/>
    <cellStyle name="Heading 3" xfId="17" builtinId="18" customBuiltin="1"/>
    <cellStyle name="Heading 4" xfId="18" builtinId="19" customBuiltin="1"/>
    <cellStyle name="Input" xfId="22" builtinId="20" customBuiltin="1"/>
    <cellStyle name="Linked Cell" xfId="25" builtinId="24" customBuiltin="1"/>
    <cellStyle name="Neutral" xfId="21" builtinId="28" customBuiltin="1"/>
    <cellStyle name="Normal" xfId="0" builtinId="0"/>
    <cellStyle name="Normal 2" xfId="2" xr:uid="{FC13B280-EA2E-4946-8121-914FF7354A2A}"/>
    <cellStyle name="Normal 3" xfId="6" xr:uid="{0CD13AB7-EA28-4E4D-BB25-7DF47E57AF24}"/>
    <cellStyle name="Normal 3 2" xfId="60" xr:uid="{41D8A1BB-4F1E-479B-9B98-839598A65203}"/>
    <cellStyle name="Normal 4" xfId="7" xr:uid="{EA6C6D92-4C03-423D-82FF-8EC3267BD811}"/>
    <cellStyle name="Normal 5" xfId="8" xr:uid="{7AB1B6D9-12FA-4DC6-8CB0-CFBAE39954F0}"/>
    <cellStyle name="Normal 5 2" xfId="61" xr:uid="{03F9D7A5-CF6D-4507-9D6C-DC1F31361072}"/>
    <cellStyle name="Normal 6" xfId="9" xr:uid="{7C57722C-B853-4FB2-BF77-55A87B65103B}"/>
    <cellStyle name="Normal 6 2" xfId="62" xr:uid="{5B5415C8-8B8A-4133-B2E3-A11B39568AFA}"/>
    <cellStyle name="Normal 7" xfId="12" xr:uid="{ED2E1C5A-2413-4EC4-A41B-3A2BCB7F0F4F}"/>
    <cellStyle name="Normal 7 2" xfId="65" xr:uid="{BD9BE945-0ED7-4098-935B-318E778F34EB}"/>
    <cellStyle name="Normal 8" xfId="54" xr:uid="{ED72DCE5-24BB-44F9-B690-EABB4A3FD100}"/>
    <cellStyle name="Normal 9" xfId="56" xr:uid="{0D5C9AD4-F216-4395-82CB-B04805B8CCDB}"/>
    <cellStyle name="Note 2" xfId="55" xr:uid="{0B95B8E1-D7B5-4F19-BB22-06339972ACDC}"/>
    <cellStyle name="Output" xfId="23" builtinId="21" customBuiltin="1"/>
    <cellStyle name="Percent" xfId="5" builtinId="5"/>
    <cellStyle name="Percent 2" xfId="3" xr:uid="{5FAC8321-2445-4B69-A869-E0A54B47FC3B}"/>
    <cellStyle name="Percent 3" xfId="10" xr:uid="{841B2BBD-020E-4023-9B6B-3401629031D2}"/>
    <cellStyle name="Percent 3 2" xfId="63" xr:uid="{89E91417-E6A1-4AA2-BBFD-69CDFC746FB6}"/>
    <cellStyle name="Percent 4" xfId="59" xr:uid="{ADD04444-2A32-47C8-81B2-F49323E63972}"/>
    <cellStyle name="Title" xfId="14" builtinId="15" customBuiltin="1"/>
    <cellStyle name="Total" xfId="29" builtinId="25" customBuiltin="1"/>
    <cellStyle name="Warning Text" xfId="27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sheetMetadata" Target="metadata.xml"/><Relationship Id="rId55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2.xml"/><Relationship Id="rId53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/Relationships>
</file>

<file path=xl/documenttasks/documenttask1.xml><?xml version="1.0" encoding="utf-8"?>
<Tasks xmlns="http://schemas.microsoft.com/office/tasks/2019/documenttasks">
  <Task id="{E47EF383-215C-4716-BE99-F3B76462813C}">
    <Anchor>
      <Comment id="{8BE74DDF-ED5A-4F71-B511-C424C597A1C7}"/>
    </Anchor>
    <History>
      <Event time="2024-02-13T18:54:01.48" id="{D1A4CEC8-718D-4F54-956F-EBD47C14208B}">
        <Attribution userId="S::mark.jago@nst.co.nz::75ac0611-4f79-42be-b93a-96f423a41730" userName="Mark Jago" userProvider="AD"/>
        <Anchor>
          <Comment id="{8BE74DDF-ED5A-4F71-B511-C424C597A1C7}"/>
        </Anchor>
        <Create/>
      </Event>
      <Event time="2024-02-13T18:54:01.48" id="{ACE1F79C-06C0-4644-A827-A7685308AADE}">
        <Attribution userId="S::mark.jago@nst.co.nz::75ac0611-4f79-42be-b93a-96f423a41730" userName="Mark Jago" userProvider="AD"/>
        <Anchor>
          <Comment id="{8BE74DDF-ED5A-4F71-B511-C424C597A1C7}"/>
        </Anchor>
        <Assign userId="S::peter.sun@nst.co.nz::8145bca1-9613-47c6-aa4b-a8b509a06d58" userName="Peter Sun" userProvider="AD"/>
      </Event>
      <Event time="2024-02-13T18:54:01.48" id="{FA332C37-EBEF-4231-88D1-46E1300B8104}">
        <Attribution userId="S::mark.jago@nst.co.nz::75ac0611-4f79-42be-b93a-96f423a41730" userName="Mark Jago" userProvider="AD"/>
        <Anchor>
          <Comment id="{8BE74DDF-ED5A-4F71-B511-C424C597A1C7}"/>
        </Anchor>
        <SetTitle title="@Peter Sun - can you check this against TNZ definitions?"/>
      </Event>
    </History>
  </Task>
</Tasks>
</file>

<file path=xl/documenttasks/documenttask2.xml><?xml version="1.0" encoding="utf-8"?>
<Tasks xmlns="http://schemas.microsoft.com/office/tasks/2019/documenttasks">
  <Task id="{8A207DD8-BF4D-4AFE-9B37-4A399776E22F}">
    <Anchor>
      <Comment id="{393F2536-2A1E-4E83-9131-B7AA64D6BB79}"/>
    </Anchor>
    <History>
      <Event time="2024-02-13T18:54:27.50" id="{856F8CDA-9612-401B-9C1A-AB5DB74AC003}">
        <Attribution userId="S::mark.jago@nst.co.nz::75ac0611-4f79-42be-b93a-96f423a41730" userName="Mark Jago" userProvider="AD"/>
        <Anchor>
          <Comment id="{393F2536-2A1E-4E83-9131-B7AA64D6BB79}"/>
        </Anchor>
        <Create/>
      </Event>
      <Event time="2024-02-13T18:54:27.50" id="{A405C94B-8131-401E-AAD2-E63E021C6C02}">
        <Attribution userId="S::mark.jago@nst.co.nz::75ac0611-4f79-42be-b93a-96f423a41730" userName="Mark Jago" userProvider="AD"/>
        <Anchor>
          <Comment id="{393F2536-2A1E-4E83-9131-B7AA64D6BB79}"/>
        </Anchor>
        <Assign userId="S::peter.sun@nst.co.nz::8145bca1-9613-47c6-aa4b-a8b509a06d58" userName="Peter Sun" userProvider="AD"/>
      </Event>
      <Event time="2024-02-13T18:54:27.50" id="{D6B7F5D3-A38B-4E12-895C-963AE2CB4807}">
        <Attribution userId="S::mark.jago@nst.co.nz::75ac0611-4f79-42be-b93a-96f423a41730" userName="Mark Jago" userProvider="AD"/>
        <Anchor>
          <Comment id="{393F2536-2A1E-4E83-9131-B7AA64D6BB79}"/>
        </Anchor>
        <SetTitle title="@Peter Sun - loss of Jamie"/>
      </Event>
    </History>
  </Task>
</Task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znorthernbaysmotors.sharepoint.com/sites/Financial/Shared%20Documents/Peter%20Correspondence/Weekly%20dashboard%20projects/TNZ%20Budget%20cutting/TKP%20Budget%20080922%20Final%20-%20April.xlsx" TargetMode="External"/><Relationship Id="rId1" Type="http://schemas.openxmlformats.org/officeDocument/2006/relationships/externalLinkPath" Target="/sites/Financial/Shared%20Documents/Peter%20Correspondence/Weekly%20dashboard%20projects/TNZ%20Budget%20cutting/TKP%20Budget%20080922%20Final%20-%20April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znorthernbaysmotors.sharepoint.com/sites/Financial/Shared%20Documents/Peter%20Correspondence/Weekly%20dashboard%20projects/TNZ%20Budget%20cutting/For%20Shuan%20Review/Updated_TKP%20Budget%202023%20-%20TNZ%20-%20April%20Ver..xlsx" TargetMode="External"/><Relationship Id="rId1" Type="http://schemas.openxmlformats.org/officeDocument/2006/relationships/externalLinkPath" Target="/sites/Financial/Shared%20Documents/Peter%20Correspondence/Weekly%20dashboard%20projects/TNZ%20Budget%20cutting/For%20Shuan%20Review/Updated_TKP%20Budget%202023%20-%20TNZ%20-%20April%20Ver.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znorthernbaysmotors.sharepoint.com/sites/Financial/Shared%20Documents/Peter%20Correspondence/Weekly%20dashboard%20projects/TNZ%20Budget%20cutting/For%20Shuan%20Review/TKP%20Budget%202023%20-%20Other%20Incomes.xlsx" TargetMode="External"/><Relationship Id="rId1" Type="http://schemas.openxmlformats.org/officeDocument/2006/relationships/externalLinkPath" Target="/sites/Financial/Shared%20Documents/Peter%20Correspondence/Weekly%20dashboard%20projects/TNZ%20Budget%20cutting/For%20Shuan%20Review/TKP%20Budget%202023%20-%20Other%20Incom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n7RjLKTAg06C8kSKKG04L2FSVQipiXJJuBa1K00kiIi-VTiyudzpSoqv60VAFYz5" itemId="01VVRVGW2MDVCZTZDNANBLN6RG4LC7X3VY">
      <xxl21:absoluteUrl r:id="rId2"/>
    </xxl21:alternateUrls>
    <sheetNames>
      <sheetName val="Overall"/>
      <sheetName val="New Vehicles"/>
      <sheetName val="Used Vehicles"/>
      <sheetName val="F&amp;I"/>
      <sheetName val="Parts"/>
      <sheetName val="Service"/>
      <sheetName val="Admin"/>
      <sheetName val="TKP Budget 080922 Final - April"/>
    </sheetNames>
    <sheetDataSet>
      <sheetData sheetId="0">
        <row r="9">
          <cell r="F9">
            <v>40000</v>
          </cell>
          <cell r="G9">
            <v>40000</v>
          </cell>
          <cell r="H9">
            <v>40000</v>
          </cell>
          <cell r="I9">
            <v>40000</v>
          </cell>
          <cell r="J9">
            <v>40000</v>
          </cell>
          <cell r="K9">
            <v>-94531.26</v>
          </cell>
          <cell r="L9">
            <v>-97554.808080000003</v>
          </cell>
          <cell r="M9">
            <v>191633.79332</v>
          </cell>
          <cell r="N9">
            <v>420453.72524</v>
          </cell>
          <cell r="Q9">
            <v>45152.461122881534</v>
          </cell>
          <cell r="R9">
            <v>56027.627914312805</v>
          </cell>
          <cell r="S9">
            <v>242218.84810145973</v>
          </cell>
          <cell r="T9">
            <v>68212.994892891002</v>
          </cell>
          <cell r="U9">
            <v>85272.994892891002</v>
          </cell>
          <cell r="V9">
            <v>246429.39489289102</v>
          </cell>
          <cell r="W9">
            <v>72152.594892891007</v>
          </cell>
          <cell r="X9">
            <v>70476.594892891007</v>
          </cell>
          <cell r="Y9">
            <v>243954.79489289102</v>
          </cell>
          <cell r="Z9">
            <v>73220.194892891013</v>
          </cell>
          <cell r="AA9">
            <v>75754.794892891019</v>
          </cell>
          <cell r="AB9">
            <v>267075.07489289099</v>
          </cell>
        </row>
      </sheetData>
      <sheetData sheetId="1">
        <row r="4">
          <cell r="F4">
            <v>85</v>
          </cell>
          <cell r="G4">
            <v>100</v>
          </cell>
          <cell r="H4">
            <v>100</v>
          </cell>
          <cell r="I4">
            <v>120</v>
          </cell>
          <cell r="J4">
            <v>120</v>
          </cell>
          <cell r="K4">
            <v>135</v>
          </cell>
          <cell r="L4">
            <v>71</v>
          </cell>
          <cell r="M4">
            <v>153</v>
          </cell>
          <cell r="Q4">
            <v>137</v>
          </cell>
          <cell r="R4">
            <v>135</v>
          </cell>
          <cell r="S4">
            <v>125</v>
          </cell>
          <cell r="T4">
            <v>125</v>
          </cell>
          <cell r="U4">
            <v>125</v>
          </cell>
          <cell r="V4">
            <v>125</v>
          </cell>
          <cell r="W4">
            <v>125</v>
          </cell>
          <cell r="X4">
            <v>125</v>
          </cell>
          <cell r="Y4">
            <v>125</v>
          </cell>
          <cell r="Z4">
            <v>125</v>
          </cell>
          <cell r="AA4">
            <v>125</v>
          </cell>
          <cell r="AB4">
            <v>125</v>
          </cell>
        </row>
        <row r="5">
          <cell r="F5">
            <v>8</v>
          </cell>
          <cell r="G5">
            <v>9</v>
          </cell>
          <cell r="H5">
            <v>9</v>
          </cell>
          <cell r="I5">
            <v>9</v>
          </cell>
          <cell r="J5">
            <v>9</v>
          </cell>
          <cell r="K5">
            <v>6</v>
          </cell>
          <cell r="L5">
            <v>6</v>
          </cell>
          <cell r="M5">
            <v>6</v>
          </cell>
          <cell r="Q5">
            <v>6</v>
          </cell>
          <cell r="R5">
            <v>6</v>
          </cell>
          <cell r="S5">
            <v>6</v>
          </cell>
          <cell r="T5">
            <v>6</v>
          </cell>
          <cell r="U5">
            <v>6</v>
          </cell>
          <cell r="V5">
            <v>6</v>
          </cell>
          <cell r="W5">
            <v>6</v>
          </cell>
          <cell r="X5">
            <v>6</v>
          </cell>
          <cell r="Y5">
            <v>6</v>
          </cell>
          <cell r="Z5">
            <v>6</v>
          </cell>
          <cell r="AA5">
            <v>6</v>
          </cell>
          <cell r="AB5">
            <v>6</v>
          </cell>
        </row>
        <row r="8">
          <cell r="F8">
            <v>2100</v>
          </cell>
          <cell r="G8">
            <v>2100</v>
          </cell>
          <cell r="H8">
            <v>2100</v>
          </cell>
          <cell r="I8">
            <v>2100</v>
          </cell>
          <cell r="J8">
            <v>2100</v>
          </cell>
          <cell r="K8">
            <v>1731.4</v>
          </cell>
          <cell r="L8">
            <v>2067.6999999999998</v>
          </cell>
          <cell r="M8">
            <v>2044.89</v>
          </cell>
          <cell r="Q8">
            <v>1800</v>
          </cell>
          <cell r="R8">
            <v>1800</v>
          </cell>
          <cell r="S8">
            <v>1800</v>
          </cell>
          <cell r="T8">
            <v>1900</v>
          </cell>
          <cell r="U8">
            <v>1900</v>
          </cell>
          <cell r="V8">
            <v>1900</v>
          </cell>
          <cell r="W8">
            <v>1950</v>
          </cell>
          <cell r="X8">
            <v>1950</v>
          </cell>
          <cell r="Y8">
            <v>1950</v>
          </cell>
          <cell r="Z8">
            <v>1950</v>
          </cell>
          <cell r="AA8">
            <v>1950</v>
          </cell>
          <cell r="AB8">
            <v>1950</v>
          </cell>
        </row>
        <row r="9">
          <cell r="F9">
            <v>630</v>
          </cell>
          <cell r="G9">
            <v>630</v>
          </cell>
          <cell r="H9">
            <v>630</v>
          </cell>
          <cell r="I9">
            <v>630</v>
          </cell>
          <cell r="J9">
            <v>630</v>
          </cell>
          <cell r="K9">
            <v>534.1</v>
          </cell>
          <cell r="L9">
            <v>711.98</v>
          </cell>
          <cell r="M9">
            <v>501.75</v>
          </cell>
          <cell r="Q9">
            <v>600</v>
          </cell>
          <cell r="R9">
            <v>600</v>
          </cell>
          <cell r="S9">
            <v>600</v>
          </cell>
          <cell r="T9">
            <v>600</v>
          </cell>
          <cell r="U9">
            <v>600</v>
          </cell>
          <cell r="V9">
            <v>600</v>
          </cell>
          <cell r="W9">
            <v>600</v>
          </cell>
          <cell r="X9">
            <v>600</v>
          </cell>
          <cell r="Y9">
            <v>600</v>
          </cell>
          <cell r="Z9">
            <v>600</v>
          </cell>
          <cell r="AA9">
            <v>600</v>
          </cell>
          <cell r="AB9">
            <v>600</v>
          </cell>
        </row>
        <row r="10">
          <cell r="F10">
            <v>950</v>
          </cell>
          <cell r="G10">
            <v>987.5</v>
          </cell>
          <cell r="H10">
            <v>987.5</v>
          </cell>
          <cell r="I10">
            <v>981.25</v>
          </cell>
          <cell r="J10">
            <v>981.25</v>
          </cell>
          <cell r="K10">
            <v>1138.94</v>
          </cell>
          <cell r="L10">
            <v>1512.29</v>
          </cell>
          <cell r="M10">
            <v>899.31</v>
          </cell>
          <cell r="Q10">
            <v>1100</v>
          </cell>
          <cell r="R10">
            <v>1100</v>
          </cell>
          <cell r="S10">
            <v>1100</v>
          </cell>
          <cell r="T10">
            <v>1100</v>
          </cell>
          <cell r="U10">
            <v>1100</v>
          </cell>
          <cell r="V10">
            <v>1100</v>
          </cell>
          <cell r="W10">
            <v>1100</v>
          </cell>
          <cell r="X10">
            <v>1100</v>
          </cell>
          <cell r="Y10">
            <v>1100</v>
          </cell>
          <cell r="Z10">
            <v>1100</v>
          </cell>
          <cell r="AA10">
            <v>1100</v>
          </cell>
          <cell r="AB10">
            <v>1100</v>
          </cell>
        </row>
        <row r="14">
          <cell r="B14">
            <v>183400</v>
          </cell>
          <cell r="C14">
            <v>217800</v>
          </cell>
          <cell r="D14">
            <v>289900</v>
          </cell>
          <cell r="E14">
            <v>246000</v>
          </cell>
          <cell r="F14">
            <v>178500</v>
          </cell>
          <cell r="G14">
            <v>210000</v>
          </cell>
          <cell r="H14">
            <v>210000</v>
          </cell>
          <cell r="I14">
            <v>252000</v>
          </cell>
          <cell r="J14">
            <v>252000</v>
          </cell>
          <cell r="K14">
            <v>233739</v>
          </cell>
          <cell r="L14">
            <v>146806.69999999998</v>
          </cell>
          <cell r="M14">
            <v>312868.17000000004</v>
          </cell>
          <cell r="N14">
            <v>2733013.87</v>
          </cell>
          <cell r="Q14">
            <v>246600</v>
          </cell>
          <cell r="R14">
            <v>243000</v>
          </cell>
          <cell r="S14">
            <v>225000</v>
          </cell>
          <cell r="T14">
            <v>237500</v>
          </cell>
          <cell r="U14">
            <v>237500</v>
          </cell>
          <cell r="V14">
            <v>237500</v>
          </cell>
          <cell r="W14">
            <v>243750</v>
          </cell>
          <cell r="X14">
            <v>243750</v>
          </cell>
          <cell r="Y14">
            <v>243750</v>
          </cell>
          <cell r="Z14">
            <v>243750</v>
          </cell>
          <cell r="AA14">
            <v>243750</v>
          </cell>
          <cell r="AB14">
            <v>243750</v>
          </cell>
          <cell r="AC14">
            <v>2889600</v>
          </cell>
        </row>
        <row r="16">
          <cell r="F16">
            <v>1500</v>
          </cell>
          <cell r="G16">
            <v>1500</v>
          </cell>
          <cell r="H16">
            <v>1500</v>
          </cell>
          <cell r="I16">
            <v>1500</v>
          </cell>
          <cell r="J16">
            <v>1500</v>
          </cell>
          <cell r="K16">
            <v>2207.08</v>
          </cell>
          <cell r="L16">
            <v>2465.44</v>
          </cell>
          <cell r="M16">
            <v>8450</v>
          </cell>
          <cell r="Q16">
            <v>2500</v>
          </cell>
          <cell r="R16">
            <v>2500</v>
          </cell>
          <cell r="S16">
            <v>4000</v>
          </cell>
          <cell r="T16">
            <v>4000</v>
          </cell>
          <cell r="U16">
            <v>4000</v>
          </cell>
          <cell r="V16">
            <v>4000</v>
          </cell>
          <cell r="W16">
            <v>4000</v>
          </cell>
          <cell r="X16">
            <v>4000</v>
          </cell>
          <cell r="Y16">
            <v>4000</v>
          </cell>
          <cell r="Z16">
            <v>4000</v>
          </cell>
          <cell r="AA16">
            <v>4000</v>
          </cell>
          <cell r="AB16">
            <v>4000</v>
          </cell>
        </row>
        <row r="17">
          <cell r="B17">
            <v>33000</v>
          </cell>
          <cell r="C17">
            <v>16440</v>
          </cell>
          <cell r="D17">
            <v>106502</v>
          </cell>
          <cell r="E17">
            <v>62900</v>
          </cell>
          <cell r="F17">
            <v>45700</v>
          </cell>
          <cell r="G17">
            <v>49750</v>
          </cell>
          <cell r="H17">
            <v>49750</v>
          </cell>
          <cell r="I17">
            <v>60150</v>
          </cell>
          <cell r="J17">
            <v>60150</v>
          </cell>
          <cell r="K17">
            <v>10085.680000000017</v>
          </cell>
          <cell r="L17">
            <v>-8651.0300000000116</v>
          </cell>
          <cell r="M17">
            <v>106955.99000000002</v>
          </cell>
          <cell r="N17">
            <v>592732.64</v>
          </cell>
          <cell r="Q17">
            <v>16200</v>
          </cell>
          <cell r="R17">
            <v>16000</v>
          </cell>
          <cell r="S17">
            <v>16500</v>
          </cell>
          <cell r="T17">
            <v>29000</v>
          </cell>
          <cell r="U17">
            <v>29000</v>
          </cell>
          <cell r="V17">
            <v>29000</v>
          </cell>
          <cell r="W17">
            <v>35250</v>
          </cell>
          <cell r="X17">
            <v>35250</v>
          </cell>
          <cell r="Y17">
            <v>35250</v>
          </cell>
          <cell r="Z17">
            <v>35250</v>
          </cell>
          <cell r="AA17">
            <v>35250</v>
          </cell>
          <cell r="AB17">
            <v>35250</v>
          </cell>
          <cell r="AC17">
            <v>347200</v>
          </cell>
        </row>
      </sheetData>
      <sheetData sheetId="2">
        <row r="4">
          <cell r="F4">
            <v>30</v>
          </cell>
          <cell r="G4">
            <v>30</v>
          </cell>
          <cell r="H4">
            <v>30</v>
          </cell>
          <cell r="I4">
            <v>30</v>
          </cell>
          <cell r="J4">
            <v>30</v>
          </cell>
          <cell r="K4">
            <v>57</v>
          </cell>
          <cell r="L4">
            <v>59</v>
          </cell>
          <cell r="M4">
            <v>64</v>
          </cell>
        </row>
        <row r="5">
          <cell r="F5">
            <v>15</v>
          </cell>
          <cell r="H5">
            <v>15</v>
          </cell>
          <cell r="I5">
            <v>15</v>
          </cell>
          <cell r="J5">
            <v>15</v>
          </cell>
          <cell r="K5">
            <v>8</v>
          </cell>
          <cell r="L5">
            <v>15</v>
          </cell>
          <cell r="M5">
            <v>19</v>
          </cell>
        </row>
        <row r="6">
          <cell r="F6">
            <v>49</v>
          </cell>
          <cell r="G6">
            <v>50</v>
          </cell>
          <cell r="H6">
            <v>55</v>
          </cell>
          <cell r="I6">
            <v>60</v>
          </cell>
          <cell r="J6">
            <v>70</v>
          </cell>
          <cell r="K6">
            <v>31</v>
          </cell>
          <cell r="L6">
            <v>50</v>
          </cell>
          <cell r="M6">
            <v>57</v>
          </cell>
        </row>
        <row r="8">
          <cell r="F8">
            <v>5.5</v>
          </cell>
          <cell r="G8">
            <v>5.5</v>
          </cell>
          <cell r="H8">
            <v>6</v>
          </cell>
          <cell r="I8">
            <v>6.5</v>
          </cell>
          <cell r="J8">
            <v>7</v>
          </cell>
          <cell r="K8">
            <v>7</v>
          </cell>
          <cell r="L8">
            <v>7</v>
          </cell>
          <cell r="M8">
            <v>7</v>
          </cell>
        </row>
        <row r="11">
          <cell r="F11">
            <v>1500</v>
          </cell>
          <cell r="G11">
            <v>1500</v>
          </cell>
          <cell r="H11">
            <v>1500</v>
          </cell>
          <cell r="I11">
            <v>1500</v>
          </cell>
          <cell r="J11">
            <v>1500</v>
          </cell>
          <cell r="K11">
            <v>1047.9473684210527</v>
          </cell>
          <cell r="L11">
            <v>1066.9794915254238</v>
          </cell>
          <cell r="M11">
            <v>2430.125</v>
          </cell>
        </row>
        <row r="12">
          <cell r="F12">
            <v>1700</v>
          </cell>
          <cell r="G12">
            <v>1700</v>
          </cell>
          <cell r="H12">
            <v>1725</v>
          </cell>
          <cell r="I12">
            <v>1750</v>
          </cell>
          <cell r="J12">
            <v>1775</v>
          </cell>
          <cell r="K12">
            <v>1333</v>
          </cell>
          <cell r="L12">
            <v>2029.1933333333334</v>
          </cell>
          <cell r="M12">
            <v>1449.6842105263158</v>
          </cell>
        </row>
        <row r="13">
          <cell r="F13">
            <v>3500</v>
          </cell>
          <cell r="G13">
            <v>3500</v>
          </cell>
          <cell r="H13">
            <v>3500</v>
          </cell>
          <cell r="I13">
            <v>3500</v>
          </cell>
          <cell r="J13">
            <v>3500</v>
          </cell>
          <cell r="K13">
            <v>2661.8709677419356</v>
          </cell>
          <cell r="L13">
            <v>3019.2021999999997</v>
          </cell>
          <cell r="M13">
            <v>2008.1754385964912</v>
          </cell>
        </row>
        <row r="15">
          <cell r="F15">
            <v>770</v>
          </cell>
          <cell r="G15">
            <v>630</v>
          </cell>
          <cell r="H15">
            <v>630</v>
          </cell>
          <cell r="I15">
            <v>630</v>
          </cell>
          <cell r="J15">
            <v>630</v>
          </cell>
          <cell r="K15">
            <v>603</v>
          </cell>
          <cell r="L15">
            <v>553.19096774193542</v>
          </cell>
          <cell r="M15">
            <v>541.78571428571433</v>
          </cell>
        </row>
        <row r="16">
          <cell r="F16">
            <v>1000</v>
          </cell>
          <cell r="G16">
            <v>1000</v>
          </cell>
          <cell r="H16">
            <v>1018.75</v>
          </cell>
          <cell r="I16">
            <v>1035.7142857142858</v>
          </cell>
          <cell r="J16">
            <v>1000</v>
          </cell>
          <cell r="K16">
            <v>1194.3333333333333</v>
          </cell>
          <cell r="L16">
            <v>819.68258064516112</v>
          </cell>
          <cell r="M16">
            <v>1013.1428571428571</v>
          </cell>
        </row>
        <row r="20">
          <cell r="B20">
            <v>198098</v>
          </cell>
          <cell r="C20">
            <v>239866</v>
          </cell>
          <cell r="D20">
            <v>271226</v>
          </cell>
          <cell r="E20">
            <v>257300</v>
          </cell>
          <cell r="F20">
            <v>242000</v>
          </cell>
          <cell r="G20">
            <v>245500</v>
          </cell>
          <cell r="H20">
            <v>263375</v>
          </cell>
          <cell r="I20">
            <v>281250</v>
          </cell>
          <cell r="J20">
            <v>316625</v>
          </cell>
          <cell r="K20">
            <v>152915</v>
          </cell>
          <cell r="L20">
            <v>244349.8</v>
          </cell>
          <cell r="M20">
            <v>297538</v>
          </cell>
          <cell r="N20">
            <v>3010042.8</v>
          </cell>
          <cell r="Q20">
            <v>184201</v>
          </cell>
          <cell r="R20">
            <v>229316</v>
          </cell>
          <cell r="S20">
            <v>243499.99999999997</v>
          </cell>
          <cell r="T20">
            <v>284088.88888888888</v>
          </cell>
          <cell r="U20">
            <v>288288.88888888888</v>
          </cell>
          <cell r="V20">
            <v>294288.88888888888</v>
          </cell>
          <cell r="W20">
            <v>300288.88888888888</v>
          </cell>
          <cell r="X20">
            <v>306288.88888888888</v>
          </cell>
          <cell r="Y20">
            <v>314211.11111111112</v>
          </cell>
          <cell r="Z20">
            <v>280611.11111111112</v>
          </cell>
          <cell r="AA20">
            <v>293511.11111111112</v>
          </cell>
          <cell r="AB20">
            <v>306411.11111111112</v>
          </cell>
          <cell r="AC20">
            <v>3325005.8888888885</v>
          </cell>
        </row>
        <row r="21">
          <cell r="B21">
            <v>48775</v>
          </cell>
          <cell r="C21">
            <v>47732</v>
          </cell>
          <cell r="D21">
            <v>107854</v>
          </cell>
          <cell r="E21">
            <v>72200</v>
          </cell>
          <cell r="F21">
            <v>75620.000000000015</v>
          </cell>
          <cell r="G21">
            <v>90650.000000000015</v>
          </cell>
          <cell r="H21">
            <v>98500</v>
          </cell>
          <cell r="I21">
            <v>106349.99999999999</v>
          </cell>
          <cell r="J21">
            <v>129175.00000000001</v>
          </cell>
          <cell r="K21">
            <v>-11037</v>
          </cell>
          <cell r="L21">
            <v>77892.48000000004</v>
          </cell>
          <cell r="M21">
            <v>84312</v>
          </cell>
          <cell r="N21">
            <v>928023.48</v>
          </cell>
          <cell r="Q21">
            <v>4587.2203030303081</v>
          </cell>
          <cell r="R21">
            <v>48456.520303030287</v>
          </cell>
          <cell r="S21">
            <v>62224.92030303026</v>
          </cell>
          <cell r="T21">
            <v>101213.74951010101</v>
          </cell>
          <cell r="U21">
            <v>104513.749510101</v>
          </cell>
          <cell r="V21">
            <v>109613.74951010104</v>
          </cell>
          <cell r="W21">
            <v>114713.74951010106</v>
          </cell>
          <cell r="X21">
            <v>119813.74951010103</v>
          </cell>
          <cell r="Y21">
            <v>126835.97173232331</v>
          </cell>
          <cell r="Z21">
            <v>95935.971732323305</v>
          </cell>
          <cell r="AA21">
            <v>107935.97173232328</v>
          </cell>
          <cell r="AB21">
            <v>119935.97173232328</v>
          </cell>
          <cell r="AC21">
            <v>1115781.295388889</v>
          </cell>
        </row>
      </sheetData>
      <sheetData sheetId="3">
        <row r="6">
          <cell r="F6">
            <v>750</v>
          </cell>
          <cell r="G6">
            <v>750</v>
          </cell>
          <cell r="H6">
            <v>750</v>
          </cell>
          <cell r="I6">
            <v>750</v>
          </cell>
          <cell r="J6">
            <v>750</v>
          </cell>
          <cell r="K6">
            <v>564.47</v>
          </cell>
          <cell r="L6">
            <v>638</v>
          </cell>
          <cell r="M6">
            <v>1134</v>
          </cell>
          <cell r="Q6">
            <v>561</v>
          </cell>
          <cell r="R6">
            <v>561</v>
          </cell>
          <cell r="S6">
            <v>561</v>
          </cell>
          <cell r="T6">
            <v>561</v>
          </cell>
          <cell r="U6">
            <v>561</v>
          </cell>
          <cell r="V6">
            <v>561</v>
          </cell>
          <cell r="W6">
            <v>561</v>
          </cell>
          <cell r="X6">
            <v>561</v>
          </cell>
          <cell r="Y6">
            <v>561</v>
          </cell>
          <cell r="Z6">
            <v>561</v>
          </cell>
          <cell r="AA6">
            <v>561</v>
          </cell>
          <cell r="AB6">
            <v>561</v>
          </cell>
        </row>
        <row r="7">
          <cell r="F7">
            <v>250</v>
          </cell>
          <cell r="G7">
            <v>250</v>
          </cell>
          <cell r="H7">
            <v>250</v>
          </cell>
          <cell r="I7">
            <v>250</v>
          </cell>
          <cell r="J7">
            <v>250</v>
          </cell>
          <cell r="K7">
            <v>240.64</v>
          </cell>
          <cell r="L7">
            <v>253</v>
          </cell>
          <cell r="M7">
            <v>241</v>
          </cell>
          <cell r="Q7">
            <v>240</v>
          </cell>
          <cell r="R7">
            <v>240</v>
          </cell>
          <cell r="S7">
            <v>240</v>
          </cell>
          <cell r="T7">
            <v>240</v>
          </cell>
          <cell r="U7">
            <v>240</v>
          </cell>
          <cell r="V7">
            <v>240</v>
          </cell>
          <cell r="W7">
            <v>240</v>
          </cell>
          <cell r="X7">
            <v>240</v>
          </cell>
          <cell r="Y7">
            <v>240</v>
          </cell>
          <cell r="Z7">
            <v>240</v>
          </cell>
          <cell r="AA7">
            <v>240</v>
          </cell>
          <cell r="AB7">
            <v>240</v>
          </cell>
        </row>
        <row r="10">
          <cell r="B10">
            <v>106000</v>
          </cell>
          <cell r="C10">
            <v>113000</v>
          </cell>
          <cell r="D10">
            <v>143448</v>
          </cell>
          <cell r="E10">
            <v>162420</v>
          </cell>
          <cell r="F10">
            <v>134250</v>
          </cell>
          <cell r="G10">
            <v>146250</v>
          </cell>
          <cell r="H10">
            <v>150000</v>
          </cell>
          <cell r="I10">
            <v>168750</v>
          </cell>
          <cell r="J10">
            <v>176250</v>
          </cell>
          <cell r="K10">
            <v>130392.57</v>
          </cell>
          <cell r="L10">
            <v>124410</v>
          </cell>
          <cell r="M10">
            <v>332262</v>
          </cell>
          <cell r="N10">
            <v>1887432.57</v>
          </cell>
          <cell r="Q10">
            <v>137445</v>
          </cell>
          <cell r="R10">
            <v>144738</v>
          </cell>
          <cell r="S10">
            <v>141933</v>
          </cell>
          <cell r="T10">
            <v>145286.53333333333</v>
          </cell>
          <cell r="U10">
            <v>146969.53333333333</v>
          </cell>
          <cell r="V10">
            <v>148652.53333333333</v>
          </cell>
          <cell r="W10">
            <v>150335.53333333333</v>
          </cell>
          <cell r="X10">
            <v>152018.53333333333</v>
          </cell>
          <cell r="Y10">
            <v>153763.86666666667</v>
          </cell>
          <cell r="Z10">
            <v>145348.86666666667</v>
          </cell>
          <cell r="AA10">
            <v>148714.86666666667</v>
          </cell>
          <cell r="AB10">
            <v>152080.86666666667</v>
          </cell>
          <cell r="AC10">
            <v>1767287.1333333333</v>
          </cell>
        </row>
        <row r="12">
          <cell r="B12">
            <v>55000</v>
          </cell>
          <cell r="C12">
            <v>57000</v>
          </cell>
          <cell r="D12">
            <v>84400</v>
          </cell>
          <cell r="E12">
            <v>104600</v>
          </cell>
          <cell r="F12">
            <v>89500</v>
          </cell>
          <cell r="G12">
            <v>97500</v>
          </cell>
          <cell r="H12">
            <v>100000</v>
          </cell>
          <cell r="I12">
            <v>112500</v>
          </cell>
          <cell r="J12">
            <v>117500</v>
          </cell>
          <cell r="K12">
            <v>74804.73000000001</v>
          </cell>
          <cell r="L12">
            <v>75101</v>
          </cell>
          <cell r="M12">
            <v>261712</v>
          </cell>
          <cell r="N12">
            <v>1229617.73</v>
          </cell>
          <cell r="Q12">
            <v>78645</v>
          </cell>
          <cell r="R12">
            <v>82818</v>
          </cell>
          <cell r="S12">
            <v>81213</v>
          </cell>
          <cell r="T12">
            <v>83131.866666666669</v>
          </cell>
          <cell r="U12">
            <v>84094.866666666669</v>
          </cell>
          <cell r="V12">
            <v>85057.866666666669</v>
          </cell>
          <cell r="W12">
            <v>86020.866666666669</v>
          </cell>
          <cell r="X12">
            <v>86983.866666666669</v>
          </cell>
          <cell r="Y12">
            <v>87982.533333333326</v>
          </cell>
          <cell r="Z12">
            <v>83167.533333333326</v>
          </cell>
          <cell r="AA12">
            <v>85093.533333333326</v>
          </cell>
          <cell r="AB12">
            <v>87019.533333333326</v>
          </cell>
          <cell r="AC12">
            <v>1011228.4666666668</v>
          </cell>
        </row>
      </sheetData>
      <sheetData sheetId="4">
        <row r="4">
          <cell r="F4">
            <v>1776000</v>
          </cell>
          <cell r="G4">
            <v>1793760</v>
          </cell>
          <cell r="H4">
            <v>1811697.6</v>
          </cell>
          <cell r="I4">
            <v>1829814.5760000001</v>
          </cell>
          <cell r="J4">
            <v>1848112.7217600001</v>
          </cell>
          <cell r="K4">
            <v>1183886</v>
          </cell>
          <cell r="L4">
            <v>1174539</v>
          </cell>
          <cell r="M4">
            <v>1680629</v>
          </cell>
          <cell r="Q4">
            <v>1358000</v>
          </cell>
          <cell r="R4">
            <v>1532138</v>
          </cell>
          <cell r="S4">
            <v>1502000</v>
          </cell>
          <cell r="T4">
            <v>1646000</v>
          </cell>
          <cell r="U4">
            <v>1930000</v>
          </cell>
          <cell r="V4">
            <v>1768000</v>
          </cell>
          <cell r="W4">
            <v>1552000</v>
          </cell>
          <cell r="X4">
            <v>1475000</v>
          </cell>
          <cell r="Y4">
            <v>1365000</v>
          </cell>
          <cell r="Z4">
            <v>1365000</v>
          </cell>
          <cell r="AA4">
            <v>1365000</v>
          </cell>
          <cell r="AB4">
            <v>1785000</v>
          </cell>
        </row>
        <row r="5">
          <cell r="F5">
            <v>15</v>
          </cell>
          <cell r="G5">
            <v>15</v>
          </cell>
          <cell r="H5">
            <v>15</v>
          </cell>
          <cell r="I5">
            <v>15</v>
          </cell>
          <cell r="J5">
            <v>15</v>
          </cell>
          <cell r="K5">
            <v>14</v>
          </cell>
          <cell r="L5">
            <v>14</v>
          </cell>
          <cell r="M5">
            <v>14</v>
          </cell>
          <cell r="Q5">
            <v>14</v>
          </cell>
          <cell r="R5">
            <v>14</v>
          </cell>
          <cell r="S5">
            <v>14</v>
          </cell>
          <cell r="T5">
            <v>14</v>
          </cell>
          <cell r="U5">
            <v>14</v>
          </cell>
          <cell r="V5">
            <v>14</v>
          </cell>
          <cell r="W5">
            <v>13</v>
          </cell>
          <cell r="X5">
            <v>13</v>
          </cell>
          <cell r="Y5">
            <v>13</v>
          </cell>
          <cell r="Z5">
            <v>13</v>
          </cell>
          <cell r="AA5">
            <v>13</v>
          </cell>
          <cell r="AB5">
            <v>13</v>
          </cell>
        </row>
        <row r="7">
          <cell r="K7">
            <v>0.1</v>
          </cell>
          <cell r="L7">
            <v>0.1</v>
          </cell>
          <cell r="M7">
            <v>9.2999999999999999E-2</v>
          </cell>
          <cell r="Q7">
            <v>9.6254540255277354E-2</v>
          </cell>
          <cell r="R7">
            <v>7.6129100562997473E-2</v>
          </cell>
          <cell r="S7">
            <v>8.7026408566355962E-2</v>
          </cell>
          <cell r="T7">
            <v>7.9412919603078155E-2</v>
          </cell>
          <cell r="U7">
            <v>6.7727287910189976E-2</v>
          </cell>
          <cell r="V7">
            <v>7.3933068815987921E-2</v>
          </cell>
          <cell r="W7">
            <v>8.4222722723367685E-2</v>
          </cell>
          <cell r="X7">
            <v>8.8619434350282481E-2</v>
          </cell>
          <cell r="Y7">
            <v>9.5760927228327214E-2</v>
          </cell>
          <cell r="Z7">
            <v>9.5760927228327214E-2</v>
          </cell>
          <cell r="AA7">
            <v>9.5760927228327214E-2</v>
          </cell>
          <cell r="AB7">
            <v>7.3228944351073758E-2</v>
          </cell>
        </row>
        <row r="11">
          <cell r="B11">
            <v>231600</v>
          </cell>
          <cell r="C11">
            <v>280200</v>
          </cell>
          <cell r="D11">
            <v>344019</v>
          </cell>
          <cell r="E11">
            <v>264500</v>
          </cell>
          <cell r="F11">
            <v>301920</v>
          </cell>
          <cell r="G11">
            <v>304939.2</v>
          </cell>
          <cell r="H11">
            <v>307988.59200000006</v>
          </cell>
          <cell r="I11">
            <v>311068.47792000003</v>
          </cell>
          <cell r="J11">
            <v>314179.16269920004</v>
          </cell>
          <cell r="K11">
            <v>213099.48</v>
          </cell>
          <cell r="L11">
            <v>211417.02000000002</v>
          </cell>
          <cell r="M11">
            <v>405050.22000000003</v>
          </cell>
          <cell r="N11">
            <v>3489981.1526192003</v>
          </cell>
          <cell r="Q11">
            <v>218260</v>
          </cell>
          <cell r="R11">
            <v>261995.59800000003</v>
          </cell>
          <cell r="S11">
            <v>270360</v>
          </cell>
          <cell r="T11">
            <v>296280</v>
          </cell>
          <cell r="U11">
            <v>347400</v>
          </cell>
          <cell r="V11">
            <v>318240</v>
          </cell>
          <cell r="W11">
            <v>279360</v>
          </cell>
          <cell r="X11">
            <v>265500</v>
          </cell>
          <cell r="Y11">
            <v>245700</v>
          </cell>
          <cell r="Z11">
            <v>245700</v>
          </cell>
          <cell r="AA11">
            <v>245700</v>
          </cell>
          <cell r="AB11">
            <v>321300</v>
          </cell>
          <cell r="AC11">
            <v>3315795.5980000002</v>
          </cell>
        </row>
        <row r="12">
          <cell r="B12">
            <v>124300</v>
          </cell>
          <cell r="C12">
            <v>156500</v>
          </cell>
          <cell r="D12">
            <v>220095</v>
          </cell>
          <cell r="E12">
            <v>145500</v>
          </cell>
          <cell r="F12">
            <v>177600</v>
          </cell>
          <cell r="G12">
            <v>179376</v>
          </cell>
          <cell r="H12">
            <v>181169.76</v>
          </cell>
          <cell r="I12">
            <v>182981.45760000002</v>
          </cell>
          <cell r="J12">
            <v>184811.27217600003</v>
          </cell>
          <cell r="K12">
            <v>107805.88000000002</v>
          </cell>
          <cell r="L12">
            <v>92570.12000000001</v>
          </cell>
          <cell r="M12">
            <v>248644.72300000003</v>
          </cell>
          <cell r="N12">
            <v>2001354.2127760004</v>
          </cell>
          <cell r="Q12">
            <v>87546.334333333347</v>
          </cell>
          <cell r="R12">
            <v>145355.31012161021</v>
          </cell>
          <cell r="S12">
            <v>139646.33433333336</v>
          </cell>
          <cell r="T12">
            <v>165566.33433333336</v>
          </cell>
          <cell r="U12">
            <v>216686.33433333336</v>
          </cell>
          <cell r="V12">
            <v>187526.33433333336</v>
          </cell>
          <cell r="W12">
            <v>148646.33433333336</v>
          </cell>
          <cell r="X12">
            <v>134786.33433333336</v>
          </cell>
          <cell r="Y12">
            <v>114986.33433333335</v>
          </cell>
          <cell r="Z12">
            <v>114986.33433333335</v>
          </cell>
          <cell r="AA12">
            <v>114986.33433333335</v>
          </cell>
          <cell r="AB12">
            <v>190586.33433333336</v>
          </cell>
          <cell r="AC12">
            <v>1761304.9877882777</v>
          </cell>
        </row>
      </sheetData>
      <sheetData sheetId="5">
        <row r="4">
          <cell r="F4">
            <v>598975</v>
          </cell>
          <cell r="G4">
            <v>504400</v>
          </cell>
          <cell r="H4">
            <v>630500</v>
          </cell>
          <cell r="I4">
            <v>630500</v>
          </cell>
          <cell r="J4">
            <v>472875</v>
          </cell>
          <cell r="K4">
            <v>493021</v>
          </cell>
          <cell r="L4">
            <v>489898</v>
          </cell>
          <cell r="M4">
            <v>655488</v>
          </cell>
          <cell r="Q4">
            <v>450000.13500000001</v>
          </cell>
          <cell r="R4">
            <v>551000</v>
          </cell>
          <cell r="S4">
            <v>600000</v>
          </cell>
          <cell r="T4">
            <v>620000</v>
          </cell>
          <cell r="U4">
            <v>576000</v>
          </cell>
          <cell r="V4">
            <v>576000</v>
          </cell>
          <cell r="W4">
            <v>640000</v>
          </cell>
          <cell r="X4">
            <v>640000</v>
          </cell>
          <cell r="Y4">
            <v>576000</v>
          </cell>
          <cell r="Z4">
            <v>576000</v>
          </cell>
          <cell r="AA4">
            <v>576032</v>
          </cell>
          <cell r="AB4">
            <v>704000</v>
          </cell>
        </row>
        <row r="5">
          <cell r="F5">
            <v>256500</v>
          </cell>
          <cell r="G5">
            <v>216000</v>
          </cell>
          <cell r="H5">
            <v>270000</v>
          </cell>
          <cell r="I5">
            <v>270000</v>
          </cell>
          <cell r="J5">
            <v>202500</v>
          </cell>
          <cell r="K5">
            <v>227528</v>
          </cell>
          <cell r="L5">
            <v>236009</v>
          </cell>
          <cell r="M5">
            <v>295799</v>
          </cell>
          <cell r="Q5">
            <v>186923.133</v>
          </cell>
          <cell r="R5">
            <v>270000</v>
          </cell>
          <cell r="S5">
            <v>270000</v>
          </cell>
          <cell r="T5">
            <v>270000</v>
          </cell>
          <cell r="U5">
            <v>243000</v>
          </cell>
          <cell r="V5">
            <v>243000</v>
          </cell>
          <cell r="W5">
            <v>270000</v>
          </cell>
          <cell r="X5">
            <v>270000</v>
          </cell>
          <cell r="Y5">
            <v>229500</v>
          </cell>
          <cell r="Z5">
            <v>229500</v>
          </cell>
          <cell r="AA5">
            <v>256500</v>
          </cell>
          <cell r="AB5">
            <v>270000</v>
          </cell>
        </row>
        <row r="8">
          <cell r="F8">
            <v>0.65</v>
          </cell>
          <cell r="G8">
            <v>0.66</v>
          </cell>
          <cell r="H8">
            <v>0.67200000000000004</v>
          </cell>
          <cell r="I8">
            <v>0.67200000000000004</v>
          </cell>
          <cell r="J8">
            <v>0.67200000000000004</v>
          </cell>
          <cell r="K8">
            <v>0.73</v>
          </cell>
          <cell r="L8">
            <v>0.7</v>
          </cell>
          <cell r="M8">
            <v>0.69299999999999995</v>
          </cell>
          <cell r="Q8">
            <v>0.70766666666666656</v>
          </cell>
          <cell r="R8">
            <v>0.70766666666666656</v>
          </cell>
          <cell r="S8">
            <v>0.70766666666666656</v>
          </cell>
          <cell r="T8">
            <v>0.70766666666666656</v>
          </cell>
          <cell r="U8">
            <v>0.70766666666666656</v>
          </cell>
          <cell r="V8">
            <v>0.70766666666666656</v>
          </cell>
          <cell r="W8">
            <v>0.70766666666666656</v>
          </cell>
          <cell r="X8">
            <v>0.70766666666666656</v>
          </cell>
          <cell r="Y8">
            <v>0.70766666666666656</v>
          </cell>
          <cell r="Z8">
            <v>0.70766666666666656</v>
          </cell>
          <cell r="AA8">
            <v>0.70766666666666656</v>
          </cell>
          <cell r="AB8">
            <v>0.70766666666666656</v>
          </cell>
        </row>
        <row r="9">
          <cell r="F9">
            <v>0.61</v>
          </cell>
          <cell r="G9">
            <v>0.622</v>
          </cell>
          <cell r="H9">
            <v>0.63</v>
          </cell>
          <cell r="I9">
            <v>0.63</v>
          </cell>
          <cell r="J9">
            <v>0.63</v>
          </cell>
          <cell r="K9">
            <v>0.60899999999999999</v>
          </cell>
          <cell r="L9">
            <v>0.61699999999999999</v>
          </cell>
          <cell r="M9">
            <v>0.626</v>
          </cell>
          <cell r="Q9">
            <v>0.61733333333333329</v>
          </cell>
          <cell r="R9">
            <v>0.61733333333333329</v>
          </cell>
          <cell r="S9">
            <v>0.61733333333333329</v>
          </cell>
          <cell r="T9">
            <v>0.61733333333333329</v>
          </cell>
          <cell r="U9">
            <v>0.61733333333333329</v>
          </cell>
          <cell r="V9">
            <v>0.61733333333333329</v>
          </cell>
          <cell r="W9">
            <v>0.61733333333333329</v>
          </cell>
          <cell r="X9">
            <v>0.61733333333333329</v>
          </cell>
          <cell r="Y9">
            <v>0.61733333333333329</v>
          </cell>
          <cell r="Z9">
            <v>0.61733333333333329</v>
          </cell>
          <cell r="AA9">
            <v>0.61733333333333329</v>
          </cell>
          <cell r="AB9">
            <v>0.61733333333333329</v>
          </cell>
        </row>
        <row r="14">
          <cell r="B14">
            <v>330548.35000000003</v>
          </cell>
          <cell r="C14">
            <v>360343.60000000003</v>
          </cell>
          <cell r="D14">
            <v>349205.5</v>
          </cell>
          <cell r="E14">
            <v>421371.71</v>
          </cell>
          <cell r="F14">
            <v>389333.75</v>
          </cell>
          <cell r="G14">
            <v>332904</v>
          </cell>
          <cell r="H14">
            <v>423696</v>
          </cell>
          <cell r="I14">
            <v>423696</v>
          </cell>
          <cell r="J14">
            <v>317772</v>
          </cell>
          <cell r="K14">
            <v>359905.33</v>
          </cell>
          <cell r="L14">
            <v>342928.6</v>
          </cell>
          <cell r="M14">
            <v>454253.18399999995</v>
          </cell>
          <cell r="N14">
            <v>4505958.0240000002</v>
          </cell>
          <cell r="Q14">
            <v>318450.09553499997</v>
          </cell>
          <cell r="R14">
            <v>389924.33333333326</v>
          </cell>
          <cell r="S14">
            <v>424599.99999999994</v>
          </cell>
          <cell r="T14">
            <v>438753.33333333326</v>
          </cell>
          <cell r="U14">
            <v>407615.99999999994</v>
          </cell>
          <cell r="V14">
            <v>407615.99999999994</v>
          </cell>
          <cell r="W14">
            <v>452906.66666666657</v>
          </cell>
          <cell r="X14">
            <v>452906.66666666657</v>
          </cell>
          <cell r="Y14">
            <v>407615.99999999994</v>
          </cell>
          <cell r="Z14">
            <v>407615.99999999994</v>
          </cell>
          <cell r="AA14">
            <v>407638.64533333329</v>
          </cell>
          <cell r="AB14">
            <v>498197.33333333326</v>
          </cell>
          <cell r="AC14">
            <v>5013841.0742016658</v>
          </cell>
        </row>
        <row r="17">
          <cell r="F17">
            <v>350744.75</v>
          </cell>
          <cell r="G17">
            <v>290364</v>
          </cell>
          <cell r="H17">
            <v>359205</v>
          </cell>
          <cell r="I17">
            <v>354205</v>
          </cell>
          <cell r="J17">
            <v>256903.75</v>
          </cell>
          <cell r="K17">
            <v>265882.58100000001</v>
          </cell>
          <cell r="L17">
            <v>267133.77600000001</v>
          </cell>
          <cell r="M17">
            <v>350073.61599999998</v>
          </cell>
          <cell r="Q17">
            <v>248400.07452000002</v>
          </cell>
          <cell r="R17">
            <v>307875</v>
          </cell>
          <cell r="S17">
            <v>326250</v>
          </cell>
          <cell r="T17">
            <v>333750</v>
          </cell>
          <cell r="U17">
            <v>307125</v>
          </cell>
          <cell r="V17">
            <v>307125</v>
          </cell>
          <cell r="W17">
            <v>341250</v>
          </cell>
          <cell r="X17">
            <v>341250</v>
          </cell>
          <cell r="Y17">
            <v>302062.5</v>
          </cell>
          <cell r="Z17">
            <v>302062.5</v>
          </cell>
          <cell r="AA17">
            <v>312199.5</v>
          </cell>
          <cell r="AB17">
            <v>365250</v>
          </cell>
        </row>
        <row r="19">
          <cell r="B19">
            <v>74725</v>
          </cell>
          <cell r="C19">
            <v>66548</v>
          </cell>
          <cell r="D19">
            <v>111252</v>
          </cell>
          <cell r="E19">
            <v>195500</v>
          </cell>
          <cell r="F19">
            <v>171095</v>
          </cell>
          <cell r="G19">
            <v>157724.79999999999</v>
          </cell>
          <cell r="H19">
            <v>208110</v>
          </cell>
          <cell r="I19">
            <v>213110</v>
          </cell>
          <cell r="J19">
            <v>168582.5</v>
          </cell>
          <cell r="K19">
            <v>0</v>
          </cell>
          <cell r="L19">
            <v>0</v>
          </cell>
          <cell r="M19">
            <v>0</v>
          </cell>
          <cell r="N19">
            <v>1366647.3</v>
          </cell>
          <cell r="Q19">
            <v>144793.88959199999</v>
          </cell>
          <cell r="R19">
            <v>184433.8533333333</v>
          </cell>
          <cell r="S19">
            <v>196308.18666666668</v>
          </cell>
          <cell r="T19">
            <v>201154.8533333333</v>
          </cell>
          <cell r="U19">
            <v>183949.18666666662</v>
          </cell>
          <cell r="V19">
            <v>183949.18666666662</v>
          </cell>
          <cell r="W19">
            <v>202673.51999999993</v>
          </cell>
          <cell r="X19">
            <v>202673.51999999993</v>
          </cell>
          <cell r="Y19">
            <v>177349.68666666662</v>
          </cell>
          <cell r="Z19">
            <v>177349.68666666662</v>
          </cell>
          <cell r="AA19">
            <v>183900.44133333329</v>
          </cell>
          <cell r="AB19">
            <v>218182.8533333333</v>
          </cell>
          <cell r="AC19">
            <v>2256718.8642586661</v>
          </cell>
        </row>
      </sheetData>
      <sheetData sheetId="6">
        <row r="4">
          <cell r="B4">
            <v>491916</v>
          </cell>
          <cell r="C4">
            <v>605203</v>
          </cell>
          <cell r="D4">
            <v>585780</v>
          </cell>
          <cell r="E4">
            <v>638305</v>
          </cell>
          <cell r="F4">
            <v>605000</v>
          </cell>
          <cell r="G4">
            <v>605000</v>
          </cell>
          <cell r="H4">
            <v>605000</v>
          </cell>
          <cell r="I4">
            <v>575000</v>
          </cell>
          <cell r="J4">
            <v>575000</v>
          </cell>
          <cell r="K4">
            <v>498255</v>
          </cell>
          <cell r="L4">
            <v>553403</v>
          </cell>
          <cell r="M4">
            <v>591050</v>
          </cell>
          <cell r="N4">
            <v>6928912</v>
          </cell>
          <cell r="Q4">
            <v>540000</v>
          </cell>
          <cell r="R4">
            <v>540000</v>
          </cell>
          <cell r="S4">
            <v>540000</v>
          </cell>
          <cell r="T4">
            <v>540000</v>
          </cell>
          <cell r="U4">
            <v>540000</v>
          </cell>
          <cell r="V4">
            <v>540000</v>
          </cell>
          <cell r="W4">
            <v>540000</v>
          </cell>
          <cell r="X4">
            <v>540000</v>
          </cell>
          <cell r="Y4">
            <v>540000</v>
          </cell>
          <cell r="Z4">
            <v>540000</v>
          </cell>
          <cell r="AA4">
            <v>540000</v>
          </cell>
          <cell r="AB4">
            <v>540000</v>
          </cell>
          <cell r="AC4">
            <v>6480000</v>
          </cell>
        </row>
      </sheetData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n7RjLKTAg06C8kSKKG04L2FSVQipiXJJuBa1K00kiIi-VTiyudzpSoqv60VAFYz5" itemId="01VVRVGW6LVP5SKJAYYJH23P2AUYOFBKY6">
      <xxl21:absoluteUrl r:id="rId2"/>
    </xxl21:alternateUrls>
    <sheetNames>
      <sheetName val="Overall"/>
      <sheetName val="New Vehicles"/>
      <sheetName val="NV new orders ave."/>
      <sheetName val="NV orders"/>
      <sheetName val="Used Vehicles"/>
      <sheetName val="Used Vehicles - NS"/>
      <sheetName val="Used Vehicles - NW"/>
      <sheetName val="F&amp;I"/>
      <sheetName val="Parts"/>
      <sheetName val="Service"/>
      <sheetName val="Admin"/>
      <sheetName val="Updated_TKP Budget 2023 - TNZ -"/>
    </sheetNames>
    <sheetDataSet>
      <sheetData sheetId="0">
        <row r="9">
          <cell r="B9">
            <v>-94531.26</v>
          </cell>
          <cell r="C9">
            <v>-97554.808080000003</v>
          </cell>
          <cell r="D9">
            <v>191633.79332</v>
          </cell>
          <cell r="E9">
            <v>45152.461122881534</v>
          </cell>
          <cell r="F9">
            <v>56027.627914312805</v>
          </cell>
          <cell r="G9">
            <v>242218.84810145973</v>
          </cell>
          <cell r="H9">
            <v>68212.994892891002</v>
          </cell>
          <cell r="I9">
            <v>85272.994892891002</v>
          </cell>
          <cell r="J9">
            <v>246429.39489289102</v>
          </cell>
          <cell r="K9">
            <v>72152.594892891007</v>
          </cell>
          <cell r="L9">
            <v>70476.594892891007</v>
          </cell>
          <cell r="M9">
            <v>243954.79489289102</v>
          </cell>
          <cell r="N9">
            <v>73220.194892891013</v>
          </cell>
          <cell r="O9">
            <v>75754.794892891019</v>
          </cell>
          <cell r="P9">
            <v>267075.07489289099</v>
          </cell>
        </row>
        <row r="11">
          <cell r="D11"/>
          <cell r="G11">
            <v>496250</v>
          </cell>
          <cell r="J11">
            <v>468750</v>
          </cell>
          <cell r="M11">
            <v>468750</v>
          </cell>
          <cell r="P11">
            <v>468750</v>
          </cell>
        </row>
      </sheetData>
      <sheetData sheetId="1">
        <row r="4">
          <cell r="B4">
            <v>135</v>
          </cell>
        </row>
      </sheetData>
      <sheetData sheetId="2"/>
      <sheetData sheetId="3"/>
      <sheetData sheetId="4">
        <row r="4">
          <cell r="B4">
            <v>57</v>
          </cell>
        </row>
      </sheetData>
      <sheetData sheetId="5">
        <row r="4">
          <cell r="E4">
            <v>33</v>
          </cell>
          <cell r="F4">
            <v>32</v>
          </cell>
          <cell r="G4">
            <v>30</v>
          </cell>
          <cell r="H4">
            <v>28.888888888888889</v>
          </cell>
          <cell r="I4">
            <v>28.888888888888889</v>
          </cell>
          <cell r="J4">
            <v>28.888888888888889</v>
          </cell>
          <cell r="K4">
            <v>28.888888888888889</v>
          </cell>
          <cell r="L4">
            <v>28.888888888888889</v>
          </cell>
          <cell r="M4">
            <v>29</v>
          </cell>
          <cell r="N4">
            <v>29</v>
          </cell>
          <cell r="O4">
            <v>29</v>
          </cell>
          <cell r="P4">
            <v>29</v>
          </cell>
        </row>
        <row r="5">
          <cell r="E5">
            <v>3</v>
          </cell>
          <cell r="F5">
            <v>5</v>
          </cell>
          <cell r="G5">
            <v>0</v>
          </cell>
          <cell r="H5">
            <v>3</v>
          </cell>
          <cell r="I5">
            <v>3</v>
          </cell>
          <cell r="J5">
            <v>3</v>
          </cell>
          <cell r="K5">
            <v>3</v>
          </cell>
          <cell r="L5">
            <v>3</v>
          </cell>
          <cell r="M5">
            <v>3</v>
          </cell>
          <cell r="N5">
            <v>3</v>
          </cell>
          <cell r="O5">
            <v>3</v>
          </cell>
          <cell r="P5">
            <v>3</v>
          </cell>
        </row>
        <row r="6">
          <cell r="E6">
            <v>40</v>
          </cell>
          <cell r="F6">
            <v>42</v>
          </cell>
          <cell r="G6">
            <v>55</v>
          </cell>
          <cell r="H6">
            <v>59</v>
          </cell>
          <cell r="I6">
            <v>59</v>
          </cell>
          <cell r="J6">
            <v>59</v>
          </cell>
          <cell r="K6">
            <v>59</v>
          </cell>
          <cell r="L6">
            <v>59</v>
          </cell>
          <cell r="M6">
            <v>59</v>
          </cell>
          <cell r="N6">
            <v>53</v>
          </cell>
          <cell r="O6">
            <v>56</v>
          </cell>
          <cell r="P6">
            <v>59</v>
          </cell>
        </row>
        <row r="8">
          <cell r="E8">
            <v>5</v>
          </cell>
          <cell r="F8">
            <v>5</v>
          </cell>
          <cell r="G8">
            <v>5</v>
          </cell>
          <cell r="H8">
            <v>5</v>
          </cell>
          <cell r="I8">
            <v>5</v>
          </cell>
          <cell r="J8">
            <v>5</v>
          </cell>
          <cell r="K8">
            <v>5</v>
          </cell>
          <cell r="L8">
            <v>5</v>
          </cell>
          <cell r="M8">
            <v>5</v>
          </cell>
          <cell r="N8">
            <v>5</v>
          </cell>
          <cell r="O8">
            <v>5</v>
          </cell>
          <cell r="P8">
            <v>5</v>
          </cell>
        </row>
        <row r="11">
          <cell r="E11">
            <v>1455</v>
          </cell>
          <cell r="F11">
            <v>943.875</v>
          </cell>
          <cell r="G11">
            <v>1100</v>
          </cell>
          <cell r="H11">
            <v>1100</v>
          </cell>
          <cell r="I11">
            <v>1100</v>
          </cell>
          <cell r="J11">
            <v>1100</v>
          </cell>
          <cell r="K11">
            <v>1100</v>
          </cell>
          <cell r="L11">
            <v>1100</v>
          </cell>
          <cell r="M11">
            <v>1100</v>
          </cell>
          <cell r="N11">
            <v>1100</v>
          </cell>
          <cell r="O11">
            <v>1100</v>
          </cell>
          <cell r="P11">
            <v>1100</v>
          </cell>
        </row>
        <row r="12">
          <cell r="E12">
            <v>1673</v>
          </cell>
          <cell r="F12">
            <v>5628</v>
          </cell>
          <cell r="G12">
            <v>0</v>
          </cell>
          <cell r="H12">
            <v>3500</v>
          </cell>
          <cell r="I12">
            <v>3500</v>
          </cell>
          <cell r="J12">
            <v>3500</v>
          </cell>
          <cell r="K12">
            <v>3500</v>
          </cell>
          <cell r="L12">
            <v>3500</v>
          </cell>
          <cell r="M12">
            <v>3500</v>
          </cell>
          <cell r="N12">
            <v>3500</v>
          </cell>
          <cell r="O12">
            <v>3500</v>
          </cell>
          <cell r="P12">
            <v>3500</v>
          </cell>
        </row>
        <row r="13">
          <cell r="E13">
            <v>1782</v>
          </cell>
          <cell r="F13">
            <v>2634</v>
          </cell>
          <cell r="G13">
            <v>2636.3636363636365</v>
          </cell>
          <cell r="H13">
            <v>2669.4915254237289</v>
          </cell>
          <cell r="I13">
            <v>2638.9830508474574</v>
          </cell>
          <cell r="J13">
            <v>2638.9830508474574</v>
          </cell>
          <cell r="K13">
            <v>2638.9830508474574</v>
          </cell>
          <cell r="L13">
            <v>2638.9830508474574</v>
          </cell>
          <cell r="M13">
            <v>2669.4915254237289</v>
          </cell>
          <cell r="N13">
            <v>2677.3584905660377</v>
          </cell>
          <cell r="O13">
            <v>2657.1428571428573</v>
          </cell>
          <cell r="P13">
            <v>2638.9830508474574</v>
          </cell>
        </row>
        <row r="15">
          <cell r="E15">
            <v>570.68938596491216</v>
          </cell>
          <cell r="F15">
            <v>549.01763713080163</v>
          </cell>
          <cell r="G15">
            <v>510.26345098039207</v>
          </cell>
          <cell r="H15">
            <v>477.20237163814181</v>
          </cell>
          <cell r="I15">
            <v>477.20237163814176</v>
          </cell>
          <cell r="J15">
            <v>477.20237163814176</v>
          </cell>
          <cell r="K15">
            <v>477.20237163814176</v>
          </cell>
          <cell r="L15">
            <v>477.20237163814176</v>
          </cell>
          <cell r="M15">
            <v>476.61970695970689</v>
          </cell>
          <cell r="N15">
            <v>510.26345098039207</v>
          </cell>
          <cell r="O15">
            <v>492.86810606060595</v>
          </cell>
          <cell r="P15">
            <v>476.61970695970689</v>
          </cell>
        </row>
        <row r="16">
          <cell r="E16">
            <v>862.31780701754406</v>
          </cell>
          <cell r="F16">
            <v>829.57156118143484</v>
          </cell>
          <cell r="G16">
            <v>771.01356862745115</v>
          </cell>
          <cell r="H16">
            <v>721.0579217603912</v>
          </cell>
          <cell r="I16">
            <v>721.0579217603912</v>
          </cell>
          <cell r="J16">
            <v>721.0579217603912</v>
          </cell>
          <cell r="K16">
            <v>721.0579217603912</v>
          </cell>
          <cell r="L16">
            <v>721.0579217603912</v>
          </cell>
          <cell r="M16">
            <v>720.17750915750923</v>
          </cell>
          <cell r="N16">
            <v>771.01356862745104</v>
          </cell>
          <cell r="O16">
            <v>744.72901515151523</v>
          </cell>
          <cell r="P16">
            <v>720.17750915750923</v>
          </cell>
        </row>
      </sheetData>
      <sheetData sheetId="6">
        <row r="4">
          <cell r="E4">
            <v>16</v>
          </cell>
          <cell r="F4">
            <v>24</v>
          </cell>
          <cell r="G4">
            <v>20</v>
          </cell>
          <cell r="H4">
            <v>20</v>
          </cell>
          <cell r="I4">
            <v>20</v>
          </cell>
          <cell r="J4">
            <v>20</v>
          </cell>
          <cell r="K4">
            <v>20</v>
          </cell>
          <cell r="L4">
            <v>20</v>
          </cell>
          <cell r="M4">
            <v>20</v>
          </cell>
          <cell r="N4">
            <v>20</v>
          </cell>
          <cell r="O4">
            <v>20</v>
          </cell>
          <cell r="P4">
            <v>20</v>
          </cell>
        </row>
        <row r="5">
          <cell r="E5">
            <v>1</v>
          </cell>
          <cell r="F5">
            <v>5</v>
          </cell>
          <cell r="G5">
            <v>5</v>
          </cell>
          <cell r="H5">
            <v>2.0888888888888886</v>
          </cell>
          <cell r="I5">
            <v>2.0888888888888886</v>
          </cell>
          <cell r="J5">
            <v>2.0888888888888886</v>
          </cell>
          <cell r="K5">
            <v>2.0888888888888886</v>
          </cell>
          <cell r="L5">
            <v>2.0888888888888886</v>
          </cell>
          <cell r="M5">
            <v>2.0888888888888886</v>
          </cell>
          <cell r="N5">
            <v>2.0888888888888886</v>
          </cell>
          <cell r="O5">
            <v>2.0888888888888886</v>
          </cell>
          <cell r="P5">
            <v>2.0888888888888886</v>
          </cell>
        </row>
        <row r="6">
          <cell r="E6">
            <v>15</v>
          </cell>
          <cell r="F6">
            <v>15</v>
          </cell>
          <cell r="G6">
            <v>18</v>
          </cell>
          <cell r="H6">
            <v>21</v>
          </cell>
          <cell r="I6">
            <v>24</v>
          </cell>
          <cell r="J6">
            <v>27</v>
          </cell>
          <cell r="K6">
            <v>30</v>
          </cell>
          <cell r="L6">
            <v>33</v>
          </cell>
          <cell r="M6">
            <v>36</v>
          </cell>
          <cell r="N6">
            <v>27</v>
          </cell>
          <cell r="O6">
            <v>30</v>
          </cell>
          <cell r="P6">
            <v>33</v>
          </cell>
        </row>
        <row r="8">
          <cell r="E8">
            <v>3</v>
          </cell>
          <cell r="F8">
            <v>2.5</v>
          </cell>
          <cell r="G8">
            <v>3</v>
          </cell>
          <cell r="H8">
            <v>4</v>
          </cell>
          <cell r="I8">
            <v>4</v>
          </cell>
          <cell r="J8">
            <v>4</v>
          </cell>
          <cell r="K8">
            <v>4</v>
          </cell>
          <cell r="L8">
            <v>4</v>
          </cell>
          <cell r="M8">
            <v>4</v>
          </cell>
          <cell r="N8">
            <v>4</v>
          </cell>
          <cell r="O8">
            <v>4</v>
          </cell>
          <cell r="P8">
            <v>4</v>
          </cell>
        </row>
        <row r="11">
          <cell r="E11">
            <v>1208</v>
          </cell>
          <cell r="F11">
            <v>1301.8333333333333</v>
          </cell>
          <cell r="G11">
            <v>1100</v>
          </cell>
          <cell r="H11">
            <v>1100</v>
          </cell>
          <cell r="I11">
            <v>1100</v>
          </cell>
          <cell r="J11">
            <v>1100</v>
          </cell>
          <cell r="K11">
            <v>1100</v>
          </cell>
          <cell r="L11">
            <v>1100</v>
          </cell>
          <cell r="M11">
            <v>1100</v>
          </cell>
          <cell r="N11">
            <v>1100</v>
          </cell>
          <cell r="O11">
            <v>1100</v>
          </cell>
          <cell r="P11">
            <v>1100</v>
          </cell>
        </row>
        <row r="12">
          <cell r="E12">
            <v>3884</v>
          </cell>
          <cell r="F12">
            <v>1905</v>
          </cell>
          <cell r="G12">
            <v>1500</v>
          </cell>
          <cell r="H12">
            <v>3500</v>
          </cell>
          <cell r="I12">
            <v>3500</v>
          </cell>
          <cell r="J12">
            <v>3500</v>
          </cell>
          <cell r="K12">
            <v>3500</v>
          </cell>
          <cell r="L12">
            <v>3500</v>
          </cell>
          <cell r="M12">
            <v>3500</v>
          </cell>
          <cell r="N12">
            <v>3500</v>
          </cell>
          <cell r="O12">
            <v>3500</v>
          </cell>
          <cell r="P12">
            <v>3500</v>
          </cell>
        </row>
        <row r="13">
          <cell r="E13">
            <v>2445</v>
          </cell>
          <cell r="F13">
            <v>1305</v>
          </cell>
          <cell r="G13">
            <v>2000</v>
          </cell>
          <cell r="H13">
            <v>2619.0476190476193</v>
          </cell>
          <cell r="I13">
            <v>2541.6666666666665</v>
          </cell>
          <cell r="J13">
            <v>2481.4814814814813</v>
          </cell>
          <cell r="K13">
            <v>2433.3333333333335</v>
          </cell>
          <cell r="L13">
            <v>2393.939393939394</v>
          </cell>
          <cell r="M13">
            <v>2361.1111111111113</v>
          </cell>
          <cell r="N13">
            <v>2481.4814814814813</v>
          </cell>
          <cell r="O13">
            <v>2433.3333333333335</v>
          </cell>
          <cell r="P13">
            <v>2393.939393939394</v>
          </cell>
        </row>
        <row r="15">
          <cell r="E15">
            <v>526.95332386363634</v>
          </cell>
          <cell r="F15">
            <v>411.55014462809919</v>
          </cell>
          <cell r="G15">
            <v>430.78619450317132</v>
          </cell>
          <cell r="H15">
            <v>467.03144509822312</v>
          </cell>
          <cell r="I15">
            <v>456.15909934689228</v>
          </cell>
          <cell r="J15">
            <v>446.61565054117455</v>
          </cell>
          <cell r="K15">
            <v>438.17148978048402</v>
          </cell>
          <cell r="L15">
            <v>430.64702381825515</v>
          </cell>
          <cell r="M15">
            <v>423.89975977255347</v>
          </cell>
          <cell r="N15">
            <v>446.61565054117455</v>
          </cell>
          <cell r="O15">
            <v>438.17148978048402</v>
          </cell>
          <cell r="P15">
            <v>430.64702381825515</v>
          </cell>
        </row>
        <row r="16">
          <cell r="E16">
            <v>1682.5852083333332</v>
          </cell>
          <cell r="F16">
            <v>1223.698333333333</v>
          </cell>
          <cell r="G16">
            <v>1252.156434108527</v>
          </cell>
          <cell r="H16">
            <v>1249.5733367715316</v>
          </cell>
          <cell r="I16">
            <v>1168.2365959498552</v>
          </cell>
          <cell r="J16">
            <v>1096.8414214576728</v>
          </cell>
          <cell r="K16">
            <v>1033.6700938566551</v>
          </cell>
          <cell r="L16">
            <v>977.37906413876544</v>
          </cell>
          <cell r="M16">
            <v>926.90233358837008</v>
          </cell>
          <cell r="N16">
            <v>1096.8414214576728</v>
          </cell>
          <cell r="O16">
            <v>1033.6700938566551</v>
          </cell>
          <cell r="P16">
            <v>977.37906413876544</v>
          </cell>
        </row>
      </sheetData>
      <sheetData sheetId="7">
        <row r="4">
          <cell r="B4">
            <v>231</v>
          </cell>
        </row>
      </sheetData>
      <sheetData sheetId="8">
        <row r="4">
          <cell r="B4">
            <v>1183886</v>
          </cell>
        </row>
      </sheetData>
      <sheetData sheetId="9">
        <row r="4">
          <cell r="B4">
            <v>493021</v>
          </cell>
        </row>
        <row r="18">
          <cell r="E18">
            <v>0</v>
          </cell>
          <cell r="F18">
            <v>14521.813333333334</v>
          </cell>
          <cell r="G18">
            <v>14521.813333333334</v>
          </cell>
          <cell r="H18">
            <v>14521.813333333334</v>
          </cell>
          <cell r="I18">
            <v>14521.813333333334</v>
          </cell>
          <cell r="J18">
            <v>14521.813333333334</v>
          </cell>
          <cell r="K18">
            <v>17849.813333333335</v>
          </cell>
          <cell r="L18">
            <v>17849.813333333335</v>
          </cell>
          <cell r="M18">
            <v>17849.813333333335</v>
          </cell>
          <cell r="N18">
            <v>17849.813333333335</v>
          </cell>
          <cell r="O18">
            <v>17849.813333333335</v>
          </cell>
          <cell r="P18">
            <v>17849.813333333335</v>
          </cell>
        </row>
      </sheetData>
      <sheetData sheetId="10">
        <row r="4">
          <cell r="B4">
            <v>498255</v>
          </cell>
        </row>
      </sheetData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n7RjLKTAg06C8kSKKG04L2FSVQipiXJJuBa1K00kiIi-VTiyudzpSoqv60VAFYz5" itemId="01VVRVGWZOZ5M3T5DQGFHZPDGWUBLNYH63">
      <xxl21:absoluteUrl r:id="rId2"/>
    </xxl21:alternateUrls>
    <sheetNames>
      <sheetName val="OTHER - Overall"/>
      <sheetName val="LEX - New Vehicles"/>
      <sheetName val="LEX - Used Vehicles"/>
      <sheetName val="LEX - F&amp;I"/>
      <sheetName val="LEX - Parts"/>
      <sheetName val="LEX - Service"/>
      <sheetName val="LEX - Admin"/>
      <sheetName val="Retail Detailing"/>
      <sheetName val="Bridgestone"/>
      <sheetName val="Overall"/>
      <sheetName val="New Vehicles"/>
      <sheetName val="Used Vehicles"/>
      <sheetName val="F&amp;I"/>
      <sheetName val="Parts"/>
      <sheetName val="Service"/>
      <sheetName val="Admin"/>
      <sheetName val="#REF"/>
    </sheetNames>
    <sheetDataSet>
      <sheetData sheetId="0"/>
      <sheetData sheetId="1">
        <row r="4">
          <cell r="E4">
            <v>29</v>
          </cell>
          <cell r="F4">
            <v>30</v>
          </cell>
          <cell r="G4">
            <v>31</v>
          </cell>
          <cell r="H4">
            <v>31</v>
          </cell>
          <cell r="I4">
            <v>34</v>
          </cell>
          <cell r="J4">
            <v>28</v>
          </cell>
          <cell r="K4">
            <v>29</v>
          </cell>
          <cell r="L4">
            <v>29</v>
          </cell>
          <cell r="M4">
            <v>29</v>
          </cell>
          <cell r="N4">
            <v>29</v>
          </cell>
          <cell r="O4">
            <v>29</v>
          </cell>
          <cell r="P4">
            <v>29</v>
          </cell>
        </row>
        <row r="5">
          <cell r="E5">
            <v>3</v>
          </cell>
          <cell r="F5">
            <v>3</v>
          </cell>
          <cell r="G5">
            <v>3</v>
          </cell>
          <cell r="H5">
            <v>3</v>
          </cell>
          <cell r="I5">
            <v>3</v>
          </cell>
          <cell r="J5">
            <v>3</v>
          </cell>
          <cell r="K5">
            <v>3</v>
          </cell>
          <cell r="L5">
            <v>3</v>
          </cell>
          <cell r="M5">
            <v>3</v>
          </cell>
          <cell r="N5">
            <v>3</v>
          </cell>
          <cell r="O5">
            <v>3</v>
          </cell>
          <cell r="P5">
            <v>3</v>
          </cell>
        </row>
        <row r="8">
          <cell r="E8">
            <v>10000</v>
          </cell>
          <cell r="F8">
            <v>10000</v>
          </cell>
          <cell r="G8">
            <v>10000</v>
          </cell>
          <cell r="H8">
            <v>10000</v>
          </cell>
          <cell r="I8">
            <v>10000</v>
          </cell>
          <cell r="J8">
            <v>10000</v>
          </cell>
          <cell r="K8">
            <v>10000</v>
          </cell>
          <cell r="L8">
            <v>10000</v>
          </cell>
          <cell r="M8">
            <v>10000</v>
          </cell>
          <cell r="N8">
            <v>10000</v>
          </cell>
          <cell r="O8">
            <v>10000</v>
          </cell>
          <cell r="P8">
            <v>10000</v>
          </cell>
        </row>
        <row r="9">
          <cell r="E9">
            <v>1500</v>
          </cell>
          <cell r="F9">
            <v>1500</v>
          </cell>
          <cell r="G9">
            <v>1500</v>
          </cell>
          <cell r="H9">
            <v>1500</v>
          </cell>
          <cell r="I9">
            <v>1500</v>
          </cell>
          <cell r="J9">
            <v>1500</v>
          </cell>
          <cell r="K9">
            <v>1500</v>
          </cell>
          <cell r="L9">
            <v>1500</v>
          </cell>
          <cell r="M9">
            <v>1500</v>
          </cell>
          <cell r="N9">
            <v>1500</v>
          </cell>
          <cell r="O9">
            <v>1500</v>
          </cell>
          <cell r="P9">
            <v>1500</v>
          </cell>
        </row>
        <row r="10">
          <cell r="E10">
            <v>5000</v>
          </cell>
          <cell r="F10">
            <v>5000</v>
          </cell>
          <cell r="G10">
            <v>5000</v>
          </cell>
          <cell r="H10">
            <v>5000</v>
          </cell>
          <cell r="I10">
            <v>5000</v>
          </cell>
          <cell r="J10">
            <v>5000</v>
          </cell>
          <cell r="K10">
            <v>5000</v>
          </cell>
          <cell r="L10">
            <v>5000</v>
          </cell>
          <cell r="M10">
            <v>5000</v>
          </cell>
          <cell r="N10">
            <v>5000</v>
          </cell>
          <cell r="O10">
            <v>5000</v>
          </cell>
          <cell r="P10">
            <v>5000</v>
          </cell>
        </row>
      </sheetData>
      <sheetData sheetId="2">
        <row r="6">
          <cell r="E6">
            <v>5</v>
          </cell>
          <cell r="F6">
            <v>5</v>
          </cell>
          <cell r="G6">
            <v>5</v>
          </cell>
          <cell r="H6">
            <v>5</v>
          </cell>
          <cell r="I6">
            <v>5</v>
          </cell>
          <cell r="J6">
            <v>5</v>
          </cell>
          <cell r="K6">
            <v>5</v>
          </cell>
          <cell r="L6">
            <v>5</v>
          </cell>
          <cell r="M6">
            <v>5</v>
          </cell>
          <cell r="N6">
            <v>5</v>
          </cell>
          <cell r="O6">
            <v>5</v>
          </cell>
          <cell r="P6">
            <v>5</v>
          </cell>
        </row>
        <row r="14">
          <cell r="E14">
            <v>5500</v>
          </cell>
          <cell r="F14">
            <v>5500</v>
          </cell>
          <cell r="G14">
            <v>5500</v>
          </cell>
          <cell r="H14">
            <v>5500</v>
          </cell>
          <cell r="I14">
            <v>5500</v>
          </cell>
          <cell r="J14">
            <v>5500</v>
          </cell>
          <cell r="K14">
            <v>5500</v>
          </cell>
          <cell r="L14">
            <v>5500</v>
          </cell>
          <cell r="M14">
            <v>5500</v>
          </cell>
          <cell r="N14">
            <v>5500</v>
          </cell>
          <cell r="O14">
            <v>5500</v>
          </cell>
          <cell r="P14">
            <v>5500</v>
          </cell>
        </row>
        <row r="15">
          <cell r="E15">
            <v>1000</v>
          </cell>
          <cell r="F15">
            <v>1000</v>
          </cell>
          <cell r="G15">
            <v>1000</v>
          </cell>
          <cell r="H15">
            <v>1000</v>
          </cell>
          <cell r="I15">
            <v>1000</v>
          </cell>
          <cell r="J15">
            <v>1000</v>
          </cell>
          <cell r="K15">
            <v>1000</v>
          </cell>
          <cell r="L15">
            <v>1000</v>
          </cell>
          <cell r="M15">
            <v>1000</v>
          </cell>
          <cell r="N15">
            <v>1000</v>
          </cell>
          <cell r="O15">
            <v>1000</v>
          </cell>
          <cell r="P15">
            <v>1000</v>
          </cell>
        </row>
        <row r="16">
          <cell r="E16">
            <v>2033.8679999999999</v>
          </cell>
          <cell r="F16">
            <v>2033.8679999999999</v>
          </cell>
          <cell r="G16">
            <v>2033.8679999999999</v>
          </cell>
          <cell r="H16">
            <v>2033.8679999999999</v>
          </cell>
          <cell r="I16">
            <v>2033.8679999999999</v>
          </cell>
          <cell r="J16">
            <v>2033.8679999999999</v>
          </cell>
          <cell r="K16">
            <v>2033.8679999999999</v>
          </cell>
          <cell r="L16">
            <v>2033.8679999999999</v>
          </cell>
          <cell r="M16">
            <v>2033.8679999999999</v>
          </cell>
          <cell r="N16">
            <v>2033.8679999999999</v>
          </cell>
          <cell r="O16">
            <v>2033.8679999999999</v>
          </cell>
          <cell r="P16">
            <v>2033.8679999999999</v>
          </cell>
        </row>
      </sheetData>
      <sheetData sheetId="3">
        <row r="4">
          <cell r="E4">
            <v>34</v>
          </cell>
          <cell r="F4">
            <v>35</v>
          </cell>
          <cell r="G4">
            <v>36</v>
          </cell>
          <cell r="H4">
            <v>36</v>
          </cell>
          <cell r="I4">
            <v>39</v>
          </cell>
          <cell r="J4">
            <v>33</v>
          </cell>
          <cell r="K4">
            <v>34</v>
          </cell>
          <cell r="L4">
            <v>34</v>
          </cell>
          <cell r="M4">
            <v>34</v>
          </cell>
          <cell r="N4">
            <v>34</v>
          </cell>
          <cell r="O4">
            <v>34</v>
          </cell>
          <cell r="P4">
            <v>34</v>
          </cell>
        </row>
        <row r="6">
          <cell r="E6">
            <v>500</v>
          </cell>
          <cell r="F6">
            <v>500</v>
          </cell>
          <cell r="G6">
            <v>500</v>
          </cell>
          <cell r="H6">
            <v>500</v>
          </cell>
          <cell r="I6">
            <v>500</v>
          </cell>
          <cell r="J6">
            <v>500</v>
          </cell>
          <cell r="K6">
            <v>500</v>
          </cell>
          <cell r="L6">
            <v>500</v>
          </cell>
          <cell r="M6">
            <v>500</v>
          </cell>
          <cell r="N6">
            <v>500</v>
          </cell>
          <cell r="O6">
            <v>500</v>
          </cell>
          <cell r="P6">
            <v>500</v>
          </cell>
        </row>
        <row r="7">
          <cell r="E7">
            <v>300</v>
          </cell>
          <cell r="F7">
            <v>300</v>
          </cell>
          <cell r="G7">
            <v>300</v>
          </cell>
          <cell r="H7">
            <v>300</v>
          </cell>
          <cell r="I7">
            <v>300</v>
          </cell>
          <cell r="J7">
            <v>300</v>
          </cell>
          <cell r="K7">
            <v>300</v>
          </cell>
          <cell r="L7">
            <v>300</v>
          </cell>
          <cell r="M7">
            <v>300</v>
          </cell>
          <cell r="N7">
            <v>300</v>
          </cell>
          <cell r="O7">
            <v>300</v>
          </cell>
          <cell r="P7">
            <v>300</v>
          </cell>
        </row>
      </sheetData>
      <sheetData sheetId="4">
        <row r="4">
          <cell r="E4">
            <v>71049</v>
          </cell>
          <cell r="F4">
            <v>72000</v>
          </cell>
          <cell r="G4">
            <v>62000</v>
          </cell>
          <cell r="H4">
            <v>72000</v>
          </cell>
          <cell r="I4">
            <v>90000</v>
          </cell>
          <cell r="J4">
            <v>80000</v>
          </cell>
          <cell r="K4">
            <v>80800</v>
          </cell>
          <cell r="L4">
            <v>55000</v>
          </cell>
          <cell r="M4">
            <v>40000</v>
          </cell>
          <cell r="N4">
            <v>20000</v>
          </cell>
          <cell r="O4">
            <v>30000</v>
          </cell>
          <cell r="P4">
            <v>65000</v>
          </cell>
        </row>
        <row r="6">
          <cell r="E6">
            <v>0.22</v>
          </cell>
          <cell r="F6">
            <v>0.22</v>
          </cell>
          <cell r="G6">
            <v>0.22</v>
          </cell>
          <cell r="H6">
            <v>0.22</v>
          </cell>
          <cell r="I6">
            <v>0.22</v>
          </cell>
          <cell r="J6">
            <v>0.22</v>
          </cell>
          <cell r="K6">
            <v>0.22</v>
          </cell>
          <cell r="L6">
            <v>0.22</v>
          </cell>
          <cell r="M6">
            <v>0.22</v>
          </cell>
          <cell r="N6">
            <v>0.22</v>
          </cell>
          <cell r="O6">
            <v>0.22</v>
          </cell>
          <cell r="P6">
            <v>0.22</v>
          </cell>
        </row>
      </sheetData>
      <sheetData sheetId="5">
        <row r="4">
          <cell r="E4">
            <v>65000</v>
          </cell>
          <cell r="F4">
            <v>60000</v>
          </cell>
          <cell r="G4">
            <v>60000</v>
          </cell>
          <cell r="H4">
            <v>60000</v>
          </cell>
          <cell r="I4">
            <v>60000</v>
          </cell>
          <cell r="J4">
            <v>50000</v>
          </cell>
          <cell r="K4">
            <v>70000</v>
          </cell>
          <cell r="L4">
            <v>70000</v>
          </cell>
          <cell r="M4">
            <v>65000</v>
          </cell>
          <cell r="N4">
            <v>80000</v>
          </cell>
          <cell r="O4">
            <v>65000</v>
          </cell>
          <cell r="P4">
            <v>88000</v>
          </cell>
        </row>
        <row r="5">
          <cell r="E5">
            <v>21000</v>
          </cell>
          <cell r="F5">
            <v>29400</v>
          </cell>
          <cell r="G5">
            <v>29400</v>
          </cell>
          <cell r="H5">
            <v>29400</v>
          </cell>
          <cell r="I5">
            <v>29400</v>
          </cell>
          <cell r="J5">
            <v>24500</v>
          </cell>
          <cell r="K5">
            <v>34300</v>
          </cell>
          <cell r="L5">
            <v>34300</v>
          </cell>
          <cell r="M5">
            <v>31850</v>
          </cell>
          <cell r="N5">
            <v>39200</v>
          </cell>
          <cell r="O5">
            <v>31850</v>
          </cell>
          <cell r="P5">
            <v>43120</v>
          </cell>
        </row>
        <row r="6">
          <cell r="E6">
            <v>86000</v>
          </cell>
          <cell r="F6">
            <v>89400</v>
          </cell>
          <cell r="G6">
            <v>89400</v>
          </cell>
          <cell r="H6">
            <v>89400</v>
          </cell>
          <cell r="I6">
            <v>89400</v>
          </cell>
          <cell r="J6">
            <v>74500</v>
          </cell>
          <cell r="K6">
            <v>104300</v>
          </cell>
          <cell r="L6">
            <v>104300</v>
          </cell>
          <cell r="M6">
            <v>96850</v>
          </cell>
          <cell r="N6">
            <v>119200</v>
          </cell>
          <cell r="O6">
            <v>96850</v>
          </cell>
          <cell r="P6">
            <v>131120</v>
          </cell>
        </row>
        <row r="7">
          <cell r="E7">
            <v>3</v>
          </cell>
          <cell r="F7">
            <v>3</v>
          </cell>
          <cell r="G7">
            <v>3</v>
          </cell>
          <cell r="H7">
            <v>3</v>
          </cell>
          <cell r="I7">
            <v>3</v>
          </cell>
          <cell r="J7">
            <v>3</v>
          </cell>
          <cell r="K7">
            <v>4</v>
          </cell>
          <cell r="L7">
            <v>4</v>
          </cell>
          <cell r="M7">
            <v>4</v>
          </cell>
          <cell r="N7">
            <v>4</v>
          </cell>
          <cell r="O7">
            <v>4</v>
          </cell>
          <cell r="P7">
            <v>4</v>
          </cell>
        </row>
        <row r="8">
          <cell r="E8">
            <v>0.746</v>
          </cell>
          <cell r="F8">
            <v>0.746</v>
          </cell>
          <cell r="G8">
            <v>0.746</v>
          </cell>
          <cell r="H8">
            <v>0.746</v>
          </cell>
          <cell r="I8">
            <v>0.746</v>
          </cell>
          <cell r="J8">
            <v>0.746</v>
          </cell>
          <cell r="K8">
            <v>0.746</v>
          </cell>
          <cell r="L8">
            <v>0.746</v>
          </cell>
          <cell r="M8">
            <v>0.746</v>
          </cell>
          <cell r="N8">
            <v>0.746</v>
          </cell>
          <cell r="O8">
            <v>0.746</v>
          </cell>
          <cell r="P8">
            <v>0.746</v>
          </cell>
        </row>
        <row r="10">
          <cell r="E10">
            <v>0.441</v>
          </cell>
          <cell r="F10">
            <v>0.441</v>
          </cell>
          <cell r="G10">
            <v>0.441</v>
          </cell>
          <cell r="H10">
            <v>0.441</v>
          </cell>
          <cell r="I10">
            <v>0.441</v>
          </cell>
          <cell r="J10">
            <v>0.441</v>
          </cell>
          <cell r="K10">
            <v>0.441</v>
          </cell>
          <cell r="L10">
            <v>0.441</v>
          </cell>
          <cell r="M10">
            <v>0.441</v>
          </cell>
          <cell r="N10">
            <v>0.441</v>
          </cell>
          <cell r="O10">
            <v>0.441</v>
          </cell>
          <cell r="P10">
            <v>0.441</v>
          </cell>
        </row>
        <row r="18">
          <cell r="E18">
            <v>0</v>
          </cell>
          <cell r="F18">
            <v>4538.0666666666657</v>
          </cell>
          <cell r="G18">
            <v>4538.0666666666657</v>
          </cell>
          <cell r="H18">
            <v>4538.0666666666657</v>
          </cell>
          <cell r="I18">
            <v>4538.0666666666657</v>
          </cell>
          <cell r="J18">
            <v>4538.0666666666657</v>
          </cell>
          <cell r="K18">
            <v>5578.0666666666657</v>
          </cell>
          <cell r="L18">
            <v>5578.0666666666657</v>
          </cell>
          <cell r="M18">
            <v>5578.0666666666657</v>
          </cell>
          <cell r="N18">
            <v>5578.0666666666657</v>
          </cell>
          <cell r="O18">
            <v>5578.0666666666657</v>
          </cell>
          <cell r="P18">
            <v>5578.0666666666657</v>
          </cell>
        </row>
        <row r="31">
          <cell r="E31">
            <v>0.16857142857142857</v>
          </cell>
          <cell r="F31">
            <v>0.31724489795918365</v>
          </cell>
          <cell r="G31">
            <v>0.31724489795918365</v>
          </cell>
          <cell r="H31">
            <v>0.31724489795918365</v>
          </cell>
          <cell r="I31">
            <v>0.31724489795918365</v>
          </cell>
          <cell r="J31">
            <v>0.31724489795918365</v>
          </cell>
          <cell r="K31">
            <v>0.31724489795918365</v>
          </cell>
          <cell r="L31">
            <v>0.31724489795918365</v>
          </cell>
          <cell r="M31">
            <v>0.31724489795918365</v>
          </cell>
          <cell r="N31">
            <v>0.31724489795918365</v>
          </cell>
          <cell r="O31">
            <v>0.31724489795918365</v>
          </cell>
          <cell r="P31">
            <v>0.31724489795918348</v>
          </cell>
        </row>
      </sheetData>
      <sheetData sheetId="6">
        <row r="4">
          <cell r="E4">
            <v>72561</v>
          </cell>
          <cell r="F4">
            <v>72561</v>
          </cell>
          <cell r="G4">
            <v>72561</v>
          </cell>
          <cell r="H4">
            <v>72561</v>
          </cell>
          <cell r="I4">
            <v>72561</v>
          </cell>
          <cell r="J4">
            <v>72561</v>
          </cell>
          <cell r="K4">
            <v>72561</v>
          </cell>
          <cell r="L4">
            <v>72561</v>
          </cell>
          <cell r="M4">
            <v>72561</v>
          </cell>
          <cell r="N4">
            <v>72561</v>
          </cell>
          <cell r="O4">
            <v>72561</v>
          </cell>
          <cell r="P4">
            <v>72561</v>
          </cell>
        </row>
      </sheetData>
      <sheetData sheetId="7">
        <row r="5">
          <cell r="E5">
            <v>11000</v>
          </cell>
          <cell r="F5">
            <v>18152.266666666666</v>
          </cell>
          <cell r="G5">
            <v>18152.266666666666</v>
          </cell>
          <cell r="H5">
            <v>18152.266666666666</v>
          </cell>
          <cell r="I5">
            <v>18152.266666666666</v>
          </cell>
          <cell r="J5">
            <v>18152.266666666666</v>
          </cell>
          <cell r="K5">
            <v>22312.266666666666</v>
          </cell>
          <cell r="L5">
            <v>22312.266666666666</v>
          </cell>
          <cell r="M5">
            <v>22312.266666666666</v>
          </cell>
          <cell r="N5">
            <v>22312.266666666666</v>
          </cell>
          <cell r="O5">
            <v>22312.266666666666</v>
          </cell>
          <cell r="P5">
            <v>22312.266666666666</v>
          </cell>
        </row>
        <row r="6">
          <cell r="E6">
            <v>1000</v>
          </cell>
          <cell r="F6">
            <v>3000</v>
          </cell>
          <cell r="G6">
            <v>5000</v>
          </cell>
          <cell r="H6">
            <v>7000</v>
          </cell>
          <cell r="I6">
            <v>9000</v>
          </cell>
          <cell r="J6">
            <v>11000</v>
          </cell>
          <cell r="K6">
            <v>15000</v>
          </cell>
          <cell r="L6">
            <v>19000</v>
          </cell>
          <cell r="M6">
            <v>23000</v>
          </cell>
          <cell r="N6">
            <v>27000</v>
          </cell>
          <cell r="O6">
            <v>31000</v>
          </cell>
          <cell r="P6">
            <v>35000</v>
          </cell>
        </row>
        <row r="8">
          <cell r="E8">
            <v>6</v>
          </cell>
          <cell r="F8">
            <v>6</v>
          </cell>
          <cell r="G8">
            <v>6</v>
          </cell>
          <cell r="H8">
            <v>6</v>
          </cell>
          <cell r="I8">
            <v>6</v>
          </cell>
          <cell r="J8">
            <v>6</v>
          </cell>
          <cell r="K8">
            <v>7</v>
          </cell>
          <cell r="L8">
            <v>7</v>
          </cell>
          <cell r="M8">
            <v>7</v>
          </cell>
          <cell r="N8">
            <v>7</v>
          </cell>
          <cell r="O8">
            <v>7</v>
          </cell>
          <cell r="P8">
            <v>7</v>
          </cell>
        </row>
        <row r="9">
          <cell r="E9">
            <v>53468.639999999999</v>
          </cell>
          <cell r="F9">
            <v>53468.639999999999</v>
          </cell>
          <cell r="G9">
            <v>53468.639999999999</v>
          </cell>
          <cell r="H9">
            <v>53468.639999999999</v>
          </cell>
          <cell r="I9">
            <v>53468.639999999999</v>
          </cell>
          <cell r="J9">
            <v>53468.639999999999</v>
          </cell>
          <cell r="K9">
            <v>57628.639999999999</v>
          </cell>
          <cell r="L9">
            <v>57628.639999999999</v>
          </cell>
          <cell r="M9">
            <v>57628.639999999999</v>
          </cell>
          <cell r="N9">
            <v>57628.639999999999</v>
          </cell>
          <cell r="O9">
            <v>57628.639999999999</v>
          </cell>
          <cell r="P9">
            <v>57628.639999999999</v>
          </cell>
        </row>
      </sheetData>
      <sheetData sheetId="8">
        <row r="4">
          <cell r="E4">
            <v>180000</v>
          </cell>
          <cell r="F4">
            <v>200000</v>
          </cell>
          <cell r="G4">
            <v>230000</v>
          </cell>
          <cell r="H4">
            <v>250000</v>
          </cell>
          <cell r="I4">
            <v>250000</v>
          </cell>
          <cell r="J4">
            <v>250000</v>
          </cell>
          <cell r="K4">
            <v>250000</v>
          </cell>
          <cell r="L4">
            <v>250000</v>
          </cell>
          <cell r="M4">
            <v>250000</v>
          </cell>
          <cell r="N4">
            <v>250000</v>
          </cell>
          <cell r="O4">
            <v>250000</v>
          </cell>
          <cell r="P4">
            <v>250000</v>
          </cell>
        </row>
        <row r="6">
          <cell r="E6">
            <v>0.38970733957156406</v>
          </cell>
          <cell r="F6">
            <v>0.38970733957156406</v>
          </cell>
          <cell r="G6">
            <v>0.38970733957156406</v>
          </cell>
          <cell r="H6">
            <v>0.38970733957156406</v>
          </cell>
          <cell r="I6">
            <v>0.38970733957156406</v>
          </cell>
          <cell r="J6">
            <v>0.38970733957156406</v>
          </cell>
          <cell r="K6">
            <v>0.38970733957156406</v>
          </cell>
          <cell r="L6">
            <v>0.38970733957156406</v>
          </cell>
          <cell r="M6">
            <v>0.38970733957156406</v>
          </cell>
          <cell r="N6">
            <v>0.38970733957156406</v>
          </cell>
          <cell r="O6">
            <v>0.38970733957156406</v>
          </cell>
          <cell r="P6">
            <v>0.38970733957156406</v>
          </cell>
        </row>
        <row r="7">
          <cell r="E7">
            <v>0.3</v>
          </cell>
          <cell r="F7">
            <v>0.3</v>
          </cell>
          <cell r="G7">
            <v>0.3</v>
          </cell>
          <cell r="H7">
            <v>0.3</v>
          </cell>
          <cell r="I7">
            <v>0.3</v>
          </cell>
          <cell r="J7">
            <v>0.3</v>
          </cell>
          <cell r="K7">
            <v>0.3</v>
          </cell>
          <cell r="L7">
            <v>0.3</v>
          </cell>
          <cell r="M7">
            <v>0.3</v>
          </cell>
          <cell r="N7">
            <v>0.3</v>
          </cell>
          <cell r="O7">
            <v>0.3</v>
          </cell>
          <cell r="P7">
            <v>0.3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eter Sun" id="{2CA0661A-570B-423F-BBC9-3D755D168257}" userId="peter.sun@nst.co.nz" providerId="PeoplePicker"/>
  <person displayName="Mark Jago" id="{0F890F54-E5A7-4856-A400-6473EBB46A2C}" userId="S::mark.jago@nst.co.nz::75ac0611-4f79-42be-b93a-96f423a41730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33" dT="2024-02-13T18:54:01.36" personId="{0F890F54-E5A7-4856-A400-6473EBB46A2C}" id="{8BE74DDF-ED5A-4F71-B511-C424C597A1C7}">
    <text xml:space="preserve">@Peter Sun - can you check this against TNZ definitions?
</text>
    <mentions>
      <mention mentionpersonId="{2CA0661A-570B-423F-BBC9-3D755D168257}" mentionId="{FF2F5ED1-9C25-4D99-9065-ADAE92F5096C}" startIndex="0" length="10"/>
    </mentions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33" dT="2024-02-13T18:54:27.31" personId="{0F890F54-E5A7-4856-A400-6473EBB46A2C}" id="{393F2536-2A1E-4E83-9131-B7AA64D6BB79}">
    <text>@Peter Sun - loss of Jamie</text>
    <mentions>
      <mention mentionpersonId="{2CA0661A-570B-423F-BBC9-3D755D168257}" mentionId="{52293DF6-86CF-4170-9531-DDD77EC1D0FC}" startIndex="0" length="10"/>
    </mentions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33" dT="2024-02-13T18:57:22.22" personId="{0F890F54-E5A7-4856-A400-6473EBB46A2C}" id="{84AA0CCA-4597-4B18-8108-97E890AF3026}">
    <text>@Peter Sun - can you send me the breakdown by cc for tech numbers.  We are using different numbers on a weekly basis.</text>
    <mentions>
      <mention mentionpersonId="{2CA0661A-570B-423F-BBC9-3D755D168257}" mentionId="{369CEB3E-080E-45E3-9C44-E6559D34D045}" startIndex="0" length="10"/>
    </mentions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2.bin"/><Relationship Id="rId5" Type="http://schemas.microsoft.com/office/2019/04/relationships/documenttask" Target="../documenttasks/documenttask1.xml"/><Relationship Id="rId4" Type="http://schemas.microsoft.com/office/2017/10/relationships/threadedComment" Target="../threadedComments/threadedComment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3.bin"/><Relationship Id="rId5" Type="http://schemas.microsoft.com/office/2019/04/relationships/documenttask" Target="../documenttasks/documenttask2.xml"/><Relationship Id="rId4" Type="http://schemas.microsoft.com/office/2017/10/relationships/threadedComment" Target="../threadedComments/threadedComment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6.bin"/><Relationship Id="rId4" Type="http://schemas.microsoft.com/office/2017/10/relationships/threadedComment" Target="../threadedComments/threadedComment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52D51-6529-4145-AB29-5AE8E25826B5}">
  <dimension ref="A1:B14"/>
  <sheetViews>
    <sheetView workbookViewId="0">
      <selection activeCell="A14" sqref="A14"/>
    </sheetView>
  </sheetViews>
  <sheetFormatPr defaultRowHeight="15" x14ac:dyDescent="0.25"/>
  <cols>
    <col min="1" max="1" width="9.85546875" bestFit="1" customWidth="1"/>
  </cols>
  <sheetData>
    <row r="1" spans="1:2" x14ac:dyDescent="0.25">
      <c r="A1" s="134" t="s">
        <v>0</v>
      </c>
    </row>
    <row r="3" spans="1:2" x14ac:dyDescent="0.25">
      <c r="A3" s="135" t="s">
        <v>1</v>
      </c>
    </row>
    <row r="4" spans="1:2" x14ac:dyDescent="0.25">
      <c r="B4" t="s">
        <v>2</v>
      </c>
    </row>
    <row r="5" spans="1:2" x14ac:dyDescent="0.25">
      <c r="B5" t="s">
        <v>3</v>
      </c>
    </row>
    <row r="7" spans="1:2" x14ac:dyDescent="0.25">
      <c r="A7" s="135"/>
    </row>
    <row r="8" spans="1:2" x14ac:dyDescent="0.25">
      <c r="A8" t="s">
        <v>4</v>
      </c>
    </row>
    <row r="9" spans="1:2" x14ac:dyDescent="0.25">
      <c r="A9" t="s">
        <v>5</v>
      </c>
    </row>
    <row r="10" spans="1:2" x14ac:dyDescent="0.25">
      <c r="A10" t="s">
        <v>6</v>
      </c>
    </row>
    <row r="11" spans="1:2" x14ac:dyDescent="0.25">
      <c r="A11" s="135" t="s">
        <v>7</v>
      </c>
    </row>
    <row r="13" spans="1:2" x14ac:dyDescent="0.25">
      <c r="A13" s="81" t="s">
        <v>8</v>
      </c>
    </row>
    <row r="14" spans="1:2" x14ac:dyDescent="0.25">
      <c r="A14" s="200">
        <v>45292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0FE2A-EA37-4A29-ADBD-36F5F150BCB4}">
  <dimension ref="A1:AN47"/>
  <sheetViews>
    <sheetView workbookViewId="0">
      <selection activeCell="C5" sqref="C5:H13"/>
    </sheetView>
  </sheetViews>
  <sheetFormatPr defaultRowHeight="15" outlineLevelRow="1" x14ac:dyDescent="0.25"/>
  <cols>
    <col min="1" max="1" width="25.7109375" customWidth="1"/>
    <col min="2" max="13" width="10.7109375" customWidth="1"/>
    <col min="14" max="15" width="12.85546875" customWidth="1"/>
    <col min="16" max="16" width="25.7109375" customWidth="1"/>
    <col min="17" max="28" width="10.7109375" customWidth="1"/>
    <col min="29" max="29" width="12.85546875" customWidth="1"/>
  </cols>
  <sheetData>
    <row r="1" spans="1:40" s="242" customFormat="1" ht="15.75" x14ac:dyDescent="0.25">
      <c r="A1" s="240" t="s">
        <v>9</v>
      </c>
      <c r="B1" s="241">
        <v>44652</v>
      </c>
      <c r="C1" s="241">
        <v>44682</v>
      </c>
      <c r="D1" s="241">
        <v>44713</v>
      </c>
      <c r="E1" s="241">
        <v>44743</v>
      </c>
      <c r="F1" s="241">
        <v>44774</v>
      </c>
      <c r="G1" s="241">
        <v>44805</v>
      </c>
      <c r="H1" s="241">
        <v>44835</v>
      </c>
      <c r="I1" s="241">
        <v>44866</v>
      </c>
      <c r="J1" s="241">
        <v>44896</v>
      </c>
      <c r="K1" s="241">
        <v>44927</v>
      </c>
      <c r="L1" s="241">
        <v>44958</v>
      </c>
      <c r="M1" s="241">
        <v>44986</v>
      </c>
      <c r="N1" s="241" t="s">
        <v>10</v>
      </c>
      <c r="O1" s="241"/>
      <c r="P1" s="240" t="s">
        <v>9</v>
      </c>
      <c r="Q1" s="241">
        <v>45017</v>
      </c>
      <c r="R1" s="241">
        <v>45047</v>
      </c>
      <c r="S1" s="241">
        <v>45078</v>
      </c>
      <c r="T1" s="241">
        <v>45108</v>
      </c>
      <c r="U1" s="241">
        <v>45139</v>
      </c>
      <c r="V1" s="241">
        <v>45170</v>
      </c>
      <c r="W1" s="241">
        <v>45200</v>
      </c>
      <c r="X1" s="241">
        <v>45231</v>
      </c>
      <c r="Y1" s="241">
        <v>45261</v>
      </c>
      <c r="Z1" s="241">
        <v>45292</v>
      </c>
      <c r="AA1" s="241">
        <v>45323</v>
      </c>
      <c r="AB1" s="241">
        <v>45352</v>
      </c>
      <c r="AC1" s="241" t="s">
        <v>11</v>
      </c>
    </row>
    <row r="2" spans="1:40" s="242" customFormat="1" x14ac:dyDescent="0.25">
      <c r="B2" s="241" t="s">
        <v>12</v>
      </c>
      <c r="C2" s="241" t="s">
        <v>12</v>
      </c>
      <c r="D2" s="241" t="s">
        <v>12</v>
      </c>
      <c r="E2" s="241" t="s">
        <v>12</v>
      </c>
      <c r="F2" s="241" t="s">
        <v>13</v>
      </c>
      <c r="G2" s="241" t="s">
        <v>13</v>
      </c>
      <c r="H2" s="241" t="s">
        <v>13</v>
      </c>
      <c r="I2" s="241" t="s">
        <v>13</v>
      </c>
      <c r="J2" s="241" t="s">
        <v>13</v>
      </c>
      <c r="K2" s="241" t="s">
        <v>13</v>
      </c>
      <c r="L2" s="241" t="s">
        <v>13</v>
      </c>
      <c r="M2" s="241" t="s">
        <v>13</v>
      </c>
      <c r="N2" s="241"/>
      <c r="O2" s="241"/>
      <c r="Q2" s="241" t="s">
        <v>13</v>
      </c>
      <c r="R2" s="241" t="s">
        <v>13</v>
      </c>
      <c r="S2" s="241" t="s">
        <v>13</v>
      </c>
      <c r="T2" s="241" t="s">
        <v>13</v>
      </c>
      <c r="U2" s="241" t="s">
        <v>13</v>
      </c>
      <c r="V2" s="241" t="s">
        <v>13</v>
      </c>
      <c r="W2" s="241" t="s">
        <v>13</v>
      </c>
      <c r="X2" s="241" t="s">
        <v>13</v>
      </c>
      <c r="Y2" s="241" t="s">
        <v>13</v>
      </c>
      <c r="Z2" s="241" t="s">
        <v>13</v>
      </c>
      <c r="AA2" s="241" t="s">
        <v>13</v>
      </c>
      <c r="AB2" s="241" t="s">
        <v>13</v>
      </c>
      <c r="AC2" s="241"/>
    </row>
    <row r="4" spans="1:40" x14ac:dyDescent="0.25">
      <c r="A4" t="s">
        <v>14</v>
      </c>
      <c r="B4" s="243">
        <f>+'[1]New Vehicles'!B17</f>
        <v>33000</v>
      </c>
      <c r="C4" s="243">
        <f>+'[1]New Vehicles'!C17</f>
        <v>16440</v>
      </c>
      <c r="D4" s="243">
        <f>+'[1]New Vehicles'!D17</f>
        <v>106502</v>
      </c>
      <c r="E4" s="243">
        <f>+'[1]New Vehicles'!E17</f>
        <v>62900</v>
      </c>
      <c r="F4" s="243">
        <f>+'[1]New Vehicles'!F17</f>
        <v>45700</v>
      </c>
      <c r="G4" s="243">
        <f>+'[1]New Vehicles'!G17</f>
        <v>49750</v>
      </c>
      <c r="H4" s="243">
        <f>+'[1]New Vehicles'!H17</f>
        <v>49750</v>
      </c>
      <c r="I4" s="243">
        <f>+'[1]New Vehicles'!I17</f>
        <v>60150</v>
      </c>
      <c r="J4" s="243">
        <f>+'[1]New Vehicles'!J17</f>
        <v>60150</v>
      </c>
      <c r="K4" s="243">
        <f>+'[1]New Vehicles'!K17</f>
        <v>10085.680000000017</v>
      </c>
      <c r="L4" s="243">
        <f>+'[1]New Vehicles'!L17</f>
        <v>-8651.0300000000116</v>
      </c>
      <c r="M4" s="243">
        <f>+'[1]New Vehicles'!M17</f>
        <v>106955.99000000002</v>
      </c>
      <c r="N4" s="243">
        <f>SUM(B4:M4)</f>
        <v>592732.64</v>
      </c>
      <c r="O4" s="243"/>
      <c r="P4" t="s">
        <v>14</v>
      </c>
      <c r="Q4" s="243">
        <f>+'[1]New Vehicles'!Q17</f>
        <v>16200</v>
      </c>
      <c r="R4" s="243">
        <f>+'[1]New Vehicles'!R17</f>
        <v>16000</v>
      </c>
      <c r="S4" s="243">
        <f>+'[1]New Vehicles'!S17</f>
        <v>16500</v>
      </c>
      <c r="T4" s="243">
        <f>+'[1]New Vehicles'!T17</f>
        <v>29000</v>
      </c>
      <c r="U4" s="243">
        <f>+'[1]New Vehicles'!U17</f>
        <v>29000</v>
      </c>
      <c r="V4" s="243">
        <f>+'[1]New Vehicles'!V17</f>
        <v>29000</v>
      </c>
      <c r="W4" s="243">
        <f>+'[1]New Vehicles'!W17</f>
        <v>35250</v>
      </c>
      <c r="X4" s="243">
        <f>+'[1]New Vehicles'!X17</f>
        <v>35250</v>
      </c>
      <c r="Y4" s="243">
        <f>+'[1]New Vehicles'!Y17</f>
        <v>35250</v>
      </c>
      <c r="Z4" s="243">
        <f>+'[1]New Vehicles'!Z17</f>
        <v>35250</v>
      </c>
      <c r="AA4" s="243">
        <f>+'[1]New Vehicles'!AA17</f>
        <v>35250</v>
      </c>
      <c r="AB4" s="243">
        <f>+'[1]New Vehicles'!AB17</f>
        <v>35250</v>
      </c>
      <c r="AC4" s="243">
        <f>SUM(Q4:AB4)</f>
        <v>347200</v>
      </c>
      <c r="AD4" s="244"/>
      <c r="AE4" s="244"/>
      <c r="AF4" s="244"/>
      <c r="AG4" s="244"/>
      <c r="AH4" s="244"/>
      <c r="AI4" s="244"/>
      <c r="AJ4" s="244"/>
      <c r="AK4" s="244"/>
      <c r="AL4" s="244"/>
      <c r="AM4" s="244"/>
      <c r="AN4" s="244"/>
    </row>
    <row r="5" spans="1:40" x14ac:dyDescent="0.25">
      <c r="A5" t="s">
        <v>15</v>
      </c>
      <c r="B5" s="243">
        <f>+'[1]Used Vehicles'!B21</f>
        <v>48775</v>
      </c>
      <c r="C5" s="243">
        <f>+'[1]Used Vehicles'!C21</f>
        <v>47732</v>
      </c>
      <c r="D5" s="243">
        <f>+'[1]Used Vehicles'!D21</f>
        <v>107854</v>
      </c>
      <c r="E5" s="243">
        <f>+'[1]Used Vehicles'!E21</f>
        <v>72200</v>
      </c>
      <c r="F5" s="243">
        <f>+'[1]Used Vehicles'!F21</f>
        <v>75620.000000000015</v>
      </c>
      <c r="G5" s="243">
        <f>+'[1]Used Vehicles'!G21</f>
        <v>90650.000000000015</v>
      </c>
      <c r="H5" s="243">
        <f>+'[1]Used Vehicles'!H21</f>
        <v>98500</v>
      </c>
      <c r="I5" s="243">
        <f>+'[1]Used Vehicles'!I21</f>
        <v>106349.99999999999</v>
      </c>
      <c r="J5" s="243">
        <f>+'[1]Used Vehicles'!J21</f>
        <v>129175.00000000001</v>
      </c>
      <c r="K5" s="243">
        <f>+'[1]Used Vehicles'!K21</f>
        <v>-11037</v>
      </c>
      <c r="L5" s="243">
        <f>+'[1]Used Vehicles'!L21</f>
        <v>77892.48000000004</v>
      </c>
      <c r="M5" s="243">
        <f>+'[1]Used Vehicles'!M21</f>
        <v>84312</v>
      </c>
      <c r="N5" s="243">
        <f t="shared" ref="N5:N13" si="0">SUM(B5:M5)</f>
        <v>928023.48</v>
      </c>
      <c r="O5" s="243"/>
      <c r="P5" t="s">
        <v>15</v>
      </c>
      <c r="Q5" s="243">
        <f>+'[1]Used Vehicles'!Q21</f>
        <v>4587.2203030303081</v>
      </c>
      <c r="R5" s="243">
        <f>+'[1]Used Vehicles'!R21</f>
        <v>48456.520303030287</v>
      </c>
      <c r="S5" s="243">
        <f>+'[1]Used Vehicles'!S21</f>
        <v>62224.92030303026</v>
      </c>
      <c r="T5" s="243">
        <f>+'[1]Used Vehicles'!T21</f>
        <v>101213.74951010101</v>
      </c>
      <c r="U5" s="243">
        <f>+'[1]Used Vehicles'!U21</f>
        <v>104513.749510101</v>
      </c>
      <c r="V5" s="243">
        <f>+'[1]Used Vehicles'!V21</f>
        <v>109613.74951010104</v>
      </c>
      <c r="W5" s="243">
        <f>+'[1]Used Vehicles'!W21</f>
        <v>114713.74951010106</v>
      </c>
      <c r="X5" s="243">
        <f>+'[1]Used Vehicles'!X21</f>
        <v>119813.74951010103</v>
      </c>
      <c r="Y5" s="243">
        <f>+'[1]Used Vehicles'!Y21</f>
        <v>126835.97173232331</v>
      </c>
      <c r="Z5" s="243">
        <f>+'[1]Used Vehicles'!Z21</f>
        <v>95935.971732323305</v>
      </c>
      <c r="AA5" s="243">
        <f>+'[1]Used Vehicles'!AA21</f>
        <v>107935.97173232328</v>
      </c>
      <c r="AB5" s="243">
        <f>+'[1]Used Vehicles'!AB21</f>
        <v>119935.97173232328</v>
      </c>
      <c r="AC5" s="243">
        <f t="shared" ref="AC5:AC13" si="1">SUM(Q5:AB5)</f>
        <v>1115781.295388889</v>
      </c>
      <c r="AD5" s="244"/>
      <c r="AE5" s="244"/>
      <c r="AF5" s="244"/>
      <c r="AG5" s="244"/>
      <c r="AH5" s="244"/>
      <c r="AI5" s="244"/>
      <c r="AJ5" s="244"/>
      <c r="AK5" s="244"/>
      <c r="AL5" s="244"/>
      <c r="AM5" s="244"/>
      <c r="AN5" s="244"/>
    </row>
    <row r="6" spans="1:40" x14ac:dyDescent="0.25">
      <c r="A6" t="s">
        <v>16</v>
      </c>
      <c r="B6" s="243">
        <f>+'[1]F&amp;I'!B12</f>
        <v>55000</v>
      </c>
      <c r="C6" s="243">
        <f>+'[1]F&amp;I'!C12</f>
        <v>57000</v>
      </c>
      <c r="D6" s="243">
        <f>+'[1]F&amp;I'!D12</f>
        <v>84400</v>
      </c>
      <c r="E6" s="243">
        <f>+'[1]F&amp;I'!E12</f>
        <v>104600</v>
      </c>
      <c r="F6" s="243">
        <f>+'[1]F&amp;I'!F12</f>
        <v>89500</v>
      </c>
      <c r="G6" s="243">
        <f>+'[1]F&amp;I'!G12</f>
        <v>97500</v>
      </c>
      <c r="H6" s="243">
        <f>+'[1]F&amp;I'!H12</f>
        <v>100000</v>
      </c>
      <c r="I6" s="243">
        <f>+'[1]F&amp;I'!I12</f>
        <v>112500</v>
      </c>
      <c r="J6" s="243">
        <f>+'[1]F&amp;I'!J12</f>
        <v>117500</v>
      </c>
      <c r="K6" s="243">
        <f>+'[1]F&amp;I'!K12</f>
        <v>74804.73000000001</v>
      </c>
      <c r="L6" s="243">
        <f>+'[1]F&amp;I'!L12</f>
        <v>75101</v>
      </c>
      <c r="M6" s="243">
        <f>+'[1]F&amp;I'!M12</f>
        <v>261712</v>
      </c>
      <c r="N6" s="243">
        <f t="shared" si="0"/>
        <v>1229617.73</v>
      </c>
      <c r="O6" s="243"/>
      <c r="P6" t="s">
        <v>16</v>
      </c>
      <c r="Q6" s="243">
        <f>+'[1]F&amp;I'!Q12</f>
        <v>78645</v>
      </c>
      <c r="R6" s="243">
        <f>+'[1]F&amp;I'!R12</f>
        <v>82818</v>
      </c>
      <c r="S6" s="243">
        <f>+'[1]F&amp;I'!S12</f>
        <v>81213</v>
      </c>
      <c r="T6" s="243">
        <f>+'[1]F&amp;I'!T12</f>
        <v>83131.866666666669</v>
      </c>
      <c r="U6" s="243">
        <f>+'[1]F&amp;I'!U12</f>
        <v>84094.866666666669</v>
      </c>
      <c r="V6" s="243">
        <f>+'[1]F&amp;I'!V12</f>
        <v>85057.866666666669</v>
      </c>
      <c r="W6" s="243">
        <f>+'[1]F&amp;I'!W12</f>
        <v>86020.866666666669</v>
      </c>
      <c r="X6" s="243">
        <f>+'[1]F&amp;I'!X12</f>
        <v>86983.866666666669</v>
      </c>
      <c r="Y6" s="243">
        <f>+'[1]F&amp;I'!Y12</f>
        <v>87982.533333333326</v>
      </c>
      <c r="Z6" s="243">
        <f>+'[1]F&amp;I'!Z12</f>
        <v>83167.533333333326</v>
      </c>
      <c r="AA6" s="243">
        <f>+'[1]F&amp;I'!AA12</f>
        <v>85093.533333333326</v>
      </c>
      <c r="AB6" s="243">
        <f>+'[1]F&amp;I'!AB12</f>
        <v>87019.533333333326</v>
      </c>
      <c r="AC6" s="243">
        <f t="shared" si="1"/>
        <v>1011228.4666666668</v>
      </c>
      <c r="AD6" s="244"/>
      <c r="AE6" s="244"/>
      <c r="AF6" s="244"/>
      <c r="AG6" s="244"/>
      <c r="AH6" s="244"/>
      <c r="AI6" s="244"/>
      <c r="AJ6" s="244"/>
      <c r="AK6" s="244"/>
      <c r="AL6" s="244"/>
      <c r="AM6" s="244"/>
      <c r="AN6" s="244"/>
    </row>
    <row r="7" spans="1:40" x14ac:dyDescent="0.25">
      <c r="A7" t="s">
        <v>5</v>
      </c>
      <c r="B7" s="243">
        <f>+[1]Parts!B12</f>
        <v>124300</v>
      </c>
      <c r="C7" s="243">
        <f>+[1]Parts!C12</f>
        <v>156500</v>
      </c>
      <c r="D7" s="243">
        <f>+[1]Parts!D12</f>
        <v>220095</v>
      </c>
      <c r="E7" s="243">
        <f>+[1]Parts!E12</f>
        <v>145500</v>
      </c>
      <c r="F7" s="243">
        <f>+[1]Parts!F12</f>
        <v>177600</v>
      </c>
      <c r="G7" s="243">
        <f>+[1]Parts!G12</f>
        <v>179376</v>
      </c>
      <c r="H7" s="243">
        <f>+[1]Parts!H12</f>
        <v>181169.76</v>
      </c>
      <c r="I7" s="243">
        <f>+[1]Parts!I12</f>
        <v>182981.45760000002</v>
      </c>
      <c r="J7" s="243">
        <f>+[1]Parts!J12</f>
        <v>184811.27217600003</v>
      </c>
      <c r="K7" s="243">
        <f>+[1]Parts!K12</f>
        <v>107805.88000000002</v>
      </c>
      <c r="L7" s="243">
        <f>+[1]Parts!L12</f>
        <v>92570.12000000001</v>
      </c>
      <c r="M7" s="243">
        <f>+[1]Parts!M12</f>
        <v>248644.72300000003</v>
      </c>
      <c r="N7" s="243">
        <f t="shared" si="0"/>
        <v>2001354.2127760004</v>
      </c>
      <c r="O7" s="243"/>
      <c r="P7" t="s">
        <v>5</v>
      </c>
      <c r="Q7" s="243">
        <f>+[1]Parts!Q12</f>
        <v>87546.334333333347</v>
      </c>
      <c r="R7" s="243">
        <f>+[1]Parts!R12</f>
        <v>145355.31012161021</v>
      </c>
      <c r="S7" s="243">
        <f>+[1]Parts!S12</f>
        <v>139646.33433333336</v>
      </c>
      <c r="T7" s="243">
        <f>+[1]Parts!T12</f>
        <v>165566.33433333336</v>
      </c>
      <c r="U7" s="243">
        <f>+[1]Parts!U12</f>
        <v>216686.33433333336</v>
      </c>
      <c r="V7" s="243">
        <f>+[1]Parts!V12</f>
        <v>187526.33433333336</v>
      </c>
      <c r="W7" s="243">
        <f>+[1]Parts!W12</f>
        <v>148646.33433333336</v>
      </c>
      <c r="X7" s="243">
        <f>+[1]Parts!X12</f>
        <v>134786.33433333336</v>
      </c>
      <c r="Y7" s="243">
        <f>+[1]Parts!Y12</f>
        <v>114986.33433333335</v>
      </c>
      <c r="Z7" s="243">
        <f>+[1]Parts!Z12</f>
        <v>114986.33433333335</v>
      </c>
      <c r="AA7" s="243">
        <f>+[1]Parts!AA12</f>
        <v>114986.33433333335</v>
      </c>
      <c r="AB7" s="243">
        <f>+[1]Parts!AB12</f>
        <v>190586.33433333336</v>
      </c>
      <c r="AC7" s="243">
        <f t="shared" si="1"/>
        <v>1761304.9877882777</v>
      </c>
      <c r="AD7" s="244"/>
      <c r="AE7" s="244"/>
      <c r="AF7" s="244"/>
      <c r="AG7" s="244"/>
      <c r="AH7" s="244"/>
      <c r="AI7" s="244"/>
      <c r="AJ7" s="244"/>
      <c r="AK7" s="244"/>
      <c r="AL7" s="244"/>
      <c r="AM7" s="244"/>
      <c r="AN7" s="244"/>
    </row>
    <row r="8" spans="1:40" x14ac:dyDescent="0.25">
      <c r="A8" t="s">
        <v>17</v>
      </c>
      <c r="B8" s="243">
        <f>+[1]Service!B19</f>
        <v>74725</v>
      </c>
      <c r="C8" s="243">
        <f>+[1]Service!C19</f>
        <v>66548</v>
      </c>
      <c r="D8" s="243">
        <f>+[1]Service!D19</f>
        <v>111252</v>
      </c>
      <c r="E8" s="243">
        <f>+[1]Service!E19</f>
        <v>195500</v>
      </c>
      <c r="F8" s="243">
        <f>+[1]Service!F19</f>
        <v>171095</v>
      </c>
      <c r="G8" s="243">
        <f>+[1]Service!G19</f>
        <v>157724.79999999999</v>
      </c>
      <c r="H8" s="243">
        <f>+[1]Service!H19</f>
        <v>208110</v>
      </c>
      <c r="I8" s="243">
        <f>+[1]Service!I19</f>
        <v>213110</v>
      </c>
      <c r="J8" s="243">
        <f>+[1]Service!J19</f>
        <v>168582.5</v>
      </c>
      <c r="K8" s="243">
        <f>+[1]Service!K19</f>
        <v>0</v>
      </c>
      <c r="L8" s="243">
        <f>+[1]Service!L19</f>
        <v>0</v>
      </c>
      <c r="M8" s="243">
        <f>+[1]Service!M19</f>
        <v>0</v>
      </c>
      <c r="N8" s="243">
        <f t="shared" si="0"/>
        <v>1366647.3</v>
      </c>
      <c r="O8" s="243"/>
      <c r="P8" t="s">
        <v>17</v>
      </c>
      <c r="Q8" s="243">
        <f>+[1]Service!Q19</f>
        <v>144793.88959199999</v>
      </c>
      <c r="R8" s="243">
        <f>+[1]Service!R19</f>
        <v>184433.8533333333</v>
      </c>
      <c r="S8" s="243">
        <f>+[1]Service!S19</f>
        <v>196308.18666666668</v>
      </c>
      <c r="T8" s="243">
        <f>+[1]Service!T19</f>
        <v>201154.8533333333</v>
      </c>
      <c r="U8" s="243">
        <f>+[1]Service!U19</f>
        <v>183949.18666666662</v>
      </c>
      <c r="V8" s="243">
        <f>+[1]Service!V19</f>
        <v>183949.18666666662</v>
      </c>
      <c r="W8" s="243">
        <f>+[1]Service!W19</f>
        <v>202673.51999999993</v>
      </c>
      <c r="X8" s="243">
        <f>+[1]Service!X19</f>
        <v>202673.51999999993</v>
      </c>
      <c r="Y8" s="243">
        <f>+[1]Service!Y19</f>
        <v>177349.68666666662</v>
      </c>
      <c r="Z8" s="243">
        <f>+[1]Service!Z19</f>
        <v>177349.68666666662</v>
      </c>
      <c r="AA8" s="243">
        <f>+[1]Service!AA19</f>
        <v>183900.44133333329</v>
      </c>
      <c r="AB8" s="243">
        <f>+[1]Service!AB19</f>
        <v>218182.8533333333</v>
      </c>
      <c r="AC8" s="243">
        <f t="shared" si="1"/>
        <v>2256718.8642586661</v>
      </c>
      <c r="AD8" s="244"/>
      <c r="AE8" s="244"/>
      <c r="AF8" s="244"/>
      <c r="AG8" s="244"/>
      <c r="AH8" s="244"/>
      <c r="AI8" s="244"/>
      <c r="AJ8" s="244"/>
      <c r="AK8" s="244"/>
      <c r="AL8" s="244"/>
      <c r="AM8" s="244"/>
      <c r="AN8" s="244"/>
    </row>
    <row r="9" spans="1:40" x14ac:dyDescent="0.25">
      <c r="A9" t="s">
        <v>18</v>
      </c>
      <c r="B9" s="245">
        <v>-15000</v>
      </c>
      <c r="C9" s="245">
        <v>48070</v>
      </c>
      <c r="D9" s="245">
        <v>223836</v>
      </c>
      <c r="E9" s="245">
        <v>-36000</v>
      </c>
      <c r="F9" s="245">
        <v>40000</v>
      </c>
      <c r="G9" s="245">
        <v>40000</v>
      </c>
      <c r="H9" s="245">
        <v>40000</v>
      </c>
      <c r="I9" s="245">
        <v>40000</v>
      </c>
      <c r="J9" s="245">
        <v>40000</v>
      </c>
      <c r="K9" s="245">
        <f>[2]Overall!B9</f>
        <v>-94531.26</v>
      </c>
      <c r="L9" s="245">
        <f>[2]Overall!C9</f>
        <v>-97554.808080000003</v>
      </c>
      <c r="M9" s="245">
        <f>[2]Overall!D9</f>
        <v>191633.79332</v>
      </c>
      <c r="N9" s="245">
        <f t="shared" si="0"/>
        <v>420453.72524</v>
      </c>
      <c r="O9" s="246"/>
      <c r="P9" t="s">
        <v>18</v>
      </c>
      <c r="Q9" s="245">
        <f>[2]Overall!E9</f>
        <v>45152.461122881534</v>
      </c>
      <c r="R9" s="245">
        <f>[2]Overall!F9</f>
        <v>56027.627914312805</v>
      </c>
      <c r="S9" s="245">
        <f>[2]Overall!G9</f>
        <v>242218.84810145973</v>
      </c>
      <c r="T9" s="245">
        <f>[2]Overall!H9</f>
        <v>68212.994892891002</v>
      </c>
      <c r="U9" s="245">
        <f>[2]Overall!I9</f>
        <v>85272.994892891002</v>
      </c>
      <c r="V9" s="245">
        <f>[2]Overall!J9</f>
        <v>246429.39489289102</v>
      </c>
      <c r="W9" s="245">
        <f>[2]Overall!K9</f>
        <v>72152.594892891007</v>
      </c>
      <c r="X9" s="245">
        <f>[2]Overall!L9</f>
        <v>70476.594892891007</v>
      </c>
      <c r="Y9" s="245">
        <f>[2]Overall!M9</f>
        <v>243954.79489289102</v>
      </c>
      <c r="Z9" s="245">
        <f>[2]Overall!N9</f>
        <v>73220.194892891013</v>
      </c>
      <c r="AA9" s="245">
        <f>[2]Overall!O9</f>
        <v>75754.794892891019</v>
      </c>
      <c r="AB9" s="245">
        <f>[2]Overall!P9</f>
        <v>267075.07489289099</v>
      </c>
      <c r="AC9" s="245">
        <f t="shared" si="1"/>
        <v>1545948.3711746731</v>
      </c>
      <c r="AD9" s="244"/>
      <c r="AE9" s="244"/>
      <c r="AF9" s="244"/>
      <c r="AG9" s="244"/>
      <c r="AH9" s="244"/>
      <c r="AI9" s="244"/>
      <c r="AJ9" s="244"/>
      <c r="AK9" s="244"/>
      <c r="AL9" s="244"/>
      <c r="AM9" s="244"/>
      <c r="AN9" s="244"/>
    </row>
    <row r="10" spans="1:40" s="247" customFormat="1" x14ac:dyDescent="0.25">
      <c r="A10" s="247" t="s">
        <v>19</v>
      </c>
      <c r="B10" s="248">
        <f t="shared" ref="B10:D10" si="2">SUM(B4:B9)</f>
        <v>320800</v>
      </c>
      <c r="C10" s="248">
        <f t="shared" si="2"/>
        <v>392290</v>
      </c>
      <c r="D10" s="248">
        <f t="shared" si="2"/>
        <v>853939</v>
      </c>
      <c r="E10" s="248">
        <f>SUM(E4:E9)</f>
        <v>544700</v>
      </c>
      <c r="F10" s="248">
        <f t="shared" ref="F10:M10" si="3">SUM(F4:F9)</f>
        <v>599515</v>
      </c>
      <c r="G10" s="248">
        <f t="shared" si="3"/>
        <v>615000.80000000005</v>
      </c>
      <c r="H10" s="248">
        <f t="shared" si="3"/>
        <v>677529.76</v>
      </c>
      <c r="I10" s="248">
        <f t="shared" si="3"/>
        <v>715091.45760000008</v>
      </c>
      <c r="J10" s="248">
        <f t="shared" si="3"/>
        <v>700218.77217600006</v>
      </c>
      <c r="K10" s="248">
        <f t="shared" si="3"/>
        <v>87128.030000000042</v>
      </c>
      <c r="L10" s="248">
        <f t="shared" si="3"/>
        <v>139357.76192000002</v>
      </c>
      <c r="M10" s="248">
        <f t="shared" si="3"/>
        <v>893258.50631999993</v>
      </c>
      <c r="N10" s="248">
        <f t="shared" si="0"/>
        <v>6538829.0880160006</v>
      </c>
      <c r="O10" s="248"/>
      <c r="P10" s="247" t="s">
        <v>19</v>
      </c>
      <c r="Q10" s="248">
        <f t="shared" ref="Q10:AB10" si="4">SUM(Q4:Q9)</f>
        <v>376924.90535124519</v>
      </c>
      <c r="R10" s="248">
        <f t="shared" si="4"/>
        <v>533091.3116722866</v>
      </c>
      <c r="S10" s="248">
        <f t="shared" si="4"/>
        <v>738111.28940449003</v>
      </c>
      <c r="T10" s="248">
        <f t="shared" si="4"/>
        <v>648279.79873632535</v>
      </c>
      <c r="U10" s="248">
        <f t="shared" si="4"/>
        <v>703517.13206965872</v>
      </c>
      <c r="V10" s="248">
        <f t="shared" si="4"/>
        <v>841576.53206965874</v>
      </c>
      <c r="W10" s="248">
        <f t="shared" si="4"/>
        <v>659457.06540299195</v>
      </c>
      <c r="X10" s="248">
        <f t="shared" si="4"/>
        <v>649984.06540299195</v>
      </c>
      <c r="Y10" s="248">
        <f t="shared" si="4"/>
        <v>786359.32095854753</v>
      </c>
      <c r="Z10" s="248">
        <f t="shared" si="4"/>
        <v>579909.72095854755</v>
      </c>
      <c r="AA10" s="248">
        <f t="shared" si="4"/>
        <v>602921.07562521426</v>
      </c>
      <c r="AB10" s="248">
        <f t="shared" si="4"/>
        <v>918049.7676252143</v>
      </c>
      <c r="AC10" s="248">
        <f t="shared" si="1"/>
        <v>8038181.9852771722</v>
      </c>
      <c r="AD10" s="249"/>
      <c r="AE10" s="249"/>
      <c r="AF10" s="249"/>
      <c r="AG10" s="249"/>
      <c r="AH10" s="249"/>
      <c r="AI10" s="249"/>
      <c r="AJ10" s="249"/>
      <c r="AK10" s="249"/>
      <c r="AL10" s="249"/>
      <c r="AM10" s="249"/>
      <c r="AN10" s="249"/>
    </row>
    <row r="11" spans="1:40" s="247" customFormat="1" x14ac:dyDescent="0.25">
      <c r="A11" t="s">
        <v>20</v>
      </c>
      <c r="B11" s="248"/>
      <c r="C11" s="248"/>
      <c r="D11" s="248"/>
      <c r="E11" s="248"/>
      <c r="F11" s="248"/>
      <c r="G11" s="248"/>
      <c r="H11" s="248"/>
      <c r="I11" s="248"/>
      <c r="J11" s="248"/>
      <c r="K11" s="276"/>
      <c r="L11" s="276"/>
      <c r="M11" s="276">
        <f>[2]Overall!D11</f>
        <v>0</v>
      </c>
      <c r="N11" s="246">
        <f t="shared" si="0"/>
        <v>0</v>
      </c>
      <c r="O11" s="248"/>
      <c r="P11" t="s">
        <v>20</v>
      </c>
      <c r="Q11" s="276"/>
      <c r="R11" s="276"/>
      <c r="S11" s="276">
        <f>[2]Overall!G11</f>
        <v>496250</v>
      </c>
      <c r="T11" s="276"/>
      <c r="U11" s="276"/>
      <c r="V11" s="276">
        <f>[2]Overall!J11</f>
        <v>468750</v>
      </c>
      <c r="W11" s="276"/>
      <c r="X11" s="276"/>
      <c r="Y11" s="276">
        <f>[2]Overall!M11</f>
        <v>468750</v>
      </c>
      <c r="Z11" s="276"/>
      <c r="AA11" s="276"/>
      <c r="AB11" s="276">
        <f>[2]Overall!P11</f>
        <v>468750</v>
      </c>
      <c r="AC11" s="246">
        <f t="shared" si="1"/>
        <v>1902500</v>
      </c>
      <c r="AD11" s="249"/>
      <c r="AE11" s="249"/>
      <c r="AF11" s="249"/>
      <c r="AG11" s="249"/>
      <c r="AH11" s="249"/>
      <c r="AI11" s="249"/>
      <c r="AJ11" s="249"/>
      <c r="AK11" s="249"/>
      <c r="AL11" s="249"/>
      <c r="AM11" s="249"/>
      <c r="AN11" s="249"/>
    </row>
    <row r="12" spans="1:40" x14ac:dyDescent="0.25">
      <c r="A12" t="s">
        <v>21</v>
      </c>
      <c r="B12" s="245">
        <f>+[1]Admin!B4</f>
        <v>491916</v>
      </c>
      <c r="C12" s="245">
        <f>+[1]Admin!C4</f>
        <v>605203</v>
      </c>
      <c r="D12" s="245">
        <f>+[1]Admin!D4</f>
        <v>585780</v>
      </c>
      <c r="E12" s="245">
        <f>+[1]Admin!E4</f>
        <v>638305</v>
      </c>
      <c r="F12" s="245">
        <f>+[1]Admin!F4</f>
        <v>605000</v>
      </c>
      <c r="G12" s="245">
        <f>+[1]Admin!G4</f>
        <v>605000</v>
      </c>
      <c r="H12" s="245">
        <f>+[1]Admin!H4</f>
        <v>605000</v>
      </c>
      <c r="I12" s="245">
        <f>+[1]Admin!I4</f>
        <v>575000</v>
      </c>
      <c r="J12" s="245">
        <f>+[1]Admin!J4</f>
        <v>575000</v>
      </c>
      <c r="K12" s="245">
        <f>+[1]Admin!K4</f>
        <v>498255</v>
      </c>
      <c r="L12" s="245">
        <f>+[1]Admin!L4</f>
        <v>553403</v>
      </c>
      <c r="M12" s="245">
        <f>+[1]Admin!M4</f>
        <v>591050</v>
      </c>
      <c r="N12" s="245">
        <f t="shared" si="0"/>
        <v>6928912</v>
      </c>
      <c r="O12" s="246"/>
      <c r="P12" t="s">
        <v>21</v>
      </c>
      <c r="Q12" s="245">
        <f>+[1]Admin!Q4</f>
        <v>540000</v>
      </c>
      <c r="R12" s="245">
        <f>+[1]Admin!R4</f>
        <v>540000</v>
      </c>
      <c r="S12" s="245">
        <f>+[1]Admin!S4</f>
        <v>540000</v>
      </c>
      <c r="T12" s="245">
        <f>+[1]Admin!T4</f>
        <v>540000</v>
      </c>
      <c r="U12" s="245">
        <f>+[1]Admin!U4</f>
        <v>540000</v>
      </c>
      <c r="V12" s="245">
        <f>+[1]Admin!V4</f>
        <v>540000</v>
      </c>
      <c r="W12" s="245">
        <f>+[1]Admin!W4</f>
        <v>540000</v>
      </c>
      <c r="X12" s="245">
        <f>+[1]Admin!X4</f>
        <v>540000</v>
      </c>
      <c r="Y12" s="245">
        <f>+[1]Admin!Y4</f>
        <v>540000</v>
      </c>
      <c r="Z12" s="245">
        <f>+[1]Admin!Z4</f>
        <v>540000</v>
      </c>
      <c r="AA12" s="245">
        <f>+[1]Admin!AA4</f>
        <v>540000</v>
      </c>
      <c r="AB12" s="245">
        <f>+[1]Admin!AB4</f>
        <v>540000</v>
      </c>
      <c r="AC12" s="245">
        <f t="shared" si="1"/>
        <v>6480000</v>
      </c>
      <c r="AD12" s="244"/>
      <c r="AE12" s="244"/>
      <c r="AF12" s="244"/>
      <c r="AG12" s="244"/>
      <c r="AH12" s="244"/>
      <c r="AI12" s="244"/>
      <c r="AJ12" s="244"/>
      <c r="AK12" s="244"/>
      <c r="AL12" s="244"/>
      <c r="AM12" s="244"/>
      <c r="AN12" s="244"/>
    </row>
    <row r="13" spans="1:40" s="247" customFormat="1" ht="15.75" thickBot="1" x14ac:dyDescent="0.3">
      <c r="A13" s="247" t="s">
        <v>22</v>
      </c>
      <c r="B13" s="250">
        <f t="shared" ref="B13:D13" si="5">+B10-B12</f>
        <v>-171116</v>
      </c>
      <c r="C13" s="250">
        <f t="shared" si="5"/>
        <v>-212913</v>
      </c>
      <c r="D13" s="250">
        <f t="shared" si="5"/>
        <v>268159</v>
      </c>
      <c r="E13" s="250">
        <f>+E10-E12</f>
        <v>-93605</v>
      </c>
      <c r="F13" s="250">
        <f>+F10-F12</f>
        <v>-5485</v>
      </c>
      <c r="G13" s="250">
        <f t="shared" ref="G13:J13" si="6">+G10-G12</f>
        <v>10000.800000000047</v>
      </c>
      <c r="H13" s="250">
        <f t="shared" si="6"/>
        <v>72529.760000000009</v>
      </c>
      <c r="I13" s="250">
        <f t="shared" si="6"/>
        <v>140091.45760000008</v>
      </c>
      <c r="J13" s="250">
        <f t="shared" si="6"/>
        <v>125218.77217600006</v>
      </c>
      <c r="K13" s="250">
        <f>+K10+K11-K12</f>
        <v>-411126.97</v>
      </c>
      <c r="L13" s="250">
        <f t="shared" ref="L13:M13" si="7">+L10+L11-L12</f>
        <v>-414045.23807999998</v>
      </c>
      <c r="M13" s="250">
        <f t="shared" si="7"/>
        <v>302208.50631999993</v>
      </c>
      <c r="N13" s="250">
        <f t="shared" si="0"/>
        <v>-390082.91198399989</v>
      </c>
      <c r="O13" s="251"/>
      <c r="P13" s="247" t="s">
        <v>22</v>
      </c>
      <c r="Q13" s="250">
        <f>+Q10+Q11-Q12</f>
        <v>-163075.09464875481</v>
      </c>
      <c r="R13" s="250">
        <f t="shared" ref="R13:AB13" si="8">+R10+R11-R12</f>
        <v>-6908.6883277134039</v>
      </c>
      <c r="S13" s="250">
        <f t="shared" si="8"/>
        <v>694361.28940449003</v>
      </c>
      <c r="T13" s="250">
        <f t="shared" si="8"/>
        <v>108279.79873632535</v>
      </c>
      <c r="U13" s="250">
        <f t="shared" si="8"/>
        <v>163517.13206965872</v>
      </c>
      <c r="V13" s="250">
        <f t="shared" si="8"/>
        <v>770326.53206965886</v>
      </c>
      <c r="W13" s="250">
        <f t="shared" si="8"/>
        <v>119457.06540299195</v>
      </c>
      <c r="X13" s="250">
        <f t="shared" si="8"/>
        <v>109984.06540299195</v>
      </c>
      <c r="Y13" s="250">
        <f t="shared" si="8"/>
        <v>715109.32095854753</v>
      </c>
      <c r="Z13" s="250">
        <f t="shared" si="8"/>
        <v>39909.72095854755</v>
      </c>
      <c r="AA13" s="250">
        <f t="shared" si="8"/>
        <v>62921.07562521426</v>
      </c>
      <c r="AB13" s="250">
        <f t="shared" si="8"/>
        <v>846799.7676252143</v>
      </c>
      <c r="AC13" s="250">
        <f t="shared" si="1"/>
        <v>3460681.9852771722</v>
      </c>
      <c r="AD13" s="249"/>
      <c r="AE13" s="249"/>
      <c r="AF13" s="249"/>
      <c r="AG13" s="249"/>
      <c r="AH13" s="249"/>
      <c r="AI13" s="249"/>
      <c r="AJ13" s="249"/>
      <c r="AK13" s="249"/>
      <c r="AL13" s="249"/>
      <c r="AM13" s="249"/>
      <c r="AN13" s="249"/>
    </row>
    <row r="14" spans="1:40" ht="15.75" thickTop="1" x14ac:dyDescent="0.25">
      <c r="B14" s="252"/>
      <c r="C14" s="252"/>
      <c r="D14" s="252"/>
      <c r="E14" s="252"/>
      <c r="F14" s="252"/>
      <c r="G14" s="252"/>
      <c r="H14" s="252"/>
      <c r="I14" s="252"/>
      <c r="J14" s="252"/>
      <c r="K14" s="252"/>
      <c r="L14" s="252"/>
      <c r="M14" s="252"/>
      <c r="N14" s="252"/>
      <c r="O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  <c r="AA14" s="252"/>
      <c r="AB14" s="252"/>
      <c r="AC14" s="252"/>
      <c r="AD14" s="253"/>
      <c r="AE14" s="253"/>
      <c r="AF14" s="253"/>
    </row>
    <row r="15" spans="1:40" x14ac:dyDescent="0.25">
      <c r="B15" s="252"/>
      <c r="C15" s="252"/>
      <c r="D15" s="252"/>
      <c r="E15" s="252"/>
      <c r="F15" s="252"/>
      <c r="G15" s="243"/>
      <c r="H15" s="243"/>
      <c r="I15" s="243"/>
      <c r="J15" s="243"/>
      <c r="K15" s="243"/>
      <c r="L15" s="243"/>
      <c r="M15" s="243"/>
      <c r="N15" s="252"/>
      <c r="O15" s="252"/>
      <c r="Q15" s="243"/>
      <c r="R15" s="243"/>
      <c r="S15" s="243"/>
      <c r="T15" s="243"/>
      <c r="U15" s="243"/>
      <c r="V15" s="243"/>
      <c r="W15" s="243"/>
      <c r="X15" s="243"/>
      <c r="Y15" s="243"/>
      <c r="Z15" s="243"/>
      <c r="AA15" s="243"/>
      <c r="AB15" s="243"/>
      <c r="AC15" s="252"/>
      <c r="AD15" s="253"/>
      <c r="AE15" s="253"/>
      <c r="AF15" s="253"/>
    </row>
    <row r="16" spans="1:40" outlineLevel="1" x14ac:dyDescent="0.25">
      <c r="A16" t="s">
        <v>23</v>
      </c>
      <c r="B16" s="243">
        <f>+'[1]New Vehicles'!B14</f>
        <v>183400</v>
      </c>
      <c r="C16" s="243">
        <f>+'[1]New Vehicles'!C14</f>
        <v>217800</v>
      </c>
      <c r="D16" s="243">
        <f>+'[1]New Vehicles'!D14</f>
        <v>289900</v>
      </c>
      <c r="E16" s="243">
        <f>+'[1]New Vehicles'!E14</f>
        <v>246000</v>
      </c>
      <c r="F16" s="243">
        <f>+'[1]New Vehicles'!F14</f>
        <v>178500</v>
      </c>
      <c r="G16" s="243">
        <f>+'[1]New Vehicles'!G14</f>
        <v>210000</v>
      </c>
      <c r="H16" s="243">
        <f>+'[1]New Vehicles'!H14</f>
        <v>210000</v>
      </c>
      <c r="I16" s="243">
        <f>+'[1]New Vehicles'!I14</f>
        <v>252000</v>
      </c>
      <c r="J16" s="243">
        <f>+'[1]New Vehicles'!J14</f>
        <v>252000</v>
      </c>
      <c r="K16" s="243">
        <f>+'[1]New Vehicles'!K14</f>
        <v>233739</v>
      </c>
      <c r="L16" s="243">
        <f>+'[1]New Vehicles'!L14</f>
        <v>146806.69999999998</v>
      </c>
      <c r="M16" s="243">
        <f>+'[1]New Vehicles'!M14</f>
        <v>312868.17000000004</v>
      </c>
      <c r="N16" s="243">
        <f>+'[1]New Vehicles'!N14</f>
        <v>2733013.87</v>
      </c>
      <c r="O16" s="243"/>
      <c r="P16" t="s">
        <v>23</v>
      </c>
      <c r="Q16" s="243">
        <f>+'[1]New Vehicles'!Q14</f>
        <v>246600</v>
      </c>
      <c r="R16" s="243">
        <f>+'[1]New Vehicles'!R14</f>
        <v>243000</v>
      </c>
      <c r="S16" s="243">
        <f>+'[1]New Vehicles'!S14</f>
        <v>225000</v>
      </c>
      <c r="T16" s="243">
        <f>+'[1]New Vehicles'!T14</f>
        <v>237500</v>
      </c>
      <c r="U16" s="243">
        <f>+'[1]New Vehicles'!U14</f>
        <v>237500</v>
      </c>
      <c r="V16" s="243">
        <f>+'[1]New Vehicles'!V14</f>
        <v>237500</v>
      </c>
      <c r="W16" s="243">
        <f>+'[1]New Vehicles'!W14</f>
        <v>243750</v>
      </c>
      <c r="X16" s="243">
        <f>+'[1]New Vehicles'!X14</f>
        <v>243750</v>
      </c>
      <c r="Y16" s="243">
        <f>+'[1]New Vehicles'!Y14</f>
        <v>243750</v>
      </c>
      <c r="Z16" s="243">
        <f>+'[1]New Vehicles'!Z14</f>
        <v>243750</v>
      </c>
      <c r="AA16" s="243">
        <f>+'[1]New Vehicles'!AA14</f>
        <v>243750</v>
      </c>
      <c r="AB16" s="243">
        <f>+'[1]New Vehicles'!AB14</f>
        <v>243750</v>
      </c>
      <c r="AC16" s="243">
        <f>+'[1]New Vehicles'!AC14</f>
        <v>2889600</v>
      </c>
      <c r="AD16" s="253"/>
      <c r="AE16" s="253"/>
      <c r="AF16" s="253"/>
    </row>
    <row r="17" spans="1:32" outlineLevel="1" x14ac:dyDescent="0.25">
      <c r="A17" t="s">
        <v>24</v>
      </c>
      <c r="B17" s="243">
        <f>+'[1]Used Vehicles'!B20</f>
        <v>198098</v>
      </c>
      <c r="C17" s="243">
        <f>+'[1]Used Vehicles'!C20</f>
        <v>239866</v>
      </c>
      <c r="D17" s="243">
        <f>+'[1]Used Vehicles'!D20</f>
        <v>271226</v>
      </c>
      <c r="E17" s="243">
        <f>+'[1]Used Vehicles'!E20</f>
        <v>257300</v>
      </c>
      <c r="F17" s="243">
        <f>+'[1]Used Vehicles'!F20</f>
        <v>242000</v>
      </c>
      <c r="G17" s="243">
        <f>+'[1]Used Vehicles'!G20</f>
        <v>245500</v>
      </c>
      <c r="H17" s="243">
        <f>+'[1]Used Vehicles'!H20</f>
        <v>263375</v>
      </c>
      <c r="I17" s="243">
        <f>+'[1]Used Vehicles'!I20</f>
        <v>281250</v>
      </c>
      <c r="J17" s="243">
        <f>+'[1]Used Vehicles'!J20</f>
        <v>316625</v>
      </c>
      <c r="K17" s="243">
        <f>+'[1]Used Vehicles'!K20</f>
        <v>152915</v>
      </c>
      <c r="L17" s="243">
        <f>+'[1]Used Vehicles'!L20</f>
        <v>244349.8</v>
      </c>
      <c r="M17" s="243">
        <f>+'[1]Used Vehicles'!M20</f>
        <v>297538</v>
      </c>
      <c r="N17" s="243">
        <f>+'[1]Used Vehicles'!N20</f>
        <v>3010042.8</v>
      </c>
      <c r="O17" s="243"/>
      <c r="P17" t="s">
        <v>24</v>
      </c>
      <c r="Q17" s="243">
        <f>+'[1]Used Vehicles'!Q20</f>
        <v>184201</v>
      </c>
      <c r="R17" s="243">
        <f>+'[1]Used Vehicles'!R20</f>
        <v>229316</v>
      </c>
      <c r="S17" s="243">
        <f>+'[1]Used Vehicles'!S20</f>
        <v>243499.99999999997</v>
      </c>
      <c r="T17" s="243">
        <f>+'[1]Used Vehicles'!T20</f>
        <v>284088.88888888888</v>
      </c>
      <c r="U17" s="243">
        <f>+'[1]Used Vehicles'!U20</f>
        <v>288288.88888888888</v>
      </c>
      <c r="V17" s="243">
        <f>+'[1]Used Vehicles'!V20</f>
        <v>294288.88888888888</v>
      </c>
      <c r="W17" s="243">
        <f>+'[1]Used Vehicles'!W20</f>
        <v>300288.88888888888</v>
      </c>
      <c r="X17" s="243">
        <f>+'[1]Used Vehicles'!X20</f>
        <v>306288.88888888888</v>
      </c>
      <c r="Y17" s="243">
        <f>+'[1]Used Vehicles'!Y20</f>
        <v>314211.11111111112</v>
      </c>
      <c r="Z17" s="243">
        <f>+'[1]Used Vehicles'!Z20</f>
        <v>280611.11111111112</v>
      </c>
      <c r="AA17" s="243">
        <f>+'[1]Used Vehicles'!AA20</f>
        <v>293511.11111111112</v>
      </c>
      <c r="AB17" s="243">
        <f>+'[1]Used Vehicles'!AB20</f>
        <v>306411.11111111112</v>
      </c>
      <c r="AC17" s="243">
        <f>+'[1]Used Vehicles'!AC20</f>
        <v>3325005.8888888885</v>
      </c>
      <c r="AD17" s="253"/>
      <c r="AE17" s="253"/>
      <c r="AF17" s="253"/>
    </row>
    <row r="18" spans="1:32" outlineLevel="1" x14ac:dyDescent="0.25">
      <c r="A18" t="s">
        <v>25</v>
      </c>
      <c r="B18" s="243">
        <f>+'[1]F&amp;I'!B10</f>
        <v>106000</v>
      </c>
      <c r="C18" s="243">
        <f>+'[1]F&amp;I'!C10</f>
        <v>113000</v>
      </c>
      <c r="D18" s="243">
        <f>+'[1]F&amp;I'!D10</f>
        <v>143448</v>
      </c>
      <c r="E18" s="243">
        <f>+'[1]F&amp;I'!E10</f>
        <v>162420</v>
      </c>
      <c r="F18" s="243">
        <f>+'[1]F&amp;I'!F10</f>
        <v>134250</v>
      </c>
      <c r="G18" s="243">
        <f>+'[1]F&amp;I'!G10</f>
        <v>146250</v>
      </c>
      <c r="H18" s="243">
        <f>+'[1]F&amp;I'!H10</f>
        <v>150000</v>
      </c>
      <c r="I18" s="243">
        <f>+'[1]F&amp;I'!I10</f>
        <v>168750</v>
      </c>
      <c r="J18" s="243">
        <f>+'[1]F&amp;I'!J10</f>
        <v>176250</v>
      </c>
      <c r="K18" s="243">
        <f>+'[1]F&amp;I'!K10</f>
        <v>130392.57</v>
      </c>
      <c r="L18" s="243">
        <f>+'[1]F&amp;I'!L10</f>
        <v>124410</v>
      </c>
      <c r="M18" s="243">
        <f>+'[1]F&amp;I'!M10</f>
        <v>332262</v>
      </c>
      <c r="N18" s="243">
        <f>+'[1]F&amp;I'!N10</f>
        <v>1887432.57</v>
      </c>
      <c r="O18" s="243"/>
      <c r="P18" t="s">
        <v>25</v>
      </c>
      <c r="Q18" s="243">
        <f>+'[1]F&amp;I'!Q10</f>
        <v>137445</v>
      </c>
      <c r="R18" s="243">
        <f>+'[1]F&amp;I'!R10</f>
        <v>144738</v>
      </c>
      <c r="S18" s="243">
        <f>+'[1]F&amp;I'!S10</f>
        <v>141933</v>
      </c>
      <c r="T18" s="243">
        <f>+'[1]F&amp;I'!T10</f>
        <v>145286.53333333333</v>
      </c>
      <c r="U18" s="243">
        <f>+'[1]F&amp;I'!U10</f>
        <v>146969.53333333333</v>
      </c>
      <c r="V18" s="243">
        <f>+'[1]F&amp;I'!V10</f>
        <v>148652.53333333333</v>
      </c>
      <c r="W18" s="243">
        <f>+'[1]F&amp;I'!W10</f>
        <v>150335.53333333333</v>
      </c>
      <c r="X18" s="243">
        <f>+'[1]F&amp;I'!X10</f>
        <v>152018.53333333333</v>
      </c>
      <c r="Y18" s="243">
        <f>+'[1]F&amp;I'!Y10</f>
        <v>153763.86666666667</v>
      </c>
      <c r="Z18" s="243">
        <f>+'[1]F&amp;I'!Z10</f>
        <v>145348.86666666667</v>
      </c>
      <c r="AA18" s="243">
        <f>+'[1]F&amp;I'!AA10</f>
        <v>148714.86666666667</v>
      </c>
      <c r="AB18" s="243">
        <f>+'[1]F&amp;I'!AB10</f>
        <v>152080.86666666667</v>
      </c>
      <c r="AC18" s="243">
        <f>+'[1]F&amp;I'!AC10</f>
        <v>1767287.1333333333</v>
      </c>
      <c r="AD18" s="253"/>
      <c r="AE18" s="253"/>
      <c r="AF18" s="253"/>
    </row>
    <row r="19" spans="1:32" outlineLevel="1" x14ac:dyDescent="0.25">
      <c r="A19" t="s">
        <v>26</v>
      </c>
      <c r="B19" s="243">
        <f>+[1]Parts!B11</f>
        <v>231600</v>
      </c>
      <c r="C19" s="243">
        <f>+[1]Parts!C11</f>
        <v>280200</v>
      </c>
      <c r="D19" s="243">
        <f>+[1]Parts!D11</f>
        <v>344019</v>
      </c>
      <c r="E19" s="243">
        <f>+[1]Parts!E11</f>
        <v>264500</v>
      </c>
      <c r="F19" s="243">
        <f>+[1]Parts!F11</f>
        <v>301920</v>
      </c>
      <c r="G19" s="243">
        <f>+[1]Parts!G11</f>
        <v>304939.2</v>
      </c>
      <c r="H19" s="243">
        <f>+[1]Parts!H11</f>
        <v>307988.59200000006</v>
      </c>
      <c r="I19" s="243">
        <f>+[1]Parts!I11</f>
        <v>311068.47792000003</v>
      </c>
      <c r="J19" s="243">
        <f>+[1]Parts!J11</f>
        <v>314179.16269920004</v>
      </c>
      <c r="K19" s="243">
        <f>+[1]Parts!K11</f>
        <v>213099.48</v>
      </c>
      <c r="L19" s="243">
        <f>+[1]Parts!L11</f>
        <v>211417.02000000002</v>
      </c>
      <c r="M19" s="243">
        <f>+[1]Parts!M11</f>
        <v>405050.22000000003</v>
      </c>
      <c r="N19" s="243">
        <f>+[1]Parts!N11</f>
        <v>3489981.1526192003</v>
      </c>
      <c r="O19" s="243"/>
      <c r="P19" t="s">
        <v>26</v>
      </c>
      <c r="Q19" s="243">
        <f>+[1]Parts!Q11</f>
        <v>218260</v>
      </c>
      <c r="R19" s="243">
        <f>+[1]Parts!R11</f>
        <v>261995.59800000003</v>
      </c>
      <c r="S19" s="243">
        <f>+[1]Parts!S11</f>
        <v>270360</v>
      </c>
      <c r="T19" s="243">
        <f>+[1]Parts!T11</f>
        <v>296280</v>
      </c>
      <c r="U19" s="243">
        <f>+[1]Parts!U11</f>
        <v>347400</v>
      </c>
      <c r="V19" s="243">
        <f>+[1]Parts!V11</f>
        <v>318240</v>
      </c>
      <c r="W19" s="243">
        <f>+[1]Parts!W11</f>
        <v>279360</v>
      </c>
      <c r="X19" s="243">
        <f>+[1]Parts!X11</f>
        <v>265500</v>
      </c>
      <c r="Y19" s="243">
        <f>+[1]Parts!Y11</f>
        <v>245700</v>
      </c>
      <c r="Z19" s="243">
        <f>+[1]Parts!Z11</f>
        <v>245700</v>
      </c>
      <c r="AA19" s="243">
        <f>+[1]Parts!AA11</f>
        <v>245700</v>
      </c>
      <c r="AB19" s="243">
        <f>+[1]Parts!AB11</f>
        <v>321300</v>
      </c>
      <c r="AC19" s="243">
        <f>+[1]Parts!AC11</f>
        <v>3315795.5980000002</v>
      </c>
      <c r="AD19" s="253"/>
      <c r="AE19" s="253"/>
      <c r="AF19" s="253"/>
    </row>
    <row r="20" spans="1:32" outlineLevel="1" x14ac:dyDescent="0.25">
      <c r="A20" t="s">
        <v>27</v>
      </c>
      <c r="B20" s="243">
        <f>+[1]Service!B14</f>
        <v>330548.35000000003</v>
      </c>
      <c r="C20" s="243">
        <f>+[1]Service!C14</f>
        <v>360343.60000000003</v>
      </c>
      <c r="D20" s="243">
        <f>+[1]Service!D14</f>
        <v>349205.5</v>
      </c>
      <c r="E20" s="243">
        <f>+[1]Service!E14</f>
        <v>421371.71</v>
      </c>
      <c r="F20" s="243">
        <f>+[1]Service!F14</f>
        <v>389333.75</v>
      </c>
      <c r="G20" s="243">
        <f>+[1]Service!G14</f>
        <v>332904</v>
      </c>
      <c r="H20" s="243">
        <f>+[1]Service!H14</f>
        <v>423696</v>
      </c>
      <c r="I20" s="243">
        <f>+[1]Service!I14</f>
        <v>423696</v>
      </c>
      <c r="J20" s="243">
        <f>+[1]Service!J14</f>
        <v>317772</v>
      </c>
      <c r="K20" s="243">
        <f>+[1]Service!K14</f>
        <v>359905.33</v>
      </c>
      <c r="L20" s="243">
        <f>+[1]Service!L14</f>
        <v>342928.6</v>
      </c>
      <c r="M20" s="243">
        <f>+[1]Service!M14</f>
        <v>454253.18399999995</v>
      </c>
      <c r="N20" s="243">
        <f>+[1]Service!N14</f>
        <v>4505958.0240000002</v>
      </c>
      <c r="O20" s="243"/>
      <c r="P20" t="s">
        <v>27</v>
      </c>
      <c r="Q20" s="243">
        <f>+[1]Service!Q14</f>
        <v>318450.09553499997</v>
      </c>
      <c r="R20" s="243">
        <f>+[1]Service!R14</f>
        <v>389924.33333333326</v>
      </c>
      <c r="S20" s="243">
        <f>+[1]Service!S14</f>
        <v>424599.99999999994</v>
      </c>
      <c r="T20" s="243">
        <f>+[1]Service!T14</f>
        <v>438753.33333333326</v>
      </c>
      <c r="U20" s="243">
        <f>+[1]Service!U14</f>
        <v>407615.99999999994</v>
      </c>
      <c r="V20" s="243">
        <f>+[1]Service!V14</f>
        <v>407615.99999999994</v>
      </c>
      <c r="W20" s="243">
        <f>+[1]Service!W14</f>
        <v>452906.66666666657</v>
      </c>
      <c r="X20" s="243">
        <f>+[1]Service!X14</f>
        <v>452906.66666666657</v>
      </c>
      <c r="Y20" s="243">
        <f>+[1]Service!Y14</f>
        <v>407615.99999999994</v>
      </c>
      <c r="Z20" s="243">
        <f>+[1]Service!Z14</f>
        <v>407615.99999999994</v>
      </c>
      <c r="AA20" s="243">
        <f>+[1]Service!AA14</f>
        <v>407638.64533333329</v>
      </c>
      <c r="AB20" s="243">
        <f>+[1]Service!AB14</f>
        <v>498197.33333333326</v>
      </c>
      <c r="AC20" s="243">
        <f>+[1]Service!AC14</f>
        <v>5013841.0742016658</v>
      </c>
      <c r="AD20" s="253"/>
      <c r="AE20" s="253"/>
      <c r="AF20" s="253"/>
    </row>
    <row r="21" spans="1:32" ht="15.75" outlineLevel="1" thickBot="1" x14ac:dyDescent="0.3">
      <c r="B21" s="254">
        <f t="shared" ref="B21" si="9">SUM(B16:B20)</f>
        <v>1049646.3500000001</v>
      </c>
      <c r="C21" s="254">
        <f t="shared" ref="C21:N21" si="10">SUM(C16:C20)</f>
        <v>1211209.6000000001</v>
      </c>
      <c r="D21" s="254">
        <f t="shared" si="10"/>
        <v>1397798.5</v>
      </c>
      <c r="E21" s="254">
        <f t="shared" si="10"/>
        <v>1351591.71</v>
      </c>
      <c r="F21" s="254">
        <f t="shared" si="10"/>
        <v>1246003.75</v>
      </c>
      <c r="G21" s="254">
        <f t="shared" si="10"/>
        <v>1239593.2</v>
      </c>
      <c r="H21" s="254">
        <f t="shared" si="10"/>
        <v>1355059.5920000002</v>
      </c>
      <c r="I21" s="254">
        <f t="shared" si="10"/>
        <v>1436764.47792</v>
      </c>
      <c r="J21" s="254">
        <f t="shared" si="10"/>
        <v>1376826.1626992</v>
      </c>
      <c r="K21" s="254">
        <f t="shared" si="10"/>
        <v>1090051.3800000001</v>
      </c>
      <c r="L21" s="254">
        <f t="shared" si="10"/>
        <v>1069912.1200000001</v>
      </c>
      <c r="M21" s="254">
        <f t="shared" si="10"/>
        <v>1801971.574</v>
      </c>
      <c r="N21" s="254">
        <f t="shared" si="10"/>
        <v>15626428.4166192</v>
      </c>
      <c r="O21" s="246"/>
      <c r="Q21" s="254">
        <f t="shared" ref="Q21:AC21" si="11">SUM(Q16:Q20)</f>
        <v>1104956.0955349999</v>
      </c>
      <c r="R21" s="254">
        <f t="shared" si="11"/>
        <v>1268973.9313333333</v>
      </c>
      <c r="S21" s="254">
        <f t="shared" si="11"/>
        <v>1305393</v>
      </c>
      <c r="T21" s="254">
        <f t="shared" si="11"/>
        <v>1401908.7555555555</v>
      </c>
      <c r="U21" s="254">
        <f t="shared" si="11"/>
        <v>1427774.4222222222</v>
      </c>
      <c r="V21" s="254">
        <f t="shared" si="11"/>
        <v>1406297.4222222222</v>
      </c>
      <c r="W21" s="254">
        <f t="shared" si="11"/>
        <v>1426641.0888888887</v>
      </c>
      <c r="X21" s="254">
        <f t="shared" si="11"/>
        <v>1420464.0888888887</v>
      </c>
      <c r="Y21" s="254">
        <f t="shared" si="11"/>
        <v>1365040.9777777777</v>
      </c>
      <c r="Z21" s="254">
        <f t="shared" si="11"/>
        <v>1323025.9777777777</v>
      </c>
      <c r="AA21" s="254">
        <f t="shared" si="11"/>
        <v>1339314.6231111111</v>
      </c>
      <c r="AB21" s="254">
        <f t="shared" si="11"/>
        <v>1521739.3111111112</v>
      </c>
      <c r="AC21" s="254">
        <f t="shared" si="11"/>
        <v>16311529.694423888</v>
      </c>
      <c r="AD21" s="253"/>
      <c r="AE21" s="253"/>
      <c r="AF21" s="253"/>
    </row>
    <row r="22" spans="1:32" ht="15.75" outlineLevel="1" thickTop="1" x14ac:dyDescent="0.25">
      <c r="B22" s="246"/>
      <c r="C22" s="246"/>
      <c r="D22" s="246"/>
      <c r="E22" s="246"/>
      <c r="F22" s="246"/>
      <c r="G22" s="246"/>
      <c r="H22" s="246"/>
      <c r="I22" s="246"/>
      <c r="J22" s="246"/>
      <c r="K22" s="246"/>
      <c r="L22" s="246"/>
      <c r="M22" s="246"/>
      <c r="N22" s="246"/>
      <c r="O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53"/>
      <c r="AE22" s="253"/>
      <c r="AF22" s="253"/>
    </row>
    <row r="23" spans="1:32" outlineLevel="1" x14ac:dyDescent="0.25">
      <c r="B23" s="246"/>
      <c r="C23" s="246"/>
      <c r="D23" s="246"/>
      <c r="E23" s="246"/>
      <c r="F23" s="246"/>
      <c r="G23" s="246"/>
      <c r="H23" s="246"/>
      <c r="I23" s="246"/>
      <c r="J23" s="246"/>
      <c r="K23" s="246"/>
      <c r="L23" s="246"/>
      <c r="M23" s="246"/>
      <c r="N23" s="246"/>
      <c r="O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  <c r="AD23" s="253"/>
      <c r="AE23" s="253"/>
      <c r="AF23" s="253"/>
    </row>
    <row r="24" spans="1:32" outlineLevel="1" x14ac:dyDescent="0.25">
      <c r="A24" t="s">
        <v>28</v>
      </c>
      <c r="B24" s="255">
        <f>+B4-'[1]New Vehicles'!B17</f>
        <v>0</v>
      </c>
      <c r="C24" s="255">
        <f>+C4-'[1]New Vehicles'!C17</f>
        <v>0</v>
      </c>
      <c r="D24" s="255">
        <f>+D4-'[1]New Vehicles'!D17</f>
        <v>0</v>
      </c>
      <c r="E24" s="255">
        <f>+E4-'[1]New Vehicles'!E17</f>
        <v>0</v>
      </c>
      <c r="F24" s="255">
        <f>+F4-'[1]New Vehicles'!F17</f>
        <v>0</v>
      </c>
      <c r="G24" s="255">
        <f>+G4-'[1]New Vehicles'!G17</f>
        <v>0</v>
      </c>
      <c r="H24" s="255">
        <f>+H4-'[1]New Vehicles'!H17</f>
        <v>0</v>
      </c>
      <c r="I24" s="255">
        <f>+I4-'[1]New Vehicles'!I17</f>
        <v>0</v>
      </c>
      <c r="J24" s="255">
        <f>+J4-'[1]New Vehicles'!J17</f>
        <v>0</v>
      </c>
      <c r="K24" s="255">
        <f>+K4-'[1]New Vehicles'!K17</f>
        <v>0</v>
      </c>
      <c r="L24" s="255">
        <f>+L4-'[1]New Vehicles'!L17</f>
        <v>0</v>
      </c>
      <c r="M24" s="255">
        <f>+M4-'[1]New Vehicles'!M17</f>
        <v>0</v>
      </c>
      <c r="N24" s="255">
        <f>+N4-'[1]New Vehicles'!N17</f>
        <v>0</v>
      </c>
      <c r="O24" s="255"/>
      <c r="P24" t="s">
        <v>28</v>
      </c>
      <c r="Q24" s="255">
        <f>+Q4-'[1]New Vehicles'!Q17</f>
        <v>0</v>
      </c>
      <c r="R24" s="255">
        <f>+R4-'[1]New Vehicles'!R17</f>
        <v>0</v>
      </c>
      <c r="S24" s="255">
        <f>+S4-'[1]New Vehicles'!S17</f>
        <v>0</v>
      </c>
      <c r="T24" s="255">
        <f>+T4-'[1]New Vehicles'!T17</f>
        <v>0</v>
      </c>
      <c r="U24" s="255">
        <f>+U4-'[1]New Vehicles'!U17</f>
        <v>0</v>
      </c>
      <c r="V24" s="255">
        <f>+V4-'[1]New Vehicles'!V17</f>
        <v>0</v>
      </c>
      <c r="W24" s="255">
        <f>+W4-'[1]New Vehicles'!W17</f>
        <v>0</v>
      </c>
      <c r="X24" s="255">
        <f>+X4-'[1]New Vehicles'!X17</f>
        <v>0</v>
      </c>
      <c r="Y24" s="255">
        <f>+Y4-'[1]New Vehicles'!Y17</f>
        <v>0</v>
      </c>
      <c r="Z24" s="255">
        <f>+Z4-'[1]New Vehicles'!Z17</f>
        <v>0</v>
      </c>
      <c r="AA24" s="255">
        <f>+AA4-'[1]New Vehicles'!AA17</f>
        <v>0</v>
      </c>
      <c r="AB24" s="255">
        <f>+AB4-'[1]New Vehicles'!AB17</f>
        <v>0</v>
      </c>
      <c r="AC24" s="255">
        <f>+AC4-'[1]New Vehicles'!AC17</f>
        <v>0</v>
      </c>
      <c r="AD24" s="253"/>
      <c r="AE24" s="253"/>
      <c r="AF24" s="253"/>
    </row>
    <row r="25" spans="1:32" outlineLevel="1" x14ac:dyDescent="0.25">
      <c r="A25" t="s">
        <v>28</v>
      </c>
      <c r="B25" s="255">
        <f>+B5-'[1]Used Vehicles'!B21</f>
        <v>0</v>
      </c>
      <c r="C25" s="255">
        <f>+C5-'[1]Used Vehicles'!C21</f>
        <v>0</v>
      </c>
      <c r="D25" s="255">
        <f>+D5-'[1]Used Vehicles'!D21</f>
        <v>0</v>
      </c>
      <c r="E25" s="255">
        <f>+E5-'[1]Used Vehicles'!E21</f>
        <v>0</v>
      </c>
      <c r="F25" s="255">
        <f>+F5-'[1]Used Vehicles'!F21</f>
        <v>0</v>
      </c>
      <c r="G25" s="255">
        <f>+G5-'[1]Used Vehicles'!G21</f>
        <v>0</v>
      </c>
      <c r="H25" s="255">
        <f>+H5-'[1]Used Vehicles'!H21</f>
        <v>0</v>
      </c>
      <c r="I25" s="255">
        <f>+I5-'[1]Used Vehicles'!I21</f>
        <v>0</v>
      </c>
      <c r="J25" s="255">
        <f>+J5-'[1]Used Vehicles'!J21</f>
        <v>0</v>
      </c>
      <c r="K25" s="255">
        <f>+K5-'[1]Used Vehicles'!K21</f>
        <v>0</v>
      </c>
      <c r="L25" s="255">
        <f>+L5-'[1]Used Vehicles'!L21</f>
        <v>0</v>
      </c>
      <c r="M25" s="255">
        <f>+M5-'[1]Used Vehicles'!M21</f>
        <v>0</v>
      </c>
      <c r="N25" s="255">
        <f>+N5-'[1]Used Vehicles'!N21</f>
        <v>0</v>
      </c>
      <c r="O25" s="255"/>
      <c r="P25" t="s">
        <v>28</v>
      </c>
      <c r="Q25" s="255">
        <f>+Q5-'[1]Used Vehicles'!Q21</f>
        <v>0</v>
      </c>
      <c r="R25" s="255">
        <f>+R5-'[1]Used Vehicles'!R21</f>
        <v>0</v>
      </c>
      <c r="S25" s="255">
        <f>+S5-'[1]Used Vehicles'!S21</f>
        <v>0</v>
      </c>
      <c r="T25" s="255">
        <f>+T5-'[1]Used Vehicles'!T21</f>
        <v>0</v>
      </c>
      <c r="U25" s="255">
        <f>+U5-'[1]Used Vehicles'!U21</f>
        <v>0</v>
      </c>
      <c r="V25" s="255">
        <f>+V5-'[1]Used Vehicles'!V21</f>
        <v>0</v>
      </c>
      <c r="W25" s="255">
        <f>+W5-'[1]Used Vehicles'!W21</f>
        <v>0</v>
      </c>
      <c r="X25" s="255">
        <f>+X5-'[1]Used Vehicles'!X21</f>
        <v>0</v>
      </c>
      <c r="Y25" s="255">
        <f>+Y5-'[1]Used Vehicles'!Y21</f>
        <v>0</v>
      </c>
      <c r="Z25" s="255">
        <f>+Z5-'[1]Used Vehicles'!Z21</f>
        <v>0</v>
      </c>
      <c r="AA25" s="255">
        <f>+AA5-'[1]Used Vehicles'!AA21</f>
        <v>0</v>
      </c>
      <c r="AB25" s="255">
        <f>+AB5-'[1]Used Vehicles'!AB21</f>
        <v>0</v>
      </c>
      <c r="AC25" s="255">
        <f>+AC5-'[1]Used Vehicles'!AC21</f>
        <v>0</v>
      </c>
    </row>
    <row r="26" spans="1:32" outlineLevel="1" x14ac:dyDescent="0.25">
      <c r="A26" t="s">
        <v>28</v>
      </c>
      <c r="B26" s="255">
        <f>+B6-'[1]F&amp;I'!B12</f>
        <v>0</v>
      </c>
      <c r="C26" s="255">
        <f>+C6-'[1]F&amp;I'!C12</f>
        <v>0</v>
      </c>
      <c r="D26" s="255">
        <f>+D6-'[1]F&amp;I'!D12</f>
        <v>0</v>
      </c>
      <c r="E26" s="255">
        <f>+E6-'[1]F&amp;I'!E12</f>
        <v>0</v>
      </c>
      <c r="F26" s="255">
        <f>+F6-'[1]F&amp;I'!F12</f>
        <v>0</v>
      </c>
      <c r="G26" s="255">
        <f>+G6-'[1]F&amp;I'!G12</f>
        <v>0</v>
      </c>
      <c r="H26" s="255">
        <f>+H6-'[1]F&amp;I'!H12</f>
        <v>0</v>
      </c>
      <c r="I26" s="255">
        <f>+I6-'[1]F&amp;I'!I12</f>
        <v>0</v>
      </c>
      <c r="J26" s="255">
        <f>+J6-'[1]F&amp;I'!J12</f>
        <v>0</v>
      </c>
      <c r="K26" s="255">
        <f>+K6-'[1]F&amp;I'!K12</f>
        <v>0</v>
      </c>
      <c r="L26" s="255">
        <f>+L6-'[1]F&amp;I'!L12</f>
        <v>0</v>
      </c>
      <c r="M26" s="255">
        <f>+M6-'[1]F&amp;I'!M12</f>
        <v>0</v>
      </c>
      <c r="N26" s="255">
        <f>+N6-'[1]F&amp;I'!N12</f>
        <v>0</v>
      </c>
      <c r="O26" s="255"/>
      <c r="P26" t="s">
        <v>28</v>
      </c>
      <c r="Q26" s="255">
        <f>+Q6-'[1]F&amp;I'!Q12</f>
        <v>0</v>
      </c>
      <c r="R26" s="255">
        <f>+R6-'[1]F&amp;I'!R12</f>
        <v>0</v>
      </c>
      <c r="S26" s="255">
        <f>+S6-'[1]F&amp;I'!S12</f>
        <v>0</v>
      </c>
      <c r="T26" s="255">
        <f>+T6-'[1]F&amp;I'!T12</f>
        <v>0</v>
      </c>
      <c r="U26" s="255">
        <f>+U6-'[1]F&amp;I'!U12</f>
        <v>0</v>
      </c>
      <c r="V26" s="255">
        <f>+V6-'[1]F&amp;I'!V12</f>
        <v>0</v>
      </c>
      <c r="W26" s="255">
        <f>+W6-'[1]F&amp;I'!W12</f>
        <v>0</v>
      </c>
      <c r="X26" s="255">
        <f>+X6-'[1]F&amp;I'!X12</f>
        <v>0</v>
      </c>
      <c r="Y26" s="255">
        <f>+Y6-'[1]F&amp;I'!Y12</f>
        <v>0</v>
      </c>
      <c r="Z26" s="255">
        <f>+Z6-'[1]F&amp;I'!Z12</f>
        <v>0</v>
      </c>
      <c r="AA26" s="255">
        <f>+AA6-'[1]F&amp;I'!AA12</f>
        <v>0</v>
      </c>
      <c r="AB26" s="255">
        <f>+AB6-'[1]F&amp;I'!AB12</f>
        <v>0</v>
      </c>
      <c r="AC26" s="255">
        <f>+AC6-'[1]F&amp;I'!AC12</f>
        <v>0</v>
      </c>
    </row>
    <row r="27" spans="1:32" outlineLevel="1" x14ac:dyDescent="0.25">
      <c r="A27" t="s">
        <v>28</v>
      </c>
      <c r="B27" s="255">
        <f>+B7-[1]Parts!B12</f>
        <v>0</v>
      </c>
      <c r="C27" s="255">
        <f>+C7-[1]Parts!C12</f>
        <v>0</v>
      </c>
      <c r="D27" s="255">
        <f>+D7-[1]Parts!D12</f>
        <v>0</v>
      </c>
      <c r="E27" s="255">
        <f>+E7-[1]Parts!E12</f>
        <v>0</v>
      </c>
      <c r="F27" s="255">
        <f>+F7-[1]Parts!F12</f>
        <v>0</v>
      </c>
      <c r="G27" s="255">
        <f>+G7-[1]Parts!G12</f>
        <v>0</v>
      </c>
      <c r="H27" s="255">
        <f>+H7-[1]Parts!H12</f>
        <v>0</v>
      </c>
      <c r="I27" s="255">
        <f>+I7-[1]Parts!I12</f>
        <v>0</v>
      </c>
      <c r="J27" s="255">
        <f>+J7-[1]Parts!J12</f>
        <v>0</v>
      </c>
      <c r="K27" s="255">
        <f>+K7-[1]Parts!K12</f>
        <v>0</v>
      </c>
      <c r="L27" s="255">
        <f>+L7-[1]Parts!L12</f>
        <v>0</v>
      </c>
      <c r="M27" s="255">
        <f>+M7-[1]Parts!M12</f>
        <v>0</v>
      </c>
      <c r="N27" s="255">
        <f>+N7-[1]Parts!N12</f>
        <v>0</v>
      </c>
      <c r="O27" s="255"/>
      <c r="P27" t="s">
        <v>28</v>
      </c>
      <c r="Q27" s="255">
        <f>+Q7-[1]Parts!Q12</f>
        <v>0</v>
      </c>
      <c r="R27" s="255">
        <f>+R7-[1]Parts!R12</f>
        <v>0</v>
      </c>
      <c r="S27" s="255">
        <f>+S7-[1]Parts!S12</f>
        <v>0</v>
      </c>
      <c r="T27" s="255">
        <f>+T7-[1]Parts!T12</f>
        <v>0</v>
      </c>
      <c r="U27" s="255">
        <f>+U7-[1]Parts!U12</f>
        <v>0</v>
      </c>
      <c r="V27" s="255">
        <f>+V7-[1]Parts!V12</f>
        <v>0</v>
      </c>
      <c r="W27" s="255">
        <f>+W7-[1]Parts!W12</f>
        <v>0</v>
      </c>
      <c r="X27" s="255">
        <f>+X7-[1]Parts!X12</f>
        <v>0</v>
      </c>
      <c r="Y27" s="255">
        <f>+Y7-[1]Parts!Y12</f>
        <v>0</v>
      </c>
      <c r="Z27" s="255">
        <f>+Z7-[1]Parts!Z12</f>
        <v>0</v>
      </c>
      <c r="AA27" s="255">
        <f>+AA7-[1]Parts!AA12</f>
        <v>0</v>
      </c>
      <c r="AB27" s="255">
        <f>+AB7-[1]Parts!AB12</f>
        <v>0</v>
      </c>
      <c r="AC27" s="255">
        <f>+AC7-[1]Parts!AC12</f>
        <v>0</v>
      </c>
    </row>
    <row r="28" spans="1:32" outlineLevel="1" x14ac:dyDescent="0.25">
      <c r="A28" t="s">
        <v>28</v>
      </c>
      <c r="B28" s="255">
        <f>+B8-[1]Service!B19</f>
        <v>0</v>
      </c>
      <c r="C28" s="255">
        <f>+C8-[1]Service!C19</f>
        <v>0</v>
      </c>
      <c r="D28" s="255">
        <f>+D8-[1]Service!D19</f>
        <v>0</v>
      </c>
      <c r="E28" s="255">
        <f>+E8-[1]Service!E19</f>
        <v>0</v>
      </c>
      <c r="F28" s="255">
        <f>+F8-[1]Service!F19</f>
        <v>0</v>
      </c>
      <c r="G28" s="255">
        <f>+G8-[1]Service!G19</f>
        <v>0</v>
      </c>
      <c r="H28" s="255">
        <f>+H8-[1]Service!H19</f>
        <v>0</v>
      </c>
      <c r="I28" s="255">
        <f>+I8-[1]Service!I19</f>
        <v>0</v>
      </c>
      <c r="J28" s="255">
        <f>+J8-[1]Service!J19</f>
        <v>0</v>
      </c>
      <c r="K28" s="255">
        <f>+K8-[1]Service!K19</f>
        <v>0</v>
      </c>
      <c r="L28" s="255">
        <f>+L8-[1]Service!L19</f>
        <v>0</v>
      </c>
      <c r="M28" s="255">
        <f>+M8-[1]Service!M19</f>
        <v>0</v>
      </c>
      <c r="N28" s="255">
        <f>+N8-[1]Service!N19</f>
        <v>0</v>
      </c>
      <c r="O28" s="255"/>
      <c r="P28" t="s">
        <v>28</v>
      </c>
      <c r="Q28" s="255">
        <f>+Q8-[1]Service!Q19</f>
        <v>0</v>
      </c>
      <c r="R28" s="255">
        <f>+R8-[1]Service!R19</f>
        <v>0</v>
      </c>
      <c r="S28" s="255">
        <f>+S8-[1]Service!S19</f>
        <v>0</v>
      </c>
      <c r="T28" s="255">
        <f>+T8-[1]Service!T19</f>
        <v>0</v>
      </c>
      <c r="U28" s="255">
        <f>+U8-[1]Service!U19</f>
        <v>0</v>
      </c>
      <c r="V28" s="255">
        <f>+V8-[1]Service!V19</f>
        <v>0</v>
      </c>
      <c r="W28" s="255">
        <f>+W8-[1]Service!W19</f>
        <v>0</v>
      </c>
      <c r="X28" s="255">
        <f>+X8-[1]Service!X19</f>
        <v>0</v>
      </c>
      <c r="Y28" s="255">
        <f>+Y8-[1]Service!Y19</f>
        <v>0</v>
      </c>
      <c r="Z28" s="255">
        <f>+Z8-[1]Service!Z19</f>
        <v>0</v>
      </c>
      <c r="AA28" s="255">
        <f>+AA8-[1]Service!AA19</f>
        <v>0</v>
      </c>
      <c r="AB28" s="255">
        <f>+AB8-[1]Service!AB19</f>
        <v>0</v>
      </c>
      <c r="AC28" s="255">
        <f>+AC8-[1]Service!AC19</f>
        <v>0</v>
      </c>
    </row>
    <row r="29" spans="1:32" outlineLevel="1" x14ac:dyDescent="0.25">
      <c r="A29" t="s">
        <v>28</v>
      </c>
      <c r="B29" s="255">
        <f>+B12-[1]Admin!B4</f>
        <v>0</v>
      </c>
      <c r="C29" s="255">
        <f>+C12-[1]Admin!C4</f>
        <v>0</v>
      </c>
      <c r="D29" s="255">
        <f>+D12-[1]Admin!D4</f>
        <v>0</v>
      </c>
      <c r="E29" s="255">
        <f>+E12-[1]Admin!E4</f>
        <v>0</v>
      </c>
      <c r="F29" s="255">
        <f>+F12-[1]Admin!F4</f>
        <v>0</v>
      </c>
      <c r="G29" s="255">
        <f>+G12-[1]Admin!G4</f>
        <v>0</v>
      </c>
      <c r="H29" s="255">
        <f>+H12-[1]Admin!H4</f>
        <v>0</v>
      </c>
      <c r="I29" s="255">
        <f>+I12-[1]Admin!I4</f>
        <v>0</v>
      </c>
      <c r="J29" s="255">
        <f>+J12-[1]Admin!J4</f>
        <v>0</v>
      </c>
      <c r="K29" s="255">
        <f>+K12-[1]Admin!K4</f>
        <v>0</v>
      </c>
      <c r="L29" s="255">
        <f>+L12-[1]Admin!L4</f>
        <v>0</v>
      </c>
      <c r="M29" s="255">
        <f>+M12-[1]Admin!M4</f>
        <v>0</v>
      </c>
      <c r="N29" s="255">
        <f>+N12-[1]Admin!N4</f>
        <v>0</v>
      </c>
      <c r="O29" s="255"/>
      <c r="P29" t="s">
        <v>28</v>
      </c>
      <c r="Q29" s="255">
        <f>+Q12-[1]Admin!Q4</f>
        <v>0</v>
      </c>
      <c r="R29" s="255">
        <f>+R12-[1]Admin!R4</f>
        <v>0</v>
      </c>
      <c r="S29" s="255">
        <f>+S12-[1]Admin!S4</f>
        <v>0</v>
      </c>
      <c r="T29" s="255">
        <f>+T12-[1]Admin!T4</f>
        <v>0</v>
      </c>
      <c r="U29" s="255">
        <f>+U12-[1]Admin!U4</f>
        <v>0</v>
      </c>
      <c r="V29" s="255">
        <f>+V12-[1]Admin!V4</f>
        <v>0</v>
      </c>
      <c r="W29" s="255">
        <f>+W12-[1]Admin!W4</f>
        <v>0</v>
      </c>
      <c r="X29" s="255">
        <f>+X12-[1]Admin!X4</f>
        <v>0</v>
      </c>
      <c r="Y29" s="255">
        <f>+Y12-[1]Admin!Y4</f>
        <v>0</v>
      </c>
      <c r="Z29" s="255">
        <f>+Z12-[1]Admin!Z4</f>
        <v>0</v>
      </c>
      <c r="AA29" s="255">
        <f>+AA12-[1]Admin!AA4</f>
        <v>0</v>
      </c>
      <c r="AB29" s="255">
        <f>+AB12-[1]Admin!AB4</f>
        <v>0</v>
      </c>
      <c r="AC29" s="255">
        <f>+AC12-[1]Admin!AC4</f>
        <v>0</v>
      </c>
    </row>
    <row r="30" spans="1:32" x14ac:dyDescent="0.25">
      <c r="B30" s="255"/>
      <c r="C30" s="255"/>
      <c r="D30" s="255"/>
      <c r="E30" s="255"/>
      <c r="F30" s="255"/>
      <c r="G30" s="255"/>
      <c r="H30" s="255"/>
      <c r="I30" s="255"/>
      <c r="J30" s="255"/>
      <c r="K30" s="255"/>
      <c r="L30" s="255"/>
      <c r="M30" s="255"/>
      <c r="N30" s="255"/>
      <c r="O30" s="255"/>
      <c r="Q30" s="255"/>
      <c r="R30" s="255"/>
      <c r="S30" s="255"/>
      <c r="T30" s="255"/>
      <c r="U30" s="255"/>
      <c r="V30" s="255"/>
      <c r="W30" s="255"/>
      <c r="X30" s="256"/>
      <c r="Y30" s="256"/>
      <c r="Z30" s="256"/>
      <c r="AA30" s="256"/>
      <c r="AB30" s="256"/>
      <c r="AC30" s="256"/>
    </row>
    <row r="31" spans="1:32" x14ac:dyDescent="0.25">
      <c r="B31" s="176"/>
      <c r="C31" s="176"/>
      <c r="D31" s="176"/>
      <c r="E31" s="176"/>
      <c r="F31" s="176"/>
      <c r="G31" s="176"/>
      <c r="H31" s="176"/>
      <c r="I31" s="176"/>
      <c r="J31" s="176"/>
      <c r="K31" s="176"/>
      <c r="L31" s="176"/>
      <c r="M31" s="176"/>
      <c r="N31" s="176"/>
      <c r="O31" s="176"/>
      <c r="Q31" s="176"/>
      <c r="R31" s="176"/>
      <c r="S31" s="176"/>
      <c r="T31" s="176"/>
      <c r="U31" s="176"/>
      <c r="V31" s="176"/>
      <c r="W31" s="176"/>
    </row>
    <row r="32" spans="1:32" x14ac:dyDescent="0.25">
      <c r="B32" s="176"/>
      <c r="C32" s="176"/>
      <c r="D32" s="176"/>
      <c r="E32" s="176"/>
      <c r="F32" s="176"/>
      <c r="G32" s="176"/>
      <c r="H32" s="176"/>
      <c r="I32" s="176"/>
      <c r="J32" s="176"/>
      <c r="K32" s="176"/>
      <c r="L32" s="176"/>
      <c r="M32" s="176"/>
      <c r="N32" s="176"/>
      <c r="O32" s="176"/>
      <c r="Q32" s="176"/>
      <c r="R32" s="176"/>
      <c r="S32" s="176"/>
      <c r="T32" s="176"/>
      <c r="U32" s="176"/>
      <c r="V32" s="176"/>
      <c r="W32" s="176"/>
    </row>
    <row r="36" spans="1:40" s="242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1:40" s="242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9" spans="1:40" x14ac:dyDescent="0.25">
      <c r="AD39" s="244"/>
      <c r="AE39" s="244"/>
      <c r="AF39" s="244"/>
      <c r="AG39" s="244"/>
      <c r="AH39" s="244"/>
      <c r="AI39" s="244"/>
      <c r="AJ39" s="244"/>
      <c r="AK39" s="244"/>
      <c r="AL39" s="244"/>
      <c r="AM39" s="244"/>
      <c r="AN39" s="244"/>
    </row>
    <row r="40" spans="1:40" x14ac:dyDescent="0.25">
      <c r="AD40" s="244"/>
      <c r="AE40" s="244"/>
      <c r="AF40" s="244"/>
      <c r="AG40" s="244"/>
      <c r="AH40" s="244"/>
      <c r="AI40" s="244"/>
      <c r="AJ40" s="244"/>
      <c r="AK40" s="244"/>
      <c r="AL40" s="244"/>
      <c r="AM40" s="244"/>
      <c r="AN40" s="244"/>
    </row>
    <row r="41" spans="1:40" x14ac:dyDescent="0.25">
      <c r="AD41" s="244"/>
      <c r="AE41" s="244"/>
      <c r="AF41" s="244"/>
      <c r="AG41" s="244"/>
      <c r="AH41" s="244"/>
      <c r="AI41" s="244"/>
      <c r="AJ41" s="244"/>
      <c r="AK41" s="244"/>
      <c r="AL41" s="244"/>
      <c r="AM41" s="244"/>
      <c r="AN41" s="244"/>
    </row>
    <row r="42" spans="1:40" x14ac:dyDescent="0.25">
      <c r="AD42" s="244"/>
      <c r="AE42" s="244"/>
      <c r="AF42" s="244"/>
      <c r="AG42" s="244"/>
      <c r="AH42" s="244"/>
      <c r="AI42" s="244"/>
      <c r="AJ42" s="244"/>
      <c r="AK42" s="244"/>
      <c r="AL42" s="244"/>
      <c r="AM42" s="244"/>
      <c r="AN42" s="244"/>
    </row>
    <row r="43" spans="1:40" x14ac:dyDescent="0.25">
      <c r="AD43" s="244"/>
      <c r="AE43" s="244"/>
      <c r="AF43" s="244"/>
      <c r="AG43" s="244"/>
      <c r="AH43" s="244"/>
      <c r="AI43" s="244"/>
      <c r="AJ43" s="244"/>
      <c r="AK43" s="244"/>
      <c r="AL43" s="244"/>
      <c r="AM43" s="244"/>
      <c r="AN43" s="244"/>
    </row>
    <row r="44" spans="1:40" x14ac:dyDescent="0.25">
      <c r="AD44" s="244"/>
      <c r="AE44" s="244"/>
      <c r="AF44" s="244"/>
      <c r="AG44" s="244"/>
      <c r="AH44" s="244"/>
      <c r="AI44" s="244"/>
      <c r="AJ44" s="244"/>
      <c r="AK44" s="244"/>
      <c r="AL44" s="244"/>
      <c r="AM44" s="244"/>
      <c r="AN44" s="244"/>
    </row>
    <row r="45" spans="1:40" s="247" customFormat="1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49"/>
      <c r="AE45" s="249"/>
      <c r="AF45" s="249"/>
      <c r="AG45" s="249"/>
      <c r="AH45" s="249"/>
      <c r="AI45" s="249"/>
      <c r="AJ45" s="249"/>
      <c r="AK45" s="249"/>
      <c r="AL45" s="249"/>
      <c r="AM45" s="249"/>
      <c r="AN45" s="249"/>
    </row>
    <row r="46" spans="1:40" x14ac:dyDescent="0.25">
      <c r="AD46" s="244"/>
      <c r="AE46" s="244"/>
      <c r="AF46" s="244"/>
      <c r="AG46" s="244"/>
      <c r="AH46" s="244"/>
      <c r="AI46" s="244"/>
      <c r="AJ46" s="244"/>
      <c r="AK46" s="244"/>
      <c r="AL46" s="244"/>
      <c r="AM46" s="244"/>
      <c r="AN46" s="244"/>
    </row>
    <row r="47" spans="1:40" s="247" customFormat="1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49"/>
      <c r="AE47" s="249"/>
      <c r="AF47" s="249"/>
      <c r="AG47" s="249"/>
      <c r="AH47" s="249"/>
      <c r="AI47" s="249"/>
      <c r="AJ47" s="249"/>
      <c r="AK47" s="249"/>
      <c r="AL47" s="249"/>
      <c r="AM47" s="249"/>
      <c r="AN47" s="249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46CA7-6A3A-4C27-8346-365017482A4E}">
  <sheetPr>
    <pageSetUpPr fitToPage="1"/>
  </sheetPr>
  <dimension ref="A1:O58"/>
  <sheetViews>
    <sheetView topLeftCell="A16" workbookViewId="0">
      <selection activeCell="K32" sqref="K32"/>
    </sheetView>
  </sheetViews>
  <sheetFormatPr defaultColWidth="8.85546875" defaultRowHeight="15" x14ac:dyDescent="0.25"/>
  <cols>
    <col min="1" max="1" width="69" style="149" customWidth="1"/>
    <col min="2" max="2" width="9.28515625" style="149" bestFit="1" customWidth="1"/>
    <col min="3" max="3" width="10" style="149" bestFit="1" customWidth="1"/>
    <col min="4" max="4" width="10.140625" style="149" bestFit="1" customWidth="1"/>
    <col min="5" max="6" width="9.5703125" style="149" bestFit="1" customWidth="1"/>
    <col min="7" max="7" width="10" style="149" bestFit="1" customWidth="1"/>
    <col min="8" max="8" width="10.7109375" style="149" bestFit="1" customWidth="1"/>
    <col min="9" max="9" width="9.7109375" style="149" customWidth="1"/>
    <col min="10" max="11" width="10.140625" style="149" bestFit="1" customWidth="1"/>
    <col min="12" max="12" width="24.85546875" style="149" customWidth="1"/>
    <col min="13" max="16384" width="8.85546875" style="149"/>
  </cols>
  <sheetData>
    <row r="1" spans="1:15" s="177" customFormat="1" ht="45" x14ac:dyDescent="0.25">
      <c r="C1" s="177" t="s">
        <v>29</v>
      </c>
      <c r="D1" s="177" t="s">
        <v>30</v>
      </c>
      <c r="E1" s="177" t="s">
        <v>16</v>
      </c>
      <c r="F1" s="177" t="s">
        <v>5</v>
      </c>
      <c r="G1" s="177" t="s">
        <v>17</v>
      </c>
      <c r="H1" s="206" t="s">
        <v>31</v>
      </c>
      <c r="I1" s="206" t="s">
        <v>32</v>
      </c>
      <c r="J1" s="177" t="s">
        <v>33</v>
      </c>
      <c r="K1" s="206" t="s">
        <v>34</v>
      </c>
    </row>
    <row r="2" spans="1:15" s="208" customFormat="1" x14ac:dyDescent="0.25">
      <c r="H2" s="209"/>
      <c r="I2" s="209"/>
      <c r="K2" s="209"/>
    </row>
    <row r="3" spans="1:15" s="171" customFormat="1" x14ac:dyDescent="0.25">
      <c r="A3" s="266" t="s">
        <v>35</v>
      </c>
      <c r="B3" s="172"/>
      <c r="C3" s="174">
        <f>OVERALL!C9</f>
        <v>35250</v>
      </c>
      <c r="D3" s="174">
        <f>OVERALL!C10</f>
        <v>95935.971732323305</v>
      </c>
      <c r="E3" s="174">
        <f>OVERALL!C11</f>
        <v>83167.533333333355</v>
      </c>
      <c r="F3" s="174">
        <f>OVERALL!C12</f>
        <v>114986.33433333333</v>
      </c>
      <c r="G3" s="174">
        <f>OVERALL!C13</f>
        <v>177349.68666666656</v>
      </c>
      <c r="H3" s="204">
        <f>SUM(C3:G3)</f>
        <v>506689.52606565657</v>
      </c>
      <c r="I3" s="204">
        <f>OVERALL!C15</f>
        <v>80550.854892891017</v>
      </c>
      <c r="J3" s="174">
        <f>-OVERALL!C16</f>
        <v>-540000.00000000012</v>
      </c>
      <c r="K3" s="204">
        <f>+SUM(H3:J3)</f>
        <v>47240.380958547466</v>
      </c>
      <c r="L3" s="174"/>
      <c r="M3" s="174"/>
      <c r="N3" s="174"/>
      <c r="O3" s="174"/>
    </row>
    <row r="4" spans="1:15" x14ac:dyDescent="0.25">
      <c r="B4" s="210"/>
      <c r="C4" s="178"/>
      <c r="D4" s="178"/>
      <c r="E4" s="178"/>
      <c r="F4" s="178"/>
      <c r="G4" s="178"/>
      <c r="H4" s="211"/>
      <c r="I4" s="211"/>
      <c r="J4" s="178"/>
      <c r="K4" s="211"/>
      <c r="L4" s="178"/>
      <c r="M4" s="178"/>
      <c r="N4" s="178"/>
      <c r="O4" s="178"/>
    </row>
    <row r="5" spans="1:15" x14ac:dyDescent="0.25">
      <c r="A5" s="149" t="s">
        <v>36</v>
      </c>
      <c r="B5" s="210"/>
      <c r="C5" s="178"/>
      <c r="D5" s="178"/>
      <c r="E5" s="178"/>
      <c r="F5" s="178"/>
      <c r="G5" s="178"/>
      <c r="H5" s="211"/>
      <c r="I5" s="211"/>
      <c r="J5" s="178"/>
      <c r="K5" s="211"/>
      <c r="L5" s="178"/>
      <c r="M5" s="178"/>
      <c r="N5" s="178"/>
      <c r="O5" s="178"/>
    </row>
    <row r="6" spans="1:15" x14ac:dyDescent="0.25">
      <c r="A6" s="149" t="s">
        <v>37</v>
      </c>
      <c r="B6" s="210"/>
      <c r="C6" s="178">
        <f>'NEW VEHICLE GROUP'!D6*'NEW VEHICLE GROUP'!C8</f>
        <v>-1950</v>
      </c>
      <c r="D6" s="178"/>
      <c r="E6" s="178"/>
      <c r="F6" s="178"/>
      <c r="G6" s="178"/>
      <c r="H6" s="211">
        <f t="shared" ref="H6:H21" si="0">SUM(C6:G6)</f>
        <v>-1950</v>
      </c>
      <c r="I6" s="211"/>
      <c r="J6" s="178"/>
      <c r="K6" s="211">
        <f>+SUM(H6:J6)</f>
        <v>-1950</v>
      </c>
      <c r="L6" s="295" t="s">
        <v>38</v>
      </c>
      <c r="M6" s="178"/>
      <c r="N6" s="178"/>
      <c r="O6" s="178"/>
    </row>
    <row r="7" spans="1:15" x14ac:dyDescent="0.25">
      <c r="A7" s="149" t="s">
        <v>39</v>
      </c>
      <c r="B7" s="210"/>
      <c r="C7" s="178">
        <f>'NEW VEHICLE GROUP'!D8*'NEW VEHICLE GROUP'!B6</f>
        <v>3480.669999999971</v>
      </c>
      <c r="D7" s="178"/>
      <c r="E7" s="178"/>
      <c r="F7" s="178"/>
      <c r="G7" s="178"/>
      <c r="H7" s="211">
        <f t="shared" si="0"/>
        <v>3480.669999999971</v>
      </c>
      <c r="I7" s="211"/>
      <c r="J7" s="178"/>
      <c r="K7" s="211">
        <f t="shared" ref="K7:K19" si="1">+SUM(H7:J7)</f>
        <v>3480.669999999971</v>
      </c>
      <c r="L7" s="294" t="s">
        <v>40</v>
      </c>
      <c r="M7" s="178"/>
      <c r="N7" s="178"/>
      <c r="O7" s="178"/>
    </row>
    <row r="8" spans="1:15" x14ac:dyDescent="0.25">
      <c r="A8" s="149" t="s">
        <v>41</v>
      </c>
      <c r="B8" s="210"/>
      <c r="C8" s="178">
        <f>'NS NEW VEHICLE'!D10*'NS NEW VEHICLE'!B6</f>
        <v>-2118.1399999999976</v>
      </c>
      <c r="D8" s="178"/>
      <c r="E8" s="178"/>
      <c r="F8" s="178"/>
      <c r="G8" s="178"/>
      <c r="H8" s="211">
        <f t="shared" si="0"/>
        <v>-2118.1399999999976</v>
      </c>
      <c r="I8" s="211"/>
      <c r="J8" s="178"/>
      <c r="K8" s="211">
        <f t="shared" si="1"/>
        <v>-2118.1399999999976</v>
      </c>
      <c r="L8" s="178"/>
      <c r="M8" s="178"/>
      <c r="N8" s="178"/>
      <c r="O8" s="178"/>
    </row>
    <row r="9" spans="1:15" x14ac:dyDescent="0.25">
      <c r="A9" s="149" t="s">
        <v>42</v>
      </c>
      <c r="B9" s="210"/>
      <c r="C9" s="178">
        <f>'NW NEW VEHICLE'!D10*'NW NEW VEHICLE'!B6</f>
        <v>3412.510000000002</v>
      </c>
      <c r="D9" s="178"/>
      <c r="E9" s="178"/>
      <c r="F9" s="178"/>
      <c r="G9" s="178"/>
      <c r="H9" s="211">
        <f t="shared" si="0"/>
        <v>3412.510000000002</v>
      </c>
      <c r="I9" s="211"/>
      <c r="J9" s="178"/>
      <c r="K9" s="211">
        <f t="shared" si="1"/>
        <v>3412.510000000002</v>
      </c>
      <c r="L9" s="178"/>
      <c r="M9" s="178"/>
      <c r="N9" s="178"/>
      <c r="O9" s="178"/>
    </row>
    <row r="10" spans="1:15" x14ac:dyDescent="0.25">
      <c r="A10" s="149" t="s">
        <v>43</v>
      </c>
      <c r="B10" s="210"/>
      <c r="C10" s="178"/>
      <c r="D10" s="178">
        <f>'USED VEHICLE GROUP'!B6*'USED VEHICLE GROUP'!B14+'USED VEHICLE GROUP'!B7*'USED VEHICLE GROUP'!B15-'USED VEHICLE GROUP'!C6*'USED VEHICLE GROUP'!C14</f>
        <v>12329.989999999991</v>
      </c>
      <c r="E10" s="178"/>
      <c r="F10" s="178"/>
      <c r="G10" s="178"/>
      <c r="H10" s="211">
        <f>SUM(C10:G10)</f>
        <v>12329.989999999991</v>
      </c>
      <c r="I10" s="211"/>
      <c r="J10" s="178"/>
      <c r="K10" s="211">
        <f>+SUM(H10:J10)</f>
        <v>12329.989999999991</v>
      </c>
      <c r="L10" s="294" t="s">
        <v>44</v>
      </c>
      <c r="M10" s="178"/>
      <c r="N10" s="178"/>
      <c r="O10" s="178"/>
    </row>
    <row r="11" spans="1:15" x14ac:dyDescent="0.25">
      <c r="A11" s="149" t="s">
        <v>45</v>
      </c>
      <c r="B11" s="210"/>
      <c r="C11" s="178"/>
      <c r="D11" s="178">
        <f>'USED VEHICLE GROUP'!D9*'USED VEHICLE GROUP'!C17</f>
        <v>-47002.5</v>
      </c>
      <c r="E11" s="178"/>
      <c r="F11" s="178"/>
      <c r="G11" s="178"/>
      <c r="H11" s="211">
        <f t="shared" si="0"/>
        <v>-47002.5</v>
      </c>
      <c r="I11" s="211"/>
      <c r="J11" s="178"/>
      <c r="K11" s="211">
        <f t="shared" si="1"/>
        <v>-47002.5</v>
      </c>
      <c r="L11" s="295" t="s">
        <v>46</v>
      </c>
      <c r="M11" s="178"/>
      <c r="N11" s="178"/>
      <c r="O11" s="178"/>
    </row>
    <row r="12" spans="1:15" x14ac:dyDescent="0.25">
      <c r="A12" s="149" t="s">
        <v>47</v>
      </c>
      <c r="B12" s="210"/>
      <c r="C12" s="178"/>
      <c r="D12" s="178">
        <f>'USED VEHICLE GROUP'!D17*'USED VEHICLE GROUP'!B9</f>
        <v>-23680.759999999889</v>
      </c>
      <c r="E12" s="178"/>
      <c r="F12" s="178"/>
      <c r="G12" s="178"/>
      <c r="H12" s="211">
        <f t="shared" si="0"/>
        <v>-23680.759999999889</v>
      </c>
      <c r="I12" s="211"/>
      <c r="J12" s="178"/>
      <c r="K12" s="211">
        <f t="shared" si="1"/>
        <v>-23680.759999999889</v>
      </c>
      <c r="L12" s="295" t="s">
        <v>48</v>
      </c>
      <c r="M12" s="178"/>
      <c r="N12" s="178"/>
      <c r="O12" s="178"/>
    </row>
    <row r="13" spans="1:15" x14ac:dyDescent="0.25">
      <c r="A13" s="149" t="s">
        <v>49</v>
      </c>
      <c r="B13" s="210"/>
      <c r="C13" s="178"/>
      <c r="D13" s="178">
        <f>'USED VEHICLE GROUP'!B8*'USED VEHICLE GROUP'!B16-'USED VEHICLE GROUP'!C8*'USED VEHICLE GROUP'!C16</f>
        <v>2305.3688888889083</v>
      </c>
      <c r="E13" s="178"/>
      <c r="F13" s="178"/>
      <c r="G13" s="178"/>
      <c r="H13" s="211">
        <f>SUM(C13:G13)</f>
        <v>2305.3688888889083</v>
      </c>
      <c r="I13" s="211"/>
      <c r="J13" s="178"/>
      <c r="K13" s="211">
        <f>+SUM(H13:J13)</f>
        <v>2305.3688888889083</v>
      </c>
      <c r="L13" s="309" t="s">
        <v>50</v>
      </c>
      <c r="M13" s="178"/>
      <c r="N13" s="178"/>
      <c r="O13" s="178"/>
    </row>
    <row r="14" spans="1:15" x14ac:dyDescent="0.25">
      <c r="A14" s="149" t="s">
        <v>51</v>
      </c>
      <c r="B14" s="210"/>
      <c r="C14" s="178"/>
      <c r="D14" s="178"/>
      <c r="E14" s="178"/>
      <c r="F14" s="178"/>
      <c r="G14" s="178">
        <f>'SERVICE GROUP'!D21</f>
        <v>-5890.2599999999511</v>
      </c>
      <c r="H14" s="211">
        <f t="shared" si="0"/>
        <v>-5890.2599999999511</v>
      </c>
      <c r="I14" s="211"/>
      <c r="J14" s="178"/>
      <c r="K14" s="211">
        <f t="shared" si="1"/>
        <v>-5890.2599999999511</v>
      </c>
      <c r="L14" s="178"/>
      <c r="M14" s="178"/>
      <c r="N14" s="178"/>
      <c r="O14" s="178"/>
    </row>
    <row r="15" spans="1:15" x14ac:dyDescent="0.25">
      <c r="A15" s="149" t="s">
        <v>25</v>
      </c>
      <c r="B15" s="210"/>
      <c r="C15" s="178"/>
      <c r="D15" s="178"/>
      <c r="E15" s="178">
        <f>'F&amp;I GROUP'!D14-E21</f>
        <v>6245.0033333333267</v>
      </c>
      <c r="F15" s="178"/>
      <c r="G15" s="178"/>
      <c r="H15" s="211">
        <f t="shared" si="0"/>
        <v>6245.0033333333267</v>
      </c>
      <c r="I15" s="211"/>
      <c r="J15" s="178"/>
      <c r="K15" s="211">
        <f t="shared" si="1"/>
        <v>6245.0033333333267</v>
      </c>
      <c r="L15" s="319" t="s">
        <v>52</v>
      </c>
      <c r="M15" s="178"/>
      <c r="N15" s="178"/>
      <c r="O15" s="178"/>
    </row>
    <row r="16" spans="1:15" x14ac:dyDescent="0.25">
      <c r="A16" s="149" t="s">
        <v>53</v>
      </c>
      <c r="B16" s="210"/>
      <c r="C16" s="178"/>
      <c r="D16" s="178"/>
      <c r="E16" s="178"/>
      <c r="F16" s="178">
        <f>'PARTS GROUP'!D24-'PARTS GROUP'!D23</f>
        <v>-45206.040000000095</v>
      </c>
      <c r="G16" s="178"/>
      <c r="H16" s="211">
        <f t="shared" si="0"/>
        <v>-45206.040000000095</v>
      </c>
      <c r="I16" s="211"/>
      <c r="J16" s="178"/>
      <c r="K16" s="211">
        <f t="shared" si="1"/>
        <v>-45206.040000000095</v>
      </c>
      <c r="L16" s="178"/>
      <c r="M16" s="178"/>
      <c r="N16" s="178"/>
      <c r="O16" s="178"/>
    </row>
    <row r="17" spans="1:15" x14ac:dyDescent="0.25">
      <c r="A17" s="149" t="s">
        <v>54</v>
      </c>
      <c r="C17" s="178"/>
      <c r="D17" s="178"/>
      <c r="E17" s="178"/>
      <c r="F17" s="178"/>
      <c r="G17" s="178"/>
      <c r="H17" s="211"/>
      <c r="I17" s="211">
        <f>+I24-I3-I18-I19</f>
        <v>-30483.744892891227</v>
      </c>
      <c r="J17" s="178"/>
      <c r="K17" s="211">
        <f t="shared" si="1"/>
        <v>-30483.744892891227</v>
      </c>
      <c r="L17" s="178" t="s">
        <v>55</v>
      </c>
      <c r="M17" s="178"/>
      <c r="N17" s="178"/>
      <c r="O17" s="178"/>
    </row>
    <row r="18" spans="1:15" x14ac:dyDescent="0.25">
      <c r="A18" s="149" t="s">
        <v>56</v>
      </c>
      <c r="C18" s="178"/>
      <c r="D18" s="178"/>
      <c r="E18" s="178"/>
      <c r="F18" s="178"/>
      <c r="G18" s="178"/>
      <c r="H18" s="211"/>
      <c r="I18" s="211">
        <f>8316+'LEX ADMIN &amp; OTHER'!G33</f>
        <v>-23293.61</v>
      </c>
      <c r="J18" s="178"/>
      <c r="K18" s="211">
        <f t="shared" si="1"/>
        <v>-23293.61</v>
      </c>
      <c r="L18" s="178" t="s">
        <v>57</v>
      </c>
      <c r="M18" s="178"/>
      <c r="N18" s="178"/>
      <c r="O18" s="178"/>
    </row>
    <row r="19" spans="1:15" x14ac:dyDescent="0.25">
      <c r="A19" s="149" t="s">
        <v>58</v>
      </c>
      <c r="C19" s="178"/>
      <c r="D19" s="178"/>
      <c r="E19" s="178"/>
      <c r="F19" s="178"/>
      <c r="G19" s="178"/>
      <c r="H19" s="211"/>
      <c r="I19" s="211">
        <f>'LEX ADMIN &amp; OTHER'!I33-22427</f>
        <v>-16455.05999999999</v>
      </c>
      <c r="J19" s="178"/>
      <c r="K19" s="211">
        <f t="shared" si="1"/>
        <v>-16455.05999999999</v>
      </c>
      <c r="L19" s="178" t="s">
        <v>59</v>
      </c>
      <c r="M19" s="178"/>
      <c r="N19" s="178"/>
      <c r="O19" s="178"/>
    </row>
    <row r="20" spans="1:15" x14ac:dyDescent="0.25">
      <c r="C20" s="178"/>
      <c r="D20" s="178"/>
      <c r="E20" s="178"/>
      <c r="F20" s="178"/>
      <c r="G20" s="178"/>
      <c r="H20" s="211"/>
      <c r="I20" s="211"/>
      <c r="J20" s="178"/>
      <c r="K20" s="211"/>
      <c r="L20" s="178"/>
      <c r="M20" s="178"/>
      <c r="N20" s="178"/>
      <c r="O20" s="178"/>
    </row>
    <row r="21" spans="1:15" x14ac:dyDescent="0.25">
      <c r="A21" s="149" t="s">
        <v>60</v>
      </c>
      <c r="C21" s="178">
        <f>'NEW VEHICLE GROUP'!B9*'NEW VEHICLE GROUP'!B6-'NEW VEHICLE GROUP'!C9*'NEW VEHICLE GROUP'!C6</f>
        <v>0</v>
      </c>
      <c r="D21" s="178">
        <f>-Export!L4097-Export!L4098+Export!N4097+Export!N4098</f>
        <v>0</v>
      </c>
      <c r="E21" s="178">
        <f>-Export!L2245-Export!L2246-Export!L4976+Export!N2245+Export!N2246+Export!N4976</f>
        <v>0</v>
      </c>
      <c r="F21" s="178">
        <f>'PARTS GROUP'!D23</f>
        <v>0</v>
      </c>
      <c r="G21" s="178">
        <v>0</v>
      </c>
      <c r="H21" s="211">
        <f t="shared" si="0"/>
        <v>0</v>
      </c>
      <c r="I21" s="211"/>
      <c r="J21" s="178"/>
      <c r="K21" s="211">
        <f>+SUM(H21:J21)</f>
        <v>0</v>
      </c>
      <c r="L21" s="178"/>
      <c r="M21" s="178"/>
      <c r="N21" s="178"/>
      <c r="O21" s="178"/>
    </row>
    <row r="22" spans="1:15" x14ac:dyDescent="0.25">
      <c r="A22" s="149" t="s">
        <v>61</v>
      </c>
      <c r="C22" s="178">
        <f>+C24-SUM(C3:C21)</f>
        <v>20041.840000000004</v>
      </c>
      <c r="D22" s="178">
        <f>+D24-SUM(D3:D21)</f>
        <v>-7303.060621212222</v>
      </c>
      <c r="E22" s="178">
        <f>+E24-SUM(E3:E21)</f>
        <v>-6925.0066666666971</v>
      </c>
      <c r="F22" s="178">
        <f>+F24-SUM(F3:F21)</f>
        <v>-13094.724333333361</v>
      </c>
      <c r="G22" s="178">
        <f>+G24-SUM(G3:G21)</f>
        <v>32315.423333333369</v>
      </c>
      <c r="H22" s="211">
        <f>SUM(C22:G22)</f>
        <v>25034.471712121092</v>
      </c>
      <c r="I22" s="211"/>
      <c r="J22" s="178">
        <f>+J24-SUM(J3:J21)</f>
        <v>-31135.6599999998</v>
      </c>
      <c r="K22" s="211">
        <f>+SUM(H22:J22)</f>
        <v>-6101.1882878787073</v>
      </c>
      <c r="L22" s="295" t="s">
        <v>62</v>
      </c>
      <c r="M22" s="178"/>
      <c r="N22" s="178"/>
      <c r="O22" s="178"/>
    </row>
    <row r="23" spans="1:15" x14ac:dyDescent="0.25">
      <c r="C23" s="178"/>
      <c r="D23" s="178"/>
      <c r="E23" s="178"/>
      <c r="F23" s="178"/>
      <c r="G23" s="178"/>
      <c r="H23" s="211"/>
      <c r="I23" s="211"/>
      <c r="J23" s="178"/>
      <c r="K23" s="211"/>
      <c r="L23" s="178"/>
      <c r="M23" s="178"/>
      <c r="N23" s="178"/>
      <c r="O23" s="178"/>
    </row>
    <row r="24" spans="1:15" s="171" customFormat="1" ht="15.75" thickBot="1" x14ac:dyDescent="0.3">
      <c r="A24" s="171" t="s">
        <v>12</v>
      </c>
      <c r="C24" s="173">
        <f>+'NEW VEHICLE GROUP'!$B$25</f>
        <v>58116.879999999976</v>
      </c>
      <c r="D24" s="173">
        <f>+'USED VEHICLE GROUP'!$B$35</f>
        <v>32585.010000000089</v>
      </c>
      <c r="E24" s="173">
        <f>+'F&amp;I GROUP'!$B$19</f>
        <v>82487.529999999984</v>
      </c>
      <c r="F24" s="173">
        <f>+'PARTS GROUP'!$B$30</f>
        <v>56685.569999999876</v>
      </c>
      <c r="G24" s="173">
        <f>+'SERVICE GROUP'!$B$26</f>
        <v>203774.84999999998</v>
      </c>
      <c r="H24" s="205">
        <f>SUM(C24:G24)</f>
        <v>433649.83999999991</v>
      </c>
      <c r="I24" s="205">
        <f>OVERALL!B15</f>
        <v>10318.439999999799</v>
      </c>
      <c r="J24" s="173">
        <f>-'ADMIN &amp; OTHER'!B6</f>
        <v>-571135.65999999992</v>
      </c>
      <c r="K24" s="205">
        <f>+SUM(H24:J24)</f>
        <v>-127167.38000000024</v>
      </c>
      <c r="L24" s="174"/>
      <c r="M24" s="174"/>
      <c r="N24" s="174"/>
      <c r="O24" s="174"/>
    </row>
    <row r="25" spans="1:15" ht="15.75" thickTop="1" x14ac:dyDescent="0.25">
      <c r="J25" s="178"/>
      <c r="K25" s="178"/>
      <c r="L25" s="178"/>
      <c r="M25" s="178"/>
      <c r="N25" s="178"/>
      <c r="O25" s="178"/>
    </row>
    <row r="26" spans="1:15" x14ac:dyDescent="0.25">
      <c r="C26" s="178">
        <f t="shared" ref="C26:K26" si="2">+C24-C3</f>
        <v>22866.879999999976</v>
      </c>
      <c r="D26" s="178">
        <f t="shared" si="2"/>
        <v>-63350.961732323216</v>
      </c>
      <c r="E26" s="178">
        <f t="shared" si="2"/>
        <v>-680.00333333337039</v>
      </c>
      <c r="F26" s="178">
        <f t="shared" si="2"/>
        <v>-58300.764333333456</v>
      </c>
      <c r="G26" s="178">
        <f t="shared" si="2"/>
        <v>26425.163333333418</v>
      </c>
      <c r="H26" s="174">
        <f t="shared" si="2"/>
        <v>-73039.686065656657</v>
      </c>
      <c r="I26" s="178">
        <f t="shared" si="2"/>
        <v>-70232.414892891218</v>
      </c>
      <c r="J26" s="178">
        <f t="shared" si="2"/>
        <v>-31135.6599999998</v>
      </c>
      <c r="K26" s="178">
        <f t="shared" si="2"/>
        <v>-174407.7609585477</v>
      </c>
      <c r="L26" s="178"/>
      <c r="M26" s="178"/>
      <c r="N26" s="178"/>
      <c r="O26" s="178"/>
    </row>
    <row r="27" spans="1:15" x14ac:dyDescent="0.25">
      <c r="C27" s="178"/>
      <c r="D27" s="178"/>
      <c r="E27" s="178"/>
      <c r="F27" s="178"/>
      <c r="G27" s="178"/>
      <c r="L27" s="178"/>
      <c r="M27" s="178"/>
      <c r="N27" s="178"/>
      <c r="O27" s="178"/>
    </row>
    <row r="28" spans="1:15" x14ac:dyDescent="0.25">
      <c r="A28" s="267"/>
      <c r="C28" s="178"/>
      <c r="D28" s="178"/>
      <c r="E28" s="178"/>
      <c r="F28" s="178"/>
      <c r="G28" s="178"/>
      <c r="L28" s="178"/>
      <c r="M28" s="178"/>
      <c r="N28" s="178"/>
      <c r="O28" s="178"/>
    </row>
    <row r="29" spans="1:15" x14ac:dyDescent="0.25">
      <c r="A29" s="275"/>
      <c r="C29" s="178"/>
      <c r="D29" s="178"/>
      <c r="E29" s="178"/>
      <c r="F29" s="178"/>
      <c r="G29" s="178"/>
      <c r="H29" s="178" t="s">
        <v>26</v>
      </c>
      <c r="I29" s="178"/>
      <c r="J29" s="178"/>
      <c r="K29" s="178">
        <f>+K16</f>
        <v>-45206.040000000095</v>
      </c>
      <c r="L29" s="178"/>
      <c r="M29" s="178"/>
      <c r="N29" s="178"/>
      <c r="O29" s="178"/>
    </row>
    <row r="30" spans="1:15" x14ac:dyDescent="0.25">
      <c r="A30" s="275"/>
      <c r="C30" s="178"/>
      <c r="D30" s="178"/>
      <c r="E30" s="178"/>
      <c r="F30" s="178"/>
      <c r="G30" s="178"/>
      <c r="H30" s="178" t="s">
        <v>24</v>
      </c>
      <c r="I30" s="178"/>
      <c r="J30" s="178"/>
      <c r="K30" s="178">
        <f>+SUM(D10:D13)</f>
        <v>-56047.901111110994</v>
      </c>
      <c r="L30" s="178"/>
      <c r="M30" s="178"/>
      <c r="N30" s="178"/>
      <c r="O30" s="178"/>
    </row>
    <row r="31" spans="1:15" x14ac:dyDescent="0.25">
      <c r="A31" s="275"/>
      <c r="C31" s="178"/>
      <c r="D31" s="178"/>
      <c r="E31" s="178"/>
      <c r="F31" s="178"/>
      <c r="G31" s="178"/>
      <c r="H31" s="178" t="s">
        <v>63</v>
      </c>
      <c r="I31" s="178"/>
      <c r="J31" s="178"/>
      <c r="K31" s="178">
        <f>+K22</f>
        <v>-6101.1882878787073</v>
      </c>
      <c r="L31" s="178"/>
      <c r="M31" s="178"/>
      <c r="N31" s="178"/>
      <c r="O31" s="178"/>
    </row>
    <row r="32" spans="1:15" ht="15" customHeight="1" x14ac:dyDescent="0.25">
      <c r="A32" s="207"/>
      <c r="C32" s="178"/>
      <c r="D32" s="178"/>
      <c r="E32" s="178"/>
      <c r="F32" s="178"/>
      <c r="G32" s="178"/>
      <c r="H32" s="178" t="s">
        <v>64</v>
      </c>
      <c r="I32" s="178"/>
      <c r="J32" s="178"/>
      <c r="K32" s="178">
        <f>+I17</f>
        <v>-30483.744892891227</v>
      </c>
      <c r="L32" s="178"/>
      <c r="M32" s="178"/>
      <c r="N32" s="178"/>
      <c r="O32" s="178"/>
    </row>
    <row r="33" spans="1:15" ht="15" customHeight="1" x14ac:dyDescent="0.25">
      <c r="A33" s="207"/>
      <c r="C33" s="178"/>
      <c r="D33" s="178"/>
      <c r="E33" s="178"/>
      <c r="F33" s="178"/>
      <c r="G33" s="178"/>
      <c r="H33" s="178" t="s">
        <v>65</v>
      </c>
      <c r="I33" s="178"/>
      <c r="J33" s="178"/>
      <c r="K33" s="178">
        <f>+SUM(I18:I19)</f>
        <v>-39748.669999999991</v>
      </c>
      <c r="L33" s="178"/>
      <c r="M33" s="178"/>
      <c r="N33" s="178"/>
      <c r="O33" s="178"/>
    </row>
    <row r="34" spans="1:15" ht="15" customHeight="1" x14ac:dyDescent="0.25">
      <c r="A34" s="207"/>
      <c r="C34" s="178"/>
      <c r="D34" s="178"/>
      <c r="E34" s="178"/>
      <c r="F34" s="178"/>
      <c r="G34" s="178"/>
      <c r="H34" s="178" t="s">
        <v>66</v>
      </c>
      <c r="I34" s="178"/>
      <c r="J34" s="178"/>
      <c r="K34" s="178">
        <f>+K26-SUM(K29:K33)</f>
        <v>3179.7833333332965</v>
      </c>
      <c r="L34" s="178"/>
      <c r="M34" s="178"/>
      <c r="N34" s="178"/>
      <c r="O34" s="178"/>
    </row>
    <row r="35" spans="1:15" x14ac:dyDescent="0.25">
      <c r="C35" s="178"/>
      <c r="D35" s="178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</row>
    <row r="36" spans="1:15" x14ac:dyDescent="0.25">
      <c r="C36" s="178"/>
      <c r="D36" s="178"/>
      <c r="E36" s="178"/>
      <c r="F36" s="178"/>
      <c r="G36" s="178"/>
      <c r="H36" s="178"/>
      <c r="I36" s="178"/>
      <c r="J36" s="178"/>
      <c r="K36" s="178">
        <f>SUM(K29:K35)</f>
        <v>-174407.7609585477</v>
      </c>
      <c r="L36" s="178"/>
      <c r="M36" s="178"/>
      <c r="N36" s="178"/>
      <c r="O36" s="178"/>
    </row>
    <row r="37" spans="1:15" x14ac:dyDescent="0.25">
      <c r="C37" s="178"/>
      <c r="D37" s="178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</row>
    <row r="38" spans="1:15" x14ac:dyDescent="0.25">
      <c r="F38" s="178"/>
      <c r="G38" s="178"/>
      <c r="H38" s="178"/>
      <c r="I38" s="178"/>
      <c r="J38" s="178"/>
      <c r="K38" s="178"/>
      <c r="L38" s="178"/>
      <c r="M38" s="178"/>
      <c r="N38" s="178"/>
      <c r="O38" s="178"/>
    </row>
    <row r="39" spans="1:15" x14ac:dyDescent="0.25">
      <c r="G39" s="178"/>
      <c r="H39" s="178"/>
      <c r="I39" s="178"/>
      <c r="J39" s="178"/>
      <c r="K39" s="178"/>
      <c r="L39" s="178"/>
      <c r="M39" s="178"/>
      <c r="N39" s="178"/>
      <c r="O39" s="178"/>
    </row>
    <row r="40" spans="1:15" x14ac:dyDescent="0.25">
      <c r="C40" s="178"/>
      <c r="D40" s="268"/>
      <c r="G40" s="178"/>
      <c r="H40" s="178"/>
      <c r="I40" s="178"/>
      <c r="J40" s="178"/>
      <c r="K40" s="178"/>
      <c r="L40" s="178"/>
      <c r="M40" s="178"/>
      <c r="N40" s="178"/>
      <c r="O40" s="178"/>
    </row>
    <row r="41" spans="1:15" x14ac:dyDescent="0.25">
      <c r="C41" s="178"/>
      <c r="D41" s="268"/>
      <c r="G41" s="178"/>
      <c r="H41" s="178"/>
      <c r="I41" s="178"/>
      <c r="J41" s="178"/>
      <c r="K41" s="178"/>
      <c r="L41" s="178"/>
      <c r="M41" s="178"/>
      <c r="N41" s="178"/>
      <c r="O41" s="178"/>
    </row>
    <row r="42" spans="1:15" x14ac:dyDescent="0.25">
      <c r="C42" s="178"/>
      <c r="D42" s="268"/>
      <c r="G42" s="178"/>
      <c r="H42" s="178"/>
      <c r="I42" s="178"/>
      <c r="J42" s="178"/>
      <c r="K42" s="178"/>
      <c r="L42" s="178"/>
      <c r="M42" s="178"/>
      <c r="N42" s="178"/>
      <c r="O42" s="178"/>
    </row>
    <row r="43" spans="1:15" x14ac:dyDescent="0.25">
      <c r="C43" s="178"/>
      <c r="D43" s="268"/>
      <c r="G43" s="178"/>
      <c r="H43" s="178"/>
      <c r="I43" s="178"/>
      <c r="J43" s="178"/>
    </row>
    <row r="44" spans="1:15" x14ac:dyDescent="0.25">
      <c r="E44" s="178"/>
      <c r="H44" s="306"/>
      <c r="I44" s="304"/>
      <c r="J44" s="178"/>
      <c r="K44" s="178"/>
    </row>
    <row r="45" spans="1:15" x14ac:dyDescent="0.25">
      <c r="E45" s="178"/>
      <c r="H45" s="306"/>
      <c r="I45" s="304"/>
      <c r="J45" s="244"/>
      <c r="K45" s="178"/>
    </row>
    <row r="46" spans="1:15" x14ac:dyDescent="0.25">
      <c r="E46" s="305"/>
      <c r="I46" s="304"/>
      <c r="J46" s="244"/>
    </row>
    <row r="47" spans="1:15" x14ac:dyDescent="0.25">
      <c r="E47" s="178"/>
      <c r="J47" s="244"/>
    </row>
    <row r="48" spans="1:15" x14ac:dyDescent="0.25">
      <c r="J48"/>
    </row>
    <row r="49" spans="4:10" x14ac:dyDescent="0.25">
      <c r="J49"/>
    </row>
    <row r="51" spans="4:10" x14ac:dyDescent="0.25">
      <c r="J51"/>
    </row>
    <row r="58" spans="4:10" x14ac:dyDescent="0.25">
      <c r="D58" s="178"/>
      <c r="E58" s="178"/>
    </row>
  </sheetData>
  <pageMargins left="0.25" right="0.25" top="0.75" bottom="0.75" header="0.3" footer="0.3"/>
  <pageSetup paperSize="8" scale="97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6763C-9F50-4E07-84A7-BA1D79E6F7EB}">
  <sheetPr>
    <tabColor rgb="FFFFFF00"/>
  </sheetPr>
  <dimension ref="A1:AE370"/>
  <sheetViews>
    <sheetView workbookViewId="0">
      <selection activeCell="N2" sqref="N2:N25"/>
    </sheetView>
  </sheetViews>
  <sheetFormatPr defaultColWidth="9.140625" defaultRowHeight="11.25" outlineLevelCol="1" x14ac:dyDescent="0.2"/>
  <cols>
    <col min="1" max="1" width="9.140625" style="184"/>
    <col min="2" max="2" width="9.140625" style="185"/>
    <col min="3" max="6" width="9.140625" style="184" customWidth="1" outlineLevel="1"/>
    <col min="7" max="7" width="9.42578125" style="184" customWidth="1" outlineLevel="1"/>
    <col min="8" max="14" width="9.140625" style="184" customWidth="1" outlineLevel="1"/>
    <col min="15" max="26" width="9.140625" style="184"/>
    <col min="27" max="27" width="10.85546875" style="184" customWidth="1"/>
    <col min="28" max="28" width="25.85546875" style="184" bestFit="1" customWidth="1"/>
    <col min="29" max="16384" width="9.140625" style="184"/>
  </cols>
  <sheetData>
    <row r="1" spans="1:31" s="181" customFormat="1" x14ac:dyDescent="0.2">
      <c r="A1" s="181" t="s">
        <v>67</v>
      </c>
      <c r="B1" s="182" t="s">
        <v>68</v>
      </c>
      <c r="C1" s="183">
        <v>44652</v>
      </c>
      <c r="D1" s="183">
        <v>44682</v>
      </c>
      <c r="E1" s="183">
        <v>44713</v>
      </c>
      <c r="F1" s="183">
        <v>44743</v>
      </c>
      <c r="G1" s="183">
        <v>44774</v>
      </c>
      <c r="H1" s="183">
        <v>44805</v>
      </c>
      <c r="I1" s="183">
        <v>44835</v>
      </c>
      <c r="J1" s="183">
        <v>44866</v>
      </c>
      <c r="K1" s="183">
        <v>44896</v>
      </c>
      <c r="L1" s="183">
        <v>44927</v>
      </c>
      <c r="M1" s="183">
        <v>44958</v>
      </c>
      <c r="N1" s="183">
        <v>44986</v>
      </c>
      <c r="O1" s="183">
        <v>45017</v>
      </c>
      <c r="P1" s="183">
        <v>45047</v>
      </c>
      <c r="Q1" s="183">
        <v>45078</v>
      </c>
      <c r="R1" s="183">
        <v>45108</v>
      </c>
      <c r="S1" s="183">
        <v>45139</v>
      </c>
      <c r="T1" s="183">
        <v>45170</v>
      </c>
      <c r="U1" s="183">
        <v>45200</v>
      </c>
      <c r="V1" s="183">
        <v>45231</v>
      </c>
      <c r="W1" s="183">
        <v>45261</v>
      </c>
      <c r="X1" s="183">
        <v>45292</v>
      </c>
      <c r="Y1" s="183">
        <v>45323</v>
      </c>
      <c r="Z1" s="183">
        <v>45352</v>
      </c>
    </row>
    <row r="2" spans="1:31" x14ac:dyDescent="0.2">
      <c r="A2" s="184">
        <v>100</v>
      </c>
      <c r="B2" s="185" t="s">
        <v>69</v>
      </c>
      <c r="C2" s="186"/>
      <c r="D2" s="186"/>
      <c r="E2" s="186"/>
      <c r="F2" s="186"/>
      <c r="G2" s="186">
        <f>+'[1]New Vehicles'!F4/2</f>
        <v>42.5</v>
      </c>
      <c r="H2" s="186">
        <f>+'[1]New Vehicles'!G4/2</f>
        <v>50</v>
      </c>
      <c r="I2" s="186">
        <f>+'[1]New Vehicles'!H4*I4/(I4+I5)</f>
        <v>77.777777777777771</v>
      </c>
      <c r="J2" s="186">
        <f>+'[1]New Vehicles'!I4*J4/(J4+J5)</f>
        <v>93.333333333333329</v>
      </c>
      <c r="K2" s="186">
        <f>+'[1]New Vehicles'!J4*K4/(K4+K5)</f>
        <v>93.333333333333329</v>
      </c>
      <c r="L2" s="186">
        <f>+'[1]New Vehicles'!K4/2</f>
        <v>67.5</v>
      </c>
      <c r="M2" s="186">
        <f>+'[1]New Vehicles'!L4/2</f>
        <v>35.5</v>
      </c>
      <c r="N2" s="186">
        <f>+'[1]New Vehicles'!M4/2</f>
        <v>76.5</v>
      </c>
      <c r="O2" s="186">
        <f>+'[1]New Vehicles'!Q4/2</f>
        <v>68.5</v>
      </c>
      <c r="P2" s="186">
        <f>+'[1]New Vehicles'!R4/2</f>
        <v>67.5</v>
      </c>
      <c r="Q2" s="186">
        <f>+'[1]New Vehicles'!S4/2</f>
        <v>62.5</v>
      </c>
      <c r="R2" s="186">
        <f>+'[1]New Vehicles'!T4/2</f>
        <v>62.5</v>
      </c>
      <c r="S2" s="186">
        <f>+'[1]New Vehicles'!U4/2</f>
        <v>62.5</v>
      </c>
      <c r="T2" s="186">
        <f>+'[1]New Vehicles'!V4/2</f>
        <v>62.5</v>
      </c>
      <c r="U2" s="186">
        <f>+'[1]New Vehicles'!W4/2</f>
        <v>62.5</v>
      </c>
      <c r="V2" s="186">
        <f>+'[1]New Vehicles'!X4/2</f>
        <v>62.5</v>
      </c>
      <c r="W2" s="186">
        <f>+'[1]New Vehicles'!Y4/2</f>
        <v>62.5</v>
      </c>
      <c r="X2" s="186">
        <f>+'[1]New Vehicles'!Z4/2</f>
        <v>62.5</v>
      </c>
      <c r="Y2" s="186">
        <f>+'[1]New Vehicles'!AA4/2</f>
        <v>62.5</v>
      </c>
      <c r="Z2" s="186">
        <f>+'[1]New Vehicles'!AB4/2</f>
        <v>62.5</v>
      </c>
      <c r="AA2" s="184" t="s">
        <v>70</v>
      </c>
      <c r="AB2" s="184" t="s">
        <v>71</v>
      </c>
      <c r="AC2" s="184" t="str">
        <f t="shared" ref="AC2:AC33" si="0">+IF(RIGHT(B2,1)="#","#","")</f>
        <v>#</v>
      </c>
      <c r="AE2" s="184" t="str">
        <f t="shared" ref="AE2:AE33" si="1">+A2&amp;"-"&amp;B2</f>
        <v>100-6142#</v>
      </c>
    </row>
    <row r="3" spans="1:31" x14ac:dyDescent="0.2">
      <c r="A3" s="184">
        <v>200</v>
      </c>
      <c r="B3" s="185" t="s">
        <v>69</v>
      </c>
      <c r="C3" s="186"/>
      <c r="D3" s="186"/>
      <c r="E3" s="186"/>
      <c r="F3" s="186"/>
      <c r="G3" s="186">
        <f>+G2</f>
        <v>42.5</v>
      </c>
      <c r="H3" s="186">
        <f t="shared" ref="H3" si="2">+H2</f>
        <v>50</v>
      </c>
      <c r="I3" s="186">
        <f>+'[1]New Vehicles'!H4*I5/(I4+I5)</f>
        <v>22.222222222222221</v>
      </c>
      <c r="J3" s="186">
        <f>+'[1]New Vehicles'!I4*J5/(J4+J5)</f>
        <v>26.666666666666668</v>
      </c>
      <c r="K3" s="186">
        <f>+'[1]New Vehicles'!J4*K5/(K4+K5)</f>
        <v>26.666666666666668</v>
      </c>
      <c r="L3" s="186">
        <f>+'[1]New Vehicles'!K4/2</f>
        <v>67.5</v>
      </c>
      <c r="M3" s="186">
        <f>+'[1]New Vehicles'!L4/2</f>
        <v>35.5</v>
      </c>
      <c r="N3" s="186">
        <f>+'[1]New Vehicles'!M4/2</f>
        <v>76.5</v>
      </c>
      <c r="O3" s="186">
        <f>+'[1]New Vehicles'!Q4/2</f>
        <v>68.5</v>
      </c>
      <c r="P3" s="186">
        <f>+'[1]New Vehicles'!R4/2</f>
        <v>67.5</v>
      </c>
      <c r="Q3" s="186">
        <f>+'[1]New Vehicles'!S4/2</f>
        <v>62.5</v>
      </c>
      <c r="R3" s="186">
        <f>+'[1]New Vehicles'!T4/2</f>
        <v>62.5</v>
      </c>
      <c r="S3" s="186">
        <f>+'[1]New Vehicles'!U4/2</f>
        <v>62.5</v>
      </c>
      <c r="T3" s="186">
        <f>+'[1]New Vehicles'!V4/2</f>
        <v>62.5</v>
      </c>
      <c r="U3" s="186">
        <f>+'[1]New Vehicles'!W4/2</f>
        <v>62.5</v>
      </c>
      <c r="V3" s="186">
        <f>+'[1]New Vehicles'!X4/2</f>
        <v>62.5</v>
      </c>
      <c r="W3" s="186">
        <f>+'[1]New Vehicles'!Y4/2</f>
        <v>62.5</v>
      </c>
      <c r="X3" s="186">
        <f>+'[1]New Vehicles'!Z4/2</f>
        <v>62.5</v>
      </c>
      <c r="Y3" s="186">
        <f>+'[1]New Vehicles'!AA4/2</f>
        <v>62.5</v>
      </c>
      <c r="Z3" s="186">
        <f>+'[1]New Vehicles'!AB4/2</f>
        <v>62.5</v>
      </c>
      <c r="AA3" s="184" t="s">
        <v>70</v>
      </c>
      <c r="AB3" s="184" t="s">
        <v>71</v>
      </c>
      <c r="AC3" s="184" t="str">
        <f t="shared" si="0"/>
        <v>#</v>
      </c>
      <c r="AE3" s="184" t="str">
        <f t="shared" si="1"/>
        <v>200-6142#</v>
      </c>
    </row>
    <row r="4" spans="1:31" x14ac:dyDescent="0.2">
      <c r="A4" s="184">
        <v>100</v>
      </c>
      <c r="B4" s="185" t="s">
        <v>72</v>
      </c>
      <c r="C4" s="186"/>
      <c r="D4" s="186"/>
      <c r="E4" s="186"/>
      <c r="F4" s="186"/>
      <c r="G4" s="186">
        <f>+'[1]New Vehicles'!F$5-G5</f>
        <v>6</v>
      </c>
      <c r="H4" s="186">
        <f>+'[1]New Vehicles'!G$5-H5</f>
        <v>7</v>
      </c>
      <c r="I4" s="186">
        <f>+'[1]New Vehicles'!H$5-I5</f>
        <v>7</v>
      </c>
      <c r="J4" s="186">
        <f>+'[1]New Vehicles'!I$5-J5</f>
        <v>7</v>
      </c>
      <c r="K4" s="186">
        <f>+'[1]New Vehicles'!J$5-K5</f>
        <v>7</v>
      </c>
      <c r="L4" s="186">
        <f>+'[1]New Vehicles'!K$5-L5</f>
        <v>4</v>
      </c>
      <c r="M4" s="186">
        <f>+'[1]New Vehicles'!L$5-M5</f>
        <v>4</v>
      </c>
      <c r="N4" s="186">
        <f>+'[1]New Vehicles'!M$5-N5</f>
        <v>4</v>
      </c>
      <c r="O4" s="186">
        <f>+'[1]New Vehicles'!Q$5-O5</f>
        <v>4</v>
      </c>
      <c r="P4" s="186">
        <f>+'[1]New Vehicles'!R$5-P5</f>
        <v>4</v>
      </c>
      <c r="Q4" s="186">
        <f>+'[1]New Vehicles'!S$5-Q5</f>
        <v>4</v>
      </c>
      <c r="R4" s="186">
        <f>+'[1]New Vehicles'!T$5-R5</f>
        <v>4</v>
      </c>
      <c r="S4" s="186">
        <f>+'[1]New Vehicles'!U$5-S5</f>
        <v>4</v>
      </c>
      <c r="T4" s="186">
        <f>+'[1]New Vehicles'!V$5-T5</f>
        <v>4</v>
      </c>
      <c r="U4" s="186">
        <f>+'[1]New Vehicles'!W$5-U5</f>
        <v>4</v>
      </c>
      <c r="V4" s="186">
        <f>+'[1]New Vehicles'!X$5-V5</f>
        <v>4</v>
      </c>
      <c r="W4" s="186">
        <f>+'[1]New Vehicles'!Y$5-W5</f>
        <v>4</v>
      </c>
      <c r="X4" s="186">
        <f>+'[1]New Vehicles'!Z$5-X5</f>
        <v>4</v>
      </c>
      <c r="Y4" s="186">
        <f>+'[1]New Vehicles'!AA$5-Y5</f>
        <v>4</v>
      </c>
      <c r="Z4" s="186">
        <f>+'[1]New Vehicles'!AB$5-Z5</f>
        <v>4</v>
      </c>
      <c r="AA4" s="184" t="s">
        <v>70</v>
      </c>
      <c r="AB4" s="184" t="s">
        <v>73</v>
      </c>
      <c r="AC4" s="184" t="str">
        <f t="shared" si="0"/>
        <v>#</v>
      </c>
      <c r="AE4" s="184" t="str">
        <f t="shared" si="1"/>
        <v>100-9285M#</v>
      </c>
    </row>
    <row r="5" spans="1:31" x14ac:dyDescent="0.2">
      <c r="A5" s="184">
        <v>200</v>
      </c>
      <c r="B5" s="185" t="s">
        <v>72</v>
      </c>
      <c r="C5" s="186"/>
      <c r="D5" s="186"/>
      <c r="E5" s="186"/>
      <c r="F5" s="186"/>
      <c r="G5" s="186">
        <v>2</v>
      </c>
      <c r="H5" s="186">
        <v>2</v>
      </c>
      <c r="I5" s="186">
        <v>2</v>
      </c>
      <c r="J5" s="186">
        <v>2</v>
      </c>
      <c r="K5" s="186">
        <v>2</v>
      </c>
      <c r="L5" s="186">
        <v>2</v>
      </c>
      <c r="M5" s="186">
        <v>2</v>
      </c>
      <c r="N5" s="186">
        <v>2</v>
      </c>
      <c r="O5" s="186">
        <v>2</v>
      </c>
      <c r="P5" s="186">
        <v>2</v>
      </c>
      <c r="Q5" s="186">
        <v>2</v>
      </c>
      <c r="R5" s="186">
        <v>2</v>
      </c>
      <c r="S5" s="186">
        <v>2</v>
      </c>
      <c r="T5" s="186">
        <v>2</v>
      </c>
      <c r="U5" s="186">
        <v>2</v>
      </c>
      <c r="V5" s="186">
        <v>2</v>
      </c>
      <c r="W5" s="186">
        <v>2</v>
      </c>
      <c r="X5" s="186">
        <v>2</v>
      </c>
      <c r="Y5" s="186">
        <v>2</v>
      </c>
      <c r="Z5" s="186">
        <v>2</v>
      </c>
      <c r="AA5" s="184" t="s">
        <v>70</v>
      </c>
      <c r="AB5" s="184" t="s">
        <v>73</v>
      </c>
      <c r="AC5" s="184" t="str">
        <f t="shared" si="0"/>
        <v>#</v>
      </c>
      <c r="AE5" s="184" t="str">
        <f t="shared" si="1"/>
        <v>200-9285M#</v>
      </c>
    </row>
    <row r="6" spans="1:31" x14ac:dyDescent="0.2">
      <c r="A6" s="184">
        <v>100</v>
      </c>
      <c r="B6" s="187">
        <v>3142</v>
      </c>
      <c r="C6" s="186"/>
      <c r="D6" s="186"/>
      <c r="E6" s="186"/>
      <c r="F6" s="186"/>
      <c r="G6" s="186">
        <f>-G2*'[1]New Vehicles'!F$8</f>
        <v>-89250</v>
      </c>
      <c r="H6" s="186">
        <f>-H2*'[1]New Vehicles'!G$8</f>
        <v>-105000</v>
      </c>
      <c r="I6" s="186">
        <f>-I2*'[1]New Vehicles'!H8</f>
        <v>-163333.33333333331</v>
      </c>
      <c r="J6" s="186">
        <f>-J2*'[1]New Vehicles'!I8</f>
        <v>-196000</v>
      </c>
      <c r="K6" s="186">
        <f>-K2*'[1]New Vehicles'!J8</f>
        <v>-196000</v>
      </c>
      <c r="L6" s="186">
        <f>-L2*'[1]New Vehicles'!K8</f>
        <v>-116869.5</v>
      </c>
      <c r="M6" s="186">
        <f>-M2*'[1]New Vehicles'!L8</f>
        <v>-73403.349999999991</v>
      </c>
      <c r="N6" s="186">
        <f>-N2*'[1]New Vehicles'!M8</f>
        <v>-156434.08500000002</v>
      </c>
      <c r="O6" s="186">
        <f>-O2*'[1]New Vehicles'!Q8</f>
        <v>-123300</v>
      </c>
      <c r="P6" s="186">
        <f>-P2*'[1]New Vehicles'!R8</f>
        <v>-121500</v>
      </c>
      <c r="Q6" s="186">
        <f>-Q2*'[1]New Vehicles'!S8</f>
        <v>-112500</v>
      </c>
      <c r="R6" s="186">
        <f>-R2*'[1]New Vehicles'!T8</f>
        <v>-118750</v>
      </c>
      <c r="S6" s="186">
        <f>-S2*'[1]New Vehicles'!U8</f>
        <v>-118750</v>
      </c>
      <c r="T6" s="186">
        <f>-T2*'[1]New Vehicles'!V8</f>
        <v>-118750</v>
      </c>
      <c r="U6" s="186">
        <f>-U2*'[1]New Vehicles'!W8</f>
        <v>-121875</v>
      </c>
      <c r="V6" s="186">
        <f>-V2*'[1]New Vehicles'!X8</f>
        <v>-121875</v>
      </c>
      <c r="W6" s="186">
        <f>-W2*'[1]New Vehicles'!Y8</f>
        <v>-121875</v>
      </c>
      <c r="X6" s="186">
        <f>-X2*'[1]New Vehicles'!Z8</f>
        <v>-121875</v>
      </c>
      <c r="Y6" s="186">
        <f>-Y2*'[1]New Vehicles'!AA8</f>
        <v>-121875</v>
      </c>
      <c r="Z6" s="186">
        <f>-Z2*'[1]New Vehicles'!AB8</f>
        <v>-121875</v>
      </c>
      <c r="AA6" s="184" t="s">
        <v>70</v>
      </c>
      <c r="AB6" s="184" t="s">
        <v>74</v>
      </c>
      <c r="AC6" s="184" t="str">
        <f t="shared" si="0"/>
        <v/>
      </c>
      <c r="AE6" s="184" t="str">
        <f t="shared" si="1"/>
        <v>100-3142</v>
      </c>
    </row>
    <row r="7" spans="1:31" x14ac:dyDescent="0.2">
      <c r="A7" s="184">
        <v>200</v>
      </c>
      <c r="B7" s="187">
        <v>3142</v>
      </c>
      <c r="C7" s="186"/>
      <c r="D7" s="186"/>
      <c r="E7" s="186"/>
      <c r="F7" s="186"/>
      <c r="G7" s="186">
        <f>-G3*'[1]New Vehicles'!F$8</f>
        <v>-89250</v>
      </c>
      <c r="H7" s="186">
        <f>-H3*'[1]New Vehicles'!G$8</f>
        <v>-105000</v>
      </c>
      <c r="I7" s="186">
        <f>-I3*'[1]New Vehicles'!H8</f>
        <v>-46666.666666666664</v>
      </c>
      <c r="J7" s="186">
        <f>-J3*'[1]New Vehicles'!I8</f>
        <v>-56000</v>
      </c>
      <c r="K7" s="186">
        <f>-K3*'[1]New Vehicles'!J8</f>
        <v>-56000</v>
      </c>
      <c r="L7" s="186">
        <f>-L3*'[1]New Vehicles'!K8</f>
        <v>-116869.5</v>
      </c>
      <c r="M7" s="186">
        <f>-M3*'[1]New Vehicles'!L8</f>
        <v>-73403.349999999991</v>
      </c>
      <c r="N7" s="186">
        <f>-N3*'[1]New Vehicles'!M8</f>
        <v>-156434.08500000002</v>
      </c>
      <c r="O7" s="186">
        <f>-O3*'[1]New Vehicles'!Q8</f>
        <v>-123300</v>
      </c>
      <c r="P7" s="186">
        <f>-P3*'[1]New Vehicles'!R8</f>
        <v>-121500</v>
      </c>
      <c r="Q7" s="186">
        <f>-Q3*'[1]New Vehicles'!S8</f>
        <v>-112500</v>
      </c>
      <c r="R7" s="186">
        <f>-R3*'[1]New Vehicles'!T8</f>
        <v>-118750</v>
      </c>
      <c r="S7" s="186">
        <f>-S3*'[1]New Vehicles'!U8</f>
        <v>-118750</v>
      </c>
      <c r="T7" s="186">
        <f>-T3*'[1]New Vehicles'!V8</f>
        <v>-118750</v>
      </c>
      <c r="U7" s="186">
        <f>-U3*'[1]New Vehicles'!W8</f>
        <v>-121875</v>
      </c>
      <c r="V7" s="186">
        <f>-V3*'[1]New Vehicles'!X8</f>
        <v>-121875</v>
      </c>
      <c r="W7" s="186">
        <f>-W3*'[1]New Vehicles'!Y8</f>
        <v>-121875</v>
      </c>
      <c r="X7" s="186">
        <f>-X3*'[1]New Vehicles'!Z8</f>
        <v>-121875</v>
      </c>
      <c r="Y7" s="186">
        <f>-Y3*'[1]New Vehicles'!AA8</f>
        <v>-121875</v>
      </c>
      <c r="Z7" s="186">
        <f>-Z3*'[1]New Vehicles'!AB8</f>
        <v>-121875</v>
      </c>
      <c r="AA7" s="184" t="s">
        <v>70</v>
      </c>
      <c r="AB7" s="184" t="s">
        <v>74</v>
      </c>
      <c r="AC7" s="184" t="str">
        <f t="shared" si="0"/>
        <v/>
      </c>
      <c r="AE7" s="184" t="str">
        <f t="shared" si="1"/>
        <v>200-3142</v>
      </c>
    </row>
    <row r="8" spans="1:31" x14ac:dyDescent="0.2">
      <c r="A8" s="184">
        <v>100</v>
      </c>
      <c r="B8" s="187">
        <v>7020</v>
      </c>
      <c r="C8" s="186"/>
      <c r="D8" s="186"/>
      <c r="E8" s="186"/>
      <c r="F8" s="186"/>
      <c r="G8" s="186">
        <f>+'[1]New Vehicles'!F$9*G2</f>
        <v>26775</v>
      </c>
      <c r="H8" s="186">
        <f>+'[1]New Vehicles'!G$9*H2</f>
        <v>31500</v>
      </c>
      <c r="I8" s="186">
        <f>+'[1]New Vehicles'!H9*I2</f>
        <v>48999.999999999993</v>
      </c>
      <c r="J8" s="186">
        <f>+'[1]New Vehicles'!I9*J2</f>
        <v>58800</v>
      </c>
      <c r="K8" s="186">
        <f>+'[1]New Vehicles'!J9*K2</f>
        <v>58800</v>
      </c>
      <c r="L8" s="186">
        <f>+'[1]New Vehicles'!K$9*(L$2+L$3)/(L$4+L$5)*L4</f>
        <v>48069</v>
      </c>
      <c r="M8" s="186">
        <f>+'[1]New Vehicles'!L$9*(M$2+M$3)/(M$4+M$5)*M4</f>
        <v>33700.386666666665</v>
      </c>
      <c r="N8" s="186">
        <f>+'[1]New Vehicles'!M$9*(N$2+N$3)/(N$4+N$5)*N4</f>
        <v>51178.5</v>
      </c>
      <c r="O8" s="186">
        <f>+'[1]New Vehicles'!Q$9*(O$2+O$3)/(O$4+O$5)*O4</f>
        <v>54800</v>
      </c>
      <c r="P8" s="186">
        <f>+'[1]New Vehicles'!R$9*(P$2+P$3)/(P$4+P$5)*P4</f>
        <v>54000</v>
      </c>
      <c r="Q8" s="186">
        <f>+'[1]New Vehicles'!S$9*(Q$2+Q$3)/(Q$4+Q$5)*Q4</f>
        <v>50000</v>
      </c>
      <c r="R8" s="186">
        <f>+'[1]New Vehicles'!T$9*(R$2+R$3)/(R$4+R$5)*R4</f>
        <v>50000</v>
      </c>
      <c r="S8" s="186">
        <f>+'[1]New Vehicles'!U$9*(S$2+S$3)/(S$4+S$5)*S4</f>
        <v>50000</v>
      </c>
      <c r="T8" s="186">
        <f>+'[1]New Vehicles'!V$9*(T$2+T$3)/(T$4+T$5)*T4</f>
        <v>50000</v>
      </c>
      <c r="U8" s="186">
        <f>+'[1]New Vehicles'!W$9*(U$2+U$3)/(U$4+U$5)*U4</f>
        <v>50000</v>
      </c>
      <c r="V8" s="186">
        <f>+'[1]New Vehicles'!X$9*(V$2+V$3)/(V$4+V$5)*V4</f>
        <v>50000</v>
      </c>
      <c r="W8" s="186">
        <f>+'[1]New Vehicles'!Y$9*(W$2+W$3)/(W$4+W$5)*W4</f>
        <v>50000</v>
      </c>
      <c r="X8" s="186">
        <f>+'[1]New Vehicles'!Z$9*(X$2+X$3)/(X$4+X$5)*X4</f>
        <v>50000</v>
      </c>
      <c r="Y8" s="186">
        <f>+'[1]New Vehicles'!AA$9*(Y$2+Y$3)/(Y$4+Y$5)*Y4</f>
        <v>50000</v>
      </c>
      <c r="Z8" s="186">
        <f>+'[1]New Vehicles'!AB$9*(Z$2+Z$3)/(Z$4+Z$5)*Z4</f>
        <v>50000</v>
      </c>
      <c r="AA8" s="184" t="s">
        <v>70</v>
      </c>
      <c r="AB8" s="184" t="s">
        <v>75</v>
      </c>
      <c r="AC8" s="184" t="str">
        <f t="shared" si="0"/>
        <v/>
      </c>
      <c r="AE8" s="184" t="str">
        <f t="shared" si="1"/>
        <v>100-7020</v>
      </c>
    </row>
    <row r="9" spans="1:31" x14ac:dyDescent="0.2">
      <c r="A9" s="184">
        <v>200</v>
      </c>
      <c r="B9" s="187">
        <v>7020</v>
      </c>
      <c r="C9" s="186"/>
      <c r="D9" s="186"/>
      <c r="E9" s="186"/>
      <c r="F9" s="186"/>
      <c r="G9" s="186">
        <f>+'[1]New Vehicles'!F$9*G3</f>
        <v>26775</v>
      </c>
      <c r="H9" s="186">
        <f>+'[1]New Vehicles'!G$9*H3</f>
        <v>31500</v>
      </c>
      <c r="I9" s="186">
        <f>+'[1]New Vehicles'!H9*I3</f>
        <v>14000</v>
      </c>
      <c r="J9" s="186">
        <f>+'[1]New Vehicles'!I9*J3</f>
        <v>16800</v>
      </c>
      <c r="K9" s="186">
        <f>+'[1]New Vehicles'!J9*K3</f>
        <v>16800</v>
      </c>
      <c r="L9" s="186">
        <f>+'[1]New Vehicles'!K$9*(L$2+L$3)/(L$4+L$5)*L5</f>
        <v>24034.5</v>
      </c>
      <c r="M9" s="186">
        <f>+'[1]New Vehicles'!L$9*(M$2+M$3)/(M$4+M$5)*M5</f>
        <v>16850.193333333333</v>
      </c>
      <c r="N9" s="186">
        <f>+'[1]New Vehicles'!M$9*(N$2+N$3)/(N$4+N$5)*N5</f>
        <v>25589.25</v>
      </c>
      <c r="O9" s="186">
        <f>+'[1]New Vehicles'!Q$9*(O$2+O$3)/(O4+O5)*O5</f>
        <v>27400</v>
      </c>
      <c r="P9" s="186">
        <f>+'[1]New Vehicles'!R$9*(P$2+P$3)/(P4+P5)*P5</f>
        <v>27000</v>
      </c>
      <c r="Q9" s="186">
        <f>+'[1]New Vehicles'!S$9*(Q$2+Q$3)/(Q4+Q5)*Q5</f>
        <v>25000</v>
      </c>
      <c r="R9" s="186">
        <f>+'[1]New Vehicles'!T$9*(R$2+R$3)/(R4+R5)*R5</f>
        <v>25000</v>
      </c>
      <c r="S9" s="186">
        <f>+'[1]New Vehicles'!U$9*(S$2+S$3)/(S4+S5)*S5</f>
        <v>25000</v>
      </c>
      <c r="T9" s="186">
        <f>+'[1]New Vehicles'!V$9*(T$2+T$3)/(T4+T5)*T5</f>
        <v>25000</v>
      </c>
      <c r="U9" s="186">
        <f>+'[1]New Vehicles'!W$9*(U$2+U$3)/(U4+U5)*U5</f>
        <v>25000</v>
      </c>
      <c r="V9" s="186">
        <f>+'[1]New Vehicles'!X$9*(V$2+V$3)/(V4+V5)*V5</f>
        <v>25000</v>
      </c>
      <c r="W9" s="186">
        <f>+'[1]New Vehicles'!Y$9*(W$2+W$3)/(W4+W5)*W5</f>
        <v>25000</v>
      </c>
      <c r="X9" s="186">
        <f>+'[1]New Vehicles'!Z$9*(X$2+X$3)/(X4+X5)*X5</f>
        <v>25000</v>
      </c>
      <c r="Y9" s="186">
        <f>+'[1]New Vehicles'!AA$9*(Y$2+Y$3)/(Y4+Y5)*Y5</f>
        <v>25000</v>
      </c>
      <c r="Z9" s="186">
        <f>+'[1]New Vehicles'!AB$9*(Z$2+Z$3)/(Z4+Z5)*Z5</f>
        <v>25000</v>
      </c>
      <c r="AA9" s="184" t="s">
        <v>70</v>
      </c>
      <c r="AB9" s="184" t="s">
        <v>75</v>
      </c>
      <c r="AC9" s="184" t="str">
        <f t="shared" si="0"/>
        <v/>
      </c>
      <c r="AE9" s="184" t="str">
        <f t="shared" si="1"/>
        <v>200-7020</v>
      </c>
    </row>
    <row r="10" spans="1:31" x14ac:dyDescent="0.2">
      <c r="A10" s="184">
        <v>100</v>
      </c>
      <c r="B10" s="187">
        <v>7080</v>
      </c>
      <c r="C10" s="186"/>
      <c r="D10" s="186"/>
      <c r="E10" s="186"/>
      <c r="F10" s="186"/>
      <c r="G10" s="186">
        <f>+'[1]New Vehicles'!F$10*G2</f>
        <v>40375</v>
      </c>
      <c r="H10" s="186">
        <f>+'[1]New Vehicles'!G$10*H2</f>
        <v>49375</v>
      </c>
      <c r="I10" s="186">
        <f>+'[1]New Vehicles'!H10*I2</f>
        <v>76805.555555555547</v>
      </c>
      <c r="J10" s="186">
        <f>+'[1]New Vehicles'!I10*J2</f>
        <v>91583.333333333328</v>
      </c>
      <c r="K10" s="186">
        <f>+'[1]New Vehicles'!J10*K2</f>
        <v>91583.333333333328</v>
      </c>
      <c r="L10" s="186">
        <f>+'[1]New Vehicles'!K$10*(L$2+L$3)/(L$4+L$5)*L4</f>
        <v>102504.59999999999</v>
      </c>
      <c r="M10" s="186">
        <f>+'[1]New Vehicles'!L$10*(M$2+M$3)/(M$4+M$5)*M4</f>
        <v>71581.726666666669</v>
      </c>
      <c r="N10" s="186">
        <f>+'[1]New Vehicles'!M$10*(N$2+N$3)/(N$4+N$5)*N4</f>
        <v>91729.62</v>
      </c>
      <c r="O10" s="186">
        <f>+'[1]New Vehicles'!Q$10*(O$2+O$3)/(O$4+O$5)*O4</f>
        <v>100466.66666666667</v>
      </c>
      <c r="P10" s="186">
        <f>+'[1]New Vehicles'!R$10*(P$2+P$3)/(P$4+P$5)*P4</f>
        <v>99000</v>
      </c>
      <c r="Q10" s="186">
        <f>+'[1]New Vehicles'!S$10*(Q$2+Q$3)/(Q$4+Q$5)*Q4</f>
        <v>91666.666666666672</v>
      </c>
      <c r="R10" s="186">
        <f>+'[1]New Vehicles'!T$10*(R$2+R$3)/(R$4+R$5)*R4</f>
        <v>91666.666666666672</v>
      </c>
      <c r="S10" s="186">
        <f>+'[1]New Vehicles'!U$10*(S$2+S$3)/(S$4+S$5)*S4</f>
        <v>91666.666666666672</v>
      </c>
      <c r="T10" s="186">
        <f>+'[1]New Vehicles'!V$10*(T$2+T$3)/(T$4+T$5)*T4</f>
        <v>91666.666666666672</v>
      </c>
      <c r="U10" s="186">
        <f>+'[1]New Vehicles'!W$10*(U$2+U$3)/(U$4+U$5)*U4</f>
        <v>91666.666666666672</v>
      </c>
      <c r="V10" s="186">
        <f>+'[1]New Vehicles'!X$10*(V$2+V$3)/(V$4+V$5)*V4</f>
        <v>91666.666666666672</v>
      </c>
      <c r="W10" s="186">
        <f>+'[1]New Vehicles'!Y$10*(W$2+W$3)/(W$4+W$5)*W4</f>
        <v>91666.666666666672</v>
      </c>
      <c r="X10" s="186">
        <f>+'[1]New Vehicles'!Z$10*(X$2+X$3)/(X$4+X$5)*X4</f>
        <v>91666.666666666672</v>
      </c>
      <c r="Y10" s="186">
        <f>+'[1]New Vehicles'!AA$10*(Y$2+Y$3)/(Y$4+Y$5)*Y4</f>
        <v>91666.666666666672</v>
      </c>
      <c r="Z10" s="186">
        <f>+'[1]New Vehicles'!AB$10*(Z$2+Z$3)/(Z$4+Z$5)*Z4</f>
        <v>91666.666666666672</v>
      </c>
      <c r="AA10" s="184" t="s">
        <v>70</v>
      </c>
      <c r="AB10" s="184" t="s">
        <v>76</v>
      </c>
      <c r="AC10" s="184" t="str">
        <f t="shared" si="0"/>
        <v/>
      </c>
      <c r="AE10" s="184" t="str">
        <f t="shared" si="1"/>
        <v>100-7080</v>
      </c>
    </row>
    <row r="11" spans="1:31" x14ac:dyDescent="0.2">
      <c r="A11" s="184">
        <v>200</v>
      </c>
      <c r="B11" s="187">
        <v>7080</v>
      </c>
      <c r="C11" s="186"/>
      <c r="D11" s="186"/>
      <c r="E11" s="186"/>
      <c r="F11" s="186"/>
      <c r="G11" s="186">
        <f>+'[1]New Vehicles'!F$10*G3</f>
        <v>40375</v>
      </c>
      <c r="H11" s="186">
        <f>+'[1]New Vehicles'!G$10*H3</f>
        <v>49375</v>
      </c>
      <c r="I11" s="186">
        <f>+'[1]New Vehicles'!H10*I3</f>
        <v>21944.444444444445</v>
      </c>
      <c r="J11" s="186">
        <f>+'[1]New Vehicles'!I10*J3</f>
        <v>26166.666666666668</v>
      </c>
      <c r="K11" s="186">
        <f>+'[1]New Vehicles'!J10*K3</f>
        <v>26166.666666666668</v>
      </c>
      <c r="L11" s="186">
        <f>+'[1]New Vehicles'!K$10*(L$2+L$3)/(L$4+L$5)*L5</f>
        <v>51252.299999999996</v>
      </c>
      <c r="M11" s="186">
        <f>+'[1]New Vehicles'!L$10*(M$2+M$3)/(M$4+M$5)*M5</f>
        <v>35790.863333333335</v>
      </c>
      <c r="N11" s="186">
        <f>+'[1]New Vehicles'!M$10*(N$2+N$3)/(N$4+N$5)*N5</f>
        <v>45864.81</v>
      </c>
      <c r="O11" s="186">
        <f>+'[1]New Vehicles'!Q$10*(O$2+O$3)/(O$4+O$5)*O5</f>
        <v>50233.333333333336</v>
      </c>
      <c r="P11" s="186">
        <f>+'[1]New Vehicles'!R$10*(P$2+P$3)/(P$4+P$5)*P5</f>
        <v>49500</v>
      </c>
      <c r="Q11" s="186">
        <f>+'[1]New Vehicles'!S$10*(Q$2+Q$3)/(Q$4+Q$5)*Q5</f>
        <v>45833.333333333336</v>
      </c>
      <c r="R11" s="186">
        <f>+'[1]New Vehicles'!T$10*(R$2+R$3)/(R$4+R$5)*R5</f>
        <v>45833.333333333336</v>
      </c>
      <c r="S11" s="186">
        <f>+'[1]New Vehicles'!U$10*(S$2+S$3)/(S$4+S$5)*S5</f>
        <v>45833.333333333336</v>
      </c>
      <c r="T11" s="186">
        <f>+'[1]New Vehicles'!V$10*(T$2+T$3)/(T$4+T$5)*T5</f>
        <v>45833.333333333336</v>
      </c>
      <c r="U11" s="186">
        <f>+'[1]New Vehicles'!W$10*(U$2+U$3)/(U$4+U$5)*U5</f>
        <v>45833.333333333336</v>
      </c>
      <c r="V11" s="186">
        <f>+'[1]New Vehicles'!X$10*(V$2+V$3)/(V$4+V$5)*V5</f>
        <v>45833.333333333336</v>
      </c>
      <c r="W11" s="186">
        <f>+'[1]New Vehicles'!Y$10*(W$2+W$3)/(W$4+W$5)*W5</f>
        <v>45833.333333333336</v>
      </c>
      <c r="X11" s="186">
        <f>+'[1]New Vehicles'!Z$10*(X$2+X$3)/(X$4+X$5)*X5</f>
        <v>45833.333333333336</v>
      </c>
      <c r="Y11" s="186">
        <f>+'[1]New Vehicles'!AA$10*(Y$2+Y$3)/(Y$4+Y$5)*Y5</f>
        <v>45833.333333333336</v>
      </c>
      <c r="Z11" s="186">
        <f>+'[1]New Vehicles'!AB$10*(Z$2+Z$3)/(Z$4+Z$5)*Z5</f>
        <v>45833.333333333336</v>
      </c>
      <c r="AA11" s="184" t="s">
        <v>70</v>
      </c>
      <c r="AB11" s="184" t="s">
        <v>76</v>
      </c>
      <c r="AC11" s="184" t="str">
        <f t="shared" si="0"/>
        <v/>
      </c>
      <c r="AE11" s="184" t="str">
        <f t="shared" si="1"/>
        <v>200-7080</v>
      </c>
    </row>
    <row r="12" spans="1:31" x14ac:dyDescent="0.2">
      <c r="A12" s="184">
        <v>100</v>
      </c>
      <c r="B12" s="187">
        <v>3060</v>
      </c>
      <c r="C12" s="186"/>
      <c r="D12" s="186"/>
      <c r="E12" s="186"/>
      <c r="F12" s="186"/>
      <c r="G12" s="186">
        <f>-'[1]New Vehicles'!F$16/2</f>
        <v>-750</v>
      </c>
      <c r="H12" s="186">
        <f>-'[1]New Vehicles'!G$16/2</f>
        <v>-750</v>
      </c>
      <c r="I12" s="186">
        <f>-'[1]New Vehicles'!H16*I4/(I4+I5)</f>
        <v>-1166.6666666666667</v>
      </c>
      <c r="J12" s="186">
        <f>-'[1]New Vehicles'!I16*J4/(J4+J5)</f>
        <v>-1166.6666666666667</v>
      </c>
      <c r="K12" s="186">
        <f>-'[1]New Vehicles'!J16*K4/(K4+K5)</f>
        <v>-1166.6666666666667</v>
      </c>
      <c r="L12" s="186">
        <f>-'[1]New Vehicles'!K16*L4/(L4+L5)</f>
        <v>-1471.3866666666665</v>
      </c>
      <c r="M12" s="186">
        <f>-'[1]New Vehicles'!L16*M4/(M4+M5)</f>
        <v>-1643.6266666666668</v>
      </c>
      <c r="N12" s="186">
        <f>-'[1]New Vehicles'!M16*N4/(N4+N5)</f>
        <v>-5633.333333333333</v>
      </c>
      <c r="O12" s="186">
        <f>-'[1]New Vehicles'!Q16/(O4+O5)*O4</f>
        <v>-1666.6666666666667</v>
      </c>
      <c r="P12" s="186">
        <f>-'[1]New Vehicles'!R16/(P4+P5)*P4</f>
        <v>-1666.6666666666667</v>
      </c>
      <c r="Q12" s="186">
        <f>-'[1]New Vehicles'!S16/(Q4+Q5)*Q4</f>
        <v>-2666.6666666666665</v>
      </c>
      <c r="R12" s="186">
        <f>-'[1]New Vehicles'!T16/(R4+R5)*R4</f>
        <v>-2666.6666666666665</v>
      </c>
      <c r="S12" s="186">
        <f>-'[1]New Vehicles'!U16/(S4+S5)*S4</f>
        <v>-2666.6666666666665</v>
      </c>
      <c r="T12" s="186">
        <f>-'[1]New Vehicles'!V16/(T4+T5)*T4</f>
        <v>-2666.6666666666665</v>
      </c>
      <c r="U12" s="186">
        <f>-'[1]New Vehicles'!W16/(U4+U5)*U4</f>
        <v>-2666.6666666666665</v>
      </c>
      <c r="V12" s="186">
        <f>-'[1]New Vehicles'!X16/(V4+V5)*V4</f>
        <v>-2666.6666666666665</v>
      </c>
      <c r="W12" s="186">
        <f>-'[1]New Vehicles'!Y16/(W4+W5)*W4</f>
        <v>-2666.6666666666665</v>
      </c>
      <c r="X12" s="186">
        <f>-'[1]New Vehicles'!Z16/(X4+X5)*X4</f>
        <v>-2666.6666666666665</v>
      </c>
      <c r="Y12" s="186">
        <f>-'[1]New Vehicles'!AA16/(Y4+Y5)*Y4</f>
        <v>-2666.6666666666665</v>
      </c>
      <c r="Z12" s="186">
        <f>-'[1]New Vehicles'!AB16/(Z4+Z5)*Z4</f>
        <v>-2666.6666666666665</v>
      </c>
      <c r="AA12" s="184" t="s">
        <v>70</v>
      </c>
      <c r="AB12" s="184" t="s">
        <v>77</v>
      </c>
      <c r="AC12" s="184" t="str">
        <f t="shared" si="0"/>
        <v/>
      </c>
      <c r="AE12" s="184" t="str">
        <f t="shared" si="1"/>
        <v>100-3060</v>
      </c>
    </row>
    <row r="13" spans="1:31" x14ac:dyDescent="0.2">
      <c r="A13" s="184">
        <v>200</v>
      </c>
      <c r="B13" s="187">
        <v>3060</v>
      </c>
      <c r="C13" s="186"/>
      <c r="D13" s="186"/>
      <c r="E13" s="186"/>
      <c r="F13" s="186"/>
      <c r="G13" s="186">
        <f>+G12</f>
        <v>-750</v>
      </c>
      <c r="H13" s="186">
        <f t="shared" ref="H13" si="3">+H12</f>
        <v>-750</v>
      </c>
      <c r="I13" s="186">
        <f>-'[1]New Vehicles'!H16*I5/(I4+I5)</f>
        <v>-333.33333333333331</v>
      </c>
      <c r="J13" s="186">
        <f>-'[1]New Vehicles'!I16*J5/(J4+J5)</f>
        <v>-333.33333333333331</v>
      </c>
      <c r="K13" s="186">
        <f>-'[1]New Vehicles'!J16*K5/(K4+K5)</f>
        <v>-333.33333333333331</v>
      </c>
      <c r="L13" s="186">
        <f>-'[1]New Vehicles'!K16*L5/(L4+L5)</f>
        <v>-735.69333333333327</v>
      </c>
      <c r="M13" s="186">
        <f>-'[1]New Vehicles'!L16*M5/(M4+M5)</f>
        <v>-821.81333333333339</v>
      </c>
      <c r="N13" s="186">
        <f>-'[1]New Vehicles'!M16*N5/(N4+N5)</f>
        <v>-2816.6666666666665</v>
      </c>
      <c r="O13" s="186">
        <f>-'[1]New Vehicles'!Q16/(O4+O5)*O5</f>
        <v>-833.33333333333337</v>
      </c>
      <c r="P13" s="186">
        <f>-'[1]New Vehicles'!R16/(P4+P5)*P5</f>
        <v>-833.33333333333337</v>
      </c>
      <c r="Q13" s="186">
        <f>-'[1]New Vehicles'!S16/(Q4+Q5)*Q5</f>
        <v>-1333.3333333333333</v>
      </c>
      <c r="R13" s="186">
        <f>-'[1]New Vehicles'!T16/(R4+R5)*R5</f>
        <v>-1333.3333333333333</v>
      </c>
      <c r="S13" s="186">
        <f>-'[1]New Vehicles'!U16/(S4+S5)*S5</f>
        <v>-1333.3333333333333</v>
      </c>
      <c r="T13" s="186">
        <f>-'[1]New Vehicles'!V16/(T4+T5)*T5</f>
        <v>-1333.3333333333333</v>
      </c>
      <c r="U13" s="186">
        <f>-'[1]New Vehicles'!W16/(U4+U5)*U5</f>
        <v>-1333.3333333333333</v>
      </c>
      <c r="V13" s="186">
        <f>-'[1]New Vehicles'!X16/(V4+V5)*V5</f>
        <v>-1333.3333333333333</v>
      </c>
      <c r="W13" s="186">
        <f>-'[1]New Vehicles'!Y16/(W4+W5)*W5</f>
        <v>-1333.3333333333333</v>
      </c>
      <c r="X13" s="186">
        <f>-'[1]New Vehicles'!Z16/(X4+X5)*X5</f>
        <v>-1333.3333333333333</v>
      </c>
      <c r="Y13" s="186">
        <f>-'[1]New Vehicles'!AA16/(Y4+Y5)*Y5</f>
        <v>-1333.3333333333333</v>
      </c>
      <c r="Z13" s="186">
        <f>-'[1]New Vehicles'!AB16/(Z4+Z5)*Z5</f>
        <v>-1333.3333333333333</v>
      </c>
      <c r="AA13" s="184" t="s">
        <v>70</v>
      </c>
      <c r="AB13" s="184" t="s">
        <v>77</v>
      </c>
      <c r="AC13" s="184" t="str">
        <f t="shared" si="0"/>
        <v/>
      </c>
      <c r="AE13" s="184" t="str">
        <f t="shared" si="1"/>
        <v>200-3060</v>
      </c>
    </row>
    <row r="14" spans="1:31" x14ac:dyDescent="0.2">
      <c r="A14" s="184">
        <v>120</v>
      </c>
      <c r="B14" s="187" t="s">
        <v>78</v>
      </c>
      <c r="C14" s="186"/>
      <c r="D14" s="186"/>
      <c r="E14" s="186"/>
      <c r="F14" s="186"/>
      <c r="G14" s="186">
        <f>+'[1]Used Vehicles'!F$8-G15</f>
        <v>3.5</v>
      </c>
      <c r="H14" s="186">
        <f>+'[1]Used Vehicles'!G$8-H15</f>
        <v>3.5</v>
      </c>
      <c r="I14" s="186">
        <f>'[1]Used Vehicles'!H8-I15</f>
        <v>4</v>
      </c>
      <c r="J14" s="186">
        <f>'[1]Used Vehicles'!I8-J15</f>
        <v>3.5</v>
      </c>
      <c r="K14" s="186">
        <f>'[1]Used Vehicles'!J8-K15</f>
        <v>4</v>
      </c>
      <c r="L14" s="186">
        <f>'[1]Used Vehicles'!K8-L15</f>
        <v>4</v>
      </c>
      <c r="M14" s="186">
        <f>'[1]Used Vehicles'!L8-M15</f>
        <v>4</v>
      </c>
      <c r="N14" s="186">
        <f>'[1]Used Vehicles'!M8-N15</f>
        <v>4</v>
      </c>
      <c r="O14" s="186">
        <f>'[2]Used Vehicles - NS'!E$8</f>
        <v>5</v>
      </c>
      <c r="P14" s="186">
        <f>'[2]Used Vehicles - NS'!F$8</f>
        <v>5</v>
      </c>
      <c r="Q14" s="186">
        <f>'[2]Used Vehicles - NS'!G$8</f>
        <v>5</v>
      </c>
      <c r="R14" s="186">
        <f>'[2]Used Vehicles - NS'!H$8</f>
        <v>5</v>
      </c>
      <c r="S14" s="186">
        <f>'[2]Used Vehicles - NS'!I$8</f>
        <v>5</v>
      </c>
      <c r="T14" s="186">
        <f>'[2]Used Vehicles - NS'!J$8</f>
        <v>5</v>
      </c>
      <c r="U14" s="186">
        <f>'[2]Used Vehicles - NS'!K$8</f>
        <v>5</v>
      </c>
      <c r="V14" s="186">
        <f>'[2]Used Vehicles - NS'!L$8</f>
        <v>5</v>
      </c>
      <c r="W14" s="186">
        <f>'[2]Used Vehicles - NS'!M$8</f>
        <v>5</v>
      </c>
      <c r="X14" s="186">
        <f>'[2]Used Vehicles - NS'!N$8</f>
        <v>5</v>
      </c>
      <c r="Y14" s="186">
        <f>'[2]Used Vehicles - NS'!O$8</f>
        <v>5</v>
      </c>
      <c r="Z14" s="186">
        <f>'[2]Used Vehicles - NS'!P$8</f>
        <v>5</v>
      </c>
      <c r="AA14" s="184" t="s">
        <v>79</v>
      </c>
      <c r="AB14" s="184" t="s">
        <v>80</v>
      </c>
      <c r="AC14" s="184" t="str">
        <f t="shared" si="0"/>
        <v>#</v>
      </c>
      <c r="AE14" s="184" t="str">
        <f t="shared" si="1"/>
        <v>120-9290M#</v>
      </c>
    </row>
    <row r="15" spans="1:31" x14ac:dyDescent="0.2">
      <c r="A15" s="184">
        <v>220</v>
      </c>
      <c r="B15" s="187" t="s">
        <v>78</v>
      </c>
      <c r="C15" s="186"/>
      <c r="D15" s="186"/>
      <c r="E15" s="186"/>
      <c r="F15" s="186"/>
      <c r="G15" s="186">
        <v>2</v>
      </c>
      <c r="H15" s="186">
        <v>2</v>
      </c>
      <c r="I15" s="186">
        <v>2</v>
      </c>
      <c r="J15" s="186">
        <v>3</v>
      </c>
      <c r="K15" s="186">
        <v>3</v>
      </c>
      <c r="L15" s="186">
        <v>3</v>
      </c>
      <c r="M15" s="186">
        <v>3</v>
      </c>
      <c r="N15" s="186">
        <v>3</v>
      </c>
      <c r="O15" s="186">
        <f>'[2]Used Vehicles - NW'!E$8</f>
        <v>3</v>
      </c>
      <c r="P15" s="186">
        <f>'[2]Used Vehicles - NW'!F$8</f>
        <v>2.5</v>
      </c>
      <c r="Q15" s="186">
        <f>'[2]Used Vehicles - NW'!G$8</f>
        <v>3</v>
      </c>
      <c r="R15" s="186">
        <f>'[2]Used Vehicles - NW'!H$8</f>
        <v>4</v>
      </c>
      <c r="S15" s="186">
        <f>'[2]Used Vehicles - NW'!I$8</f>
        <v>4</v>
      </c>
      <c r="T15" s="186">
        <f>'[2]Used Vehicles - NW'!J$8</f>
        <v>4</v>
      </c>
      <c r="U15" s="186">
        <f>'[2]Used Vehicles - NW'!K$8</f>
        <v>4</v>
      </c>
      <c r="V15" s="186">
        <f>'[2]Used Vehicles - NW'!L$8</f>
        <v>4</v>
      </c>
      <c r="W15" s="186">
        <f>'[2]Used Vehicles - NW'!M$8</f>
        <v>4</v>
      </c>
      <c r="X15" s="186">
        <f>'[2]Used Vehicles - NW'!N$8</f>
        <v>4</v>
      </c>
      <c r="Y15" s="186">
        <f>'[2]Used Vehicles - NW'!O$8</f>
        <v>4</v>
      </c>
      <c r="Z15" s="186">
        <f>'[2]Used Vehicles - NW'!P$8</f>
        <v>4</v>
      </c>
      <c r="AA15" s="184" t="s">
        <v>79</v>
      </c>
      <c r="AB15" s="184" t="s">
        <v>80</v>
      </c>
      <c r="AC15" s="184" t="str">
        <f t="shared" si="0"/>
        <v>#</v>
      </c>
      <c r="AE15" s="184" t="str">
        <f t="shared" si="1"/>
        <v>220-9290M#</v>
      </c>
    </row>
    <row r="16" spans="1:31" x14ac:dyDescent="0.2">
      <c r="A16" s="184">
        <v>110</v>
      </c>
      <c r="B16" s="185" t="s">
        <v>81</v>
      </c>
      <c r="C16" s="186"/>
      <c r="D16" s="186"/>
      <c r="E16" s="186"/>
      <c r="F16" s="186"/>
      <c r="G16" s="186">
        <f>+'[1]Used Vehicles'!$F5/2</f>
        <v>7.5</v>
      </c>
      <c r="H16" s="186">
        <f>+'[1]Used Vehicles'!$F5/2</f>
        <v>7.5</v>
      </c>
      <c r="I16" s="186">
        <f>+'[1]Used Vehicles'!H5/'[1]Used Vehicles'!H8*I14</f>
        <v>10</v>
      </c>
      <c r="J16" s="186">
        <f>+'[1]Used Vehicles'!I5/'[1]Used Vehicles'!I8*J14</f>
        <v>8.0769230769230766</v>
      </c>
      <c r="K16" s="186">
        <f>+'[1]Used Vehicles'!J5/'[1]Used Vehicles'!J8*K14</f>
        <v>8.5714285714285712</v>
      </c>
      <c r="L16" s="186">
        <f>+'[1]Used Vehicles'!K5/'[1]Used Vehicles'!K8*L14</f>
        <v>4.5714285714285712</v>
      </c>
      <c r="M16" s="186">
        <f>+'[1]Used Vehicles'!L5/'[1]Used Vehicles'!L8*M14</f>
        <v>8.5714285714285712</v>
      </c>
      <c r="N16" s="186">
        <f>+'[1]Used Vehicles'!M5/'[1]Used Vehicles'!M8*N14</f>
        <v>10.857142857142858</v>
      </c>
      <c r="O16" s="186">
        <f>'[2]Used Vehicles - NS'!E$5</f>
        <v>3</v>
      </c>
      <c r="P16" s="186">
        <f>'[2]Used Vehicles - NS'!F$5</f>
        <v>5</v>
      </c>
      <c r="Q16" s="186">
        <f>'[2]Used Vehicles - NS'!G$5</f>
        <v>0</v>
      </c>
      <c r="R16" s="186">
        <f>'[2]Used Vehicles - NS'!H$5</f>
        <v>3</v>
      </c>
      <c r="S16" s="186">
        <f>'[2]Used Vehicles - NS'!I$5</f>
        <v>3</v>
      </c>
      <c r="T16" s="186">
        <f>'[2]Used Vehicles - NS'!J$5</f>
        <v>3</v>
      </c>
      <c r="U16" s="186">
        <f>'[2]Used Vehicles - NS'!K$5</f>
        <v>3</v>
      </c>
      <c r="V16" s="186">
        <f>'[2]Used Vehicles - NS'!L$5</f>
        <v>3</v>
      </c>
      <c r="W16" s="186">
        <f>'[2]Used Vehicles - NS'!M$5</f>
        <v>3</v>
      </c>
      <c r="X16" s="186">
        <f>'[2]Used Vehicles - NS'!N$5</f>
        <v>3</v>
      </c>
      <c r="Y16" s="186">
        <f>'[2]Used Vehicles - NS'!O$5</f>
        <v>3</v>
      </c>
      <c r="Z16" s="186">
        <f>'[2]Used Vehicles - NS'!P$5</f>
        <v>3</v>
      </c>
      <c r="AA16" s="184" t="s">
        <v>79</v>
      </c>
      <c r="AB16" s="184" t="s">
        <v>82</v>
      </c>
      <c r="AC16" s="184" t="str">
        <f t="shared" si="0"/>
        <v>#</v>
      </c>
      <c r="AE16" s="184" t="str">
        <f t="shared" si="1"/>
        <v>110-6090R#</v>
      </c>
    </row>
    <row r="17" spans="1:31" x14ac:dyDescent="0.2">
      <c r="A17" s="184">
        <v>210</v>
      </c>
      <c r="B17" s="185" t="s">
        <v>81</v>
      </c>
      <c r="C17" s="186"/>
      <c r="D17" s="186"/>
      <c r="E17" s="186"/>
      <c r="F17" s="186"/>
      <c r="G17" s="186">
        <f>+G16</f>
        <v>7.5</v>
      </c>
      <c r="H17" s="186">
        <f t="shared" ref="H17" si="4">+H16</f>
        <v>7.5</v>
      </c>
      <c r="I17" s="186">
        <f>+'[1]Used Vehicles'!H5/'[1]Used Vehicles'!H8*I15</f>
        <v>5</v>
      </c>
      <c r="J17" s="186">
        <f>+'[1]Used Vehicles'!I5/'[1]Used Vehicles'!I8*J15</f>
        <v>6.9230769230769225</v>
      </c>
      <c r="K17" s="186">
        <f>+'[1]Used Vehicles'!J5/'[1]Used Vehicles'!J8*K15</f>
        <v>6.4285714285714288</v>
      </c>
      <c r="L17" s="186">
        <f>+'[1]Used Vehicles'!K5/'[1]Used Vehicles'!K8*L15</f>
        <v>3.4285714285714284</v>
      </c>
      <c r="M17" s="186">
        <f>+'[1]Used Vehicles'!L5/'[1]Used Vehicles'!L8*M15</f>
        <v>6.4285714285714288</v>
      </c>
      <c r="N17" s="186">
        <f>+'[1]Used Vehicles'!M5/'[1]Used Vehicles'!M8*N15</f>
        <v>8.1428571428571423</v>
      </c>
      <c r="O17" s="186">
        <f>'[2]Used Vehicles - NW'!E$5</f>
        <v>1</v>
      </c>
      <c r="P17" s="186">
        <f>'[2]Used Vehicles - NW'!F$5</f>
        <v>5</v>
      </c>
      <c r="Q17" s="186">
        <f>'[2]Used Vehicles - NW'!G$5</f>
        <v>5</v>
      </c>
      <c r="R17" s="186">
        <f>'[2]Used Vehicles - NW'!H$5</f>
        <v>2.0888888888888886</v>
      </c>
      <c r="S17" s="186">
        <f>'[2]Used Vehicles - NW'!I$5</f>
        <v>2.0888888888888886</v>
      </c>
      <c r="T17" s="186">
        <f>'[2]Used Vehicles - NW'!J$5</f>
        <v>2.0888888888888886</v>
      </c>
      <c r="U17" s="186">
        <f>'[2]Used Vehicles - NW'!K$5</f>
        <v>2.0888888888888886</v>
      </c>
      <c r="V17" s="186">
        <f>'[2]Used Vehicles - NW'!L$5</f>
        <v>2.0888888888888886</v>
      </c>
      <c r="W17" s="186">
        <f>'[2]Used Vehicles - NW'!M$5</f>
        <v>2.0888888888888886</v>
      </c>
      <c r="X17" s="186">
        <f>'[2]Used Vehicles - NW'!N$5</f>
        <v>2.0888888888888886</v>
      </c>
      <c r="Y17" s="186">
        <f>'[2]Used Vehicles - NW'!O$5</f>
        <v>2.0888888888888886</v>
      </c>
      <c r="Z17" s="186">
        <f>'[2]Used Vehicles - NW'!P$5</f>
        <v>2.0888888888888886</v>
      </c>
      <c r="AA17" s="184" t="s">
        <v>79</v>
      </c>
      <c r="AB17" s="184" t="s">
        <v>82</v>
      </c>
      <c r="AC17" s="184" t="str">
        <f t="shared" si="0"/>
        <v>#</v>
      </c>
      <c r="AE17" s="184" t="str">
        <f t="shared" si="1"/>
        <v>210-6090R#</v>
      </c>
    </row>
    <row r="18" spans="1:31" x14ac:dyDescent="0.2">
      <c r="A18" s="184">
        <v>120</v>
      </c>
      <c r="B18" s="185" t="s">
        <v>83</v>
      </c>
      <c r="C18" s="186"/>
      <c r="D18" s="186"/>
      <c r="E18" s="186"/>
      <c r="F18" s="186"/>
      <c r="G18" s="186">
        <f>+'[1]Used Vehicles'!F$4/3*2</f>
        <v>20</v>
      </c>
      <c r="H18" s="186">
        <f>+'[1]Used Vehicles'!G$4/3*2</f>
        <v>20</v>
      </c>
      <c r="I18" s="186">
        <f>+'[1]Used Vehicles'!H4/'[1]Used Vehicles'!H8*I14</f>
        <v>20</v>
      </c>
      <c r="J18" s="186">
        <f>+'[1]Used Vehicles'!I4/'[1]Used Vehicles'!I8*J14</f>
        <v>16.153846153846153</v>
      </c>
      <c r="K18" s="186">
        <f>+'[1]Used Vehicles'!J4/'[1]Used Vehicles'!J8*K14</f>
        <v>17.142857142857142</v>
      </c>
      <c r="L18" s="186">
        <f>+'[1]Used Vehicles'!K4/'[1]Used Vehicles'!K8*L14</f>
        <v>32.571428571428569</v>
      </c>
      <c r="M18" s="186">
        <f>+'[1]Used Vehicles'!L4/'[1]Used Vehicles'!L8*M14</f>
        <v>33.714285714285715</v>
      </c>
      <c r="N18" s="186">
        <f>+'[1]Used Vehicles'!M4/'[1]Used Vehicles'!M8*N14</f>
        <v>36.571428571428569</v>
      </c>
      <c r="O18" s="186">
        <f>'[2]Used Vehicles - NS'!E$4</f>
        <v>33</v>
      </c>
      <c r="P18" s="186">
        <f>'[2]Used Vehicles - NS'!F$4</f>
        <v>32</v>
      </c>
      <c r="Q18" s="186">
        <f>'[2]Used Vehicles - NS'!G$4</f>
        <v>30</v>
      </c>
      <c r="R18" s="186">
        <f>'[2]Used Vehicles - NS'!H$4</f>
        <v>28.888888888888889</v>
      </c>
      <c r="S18" s="186">
        <f>'[2]Used Vehicles - NS'!I$4</f>
        <v>28.888888888888889</v>
      </c>
      <c r="T18" s="186">
        <f>'[2]Used Vehicles - NS'!J$4</f>
        <v>28.888888888888889</v>
      </c>
      <c r="U18" s="186">
        <f>'[2]Used Vehicles - NS'!K$4</f>
        <v>28.888888888888889</v>
      </c>
      <c r="V18" s="186">
        <f>'[2]Used Vehicles - NS'!L$4</f>
        <v>28.888888888888889</v>
      </c>
      <c r="W18" s="186">
        <f>'[2]Used Vehicles - NS'!M$4</f>
        <v>29</v>
      </c>
      <c r="X18" s="186">
        <f>'[2]Used Vehicles - NS'!N$4</f>
        <v>29</v>
      </c>
      <c r="Y18" s="186">
        <f>'[2]Used Vehicles - NS'!O$4</f>
        <v>29</v>
      </c>
      <c r="Z18" s="186">
        <f>'[2]Used Vehicles - NS'!P$4</f>
        <v>29</v>
      </c>
      <c r="AA18" s="184" t="s">
        <v>79</v>
      </c>
      <c r="AB18" s="184" t="s">
        <v>84</v>
      </c>
      <c r="AC18" s="184" t="str">
        <f t="shared" si="0"/>
        <v>#</v>
      </c>
      <c r="AE18" s="184" t="str">
        <f t="shared" si="1"/>
        <v>120-6205#</v>
      </c>
    </row>
    <row r="19" spans="1:31" x14ac:dyDescent="0.2">
      <c r="A19" s="184">
        <v>220</v>
      </c>
      <c r="B19" s="185" t="s">
        <v>83</v>
      </c>
      <c r="C19" s="186"/>
      <c r="D19" s="186"/>
      <c r="E19" s="186"/>
      <c r="F19" s="186"/>
      <c r="G19" s="186">
        <f>+G18/2</f>
        <v>10</v>
      </c>
      <c r="H19" s="186">
        <f t="shared" ref="H19" si="5">+H18/2</f>
        <v>10</v>
      </c>
      <c r="I19" s="186">
        <f>+'[1]Used Vehicles'!H4/'[1]Used Vehicles'!H8*I15</f>
        <v>10</v>
      </c>
      <c r="J19" s="186">
        <f>+'[1]Used Vehicles'!I4/'[1]Used Vehicles'!I8*J15</f>
        <v>13.846153846153845</v>
      </c>
      <c r="K19" s="186">
        <f>+'[1]Used Vehicles'!J4/'[1]Used Vehicles'!J8*K15</f>
        <v>12.857142857142858</v>
      </c>
      <c r="L19" s="186">
        <f>+'[1]Used Vehicles'!K4/'[1]Used Vehicles'!K8*L15</f>
        <v>24.428571428571427</v>
      </c>
      <c r="M19" s="186">
        <f>+'[1]Used Vehicles'!L4/'[1]Used Vehicles'!L8*M15</f>
        <v>25.285714285714285</v>
      </c>
      <c r="N19" s="186">
        <f>+'[1]Used Vehicles'!M4/'[1]Used Vehicles'!M8*N15</f>
        <v>27.428571428571427</v>
      </c>
      <c r="O19" s="186">
        <f>'[2]Used Vehicles - NW'!E$4</f>
        <v>16</v>
      </c>
      <c r="P19" s="186">
        <f>'[2]Used Vehicles - NW'!F$4</f>
        <v>24</v>
      </c>
      <c r="Q19" s="186">
        <f>'[2]Used Vehicles - NW'!G$4</f>
        <v>20</v>
      </c>
      <c r="R19" s="186">
        <f>'[2]Used Vehicles - NW'!H$4</f>
        <v>20</v>
      </c>
      <c r="S19" s="186">
        <f>'[2]Used Vehicles - NW'!I$4</f>
        <v>20</v>
      </c>
      <c r="T19" s="186">
        <f>'[2]Used Vehicles - NW'!J$4</f>
        <v>20</v>
      </c>
      <c r="U19" s="186">
        <f>'[2]Used Vehicles - NW'!K$4</f>
        <v>20</v>
      </c>
      <c r="V19" s="186">
        <f>'[2]Used Vehicles - NW'!L$4</f>
        <v>20</v>
      </c>
      <c r="W19" s="186">
        <f>'[2]Used Vehicles - NW'!M$4</f>
        <v>20</v>
      </c>
      <c r="X19" s="186">
        <f>'[2]Used Vehicles - NW'!N$4</f>
        <v>20</v>
      </c>
      <c r="Y19" s="186">
        <f>'[2]Used Vehicles - NW'!O$4</f>
        <v>20</v>
      </c>
      <c r="Z19" s="186">
        <f>'[2]Used Vehicles - NW'!P$4</f>
        <v>20</v>
      </c>
      <c r="AA19" s="184" t="s">
        <v>79</v>
      </c>
      <c r="AB19" s="184" t="s">
        <v>84</v>
      </c>
      <c r="AC19" s="184" t="str">
        <f t="shared" si="0"/>
        <v>#</v>
      </c>
      <c r="AE19" s="184" t="str">
        <f t="shared" si="1"/>
        <v>220-6205#</v>
      </c>
    </row>
    <row r="20" spans="1:31" x14ac:dyDescent="0.2">
      <c r="A20" s="184">
        <v>120</v>
      </c>
      <c r="B20" s="185" t="s">
        <v>85</v>
      </c>
      <c r="C20" s="186"/>
      <c r="D20" s="186"/>
      <c r="E20" s="186"/>
      <c r="F20" s="186"/>
      <c r="G20" s="186">
        <f>+'[1]Used Vehicles'!F$6/3*2</f>
        <v>32.666666666666664</v>
      </c>
      <c r="H20" s="186">
        <f>+'[1]Used Vehicles'!G$6/3*2</f>
        <v>33.333333333333336</v>
      </c>
      <c r="I20" s="186">
        <f>'[1]Used Vehicles'!H6/'[1]Used Vehicles'!H8*I14</f>
        <v>36.666666666666664</v>
      </c>
      <c r="J20" s="186">
        <f>'[1]Used Vehicles'!I6/'[1]Used Vehicles'!I8*J14</f>
        <v>32.307692307692307</v>
      </c>
      <c r="K20" s="186">
        <f>'[1]Used Vehicles'!J6/'[1]Used Vehicles'!J8*K14</f>
        <v>40</v>
      </c>
      <c r="L20" s="186">
        <f>'[1]Used Vehicles'!K6/'[1]Used Vehicles'!K8*L14</f>
        <v>17.714285714285715</v>
      </c>
      <c r="M20" s="186">
        <f>'[1]Used Vehicles'!L6/'[1]Used Vehicles'!L8*M14</f>
        <v>28.571428571428573</v>
      </c>
      <c r="N20" s="186">
        <f>'[1]Used Vehicles'!M6/'[1]Used Vehicles'!M8*N14</f>
        <v>32.571428571428569</v>
      </c>
      <c r="O20" s="186">
        <f>'[2]Used Vehicles - NS'!E$6</f>
        <v>40</v>
      </c>
      <c r="P20" s="186">
        <f>'[2]Used Vehicles - NS'!F$6</f>
        <v>42</v>
      </c>
      <c r="Q20" s="186">
        <f>'[2]Used Vehicles - NS'!G$6</f>
        <v>55</v>
      </c>
      <c r="R20" s="186">
        <f>'[2]Used Vehicles - NS'!H$6</f>
        <v>59</v>
      </c>
      <c r="S20" s="186">
        <f>'[2]Used Vehicles - NS'!I$6</f>
        <v>59</v>
      </c>
      <c r="T20" s="186">
        <f>'[2]Used Vehicles - NS'!J$6</f>
        <v>59</v>
      </c>
      <c r="U20" s="186">
        <f>'[2]Used Vehicles - NS'!K$6</f>
        <v>59</v>
      </c>
      <c r="V20" s="186">
        <f>'[2]Used Vehicles - NS'!L$6</f>
        <v>59</v>
      </c>
      <c r="W20" s="186">
        <f>'[2]Used Vehicles - NS'!M$6</f>
        <v>59</v>
      </c>
      <c r="X20" s="186">
        <f>'[2]Used Vehicles - NS'!N$6</f>
        <v>53</v>
      </c>
      <c r="Y20" s="186">
        <f>'[2]Used Vehicles - NS'!O$6</f>
        <v>56</v>
      </c>
      <c r="Z20" s="186">
        <f>'[2]Used Vehicles - NS'!P$6</f>
        <v>59</v>
      </c>
      <c r="AA20" s="184" t="s">
        <v>79</v>
      </c>
      <c r="AB20" s="184" t="s">
        <v>86</v>
      </c>
      <c r="AC20" s="184" t="str">
        <f t="shared" si="0"/>
        <v>#</v>
      </c>
      <c r="AE20" s="184" t="str">
        <f t="shared" si="1"/>
        <v>120-6209#</v>
      </c>
    </row>
    <row r="21" spans="1:31" x14ac:dyDescent="0.2">
      <c r="A21" s="184">
        <v>220</v>
      </c>
      <c r="B21" s="185" t="s">
        <v>85</v>
      </c>
      <c r="C21" s="186"/>
      <c r="D21" s="186"/>
      <c r="E21" s="186"/>
      <c r="F21" s="186"/>
      <c r="G21" s="186">
        <f>+G20/2</f>
        <v>16.333333333333332</v>
      </c>
      <c r="H21" s="186">
        <f t="shared" ref="H21" si="6">+H20/2</f>
        <v>16.666666666666668</v>
      </c>
      <c r="I21" s="186">
        <f>'[1]Used Vehicles'!H6/'[1]Used Vehicles'!H8*I15</f>
        <v>18.333333333333332</v>
      </c>
      <c r="J21" s="186">
        <f>'[1]Used Vehicles'!I6/'[1]Used Vehicles'!I8*J15</f>
        <v>27.69230769230769</v>
      </c>
      <c r="K21" s="186">
        <f>'[1]Used Vehicles'!J6/'[1]Used Vehicles'!J8*K15</f>
        <v>30</v>
      </c>
      <c r="L21" s="186">
        <f>'[1]Used Vehicles'!K6/'[1]Used Vehicles'!K8*L15</f>
        <v>13.285714285714286</v>
      </c>
      <c r="M21" s="186">
        <f>'[1]Used Vehicles'!L6/'[1]Used Vehicles'!L8*M15</f>
        <v>21.428571428571431</v>
      </c>
      <c r="N21" s="186">
        <f>'[1]Used Vehicles'!M6/'[1]Used Vehicles'!M8*N15</f>
        <v>24.428571428571427</v>
      </c>
      <c r="O21" s="186">
        <f>'[2]Used Vehicles - NW'!E$6</f>
        <v>15</v>
      </c>
      <c r="P21" s="186">
        <f>'[2]Used Vehicles - NW'!F$6</f>
        <v>15</v>
      </c>
      <c r="Q21" s="186">
        <f>'[2]Used Vehicles - NW'!G$6</f>
        <v>18</v>
      </c>
      <c r="R21" s="186">
        <f>'[2]Used Vehicles - NW'!H$6</f>
        <v>21</v>
      </c>
      <c r="S21" s="186">
        <f>'[2]Used Vehicles - NW'!I$6</f>
        <v>24</v>
      </c>
      <c r="T21" s="186">
        <f>'[2]Used Vehicles - NW'!J$6</f>
        <v>27</v>
      </c>
      <c r="U21" s="186">
        <f>'[2]Used Vehicles - NW'!K$6</f>
        <v>30</v>
      </c>
      <c r="V21" s="186">
        <f>'[2]Used Vehicles - NW'!L$6</f>
        <v>33</v>
      </c>
      <c r="W21" s="186">
        <f>'[2]Used Vehicles - NW'!M$6</f>
        <v>36</v>
      </c>
      <c r="X21" s="186">
        <f>'[2]Used Vehicles - NW'!N$6</f>
        <v>27</v>
      </c>
      <c r="Y21" s="186">
        <f>'[2]Used Vehicles - NW'!O$6</f>
        <v>30</v>
      </c>
      <c r="Z21" s="186">
        <f>'[2]Used Vehicles - NW'!P$6</f>
        <v>33</v>
      </c>
      <c r="AA21" s="184" t="s">
        <v>79</v>
      </c>
      <c r="AB21" s="184" t="s">
        <v>86</v>
      </c>
      <c r="AC21" s="184" t="str">
        <f t="shared" si="0"/>
        <v>#</v>
      </c>
      <c r="AE21" s="184" t="str">
        <f t="shared" si="1"/>
        <v>220-6209#</v>
      </c>
    </row>
    <row r="22" spans="1:31" x14ac:dyDescent="0.2">
      <c r="A22" s="184">
        <v>110</v>
      </c>
      <c r="B22" s="185" t="s">
        <v>87</v>
      </c>
      <c r="C22" s="186"/>
      <c r="D22" s="186"/>
      <c r="E22" s="186"/>
      <c r="F22" s="186"/>
      <c r="G22" s="186">
        <f>-G16*35000</f>
        <v>-262500</v>
      </c>
      <c r="H22" s="186">
        <f t="shared" ref="H22:N22" si="7">-H16*35000</f>
        <v>-262500</v>
      </c>
      <c r="I22" s="186">
        <f>-I16*35000</f>
        <v>-350000</v>
      </c>
      <c r="J22" s="186">
        <f t="shared" si="7"/>
        <v>-282692.30769230769</v>
      </c>
      <c r="K22" s="186">
        <f t="shared" ref="K22" si="8">-K16*35000</f>
        <v>-300000</v>
      </c>
      <c r="L22" s="186">
        <f t="shared" si="7"/>
        <v>-160000</v>
      </c>
      <c r="M22" s="186">
        <f t="shared" si="7"/>
        <v>-300000</v>
      </c>
      <c r="N22" s="186">
        <f t="shared" si="7"/>
        <v>-380000</v>
      </c>
      <c r="O22" s="186">
        <f t="shared" ref="O22:Z22" si="9">-O16*35000</f>
        <v>-105000</v>
      </c>
      <c r="P22" s="186">
        <f t="shared" si="9"/>
        <v>-175000</v>
      </c>
      <c r="Q22" s="186">
        <f t="shared" si="9"/>
        <v>0</v>
      </c>
      <c r="R22" s="186">
        <f t="shared" si="9"/>
        <v>-105000</v>
      </c>
      <c r="S22" s="186">
        <f t="shared" si="9"/>
        <v>-105000</v>
      </c>
      <c r="T22" s="186">
        <f t="shared" si="9"/>
        <v>-105000</v>
      </c>
      <c r="U22" s="186">
        <f t="shared" si="9"/>
        <v>-105000</v>
      </c>
      <c r="V22" s="186">
        <f t="shared" si="9"/>
        <v>-105000</v>
      </c>
      <c r="W22" s="186">
        <f t="shared" si="9"/>
        <v>-105000</v>
      </c>
      <c r="X22" s="186">
        <f t="shared" si="9"/>
        <v>-105000</v>
      </c>
      <c r="Y22" s="186">
        <f t="shared" si="9"/>
        <v>-105000</v>
      </c>
      <c r="Z22" s="186">
        <f t="shared" si="9"/>
        <v>-105000</v>
      </c>
      <c r="AA22" s="184" t="s">
        <v>79</v>
      </c>
      <c r="AB22" s="184" t="s">
        <v>88</v>
      </c>
      <c r="AC22" s="184" t="str">
        <f t="shared" si="0"/>
        <v/>
      </c>
      <c r="AE22" s="184" t="str">
        <f t="shared" si="1"/>
        <v>110-3090R</v>
      </c>
    </row>
    <row r="23" spans="1:31" x14ac:dyDescent="0.2">
      <c r="A23" s="184">
        <v>210</v>
      </c>
      <c r="B23" s="185" t="s">
        <v>87</v>
      </c>
      <c r="C23" s="186"/>
      <c r="D23" s="186"/>
      <c r="E23" s="186"/>
      <c r="F23" s="186"/>
      <c r="G23" s="186">
        <f t="shared" ref="G23:N23" si="10">-G17*35000</f>
        <v>-262500</v>
      </c>
      <c r="H23" s="186">
        <f t="shared" si="10"/>
        <v>-262500</v>
      </c>
      <c r="I23" s="186">
        <f t="shared" si="10"/>
        <v>-175000</v>
      </c>
      <c r="J23" s="186">
        <f t="shared" si="10"/>
        <v>-242307.69230769228</v>
      </c>
      <c r="K23" s="186">
        <f t="shared" ref="K23" si="11">-K17*35000</f>
        <v>-225000</v>
      </c>
      <c r="L23" s="186">
        <f t="shared" si="10"/>
        <v>-120000</v>
      </c>
      <c r="M23" s="186">
        <f t="shared" si="10"/>
        <v>-225000</v>
      </c>
      <c r="N23" s="186">
        <f t="shared" si="10"/>
        <v>-285000</v>
      </c>
      <c r="O23" s="186">
        <f t="shared" ref="O23:Z23" si="12">-O17*35000</f>
        <v>-35000</v>
      </c>
      <c r="P23" s="186">
        <f t="shared" si="12"/>
        <v>-175000</v>
      </c>
      <c r="Q23" s="186">
        <f t="shared" si="12"/>
        <v>-175000</v>
      </c>
      <c r="R23" s="186">
        <f t="shared" si="12"/>
        <v>-73111.111111111095</v>
      </c>
      <c r="S23" s="186">
        <f t="shared" si="12"/>
        <v>-73111.111111111095</v>
      </c>
      <c r="T23" s="186">
        <f t="shared" si="12"/>
        <v>-73111.111111111095</v>
      </c>
      <c r="U23" s="186">
        <f t="shared" si="12"/>
        <v>-73111.111111111095</v>
      </c>
      <c r="V23" s="186">
        <f t="shared" si="12"/>
        <v>-73111.111111111095</v>
      </c>
      <c r="W23" s="186">
        <f t="shared" si="12"/>
        <v>-73111.111111111095</v>
      </c>
      <c r="X23" s="186">
        <f t="shared" si="12"/>
        <v>-73111.111111111095</v>
      </c>
      <c r="Y23" s="186">
        <f t="shared" si="12"/>
        <v>-73111.111111111095</v>
      </c>
      <c r="Z23" s="186">
        <f t="shared" si="12"/>
        <v>-73111.111111111095</v>
      </c>
      <c r="AA23" s="184" t="s">
        <v>79</v>
      </c>
      <c r="AB23" s="184" t="s">
        <v>88</v>
      </c>
      <c r="AC23" s="184" t="str">
        <f t="shared" si="0"/>
        <v/>
      </c>
      <c r="AE23" s="184" t="str">
        <f t="shared" si="1"/>
        <v>210-3090R</v>
      </c>
    </row>
    <row r="24" spans="1:31" x14ac:dyDescent="0.2">
      <c r="A24" s="184">
        <v>110</v>
      </c>
      <c r="B24" s="185" t="s">
        <v>89</v>
      </c>
      <c r="C24" s="186"/>
      <c r="D24" s="186"/>
      <c r="E24" s="186"/>
      <c r="F24" s="186"/>
      <c r="G24" s="186">
        <f>-('[1]Used Vehicles'!F$12*G16+G22)</f>
        <v>249750</v>
      </c>
      <c r="H24" s="186">
        <f>-('[1]Used Vehicles'!G$12*H16+H22)</f>
        <v>249750</v>
      </c>
      <c r="I24" s="186">
        <f>-('[1]Used Vehicles'!H$12*I16+I22)</f>
        <v>332750</v>
      </c>
      <c r="J24" s="186">
        <f>-('[1]Used Vehicles'!I$12*J16+J22)</f>
        <v>268557.69230769231</v>
      </c>
      <c r="K24" s="186">
        <f>-('[1]Used Vehicles'!J$12*K16+K22)</f>
        <v>284785.71428571426</v>
      </c>
      <c r="L24" s="186">
        <f>-('[1]Used Vehicles'!K$12*L16+L22)</f>
        <v>153906.28571428571</v>
      </c>
      <c r="M24" s="186">
        <f>-('[1]Used Vehicles'!L$12*M16+M22)</f>
        <v>282606.91428571427</v>
      </c>
      <c r="N24" s="186">
        <f>-('[1]Used Vehicles'!M$12*N16+N22)</f>
        <v>364260.57142857142</v>
      </c>
      <c r="O24" s="186">
        <f>-('[2]Used Vehicles - NS'!E$12*O16+O22)</f>
        <v>99981</v>
      </c>
      <c r="P24" s="186">
        <f>-('[2]Used Vehicles - NS'!F$12*P16+P22)</f>
        <v>146860</v>
      </c>
      <c r="Q24" s="186">
        <f>-('[2]Used Vehicles - NS'!G$12*Q16+Q22)</f>
        <v>0</v>
      </c>
      <c r="R24" s="186">
        <f>-('[2]Used Vehicles - NS'!H$12*R16+R22)</f>
        <v>94500</v>
      </c>
      <c r="S24" s="186">
        <f>-('[2]Used Vehicles - NS'!I$12*S16+S22)</f>
        <v>94500</v>
      </c>
      <c r="T24" s="186">
        <f>-('[2]Used Vehicles - NS'!J$12*T16+T22)</f>
        <v>94500</v>
      </c>
      <c r="U24" s="186">
        <f>-('[2]Used Vehicles - NS'!K$12*U16+U22)</f>
        <v>94500</v>
      </c>
      <c r="V24" s="186">
        <f>-('[2]Used Vehicles - NS'!L$12*V16+V22)</f>
        <v>94500</v>
      </c>
      <c r="W24" s="186">
        <f>-('[2]Used Vehicles - NS'!M$12*W16+W22)</f>
        <v>94500</v>
      </c>
      <c r="X24" s="186">
        <f>-('[2]Used Vehicles - NS'!N$12*X16+X22)</f>
        <v>94500</v>
      </c>
      <c r="Y24" s="186">
        <f>-('[2]Used Vehicles - NS'!O$12*Y16+Y22)</f>
        <v>94500</v>
      </c>
      <c r="Z24" s="186">
        <f>-('[2]Used Vehicles - NS'!P$12*Z16+Z22)</f>
        <v>94500</v>
      </c>
      <c r="AA24" s="184" t="s">
        <v>79</v>
      </c>
      <c r="AB24" s="184" t="s">
        <v>90</v>
      </c>
      <c r="AC24" s="184" t="str">
        <f t="shared" si="0"/>
        <v/>
      </c>
      <c r="AE24" s="184" t="str">
        <f t="shared" si="1"/>
        <v>110-4090R</v>
      </c>
    </row>
    <row r="25" spans="1:31" x14ac:dyDescent="0.2">
      <c r="A25" s="184">
        <v>210</v>
      </c>
      <c r="B25" s="185" t="s">
        <v>89</v>
      </c>
      <c r="C25" s="186"/>
      <c r="D25" s="186"/>
      <c r="E25" s="186"/>
      <c r="F25" s="186"/>
      <c r="G25" s="186">
        <f>-('[1]Used Vehicles'!F$12*G17+G23)</f>
        <v>249750</v>
      </c>
      <c r="H25" s="186">
        <f>-('[1]Used Vehicles'!G$12*H17+H23)</f>
        <v>249750</v>
      </c>
      <c r="I25" s="186">
        <f>-('[1]Used Vehicles'!H$12*I17+I23)</f>
        <v>166375</v>
      </c>
      <c r="J25" s="186">
        <f>-('[1]Used Vehicles'!I$12*J17+J23)</f>
        <v>230192.30769230766</v>
      </c>
      <c r="K25" s="186">
        <f>-('[1]Used Vehicles'!J$12*K17+K23)</f>
        <v>213589.28571428571</v>
      </c>
      <c r="L25" s="186">
        <f>-('[1]Used Vehicles'!K$12*L17+L23)</f>
        <v>115429.71428571429</v>
      </c>
      <c r="M25" s="186">
        <f>-('[1]Used Vehicles'!L$12*M17+M23)</f>
        <v>211955.1857142857</v>
      </c>
      <c r="N25" s="186">
        <f>-('[1]Used Vehicles'!M$12*N17+N23)</f>
        <v>273195.42857142858</v>
      </c>
      <c r="O25" s="186">
        <f>-('[2]Used Vehicles - NW'!E$12*O17+O23)</f>
        <v>31116</v>
      </c>
      <c r="P25" s="186">
        <f>-('[2]Used Vehicles - NW'!F$12*P17+P23)</f>
        <v>165475</v>
      </c>
      <c r="Q25" s="186">
        <f>-('[2]Used Vehicles - NW'!G$12*Q17+Q23)</f>
        <v>167500</v>
      </c>
      <c r="R25" s="186">
        <f>-('[2]Used Vehicles - NW'!H$12*R17+R23)</f>
        <v>65799.999999999985</v>
      </c>
      <c r="S25" s="186">
        <f>-('[2]Used Vehicles - NW'!I$12*S17+S23)</f>
        <v>65799.999999999985</v>
      </c>
      <c r="T25" s="186">
        <f>-('[2]Used Vehicles - NW'!J$12*T17+T23)</f>
        <v>65799.999999999985</v>
      </c>
      <c r="U25" s="186">
        <f>-('[2]Used Vehicles - NW'!K$12*U17+U23)</f>
        <v>65799.999999999985</v>
      </c>
      <c r="V25" s="186">
        <f>-('[2]Used Vehicles - NW'!L$12*V17+V23)</f>
        <v>65799.999999999985</v>
      </c>
      <c r="W25" s="186">
        <f>-('[2]Used Vehicles - NW'!M$12*W17+W23)</f>
        <v>65799.999999999985</v>
      </c>
      <c r="X25" s="186">
        <f>-('[2]Used Vehicles - NW'!N$12*X17+X23)</f>
        <v>65799.999999999985</v>
      </c>
      <c r="Y25" s="186">
        <f>-('[2]Used Vehicles - NW'!O$12*Y17+Y23)</f>
        <v>65799.999999999985</v>
      </c>
      <c r="Z25" s="186">
        <f>-('[2]Used Vehicles - NW'!P$12*Z17+Z23)</f>
        <v>65799.999999999985</v>
      </c>
      <c r="AA25" s="184" t="s">
        <v>79</v>
      </c>
      <c r="AB25" s="184" t="s">
        <v>90</v>
      </c>
      <c r="AC25" s="184" t="str">
        <f t="shared" si="0"/>
        <v/>
      </c>
      <c r="AE25" s="184" t="str">
        <f t="shared" si="1"/>
        <v>210-4090R</v>
      </c>
    </row>
    <row r="26" spans="1:31" x14ac:dyDescent="0.2">
      <c r="A26" s="184">
        <v>120</v>
      </c>
      <c r="B26" s="185">
        <v>3205</v>
      </c>
      <c r="C26" s="186"/>
      <c r="D26" s="186"/>
      <c r="E26" s="186"/>
      <c r="F26" s="186"/>
      <c r="G26" s="186">
        <f>-G18*18000</f>
        <v>-360000</v>
      </c>
      <c r="H26" s="186">
        <f t="shared" ref="H26:N26" si="13">-H18*18000</f>
        <v>-360000</v>
      </c>
      <c r="I26" s="186">
        <f t="shared" si="13"/>
        <v>-360000</v>
      </c>
      <c r="J26" s="186">
        <f t="shared" si="13"/>
        <v>-290769.23076923075</v>
      </c>
      <c r="K26" s="186">
        <f t="shared" ref="K26" si="14">-K18*18000</f>
        <v>-308571.42857142858</v>
      </c>
      <c r="L26" s="186">
        <f>-L18*18000</f>
        <v>-586285.7142857142</v>
      </c>
      <c r="M26" s="186">
        <f t="shared" si="13"/>
        <v>-606857.14285714284</v>
      </c>
      <c r="N26" s="186">
        <f t="shared" si="13"/>
        <v>-658285.7142857142</v>
      </c>
      <c r="O26" s="186">
        <f t="shared" ref="O26:Z26" si="15">-O18*18000</f>
        <v>-594000</v>
      </c>
      <c r="P26" s="186">
        <f t="shared" si="15"/>
        <v>-576000</v>
      </c>
      <c r="Q26" s="186">
        <f t="shared" si="15"/>
        <v>-540000</v>
      </c>
      <c r="R26" s="186">
        <f t="shared" si="15"/>
        <v>-520000</v>
      </c>
      <c r="S26" s="186">
        <f t="shared" si="15"/>
        <v>-520000</v>
      </c>
      <c r="T26" s="186">
        <f t="shared" si="15"/>
        <v>-520000</v>
      </c>
      <c r="U26" s="186">
        <f t="shared" si="15"/>
        <v>-520000</v>
      </c>
      <c r="V26" s="186">
        <f t="shared" si="15"/>
        <v>-520000</v>
      </c>
      <c r="W26" s="186">
        <f t="shared" si="15"/>
        <v>-522000</v>
      </c>
      <c r="X26" s="186">
        <f t="shared" si="15"/>
        <v>-522000</v>
      </c>
      <c r="Y26" s="186">
        <f t="shared" si="15"/>
        <v>-522000</v>
      </c>
      <c r="Z26" s="186">
        <f t="shared" si="15"/>
        <v>-522000</v>
      </c>
      <c r="AA26" s="184" t="s">
        <v>79</v>
      </c>
      <c r="AB26" s="184" t="s">
        <v>91</v>
      </c>
      <c r="AC26" s="184" t="str">
        <f t="shared" si="0"/>
        <v/>
      </c>
      <c r="AE26" s="184" t="str">
        <f t="shared" si="1"/>
        <v>120-3205</v>
      </c>
    </row>
    <row r="27" spans="1:31" x14ac:dyDescent="0.2">
      <c r="A27" s="184">
        <v>220</v>
      </c>
      <c r="B27" s="185">
        <v>3205</v>
      </c>
      <c r="C27" s="186"/>
      <c r="D27" s="186"/>
      <c r="E27" s="186"/>
      <c r="F27" s="186"/>
      <c r="G27" s="186">
        <f t="shared" ref="G27:N27" si="16">-G19*18000</f>
        <v>-180000</v>
      </c>
      <c r="H27" s="186">
        <f t="shared" si="16"/>
        <v>-180000</v>
      </c>
      <c r="I27" s="186">
        <f t="shared" si="16"/>
        <v>-180000</v>
      </c>
      <c r="J27" s="186">
        <f t="shared" si="16"/>
        <v>-249230.76923076922</v>
      </c>
      <c r="K27" s="186">
        <f t="shared" ref="K27" si="17">-K19*18000</f>
        <v>-231428.57142857145</v>
      </c>
      <c r="L27" s="186">
        <f t="shared" si="16"/>
        <v>-439714.28571428568</v>
      </c>
      <c r="M27" s="186">
        <f t="shared" si="16"/>
        <v>-455142.8571428571</v>
      </c>
      <c r="N27" s="186">
        <f t="shared" si="16"/>
        <v>-493714.28571428568</v>
      </c>
      <c r="O27" s="186">
        <f t="shared" ref="O27:Z27" si="18">-O19*18000</f>
        <v>-288000</v>
      </c>
      <c r="P27" s="186">
        <f t="shared" si="18"/>
        <v>-432000</v>
      </c>
      <c r="Q27" s="186">
        <f t="shared" si="18"/>
        <v>-360000</v>
      </c>
      <c r="R27" s="186">
        <f t="shared" si="18"/>
        <v>-360000</v>
      </c>
      <c r="S27" s="186">
        <f t="shared" si="18"/>
        <v>-360000</v>
      </c>
      <c r="T27" s="186">
        <f t="shared" si="18"/>
        <v>-360000</v>
      </c>
      <c r="U27" s="186">
        <f t="shared" si="18"/>
        <v>-360000</v>
      </c>
      <c r="V27" s="186">
        <f t="shared" si="18"/>
        <v>-360000</v>
      </c>
      <c r="W27" s="186">
        <f t="shared" si="18"/>
        <v>-360000</v>
      </c>
      <c r="X27" s="186">
        <f t="shared" si="18"/>
        <v>-360000</v>
      </c>
      <c r="Y27" s="186">
        <f t="shared" si="18"/>
        <v>-360000</v>
      </c>
      <c r="Z27" s="186">
        <f t="shared" si="18"/>
        <v>-360000</v>
      </c>
      <c r="AA27" s="184" t="s">
        <v>79</v>
      </c>
      <c r="AB27" s="184" t="s">
        <v>91</v>
      </c>
      <c r="AC27" s="184" t="str">
        <f t="shared" si="0"/>
        <v/>
      </c>
      <c r="AE27" s="184" t="str">
        <f t="shared" si="1"/>
        <v>220-3205</v>
      </c>
    </row>
    <row r="28" spans="1:31" x14ac:dyDescent="0.2">
      <c r="A28" s="184">
        <v>120</v>
      </c>
      <c r="B28" s="187">
        <v>4205</v>
      </c>
      <c r="C28" s="186"/>
      <c r="D28" s="186"/>
      <c r="E28" s="186"/>
      <c r="F28" s="186"/>
      <c r="G28" s="186">
        <f>-'[1]Used Vehicles'!F$11*G18-G26</f>
        <v>330000</v>
      </c>
      <c r="H28" s="186">
        <f>-'[1]Used Vehicles'!G$11*H18-H26</f>
        <v>330000</v>
      </c>
      <c r="I28" s="186">
        <f>-'[1]Used Vehicles'!H$11*I18-I26</f>
        <v>330000</v>
      </c>
      <c r="J28" s="186">
        <f>-'[1]Used Vehicles'!I$11*J18-J26</f>
        <v>266538.4615384615</v>
      </c>
      <c r="K28" s="186">
        <f>-'[1]Used Vehicles'!J$11*K18-K26</f>
        <v>282857.14285714284</v>
      </c>
      <c r="L28" s="186">
        <f>-'[1]Used Vehicles'!K$11*L18-L26</f>
        <v>552152.57142857136</v>
      </c>
      <c r="M28" s="186">
        <f>-'[1]Used Vehicles'!L$11*M18-M26</f>
        <v>570884.69142857136</v>
      </c>
      <c r="N28" s="186">
        <f>-'[1]Used Vehicles'!M$11*N18-N26</f>
        <v>569412.57142857136</v>
      </c>
      <c r="O28" s="186">
        <f>-'[2]Used Vehicles - NS'!E$11*O18-O26</f>
        <v>545985</v>
      </c>
      <c r="P28" s="186">
        <f>-'[2]Used Vehicles - NS'!F$11*P18-P26</f>
        <v>545796</v>
      </c>
      <c r="Q28" s="186">
        <f>-'[2]Used Vehicles - NS'!G$11*Q18-Q26</f>
        <v>507000</v>
      </c>
      <c r="R28" s="186">
        <f>-'[2]Used Vehicles - NS'!H$11*R18-R26</f>
        <v>488222.22222222225</v>
      </c>
      <c r="S28" s="186">
        <f>-'[2]Used Vehicles - NS'!I$11*S18-S26</f>
        <v>488222.22222222225</v>
      </c>
      <c r="T28" s="186">
        <f>-'[2]Used Vehicles - NS'!J$11*T18-T26</f>
        <v>488222.22222222225</v>
      </c>
      <c r="U28" s="186">
        <f>-'[2]Used Vehicles - NS'!K$11*U18-U26</f>
        <v>488222.22222222225</v>
      </c>
      <c r="V28" s="186">
        <f>-'[2]Used Vehicles - NS'!L$11*V18-V26</f>
        <v>488222.22222222225</v>
      </c>
      <c r="W28" s="186">
        <f>-'[2]Used Vehicles - NS'!M$11*W18-W26</f>
        <v>490100</v>
      </c>
      <c r="X28" s="186">
        <f>-'[2]Used Vehicles - NS'!N$11*X18-X26</f>
        <v>490100</v>
      </c>
      <c r="Y28" s="186">
        <f>-'[2]Used Vehicles - NS'!O$11*Y18-Y26</f>
        <v>490100</v>
      </c>
      <c r="Z28" s="186">
        <f>-'[2]Used Vehicles - NS'!P$11*Z18-Z26</f>
        <v>490100</v>
      </c>
      <c r="AA28" s="184" t="s">
        <v>79</v>
      </c>
      <c r="AB28" s="184" t="s">
        <v>92</v>
      </c>
      <c r="AC28" s="184" t="str">
        <f t="shared" si="0"/>
        <v/>
      </c>
      <c r="AE28" s="184" t="str">
        <f t="shared" si="1"/>
        <v>120-4205</v>
      </c>
    </row>
    <row r="29" spans="1:31" x14ac:dyDescent="0.2">
      <c r="A29" s="184">
        <v>220</v>
      </c>
      <c r="B29" s="187">
        <v>4205</v>
      </c>
      <c r="C29" s="186"/>
      <c r="D29" s="186"/>
      <c r="E29" s="186"/>
      <c r="F29" s="186"/>
      <c r="G29" s="186">
        <f>-'[1]Used Vehicles'!F$11*G19-G27</f>
        <v>165000</v>
      </c>
      <c r="H29" s="186">
        <f>-'[1]Used Vehicles'!G$11*H19-H27</f>
        <v>165000</v>
      </c>
      <c r="I29" s="186">
        <f>-'[1]Used Vehicles'!H$11*I19-I27</f>
        <v>165000</v>
      </c>
      <c r="J29" s="186">
        <f>-'[1]Used Vehicles'!I$11*J19-J27</f>
        <v>228461.53846153844</v>
      </c>
      <c r="K29" s="186">
        <f>-'[1]Used Vehicles'!J$11*K19-K27</f>
        <v>212142.85714285716</v>
      </c>
      <c r="L29" s="186">
        <f>-'[1]Used Vehicles'!K$11*L19-L27</f>
        <v>414114.42857142852</v>
      </c>
      <c r="M29" s="186">
        <f>-'[1]Used Vehicles'!L$11*M19-M27</f>
        <v>428163.51857142855</v>
      </c>
      <c r="N29" s="186">
        <f>-'[1]Used Vehicles'!M$11*N19-N27</f>
        <v>427059.42857142852</v>
      </c>
      <c r="O29" s="186">
        <f>-'[2]Used Vehicles - NW'!E$11*O19-O27</f>
        <v>268672</v>
      </c>
      <c r="P29" s="186">
        <f>-'[2]Used Vehicles - NW'!F$11*P19-P27</f>
        <v>400756</v>
      </c>
      <c r="Q29" s="186">
        <f>-'[2]Used Vehicles - NW'!G$11*Q19-Q27</f>
        <v>338000</v>
      </c>
      <c r="R29" s="186">
        <f>-'[2]Used Vehicles - NW'!H$11*R19-R27</f>
        <v>338000</v>
      </c>
      <c r="S29" s="186">
        <f>-'[2]Used Vehicles - NW'!I$11*S19-S27</f>
        <v>338000</v>
      </c>
      <c r="T29" s="186">
        <f>-'[2]Used Vehicles - NW'!J$11*T19-T27</f>
        <v>338000</v>
      </c>
      <c r="U29" s="186">
        <f>-'[2]Used Vehicles - NW'!K$11*U19-U27</f>
        <v>338000</v>
      </c>
      <c r="V29" s="186">
        <f>-'[2]Used Vehicles - NW'!L$11*V19-V27</f>
        <v>338000</v>
      </c>
      <c r="W29" s="186">
        <f>-'[2]Used Vehicles - NW'!M$11*W19-W27</f>
        <v>338000</v>
      </c>
      <c r="X29" s="186">
        <f>-'[2]Used Vehicles - NW'!N$11*X19-X27</f>
        <v>338000</v>
      </c>
      <c r="Y29" s="186">
        <f>-'[2]Used Vehicles - NW'!O$11*Y19-Y27</f>
        <v>338000</v>
      </c>
      <c r="Z29" s="186">
        <f>-'[2]Used Vehicles - NW'!P$11*Z19-Z27</f>
        <v>338000</v>
      </c>
      <c r="AA29" s="184" t="s">
        <v>79</v>
      </c>
      <c r="AB29" s="184" t="s">
        <v>92</v>
      </c>
      <c r="AC29" s="184" t="str">
        <f t="shared" si="0"/>
        <v/>
      </c>
      <c r="AE29" s="184" t="str">
        <f t="shared" si="1"/>
        <v>220-4205</v>
      </c>
    </row>
    <row r="30" spans="1:31" x14ac:dyDescent="0.2">
      <c r="A30" s="184">
        <v>120</v>
      </c>
      <c r="B30" s="187">
        <v>3209</v>
      </c>
      <c r="C30" s="186"/>
      <c r="D30" s="186"/>
      <c r="E30" s="186"/>
      <c r="F30" s="186"/>
      <c r="G30" s="186">
        <f>-G20*30000</f>
        <v>-979999.99999999988</v>
      </c>
      <c r="H30" s="186">
        <f t="shared" ref="H30:N30" si="19">-H20*30000</f>
        <v>-1000000.0000000001</v>
      </c>
      <c r="I30" s="186">
        <f t="shared" si="19"/>
        <v>-1100000</v>
      </c>
      <c r="J30" s="186">
        <f t="shared" si="19"/>
        <v>-969230.76923076925</v>
      </c>
      <c r="K30" s="186">
        <f t="shared" ref="K30" si="20">-K20*30000</f>
        <v>-1200000</v>
      </c>
      <c r="L30" s="186">
        <f t="shared" si="19"/>
        <v>-531428.57142857148</v>
      </c>
      <c r="M30" s="186">
        <f t="shared" si="19"/>
        <v>-857142.85714285716</v>
      </c>
      <c r="N30" s="186">
        <f t="shared" si="19"/>
        <v>-977142.85714285704</v>
      </c>
      <c r="O30" s="186">
        <f>-O20*30000</f>
        <v>-1200000</v>
      </c>
      <c r="P30" s="186">
        <f t="shared" ref="P30:Z30" si="21">-P20*30000</f>
        <v>-1260000</v>
      </c>
      <c r="Q30" s="186">
        <f t="shared" si="21"/>
        <v>-1650000</v>
      </c>
      <c r="R30" s="186">
        <f t="shared" si="21"/>
        <v>-1770000</v>
      </c>
      <c r="S30" s="186">
        <f t="shared" si="21"/>
        <v>-1770000</v>
      </c>
      <c r="T30" s="186">
        <f t="shared" si="21"/>
        <v>-1770000</v>
      </c>
      <c r="U30" s="186">
        <f t="shared" si="21"/>
        <v>-1770000</v>
      </c>
      <c r="V30" s="186">
        <f t="shared" si="21"/>
        <v>-1770000</v>
      </c>
      <c r="W30" s="186">
        <f t="shared" si="21"/>
        <v>-1770000</v>
      </c>
      <c r="X30" s="186">
        <f t="shared" si="21"/>
        <v>-1590000</v>
      </c>
      <c r="Y30" s="186">
        <f t="shared" si="21"/>
        <v>-1680000</v>
      </c>
      <c r="Z30" s="186">
        <f t="shared" si="21"/>
        <v>-1770000</v>
      </c>
      <c r="AA30" s="184" t="s">
        <v>79</v>
      </c>
      <c r="AB30" s="184" t="s">
        <v>93</v>
      </c>
      <c r="AC30" s="184" t="str">
        <f t="shared" si="0"/>
        <v/>
      </c>
      <c r="AE30" s="184" t="str">
        <f t="shared" si="1"/>
        <v>120-3209</v>
      </c>
    </row>
    <row r="31" spans="1:31" x14ac:dyDescent="0.2">
      <c r="A31" s="184">
        <v>220</v>
      </c>
      <c r="B31" s="187">
        <v>3209</v>
      </c>
      <c r="C31" s="186"/>
      <c r="D31" s="186"/>
      <c r="E31" s="186"/>
      <c r="F31" s="186"/>
      <c r="G31" s="186">
        <f t="shared" ref="G31:N31" si="22">-G21*30000</f>
        <v>-489999.99999999994</v>
      </c>
      <c r="H31" s="186">
        <f t="shared" si="22"/>
        <v>-500000.00000000006</v>
      </c>
      <c r="I31" s="186">
        <f t="shared" si="22"/>
        <v>-550000</v>
      </c>
      <c r="J31" s="186">
        <f t="shared" si="22"/>
        <v>-830769.23076923075</v>
      </c>
      <c r="K31" s="186">
        <f t="shared" ref="K31" si="23">-K21*30000</f>
        <v>-900000</v>
      </c>
      <c r="L31" s="186">
        <f t="shared" si="22"/>
        <v>-398571.42857142858</v>
      </c>
      <c r="M31" s="186">
        <f t="shared" si="22"/>
        <v>-642857.14285714296</v>
      </c>
      <c r="N31" s="186">
        <f t="shared" si="22"/>
        <v>-732857.14285714284</v>
      </c>
      <c r="O31" s="186">
        <f t="shared" ref="O31:Z31" si="24">-O21*30000</f>
        <v>-450000</v>
      </c>
      <c r="P31" s="186">
        <f t="shared" si="24"/>
        <v>-450000</v>
      </c>
      <c r="Q31" s="186">
        <f t="shared" si="24"/>
        <v>-540000</v>
      </c>
      <c r="R31" s="186">
        <f t="shared" si="24"/>
        <v>-630000</v>
      </c>
      <c r="S31" s="186">
        <f t="shared" si="24"/>
        <v>-720000</v>
      </c>
      <c r="T31" s="186">
        <f t="shared" si="24"/>
        <v>-810000</v>
      </c>
      <c r="U31" s="186">
        <f t="shared" si="24"/>
        <v>-900000</v>
      </c>
      <c r="V31" s="186">
        <f t="shared" si="24"/>
        <v>-990000</v>
      </c>
      <c r="W31" s="186">
        <f t="shared" si="24"/>
        <v>-1080000</v>
      </c>
      <c r="X31" s="186">
        <f t="shared" si="24"/>
        <v>-810000</v>
      </c>
      <c r="Y31" s="186">
        <f t="shared" si="24"/>
        <v>-900000</v>
      </c>
      <c r="Z31" s="186">
        <f t="shared" si="24"/>
        <v>-990000</v>
      </c>
      <c r="AA31" s="184" t="s">
        <v>79</v>
      </c>
      <c r="AB31" s="184" t="s">
        <v>93</v>
      </c>
      <c r="AC31" s="184" t="str">
        <f t="shared" si="0"/>
        <v/>
      </c>
      <c r="AE31" s="184" t="str">
        <f t="shared" si="1"/>
        <v>220-3209</v>
      </c>
    </row>
    <row r="32" spans="1:31" x14ac:dyDescent="0.2">
      <c r="A32" s="184">
        <v>120</v>
      </c>
      <c r="B32" s="187">
        <v>4209</v>
      </c>
      <c r="C32" s="186"/>
      <c r="D32" s="186"/>
      <c r="E32" s="186"/>
      <c r="F32" s="186"/>
      <c r="G32" s="186">
        <f>-'[1]Used Vehicles'!F$13*G20-G30</f>
        <v>865666.66666666651</v>
      </c>
      <c r="H32" s="186">
        <f>-'[1]Used Vehicles'!G$13*H20-H30</f>
        <v>883333.33333333349</v>
      </c>
      <c r="I32" s="186">
        <f>-'[1]Used Vehicles'!H$13*I20-I30</f>
        <v>971666.66666666663</v>
      </c>
      <c r="J32" s="186">
        <f>-'[1]Used Vehicles'!I$13*J20-J30</f>
        <v>856153.84615384613</v>
      </c>
      <c r="K32" s="186">
        <f>-'[1]Used Vehicles'!J$13*K20-K30</f>
        <v>1060000</v>
      </c>
      <c r="L32" s="186">
        <f>-'[1]Used Vehicles'!K$13*L20-L30</f>
        <v>484275.42857142864</v>
      </c>
      <c r="M32" s="186">
        <f>-'[1]Used Vehicles'!L$13*M20-M30</f>
        <v>770879.93714285712</v>
      </c>
      <c r="N32" s="186">
        <f>-'[1]Used Vehicles'!M$13*N20-N30</f>
        <v>911733.7142857142</v>
      </c>
      <c r="O32" s="186">
        <f>-'[2]Used Vehicles - NS'!E$13*O20-O30</f>
        <v>1128720</v>
      </c>
      <c r="P32" s="186">
        <f>-'[2]Used Vehicles - NS'!F$13*P20-P30</f>
        <v>1149372</v>
      </c>
      <c r="Q32" s="186">
        <f>-'[2]Used Vehicles - NS'!G$13*Q20-Q30</f>
        <v>1505000</v>
      </c>
      <c r="R32" s="186">
        <f>-'[2]Used Vehicles - NS'!H$13*R20-R30</f>
        <v>1612500</v>
      </c>
      <c r="S32" s="186">
        <f>-'[2]Used Vehicles - NS'!I$13*S20-S30</f>
        <v>1614300</v>
      </c>
      <c r="T32" s="186">
        <f>-'[2]Used Vehicles - NS'!J$13*T20-T30</f>
        <v>1614300</v>
      </c>
      <c r="U32" s="186">
        <f>-'[2]Used Vehicles - NS'!K$13*U20-U30</f>
        <v>1614300</v>
      </c>
      <c r="V32" s="186">
        <f>-'[2]Used Vehicles - NS'!L$13*V20-V30</f>
        <v>1614300</v>
      </c>
      <c r="W32" s="186">
        <f>-'[2]Used Vehicles - NS'!M$13*W20-W30</f>
        <v>1612500</v>
      </c>
      <c r="X32" s="186">
        <f>-'[2]Used Vehicles - NS'!N$13*X20-X30</f>
        <v>1448100</v>
      </c>
      <c r="Y32" s="186">
        <f>-'[2]Used Vehicles - NS'!O$13*Y20-Y30</f>
        <v>1531200</v>
      </c>
      <c r="Z32" s="186">
        <f>-'[2]Used Vehicles - NS'!P$13*Z20-Z30</f>
        <v>1614300</v>
      </c>
      <c r="AA32" s="184" t="s">
        <v>79</v>
      </c>
      <c r="AB32" s="184" t="s">
        <v>94</v>
      </c>
      <c r="AC32" s="184" t="str">
        <f t="shared" si="0"/>
        <v/>
      </c>
      <c r="AE32" s="184" t="str">
        <f t="shared" si="1"/>
        <v>120-4209</v>
      </c>
    </row>
    <row r="33" spans="1:31" x14ac:dyDescent="0.2">
      <c r="A33" s="184">
        <v>220</v>
      </c>
      <c r="B33" s="187">
        <v>4209</v>
      </c>
      <c r="C33" s="186"/>
      <c r="D33" s="186"/>
      <c r="E33" s="186"/>
      <c r="F33" s="186"/>
      <c r="G33" s="186">
        <f>-'[1]Used Vehicles'!F$13*G21-G31</f>
        <v>432833.33333333326</v>
      </c>
      <c r="H33" s="186">
        <f>-'[1]Used Vehicles'!G$13*H21-H31</f>
        <v>441666.66666666674</v>
      </c>
      <c r="I33" s="186">
        <f>-'[1]Used Vehicles'!H$13*I21-I31</f>
        <v>485833.33333333331</v>
      </c>
      <c r="J33" s="186">
        <f>-'[1]Used Vehicles'!I$13*J21-J31</f>
        <v>733846.15384615387</v>
      </c>
      <c r="K33" s="186">
        <f>-'[1]Used Vehicles'!J$13*K21-K31</f>
        <v>795000</v>
      </c>
      <c r="L33" s="186">
        <f>-'[1]Used Vehicles'!K$13*L21-L31</f>
        <v>363206.57142857142</v>
      </c>
      <c r="M33" s="186">
        <f>-'[1]Used Vehicles'!L$13*M21-M31</f>
        <v>578159.95285714301</v>
      </c>
      <c r="N33" s="186">
        <f>-'[1]Used Vehicles'!M$13*N21-N31</f>
        <v>683800.28571428568</v>
      </c>
      <c r="O33" s="186">
        <f>-'[2]Used Vehicles - NW'!E$13*O21-O31</f>
        <v>413325</v>
      </c>
      <c r="P33" s="186">
        <f>-'[2]Used Vehicles - NW'!F$13*P21-P31</f>
        <v>430425</v>
      </c>
      <c r="Q33" s="186">
        <f>-'[2]Used Vehicles - NW'!G$13*Q21-Q31</f>
        <v>504000</v>
      </c>
      <c r="R33" s="186">
        <f>-'[2]Used Vehicles - NW'!H$13*R21-R31</f>
        <v>575000</v>
      </c>
      <c r="S33" s="186">
        <f>-'[2]Used Vehicles - NW'!I$13*S21-S31</f>
        <v>659000</v>
      </c>
      <c r="T33" s="186">
        <f>-'[2]Used Vehicles - NW'!J$13*T21-T31</f>
        <v>743000</v>
      </c>
      <c r="U33" s="186">
        <f>-'[2]Used Vehicles - NW'!K$13*U21-U31</f>
        <v>827000</v>
      </c>
      <c r="V33" s="186">
        <f>-'[2]Used Vehicles - NW'!L$13*V21-V31</f>
        <v>911000</v>
      </c>
      <c r="W33" s="186">
        <f>-'[2]Used Vehicles - NW'!M$13*W21-W31</f>
        <v>995000</v>
      </c>
      <c r="X33" s="186">
        <f>-'[2]Used Vehicles - NW'!N$13*X21-X31</f>
        <v>743000</v>
      </c>
      <c r="Y33" s="186">
        <f>-'[2]Used Vehicles - NW'!O$13*Y21-Y31</f>
        <v>827000</v>
      </c>
      <c r="Z33" s="186">
        <f>-'[2]Used Vehicles - NW'!P$13*Z21-Z31</f>
        <v>911000</v>
      </c>
      <c r="AA33" s="184" t="s">
        <v>79</v>
      </c>
      <c r="AB33" s="184" t="s">
        <v>94</v>
      </c>
      <c r="AC33" s="184" t="str">
        <f t="shared" si="0"/>
        <v/>
      </c>
      <c r="AE33" s="184" t="str">
        <f t="shared" si="1"/>
        <v>220-4209</v>
      </c>
    </row>
    <row r="34" spans="1:31" x14ac:dyDescent="0.2">
      <c r="A34" s="184">
        <v>120</v>
      </c>
      <c r="B34" s="187">
        <v>7020</v>
      </c>
      <c r="C34" s="186"/>
      <c r="D34" s="186"/>
      <c r="E34" s="186"/>
      <c r="F34" s="186"/>
      <c r="G34" s="186">
        <f>+SUM(G16,G18,G20)*'[1]Used Vehicles'!F$15</f>
        <v>46328.333333333328</v>
      </c>
      <c r="H34" s="186">
        <f>+SUM(H16,H18,H20)*'[1]Used Vehicles'!G$15</f>
        <v>38325</v>
      </c>
      <c r="I34" s="186">
        <f>+SUM(I16,I18,I20)*'[1]Used Vehicles'!H$15</f>
        <v>41999.999999999993</v>
      </c>
      <c r="J34" s="186">
        <f>+SUM(J16,J18,J20)*'[1]Used Vehicles'!I$15</f>
        <v>35619.230769230766</v>
      </c>
      <c r="K34" s="186">
        <f>+SUM(K16,K18,K20)*'[1]Used Vehicles'!J$15</f>
        <v>41400.000000000007</v>
      </c>
      <c r="L34" s="186">
        <f>+SUM(L16,L18,L20)*'[1]Used Vehicles'!K$15</f>
        <v>33078.857142857138</v>
      </c>
      <c r="M34" s="186">
        <f>+SUM(M16,M18,M20)*'[1]Used Vehicles'!L$15</f>
        <v>39197.531428571427</v>
      </c>
      <c r="N34" s="186">
        <f>+SUM(N16,N18,N20)*'[1]Used Vehicles'!M$15</f>
        <v>43342.857142857145</v>
      </c>
      <c r="O34" s="186">
        <f>+SUM(O16,O18,O20)*'[2]Used Vehicles - NS'!E$15</f>
        <v>43372.393333333326</v>
      </c>
      <c r="P34" s="186">
        <f>+SUM(P16,P18,P20)*'[2]Used Vehicles - NS'!F$15</f>
        <v>43372.393333333326</v>
      </c>
      <c r="Q34" s="186">
        <f>+SUM(Q16,Q18,Q20)*'[2]Used Vehicles - NS'!G$15</f>
        <v>43372.393333333326</v>
      </c>
      <c r="R34" s="186">
        <f>+SUM(R16,R18,R20)*'[2]Used Vehicles - NS'!H$15</f>
        <v>43372.393333333333</v>
      </c>
      <c r="S34" s="186">
        <f>+SUM(S16,S18,S20)*'[2]Used Vehicles - NS'!I$15</f>
        <v>43372.393333333326</v>
      </c>
      <c r="T34" s="186">
        <f>+SUM(T16,T18,T20)*'[2]Used Vehicles - NS'!J$15</f>
        <v>43372.393333333326</v>
      </c>
      <c r="U34" s="186">
        <f>+SUM(U16,U18,U20)*'[2]Used Vehicles - NS'!K$15</f>
        <v>43372.393333333326</v>
      </c>
      <c r="V34" s="186">
        <f>+SUM(V16,V18,V20)*'[2]Used Vehicles - NS'!L$15</f>
        <v>43372.393333333326</v>
      </c>
      <c r="W34" s="186">
        <f>+SUM(W16,W18,W20)*'[2]Used Vehicles - NS'!M$15</f>
        <v>43372.393333333326</v>
      </c>
      <c r="X34" s="186">
        <f>+SUM(X16,X18,X20)*'[2]Used Vehicles - NS'!N$15</f>
        <v>43372.393333333326</v>
      </c>
      <c r="Y34" s="186">
        <f>+SUM(Y16,Y18,Y20)*'[2]Used Vehicles - NS'!O$15</f>
        <v>43372.393333333326</v>
      </c>
      <c r="Z34" s="186">
        <f>+SUM(Z16,Z18,Z20)*'[2]Used Vehicles - NS'!P$15</f>
        <v>43372.393333333326</v>
      </c>
      <c r="AA34" s="184" t="s">
        <v>79</v>
      </c>
      <c r="AB34" s="184" t="s">
        <v>75</v>
      </c>
      <c r="AC34" s="184" t="str">
        <f t="shared" ref="AC34:AC65" si="25">+IF(RIGHT(B34,1)="#","#","")</f>
        <v/>
      </c>
      <c r="AE34" s="184" t="str">
        <f t="shared" ref="AE34:AE65" si="26">+A34&amp;"-"&amp;B34</f>
        <v>120-7020</v>
      </c>
    </row>
    <row r="35" spans="1:31" x14ac:dyDescent="0.2">
      <c r="A35" s="184">
        <v>220</v>
      </c>
      <c r="B35" s="187">
        <v>7020</v>
      </c>
      <c r="C35" s="186"/>
      <c r="D35" s="186"/>
      <c r="E35" s="186"/>
      <c r="F35" s="186"/>
      <c r="G35" s="186">
        <f>+SUM(G17,G19,G21)*'[1]Used Vehicles'!F$15</f>
        <v>26051.666666666664</v>
      </c>
      <c r="H35" s="186">
        <f>+SUM(H17,H19,H21)*'[1]Used Vehicles'!G$15</f>
        <v>21525.000000000004</v>
      </c>
      <c r="I35" s="186">
        <f>+SUM(I17,I19,I21)*'[1]Used Vehicles'!H$15</f>
        <v>20999.999999999996</v>
      </c>
      <c r="J35" s="186">
        <f>+SUM(J17,J19,J21)*'[1]Used Vehicles'!I$15</f>
        <v>30530.769230769227</v>
      </c>
      <c r="K35" s="186">
        <f>+SUM(K17,K19,K21)*'[1]Used Vehicles'!J$15</f>
        <v>31050</v>
      </c>
      <c r="L35" s="186">
        <f>+SUM(L17,L19,L21)*'[1]Used Vehicles'!K$15</f>
        <v>24809.142857142855</v>
      </c>
      <c r="M35" s="186">
        <f>+SUM(M17,M19,M21)*'[1]Used Vehicles'!L$15</f>
        <v>29398.14857142857</v>
      </c>
      <c r="N35" s="186">
        <f>+SUM(N17,N19,N21)*'[1]Used Vehicles'!M$15</f>
        <v>32507.142857142859</v>
      </c>
      <c r="O35" s="186">
        <f>+SUM(O17,O19,O21)*'[2]Used Vehicles - NW'!E$15</f>
        <v>16862.506363636363</v>
      </c>
      <c r="P35" s="186">
        <f>+SUM(P17,P19,P21)*'[2]Used Vehicles - NW'!F$15</f>
        <v>18108.206363636364</v>
      </c>
      <c r="Q35" s="186">
        <f>+SUM(Q17,Q19,Q21)*'[2]Used Vehicles - NW'!G$15</f>
        <v>18523.806363636366</v>
      </c>
      <c r="R35" s="186">
        <f>+SUM(R17,R19,R21)*'[2]Used Vehicles - NW'!H$15</f>
        <v>20123.866045454546</v>
      </c>
      <c r="S35" s="186">
        <f>+SUM(S17,S19,S21)*'[2]Used Vehicles - NW'!I$15</f>
        <v>21023.866045454546</v>
      </c>
      <c r="T35" s="186">
        <f>+SUM(T17,T19,T21)*'[2]Used Vehicles - NW'!J$15</f>
        <v>21923.866045454546</v>
      </c>
      <c r="U35" s="186">
        <f>+SUM(U17,U19,U21)*'[2]Used Vehicles - NW'!K$15</f>
        <v>22823.866045454546</v>
      </c>
      <c r="V35" s="186">
        <f>+SUM(V17,V19,V21)*'[2]Used Vehicles - NW'!L$15</f>
        <v>23723.866045454546</v>
      </c>
      <c r="W35" s="186">
        <f>+SUM(W17,W19,W21)*'[2]Used Vehicles - NW'!M$15</f>
        <v>24623.86604545455</v>
      </c>
      <c r="X35" s="186">
        <f>+SUM(X17,X19,X21)*'[2]Used Vehicles - NW'!N$15</f>
        <v>21923.866045454546</v>
      </c>
      <c r="Y35" s="186">
        <f>+SUM(Y17,Y19,Y21)*'[2]Used Vehicles - NW'!O$15</f>
        <v>22823.866045454546</v>
      </c>
      <c r="Z35" s="186">
        <f>+SUM(Z17,Z19,Z21)*'[2]Used Vehicles - NW'!P$15</f>
        <v>23723.866045454546</v>
      </c>
      <c r="AA35" s="184" t="s">
        <v>79</v>
      </c>
      <c r="AB35" s="184" t="s">
        <v>75</v>
      </c>
      <c r="AC35" s="184" t="str">
        <f t="shared" si="25"/>
        <v/>
      </c>
      <c r="AE35" s="184" t="str">
        <f t="shared" si="26"/>
        <v>220-7020</v>
      </c>
    </row>
    <row r="36" spans="1:31" x14ac:dyDescent="0.2">
      <c r="A36" s="184">
        <v>120</v>
      </c>
      <c r="B36" s="187">
        <v>7080</v>
      </c>
      <c r="C36" s="186"/>
      <c r="D36" s="186"/>
      <c r="E36" s="186"/>
      <c r="F36" s="186"/>
      <c r="G36" s="186">
        <f>+SUM(G16,G18,G20)*'[1]Used Vehicles'!F$16</f>
        <v>60166.666666666664</v>
      </c>
      <c r="H36" s="186">
        <f>+SUM(H16,H18,H20)*'[1]Used Vehicles'!G$16</f>
        <v>60833.333333333336</v>
      </c>
      <c r="I36" s="186">
        <f>+SUM(I16,I18,I20)*'[1]Used Vehicles'!H$16</f>
        <v>67916.666666666657</v>
      </c>
      <c r="J36" s="186">
        <f>+SUM(J16,J18,J20)*'[1]Used Vehicles'!I$16</f>
        <v>58557.692307692305</v>
      </c>
      <c r="K36" s="186">
        <f>+SUM(K16,K18,K20)*'[1]Used Vehicles'!J$16</f>
        <v>65714.285714285725</v>
      </c>
      <c r="L36" s="186">
        <f>+SUM(L16,L18,L20)*'[1]Used Vehicles'!K$16</f>
        <v>65517.714285714275</v>
      </c>
      <c r="M36" s="186">
        <f>+SUM(M16,M18,M20)*'[1]Used Vehicles'!L$16</f>
        <v>58080.365714285705</v>
      </c>
      <c r="N36" s="186">
        <f>+SUM(N16,N18,N20)*'[1]Used Vehicles'!M$16</f>
        <v>81051.428571428565</v>
      </c>
      <c r="O36" s="186">
        <f>+SUM(O16,O18,O20)*'[2]Used Vehicles - NS'!E$16</f>
        <v>65536.15333333335</v>
      </c>
      <c r="P36" s="186">
        <f>+SUM(P16,P18,P20)*'[2]Used Vehicles - NS'!F$16</f>
        <v>65536.15333333335</v>
      </c>
      <c r="Q36" s="186">
        <f>+SUM(Q16,Q18,Q20)*'[2]Used Vehicles - NS'!G$16</f>
        <v>65536.15333333335</v>
      </c>
      <c r="R36" s="186">
        <f>+SUM(R16,R18,R20)*'[2]Used Vehicles - NS'!H$16</f>
        <v>65536.153333333335</v>
      </c>
      <c r="S36" s="186">
        <f>+SUM(S16,S18,S20)*'[2]Used Vehicles - NS'!I$16</f>
        <v>65536.153333333335</v>
      </c>
      <c r="T36" s="186">
        <f>+SUM(T16,T18,T20)*'[2]Used Vehicles - NS'!J$16</f>
        <v>65536.153333333335</v>
      </c>
      <c r="U36" s="186">
        <f>+SUM(U16,U18,U20)*'[2]Used Vehicles - NS'!K$16</f>
        <v>65536.153333333335</v>
      </c>
      <c r="V36" s="186">
        <f>+SUM(V16,V18,V20)*'[2]Used Vehicles - NS'!L$16</f>
        <v>65536.153333333335</v>
      </c>
      <c r="W36" s="186">
        <f>+SUM(W16,W18,W20)*'[2]Used Vehicles - NS'!M$16</f>
        <v>65536.153333333335</v>
      </c>
      <c r="X36" s="186">
        <f>+SUM(X16,X18,X20)*'[2]Used Vehicles - NS'!N$16</f>
        <v>65536.153333333335</v>
      </c>
      <c r="Y36" s="186">
        <f>+SUM(Y16,Y18,Y20)*'[2]Used Vehicles - NS'!O$16</f>
        <v>65536.153333333335</v>
      </c>
      <c r="Z36" s="186">
        <f>+SUM(Z16,Z18,Z20)*'[2]Used Vehicles - NS'!P$16</f>
        <v>65536.153333333335</v>
      </c>
      <c r="AA36" s="184" t="s">
        <v>79</v>
      </c>
      <c r="AB36" s="184" t="s">
        <v>76</v>
      </c>
      <c r="AC36" s="184" t="str">
        <f t="shared" si="25"/>
        <v/>
      </c>
      <c r="AE36" s="184" t="str">
        <f t="shared" si="26"/>
        <v>120-7080</v>
      </c>
    </row>
    <row r="37" spans="1:31" x14ac:dyDescent="0.2">
      <c r="A37" s="184">
        <v>220</v>
      </c>
      <c r="B37" s="187">
        <v>7080</v>
      </c>
      <c r="C37" s="186"/>
      <c r="D37" s="186"/>
      <c r="E37" s="186"/>
      <c r="F37" s="186"/>
      <c r="G37" s="186">
        <f>+SUM(G17,G19,G21)*'[1]Used Vehicles'!F$16</f>
        <v>33833.333333333328</v>
      </c>
      <c r="H37" s="186">
        <f>+SUM(H17,H19,H21)*'[1]Used Vehicles'!G$16</f>
        <v>34166.666666666672</v>
      </c>
      <c r="I37" s="186">
        <f>+SUM(I17,I19,I21)*'[1]Used Vehicles'!H$16</f>
        <v>33958.333333333328</v>
      </c>
      <c r="J37" s="186">
        <f>+SUM(J17,J19,J21)*'[1]Used Vehicles'!I$16</f>
        <v>50192.307692307688</v>
      </c>
      <c r="K37" s="186">
        <f>+SUM(K17,K19,K21)*'[1]Used Vehicles'!J$16</f>
        <v>49285.714285714283</v>
      </c>
      <c r="L37" s="186">
        <f>+SUM(L17,L19,L21)*'[1]Used Vehicles'!K$16</f>
        <v>49138.285714285703</v>
      </c>
      <c r="M37" s="186">
        <f>+SUM(M17,M19,M21)*'[1]Used Vehicles'!L$16</f>
        <v>43560.27428571428</v>
      </c>
      <c r="N37" s="186">
        <f>+SUM(N17,N19,N21)*'[1]Used Vehicles'!M$16</f>
        <v>60788.571428571428</v>
      </c>
      <c r="O37" s="186">
        <f>+SUM(O17,O19,O21)*'[2]Used Vehicles - NW'!E$16</f>
        <v>53842.726666666662</v>
      </c>
      <c r="P37" s="186">
        <f>+SUM(P17,P19,P21)*'[2]Used Vehicles - NW'!F$16</f>
        <v>53842.726666666655</v>
      </c>
      <c r="Q37" s="186">
        <f>+SUM(Q17,Q19,Q21)*'[2]Used Vehicles - NW'!G$16</f>
        <v>53842.726666666662</v>
      </c>
      <c r="R37" s="186">
        <f>+SUM(R17,R19,R21)*'[2]Used Vehicles - NW'!H$16</f>
        <v>53842.726666666662</v>
      </c>
      <c r="S37" s="186">
        <f>+SUM(S17,S19,S21)*'[2]Used Vehicles - NW'!I$16</f>
        <v>53842.726666666662</v>
      </c>
      <c r="T37" s="186">
        <f>+SUM(T17,T19,T21)*'[2]Used Vehicles - NW'!J$16</f>
        <v>53842.726666666647</v>
      </c>
      <c r="U37" s="186">
        <f>+SUM(U17,U19,U21)*'[2]Used Vehicles - NW'!K$16</f>
        <v>53842.726666666655</v>
      </c>
      <c r="V37" s="186">
        <f>+SUM(V17,V19,V21)*'[2]Used Vehicles - NW'!L$16</f>
        <v>53842.726666666655</v>
      </c>
      <c r="W37" s="186">
        <f>+SUM(W17,W19,W21)*'[2]Used Vehicles - NW'!M$16</f>
        <v>53842.726666666655</v>
      </c>
      <c r="X37" s="186">
        <f>+SUM(X17,X19,X21)*'[2]Used Vehicles - NW'!N$16</f>
        <v>53842.726666666647</v>
      </c>
      <c r="Y37" s="186">
        <f>+SUM(Y17,Y19,Y21)*'[2]Used Vehicles - NW'!O$16</f>
        <v>53842.726666666655</v>
      </c>
      <c r="Z37" s="186">
        <f>+SUM(Z17,Z19,Z21)*'[2]Used Vehicles - NW'!P$16</f>
        <v>53842.726666666655</v>
      </c>
      <c r="AA37" s="184" t="s">
        <v>79</v>
      </c>
      <c r="AB37" s="184" t="s">
        <v>76</v>
      </c>
      <c r="AC37" s="184" t="str">
        <f t="shared" si="25"/>
        <v/>
      </c>
      <c r="AE37" s="184" t="str">
        <f t="shared" si="26"/>
        <v>220-7080</v>
      </c>
    </row>
    <row r="38" spans="1:31" x14ac:dyDescent="0.2">
      <c r="A38" s="184">
        <v>160</v>
      </c>
      <c r="B38" s="185" t="s">
        <v>95</v>
      </c>
      <c r="C38" s="186"/>
      <c r="D38" s="186"/>
      <c r="E38" s="186"/>
      <c r="F38" s="186"/>
      <c r="G38" s="186">
        <f>-SUM(G2,G16,G18,G20)*'[1]F&amp;I'!F$6</f>
        <v>-77000</v>
      </c>
      <c r="H38" s="186">
        <f>-SUM(H2,H16,H18,H20)*'[1]F&amp;I'!G$6</f>
        <v>-83125</v>
      </c>
      <c r="I38" s="186">
        <f>-SUM(I2,I16,I18,I20)*'[1]F&amp;I'!H$6</f>
        <v>-108333.33333333333</v>
      </c>
      <c r="J38" s="186">
        <f>-SUM(J2,J16,J18,J20)*'[1]F&amp;I'!I$6</f>
        <v>-112403.84615384614</v>
      </c>
      <c r="K38" s="186">
        <f>-SUM(K2,K16,K18,K20)*'[1]F&amp;I'!J$6</f>
        <v>-119285.71428571428</v>
      </c>
      <c r="L38" s="186">
        <f>-SUM(L2,L16,L18,L20)*'[1]F&amp;I'!K$6</f>
        <v>-69066.93642857144</v>
      </c>
      <c r="M38" s="186">
        <f>-SUM(M2,M16,M18,M20)*'[1]F&amp;I'!L$6</f>
        <v>-67855.85714285713</v>
      </c>
      <c r="N38" s="186">
        <f>-SUM(N2,N16,N18,N20)*'[1]F&amp;I'!M$6</f>
        <v>-177471</v>
      </c>
      <c r="O38" s="186">
        <f>-SUM(O2,O16,O18,O20)*'[1]F&amp;I'!Q$6</f>
        <v>-81064.5</v>
      </c>
      <c r="P38" s="186">
        <f>-SUM(P2,P16,P18,P20)*'[1]F&amp;I'!R$6</f>
        <v>-82186.5</v>
      </c>
      <c r="Q38" s="186">
        <f>-SUM(Q2,Q16,Q18,Q20)*'[1]F&amp;I'!S$6</f>
        <v>-82747.5</v>
      </c>
      <c r="R38" s="186">
        <f>-SUM(R2,R16,R18,R20)*'[1]F&amp;I'!T$6</f>
        <v>-86051.166666666672</v>
      </c>
      <c r="S38" s="186">
        <f>-SUM(S2,S16,S18,S20)*'[1]F&amp;I'!U$6</f>
        <v>-86051.166666666672</v>
      </c>
      <c r="T38" s="186">
        <f>-SUM(T2,T16,T18,T20)*'[1]F&amp;I'!V$6</f>
        <v>-86051.166666666672</v>
      </c>
      <c r="U38" s="186">
        <f>-SUM(U2,U16,U18,U20)*'[1]F&amp;I'!W$6</f>
        <v>-86051.166666666672</v>
      </c>
      <c r="V38" s="186">
        <f>-SUM(V2,V16,V18,V20)*'[1]F&amp;I'!X$6</f>
        <v>-86051.166666666672</v>
      </c>
      <c r="W38" s="186">
        <f>-SUM(W2,W16,W18,W20)*'[1]F&amp;I'!Y$6</f>
        <v>-86113.5</v>
      </c>
      <c r="X38" s="186">
        <f>-SUM(X2,X16,X18,X20)*'[1]F&amp;I'!Z$6</f>
        <v>-82747.5</v>
      </c>
      <c r="Y38" s="186">
        <f>-SUM(Y2,Y16,Y18,Y20)*'[1]F&amp;I'!AA$6</f>
        <v>-84430.5</v>
      </c>
      <c r="Z38" s="186">
        <f>-SUM(Z2,Z16,Z18,Z20)*'[1]F&amp;I'!AB$6</f>
        <v>-86113.5</v>
      </c>
      <c r="AA38" s="184" t="s">
        <v>16</v>
      </c>
      <c r="AB38" s="184" t="s">
        <v>96</v>
      </c>
      <c r="AC38" s="184" t="str">
        <f t="shared" si="25"/>
        <v/>
      </c>
      <c r="AE38" s="184" t="str">
        <f t="shared" si="26"/>
        <v>160-3165R</v>
      </c>
    </row>
    <row r="39" spans="1:31" x14ac:dyDescent="0.2">
      <c r="A39" s="184">
        <v>260</v>
      </c>
      <c r="B39" s="185" t="s">
        <v>95</v>
      </c>
      <c r="C39" s="186"/>
      <c r="D39" s="186"/>
      <c r="E39" s="186"/>
      <c r="F39" s="186"/>
      <c r="G39" s="186">
        <f>-SUM(G3,G17,G19,G21)*'[1]F&amp;I'!F$6</f>
        <v>-57250</v>
      </c>
      <c r="H39" s="186">
        <f>-SUM(H3,H17,H19,H21)*'[1]F&amp;I'!G$6</f>
        <v>-63125</v>
      </c>
      <c r="I39" s="186">
        <f>-SUM(I3,I17,I19,I21)*'[1]F&amp;I'!H$6</f>
        <v>-41666.666666666664</v>
      </c>
      <c r="J39" s="186">
        <f>-SUM(J3,J17,J19,J21)*'[1]F&amp;I'!I$6</f>
        <v>-56346.153846153844</v>
      </c>
      <c r="K39" s="186">
        <f>-SUM(K3,K17,K19,K21)*'[1]F&amp;I'!J$6</f>
        <v>-56964.28571428571</v>
      </c>
      <c r="L39" s="186">
        <f>-SUM(L3,L17,L19,L21)*'[1]F&amp;I'!K$6</f>
        <v>-61325.633571428581</v>
      </c>
      <c r="M39" s="186">
        <f>-SUM(M3,M17,M19,M21)*'[1]F&amp;I'!L$6</f>
        <v>-56554.142857142862</v>
      </c>
      <c r="N39" s="186">
        <f>-SUM(N3,N17,N19,N21)*'[1]F&amp;I'!M$6</f>
        <v>-154791</v>
      </c>
      <c r="O39" s="186">
        <f>-SUM(O3,O17,O19,O21)*'[1]F&amp;I'!Q$6</f>
        <v>-56380.5</v>
      </c>
      <c r="P39" s="186">
        <f>-SUM(P3,P17,P19,P21)*'[1]F&amp;I'!R$6</f>
        <v>-62551.5</v>
      </c>
      <c r="Q39" s="186">
        <f>-SUM(Q3,Q17,Q19,Q21)*'[1]F&amp;I'!S$6</f>
        <v>-59185.5</v>
      </c>
      <c r="R39" s="186">
        <f>-SUM(R3,R17,R19,R21)*'[1]F&amp;I'!T$6</f>
        <v>-59235.366666666669</v>
      </c>
      <c r="S39" s="186">
        <f>-SUM(S3,S17,S19,S21)*'[1]F&amp;I'!U$6</f>
        <v>-60918.366666666669</v>
      </c>
      <c r="T39" s="186">
        <f>-SUM(T3,T17,T19,T21)*'[1]F&amp;I'!V$6</f>
        <v>-62601.366666666669</v>
      </c>
      <c r="U39" s="186">
        <f>-SUM(U3,U17,U19,U21)*'[1]F&amp;I'!W$6</f>
        <v>-64284.366666666669</v>
      </c>
      <c r="V39" s="186">
        <f>-SUM(V3,V17,V19,V21)*'[1]F&amp;I'!X$6</f>
        <v>-65967.366666666669</v>
      </c>
      <c r="W39" s="186">
        <f>-SUM(W3,W17,W19,W21)*'[1]F&amp;I'!Y$6</f>
        <v>-67650.366666666669</v>
      </c>
      <c r="X39" s="186">
        <f>-SUM(X3,X17,X19,X21)*'[1]F&amp;I'!Z$6</f>
        <v>-62601.366666666669</v>
      </c>
      <c r="Y39" s="186">
        <f>-SUM(Y3,Y17,Y19,Y21)*'[1]F&amp;I'!AA$6</f>
        <v>-64284.366666666669</v>
      </c>
      <c r="Z39" s="186">
        <f>-SUM(Z3,Z17,Z19,Z21)*'[1]F&amp;I'!AB$6</f>
        <v>-65967.366666666669</v>
      </c>
      <c r="AA39" s="184" t="s">
        <v>16</v>
      </c>
      <c r="AB39" s="184" t="s">
        <v>96</v>
      </c>
      <c r="AC39" s="184" t="str">
        <f t="shared" si="25"/>
        <v/>
      </c>
      <c r="AE39" s="184" t="str">
        <f t="shared" si="26"/>
        <v>260-3165R</v>
      </c>
    </row>
    <row r="40" spans="1:31" x14ac:dyDescent="0.2">
      <c r="A40" s="184">
        <v>160</v>
      </c>
      <c r="B40" s="187">
        <v>7020</v>
      </c>
      <c r="C40" s="186"/>
      <c r="D40" s="186"/>
      <c r="E40" s="186"/>
      <c r="F40" s="186"/>
      <c r="G40" s="186">
        <f>+SUM(G2,G16,G18,G20)*'[1]F&amp;I'!F$7</f>
        <v>25666.666666666664</v>
      </c>
      <c r="H40" s="186">
        <f>+SUM(H2,H16,H18,H20)*'[1]F&amp;I'!G$7</f>
        <v>27708.333333333336</v>
      </c>
      <c r="I40" s="186">
        <f>+SUM(I2,I16,I18,I20)*'[1]F&amp;I'!H$7</f>
        <v>36111.111111111109</v>
      </c>
      <c r="J40" s="186">
        <f>+SUM(J2,J16,J18,J20)*'[1]F&amp;I'!I$7</f>
        <v>37467.948717948719</v>
      </c>
      <c r="K40" s="186">
        <f>+SUM(K2,K16,K18,K20)*'[1]F&amp;I'!J$7</f>
        <v>39761.904761904756</v>
      </c>
      <c r="L40" s="186">
        <f>+SUM(L2,L16,L18,L20)*'[1]F&amp;I'!K$7</f>
        <v>29444.022857142856</v>
      </c>
      <c r="M40" s="186">
        <f>+SUM(M2,M16,M18,M20)*'[1]F&amp;I'!L$7</f>
        <v>26908.357142857141</v>
      </c>
      <c r="N40" s="186">
        <f>+SUM(N2,N16,N18,N20)*'[1]F&amp;I'!M$7</f>
        <v>37716.5</v>
      </c>
      <c r="O40" s="186">
        <f>+SUM(O2,O16,O18,O20)*'[1]F&amp;I'!Q$7</f>
        <v>34680</v>
      </c>
      <c r="P40" s="186">
        <f>+SUM(P2,P16,P18,P20)*'[1]F&amp;I'!R$7</f>
        <v>35160</v>
      </c>
      <c r="Q40" s="186">
        <f>+SUM(Q2,Q16,Q18,Q20)*'[1]F&amp;I'!S$7</f>
        <v>35400</v>
      </c>
      <c r="R40" s="186">
        <f>+SUM(R2,R16,R18,R20)*'[1]F&amp;I'!T$7</f>
        <v>36813.333333333336</v>
      </c>
      <c r="S40" s="186">
        <f>+SUM(S2,S16,S18,S20)*'[1]F&amp;I'!U$7</f>
        <v>36813.333333333336</v>
      </c>
      <c r="T40" s="186">
        <f>+SUM(T2,T16,T18,T20)*'[1]F&amp;I'!V$7</f>
        <v>36813.333333333336</v>
      </c>
      <c r="U40" s="186">
        <f>+SUM(U2,U16,U18,U20)*'[1]F&amp;I'!W$7</f>
        <v>36813.333333333336</v>
      </c>
      <c r="V40" s="186">
        <f>+SUM(V2,V16,V18,V20)*'[1]F&amp;I'!X$7</f>
        <v>36813.333333333336</v>
      </c>
      <c r="W40" s="186">
        <f>+SUM(W2,W16,W18,W20)*'[1]F&amp;I'!Y$7</f>
        <v>36840</v>
      </c>
      <c r="X40" s="186">
        <f>+SUM(X2,X16,X18,X20)*'[1]F&amp;I'!Z$7</f>
        <v>35400</v>
      </c>
      <c r="Y40" s="186">
        <f>+SUM(Y2,Y16,Y18,Y20)*'[1]F&amp;I'!AA$7</f>
        <v>36120</v>
      </c>
      <c r="Z40" s="186">
        <f>+SUM(Z2,Z16,Z18,Z20)*'[1]F&amp;I'!AB$7</f>
        <v>36840</v>
      </c>
      <c r="AA40" s="184" t="s">
        <v>16</v>
      </c>
      <c r="AB40" s="184" t="s">
        <v>75</v>
      </c>
      <c r="AC40" s="184" t="str">
        <f t="shared" si="25"/>
        <v/>
      </c>
      <c r="AE40" s="184" t="str">
        <f t="shared" si="26"/>
        <v>160-7020</v>
      </c>
    </row>
    <row r="41" spans="1:31" x14ac:dyDescent="0.2">
      <c r="A41" s="184">
        <v>260</v>
      </c>
      <c r="B41" s="187">
        <v>7020</v>
      </c>
      <c r="C41" s="186"/>
      <c r="D41" s="186"/>
      <c r="E41" s="186"/>
      <c r="F41" s="186"/>
      <c r="G41" s="186">
        <f>+SUM(G3,G17,G19,G21)*'[1]F&amp;I'!F$7</f>
        <v>19083.333333333332</v>
      </c>
      <c r="H41" s="186">
        <f>+SUM(H3,H17,H19,H21)*'[1]F&amp;I'!G$7</f>
        <v>21041.666666666668</v>
      </c>
      <c r="I41" s="186">
        <f>+SUM(I3,I17,I19,I21)*'[1]F&amp;I'!H$7</f>
        <v>13888.888888888889</v>
      </c>
      <c r="J41" s="186">
        <f>+SUM(J3,J17,J19,J21)*'[1]F&amp;I'!I$7</f>
        <v>18782.051282051281</v>
      </c>
      <c r="K41" s="186">
        <f>+SUM(K3,K17,K19,K21)*'[1]F&amp;I'!J$7</f>
        <v>18988.095238095237</v>
      </c>
      <c r="L41" s="186">
        <f>+SUM(L3,L17,L19,L21)*'[1]F&amp;I'!K$7</f>
        <v>26143.817142857144</v>
      </c>
      <c r="M41" s="186">
        <f>+SUM(M3,M17,M19,M21)*'[1]F&amp;I'!L$7</f>
        <v>22426.642857142859</v>
      </c>
      <c r="N41" s="186">
        <f>+SUM(N3,N17,N19,N21)*'[1]F&amp;I'!M$7</f>
        <v>32896.5</v>
      </c>
      <c r="O41" s="186">
        <f>+SUM(O3,O17,O19,O21)*'[1]F&amp;I'!Q$7</f>
        <v>24120</v>
      </c>
      <c r="P41" s="186">
        <f>+SUM(P3,P17,P19,P21)*'[1]F&amp;I'!R$7</f>
        <v>26760</v>
      </c>
      <c r="Q41" s="186">
        <f>+SUM(Q3,Q17,Q19,Q21)*'[1]F&amp;I'!S$7</f>
        <v>25320</v>
      </c>
      <c r="R41" s="186">
        <f>+SUM(R3,R17,R19,R21)*'[1]F&amp;I'!T$7</f>
        <v>25341.333333333332</v>
      </c>
      <c r="S41" s="186">
        <f>+SUM(S3,S17,S19,S21)*'[1]F&amp;I'!U$7</f>
        <v>26061.333333333332</v>
      </c>
      <c r="T41" s="186">
        <f>+SUM(T3,T17,T19,T21)*'[1]F&amp;I'!V$7</f>
        <v>26781.333333333332</v>
      </c>
      <c r="U41" s="186">
        <f>+SUM(U3,U17,U19,U21)*'[1]F&amp;I'!W$7</f>
        <v>27501.333333333332</v>
      </c>
      <c r="V41" s="186">
        <f>+SUM(V3,V17,V19,V21)*'[1]F&amp;I'!X$7</f>
        <v>28221.333333333332</v>
      </c>
      <c r="W41" s="186">
        <f>+SUM(W3,W17,W19,W21)*'[1]F&amp;I'!Y$7</f>
        <v>28941.333333333332</v>
      </c>
      <c r="X41" s="186">
        <f>+SUM(X3,X17,X19,X21)*'[1]F&amp;I'!Z$7</f>
        <v>26781.333333333332</v>
      </c>
      <c r="Y41" s="186">
        <f>+SUM(Y3,Y17,Y19,Y21)*'[1]F&amp;I'!AA$7</f>
        <v>27501.333333333332</v>
      </c>
      <c r="Z41" s="186">
        <f>+SUM(Z3,Z17,Z19,Z21)*'[1]F&amp;I'!AB$7</f>
        <v>28221.333333333332</v>
      </c>
      <c r="AA41" s="184" t="s">
        <v>16</v>
      </c>
      <c r="AB41" s="184" t="s">
        <v>75</v>
      </c>
      <c r="AC41" s="184" t="str">
        <f t="shared" si="25"/>
        <v/>
      </c>
      <c r="AE41" s="184" t="str">
        <f t="shared" si="26"/>
        <v>260-7020</v>
      </c>
    </row>
    <row r="42" spans="1:31" x14ac:dyDescent="0.2">
      <c r="A42" s="184">
        <v>130</v>
      </c>
      <c r="B42" s="185" t="s">
        <v>97</v>
      </c>
      <c r="C42" s="186"/>
      <c r="D42" s="186"/>
      <c r="E42" s="186"/>
      <c r="F42" s="186"/>
      <c r="G42" s="186">
        <f>+[1]Parts!F$5-SUM(G43:G45)</f>
        <v>10</v>
      </c>
      <c r="H42" s="186">
        <f>+[1]Parts!G$5-SUM(H43:H45)</f>
        <v>10</v>
      </c>
      <c r="I42" s="186">
        <f>+[1]Parts!H$5-SUM(I43:I45)</f>
        <v>10</v>
      </c>
      <c r="J42" s="186">
        <f>+[1]Parts!I$5-SUM(J43:J45)</f>
        <v>10</v>
      </c>
      <c r="K42" s="186">
        <f>+[1]Parts!J$5-SUM(K43:K45)</f>
        <v>10</v>
      </c>
      <c r="L42" s="186">
        <f>+[1]Parts!K$5-SUM(L43:L45)</f>
        <v>9</v>
      </c>
      <c r="M42" s="186">
        <f>+[1]Parts!L$5-SUM(M43:M45)</f>
        <v>9</v>
      </c>
      <c r="N42" s="186">
        <f>+[1]Parts!M$5-SUM(N43:N45)</f>
        <v>9</v>
      </c>
      <c r="O42" s="186">
        <f>+[1]Parts!Q$5-SUM(O43:O45)</f>
        <v>8</v>
      </c>
      <c r="P42" s="186">
        <f>+[1]Parts!R$5-SUM(P43:P45)</f>
        <v>8</v>
      </c>
      <c r="Q42" s="186">
        <f>+[1]Parts!S$5-SUM(Q43:Q45)</f>
        <v>8</v>
      </c>
      <c r="R42" s="186">
        <f>+[1]Parts!T$5-SUM(R43:R45)</f>
        <v>8</v>
      </c>
      <c r="S42" s="186">
        <f>+[1]Parts!U$5-SUM(S43:S45)</f>
        <v>8</v>
      </c>
      <c r="T42" s="186">
        <f>+[1]Parts!V$5-SUM(T43:T45)</f>
        <v>8</v>
      </c>
      <c r="U42" s="186">
        <f>+[1]Parts!W$5-SUM(U43:U45)</f>
        <v>7</v>
      </c>
      <c r="V42" s="186">
        <f>+[1]Parts!X$5-SUM(V43:V45)</f>
        <v>7</v>
      </c>
      <c r="W42" s="186">
        <f>+[1]Parts!Y$5-SUM(W43:W45)</f>
        <v>7</v>
      </c>
      <c r="X42" s="186">
        <f>+[1]Parts!Z$5-SUM(X43:X45)</f>
        <v>7</v>
      </c>
      <c r="Y42" s="186">
        <f>+[1]Parts!AA$5-SUM(Y43:Y45)</f>
        <v>7</v>
      </c>
      <c r="Z42" s="186">
        <f>+[1]Parts!AB$5-SUM(Z43:Z45)</f>
        <v>7</v>
      </c>
      <c r="AA42" s="184" t="s">
        <v>98</v>
      </c>
      <c r="AB42" s="184" t="s">
        <v>99</v>
      </c>
      <c r="AC42" s="184" t="str">
        <f t="shared" si="25"/>
        <v>#</v>
      </c>
      <c r="AE42" s="184" t="str">
        <f t="shared" si="26"/>
        <v>130-9490M#</v>
      </c>
    </row>
    <row r="43" spans="1:31" x14ac:dyDescent="0.2">
      <c r="A43" s="184">
        <v>230</v>
      </c>
      <c r="B43" s="185" t="s">
        <v>97</v>
      </c>
      <c r="C43" s="186"/>
      <c r="D43" s="186"/>
      <c r="E43" s="186"/>
      <c r="F43" s="186"/>
      <c r="G43" s="186">
        <v>3</v>
      </c>
      <c r="H43" s="186">
        <v>3</v>
      </c>
      <c r="I43" s="186">
        <v>3</v>
      </c>
      <c r="J43" s="186">
        <v>3</v>
      </c>
      <c r="K43" s="186">
        <v>3</v>
      </c>
      <c r="L43" s="186">
        <v>3</v>
      </c>
      <c r="M43" s="186">
        <v>3</v>
      </c>
      <c r="N43" s="186">
        <v>3</v>
      </c>
      <c r="O43" s="186">
        <v>4</v>
      </c>
      <c r="P43" s="186">
        <v>4</v>
      </c>
      <c r="Q43" s="186">
        <v>4</v>
      </c>
      <c r="R43" s="186">
        <v>4</v>
      </c>
      <c r="S43" s="186">
        <v>4</v>
      </c>
      <c r="T43" s="186">
        <v>4</v>
      </c>
      <c r="U43" s="186">
        <v>4</v>
      </c>
      <c r="V43" s="186">
        <v>4</v>
      </c>
      <c r="W43" s="186">
        <v>4</v>
      </c>
      <c r="X43" s="186">
        <v>4</v>
      </c>
      <c r="Y43" s="186">
        <v>4</v>
      </c>
      <c r="Z43" s="186">
        <v>4</v>
      </c>
      <c r="AA43" s="184" t="s">
        <v>98</v>
      </c>
      <c r="AB43" s="184" t="s">
        <v>99</v>
      </c>
      <c r="AC43" s="184" t="str">
        <f t="shared" si="25"/>
        <v>#</v>
      </c>
      <c r="AE43" s="184" t="str">
        <f t="shared" si="26"/>
        <v>230-9490M#</v>
      </c>
    </row>
    <row r="44" spans="1:31" x14ac:dyDescent="0.2">
      <c r="A44" s="184">
        <v>330</v>
      </c>
      <c r="B44" s="185" t="s">
        <v>97</v>
      </c>
      <c r="C44" s="186"/>
      <c r="D44" s="186"/>
      <c r="E44" s="186"/>
      <c r="F44" s="186"/>
      <c r="G44" s="186">
        <v>1</v>
      </c>
      <c r="H44" s="186">
        <v>1</v>
      </c>
      <c r="I44" s="186">
        <v>1</v>
      </c>
      <c r="J44" s="186">
        <v>1</v>
      </c>
      <c r="K44" s="186">
        <v>1</v>
      </c>
      <c r="L44" s="186">
        <v>1</v>
      </c>
      <c r="M44" s="186">
        <v>1</v>
      </c>
      <c r="N44" s="186">
        <v>1</v>
      </c>
      <c r="O44" s="186">
        <v>1</v>
      </c>
      <c r="P44" s="186">
        <v>1</v>
      </c>
      <c r="Q44" s="186">
        <v>1</v>
      </c>
      <c r="R44" s="186">
        <v>1</v>
      </c>
      <c r="S44" s="186">
        <v>1</v>
      </c>
      <c r="T44" s="186">
        <v>1</v>
      </c>
      <c r="U44" s="186">
        <v>1</v>
      </c>
      <c r="V44" s="186">
        <v>1</v>
      </c>
      <c r="W44" s="186">
        <v>1</v>
      </c>
      <c r="X44" s="186">
        <v>1</v>
      </c>
      <c r="Y44" s="186">
        <v>1</v>
      </c>
      <c r="Z44" s="186">
        <v>1</v>
      </c>
      <c r="AA44" s="184" t="s">
        <v>98</v>
      </c>
      <c r="AB44" s="184" t="s">
        <v>99</v>
      </c>
      <c r="AC44" s="184" t="str">
        <f t="shared" si="25"/>
        <v>#</v>
      </c>
      <c r="AE44" s="184" t="str">
        <f t="shared" si="26"/>
        <v>330-9490M#</v>
      </c>
    </row>
    <row r="45" spans="1:31" x14ac:dyDescent="0.2">
      <c r="A45" s="184">
        <v>440</v>
      </c>
      <c r="B45" s="185" t="s">
        <v>97</v>
      </c>
      <c r="C45" s="186"/>
      <c r="D45" s="186"/>
      <c r="E45" s="186"/>
      <c r="F45" s="186"/>
      <c r="G45" s="186">
        <v>1</v>
      </c>
      <c r="H45" s="186">
        <v>1</v>
      </c>
      <c r="I45" s="186">
        <v>1</v>
      </c>
      <c r="J45" s="186">
        <v>1</v>
      </c>
      <c r="K45" s="186">
        <v>1</v>
      </c>
      <c r="L45" s="186">
        <v>1</v>
      </c>
      <c r="M45" s="186">
        <v>1</v>
      </c>
      <c r="N45" s="186">
        <v>1</v>
      </c>
      <c r="O45" s="186">
        <v>1</v>
      </c>
      <c r="P45" s="186">
        <v>1</v>
      </c>
      <c r="Q45" s="186">
        <v>1</v>
      </c>
      <c r="R45" s="186">
        <v>1</v>
      </c>
      <c r="S45" s="186">
        <v>1</v>
      </c>
      <c r="T45" s="186">
        <v>1</v>
      </c>
      <c r="U45" s="186">
        <v>1</v>
      </c>
      <c r="V45" s="186">
        <v>1</v>
      </c>
      <c r="W45" s="186">
        <v>1</v>
      </c>
      <c r="X45" s="186">
        <v>1</v>
      </c>
      <c r="Y45" s="186">
        <v>1</v>
      </c>
      <c r="Z45" s="186">
        <v>1</v>
      </c>
      <c r="AA45" s="184" t="s">
        <v>98</v>
      </c>
      <c r="AB45" s="184" t="s">
        <v>99</v>
      </c>
      <c r="AC45" s="184" t="str">
        <f t="shared" si="25"/>
        <v>#</v>
      </c>
      <c r="AE45" s="184" t="str">
        <f t="shared" si="26"/>
        <v>440-9490M#</v>
      </c>
    </row>
    <row r="46" spans="1:31" x14ac:dyDescent="0.2">
      <c r="A46" s="184">
        <v>130</v>
      </c>
      <c r="B46" s="187">
        <v>3465</v>
      </c>
      <c r="C46" s="186"/>
      <c r="D46" s="186"/>
      <c r="E46" s="186"/>
      <c r="F46" s="186"/>
      <c r="G46" s="186">
        <f>-'Parts GP Calc'!G10</f>
        <v>-131392.15629564377</v>
      </c>
      <c r="H46" s="186">
        <f>-'Parts GP Calc'!H10</f>
        <v>-132706.07785860021</v>
      </c>
      <c r="I46" s="186">
        <f>-'Parts GP Calc'!I10</f>
        <v>-134033.1386371862</v>
      </c>
      <c r="J46" s="186">
        <f>-'Parts GP Calc'!J10</f>
        <v>-135373.4700235581</v>
      </c>
      <c r="K46" s="186">
        <f>-'Parts GP Calc'!K10</f>
        <v>-136727.20472379363</v>
      </c>
      <c r="L46" s="186">
        <f>-'Parts GP Calc'!L10</f>
        <v>-87586.336907784076</v>
      </c>
      <c r="M46" s="186">
        <f>-'Parts GP Calc'!M10</f>
        <v>-86894.826499622257</v>
      </c>
      <c r="N46" s="186">
        <f>-'Parts GP Calc'!N10</f>
        <v>-124336.4122989817</v>
      </c>
      <c r="O46" s="186">
        <f>-'Parts GP Calc'!O10</f>
        <v>-100467.65104137626</v>
      </c>
      <c r="P46" s="186">
        <f>-'Parts GP Calc'!P10</f>
        <v>-113350.74074464811</v>
      </c>
      <c r="Q46" s="186">
        <f>-'Parts GP Calc'!Q10</f>
        <v>-111121.06911940142</v>
      </c>
      <c r="R46" s="186">
        <f>-'Parts GP Calc'!R10</f>
        <v>-121774.48719742658</v>
      </c>
      <c r="S46" s="186">
        <f>-'Parts GP Calc'!S10</f>
        <v>-142785.39507353181</v>
      </c>
      <c r="T46" s="186">
        <f>-'Parts GP Calc'!T10</f>
        <v>-130800.29973575348</v>
      </c>
      <c r="U46" s="186">
        <f>-'Parts GP Calc'!U10</f>
        <v>-114820.17261871572</v>
      </c>
      <c r="V46" s="186">
        <f>-'Parts GP Calc'!V10</f>
        <v>-109123.55322977171</v>
      </c>
      <c r="W46" s="186">
        <f>-'Parts GP Calc'!W10</f>
        <v>-100985.52553128025</v>
      </c>
      <c r="X46" s="186">
        <f>-'Parts GP Calc'!X10</f>
        <v>-100985.52553128025</v>
      </c>
      <c r="Y46" s="186">
        <f>-'Parts GP Calc'!Y10</f>
        <v>-100985.52553128025</v>
      </c>
      <c r="Z46" s="186">
        <f>-'Parts GP Calc'!Z10</f>
        <v>-132057.99492552032</v>
      </c>
      <c r="AA46" s="184" t="s">
        <v>98</v>
      </c>
      <c r="AB46" s="184" t="s">
        <v>100</v>
      </c>
      <c r="AC46" s="184" t="str">
        <f t="shared" si="25"/>
        <v/>
      </c>
      <c r="AE46" s="184" t="str">
        <f t="shared" si="26"/>
        <v>130-3465</v>
      </c>
    </row>
    <row r="47" spans="1:31" x14ac:dyDescent="0.2">
      <c r="A47" s="184">
        <v>130</v>
      </c>
      <c r="B47" s="187">
        <v>3466</v>
      </c>
      <c r="C47" s="186"/>
      <c r="D47" s="186"/>
      <c r="E47" s="186"/>
      <c r="F47" s="186"/>
      <c r="G47" s="186">
        <f>-'Parts GP Calc'!G11</f>
        <v>-398783.47974404722</v>
      </c>
      <c r="H47" s="186">
        <f>-'Parts GP Calc'!H11</f>
        <v>-402771.31454148772</v>
      </c>
      <c r="I47" s="186">
        <f>-'Parts GP Calc'!I11</f>
        <v>-406799.02768690261</v>
      </c>
      <c r="J47" s="186">
        <f>-'Parts GP Calc'!J11</f>
        <v>-410867.01796377165</v>
      </c>
      <c r="K47" s="186">
        <f>-'Parts GP Calc'!K11</f>
        <v>-414975.68814340932</v>
      </c>
      <c r="L47" s="186">
        <f>-'Parts GP Calc'!L11</f>
        <v>-265830.05557447136</v>
      </c>
      <c r="M47" s="186">
        <f>-'Parts GP Calc'!M11</f>
        <v>-263731.27788012021</v>
      </c>
      <c r="N47" s="186">
        <f>-'Parts GP Calc'!N11</f>
        <v>-377368.85178984143</v>
      </c>
      <c r="O47" s="186">
        <f>-'Parts GP Calc'!O11</f>
        <v>-304925.65624572977</v>
      </c>
      <c r="P47" s="186">
        <f>-'Parts GP Calc'!P11</f>
        <v>-344026.64588293078</v>
      </c>
      <c r="Q47" s="186">
        <f>-'Parts GP Calc'!Q11</f>
        <v>-337259.45190065255</v>
      </c>
      <c r="R47" s="186">
        <f>-'Parts GP Calc'!R11</f>
        <v>-369593.24755557528</v>
      </c>
      <c r="S47" s="186">
        <f>-'Parts GP Calc'!S11</f>
        <v>-433362.67787500628</v>
      </c>
      <c r="T47" s="186">
        <f>-'Parts GP Calc'!T11</f>
        <v>-396987.15776321816</v>
      </c>
      <c r="U47" s="186">
        <f>-'Parts GP Calc'!U11</f>
        <v>-348486.46428083407</v>
      </c>
      <c r="V47" s="186">
        <f>-'Parts GP Calc'!V11</f>
        <v>-331196.86521535454</v>
      </c>
      <c r="W47" s="186">
        <f>-'Parts GP Calc'!W11</f>
        <v>-306497.43797895522</v>
      </c>
      <c r="X47" s="186">
        <f>-'Parts GP Calc'!X11</f>
        <v>-306497.43797895522</v>
      </c>
      <c r="Y47" s="186">
        <f>-'Parts GP Calc'!Y11</f>
        <v>-306497.43797895522</v>
      </c>
      <c r="Z47" s="186">
        <f>-'Parts GP Calc'!Z11</f>
        <v>-400804.34197247989</v>
      </c>
      <c r="AA47" s="184" t="s">
        <v>98</v>
      </c>
      <c r="AB47" s="184" t="s">
        <v>101</v>
      </c>
      <c r="AC47" s="184" t="str">
        <f t="shared" si="25"/>
        <v/>
      </c>
      <c r="AE47" s="184" t="str">
        <f t="shared" si="26"/>
        <v>130-3466</v>
      </c>
    </row>
    <row r="48" spans="1:31" x14ac:dyDescent="0.2">
      <c r="A48" s="184">
        <v>130</v>
      </c>
      <c r="B48" s="187">
        <v>3475</v>
      </c>
      <c r="C48" s="186"/>
      <c r="D48" s="186"/>
      <c r="E48" s="186"/>
      <c r="F48" s="186"/>
      <c r="G48" s="186">
        <f>-'Parts GP Calc'!G12</f>
        <v>-179132.90968355275</v>
      </c>
      <c r="H48" s="186">
        <f>-'Parts GP Calc'!H12</f>
        <v>-180924.23878038826</v>
      </c>
      <c r="I48" s="186">
        <f>-'Parts GP Calc'!I12</f>
        <v>-182733.48116819217</v>
      </c>
      <c r="J48" s="186">
        <f>-'Parts GP Calc'!J12</f>
        <v>-184560.81597987408</v>
      </c>
      <c r="K48" s="186">
        <f>-'Parts GP Calc'!K12</f>
        <v>-186406.4241396728</v>
      </c>
      <c r="L48" s="186">
        <f>-'Parts GP Calc'!L12</f>
        <v>-119410.44139280547</v>
      </c>
      <c r="M48" s="186">
        <f>-'Parts GP Calc'!M12</f>
        <v>-118467.67376509593</v>
      </c>
      <c r="N48" s="186">
        <f>-'Parts GP Calc'!N12</f>
        <v>-169513.49260617091</v>
      </c>
      <c r="O48" s="186">
        <f>-'Parts GP Calc'!O12</f>
        <v>-136972.12350803186</v>
      </c>
      <c r="P48" s="186">
        <f>-'Parts GP Calc'!P12</f>
        <v>-154536.226338254</v>
      </c>
      <c r="Q48" s="186">
        <f>-'Parts GP Calc'!Q12</f>
        <v>-151496.41348237399</v>
      </c>
      <c r="R48" s="186">
        <f>-'Parts GP Calc'!R12</f>
        <v>-166020.70345671609</v>
      </c>
      <c r="S48" s="186">
        <f>-'Parts GP Calc'!S12</f>
        <v>-194665.83090611306</v>
      </c>
      <c r="T48" s="186">
        <f>-'Parts GP Calc'!T12</f>
        <v>-178326.00468497816</v>
      </c>
      <c r="U48" s="186">
        <f>-'Parts GP Calc'!U12</f>
        <v>-156539.56972346499</v>
      </c>
      <c r="V48" s="186">
        <f>-'Parts GP Calc'!V12</f>
        <v>-148773.10911218484</v>
      </c>
      <c r="W48" s="186">
        <f>-'Parts GP Calc'!W12</f>
        <v>-137678.16538178461</v>
      </c>
      <c r="X48" s="186">
        <f>-'Parts GP Calc'!X12</f>
        <v>-137678.16538178461</v>
      </c>
      <c r="Y48" s="186">
        <f>-'Parts GP Calc'!Y12</f>
        <v>-137678.16538178461</v>
      </c>
      <c r="Z48" s="186">
        <f>-'Parts GP Calc'!Z12</f>
        <v>-180040.6778069491</v>
      </c>
      <c r="AA48" s="184" t="s">
        <v>98</v>
      </c>
      <c r="AB48" s="184" t="s">
        <v>102</v>
      </c>
      <c r="AC48" s="184" t="str">
        <f t="shared" si="25"/>
        <v/>
      </c>
      <c r="AE48" s="184" t="str">
        <f t="shared" si="26"/>
        <v>130-3475</v>
      </c>
    </row>
    <row r="49" spans="1:31" x14ac:dyDescent="0.2">
      <c r="A49" s="184">
        <v>130</v>
      </c>
      <c r="B49" s="187">
        <v>3500</v>
      </c>
      <c r="C49" s="186"/>
      <c r="D49" s="186"/>
      <c r="E49" s="186"/>
      <c r="F49" s="186"/>
      <c r="G49" s="186">
        <f>-'Parts GP Calc'!G13</f>
        <v>-125355.58140460818</v>
      </c>
      <c r="H49" s="186">
        <f>-'Parts GP Calc'!H13</f>
        <v>-126609.13721865426</v>
      </c>
      <c r="I49" s="186">
        <f>-'Parts GP Calc'!I13</f>
        <v>-127875.22859084081</v>
      </c>
      <c r="J49" s="186">
        <f>-'Parts GP Calc'!J13</f>
        <v>-129153.98087674922</v>
      </c>
      <c r="K49" s="186">
        <f>-'Parts GP Calc'!K13</f>
        <v>-130445.52068551671</v>
      </c>
      <c r="L49" s="186">
        <f>-'Parts GP Calc'!L13</f>
        <v>-83562.341129941415</v>
      </c>
      <c r="M49" s="186">
        <f>-'Parts GP Calc'!M13</f>
        <v>-82902.600916321564</v>
      </c>
      <c r="N49" s="186">
        <f>-'Parts GP Calc'!N13</f>
        <v>-118624.00079980024</v>
      </c>
      <c r="O49" s="186">
        <f>-'Parts GP Calc'!O13</f>
        <v>-95851.846592037109</v>
      </c>
      <c r="P49" s="186">
        <f>-'Parts GP Calc'!P13</f>
        <v>-108143.0460484761</v>
      </c>
      <c r="Q49" s="186">
        <f>-'Parts GP Calc'!Q13</f>
        <v>-106015.81265187019</v>
      </c>
      <c r="R49" s="186">
        <f>-'Parts GP Calc'!R13</f>
        <v>-116179.77871170329</v>
      </c>
      <c r="S49" s="186">
        <f>-'Parts GP Calc'!S13</f>
        <v>-136225.37844081857</v>
      </c>
      <c r="T49" s="186">
        <f>-'Parts GP Calc'!T13</f>
        <v>-124790.91662350633</v>
      </c>
      <c r="U49" s="186">
        <f>-'Parts GP Calc'!U13</f>
        <v>-109544.96753375669</v>
      </c>
      <c r="V49" s="186">
        <f>-'Parts GP Calc'!V13</f>
        <v>-104110.06901565149</v>
      </c>
      <c r="W49" s="186">
        <f>-'Parts GP Calc'!W13</f>
        <v>-96345.92827550121</v>
      </c>
      <c r="X49" s="186">
        <f>-'Parts GP Calc'!X13</f>
        <v>-96345.92827550121</v>
      </c>
      <c r="Y49" s="186">
        <f>-'Parts GP Calc'!Y13</f>
        <v>-96345.92827550121</v>
      </c>
      <c r="Z49" s="186">
        <f>-'Parts GP Calc'!Z13</f>
        <v>-125990.82928334775</v>
      </c>
      <c r="AA49" s="184" t="s">
        <v>98</v>
      </c>
      <c r="AB49" s="184" t="s">
        <v>103</v>
      </c>
      <c r="AC49" s="184" t="str">
        <f t="shared" si="25"/>
        <v/>
      </c>
      <c r="AE49" s="184" t="str">
        <f t="shared" si="26"/>
        <v>130-3500</v>
      </c>
    </row>
    <row r="50" spans="1:31" x14ac:dyDescent="0.2">
      <c r="A50" s="184">
        <v>130</v>
      </c>
      <c r="B50" s="187">
        <v>3505</v>
      </c>
      <c r="C50" s="186"/>
      <c r="D50" s="186"/>
      <c r="E50" s="186"/>
      <c r="F50" s="186"/>
      <c r="G50" s="186">
        <f>-'Parts GP Calc'!G14</f>
        <v>-48603.534345209853</v>
      </c>
      <c r="H50" s="186">
        <f>-'Parts GP Calc'!H14</f>
        <v>-49089.569688661948</v>
      </c>
      <c r="I50" s="186">
        <f>-'Parts GP Calc'!I14</f>
        <v>-49580.465385548574</v>
      </c>
      <c r="J50" s="186">
        <f>-'Parts GP Calc'!J14</f>
        <v>-50076.270039404058</v>
      </c>
      <c r="K50" s="186">
        <f>-'Parts GP Calc'!K14</f>
        <v>-50577.032739798095</v>
      </c>
      <c r="L50" s="186">
        <f>-'Parts GP Calc'!L14</f>
        <v>-32399.236408678553</v>
      </c>
      <c r="M50" s="186">
        <f>-'Parts GP Calc'!M14</f>
        <v>-32143.438415702949</v>
      </c>
      <c r="N50" s="186">
        <f>-'Parts GP Calc'!N14</f>
        <v>-45993.530024243068</v>
      </c>
      <c r="O50" s="186">
        <f>-'Parts GP Calc'!O14</f>
        <v>-37164.18898693411</v>
      </c>
      <c r="P50" s="186">
        <f>-'Parts GP Calc'!P14</f>
        <v>-41929.798369707845</v>
      </c>
      <c r="Q50" s="186">
        <f>-'Parts GP Calc'!Q14</f>
        <v>-41105.016096005173</v>
      </c>
      <c r="R50" s="186">
        <f>-'Parts GP Calc'!R14</f>
        <v>-45045.843205076242</v>
      </c>
      <c r="S50" s="186">
        <f>-'Parts GP Calc'!S14</f>
        <v>-52818.03000352197</v>
      </c>
      <c r="T50" s="186">
        <f>-'Parts GP Calc'!T14</f>
        <v>-48384.599505817008</v>
      </c>
      <c r="U50" s="186">
        <f>-'Parts GP Calc'!U14</f>
        <v>-42473.358842210408</v>
      </c>
      <c r="V50" s="186">
        <f>-'Parts GP Calc'!V14</f>
        <v>-40366.111013054353</v>
      </c>
      <c r="W50" s="186">
        <f>-'Parts GP Calc'!W14</f>
        <v>-37355.756971402836</v>
      </c>
      <c r="X50" s="186">
        <f>-'Parts GP Calc'!X14</f>
        <v>-37355.756971402836</v>
      </c>
      <c r="Y50" s="186">
        <f>-'Parts GP Calc'!Y14</f>
        <v>-37355.756971402836</v>
      </c>
      <c r="Z50" s="186">
        <f>-'Parts GP Calc'!Z14</f>
        <v>-48849.836039526788</v>
      </c>
      <c r="AA50" s="184" t="s">
        <v>98</v>
      </c>
      <c r="AB50" s="184" t="s">
        <v>104</v>
      </c>
      <c r="AC50" s="184" t="str">
        <f t="shared" si="25"/>
        <v/>
      </c>
      <c r="AE50" s="184" t="str">
        <f t="shared" si="26"/>
        <v>130-3505</v>
      </c>
    </row>
    <row r="51" spans="1:31" x14ac:dyDescent="0.2">
      <c r="A51" s="184">
        <v>130</v>
      </c>
      <c r="B51" s="187">
        <v>4465</v>
      </c>
      <c r="C51" s="186"/>
      <c r="D51" s="186"/>
      <c r="E51" s="186"/>
      <c r="F51" s="186"/>
      <c r="G51" s="186">
        <f>-G46*0.83</f>
        <v>109055.48972538432</v>
      </c>
      <c r="H51" s="186">
        <f t="shared" ref="H51" si="27">-H46*0.83</f>
        <v>110146.04462263818</v>
      </c>
      <c r="I51" s="186">
        <f>-'Parts GP Calc'!I36</f>
        <v>104515.57798130342</v>
      </c>
      <c r="J51" s="186">
        <f>-'Parts GP Calc'!J36</f>
        <v>105560.73376111645</v>
      </c>
      <c r="K51" s="186">
        <f>-'Parts GP Calc'!K36</f>
        <v>106616.34109872763</v>
      </c>
      <c r="L51" s="186">
        <f>-'Parts GP Calc'!L36</f>
        <v>67474.7000213875</v>
      </c>
      <c r="M51" s="186">
        <f>-'Parts GP Calc'!M36</f>
        <v>66941.974724272819</v>
      </c>
      <c r="N51" s="186">
        <f>-'Parts GP Calc'!N36</f>
        <v>88659.343492066051</v>
      </c>
      <c r="O51" s="186">
        <f>-'Parts GP Calc'!O36</f>
        <v>79217.843488778759</v>
      </c>
      <c r="P51" s="186">
        <f>-'Parts GP Calc'!P36</f>
        <v>88281.487014667829</v>
      </c>
      <c r="Q51" s="186">
        <f>-'Parts GP Calc'!Q36</f>
        <v>85605.37030771884</v>
      </c>
      <c r="R51" s="186">
        <f>-'Parts GP Calc'!R36</f>
        <v>93812.542960389619</v>
      </c>
      <c r="S51" s="186">
        <f>-'Parts GP Calc'!S36</f>
        <v>109998.91124760144</v>
      </c>
      <c r="T51" s="186">
        <f>-'Parts GP Calc'!T36</f>
        <v>100765.8420133468</v>
      </c>
      <c r="U51" s="186">
        <f>-'Parts GP Calc'!U36</f>
        <v>88455.083034340641</v>
      </c>
      <c r="V51" s="186">
        <f>-'Parts GP Calc'!V36</f>
        <v>84066.525435343079</v>
      </c>
      <c r="W51" s="186">
        <f>-'Parts GP Calc'!W36</f>
        <v>77797.157436775102</v>
      </c>
      <c r="X51" s="186">
        <f>-'Parts GP Calc'!X36</f>
        <v>77797.157436775102</v>
      </c>
      <c r="Y51" s="186">
        <f>-'Parts GP Calc'!Y36</f>
        <v>77797.157436775102</v>
      </c>
      <c r="Z51" s="186">
        <f>-'Parts GP Calc'!Z36</f>
        <v>101734.74434039822</v>
      </c>
      <c r="AA51" s="184" t="s">
        <v>98</v>
      </c>
      <c r="AB51" s="184" t="s">
        <v>105</v>
      </c>
      <c r="AC51" s="184" t="str">
        <f t="shared" si="25"/>
        <v/>
      </c>
      <c r="AE51" s="184" t="str">
        <f t="shared" si="26"/>
        <v>130-4465</v>
      </c>
    </row>
    <row r="52" spans="1:31" x14ac:dyDescent="0.2">
      <c r="A52" s="184">
        <v>130</v>
      </c>
      <c r="B52" s="187">
        <v>4466</v>
      </c>
      <c r="C52" s="186"/>
      <c r="D52" s="186"/>
      <c r="E52" s="186"/>
      <c r="F52" s="186"/>
      <c r="G52" s="186">
        <f t="shared" ref="G52:H55" si="28">-G47*0.83</f>
        <v>330990.28818755917</v>
      </c>
      <c r="H52" s="186">
        <f t="shared" si="28"/>
        <v>334300.1910694348</v>
      </c>
      <c r="I52" s="186">
        <f>-'Parts GP Calc'!I37</f>
        <v>352826.78595713875</v>
      </c>
      <c r="J52" s="186">
        <f>-'Parts GP Calc'!J37</f>
        <v>356355.05381671019</v>
      </c>
      <c r="K52" s="186">
        <f>-'Parts GP Calc'!K37</f>
        <v>359918.60435487726</v>
      </c>
      <c r="L52" s="186">
        <f>-'Parts GP Calc'!L37</f>
        <v>227783.09226043796</v>
      </c>
      <c r="M52" s="186">
        <f>-'Parts GP Calc'!M37</f>
        <v>225984.70241263308</v>
      </c>
      <c r="N52" s="186">
        <f>-'Parts GP Calc'!N37</f>
        <v>299298.83959472046</v>
      </c>
      <c r="O52" s="186">
        <f>-'Parts GP Calc'!O37</f>
        <v>267425.94404062344</v>
      </c>
      <c r="P52" s="186">
        <f>-'Parts GP Calc'!P37</f>
        <v>298023.26049877604</v>
      </c>
      <c r="Q52" s="186">
        <f>-'Parts GP Calc'!Q37</f>
        <v>288989.14640022587</v>
      </c>
      <c r="R52" s="186">
        <f>-'Parts GP Calc'!R37</f>
        <v>316695.16309904912</v>
      </c>
      <c r="S52" s="186">
        <f>-'Parts GP Calc'!S37</f>
        <v>371337.5849217283</v>
      </c>
      <c r="T52" s="186">
        <f>-'Parts GP Calc'!T37</f>
        <v>340168.31613555213</v>
      </c>
      <c r="U52" s="186">
        <f>-'Parts GP Calc'!U37</f>
        <v>298609.29108731728</v>
      </c>
      <c r="V52" s="186">
        <f>-'Parts GP Calc'!V37</f>
        <v>283794.2682691965</v>
      </c>
      <c r="W52" s="186">
        <f>-'Parts GP Calc'!W37</f>
        <v>262629.94995759538</v>
      </c>
      <c r="X52" s="186">
        <f>-'Parts GP Calc'!X37</f>
        <v>262629.94995759538</v>
      </c>
      <c r="Y52" s="186">
        <f>-'Parts GP Calc'!Y37</f>
        <v>262629.94995759538</v>
      </c>
      <c r="Z52" s="186">
        <f>-'Parts GP Calc'!Z37</f>
        <v>343439.1653291632</v>
      </c>
      <c r="AA52" s="184" t="s">
        <v>98</v>
      </c>
      <c r="AB52" s="184" t="s">
        <v>106</v>
      </c>
      <c r="AC52" s="184" t="str">
        <f t="shared" si="25"/>
        <v/>
      </c>
      <c r="AE52" s="184" t="str">
        <f t="shared" si="26"/>
        <v>130-4466</v>
      </c>
    </row>
    <row r="53" spans="1:31" x14ac:dyDescent="0.2">
      <c r="A53" s="184">
        <v>130</v>
      </c>
      <c r="B53" s="187">
        <v>4475</v>
      </c>
      <c r="C53" s="186"/>
      <c r="D53" s="186"/>
      <c r="E53" s="186"/>
      <c r="F53" s="186"/>
      <c r="G53" s="186">
        <f t="shared" si="28"/>
        <v>148680.31503734877</v>
      </c>
      <c r="H53" s="186">
        <f t="shared" si="28"/>
        <v>150167.11818772226</v>
      </c>
      <c r="I53" s="186">
        <f>-'Parts GP Calc'!I38</f>
        <v>130845.82164165765</v>
      </c>
      <c r="J53" s="186">
        <f>-'Parts GP Calc'!J38</f>
        <v>132154.27985807424</v>
      </c>
      <c r="K53" s="186">
        <f>-'Parts GP Calc'!K38</f>
        <v>133475.82265665499</v>
      </c>
      <c r="L53" s="186">
        <f>-'Parts GP Calc'!L38</f>
        <v>84473.364974379088</v>
      </c>
      <c r="M53" s="186">
        <f>-'Parts GP Calc'!M38</f>
        <v>83806.432058189923</v>
      </c>
      <c r="N53" s="186">
        <f>-'Parts GP Calc'!N38</f>
        <v>110994.98150892455</v>
      </c>
      <c r="O53" s="186">
        <f>-'Parts GP Calc'!O38</f>
        <v>99174.917463727063</v>
      </c>
      <c r="P53" s="186">
        <f>-'Parts GP Calc'!P38</f>
        <v>110521.93297201997</v>
      </c>
      <c r="Q53" s="186">
        <f>-'Parts GP Calc'!Q38</f>
        <v>107171.63155195466</v>
      </c>
      <c r="R53" s="186">
        <f>-'Parts GP Calc'!R38</f>
        <v>117446.40847837375</v>
      </c>
      <c r="S53" s="186">
        <f>-'Parts GP Calc'!S38</f>
        <v>137710.55186103363</v>
      </c>
      <c r="T53" s="186">
        <f>-'Parts GP Calc'!T38</f>
        <v>126151.42781881214</v>
      </c>
      <c r="U53" s="186">
        <f>-'Parts GP Calc'!U38</f>
        <v>110739.26242918351</v>
      </c>
      <c r="V53" s="186">
        <f>-'Parts GP Calc'!V38</f>
        <v>105245.11087825109</v>
      </c>
      <c r="W53" s="186">
        <f>-'Parts GP Calc'!W38</f>
        <v>97396.322948347603</v>
      </c>
      <c r="X53" s="186">
        <f>-'Parts GP Calc'!X38</f>
        <v>97396.322948347603</v>
      </c>
      <c r="Y53" s="186">
        <f>-'Parts GP Calc'!Y38</f>
        <v>97396.322948347603</v>
      </c>
      <c r="Z53" s="186">
        <f>-'Parts GP Calc'!Z38</f>
        <v>127364.42231706994</v>
      </c>
      <c r="AA53" s="184" t="s">
        <v>98</v>
      </c>
      <c r="AB53" s="184" t="s">
        <v>107</v>
      </c>
      <c r="AC53" s="184" t="str">
        <f t="shared" si="25"/>
        <v/>
      </c>
      <c r="AE53" s="184" t="str">
        <f t="shared" si="26"/>
        <v>130-4475</v>
      </c>
    </row>
    <row r="54" spans="1:31" x14ac:dyDescent="0.2">
      <c r="A54" s="184">
        <v>130</v>
      </c>
      <c r="B54" s="187">
        <v>4500</v>
      </c>
      <c r="C54" s="186"/>
      <c r="D54" s="186"/>
      <c r="E54" s="186"/>
      <c r="F54" s="186"/>
      <c r="G54" s="186">
        <f t="shared" si="28"/>
        <v>104045.13256582478</v>
      </c>
      <c r="H54" s="186">
        <f t="shared" si="28"/>
        <v>105085.58389148302</v>
      </c>
      <c r="I54" s="186">
        <f>-'Parts GP Calc'!I39</f>
        <v>118030.73743989367</v>
      </c>
      <c r="J54" s="186">
        <f>-'Parts GP Calc'!J39</f>
        <v>119211.04481429262</v>
      </c>
      <c r="K54" s="186">
        <f>-'Parts GP Calc'!K39</f>
        <v>120403.15526243554</v>
      </c>
      <c r="L54" s="186">
        <f>-'Parts GP Calc'!L39</f>
        <v>76200.014924900999</v>
      </c>
      <c r="M54" s="186">
        <f>-'Parts GP Calc'!M39</f>
        <v>75598.401644988029</v>
      </c>
      <c r="N54" s="186">
        <f>-'Parts GP Calc'!N39</f>
        <v>100124.09533033795</v>
      </c>
      <c r="O54" s="186">
        <f>-'Parts GP Calc'!O39</f>
        <v>89461.692371363664</v>
      </c>
      <c r="P54" s="186">
        <f>-'Parts GP Calc'!P39</f>
        <v>99697.377327766793</v>
      </c>
      <c r="Q54" s="186">
        <f>-'Parts GP Calc'!Q39</f>
        <v>96675.205566415447</v>
      </c>
      <c r="R54" s="186">
        <f>-'Parts GP Calc'!R39</f>
        <v>105943.66735174423</v>
      </c>
      <c r="S54" s="186">
        <f>-'Parts GP Calc'!S39</f>
        <v>124223.13365058709</v>
      </c>
      <c r="T54" s="186">
        <f>-'Parts GP Calc'!T39</f>
        <v>113796.11414209221</v>
      </c>
      <c r="U54" s="186">
        <f>-'Parts GP Calc'!U39</f>
        <v>99893.421464099054</v>
      </c>
      <c r="V54" s="186">
        <f>-'Parts GP Calc'!V39</f>
        <v>94937.36898166631</v>
      </c>
      <c r="W54" s="186">
        <f>-'Parts GP Calc'!W39</f>
        <v>87857.294006762357</v>
      </c>
      <c r="X54" s="186">
        <f>-'Parts GP Calc'!X39</f>
        <v>87857.294006762357</v>
      </c>
      <c r="Y54" s="186">
        <f>-'Parts GP Calc'!Y39</f>
        <v>87857.294006762357</v>
      </c>
      <c r="Z54" s="186">
        <f>-'Parts GP Calc'!Z39</f>
        <v>114890.30754730463</v>
      </c>
      <c r="AA54" s="184" t="s">
        <v>98</v>
      </c>
      <c r="AB54" s="184" t="s">
        <v>108</v>
      </c>
      <c r="AC54" s="184" t="str">
        <f t="shared" si="25"/>
        <v/>
      </c>
      <c r="AE54" s="184" t="str">
        <f t="shared" si="26"/>
        <v>130-4500</v>
      </c>
    </row>
    <row r="55" spans="1:31" x14ac:dyDescent="0.2">
      <c r="A55" s="184">
        <v>130</v>
      </c>
      <c r="B55" s="187">
        <v>4505</v>
      </c>
      <c r="C55" s="186"/>
      <c r="D55" s="186"/>
      <c r="E55" s="186"/>
      <c r="F55" s="186"/>
      <c r="G55" s="186">
        <f t="shared" si="28"/>
        <v>40340.933506524176</v>
      </c>
      <c r="H55" s="186">
        <f t="shared" si="28"/>
        <v>40744.342841589416</v>
      </c>
      <c r="I55" s="186">
        <f>-'Parts GP Calc'!I40</f>
        <v>41628.790399002814</v>
      </c>
      <c r="J55" s="186">
        <f>-'Parts GP Calc'!J40</f>
        <v>42045.078302992843</v>
      </c>
      <c r="K55" s="186">
        <f>-'Parts GP Calc'!K40</f>
        <v>42465.529086022769</v>
      </c>
      <c r="L55" s="186">
        <f>-'Parts GP Calc'!L40</f>
        <v>26875.325178112755</v>
      </c>
      <c r="M55" s="186">
        <f>-'Parts GP Calc'!M40</f>
        <v>26663.139490943704</v>
      </c>
      <c r="N55" s="186">
        <f>-'Parts GP Calc'!N40</f>
        <v>35313.216445156606</v>
      </c>
      <c r="O55" s="186">
        <f>-'Parts GP Calc'!O40</f>
        <v>31552.645702684698</v>
      </c>
      <c r="P55" s="186">
        <f>-'Parts GP Calc'!P40</f>
        <v>35162.715358119327</v>
      </c>
      <c r="Q55" s="186">
        <f>-'Parts GP Calc'!Q40</f>
        <v>34096.812038933953</v>
      </c>
      <c r="R55" s="186">
        <f>-'Parts GP Calc'!R40</f>
        <v>37365.747414171296</v>
      </c>
      <c r="S55" s="186">
        <f>-'Parts GP Calc'!S40</f>
        <v>43812.814404222721</v>
      </c>
      <c r="T55" s="186">
        <f>-'Parts GP Calc'!T40</f>
        <v>40135.262107080707</v>
      </c>
      <c r="U55" s="186">
        <f>-'Parts GP Calc'!U40</f>
        <v>35231.859044224693</v>
      </c>
      <c r="V55" s="186">
        <f>-'Parts GP Calc'!V40</f>
        <v>33483.886656076953</v>
      </c>
      <c r="W55" s="186">
        <f>-'Parts GP Calc'!W40</f>
        <v>30986.783244437309</v>
      </c>
      <c r="X55" s="186">
        <f>-'Parts GP Calc'!X40</f>
        <v>30986.783244437309</v>
      </c>
      <c r="Y55" s="186">
        <f>-'Parts GP Calc'!Y40</f>
        <v>30986.783244437309</v>
      </c>
      <c r="Z55" s="186">
        <f>-'Parts GP Calc'!Z40</f>
        <v>40521.178088879562</v>
      </c>
      <c r="AA55" s="184" t="s">
        <v>98</v>
      </c>
      <c r="AB55" s="184" t="s">
        <v>109</v>
      </c>
      <c r="AC55" s="184" t="str">
        <f t="shared" si="25"/>
        <v/>
      </c>
      <c r="AE55" s="184" t="str">
        <f t="shared" si="26"/>
        <v>130-4505</v>
      </c>
    </row>
    <row r="56" spans="1:31" x14ac:dyDescent="0.2">
      <c r="A56" s="184">
        <v>230</v>
      </c>
      <c r="B56" s="187">
        <v>3465</v>
      </c>
      <c r="C56" s="186"/>
      <c r="D56" s="186"/>
      <c r="E56" s="186"/>
      <c r="F56" s="186"/>
      <c r="G56" s="186">
        <f>-'Parts GP Calc'!G16</f>
        <v>-139856.58399391326</v>
      </c>
      <c r="H56" s="186">
        <f>-'Parts GP Calc'!H16</f>
        <v>-141255.1498338524</v>
      </c>
      <c r="I56" s="186">
        <f>-'Parts GP Calc'!I16</f>
        <v>-142667.70133219092</v>
      </c>
      <c r="J56" s="186">
        <f>-'Parts GP Calc'!J16</f>
        <v>-144094.37834551284</v>
      </c>
      <c r="K56" s="186">
        <f>-'Parts GP Calc'!K16</f>
        <v>-145535.32212896796</v>
      </c>
      <c r="L56" s="186">
        <f>-'Parts GP Calc'!L16</f>
        <v>-93228.745381879489</v>
      </c>
      <c r="M56" s="186">
        <f>-'Parts GP Calc'!M16</f>
        <v>-92492.687110150277</v>
      </c>
      <c r="N56" s="186">
        <f>-'Parts GP Calc'!N16</f>
        <v>-132346.30118305545</v>
      </c>
      <c r="O56" s="186">
        <f>-'Parts GP Calc'!O16</f>
        <v>-106939.88798633682</v>
      </c>
      <c r="P56" s="186">
        <f>-'Parts GP Calc'!P16</f>
        <v>-120652.9205446319</v>
      </c>
      <c r="Q56" s="186">
        <f>-'Parts GP Calc'!Q16</f>
        <v>-118279.61101287033</v>
      </c>
      <c r="R56" s="186">
        <f>-'Parts GP Calc'!R16</f>
        <v>-129619.33403940384</v>
      </c>
      <c r="S56" s="186">
        <f>-'Parts GP Calc'!S16</f>
        <v>-151983.78778617826</v>
      </c>
      <c r="T56" s="186">
        <f>-'Parts GP Calc'!T16</f>
        <v>-139226.59938132807</v>
      </c>
      <c r="U56" s="186">
        <f>-'Parts GP Calc'!U16</f>
        <v>-122217.01484152779</v>
      </c>
      <c r="V56" s="186">
        <f>-'Parts GP Calc'!V16</f>
        <v>-116153.41294539531</v>
      </c>
      <c r="W56" s="186">
        <f>-'Parts GP Calc'!W16</f>
        <v>-107491.12452234887</v>
      </c>
      <c r="X56" s="186">
        <f>-'Parts GP Calc'!X16</f>
        <v>-107491.12452234887</v>
      </c>
      <c r="Y56" s="186">
        <f>-'Parts GP Calc'!Y16</f>
        <v>-107491.12452234887</v>
      </c>
      <c r="Z56" s="186">
        <f>-'Parts GP Calc'!Z16</f>
        <v>-140565.31668307158</v>
      </c>
      <c r="AA56" s="184" t="s">
        <v>98</v>
      </c>
      <c r="AB56" s="184" t="s">
        <v>100</v>
      </c>
      <c r="AC56" s="184" t="str">
        <f t="shared" si="25"/>
        <v/>
      </c>
      <c r="AE56" s="184" t="str">
        <f t="shared" si="26"/>
        <v>230-3465</v>
      </c>
    </row>
    <row r="57" spans="1:31" x14ac:dyDescent="0.2">
      <c r="A57" s="184">
        <v>230</v>
      </c>
      <c r="B57" s="187">
        <v>3466</v>
      </c>
      <c r="C57" s="186"/>
      <c r="D57" s="186"/>
      <c r="E57" s="186"/>
      <c r="F57" s="186"/>
      <c r="G57" s="186">
        <f>-'Parts GP Calc'!G17</f>
        <v>-179914.98236285313</v>
      </c>
      <c r="H57" s="186">
        <f>-'Parts GP Calc'!H17</f>
        <v>-181714.13218648164</v>
      </c>
      <c r="I57" s="186">
        <f>-'Parts GP Calc'!I17</f>
        <v>-183531.27350834649</v>
      </c>
      <c r="J57" s="186">
        <f>-'Parts GP Calc'!J17</f>
        <v>-185366.58624342995</v>
      </c>
      <c r="K57" s="186">
        <f>-'Parts GP Calc'!K17</f>
        <v>-187220.25210586423</v>
      </c>
      <c r="L57" s="186">
        <f>-'Parts GP Calc'!L17</f>
        <v>-119931.77297839455</v>
      </c>
      <c r="M57" s="186">
        <f>-'Parts GP Calc'!M17</f>
        <v>-118984.88934092519</v>
      </c>
      <c r="N57" s="186">
        <f>-'Parts GP Calc'!N17</f>
        <v>-170253.56807066413</v>
      </c>
      <c r="O57" s="186">
        <f>-'Parts GP Calc'!O17</f>
        <v>-137570.12727970412</v>
      </c>
      <c r="P57" s="186">
        <f>-'Parts GP Calc'!P17</f>
        <v>-155210.91286455916</v>
      </c>
      <c r="Q57" s="186">
        <f>-'Parts GP Calc'!Q17</f>
        <v>-152157.82855236789</v>
      </c>
      <c r="R57" s="186">
        <f>-'Parts GP Calc'!R17</f>
        <v>-166745.52982503167</v>
      </c>
      <c r="S57" s="186">
        <f>-'Parts GP Calc'!S17</f>
        <v>-195515.71844611855</v>
      </c>
      <c r="T57" s="186">
        <f>-'Parts GP Calc'!T17</f>
        <v>-179104.55451437179</v>
      </c>
      <c r="U57" s="186">
        <f>-'Parts GP Calc'!U17</f>
        <v>-157223.00260537615</v>
      </c>
      <c r="V57" s="186">
        <f>-'Parts GP Calc'!V17</f>
        <v>-149422.63456374346</v>
      </c>
      <c r="W57" s="186">
        <f>-'Parts GP Calc'!W17</f>
        <v>-138279.25164712529</v>
      </c>
      <c r="X57" s="186">
        <f>-'Parts GP Calc'!X17</f>
        <v>-138279.25164712529</v>
      </c>
      <c r="Y57" s="186">
        <f>-'Parts GP Calc'!Y17</f>
        <v>-138279.25164712529</v>
      </c>
      <c r="Z57" s="186">
        <f>-'Parts GP Calc'!Z17</f>
        <v>-180826.71369239461</v>
      </c>
      <c r="AA57" s="184" t="s">
        <v>98</v>
      </c>
      <c r="AB57" s="184" t="s">
        <v>101</v>
      </c>
      <c r="AC57" s="184" t="str">
        <f t="shared" si="25"/>
        <v/>
      </c>
      <c r="AE57" s="184" t="str">
        <f t="shared" si="26"/>
        <v>230-3466</v>
      </c>
    </row>
    <row r="58" spans="1:31" x14ac:dyDescent="0.2">
      <c r="A58" s="184">
        <v>230</v>
      </c>
      <c r="B58" s="187">
        <v>3475</v>
      </c>
      <c r="C58" s="186"/>
      <c r="D58" s="186"/>
      <c r="E58" s="186"/>
      <c r="F58" s="186"/>
      <c r="G58" s="186">
        <f>-'Parts GP Calc'!G18</f>
        <v>-54081.148921849759</v>
      </c>
      <c r="H58" s="186">
        <f>-'Parts GP Calc'!H18</f>
        <v>-54621.960411068249</v>
      </c>
      <c r="I58" s="186">
        <f>-'Parts GP Calc'!I18</f>
        <v>-55168.180015178943</v>
      </c>
      <c r="J58" s="186">
        <f>-'Parts GP Calc'!J18</f>
        <v>-55719.861815330725</v>
      </c>
      <c r="K58" s="186">
        <f>-'Parts GP Calc'!K18</f>
        <v>-56277.060433484032</v>
      </c>
      <c r="L58" s="186">
        <f>-'Parts GP Calc'!L18</f>
        <v>-36050.627856133455</v>
      </c>
      <c r="M58" s="186">
        <f>-'Parts GP Calc'!M18</f>
        <v>-35766.001449054333</v>
      </c>
      <c r="N58" s="186">
        <f>-'Parts GP Calc'!N18</f>
        <v>-51176.997314965898</v>
      </c>
      <c r="O58" s="186">
        <f>-'Parts GP Calc'!O18</f>
        <v>-41352.590222900879</v>
      </c>
      <c r="P58" s="186">
        <f>-'Parts GP Calc'!P18</f>
        <v>-46655.283416005084</v>
      </c>
      <c r="Q58" s="186">
        <f>-'Parts GP Calc'!Q18</f>
        <v>-45737.548243591402</v>
      </c>
      <c r="R58" s="186">
        <f>-'Parts GP Calc'!R18</f>
        <v>-50122.506264281925</v>
      </c>
      <c r="S58" s="186">
        <f>-'Parts GP Calc'!S18</f>
        <v>-58770.617916199342</v>
      </c>
      <c r="T58" s="186">
        <f>-'Parts GP Calc'!T18</f>
        <v>-53837.540142922502</v>
      </c>
      <c r="U58" s="186">
        <f>-'Parts GP Calc'!U18</f>
        <v>-47260.103111886718</v>
      </c>
      <c r="V58" s="186">
        <f>-'Parts GP Calc'!V18</f>
        <v>-44915.36861471193</v>
      </c>
      <c r="W58" s="186">
        <f>-'Parts GP Calc'!W18</f>
        <v>-41565.747904462223</v>
      </c>
      <c r="X58" s="186">
        <f>-'Parts GP Calc'!X18</f>
        <v>-41565.747904462223</v>
      </c>
      <c r="Y58" s="186">
        <f>-'Parts GP Calc'!Y18</f>
        <v>-41565.747904462223</v>
      </c>
      <c r="Z58" s="186">
        <f>-'Parts GP Calc'!Z18</f>
        <v>-54355.208798142907</v>
      </c>
      <c r="AA58" s="184" t="s">
        <v>98</v>
      </c>
      <c r="AB58" s="184" t="s">
        <v>102</v>
      </c>
      <c r="AC58" s="184" t="str">
        <f t="shared" si="25"/>
        <v/>
      </c>
      <c r="AE58" s="184" t="str">
        <f t="shared" si="26"/>
        <v>230-3475</v>
      </c>
    </row>
    <row r="59" spans="1:31" x14ac:dyDescent="0.2">
      <c r="A59" s="184">
        <v>230</v>
      </c>
      <c r="B59" s="187">
        <v>3500</v>
      </c>
      <c r="C59" s="186"/>
      <c r="D59" s="186"/>
      <c r="E59" s="186"/>
      <c r="F59" s="186"/>
      <c r="G59" s="186">
        <f>-'Parts GP Calc'!G19</f>
        <v>-62328.476876569373</v>
      </c>
      <c r="H59" s="186">
        <f>-'Parts GP Calc'!H19</f>
        <v>-62951.761645335064</v>
      </c>
      <c r="I59" s="186">
        <f>-'Parts GP Calc'!I19</f>
        <v>-63581.279261788419</v>
      </c>
      <c r="J59" s="186">
        <f>-'Parts GP Calc'!J19</f>
        <v>-64217.092054406305</v>
      </c>
      <c r="K59" s="186">
        <f>-'Parts GP Calc'!K19</f>
        <v>-64859.262974950361</v>
      </c>
      <c r="L59" s="186">
        <f>-'Parts GP Calc'!L19</f>
        <v>-41548.317103318805</v>
      </c>
      <c r="M59" s="186">
        <f>-'Parts GP Calc'!M19</f>
        <v>-41220.28541786538</v>
      </c>
      <c r="N59" s="186">
        <f>-'Parts GP Calc'!N19</f>
        <v>-58981.444687270217</v>
      </c>
      <c r="O59" s="186">
        <f>-'Parts GP Calc'!O19</f>
        <v>-47658.824098187608</v>
      </c>
      <c r="P59" s="186">
        <f>-'Parts GP Calc'!P19</f>
        <v>-53770.173369770964</v>
      </c>
      <c r="Q59" s="186">
        <f>-'Parts GP Calc'!Q19</f>
        <v>-52712.484385477022</v>
      </c>
      <c r="R59" s="186">
        <f>-'Parts GP Calc'!R19</f>
        <v>-57766.14467276643</v>
      </c>
      <c r="S59" s="186">
        <f>-'Parts GP Calc'!S19</f>
        <v>-67733.085794920538</v>
      </c>
      <c r="T59" s="186">
        <f>-'Parts GP Calc'!T19</f>
        <v>-62047.717971719954</v>
      </c>
      <c r="U59" s="186">
        <f>-'Parts GP Calc'!U19</f>
        <v>-54467.22754078584</v>
      </c>
      <c r="V59" s="186">
        <f>-'Parts GP Calc'!V19</f>
        <v>-51764.923081610264</v>
      </c>
      <c r="W59" s="186">
        <f>-'Parts GP Calc'!W19</f>
        <v>-47904.488139930851</v>
      </c>
      <c r="X59" s="186">
        <f>-'Parts GP Calc'!X19</f>
        <v>-47904.488139930851</v>
      </c>
      <c r="Y59" s="186">
        <f>-'Parts GP Calc'!Y19</f>
        <v>-47904.488139930851</v>
      </c>
      <c r="Z59" s="186">
        <f>-'Parts GP Calc'!Z19</f>
        <v>-62644.330644524955</v>
      </c>
      <c r="AA59" s="184" t="s">
        <v>98</v>
      </c>
      <c r="AB59" s="184" t="s">
        <v>103</v>
      </c>
      <c r="AC59" s="184" t="str">
        <f t="shared" si="25"/>
        <v/>
      </c>
      <c r="AE59" s="184" t="str">
        <f t="shared" si="26"/>
        <v>230-3500</v>
      </c>
    </row>
    <row r="60" spans="1:31" x14ac:dyDescent="0.2">
      <c r="A60" s="184">
        <v>230</v>
      </c>
      <c r="B60" s="187">
        <v>3505</v>
      </c>
      <c r="C60" s="186"/>
      <c r="D60" s="186"/>
      <c r="E60" s="186"/>
      <c r="F60" s="186"/>
      <c r="G60" s="186">
        <f>-'Parts GP Calc'!G20</f>
        <v>-14791.154800285234</v>
      </c>
      <c r="H60" s="186">
        <f>-'Parts GP Calc'!H20</f>
        <v>-14939.066348288086</v>
      </c>
      <c r="I60" s="186">
        <f>-'Parts GP Calc'!I20</f>
        <v>-15088.457011770968</v>
      </c>
      <c r="J60" s="186">
        <f>-'Parts GP Calc'!J20</f>
        <v>-15239.341581888677</v>
      </c>
      <c r="K60" s="186">
        <f>-'Parts GP Calc'!K20</f>
        <v>-15391.734997707563</v>
      </c>
      <c r="L60" s="186">
        <f>-'Parts GP Calc'!L20</f>
        <v>-9859.8204346230195</v>
      </c>
      <c r="M60" s="186">
        <f>-'Parts GP Calc'!M20</f>
        <v>-9781.9753198041763</v>
      </c>
      <c r="N60" s="186">
        <f>-'Parts GP Calc'!N20</f>
        <v>-13996.871453180504</v>
      </c>
      <c r="O60" s="186">
        <f>-'Parts GP Calc'!O20</f>
        <v>-11309.903276344226</v>
      </c>
      <c r="P60" s="186">
        <f>-'Parts GP Calc'!P20</f>
        <v>-12760.185998535708</v>
      </c>
      <c r="Q60" s="186">
        <f>-'Parts GP Calc'!Q20</f>
        <v>-12509.186097988975</v>
      </c>
      <c r="R60" s="186">
        <f>-'Parts GP Calc'!R20</f>
        <v>-13708.468919633724</v>
      </c>
      <c r="S60" s="186">
        <f>-'Parts GP Calc'!S20</f>
        <v>-16073.721151210868</v>
      </c>
      <c r="T60" s="186">
        <f>-'Parts GP Calc'!T20</f>
        <v>-14724.527976860525</v>
      </c>
      <c r="U60" s="186">
        <f>-'Parts GP Calc'!U20</f>
        <v>-12925.603744393402</v>
      </c>
      <c r="V60" s="186">
        <f>-'Parts GP Calc'!V20</f>
        <v>-12284.320568930585</v>
      </c>
      <c r="W60" s="186">
        <f>-'Parts GP Calc'!W20</f>
        <v>-11368.201746840847</v>
      </c>
      <c r="X60" s="186">
        <f>-'Parts GP Calc'!X20</f>
        <v>-11368.201746840847</v>
      </c>
      <c r="Y60" s="186">
        <f>-'Parts GP Calc'!Y20</f>
        <v>-11368.201746840847</v>
      </c>
      <c r="Z60" s="186">
        <f>-'Parts GP Calc'!Z20</f>
        <v>-14866.109976638028</v>
      </c>
      <c r="AA60" s="184" t="s">
        <v>98</v>
      </c>
      <c r="AB60" s="184" t="s">
        <v>104</v>
      </c>
      <c r="AC60" s="184" t="str">
        <f t="shared" si="25"/>
        <v/>
      </c>
      <c r="AE60" s="184" t="str">
        <f t="shared" si="26"/>
        <v>230-3505</v>
      </c>
    </row>
    <row r="61" spans="1:31" x14ac:dyDescent="0.2">
      <c r="A61" s="184">
        <v>230</v>
      </c>
      <c r="B61" s="187">
        <v>4465</v>
      </c>
      <c r="C61" s="186"/>
      <c r="D61" s="186"/>
      <c r="E61" s="186"/>
      <c r="F61" s="186"/>
      <c r="G61" s="186">
        <f>-G56*0.83</f>
        <v>116080.964714948</v>
      </c>
      <c r="H61" s="186">
        <f t="shared" ref="H61" si="29">-H56*0.83</f>
        <v>117241.77436209748</v>
      </c>
      <c r="I61" s="186">
        <f>-'Parts GP Calc'!I42</f>
        <v>115154.09075225778</v>
      </c>
      <c r="J61" s="186">
        <f>-'Parts GP Calc'!J42</f>
        <v>116305.63165978037</v>
      </c>
      <c r="K61" s="186">
        <f>-'Parts GP Calc'!K42</f>
        <v>117468.68797637816</v>
      </c>
      <c r="L61" s="186">
        <f>-'Parts GP Calc'!L42</f>
        <v>74342.867157412489</v>
      </c>
      <c r="M61" s="186">
        <f>-'Parts GP Calc'!M42</f>
        <v>73755.916404282252</v>
      </c>
      <c r="N61" s="186">
        <f>-'Parts GP Calc'!N42</f>
        <v>97683.869560070001</v>
      </c>
      <c r="O61" s="186">
        <f>-'Parts GP Calc'!O42</f>
        <v>87281.330826461533</v>
      </c>
      <c r="P61" s="186">
        <f>-'Parts GP Calc'!P42</f>
        <v>97267.55153427842</v>
      </c>
      <c r="Q61" s="186">
        <f>-'Parts GP Calc'!Q42</f>
        <v>94319.036182904048</v>
      </c>
      <c r="R61" s="186">
        <f>-'Parts GP Calc'!R42</f>
        <v>103361.6068955127</v>
      </c>
      <c r="S61" s="186">
        <f>-'Parts GP Calc'!S42</f>
        <v>121195.56580093531</v>
      </c>
      <c r="T61" s="186">
        <f>-'Parts GP Calc'!T42</f>
        <v>111022.67374925058</v>
      </c>
      <c r="U61" s="186">
        <f>-'Parts GP Calc'!U42</f>
        <v>97458.817680337626</v>
      </c>
      <c r="V61" s="186">
        <f>-'Parts GP Calc'!V42</f>
        <v>92623.554174289937</v>
      </c>
      <c r="W61" s="186">
        <f>-'Parts GP Calc'!W42</f>
        <v>85716.034879936109</v>
      </c>
      <c r="X61" s="186">
        <f>-'Parts GP Calc'!X42</f>
        <v>85716.034879936109</v>
      </c>
      <c r="Y61" s="186">
        <f>-'Parts GP Calc'!Y42</f>
        <v>85716.034879936109</v>
      </c>
      <c r="Z61" s="186">
        <f>-'Parts GP Calc'!Z42</f>
        <v>112090.19945837799</v>
      </c>
      <c r="AA61" s="184" t="s">
        <v>98</v>
      </c>
      <c r="AB61" s="184" t="s">
        <v>105</v>
      </c>
      <c r="AC61" s="184" t="str">
        <f t="shared" si="25"/>
        <v/>
      </c>
      <c r="AE61" s="184" t="str">
        <f t="shared" si="26"/>
        <v>230-4465</v>
      </c>
    </row>
    <row r="62" spans="1:31" x14ac:dyDescent="0.2">
      <c r="A62" s="184">
        <v>230</v>
      </c>
      <c r="B62" s="187">
        <v>4466</v>
      </c>
      <c r="C62" s="186"/>
      <c r="D62" s="186"/>
      <c r="E62" s="186"/>
      <c r="F62" s="186"/>
      <c r="G62" s="186">
        <f t="shared" ref="G62:H65" si="30">-G57*0.83</f>
        <v>149329.43536116809</v>
      </c>
      <c r="H62" s="186">
        <f t="shared" si="30"/>
        <v>150822.72971477977</v>
      </c>
      <c r="I62" s="186">
        <f>-'Parts GP Calc'!I43</f>
        <v>156092.23524159766</v>
      </c>
      <c r="J62" s="186">
        <f>-'Parts GP Calc'!J43</f>
        <v>157653.15759401367</v>
      </c>
      <c r="K62" s="186">
        <f>-'Parts GP Calc'!K43</f>
        <v>159229.68916995381</v>
      </c>
      <c r="L62" s="186">
        <f>-'Parts GP Calc'!L43</f>
        <v>100772.31501775507</v>
      </c>
      <c r="M62" s="186">
        <f>-'Parts GP Calc'!M43</f>
        <v>99976.698861747675</v>
      </c>
      <c r="N62" s="186">
        <f>-'Parts GP Calc'!N43</f>
        <v>132411.21915055401</v>
      </c>
      <c r="O62" s="186">
        <f>-'Parts GP Calc'!O43</f>
        <v>118310.49973616874</v>
      </c>
      <c r="P62" s="186">
        <f>-'Parts GP Calc'!P43</f>
        <v>131846.89693852782</v>
      </c>
      <c r="Q62" s="186">
        <f>-'Parts GP Calc'!Q43</f>
        <v>127850.16222564342</v>
      </c>
      <c r="R62" s="186">
        <f>-'Parts GP Calc'!R43</f>
        <v>140107.43476924705</v>
      </c>
      <c r="S62" s="186">
        <f>-'Parts GP Calc'!S43</f>
        <v>164281.50006357644</v>
      </c>
      <c r="T62" s="186">
        <f>-'Parts GP Calc'!T43</f>
        <v>150492.06845202236</v>
      </c>
      <c r="U62" s="186">
        <f>-'Parts GP Calc'!U43</f>
        <v>132106.15963661694</v>
      </c>
      <c r="V62" s="186">
        <f>-'Parts GP Calc'!V43</f>
        <v>125551.92362371775</v>
      </c>
      <c r="W62" s="186">
        <f>-'Parts GP Calc'!W43</f>
        <v>116188.7293195761</v>
      </c>
      <c r="X62" s="186">
        <f>-'Parts GP Calc'!X43</f>
        <v>116188.7293195761</v>
      </c>
      <c r="Y62" s="186">
        <f>-'Parts GP Calc'!Y43</f>
        <v>116188.7293195761</v>
      </c>
      <c r="Z62" s="186">
        <f>-'Parts GP Calc'!Z43</f>
        <v>151939.10757175335</v>
      </c>
      <c r="AA62" s="184" t="s">
        <v>98</v>
      </c>
      <c r="AB62" s="184" t="s">
        <v>106</v>
      </c>
      <c r="AC62" s="184" t="str">
        <f t="shared" si="25"/>
        <v/>
      </c>
      <c r="AE62" s="184" t="str">
        <f t="shared" si="26"/>
        <v>230-4466</v>
      </c>
    </row>
    <row r="63" spans="1:31" x14ac:dyDescent="0.2">
      <c r="A63" s="184">
        <v>230</v>
      </c>
      <c r="B63" s="187">
        <v>4475</v>
      </c>
      <c r="C63" s="186"/>
      <c r="D63" s="186"/>
      <c r="E63" s="186"/>
      <c r="F63" s="186"/>
      <c r="G63" s="186">
        <f t="shared" si="30"/>
        <v>44887.3536051353</v>
      </c>
      <c r="H63" s="186">
        <f t="shared" si="30"/>
        <v>45336.227141186646</v>
      </c>
      <c r="I63" s="186">
        <f>-'Parts GP Calc'!I44</f>
        <v>38780.872948388722</v>
      </c>
      <c r="J63" s="186">
        <f>-'Parts GP Calc'!J44</f>
        <v>39168.681677872613</v>
      </c>
      <c r="K63" s="186">
        <f>-'Parts GP Calc'!K44</f>
        <v>39560.368494651339</v>
      </c>
      <c r="L63" s="186">
        <f>-'Parts GP Calc'!L44</f>
        <v>25036.724852903473</v>
      </c>
      <c r="M63" s="186">
        <f>-'Parts GP Calc'!M44</f>
        <v>24839.055257013253</v>
      </c>
      <c r="N63" s="186">
        <f>-'Parts GP Calc'!N44</f>
        <v>32897.361350940773</v>
      </c>
      <c r="O63" s="186">
        <f>-'Parts GP Calc'!O44</f>
        <v>29394.059554770298</v>
      </c>
      <c r="P63" s="186">
        <f>-'Parts GP Calc'!P44</f>
        <v>32757.15637551283</v>
      </c>
      <c r="Q63" s="186">
        <f>-'Parts GP Calc'!Q44</f>
        <v>31764.173855473426</v>
      </c>
      <c r="R63" s="186">
        <f>-'Parts GP Calc'!R44</f>
        <v>34809.474145212553</v>
      </c>
      <c r="S63" s="186">
        <f>-'Parts GP Calc'!S44</f>
        <v>40815.483049975846</v>
      </c>
      <c r="T63" s="186">
        <f>-'Parts GP Calc'!T44</f>
        <v>37389.520224019325</v>
      </c>
      <c r="U63" s="186">
        <f>-'Parts GP Calc'!U44</f>
        <v>32821.569789410627</v>
      </c>
      <c r="V63" s="186">
        <f>-'Parts GP Calc'!V44</f>
        <v>31193.180051147341</v>
      </c>
      <c r="W63" s="186">
        <f>-'Parts GP Calc'!W44</f>
        <v>28866.908996485508</v>
      </c>
      <c r="X63" s="186">
        <f>-'Parts GP Calc'!X44</f>
        <v>28866.908996485508</v>
      </c>
      <c r="Y63" s="186">
        <f>-'Parts GP Calc'!Y44</f>
        <v>28866.908996485508</v>
      </c>
      <c r="Z63" s="186">
        <f>-'Parts GP Calc'!Z44</f>
        <v>37749.034841557965</v>
      </c>
      <c r="AA63" s="184" t="s">
        <v>98</v>
      </c>
      <c r="AB63" s="184" t="s">
        <v>107</v>
      </c>
      <c r="AC63" s="184" t="str">
        <f t="shared" si="25"/>
        <v/>
      </c>
      <c r="AE63" s="184" t="str">
        <f t="shared" si="26"/>
        <v>230-4475</v>
      </c>
    </row>
    <row r="64" spans="1:31" x14ac:dyDescent="0.2">
      <c r="A64" s="184">
        <v>230</v>
      </c>
      <c r="B64" s="187">
        <v>4500</v>
      </c>
      <c r="C64" s="186"/>
      <c r="D64" s="186"/>
      <c r="E64" s="186"/>
      <c r="F64" s="186"/>
      <c r="G64" s="186">
        <f t="shared" si="30"/>
        <v>51732.635807552579</v>
      </c>
      <c r="H64" s="186">
        <f t="shared" si="30"/>
        <v>52249.962165628102</v>
      </c>
      <c r="I64" s="186">
        <f>-'Parts GP Calc'!I45</f>
        <v>58974.001435152961</v>
      </c>
      <c r="J64" s="186">
        <f>-'Parts GP Calc'!J45</f>
        <v>59563.741449504494</v>
      </c>
      <c r="K64" s="186">
        <f>-'Parts GP Calc'!K45</f>
        <v>60159.37886399954</v>
      </c>
      <c r="L64" s="186">
        <f>-'Parts GP Calc'!L45</f>
        <v>38073.300963897098</v>
      </c>
      <c r="M64" s="186">
        <f>-'Parts GP Calc'!M45</f>
        <v>37772.705176710202</v>
      </c>
      <c r="N64" s="186">
        <f>-'Parts GP Calc'!N45</f>
        <v>50026.956280872837</v>
      </c>
      <c r="O64" s="186">
        <f>-'Parts GP Calc'!O45</f>
        <v>44699.491748805987</v>
      </c>
      <c r="P64" s="186">
        <f>-'Parts GP Calc'!P45</f>
        <v>49813.746835249811</v>
      </c>
      <c r="Q64" s="186">
        <f>-'Parts GP Calc'!Q45</f>
        <v>48303.720162053978</v>
      </c>
      <c r="R64" s="186">
        <f>-'Parts GP Calc'!R45</f>
        <v>52934.702654288179</v>
      </c>
      <c r="S64" s="186">
        <f>-'Parts GP Calc'!S45</f>
        <v>62068.029236194532</v>
      </c>
      <c r="T64" s="186">
        <f>-'Parts GP Calc'!T45</f>
        <v>56858.173932431055</v>
      </c>
      <c r="U64" s="186">
        <f>-'Parts GP Calc'!U45</f>
        <v>49911.700194079749</v>
      </c>
      <c r="V64" s="186">
        <f>-'Parts GP Calc'!V45</f>
        <v>47435.410944760064</v>
      </c>
      <c r="W64" s="186">
        <f>-'Parts GP Calc'!W45</f>
        <v>43897.85487430339</v>
      </c>
      <c r="X64" s="186">
        <f>-'Parts GP Calc'!X45</f>
        <v>43897.85487430339</v>
      </c>
      <c r="Y64" s="186">
        <f>-'Parts GP Calc'!Y45</f>
        <v>43897.85487430339</v>
      </c>
      <c r="Z64" s="186">
        <f>-'Parts GP Calc'!Z45</f>
        <v>57404.887143319807</v>
      </c>
      <c r="AA64" s="184" t="s">
        <v>98</v>
      </c>
      <c r="AB64" s="184" t="s">
        <v>108</v>
      </c>
      <c r="AC64" s="184" t="str">
        <f t="shared" si="25"/>
        <v/>
      </c>
      <c r="AE64" s="184" t="str">
        <f t="shared" si="26"/>
        <v>230-4500</v>
      </c>
    </row>
    <row r="65" spans="1:31" x14ac:dyDescent="0.2">
      <c r="A65" s="184">
        <v>230</v>
      </c>
      <c r="B65" s="187">
        <v>4505</v>
      </c>
      <c r="C65" s="186"/>
      <c r="D65" s="186"/>
      <c r="E65" s="186"/>
      <c r="F65" s="186"/>
      <c r="G65" s="186">
        <f t="shared" si="30"/>
        <v>12276.658484236743</v>
      </c>
      <c r="H65" s="186">
        <f t="shared" si="30"/>
        <v>12399.42506907911</v>
      </c>
      <c r="I65" s="186">
        <f>-'Parts GP Calc'!I46</f>
        <v>12829.419259901775</v>
      </c>
      <c r="J65" s="186">
        <f>-'Parts GP Calc'!J46</f>
        <v>12957.713452500795</v>
      </c>
      <c r="K65" s="186">
        <f>-'Parts GP Calc'!K46</f>
        <v>13087.290587025802</v>
      </c>
      <c r="L65" s="186">
        <f>-'Parts GP Calc'!L46</f>
        <v>8282.6046865983935</v>
      </c>
      <c r="M65" s="186">
        <f>-'Parts GP Calc'!M46</f>
        <v>8217.2119832421267</v>
      </c>
      <c r="N65" s="186">
        <f>-'Parts GP Calc'!N46</f>
        <v>10883.046440893577</v>
      </c>
      <c r="O65" s="186">
        <f>-'Parts GP Calc'!O46</f>
        <v>9724.0903854986082</v>
      </c>
      <c r="P65" s="186">
        <f>-'Parts GP Calc'!P46</f>
        <v>10836.664080845025</v>
      </c>
      <c r="Q65" s="186">
        <f>-'Parts GP Calc'!Q46</f>
        <v>10508.167373607581</v>
      </c>
      <c r="R65" s="186">
        <f>-'Parts GP Calc'!R46</f>
        <v>11515.608187055977</v>
      </c>
      <c r="S65" s="186">
        <f>-'Parts GP Calc'!S46</f>
        <v>13502.50534691254</v>
      </c>
      <c r="T65" s="186">
        <f>-'Parts GP Calc'!T46</f>
        <v>12369.134431783094</v>
      </c>
      <c r="U65" s="186">
        <f>-'Parts GP Calc'!U46</f>
        <v>10857.973211610499</v>
      </c>
      <c r="V65" s="186">
        <f>-'Parts GP Calc'!V46</f>
        <v>10319.272221086008</v>
      </c>
      <c r="W65" s="186">
        <f>-'Parts GP Calc'!W46</f>
        <v>9549.6993774795937</v>
      </c>
      <c r="X65" s="186">
        <f>-'Parts GP Calc'!X46</f>
        <v>9549.6993774795937</v>
      </c>
      <c r="Y65" s="186">
        <f>-'Parts GP Calc'!Y46</f>
        <v>9549.6993774795937</v>
      </c>
      <c r="Z65" s="186">
        <f>-'Parts GP Calc'!Z46</f>
        <v>12488.068416704084</v>
      </c>
      <c r="AA65" s="184" t="s">
        <v>98</v>
      </c>
      <c r="AB65" s="184" t="s">
        <v>109</v>
      </c>
      <c r="AC65" s="184" t="str">
        <f t="shared" si="25"/>
        <v/>
      </c>
      <c r="AE65" s="184" t="str">
        <f t="shared" si="26"/>
        <v>230-4505</v>
      </c>
    </row>
    <row r="66" spans="1:31" x14ac:dyDescent="0.2">
      <c r="A66" s="184">
        <v>330</v>
      </c>
      <c r="B66" s="187">
        <v>3465</v>
      </c>
      <c r="C66" s="186"/>
      <c r="D66" s="186"/>
      <c r="E66" s="186"/>
      <c r="F66" s="186"/>
      <c r="G66" s="186">
        <f>-'Parts GP Calc'!G22</f>
        <v>-28811.941586471905</v>
      </c>
      <c r="H66" s="186">
        <f>-'Parts GP Calc'!H22</f>
        <v>-29100.061002336624</v>
      </c>
      <c r="I66" s="186">
        <f>-'Parts GP Calc'!I22</f>
        <v>-29391.061612359994</v>
      </c>
      <c r="J66" s="186">
        <f>-'Parts GP Calc'!J22</f>
        <v>-29684.972228483595</v>
      </c>
      <c r="K66" s="186">
        <f>-'Parts GP Calc'!K22</f>
        <v>-29981.82195076843</v>
      </c>
      <c r="L66" s="186">
        <f>-'Parts GP Calc'!L22</f>
        <v>-19206.111642478536</v>
      </c>
      <c r="M66" s="186">
        <f>-'Parts GP Calc'!M22</f>
        <v>-19054.47582152766</v>
      </c>
      <c r="N66" s="186">
        <f>-'Parts GP Calc'!N22</f>
        <v>-27264.743567866382</v>
      </c>
      <c r="O66" s="186">
        <f>-'Parts GP Calc'!O22</f>
        <v>-22030.752631998224</v>
      </c>
      <c r="P66" s="186">
        <f>-'Parts GP Calc'!P22</f>
        <v>-24855.782972079895</v>
      </c>
      <c r="Q66" s="186">
        <f>-'Parts GP Calc'!Q22</f>
        <v>-24366.856003874327</v>
      </c>
      <c r="R66" s="186">
        <f>-'Parts GP Calc'!R22</f>
        <v>-26702.959375750426</v>
      </c>
      <c r="S66" s="186">
        <f>-'Parts GP Calc'!S22</f>
        <v>-31310.274359172738</v>
      </c>
      <c r="T66" s="186">
        <f>-'Parts GP Calc'!T22</f>
        <v>-28682.158065812124</v>
      </c>
      <c r="U66" s="186">
        <f>-'Parts GP Calc'!U22</f>
        <v>-25178.003007997973</v>
      </c>
      <c r="V66" s="186">
        <f>-'Parts GP Calc'!V22</f>
        <v>-23928.836621647559</v>
      </c>
      <c r="W66" s="186">
        <f>-'Parts GP Calc'!W22</f>
        <v>-22144.313212575536</v>
      </c>
      <c r="X66" s="186">
        <f>-'Parts GP Calc'!X22</f>
        <v>-22144.313212575536</v>
      </c>
      <c r="Y66" s="186">
        <f>-'Parts GP Calc'!Y22</f>
        <v>-22144.313212575536</v>
      </c>
      <c r="Z66" s="186">
        <f>-'Parts GP Calc'!Z22</f>
        <v>-28957.948047214166</v>
      </c>
      <c r="AA66" s="184" t="s">
        <v>98</v>
      </c>
      <c r="AB66" s="184" t="s">
        <v>100</v>
      </c>
      <c r="AC66" s="184" t="str">
        <f t="shared" ref="AC66:AC97" si="31">+IF(RIGHT(B66,1)="#","#","")</f>
        <v/>
      </c>
      <c r="AE66" s="184" t="str">
        <f t="shared" ref="AE66:AE97" si="32">+A66&amp;"-"&amp;B66</f>
        <v>330-3465</v>
      </c>
    </row>
    <row r="67" spans="1:31" x14ac:dyDescent="0.2">
      <c r="A67" s="184">
        <v>330</v>
      </c>
      <c r="B67" s="187">
        <v>3466</v>
      </c>
      <c r="C67" s="186"/>
      <c r="D67" s="186"/>
      <c r="E67" s="186"/>
      <c r="F67" s="186"/>
      <c r="G67" s="186">
        <f>-'Parts GP Calc'!G23</f>
        <v>-63149.758061596207</v>
      </c>
      <c r="H67" s="186">
        <f>-'Parts GP Calc'!H23</f>
        <v>-63781.255642212171</v>
      </c>
      <c r="I67" s="186">
        <f>-'Parts GP Calc'!I23</f>
        <v>-64419.06819863429</v>
      </c>
      <c r="J67" s="186">
        <f>-'Parts GP Calc'!J23</f>
        <v>-65063.25888062064</v>
      </c>
      <c r="K67" s="186">
        <f>-'Parts GP Calc'!K23</f>
        <v>-65713.891469426846</v>
      </c>
      <c r="L67" s="186">
        <f>-'Parts GP Calc'!L23</f>
        <v>-42095.785175963334</v>
      </c>
      <c r="M67" s="186">
        <f>-'Parts GP Calc'!M23</f>
        <v>-41763.431128327218</v>
      </c>
      <c r="N67" s="186">
        <f>-'Parts GP Calc'!N23</f>
        <v>-59758.623165147736</v>
      </c>
      <c r="O67" s="186">
        <f>-'Parts GP Calc'!O23</f>
        <v>-48286.80824754935</v>
      </c>
      <c r="P67" s="186">
        <f>-'Parts GP Calc'!P23</f>
        <v>-54478.684694244308</v>
      </c>
      <c r="Q67" s="186">
        <f>-'Parts GP Calc'!Q23</f>
        <v>-53407.058901192286</v>
      </c>
      <c r="R67" s="186">
        <f>-'Parts GP Calc'!R23</f>
        <v>-58527.309554835221</v>
      </c>
      <c r="S67" s="186">
        <f>-'Parts GP Calc'!S23</f>
        <v>-68625.581677297683</v>
      </c>
      <c r="T67" s="186">
        <f>-'Parts GP Calc'!T23</f>
        <v>-62865.299691949374</v>
      </c>
      <c r="U67" s="186">
        <f>-'Parts GP Calc'!U23</f>
        <v>-55184.923711484975</v>
      </c>
      <c r="V67" s="186">
        <f>-'Parts GP Calc'!V23</f>
        <v>-52447.011903634237</v>
      </c>
      <c r="W67" s="186">
        <f>-'Parts GP Calc'!W23</f>
        <v>-48535.709320990325</v>
      </c>
      <c r="X67" s="186">
        <f>-'Parts GP Calc'!X23</f>
        <v>-48535.709320990325</v>
      </c>
      <c r="Y67" s="186">
        <f>-'Parts GP Calc'!Y23</f>
        <v>-48535.709320990325</v>
      </c>
      <c r="Z67" s="186">
        <f>-'Parts GP Calc'!Z23</f>
        <v>-63469.773727448897</v>
      </c>
      <c r="AA67" s="184" t="s">
        <v>98</v>
      </c>
      <c r="AB67" s="184" t="s">
        <v>101</v>
      </c>
      <c r="AC67" s="184" t="str">
        <f t="shared" si="31"/>
        <v/>
      </c>
      <c r="AE67" s="184" t="str">
        <f t="shared" si="32"/>
        <v>330-3466</v>
      </c>
    </row>
    <row r="68" spans="1:31" x14ac:dyDescent="0.2">
      <c r="A68" s="184">
        <v>330</v>
      </c>
      <c r="B68" s="187">
        <v>3475</v>
      </c>
      <c r="C68" s="186"/>
      <c r="D68" s="186"/>
      <c r="E68" s="186"/>
      <c r="F68" s="186"/>
      <c r="G68" s="186">
        <f>-'Parts GP Calc'!G24</f>
        <v>-49667.093161498415</v>
      </c>
      <c r="H68" s="186">
        <f>-'Parts GP Calc'!H24</f>
        <v>-50163.764093113401</v>
      </c>
      <c r="I68" s="186">
        <f>-'Parts GP Calc'!I24</f>
        <v>-50665.401734044535</v>
      </c>
      <c r="J68" s="186">
        <f>-'Parts GP Calc'!J24</f>
        <v>-51172.055751384985</v>
      </c>
      <c r="K68" s="186">
        <f>-'Parts GP Calc'!K24</f>
        <v>-51683.776308898836</v>
      </c>
      <c r="L68" s="186">
        <f>-'Parts GP Calc'!L24</f>
        <v>-33108.207350559525</v>
      </c>
      <c r="M68" s="186">
        <f>-'Parts GP Calc'!M24</f>
        <v>-32846.811900232649</v>
      </c>
      <c r="N68" s="186">
        <f>-'Parts GP Calc'!N24</f>
        <v>-46999.975851867071</v>
      </c>
      <c r="O68" s="186">
        <f>-'Parts GP Calc'!O24</f>
        <v>-37977.428216956556</v>
      </c>
      <c r="P68" s="186">
        <f>-'Parts GP Calc'!P24</f>
        <v>-42847.320260288208</v>
      </c>
      <c r="Q68" s="186">
        <f>-'Parts GP Calc'!Q24</f>
        <v>-42004.489824645621</v>
      </c>
      <c r="R68" s="186">
        <f>-'Parts GP Calc'!R24</f>
        <v>-46031.55143233468</v>
      </c>
      <c r="S68" s="186">
        <f>-'Parts GP Calc'!S24</f>
        <v>-53973.811825277</v>
      </c>
      <c r="T68" s="186">
        <f>-'Parts GP Calc'!T24</f>
        <v>-49443.3675166268</v>
      </c>
      <c r="U68" s="186">
        <f>-'Parts GP Calc'!U24</f>
        <v>-43402.775105093213</v>
      </c>
      <c r="V68" s="186">
        <f>-'Parts GP Calc'!V24</f>
        <v>-41249.415773203917</v>
      </c>
      <c r="W68" s="186">
        <f>-'Parts GP Calc'!W24</f>
        <v>-38173.188156219221</v>
      </c>
      <c r="X68" s="186">
        <f>-'Parts GP Calc'!X24</f>
        <v>-38173.188156219221</v>
      </c>
      <c r="Y68" s="186">
        <f>-'Parts GP Calc'!Y24</f>
        <v>-38173.188156219221</v>
      </c>
      <c r="Z68" s="186">
        <f>-'Parts GP Calc'!Z24</f>
        <v>-49918.784511978985</v>
      </c>
      <c r="AA68" s="184" t="s">
        <v>98</v>
      </c>
      <c r="AB68" s="184" t="s">
        <v>102</v>
      </c>
      <c r="AC68" s="184" t="str">
        <f t="shared" si="31"/>
        <v/>
      </c>
      <c r="AE68" s="184" t="str">
        <f t="shared" si="32"/>
        <v>330-3475</v>
      </c>
    </row>
    <row r="69" spans="1:31" x14ac:dyDescent="0.2">
      <c r="A69" s="184">
        <v>330</v>
      </c>
      <c r="B69" s="187">
        <v>3500</v>
      </c>
      <c r="C69" s="186"/>
      <c r="D69" s="186"/>
      <c r="E69" s="186"/>
      <c r="F69" s="186"/>
      <c r="G69" s="186">
        <f>-'Parts GP Calc'!G25</f>
        <v>-26347.151434102598</v>
      </c>
      <c r="H69" s="186">
        <f>-'Parts GP Calc'!H25</f>
        <v>-26610.622948443626</v>
      </c>
      <c r="I69" s="186">
        <f>-'Parts GP Calc'!I25</f>
        <v>-26876.729177928064</v>
      </c>
      <c r="J69" s="186">
        <f>-'Parts GP Calc'!J25</f>
        <v>-27145.496469707348</v>
      </c>
      <c r="K69" s="186">
        <f>-'Parts GP Calc'!K25</f>
        <v>-27416.951434404418</v>
      </c>
      <c r="L69" s="186">
        <f>-'Parts GP Calc'!L25</f>
        <v>-17563.076420447069</v>
      </c>
      <c r="M69" s="186">
        <f>-'Parts GP Calc'!M25</f>
        <v>-17424.412667938872</v>
      </c>
      <c r="N69" s="186">
        <f>-'Parts GP Calc'!N25</f>
        <v>-24932.312369112849</v>
      </c>
      <c r="O69" s="186">
        <f>-'Parts GP Calc'!O25</f>
        <v>-20146.076378103226</v>
      </c>
      <c r="P69" s="186">
        <f>-'Parts GP Calc'!P25</f>
        <v>-22729.432378346337</v>
      </c>
      <c r="Q69" s="186">
        <f>-'Parts GP Calc'!Q25</f>
        <v>-22282.331899787223</v>
      </c>
      <c r="R69" s="186">
        <f>-'Parts GP Calc'!R25</f>
        <v>-24418.587421471217</v>
      </c>
      <c r="S69" s="186">
        <f>-'Parts GP Calc'!S25</f>
        <v>-28631.758033681319</v>
      </c>
      <c r="T69" s="186">
        <f>-'Parts GP Calc'!T25</f>
        <v>-26228.470571786824</v>
      </c>
      <c r="U69" s="186">
        <f>-'Parts GP Calc'!U25</f>
        <v>-23024.087289260831</v>
      </c>
      <c r="V69" s="186">
        <f>-'Parts GP Calc'!V25</f>
        <v>-21881.783989471471</v>
      </c>
      <c r="W69" s="186">
        <f>-'Parts GP Calc'!W25</f>
        <v>-20249.92213262953</v>
      </c>
      <c r="X69" s="186">
        <f>-'Parts GP Calc'!X25</f>
        <v>-20249.92213262953</v>
      </c>
      <c r="Y69" s="186">
        <f>-'Parts GP Calc'!Y25</f>
        <v>-20249.92213262953</v>
      </c>
      <c r="Z69" s="186">
        <f>-'Parts GP Calc'!Z25</f>
        <v>-26480.667404207852</v>
      </c>
      <c r="AA69" s="184" t="s">
        <v>98</v>
      </c>
      <c r="AB69" s="184" t="s">
        <v>103</v>
      </c>
      <c r="AC69" s="184" t="str">
        <f t="shared" si="31"/>
        <v/>
      </c>
      <c r="AE69" s="184" t="str">
        <f t="shared" si="32"/>
        <v>330-3500</v>
      </c>
    </row>
    <row r="70" spans="1:31" x14ac:dyDescent="0.2">
      <c r="A70" s="184">
        <v>330</v>
      </c>
      <c r="B70" s="187">
        <v>3505</v>
      </c>
      <c r="C70" s="186"/>
      <c r="D70" s="186"/>
      <c r="E70" s="186"/>
      <c r="F70" s="186"/>
      <c r="G70" s="186">
        <f>-'Parts GP Calc'!G26</f>
        <v>-5621.4799216383162</v>
      </c>
      <c r="H70" s="186">
        <f>-'Parts GP Calc'!H26</f>
        <v>-5677.6947208546999</v>
      </c>
      <c r="I70" s="186">
        <f>-'Parts GP Calc'!I26</f>
        <v>-5734.4716680632464</v>
      </c>
      <c r="J70" s="186">
        <f>-'Parts GP Calc'!J26</f>
        <v>-5791.81638474388</v>
      </c>
      <c r="K70" s="186">
        <f>-'Parts GP Calc'!K26</f>
        <v>-5849.7345485913183</v>
      </c>
      <c r="L70" s="186">
        <f>-'Parts GP Calc'!L26</f>
        <v>-3747.2924428539977</v>
      </c>
      <c r="M70" s="186">
        <f>-'Parts GP Calc'!M26</f>
        <v>-3717.7068725682129</v>
      </c>
      <c r="N70" s="186">
        <f>-'Parts GP Calc'!N26</f>
        <v>-5319.60708289588</v>
      </c>
      <c r="O70" s="186">
        <f>-'Parts GP Calc'!O26</f>
        <v>-4298.406381522992</v>
      </c>
      <c r="P70" s="186">
        <f>-'Parts GP Calc'!P26</f>
        <v>-4849.5962861368735</v>
      </c>
      <c r="Q70" s="186">
        <f>-'Parts GP Calc'!Q26</f>
        <v>-4754.2020508450178</v>
      </c>
      <c r="R70" s="186">
        <f>-'Parts GP Calc'!R26</f>
        <v>-5209.9977201670436</v>
      </c>
      <c r="S70" s="186">
        <f>-'Parts GP Calc'!S26</f>
        <v>-6108.9280679965941</v>
      </c>
      <c r="T70" s="186">
        <f>-'Parts GP Calc'!T26</f>
        <v>-5596.1579400093151</v>
      </c>
      <c r="U70" s="186">
        <f>-'Parts GP Calc'!U26</f>
        <v>-4912.4644360262764</v>
      </c>
      <c r="V70" s="186">
        <f>-'Parts GP Calc'!V26</f>
        <v>-4668.7403628471375</v>
      </c>
      <c r="W70" s="186">
        <f>-'Parts GP Calc'!W26</f>
        <v>-4320.5631154483681</v>
      </c>
      <c r="X70" s="186">
        <f>-'Parts GP Calc'!X26</f>
        <v>-4320.5631154483681</v>
      </c>
      <c r="Y70" s="186">
        <f>-'Parts GP Calc'!Y26</f>
        <v>-4320.5631154483681</v>
      </c>
      <c r="Z70" s="186">
        <f>-'Parts GP Calc'!Z26</f>
        <v>-5649.9671509709433</v>
      </c>
      <c r="AA70" s="184" t="s">
        <v>98</v>
      </c>
      <c r="AB70" s="184" t="s">
        <v>104</v>
      </c>
      <c r="AC70" s="184" t="str">
        <f t="shared" si="31"/>
        <v/>
      </c>
      <c r="AE70" s="184" t="str">
        <f t="shared" si="32"/>
        <v>330-3505</v>
      </c>
    </row>
    <row r="71" spans="1:31" x14ac:dyDescent="0.2">
      <c r="A71" s="184">
        <v>330</v>
      </c>
      <c r="B71" s="187">
        <v>4465</v>
      </c>
      <c r="C71" s="186"/>
      <c r="D71" s="186"/>
      <c r="E71" s="186"/>
      <c r="F71" s="186"/>
      <c r="G71" s="186">
        <f>-G66*0.83</f>
        <v>23913.911516771681</v>
      </c>
      <c r="H71" s="186">
        <f t="shared" ref="H71" si="33">-H66*0.83</f>
        <v>24153.050631939397</v>
      </c>
      <c r="I71" s="186">
        <f>-'Parts GP Calc'!I48</f>
        <v>24924.369077465133</v>
      </c>
      <c r="J71" s="186">
        <f>-'Parts GP Calc'!J48</f>
        <v>25173.612768239793</v>
      </c>
      <c r="K71" s="186">
        <f>-'Parts GP Calc'!K48</f>
        <v>25425.348895922187</v>
      </c>
      <c r="L71" s="186">
        <f>-'Parts GP Calc'!L48</f>
        <v>16091.039816333927</v>
      </c>
      <c r="M71" s="186">
        <f>-'Parts GP Calc'!M48</f>
        <v>15963.998066399157</v>
      </c>
      <c r="N71" s="186">
        <f>-'Parts GP Calc'!N48</f>
        <v>21143.051036442754</v>
      </c>
      <c r="O71" s="186">
        <f>-'Parts GP Calc'!O48</f>
        <v>18891.487821924464</v>
      </c>
      <c r="P71" s="186">
        <f>-'Parts GP Calc'!P48</f>
        <v>21052.9416529146</v>
      </c>
      <c r="Q71" s="186">
        <f>-'Parts GP Calc'!Q48</f>
        <v>20414.75429571222</v>
      </c>
      <c r="R71" s="186">
        <f>-'Parts GP Calc'!R48</f>
        <v>22371.9610990295</v>
      </c>
      <c r="S71" s="186">
        <f>-'Parts GP Calc'!S48</f>
        <v>26232.007850016365</v>
      </c>
      <c r="T71" s="186">
        <f>-'Parts GP Calc'!T48</f>
        <v>24030.150196284427</v>
      </c>
      <c r="U71" s="186">
        <f>-'Parts GP Calc'!U48</f>
        <v>21094.339991308498</v>
      </c>
      <c r="V71" s="186">
        <f>-'Parts GP Calc'!V48</f>
        <v>20047.778020090227</v>
      </c>
      <c r="W71" s="186">
        <f>-'Parts GP Calc'!W48</f>
        <v>18552.689489778415</v>
      </c>
      <c r="X71" s="186">
        <f>-'Parts GP Calc'!X48</f>
        <v>18552.689489778415</v>
      </c>
      <c r="Y71" s="186">
        <f>-'Parts GP Calc'!Y48</f>
        <v>18552.689489778415</v>
      </c>
      <c r="Z71" s="186">
        <f>-'Parts GP Calc'!Z48</f>
        <v>24261.209332787159</v>
      </c>
      <c r="AA71" s="184" t="s">
        <v>98</v>
      </c>
      <c r="AB71" s="184" t="s">
        <v>105</v>
      </c>
      <c r="AC71" s="184" t="str">
        <f t="shared" si="31"/>
        <v/>
      </c>
      <c r="AE71" s="184" t="str">
        <f t="shared" si="32"/>
        <v>330-4465</v>
      </c>
    </row>
    <row r="72" spans="1:31" x14ac:dyDescent="0.2">
      <c r="A72" s="184">
        <v>330</v>
      </c>
      <c r="B72" s="187">
        <v>4466</v>
      </c>
      <c r="C72" s="186"/>
      <c r="D72" s="186"/>
      <c r="E72" s="186"/>
      <c r="F72" s="186"/>
      <c r="G72" s="186">
        <f t="shared" ref="G72:H75" si="34">-G67*0.83</f>
        <v>52414.299191124846</v>
      </c>
      <c r="H72" s="186">
        <f t="shared" si="34"/>
        <v>52938.442183036103</v>
      </c>
      <c r="I72" s="186">
        <f>-'Parts GP Calc'!I49</f>
        <v>55434.566257161125</v>
      </c>
      <c r="J72" s="186">
        <f>-'Parts GP Calc'!J49</f>
        <v>55988.911919732753</v>
      </c>
      <c r="K72" s="186">
        <f>-'Parts GP Calc'!K49</f>
        <v>56548.801038930069</v>
      </c>
      <c r="L72" s="186">
        <f>-'Parts GP Calc'!L49</f>
        <v>35788.2604800482</v>
      </c>
      <c r="M72" s="186">
        <f>-'Parts GP Calc'!M49</f>
        <v>35505.705512165296</v>
      </c>
      <c r="N72" s="186">
        <f>-'Parts GP Calc'!N49</f>
        <v>47024.494779204484</v>
      </c>
      <c r="O72" s="186">
        <f>-'Parts GP Calc'!O49</f>
        <v>42016.768011498687</v>
      </c>
      <c r="P72" s="186">
        <f>-'Parts GP Calc'!P49</f>
        <v>46824.081497886982</v>
      </c>
      <c r="Q72" s="186">
        <f>-'Parts GP Calc'!Q49</f>
        <v>45404.681904366123</v>
      </c>
      <c r="R72" s="186">
        <f>-'Parts GP Calc'!R49</f>
        <v>49757.727306648892</v>
      </c>
      <c r="S72" s="186">
        <f>-'Parts GP Calc'!S49</f>
        <v>58342.90018337324</v>
      </c>
      <c r="T72" s="186">
        <f>-'Parts GP Calc'!T49</f>
        <v>53445.724105805137</v>
      </c>
      <c r="U72" s="186">
        <f>-'Parts GP Calc'!U49</f>
        <v>46916.156002380972</v>
      </c>
      <c r="V72" s="186">
        <f>-'Parts GP Calc'!V49</f>
        <v>44588.485891438104</v>
      </c>
      <c r="W72" s="186">
        <f>-'Parts GP Calc'!W49</f>
        <v>41263.24287580543</v>
      </c>
      <c r="X72" s="186">
        <f>-'Parts GP Calc'!X49</f>
        <v>41263.24287580543</v>
      </c>
      <c r="Y72" s="186">
        <f>-'Parts GP Calc'!Y49</f>
        <v>41263.24287580543</v>
      </c>
      <c r="Z72" s="186">
        <f>-'Parts GP Calc'!Z49</f>
        <v>53959.625299130181</v>
      </c>
      <c r="AA72" s="184" t="s">
        <v>98</v>
      </c>
      <c r="AB72" s="184" t="s">
        <v>106</v>
      </c>
      <c r="AC72" s="184" t="str">
        <f t="shared" si="31"/>
        <v/>
      </c>
      <c r="AE72" s="184" t="str">
        <f t="shared" si="32"/>
        <v>330-4466</v>
      </c>
    </row>
    <row r="73" spans="1:31" x14ac:dyDescent="0.2">
      <c r="A73" s="184">
        <v>330</v>
      </c>
      <c r="B73" s="187">
        <v>4475</v>
      </c>
      <c r="C73" s="186"/>
      <c r="D73" s="186"/>
      <c r="E73" s="186"/>
      <c r="F73" s="186"/>
      <c r="G73" s="186">
        <f t="shared" si="34"/>
        <v>41223.687324043683</v>
      </c>
      <c r="H73" s="186">
        <f t="shared" si="34"/>
        <v>41635.924197284119</v>
      </c>
      <c r="I73" s="186">
        <f>-'Parts GP Calc'!I50</f>
        <v>36925.797467393524</v>
      </c>
      <c r="J73" s="186">
        <f>-'Parts GP Calc'!J50</f>
        <v>37295.055442067467</v>
      </c>
      <c r="K73" s="186">
        <f>-'Parts GP Calc'!K50</f>
        <v>37668.005996488137</v>
      </c>
      <c r="L73" s="186">
        <f>-'Parts GP Calc'!L50</f>
        <v>23839.098010907026</v>
      </c>
      <c r="M73" s="186">
        <f>-'Parts GP Calc'!M50</f>
        <v>23650.883901518158</v>
      </c>
      <c r="N73" s="186">
        <f>-'Parts GP Calc'!N50</f>
        <v>31323.722497767285</v>
      </c>
      <c r="O73" s="186">
        <f>-'Parts GP Calc'!O50</f>
        <v>27988.000458588125</v>
      </c>
      <c r="P73" s="186">
        <f>-'Parts GP Calc'!P50</f>
        <v>31190.224199947555</v>
      </c>
      <c r="Q73" s="186">
        <f>-'Parts GP Calc'!Q50</f>
        <v>30244.740804758527</v>
      </c>
      <c r="R73" s="186">
        <f>-'Parts GP Calc'!R50</f>
        <v>33144.369750088234</v>
      </c>
      <c r="S73" s="186">
        <f>-'Parts GP Calc'!S50</f>
        <v>38863.082392266275</v>
      </c>
      <c r="T73" s="186">
        <f>-'Parts GP Calc'!T50</f>
        <v>35600.999828770357</v>
      </c>
      <c r="U73" s="186">
        <f>-'Parts GP Calc'!U50</f>
        <v>31251.556410775785</v>
      </c>
      <c r="V73" s="186">
        <f>-'Parts GP Calc'!V50</f>
        <v>29701.060377509202</v>
      </c>
      <c r="W73" s="186">
        <f>-'Parts GP Calc'!W50</f>
        <v>27486.066044271232</v>
      </c>
      <c r="X73" s="186">
        <f>-'Parts GP Calc'!X50</f>
        <v>27486.066044271232</v>
      </c>
      <c r="Y73" s="186">
        <f>-'Parts GP Calc'!Y50</f>
        <v>27486.066044271232</v>
      </c>
      <c r="Z73" s="186">
        <f>-'Parts GP Calc'!Z50</f>
        <v>35943.317134816229</v>
      </c>
      <c r="AA73" s="184" t="s">
        <v>98</v>
      </c>
      <c r="AB73" s="184" t="s">
        <v>107</v>
      </c>
      <c r="AC73" s="184" t="str">
        <f t="shared" si="31"/>
        <v/>
      </c>
      <c r="AE73" s="184" t="str">
        <f t="shared" si="32"/>
        <v>330-4475</v>
      </c>
    </row>
    <row r="74" spans="1:31" x14ac:dyDescent="0.2">
      <c r="A74" s="184">
        <v>330</v>
      </c>
      <c r="B74" s="187">
        <v>4500</v>
      </c>
      <c r="C74" s="186"/>
      <c r="D74" s="186"/>
      <c r="E74" s="186"/>
      <c r="F74" s="186"/>
      <c r="G74" s="186">
        <f t="shared" si="34"/>
        <v>21868.135690305156</v>
      </c>
      <c r="H74" s="186">
        <f t="shared" si="34"/>
        <v>22086.817047208209</v>
      </c>
      <c r="I74" s="186">
        <f>-'Parts GP Calc'!I51</f>
        <v>25317.465308722098</v>
      </c>
      <c r="J74" s="186">
        <f>-'Parts GP Calc'!J51</f>
        <v>25570.639961809327</v>
      </c>
      <c r="K74" s="186">
        <f>-'Parts GP Calc'!K51</f>
        <v>25826.346361427419</v>
      </c>
      <c r="L74" s="186">
        <f>-'Parts GP Calc'!L51</f>
        <v>16344.820647822478</v>
      </c>
      <c r="M74" s="186">
        <f>-'Parts GP Calc'!M51</f>
        <v>16215.775251056913</v>
      </c>
      <c r="N74" s="186">
        <f>-'Parts GP Calc'!N51</f>
        <v>21476.509975919533</v>
      </c>
      <c r="O74" s="186">
        <f>-'Parts GP Calc'!O51</f>
        <v>19189.436092653192</v>
      </c>
      <c r="P74" s="186">
        <f>-'Parts GP Calc'!P51</f>
        <v>21384.979426665748</v>
      </c>
      <c r="Q74" s="186">
        <f>-'Parts GP Calc'!Q51</f>
        <v>20736.726858016198</v>
      </c>
      <c r="R74" s="186">
        <f>-'Parts GP Calc'!R51</f>
        <v>22724.8018697035</v>
      </c>
      <c r="S74" s="186">
        <f>-'Parts GP Calc'!S51</f>
        <v>26645.727587197907</v>
      </c>
      <c r="T74" s="186">
        <f>-'Parts GP Calc'!T51</f>
        <v>24409.143199049693</v>
      </c>
      <c r="U74" s="186">
        <f>-'Parts GP Calc'!U51</f>
        <v>21427.030681518732</v>
      </c>
      <c r="V74" s="186">
        <f>-'Parts GP Calc'!V51</f>
        <v>20363.962793324827</v>
      </c>
      <c r="W74" s="186">
        <f>-'Parts GP Calc'!W51</f>
        <v>18845.294381619246</v>
      </c>
      <c r="X74" s="186">
        <f>-'Parts GP Calc'!X51</f>
        <v>18845.294381619246</v>
      </c>
      <c r="Y74" s="186">
        <f>-'Parts GP Calc'!Y51</f>
        <v>18845.294381619246</v>
      </c>
      <c r="Z74" s="186">
        <f>-'Parts GP Calc'!Z51</f>
        <v>24643.846499040555</v>
      </c>
      <c r="AA74" s="184" t="s">
        <v>98</v>
      </c>
      <c r="AB74" s="184" t="s">
        <v>108</v>
      </c>
      <c r="AC74" s="184" t="str">
        <f t="shared" si="31"/>
        <v/>
      </c>
      <c r="AE74" s="184" t="str">
        <f t="shared" si="32"/>
        <v>330-4500</v>
      </c>
    </row>
    <row r="75" spans="1:31" x14ac:dyDescent="0.2">
      <c r="A75" s="184">
        <v>330</v>
      </c>
      <c r="B75" s="187">
        <v>4505</v>
      </c>
      <c r="C75" s="186"/>
      <c r="D75" s="186"/>
      <c r="E75" s="186"/>
      <c r="F75" s="186"/>
      <c r="G75" s="186">
        <f t="shared" si="34"/>
        <v>4665.8283349598023</v>
      </c>
      <c r="H75" s="186">
        <f t="shared" si="34"/>
        <v>4712.4866183094009</v>
      </c>
      <c r="I75" s="186">
        <f>-'Parts GP Calc'!I52</f>
        <v>4379.7897738131005</v>
      </c>
      <c r="J75" s="186">
        <f>-'Parts GP Calc'!J52</f>
        <v>4423.5876715512331</v>
      </c>
      <c r="K75" s="186">
        <f>-'Parts GP Calc'!K52</f>
        <v>4467.8235482667442</v>
      </c>
      <c r="L75" s="186">
        <f>-'Parts GP Calc'!L52</f>
        <v>2827.5689313763874</v>
      </c>
      <c r="M75" s="186">
        <f>-'Parts GP Calc'!M52</f>
        <v>2805.2447491480521</v>
      </c>
      <c r="N75" s="186">
        <f>-'Parts GP Calc'!N52</f>
        <v>3715.3244853987012</v>
      </c>
      <c r="O75" s="186">
        <f>-'Parts GP Calc'!O52</f>
        <v>3319.6726030424525</v>
      </c>
      <c r="P75" s="186">
        <f>-'Parts GP Calc'!P52</f>
        <v>3699.4901766033772</v>
      </c>
      <c r="Q75" s="186">
        <f>-'Parts GP Calc'!Q52</f>
        <v>3587.3458550293981</v>
      </c>
      <c r="R75" s="186">
        <f>-'Parts GP Calc'!R52</f>
        <v>3931.2724882679022</v>
      </c>
      <c r="S75" s="186">
        <f>-'Parts GP Calc'!S52</f>
        <v>4609.5722371549518</v>
      </c>
      <c r="T75" s="186">
        <f>-'Parts GP Calc'!T52</f>
        <v>4222.6547747616351</v>
      </c>
      <c r="U75" s="186">
        <f>-'Parts GP Calc'!U52</f>
        <v>3706.7648249038784</v>
      </c>
      <c r="V75" s="186">
        <f>-'Parts GP Calc'!V52</f>
        <v>3522.8596112971782</v>
      </c>
      <c r="W75" s="186">
        <f>-'Parts GP Calc'!W52</f>
        <v>3260.137877573321</v>
      </c>
      <c r="X75" s="186">
        <f>-'Parts GP Calc'!X52</f>
        <v>3260.137877573321</v>
      </c>
      <c r="Y75" s="186">
        <f>-'Parts GP Calc'!Y52</f>
        <v>3260.137877573321</v>
      </c>
      <c r="Z75" s="186">
        <f>-'Parts GP Calc'!Z52</f>
        <v>4263.2572245189585</v>
      </c>
      <c r="AA75" s="184" t="s">
        <v>98</v>
      </c>
      <c r="AB75" s="184" t="s">
        <v>109</v>
      </c>
      <c r="AC75" s="184" t="str">
        <f t="shared" si="31"/>
        <v/>
      </c>
      <c r="AE75" s="184" t="str">
        <f t="shared" si="32"/>
        <v>330-4505</v>
      </c>
    </row>
    <row r="76" spans="1:31" x14ac:dyDescent="0.2">
      <c r="A76" s="184">
        <v>430</v>
      </c>
      <c r="B76" s="187">
        <v>3465</v>
      </c>
      <c r="C76" s="186"/>
      <c r="D76" s="186"/>
      <c r="E76" s="186"/>
      <c r="F76" s="186"/>
      <c r="G76" s="186">
        <f>-'Parts GP Calc'!G28</f>
        <v>-28565.654747133543</v>
      </c>
      <c r="H76" s="186">
        <f>-'Parts GP Calc'!H28</f>
        <v>-28851.311294604875</v>
      </c>
      <c r="I76" s="186">
        <f>-'Parts GP Calc'!I28</f>
        <v>-29139.824407550928</v>
      </c>
      <c r="J76" s="186">
        <f>-'Parts GP Calc'!J28</f>
        <v>-29431.222651626438</v>
      </c>
      <c r="K76" s="186">
        <f>-'Parts GP Calc'!K28</f>
        <v>-29725.534878142698</v>
      </c>
      <c r="L76" s="186">
        <f>-'Parts GP Calc'!L28</f>
        <v>-19041.936225205485</v>
      </c>
      <c r="M76" s="186">
        <f>-'Parts GP Calc'!M28</f>
        <v>-18891.596599686647</v>
      </c>
      <c r="N76" s="186">
        <f>-'Parts GP Calc'!N28</f>
        <v>-27031.682304065485</v>
      </c>
      <c r="O76" s="186">
        <f>-'Parts GP Calc'!O28</f>
        <v>-21842.431951918552</v>
      </c>
      <c r="P76" s="186">
        <f>-'Parts GP Calc'!P28</f>
        <v>-24643.313700993069</v>
      </c>
      <c r="Q76" s="186">
        <f>-'Parts GP Calc'!Q28</f>
        <v>-24158.566120605057</v>
      </c>
      <c r="R76" s="186">
        <f>-'Parts GP Calc'!R28</f>
        <v>-26474.700289291563</v>
      </c>
      <c r="S76" s="186">
        <f>-'Parts GP Calc'!S28</f>
        <v>-31042.631566423279</v>
      </c>
      <c r="T76" s="186">
        <f>-'Parts GP Calc'!T28</f>
        <v>-28436.980626650959</v>
      </c>
      <c r="U76" s="186">
        <f>-'Parts GP Calc'!U28</f>
        <v>-24962.779373621204</v>
      </c>
      <c r="V76" s="186">
        <f>-'Parts GP Calc'!V28</f>
        <v>-23724.290963976338</v>
      </c>
      <c r="W76" s="186">
        <f>-'Parts GP Calc'!W28</f>
        <v>-21955.021807340814</v>
      </c>
      <c r="X76" s="186">
        <f>-'Parts GP Calc'!X28</f>
        <v>-21955.021807340814</v>
      </c>
      <c r="Y76" s="186">
        <f>-'Parts GP Calc'!Y28</f>
        <v>-21955.021807340814</v>
      </c>
      <c r="Z76" s="186">
        <f>-'Parts GP Calc'!Z28</f>
        <v>-28710.413132676451</v>
      </c>
      <c r="AA76" s="184" t="s">
        <v>98</v>
      </c>
      <c r="AB76" s="184" t="s">
        <v>100</v>
      </c>
      <c r="AC76" s="184" t="str">
        <f t="shared" si="31"/>
        <v/>
      </c>
      <c r="AE76" s="184" t="str">
        <f t="shared" si="32"/>
        <v>430-3465</v>
      </c>
    </row>
    <row r="77" spans="1:31" x14ac:dyDescent="0.2">
      <c r="A77" s="184">
        <v>430</v>
      </c>
      <c r="B77" s="187">
        <v>3466</v>
      </c>
      <c r="C77" s="186"/>
      <c r="D77" s="186"/>
      <c r="E77" s="186"/>
      <c r="F77" s="186"/>
      <c r="G77" s="186">
        <f>-'Parts GP Calc'!G29</f>
        <v>-4134.0597750976194</v>
      </c>
      <c r="H77" s="186">
        <f>-'Parts GP Calc'!H29</f>
        <v>-4175.400372848595</v>
      </c>
      <c r="I77" s="186">
        <f>-'Parts GP Calc'!I29</f>
        <v>-4217.1543765770821</v>
      </c>
      <c r="J77" s="186">
        <f>-'Parts GP Calc'!J29</f>
        <v>-4259.3259203428524</v>
      </c>
      <c r="K77" s="186">
        <f>-'Parts GP Calc'!K29</f>
        <v>-4301.9191795462812</v>
      </c>
      <c r="L77" s="186">
        <f>-'Parts GP Calc'!L29</f>
        <v>-2755.7744881200565</v>
      </c>
      <c r="M77" s="186">
        <f>-'Parts GP Calc'!M29</f>
        <v>-2734.0171363645172</v>
      </c>
      <c r="N77" s="186">
        <f>-'Parts GP Calc'!N29</f>
        <v>-3912.0612307221495</v>
      </c>
      <c r="O77" s="186">
        <f>-'Parts GP Calc'!O29</f>
        <v>-3161.0659766793733</v>
      </c>
      <c r="P77" s="186">
        <f>-'Parts GP Calc'!P29</f>
        <v>-3566.4133309113267</v>
      </c>
      <c r="Q77" s="186">
        <f>-'Parts GP Calc'!Q29</f>
        <v>-3496.2600124980995</v>
      </c>
      <c r="R77" s="186">
        <f>-'Parts GP Calc'!R29</f>
        <v>-3831.4540483168253</v>
      </c>
      <c r="S77" s="186">
        <f>-'Parts GP Calc'!S29</f>
        <v>-4492.5311745148683</v>
      </c>
      <c r="T77" s="186">
        <f>-'Parts GP Calc'!T29</f>
        <v>-4115.4378842188016</v>
      </c>
      <c r="U77" s="186">
        <f>-'Parts GP Calc'!U29</f>
        <v>-3612.6468304907125</v>
      </c>
      <c r="V77" s="186">
        <f>-'Parts GP Calc'!V29</f>
        <v>-3433.4111307820885</v>
      </c>
      <c r="W77" s="186">
        <f>-'Parts GP Calc'!W29</f>
        <v>-3177.3601311983393</v>
      </c>
      <c r="X77" s="186">
        <f>-'Parts GP Calc'!X29</f>
        <v>-3177.3601311983393</v>
      </c>
      <c r="Y77" s="186">
        <f>-'Parts GP Calc'!Y29</f>
        <v>-3177.3601311983393</v>
      </c>
      <c r="Z77" s="186">
        <f>-'Parts GP Calc'!Z29</f>
        <v>-4155.0094023362899</v>
      </c>
      <c r="AA77" s="184" t="s">
        <v>98</v>
      </c>
      <c r="AB77" s="184" t="s">
        <v>101</v>
      </c>
      <c r="AC77" s="184" t="str">
        <f t="shared" si="31"/>
        <v/>
      </c>
      <c r="AE77" s="184" t="str">
        <f t="shared" si="32"/>
        <v>430-3466</v>
      </c>
    </row>
    <row r="78" spans="1:31" x14ac:dyDescent="0.2">
      <c r="A78" s="184">
        <v>430</v>
      </c>
      <c r="B78" s="187">
        <v>3475</v>
      </c>
      <c r="C78" s="186"/>
      <c r="D78" s="186"/>
      <c r="E78" s="186"/>
      <c r="F78" s="186"/>
      <c r="G78" s="186">
        <f>-'Parts GP Calc'!G30</f>
        <v>-19153.625622553838</v>
      </c>
      <c r="H78" s="186">
        <f>-'Parts GP Calc'!H30</f>
        <v>-19345.161878779378</v>
      </c>
      <c r="I78" s="186">
        <f>-'Parts GP Calc'!I30</f>
        <v>-19538.613497567174</v>
      </c>
      <c r="J78" s="186">
        <f>-'Parts GP Calc'!J30</f>
        <v>-19733.999632542847</v>
      </c>
      <c r="K78" s="186">
        <f>-'Parts GP Calc'!K30</f>
        <v>-19931.339628868271</v>
      </c>
      <c r="L78" s="186">
        <f>-'Parts GP Calc'!L30</f>
        <v>-12767.854292670483</v>
      </c>
      <c r="M78" s="186">
        <f>-'Parts GP Calc'!M30</f>
        <v>-12667.049710072504</v>
      </c>
      <c r="N78" s="186">
        <f>-'Parts GP Calc'!N30</f>
        <v>-18125.078083562523</v>
      </c>
      <c r="O78" s="186">
        <f>-'Parts GP Calc'!O30</f>
        <v>-14645.621393822135</v>
      </c>
      <c r="P78" s="186">
        <f>-'Parts GP Calc'!P30</f>
        <v>-16523.647327752475</v>
      </c>
      <c r="Q78" s="186">
        <f>-'Parts GP Calc'!Q30</f>
        <v>-16198.618065921097</v>
      </c>
      <c r="R78" s="186">
        <f>-'Parts GP Calc'!R30</f>
        <v>-17751.61473802006</v>
      </c>
      <c r="S78" s="186">
        <f>-'Parts GP Calc'!S30</f>
        <v>-20814.469285770785</v>
      </c>
      <c r="T78" s="186">
        <f>-'Parts GP Calc'!T30</f>
        <v>-19067.348029659453</v>
      </c>
      <c r="U78" s="186">
        <f>-'Parts GP Calc'!U30</f>
        <v>-16737.853021511015</v>
      </c>
      <c r="V78" s="186">
        <f>-'Parts GP Calc'!V30</f>
        <v>-15907.431189902543</v>
      </c>
      <c r="W78" s="186">
        <f>-'Parts GP Calc'!W30</f>
        <v>-14721.114287604725</v>
      </c>
      <c r="X78" s="186">
        <f>-'Parts GP Calc'!X30</f>
        <v>-14721.114287604725</v>
      </c>
      <c r="Y78" s="186">
        <f>-'Parts GP Calc'!Y30</f>
        <v>-14721.114287604725</v>
      </c>
      <c r="Z78" s="186">
        <f>-'Parts GP Calc'!Z30</f>
        <v>-19250.687914560025</v>
      </c>
      <c r="AA78" s="184" t="s">
        <v>98</v>
      </c>
      <c r="AB78" s="184" t="s">
        <v>102</v>
      </c>
      <c r="AC78" s="184" t="str">
        <f t="shared" si="31"/>
        <v/>
      </c>
      <c r="AE78" s="184" t="str">
        <f t="shared" si="32"/>
        <v>430-3475</v>
      </c>
    </row>
    <row r="79" spans="1:31" x14ac:dyDescent="0.2">
      <c r="A79" s="184">
        <v>430</v>
      </c>
      <c r="B79" s="187">
        <v>3500</v>
      </c>
      <c r="C79" s="186"/>
      <c r="D79" s="186"/>
      <c r="E79" s="186"/>
      <c r="F79" s="186"/>
      <c r="G79" s="186">
        <f>-'Parts GP Calc'!G31</f>
        <v>-8029.116447590699</v>
      </c>
      <c r="H79" s="186">
        <f>-'Parts GP Calc'!H31</f>
        <v>-8109.4076120666059</v>
      </c>
      <c r="I79" s="186">
        <f>-'Parts GP Calc'!I31</f>
        <v>-8190.5016881872725</v>
      </c>
      <c r="J79" s="186">
        <f>-'Parts GP Calc'!J31</f>
        <v>-8272.4067050691465</v>
      </c>
      <c r="K79" s="186">
        <f>-'Parts GP Calc'!K31</f>
        <v>-8355.1307721198355</v>
      </c>
      <c r="L79" s="186">
        <f>-'Parts GP Calc'!L31</f>
        <v>-5352.2289159191232</v>
      </c>
      <c r="M79" s="186">
        <f>-'Parts GP Calc'!M31</f>
        <v>-5309.9720738945571</v>
      </c>
      <c r="N79" s="186">
        <f>-'Parts GP Calc'!N31</f>
        <v>-7597.9537985348588</v>
      </c>
      <c r="O79" s="186">
        <f>-'Parts GP Calc'!O31</f>
        <v>-6139.3807071104557</v>
      </c>
      <c r="P79" s="186">
        <f>-'Parts GP Calc'!P31</f>
        <v>-6926.6409998754043</v>
      </c>
      <c r="Q79" s="186">
        <f>-'Parts GP Calc'!Q31</f>
        <v>-6790.3901488069996</v>
      </c>
      <c r="R79" s="186">
        <f>-'Parts GP Calc'!R31</f>
        <v>-7441.3995905035426</v>
      </c>
      <c r="S79" s="186">
        <f>-'Parts GP Calc'!S31</f>
        <v>-8725.3348782939483</v>
      </c>
      <c r="T79" s="186">
        <f>-'Parts GP Calc'!T31</f>
        <v>-7992.9492563853355</v>
      </c>
      <c r="U79" s="186">
        <f>-'Parts GP Calc'!U31</f>
        <v>-7016.4350938405205</v>
      </c>
      <c r="V79" s="186">
        <f>-'Parts GP Calc'!V31</f>
        <v>-6668.3258784888976</v>
      </c>
      <c r="W79" s="186">
        <f>-'Parts GP Calc'!W31</f>
        <v>-6171.0269994151495</v>
      </c>
      <c r="X79" s="186">
        <f>-'Parts GP Calc'!X31</f>
        <v>-6171.0269994151495</v>
      </c>
      <c r="Y79" s="186">
        <f>-'Parts GP Calc'!Y31</f>
        <v>-6171.0269994151495</v>
      </c>
      <c r="Z79" s="186">
        <f>-'Parts GP Calc'!Z31</f>
        <v>-8069.8045376967339</v>
      </c>
      <c r="AA79" s="184" t="s">
        <v>98</v>
      </c>
      <c r="AB79" s="184" t="s">
        <v>103</v>
      </c>
      <c r="AC79" s="184" t="str">
        <f t="shared" si="31"/>
        <v/>
      </c>
      <c r="AE79" s="184" t="str">
        <f t="shared" si="32"/>
        <v>430-3500</v>
      </c>
    </row>
    <row r="80" spans="1:31" x14ac:dyDescent="0.2">
      <c r="A80" s="184">
        <v>430</v>
      </c>
      <c r="B80" s="187">
        <v>3505</v>
      </c>
      <c r="C80" s="186"/>
      <c r="D80" s="186"/>
      <c r="E80" s="186"/>
      <c r="F80" s="186"/>
      <c r="G80" s="186">
        <f>-'Parts GP Calc'!G32</f>
        <v>-208280.11081378415</v>
      </c>
      <c r="H80" s="186">
        <f>-'Parts GP Calc'!H32</f>
        <v>-210362.911921922</v>
      </c>
      <c r="I80" s="186">
        <f>-'Parts GP Calc'!I32</f>
        <v>-212466.54104114123</v>
      </c>
      <c r="J80" s="186">
        <f>-'Parts GP Calc'!J32</f>
        <v>-214591.20645155266</v>
      </c>
      <c r="K80" s="186">
        <f>-'Parts GP Calc'!K32</f>
        <v>-216737.11851606815</v>
      </c>
      <c r="L80" s="186">
        <f>-'Parts GP Calc'!L32</f>
        <v>-138840.03787775207</v>
      </c>
      <c r="M80" s="186">
        <f>-'Parts GP Calc'!M32</f>
        <v>-137743.8699747248</v>
      </c>
      <c r="N80" s="186">
        <f>-'Parts GP Calc'!N32</f>
        <v>-197095.4923180514</v>
      </c>
      <c r="O80" s="186">
        <f>-'Parts GP Calc'!O32</f>
        <v>-159259.22887675613</v>
      </c>
      <c r="P80" s="186">
        <f>-'Parts GP Calc'!P32</f>
        <v>-179681.23447185225</v>
      </c>
      <c r="Q80" s="186">
        <f>-'Parts GP Calc'!Q32</f>
        <v>-176146.80542922512</v>
      </c>
      <c r="R80" s="186">
        <f>-'Parts GP Calc'!R32</f>
        <v>-193034.38198169411</v>
      </c>
      <c r="S80" s="186">
        <f>-'Parts GP Calc'!S32</f>
        <v>-226340.43573795239</v>
      </c>
      <c r="T80" s="186">
        <f>-'Parts GP Calc'!T32</f>
        <v>-207341.91211642476</v>
      </c>
      <c r="U80" s="186">
        <f>-'Parts GP Calc'!U32</f>
        <v>-182010.54728772127</v>
      </c>
      <c r="V80" s="186">
        <f>-'Parts GP Calc'!V32</f>
        <v>-172980.38482563719</v>
      </c>
      <c r="W80" s="186">
        <f>-'Parts GP Calc'!W32</f>
        <v>-160080.1527369456</v>
      </c>
      <c r="X80" s="186">
        <f>-'Parts GP Calc'!X32</f>
        <v>-160080.1527369456</v>
      </c>
      <c r="Y80" s="186">
        <f>-'Parts GP Calc'!Y32</f>
        <v>-160080.1527369456</v>
      </c>
      <c r="Z80" s="186">
        <f>-'Parts GP Calc'!Z32</f>
        <v>-209335.58434831348</v>
      </c>
      <c r="AA80" s="184" t="s">
        <v>98</v>
      </c>
      <c r="AB80" s="184" t="s">
        <v>104</v>
      </c>
      <c r="AC80" s="184" t="str">
        <f t="shared" si="31"/>
        <v/>
      </c>
      <c r="AE80" s="184" t="str">
        <f t="shared" si="32"/>
        <v>430-3505</v>
      </c>
    </row>
    <row r="81" spans="1:31" x14ac:dyDescent="0.2">
      <c r="A81" s="184">
        <v>430</v>
      </c>
      <c r="B81" s="187">
        <v>4465</v>
      </c>
      <c r="C81" s="186"/>
      <c r="D81" s="186"/>
      <c r="E81" s="186"/>
      <c r="F81" s="186"/>
      <c r="G81" s="186">
        <f>-G76*0.83</f>
        <v>23709.493440120841</v>
      </c>
      <c r="H81" s="186">
        <f t="shared" ref="H81" si="35">-H76*0.83</f>
        <v>23946.588374522045</v>
      </c>
      <c r="I81" s="186">
        <f>-'Parts GP Calc'!I54</f>
        <v>22954.912743483867</v>
      </c>
      <c r="J81" s="186">
        <f>-'Parts GP Calc'!J54</f>
        <v>23184.461870918709</v>
      </c>
      <c r="K81" s="186">
        <f>-'Parts GP Calc'!K54</f>
        <v>23416.306489627896</v>
      </c>
      <c r="L81" s="186">
        <f>-'Parts GP Calc'!L54</f>
        <v>14819.569305360148</v>
      </c>
      <c r="M81" s="186">
        <f>-'Parts GP Calc'!M54</f>
        <v>14702.566051417452</v>
      </c>
      <c r="N81" s="186">
        <f>-'Parts GP Calc'!N54</f>
        <v>19472.384242270633</v>
      </c>
      <c r="O81" s="186">
        <f>-'Parts GP Calc'!O54</f>
        <v>17398.733472412838</v>
      </c>
      <c r="P81" s="186">
        <f>-'Parts GP Calc'!P54</f>
        <v>19389.395058880309</v>
      </c>
      <c r="Q81" s="186">
        <f>-'Parts GP Calc'!Q54</f>
        <v>18801.635543161203</v>
      </c>
      <c r="R81" s="186">
        <f>-'Parts GP Calc'!R54</f>
        <v>20604.189150494898</v>
      </c>
      <c r="S81" s="186">
        <f>-'Parts GP Calc'!S54</f>
        <v>24159.225431625244</v>
      </c>
      <c r="T81" s="186">
        <f>-'Parts GP Calc'!T54</f>
        <v>22131.352623374834</v>
      </c>
      <c r="U81" s="186">
        <f>-'Parts GP Calc'!U54</f>
        <v>19427.52221237429</v>
      </c>
      <c r="V81" s="186">
        <f>-'Parts GP Calc'!V54</f>
        <v>18463.656741786133</v>
      </c>
      <c r="W81" s="186">
        <f>-'Parts GP Calc'!W54</f>
        <v>17086.706069517335</v>
      </c>
      <c r="X81" s="186">
        <f>-'Parts GP Calc'!X54</f>
        <v>17086.706069517335</v>
      </c>
      <c r="Y81" s="186">
        <f>-'Parts GP Calc'!Y54</f>
        <v>17086.706069517335</v>
      </c>
      <c r="Z81" s="186">
        <f>-'Parts GP Calc'!Z54</f>
        <v>22344.154090907286</v>
      </c>
      <c r="AA81" s="184" t="s">
        <v>98</v>
      </c>
      <c r="AB81" s="184" t="s">
        <v>105</v>
      </c>
      <c r="AC81" s="184" t="str">
        <f t="shared" si="31"/>
        <v/>
      </c>
      <c r="AE81" s="184" t="str">
        <f t="shared" si="32"/>
        <v>430-4465</v>
      </c>
    </row>
    <row r="82" spans="1:31" x14ac:dyDescent="0.2">
      <c r="A82" s="184">
        <v>430</v>
      </c>
      <c r="B82" s="187">
        <v>4466</v>
      </c>
      <c r="C82" s="186"/>
      <c r="D82" s="186"/>
      <c r="E82" s="186"/>
      <c r="F82" s="186"/>
      <c r="G82" s="186">
        <f t="shared" ref="G82:H85" si="36">-G77*0.83</f>
        <v>3431.2696133310242</v>
      </c>
      <c r="H82" s="186">
        <f t="shared" si="36"/>
        <v>3465.5823094643338</v>
      </c>
      <c r="I82" s="186">
        <f>-'Parts GP Calc'!I55</f>
        <v>3539.6474324228448</v>
      </c>
      <c r="J82" s="186">
        <f>-'Parts GP Calc'!J55</f>
        <v>3575.0439067470738</v>
      </c>
      <c r="K82" s="186">
        <f>-'Parts GP Calc'!K55</f>
        <v>3610.7943458145446</v>
      </c>
      <c r="L82" s="186">
        <f>-'Parts GP Calc'!L55</f>
        <v>2285.177514178135</v>
      </c>
      <c r="M82" s="186">
        <f>-'Parts GP Calc'!M55</f>
        <v>2267.1356129942174</v>
      </c>
      <c r="N82" s="186">
        <f>-'Parts GP Calc'!N55</f>
        <v>3002.6415546218932</v>
      </c>
      <c r="O82" s="186">
        <f>-'Parts GP Calc'!O55</f>
        <v>2682.8846160836551</v>
      </c>
      <c r="P82" s="186">
        <f>-'Parts GP Calc'!P55</f>
        <v>2989.8446229502706</v>
      </c>
      <c r="Q82" s="186">
        <f>-'Parts GP Calc'!Q55</f>
        <v>2899.2121085100748</v>
      </c>
      <c r="R82" s="186">
        <f>-'Parts GP Calc'!R55</f>
        <v>3177.1658659171658</v>
      </c>
      <c r="S82" s="186">
        <f>-'Parts GP Calc'!S55</f>
        <v>3725.3524430255952</v>
      </c>
      <c r="T82" s="186">
        <f>-'Parts GP Calc'!T55</f>
        <v>3412.6544659426181</v>
      </c>
      <c r="U82" s="186">
        <f>-'Parts GP Calc'!U55</f>
        <v>2995.7238298319817</v>
      </c>
      <c r="V82" s="186">
        <f>-'Parts GP Calc'!V55</f>
        <v>2847.0957789962449</v>
      </c>
      <c r="W82" s="186">
        <f>-'Parts GP Calc'!W55</f>
        <v>2634.7699920880505</v>
      </c>
      <c r="X82" s="186">
        <f>-'Parts GP Calc'!X55</f>
        <v>2634.7699920880505</v>
      </c>
      <c r="Y82" s="186">
        <f>-'Parts GP Calc'!Y55</f>
        <v>2634.7699920880505</v>
      </c>
      <c r="Z82" s="186">
        <f>-'Parts GP Calc'!Z55</f>
        <v>3445.4684511920664</v>
      </c>
      <c r="AA82" s="184" t="s">
        <v>98</v>
      </c>
      <c r="AB82" s="184" t="s">
        <v>106</v>
      </c>
      <c r="AC82" s="184" t="str">
        <f t="shared" si="31"/>
        <v/>
      </c>
      <c r="AE82" s="184" t="str">
        <f t="shared" si="32"/>
        <v>430-4466</v>
      </c>
    </row>
    <row r="83" spans="1:31" x14ac:dyDescent="0.2">
      <c r="A83" s="184">
        <v>430</v>
      </c>
      <c r="B83" s="187">
        <v>4475</v>
      </c>
      <c r="C83" s="186"/>
      <c r="D83" s="186"/>
      <c r="E83" s="186"/>
      <c r="F83" s="186"/>
      <c r="G83" s="186">
        <f t="shared" si="36"/>
        <v>15897.509266719684</v>
      </c>
      <c r="H83" s="186">
        <f t="shared" si="36"/>
        <v>16056.484359386883</v>
      </c>
      <c r="I83" s="186">
        <f>-'Parts GP Calc'!I56</f>
        <v>12662.324926905392</v>
      </c>
      <c r="J83" s="186">
        <f>-'Parts GP Calc'!J56</f>
        <v>12788.948176174448</v>
      </c>
      <c r="K83" s="186">
        <f>-'Parts GP Calc'!K56</f>
        <v>12916.837657936192</v>
      </c>
      <c r="L83" s="186">
        <f>-'Parts GP Calc'!L56</f>
        <v>8174.7294759171527</v>
      </c>
      <c r="M83" s="186">
        <f>-'Parts GP Calc'!M56</f>
        <v>8110.1884673982595</v>
      </c>
      <c r="N83" s="186">
        <f>-'Parts GP Calc'!N56</f>
        <v>10741.302270781882</v>
      </c>
      <c r="O83" s="186">
        <f>-'Parts GP Calc'!O56</f>
        <v>9597.440818277757</v>
      </c>
      <c r="P83" s="186">
        <f>-'Parts GP Calc'!P56</f>
        <v>10695.524008967093</v>
      </c>
      <c r="Q83" s="186">
        <f>-'Parts GP Calc'!Q56</f>
        <v>10371.305744664236</v>
      </c>
      <c r="R83" s="186">
        <f>-'Parts GP Calc'!R56</f>
        <v>11365.625336695959</v>
      </c>
      <c r="S83" s="186">
        <f>-'Parts GP Calc'!S56</f>
        <v>13326.644532091859</v>
      </c>
      <c r="T83" s="186">
        <f>-'Parts GP Calc'!T56</f>
        <v>12208.034991056171</v>
      </c>
      <c r="U83" s="186">
        <f>-'Parts GP Calc'!U56</f>
        <v>10716.555603008585</v>
      </c>
      <c r="V83" s="186">
        <f>-'Parts GP Calc'!V56</f>
        <v>10184.870821158287</v>
      </c>
      <c r="W83" s="186">
        <f>-'Parts GP Calc'!W56</f>
        <v>9425.3211328007201</v>
      </c>
      <c r="X83" s="186">
        <f>-'Parts GP Calc'!X56</f>
        <v>9425.3211328007201</v>
      </c>
      <c r="Y83" s="186">
        <f>-'Parts GP Calc'!Y56</f>
        <v>9425.3211328007201</v>
      </c>
      <c r="Z83" s="186">
        <f>-'Parts GP Calc'!Z56</f>
        <v>12325.41994289325</v>
      </c>
      <c r="AA83" s="184" t="s">
        <v>98</v>
      </c>
      <c r="AB83" s="184" t="s">
        <v>107</v>
      </c>
      <c r="AC83" s="184" t="str">
        <f t="shared" si="31"/>
        <v/>
      </c>
      <c r="AE83" s="184" t="str">
        <f t="shared" si="32"/>
        <v>430-4475</v>
      </c>
    </row>
    <row r="84" spans="1:31" x14ac:dyDescent="0.2">
      <c r="A84" s="184">
        <v>430</v>
      </c>
      <c r="B84" s="187">
        <v>4500</v>
      </c>
      <c r="C84" s="186"/>
      <c r="D84" s="186"/>
      <c r="E84" s="186"/>
      <c r="F84" s="186"/>
      <c r="G84" s="186">
        <f t="shared" si="36"/>
        <v>6664.1666515002798</v>
      </c>
      <c r="H84" s="186">
        <f t="shared" si="36"/>
        <v>6730.8083180152826</v>
      </c>
      <c r="I84" s="186">
        <f>-'Parts GP Calc'!I57</f>
        <v>7344.0780226361785</v>
      </c>
      <c r="J84" s="186">
        <f>-'Parts GP Calc'!J57</f>
        <v>7417.5188028625416</v>
      </c>
      <c r="K84" s="186">
        <f>-'Parts GP Calc'!K57</f>
        <v>7491.6939908911672</v>
      </c>
      <c r="L84" s="186">
        <f>-'Parts GP Calc'!L57</f>
        <v>4741.2976235914512</v>
      </c>
      <c r="M84" s="186">
        <f>-'Parts GP Calc'!M57</f>
        <v>4703.8641976638619</v>
      </c>
      <c r="N84" s="186">
        <f>-'Parts GP Calc'!N57</f>
        <v>6229.8955678923949</v>
      </c>
      <c r="O84" s="186">
        <f>-'Parts GP Calc'!O57</f>
        <v>5566.4622882403855</v>
      </c>
      <c r="P84" s="186">
        <f>-'Parts GP Calc'!P57</f>
        <v>6203.344430684243</v>
      </c>
      <c r="Q84" s="186">
        <f>-'Parts GP Calc'!Q57</f>
        <v>6015.2996408728204</v>
      </c>
      <c r="R84" s="186">
        <f>-'Parts GP Calc'!R57</f>
        <v>6591.9994732867253</v>
      </c>
      <c r="S84" s="186">
        <f>-'Parts GP Calc'!S57</f>
        <v>7729.3796983252605</v>
      </c>
      <c r="T84" s="186">
        <f>-'Parts GP Calc'!T57</f>
        <v>7080.5923868596174</v>
      </c>
      <c r="U84" s="186">
        <f>-'Parts GP Calc'!U57</f>
        <v>6215.5426382387595</v>
      </c>
      <c r="V84" s="186">
        <f>-'Parts GP Calc'!V57</f>
        <v>5907.1684222952126</v>
      </c>
      <c r="W84" s="186">
        <f>-'Parts GP Calc'!W57</f>
        <v>5466.6338280901455</v>
      </c>
      <c r="X84" s="186">
        <f>-'Parts GP Calc'!X57</f>
        <v>5466.6338280901455</v>
      </c>
      <c r="Y84" s="186">
        <f>-'Parts GP Calc'!Y57</f>
        <v>5466.6338280901455</v>
      </c>
      <c r="Z84" s="186">
        <f>-'Parts GP Calc'!Z57</f>
        <v>7148.6750059640372</v>
      </c>
      <c r="AA84" s="184" t="s">
        <v>98</v>
      </c>
      <c r="AB84" s="184" t="s">
        <v>108</v>
      </c>
      <c r="AC84" s="184" t="str">
        <f t="shared" si="31"/>
        <v/>
      </c>
      <c r="AE84" s="184" t="str">
        <f t="shared" si="32"/>
        <v>430-4500</v>
      </c>
    </row>
    <row r="85" spans="1:31" x14ac:dyDescent="0.2">
      <c r="A85" s="184">
        <v>430</v>
      </c>
      <c r="B85" s="187">
        <v>4505</v>
      </c>
      <c r="C85" s="186"/>
      <c r="D85" s="186"/>
      <c r="E85" s="186"/>
      <c r="F85" s="186"/>
      <c r="G85" s="186">
        <f t="shared" si="36"/>
        <v>172872.49197544085</v>
      </c>
      <c r="H85" s="186">
        <f t="shared" si="36"/>
        <v>174601.21689519525</v>
      </c>
      <c r="I85" s="186">
        <f>-'Parts GP Calc'!I58</f>
        <v>180547.72393370135</v>
      </c>
      <c r="J85" s="186">
        <f>-'Parts GP Calc'!J58</f>
        <v>182353.2011730384</v>
      </c>
      <c r="K85" s="186">
        <f>-'Parts GP Calc'!K58</f>
        <v>184176.73318476876</v>
      </c>
      <c r="L85" s="186">
        <f>-'Parts GP Calc'!L58</f>
        <v>116560.64815668022</v>
      </c>
      <c r="M85" s="186">
        <f>-'Parts GP Calc'!M58</f>
        <v>115640.38017621548</v>
      </c>
      <c r="N85" s="186">
        <f>-'Parts GP Calc'!N58</f>
        <v>153156.52443516356</v>
      </c>
      <c r="O85" s="186">
        <f>-'Parts GP Calc'!O58</f>
        <v>136846.59849839564</v>
      </c>
      <c r="P85" s="186">
        <f>-'Parts GP Calc'!P58</f>
        <v>152503.78798873589</v>
      </c>
      <c r="Q85" s="186">
        <f>-'Parts GP Calc'!Q58</f>
        <v>147880.87157997789</v>
      </c>
      <c r="R85" s="186">
        <f>-'Parts GP Calc'!R58</f>
        <v>162058.53170482264</v>
      </c>
      <c r="S85" s="186">
        <f>-'Parts GP Calc'!S58</f>
        <v>190020.02806215532</v>
      </c>
      <c r="T85" s="186">
        <f>-'Parts GP Calc'!T58</f>
        <v>174070.16042170499</v>
      </c>
      <c r="U85" s="186">
        <f>-'Parts GP Calc'!U58</f>
        <v>152803.67023443789</v>
      </c>
      <c r="V85" s="186">
        <f>-'Parts GP Calc'!V58</f>
        <v>145222.5603065695</v>
      </c>
      <c r="W85" s="186">
        <f>-'Parts GP Calc'!W58</f>
        <v>134392.40326675752</v>
      </c>
      <c r="X85" s="186">
        <f>-'Parts GP Calc'!X58</f>
        <v>134392.40326675752</v>
      </c>
      <c r="Y85" s="186">
        <f>-'Parts GP Calc'!Y58</f>
        <v>134392.40326675752</v>
      </c>
      <c r="Z85" s="186">
        <f>-'Parts GP Calc'!Z58</f>
        <v>175743.91196422139</v>
      </c>
      <c r="AA85" s="184" t="s">
        <v>98</v>
      </c>
      <c r="AB85" s="184" t="s">
        <v>109</v>
      </c>
      <c r="AC85" s="184" t="str">
        <f t="shared" si="31"/>
        <v/>
      </c>
      <c r="AE85" s="184" t="str">
        <f t="shared" si="32"/>
        <v>430-4505</v>
      </c>
    </row>
    <row r="86" spans="1:31" x14ac:dyDescent="0.2">
      <c r="A86" s="184">
        <v>130</v>
      </c>
      <c r="B86" s="187">
        <v>7020</v>
      </c>
      <c r="C86" s="186"/>
      <c r="D86" s="186"/>
      <c r="E86" s="186"/>
      <c r="F86" s="186"/>
      <c r="G86" s="186">
        <f>+SUM('Parts GP Calc'!G10:G14)*7%</f>
        <v>61828.73630311434</v>
      </c>
      <c r="H86" s="186">
        <f>+SUM('Parts GP Calc'!H10:H14)*7%</f>
        <v>62447.023666145476</v>
      </c>
      <c r="I86" s="186">
        <f>-'Parts GP Calc'!I62</f>
        <v>63071.493902806935</v>
      </c>
      <c r="J86" s="186">
        <f>-'Parts GP Calc'!J62</f>
        <v>63702.208841835003</v>
      </c>
      <c r="K86" s="186">
        <f>-'Parts GP Calc'!K62</f>
        <v>64339.230930253354</v>
      </c>
      <c r="L86" s="186">
        <f>-'Parts GP Calc'!L62</f>
        <v>58878.841141368088</v>
      </c>
      <c r="M86" s="186">
        <f>-'Parts GP Calc'!M62</f>
        <v>58413.981747686295</v>
      </c>
      <c r="N86" s="186">
        <f>-'Parts GP Calc'!N62</f>
        <v>77732.774739270477</v>
      </c>
      <c r="O86" s="186">
        <f>-'Parts GP Calc'!O62</f>
        <v>65008.532542774941</v>
      </c>
      <c r="P86" s="186">
        <f>-'Parts GP Calc'!P62</f>
        <v>58009.343641830004</v>
      </c>
      <c r="Q86" s="186">
        <f>-'Parts GP Calc'!Q62</f>
        <v>65008.532542774941</v>
      </c>
      <c r="R86" s="186">
        <f>-'Parts GP Calc'!R62</f>
        <v>65008.532542774934</v>
      </c>
      <c r="S86" s="186">
        <f>-'Parts GP Calc'!S62</f>
        <v>65008.532542774941</v>
      </c>
      <c r="T86" s="186">
        <f>-'Parts GP Calc'!T62</f>
        <v>65008.532542774934</v>
      </c>
      <c r="U86" s="186">
        <f>-'Parts GP Calc'!U62</f>
        <v>65008.532542774941</v>
      </c>
      <c r="V86" s="186">
        <f>-'Parts GP Calc'!V62</f>
        <v>65008.532542774941</v>
      </c>
      <c r="W86" s="186">
        <f>-'Parts GP Calc'!W62</f>
        <v>65008.532542774941</v>
      </c>
      <c r="X86" s="186">
        <f>-'Parts GP Calc'!X62</f>
        <v>65008.532542774941</v>
      </c>
      <c r="Y86" s="186">
        <f>-'Parts GP Calc'!Y62</f>
        <v>65008.532542774941</v>
      </c>
      <c r="Z86" s="186">
        <f>-'Parts GP Calc'!Z62</f>
        <v>65008.532542774941</v>
      </c>
      <c r="AA86" s="184" t="s">
        <v>98</v>
      </c>
      <c r="AB86" s="184" t="s">
        <v>75</v>
      </c>
      <c r="AC86" s="184" t="str">
        <f t="shared" si="31"/>
        <v/>
      </c>
      <c r="AE86" s="184" t="str">
        <f t="shared" si="32"/>
        <v>130-7020</v>
      </c>
    </row>
    <row r="87" spans="1:31" x14ac:dyDescent="0.2">
      <c r="A87" s="184">
        <v>230</v>
      </c>
      <c r="B87" s="187">
        <v>7020</v>
      </c>
      <c r="C87" s="186"/>
      <c r="D87" s="186"/>
      <c r="E87" s="186"/>
      <c r="F87" s="186"/>
      <c r="G87" s="186">
        <f>+SUM('Parts GP Calc'!G16:G20)*7%</f>
        <v>31568.06428688296</v>
      </c>
      <c r="H87" s="186">
        <f>+SUM('Parts GP Calc'!H16:H20)*7%</f>
        <v>31883.744929751781</v>
      </c>
      <c r="I87" s="186">
        <f>-'Parts GP Calc'!I63</f>
        <v>32202.582379049309</v>
      </c>
      <c r="J87" s="186">
        <f>-'Parts GP Calc'!J63</f>
        <v>32524.608202839801</v>
      </c>
      <c r="K87" s="186">
        <f>-'Parts GP Calc'!K63</f>
        <v>32849.854284868197</v>
      </c>
      <c r="L87" s="186">
        <f>-'Parts GP Calc'!L63</f>
        <v>30061.928375434938</v>
      </c>
      <c r="M87" s="186">
        <f>-'Parts GP Calc'!M63</f>
        <v>29824.583863779939</v>
      </c>
      <c r="N87" s="186">
        <f>-'Parts GP Calc'!N63</f>
        <v>39688.231991949666</v>
      </c>
      <c r="O87" s="186">
        <f>-'Parts GP Calc'!O63</f>
        <v>33191.581410388178</v>
      </c>
      <c r="P87" s="186">
        <f>-'Parts GP Calc'!P63</f>
        <v>29617.98669711667</v>
      </c>
      <c r="Q87" s="186">
        <f>-'Parts GP Calc'!Q63</f>
        <v>33191.581410388178</v>
      </c>
      <c r="R87" s="186">
        <f>-'Parts GP Calc'!R63</f>
        <v>33191.581410388171</v>
      </c>
      <c r="S87" s="186">
        <f>-'Parts GP Calc'!S63</f>
        <v>33191.581410388178</v>
      </c>
      <c r="T87" s="186">
        <f>-'Parts GP Calc'!T63</f>
        <v>33191.581410388171</v>
      </c>
      <c r="U87" s="186">
        <f>-'Parts GP Calc'!U63</f>
        <v>33191.581410388178</v>
      </c>
      <c r="V87" s="186">
        <f>-'Parts GP Calc'!V63</f>
        <v>33191.581410388178</v>
      </c>
      <c r="W87" s="186">
        <f>-'Parts GP Calc'!W63</f>
        <v>33191.581410388178</v>
      </c>
      <c r="X87" s="186">
        <f>-'Parts GP Calc'!X63</f>
        <v>33191.581410388178</v>
      </c>
      <c r="Y87" s="186">
        <f>-'Parts GP Calc'!Y63</f>
        <v>33191.581410388178</v>
      </c>
      <c r="Z87" s="186">
        <f>-'Parts GP Calc'!Z63</f>
        <v>33191.581410388178</v>
      </c>
      <c r="AA87" s="184" t="s">
        <v>98</v>
      </c>
      <c r="AB87" s="184" t="s">
        <v>75</v>
      </c>
      <c r="AC87" s="184" t="str">
        <f t="shared" si="31"/>
        <v/>
      </c>
      <c r="AE87" s="184" t="str">
        <f t="shared" si="32"/>
        <v>230-7020</v>
      </c>
    </row>
    <row r="88" spans="1:31" x14ac:dyDescent="0.2">
      <c r="A88" s="184">
        <v>330</v>
      </c>
      <c r="B88" s="187">
        <v>7020</v>
      </c>
      <c r="C88" s="186"/>
      <c r="D88" s="186"/>
      <c r="E88" s="186"/>
      <c r="F88" s="186"/>
      <c r="G88" s="186">
        <f>+SUM('Parts GP Calc'!G22:G26)*7%</f>
        <v>12151.819691571523</v>
      </c>
      <c r="H88" s="186">
        <f>+SUM('Parts GP Calc'!H22:H26)*7%</f>
        <v>12273.337888487236</v>
      </c>
      <c r="I88" s="186">
        <f>-'Parts GP Calc'!I64</f>
        <v>12396.07126737211</v>
      </c>
      <c r="J88" s="186">
        <f>-'Parts GP Calc'!J64</f>
        <v>12520.031980045831</v>
      </c>
      <c r="K88" s="186">
        <f>-'Parts GP Calc'!K64</f>
        <v>12645.23229984629</v>
      </c>
      <c r="L88" s="186">
        <f>-'Parts GP Calc'!L64</f>
        <v>11572.047303230247</v>
      </c>
      <c r="M88" s="186">
        <f>-'Parts GP Calc'!M64</f>
        <v>11480.683839059462</v>
      </c>
      <c r="N88" s="186">
        <f>-'Parts GP Calc'!N64</f>
        <v>15277.599369430762</v>
      </c>
      <c r="O88" s="186">
        <f>-'Parts GP Calc'!O64</f>
        <v>12776.776837240155</v>
      </c>
      <c r="P88" s="186">
        <f>-'Parts GP Calc'!P64</f>
        <v>11401.156266660138</v>
      </c>
      <c r="Q88" s="186">
        <f>-'Parts GP Calc'!Q64</f>
        <v>12776.776837240155</v>
      </c>
      <c r="R88" s="186">
        <f>-'Parts GP Calc'!R64</f>
        <v>12776.776837240153</v>
      </c>
      <c r="S88" s="186">
        <f>-'Parts GP Calc'!S64</f>
        <v>12776.776837240155</v>
      </c>
      <c r="T88" s="186">
        <f>-'Parts GP Calc'!T64</f>
        <v>12776.776837240153</v>
      </c>
      <c r="U88" s="186">
        <f>-'Parts GP Calc'!U64</f>
        <v>12776.776837240155</v>
      </c>
      <c r="V88" s="186">
        <f>-'Parts GP Calc'!V64</f>
        <v>12776.776837240155</v>
      </c>
      <c r="W88" s="186">
        <f>-'Parts GP Calc'!W64</f>
        <v>12776.776837240155</v>
      </c>
      <c r="X88" s="186">
        <f>-'Parts GP Calc'!X64</f>
        <v>12776.776837240155</v>
      </c>
      <c r="Y88" s="186">
        <f>-'Parts GP Calc'!Y64</f>
        <v>12776.776837240155</v>
      </c>
      <c r="Z88" s="186">
        <f>-'Parts GP Calc'!Z64</f>
        <v>12776.776837240155</v>
      </c>
      <c r="AA88" s="184" t="s">
        <v>98</v>
      </c>
      <c r="AB88" s="184" t="s">
        <v>75</v>
      </c>
      <c r="AC88" s="184" t="str">
        <f t="shared" si="31"/>
        <v/>
      </c>
      <c r="AE88" s="184" t="str">
        <f t="shared" si="32"/>
        <v>330-7020</v>
      </c>
    </row>
    <row r="89" spans="1:31" x14ac:dyDescent="0.2">
      <c r="A89" s="184">
        <v>430</v>
      </c>
      <c r="B89" s="187">
        <v>7020</v>
      </c>
      <c r="C89" s="186"/>
      <c r="D89" s="186"/>
      <c r="E89" s="186"/>
      <c r="F89" s="186"/>
      <c r="G89" s="186" cm="1">
        <f t="array" ref="G89">+SUM('Parts GP Calc'!G28:G32*7%)</f>
        <v>18771.379718431192</v>
      </c>
      <c r="H89" s="186" cm="1">
        <f t="array" ref="H89">+SUM('Parts GP Calc'!H28:H32*7%)</f>
        <v>18959.093515615503</v>
      </c>
      <c r="I89" s="186">
        <f>-'Parts GP Calc'!I65</f>
        <v>19148.68445077166</v>
      </c>
      <c r="J89" s="186">
        <f>-'Parts GP Calc'!J65</f>
        <v>19340.171295279375</v>
      </c>
      <c r="K89" s="186">
        <f>-'Parts GP Calc'!K65</f>
        <v>19533.573008232168</v>
      </c>
      <c r="L89" s="186">
        <f>-'Parts GP Calc'!L65</f>
        <v>17875.783179966722</v>
      </c>
      <c r="M89" s="186">
        <f>-'Parts GP Calc'!M65</f>
        <v>17734.6505494743</v>
      </c>
      <c r="N89" s="186">
        <f>-'Parts GP Calc'!N65</f>
        <v>23599.890899349084</v>
      </c>
      <c r="O89" s="186">
        <f>-'Parts GP Calc'!O65</f>
        <v>19736.774876263367</v>
      </c>
      <c r="P89" s="186">
        <f>-'Parts GP Calc'!P65</f>
        <v>17611.801272782996</v>
      </c>
      <c r="Q89" s="186">
        <f>-'Parts GP Calc'!Q65</f>
        <v>19736.774876263367</v>
      </c>
      <c r="R89" s="186">
        <f>-'Parts GP Calc'!R65</f>
        <v>19736.774876263364</v>
      </c>
      <c r="S89" s="186">
        <f>-'Parts GP Calc'!S65</f>
        <v>19736.774876263367</v>
      </c>
      <c r="T89" s="186">
        <f>-'Parts GP Calc'!T65</f>
        <v>19736.774876263364</v>
      </c>
      <c r="U89" s="186">
        <f>-'Parts GP Calc'!U65</f>
        <v>19736.774876263367</v>
      </c>
      <c r="V89" s="186">
        <f>-'Parts GP Calc'!V65</f>
        <v>19736.774876263367</v>
      </c>
      <c r="W89" s="186">
        <f>-'Parts GP Calc'!W65</f>
        <v>19736.774876263367</v>
      </c>
      <c r="X89" s="186">
        <f>-'Parts GP Calc'!X65</f>
        <v>19736.774876263367</v>
      </c>
      <c r="Y89" s="186">
        <f>-'Parts GP Calc'!Y65</f>
        <v>19736.774876263367</v>
      </c>
      <c r="Z89" s="186">
        <f>-'Parts GP Calc'!Z65</f>
        <v>19736.774876263367</v>
      </c>
      <c r="AA89" s="184" t="s">
        <v>98</v>
      </c>
      <c r="AB89" s="184" t="s">
        <v>75</v>
      </c>
      <c r="AC89" s="184" t="str">
        <f t="shared" si="31"/>
        <v/>
      </c>
      <c r="AE89" s="184" t="str">
        <f t="shared" si="32"/>
        <v>430-7020</v>
      </c>
    </row>
    <row r="90" spans="1:31" x14ac:dyDescent="0.2">
      <c r="A90" s="184">
        <v>140</v>
      </c>
      <c r="B90" s="185" t="s">
        <v>110</v>
      </c>
      <c r="C90" s="186"/>
      <c r="D90" s="186"/>
      <c r="E90" s="186"/>
      <c r="F90" s="186"/>
      <c r="G90" s="186">
        <v>13</v>
      </c>
      <c r="H90" s="186">
        <f>+G90</f>
        <v>13</v>
      </c>
      <c r="I90" s="215">
        <f t="shared" ref="I90:N90" si="37">+H90</f>
        <v>13</v>
      </c>
      <c r="J90" s="186">
        <f t="shared" si="37"/>
        <v>13</v>
      </c>
      <c r="K90" s="186">
        <f t="shared" si="37"/>
        <v>13</v>
      </c>
      <c r="L90" s="186">
        <f t="shared" si="37"/>
        <v>13</v>
      </c>
      <c r="M90" s="186">
        <f t="shared" si="37"/>
        <v>13</v>
      </c>
      <c r="N90" s="186">
        <f t="shared" si="37"/>
        <v>13</v>
      </c>
      <c r="O90" s="186">
        <v>13</v>
      </c>
      <c r="P90" s="186">
        <f t="shared" ref="P90:P94" si="38">+O90</f>
        <v>13</v>
      </c>
      <c r="Q90" s="186">
        <f t="shared" ref="Q90:Q94" si="39">+P90</f>
        <v>13</v>
      </c>
      <c r="R90" s="186">
        <f t="shared" ref="R90:R94" si="40">+Q90</f>
        <v>13</v>
      </c>
      <c r="S90" s="186">
        <f t="shared" ref="S90:S94" si="41">+R90</f>
        <v>13</v>
      </c>
      <c r="T90" s="186">
        <f t="shared" ref="T90:T94" si="42">+S90</f>
        <v>13</v>
      </c>
      <c r="U90" s="186">
        <f t="shared" ref="U90:U94" si="43">+T90</f>
        <v>13</v>
      </c>
      <c r="V90" s="186">
        <f t="shared" ref="V90:V94" si="44">+U90</f>
        <v>13</v>
      </c>
      <c r="W90" s="186">
        <f t="shared" ref="W90:W94" si="45">+V90</f>
        <v>13</v>
      </c>
      <c r="X90" s="186">
        <f t="shared" ref="X90:X94" si="46">+W90</f>
        <v>13</v>
      </c>
      <c r="Y90" s="186">
        <f t="shared" ref="Y90:Y94" si="47">+X90</f>
        <v>13</v>
      </c>
      <c r="Z90" s="186">
        <f t="shared" ref="Z90:Z94" si="48">+Y90</f>
        <v>13</v>
      </c>
      <c r="AA90" s="184" t="s">
        <v>111</v>
      </c>
      <c r="AB90" s="184" t="s">
        <v>112</v>
      </c>
      <c r="AC90" s="184" t="str">
        <f t="shared" si="31"/>
        <v>#</v>
      </c>
      <c r="AE90" s="184" t="str">
        <f t="shared" si="32"/>
        <v>140-9360M#</v>
      </c>
    </row>
    <row r="91" spans="1:31" x14ac:dyDescent="0.2">
      <c r="A91" s="184">
        <v>147</v>
      </c>
      <c r="B91" s="185" t="s">
        <v>110</v>
      </c>
      <c r="C91" s="186"/>
      <c r="D91" s="186"/>
      <c r="E91" s="186"/>
      <c r="F91" s="186"/>
      <c r="G91" s="186">
        <v>2.5</v>
      </c>
      <c r="H91" s="186">
        <f t="shared" ref="H91:N94" si="49">+G91</f>
        <v>2.5</v>
      </c>
      <c r="I91" s="215">
        <f t="shared" si="49"/>
        <v>2.5</v>
      </c>
      <c r="J91" s="186">
        <f t="shared" si="49"/>
        <v>2.5</v>
      </c>
      <c r="K91" s="186">
        <f t="shared" si="49"/>
        <v>2.5</v>
      </c>
      <c r="L91" s="186">
        <f t="shared" si="49"/>
        <v>2.5</v>
      </c>
      <c r="M91" s="186">
        <f t="shared" si="49"/>
        <v>2.5</v>
      </c>
      <c r="N91" s="186">
        <f t="shared" si="49"/>
        <v>2.5</v>
      </c>
      <c r="O91" s="186">
        <v>0</v>
      </c>
      <c r="P91" s="186">
        <f t="shared" si="38"/>
        <v>0</v>
      </c>
      <c r="Q91" s="186">
        <f t="shared" si="39"/>
        <v>0</v>
      </c>
      <c r="R91" s="186">
        <f t="shared" si="40"/>
        <v>0</v>
      </c>
      <c r="S91" s="186">
        <f t="shared" si="41"/>
        <v>0</v>
      </c>
      <c r="T91" s="186">
        <f t="shared" si="42"/>
        <v>0</v>
      </c>
      <c r="U91" s="186">
        <f t="shared" si="43"/>
        <v>0</v>
      </c>
      <c r="V91" s="186">
        <f t="shared" si="44"/>
        <v>0</v>
      </c>
      <c r="W91" s="186">
        <f t="shared" si="45"/>
        <v>0</v>
      </c>
      <c r="X91" s="186">
        <f t="shared" si="46"/>
        <v>0</v>
      </c>
      <c r="Y91" s="186">
        <f t="shared" si="47"/>
        <v>0</v>
      </c>
      <c r="Z91" s="186">
        <f t="shared" si="48"/>
        <v>0</v>
      </c>
      <c r="AA91" s="184" t="s">
        <v>111</v>
      </c>
      <c r="AB91" s="184" t="s">
        <v>112</v>
      </c>
      <c r="AC91" s="184" t="str">
        <f t="shared" si="31"/>
        <v>#</v>
      </c>
      <c r="AE91" s="184" t="str">
        <f t="shared" si="32"/>
        <v>147-9360M#</v>
      </c>
    </row>
    <row r="92" spans="1:31" x14ac:dyDescent="0.2">
      <c r="A92" s="184">
        <v>240</v>
      </c>
      <c r="B92" s="185" t="s">
        <v>110</v>
      </c>
      <c r="C92" s="186"/>
      <c r="D92" s="186"/>
      <c r="E92" s="186"/>
      <c r="F92" s="186"/>
      <c r="G92" s="186">
        <v>7</v>
      </c>
      <c r="H92" s="186">
        <f t="shared" si="49"/>
        <v>7</v>
      </c>
      <c r="I92" s="215">
        <f t="shared" si="49"/>
        <v>7</v>
      </c>
      <c r="J92" s="186">
        <f t="shared" si="49"/>
        <v>7</v>
      </c>
      <c r="K92" s="186">
        <f t="shared" si="49"/>
        <v>7</v>
      </c>
      <c r="L92" s="186">
        <f t="shared" si="49"/>
        <v>7</v>
      </c>
      <c r="M92" s="186">
        <f t="shared" si="49"/>
        <v>7</v>
      </c>
      <c r="N92" s="186">
        <f t="shared" si="49"/>
        <v>7</v>
      </c>
      <c r="O92" s="186">
        <v>6.75</v>
      </c>
      <c r="P92" s="186">
        <f t="shared" si="38"/>
        <v>6.75</v>
      </c>
      <c r="Q92" s="186">
        <f t="shared" si="39"/>
        <v>6.75</v>
      </c>
      <c r="R92" s="186">
        <f t="shared" si="40"/>
        <v>6.75</v>
      </c>
      <c r="S92" s="186">
        <f t="shared" si="41"/>
        <v>6.75</v>
      </c>
      <c r="T92" s="186">
        <f t="shared" si="42"/>
        <v>6.75</v>
      </c>
      <c r="U92" s="186">
        <f t="shared" si="43"/>
        <v>6.75</v>
      </c>
      <c r="V92" s="186">
        <f t="shared" si="44"/>
        <v>6.75</v>
      </c>
      <c r="W92" s="186">
        <f t="shared" si="45"/>
        <v>6.75</v>
      </c>
      <c r="X92" s="186">
        <f t="shared" si="46"/>
        <v>6.75</v>
      </c>
      <c r="Y92" s="186">
        <f t="shared" si="47"/>
        <v>6.75</v>
      </c>
      <c r="Z92" s="186">
        <f t="shared" si="48"/>
        <v>6.75</v>
      </c>
      <c r="AA92" s="184" t="s">
        <v>111</v>
      </c>
      <c r="AB92" s="184" t="s">
        <v>112</v>
      </c>
      <c r="AC92" s="184" t="str">
        <f t="shared" si="31"/>
        <v>#</v>
      </c>
      <c r="AE92" s="184" t="str">
        <f t="shared" si="32"/>
        <v>240-9360M#</v>
      </c>
    </row>
    <row r="93" spans="1:31" x14ac:dyDescent="0.2">
      <c r="A93" s="184">
        <v>340</v>
      </c>
      <c r="B93" s="185" t="s">
        <v>110</v>
      </c>
      <c r="C93" s="186"/>
      <c r="D93" s="186"/>
      <c r="E93" s="186"/>
      <c r="F93" s="186"/>
      <c r="G93" s="186">
        <v>5.5</v>
      </c>
      <c r="H93" s="186">
        <f t="shared" si="49"/>
        <v>5.5</v>
      </c>
      <c r="I93" s="215">
        <f t="shared" si="49"/>
        <v>5.5</v>
      </c>
      <c r="J93" s="186">
        <f t="shared" si="49"/>
        <v>5.5</v>
      </c>
      <c r="K93" s="186">
        <f t="shared" si="49"/>
        <v>5.5</v>
      </c>
      <c r="L93" s="186">
        <f t="shared" si="49"/>
        <v>5.5</v>
      </c>
      <c r="M93" s="186">
        <f t="shared" si="49"/>
        <v>5.5</v>
      </c>
      <c r="N93" s="186">
        <f t="shared" si="49"/>
        <v>5.5</v>
      </c>
      <c r="O93" s="186">
        <v>5.5</v>
      </c>
      <c r="P93" s="186">
        <f t="shared" si="38"/>
        <v>5.5</v>
      </c>
      <c r="Q93" s="186">
        <f t="shared" si="39"/>
        <v>5.5</v>
      </c>
      <c r="R93" s="186">
        <f t="shared" si="40"/>
        <v>5.5</v>
      </c>
      <c r="S93" s="186">
        <f t="shared" si="41"/>
        <v>5.5</v>
      </c>
      <c r="T93" s="186">
        <f t="shared" si="42"/>
        <v>5.5</v>
      </c>
      <c r="U93" s="186">
        <f t="shared" si="43"/>
        <v>5.5</v>
      </c>
      <c r="V93" s="186">
        <f t="shared" si="44"/>
        <v>5.5</v>
      </c>
      <c r="W93" s="186">
        <f t="shared" si="45"/>
        <v>5.5</v>
      </c>
      <c r="X93" s="186">
        <f t="shared" si="46"/>
        <v>5.5</v>
      </c>
      <c r="Y93" s="186">
        <f t="shared" si="47"/>
        <v>5.5</v>
      </c>
      <c r="Z93" s="186">
        <f t="shared" si="48"/>
        <v>5.5</v>
      </c>
      <c r="AA93" s="184" t="s">
        <v>111</v>
      </c>
      <c r="AB93" s="184" t="s">
        <v>112</v>
      </c>
      <c r="AC93" s="184" t="str">
        <f t="shared" si="31"/>
        <v>#</v>
      </c>
      <c r="AE93" s="184" t="str">
        <f t="shared" si="32"/>
        <v>340-9360M#</v>
      </c>
    </row>
    <row r="94" spans="1:31" x14ac:dyDescent="0.2">
      <c r="A94" s="184">
        <v>440</v>
      </c>
      <c r="B94" s="185" t="s">
        <v>110</v>
      </c>
      <c r="C94" s="186"/>
      <c r="D94" s="186"/>
      <c r="E94" s="186"/>
      <c r="F94" s="186"/>
      <c r="G94" s="186">
        <v>4.5</v>
      </c>
      <c r="H94" s="186">
        <f t="shared" si="49"/>
        <v>4.5</v>
      </c>
      <c r="I94" s="215">
        <f t="shared" si="49"/>
        <v>4.5</v>
      </c>
      <c r="J94" s="186">
        <f t="shared" si="49"/>
        <v>4.5</v>
      </c>
      <c r="K94" s="186">
        <f t="shared" si="49"/>
        <v>4.5</v>
      </c>
      <c r="L94" s="186">
        <f t="shared" si="49"/>
        <v>4.5</v>
      </c>
      <c r="M94" s="186">
        <f t="shared" si="49"/>
        <v>4.5</v>
      </c>
      <c r="N94" s="186">
        <f t="shared" si="49"/>
        <v>4.5</v>
      </c>
      <c r="O94" s="186">
        <v>5.5</v>
      </c>
      <c r="P94" s="186">
        <f t="shared" si="38"/>
        <v>5.5</v>
      </c>
      <c r="Q94" s="186">
        <f t="shared" si="39"/>
        <v>5.5</v>
      </c>
      <c r="R94" s="186">
        <f t="shared" si="40"/>
        <v>5.5</v>
      </c>
      <c r="S94" s="186">
        <f t="shared" si="41"/>
        <v>5.5</v>
      </c>
      <c r="T94" s="186">
        <f t="shared" si="42"/>
        <v>5.5</v>
      </c>
      <c r="U94" s="186">
        <f t="shared" si="43"/>
        <v>5.5</v>
      </c>
      <c r="V94" s="186">
        <f t="shared" si="44"/>
        <v>5.5</v>
      </c>
      <c r="W94" s="186">
        <f t="shared" si="45"/>
        <v>5.5</v>
      </c>
      <c r="X94" s="186">
        <f t="shared" si="46"/>
        <v>5.5</v>
      </c>
      <c r="Y94" s="186">
        <f t="shared" si="47"/>
        <v>5.5</v>
      </c>
      <c r="Z94" s="186">
        <f t="shared" si="48"/>
        <v>5.5</v>
      </c>
      <c r="AA94" s="184" t="s">
        <v>111</v>
      </c>
      <c r="AB94" s="184" t="s">
        <v>112</v>
      </c>
      <c r="AC94" s="184" t="str">
        <f t="shared" si="31"/>
        <v>#</v>
      </c>
      <c r="AE94" s="184" t="str">
        <f t="shared" si="32"/>
        <v>440-9360M#</v>
      </c>
    </row>
    <row r="95" spans="1:31" x14ac:dyDescent="0.2">
      <c r="A95" s="184">
        <v>140</v>
      </c>
      <c r="B95" s="185">
        <v>3300</v>
      </c>
      <c r="C95" s="186"/>
      <c r="D95" s="186"/>
      <c r="E95" s="186"/>
      <c r="F95" s="186"/>
      <c r="G95" s="186">
        <f>-'Service GP Calc'!G22</f>
        <v>-207078.17425690283</v>
      </c>
      <c r="H95" s="186">
        <f>-'Service GP Calc'!H22</f>
        <v>-174381.62042686556</v>
      </c>
      <c r="I95" s="186">
        <f>-'Service GP Calc'!I22</f>
        <v>-217977.02553358194</v>
      </c>
      <c r="J95" s="186">
        <f>-'Service GP Calc'!J22</f>
        <v>-217977.02553358194</v>
      </c>
      <c r="K95" s="186">
        <f>-'Service GP Calc'!K22</f>
        <v>-163482.76915018645</v>
      </c>
      <c r="L95" s="186">
        <f>-'Service GP Calc'!L22</f>
        <v>-170447.66234035225</v>
      </c>
      <c r="M95" s="186">
        <f>-'Service GP Calc'!M22</f>
        <v>-169367.97597914466</v>
      </c>
      <c r="N95" s="186">
        <f>-'Service GP Calc'!N22</f>
        <v>-226615.89930683037</v>
      </c>
      <c r="O95" s="186">
        <f>-'Service GP Calc'!O22</f>
        <v>-155574.45030453659</v>
      </c>
      <c r="P95" s="186">
        <f>-'Service GP Calc'!P22</f>
        <v>-190492.21422522384</v>
      </c>
      <c r="Q95" s="186">
        <f>-'Service GP Calc'!Q22</f>
        <v>-207432.53817628731</v>
      </c>
      <c r="R95" s="186">
        <f>-'Service GP Calc'!R22</f>
        <v>-214346.95611549687</v>
      </c>
      <c r="S95" s="186">
        <f>-'Service GP Calc'!S22</f>
        <v>-199135.23664923583</v>
      </c>
      <c r="T95" s="186">
        <f>-'Service GP Calc'!T22</f>
        <v>-199135.23664923583</v>
      </c>
      <c r="U95" s="186">
        <f>-'Service GP Calc'!U22</f>
        <v>-221261.37405470648</v>
      </c>
      <c r="V95" s="186">
        <f>-'Service GP Calc'!V22</f>
        <v>-221261.37405470648</v>
      </c>
      <c r="W95" s="186">
        <f>-'Service GP Calc'!W22</f>
        <v>-199135.23664923583</v>
      </c>
      <c r="X95" s="186">
        <f>-'Service GP Calc'!X22</f>
        <v>-199135.23664923583</v>
      </c>
      <c r="Y95" s="186">
        <f>-'Service GP Calc'!Y22</f>
        <v>-199146.29971793856</v>
      </c>
      <c r="Z95" s="186">
        <f>-'Service GP Calc'!Z22</f>
        <v>-243387.51146017713</v>
      </c>
      <c r="AA95" s="184" t="s">
        <v>111</v>
      </c>
      <c r="AB95" s="184" t="s">
        <v>113</v>
      </c>
      <c r="AC95" s="184" t="str">
        <f t="shared" si="31"/>
        <v/>
      </c>
      <c r="AE95" s="184" t="str">
        <f t="shared" si="32"/>
        <v>140-3300</v>
      </c>
    </row>
    <row r="96" spans="1:31" x14ac:dyDescent="0.2">
      <c r="A96" s="184">
        <v>140</v>
      </c>
      <c r="B96" s="185">
        <v>3320</v>
      </c>
      <c r="C96" s="186"/>
      <c r="D96" s="186"/>
      <c r="E96" s="186"/>
      <c r="F96" s="186"/>
      <c r="G96" s="186">
        <f>-'Service GP Calc'!G23</f>
        <v>-26346.86855078919</v>
      </c>
      <c r="H96" s="186">
        <f>-'Service GP Calc'!H23</f>
        <v>-22186.836674348793</v>
      </c>
      <c r="I96" s="186">
        <f>-'Service GP Calc'!I23</f>
        <v>-27733.54584293599</v>
      </c>
      <c r="J96" s="186">
        <f>-'Service GP Calc'!J23</f>
        <v>-27733.54584293599</v>
      </c>
      <c r="K96" s="186">
        <f>-'Service GP Calc'!K23</f>
        <v>-20800.159382201993</v>
      </c>
      <c r="L96" s="186">
        <f>-'Service GP Calc'!L23</f>
        <v>-21686.3132514356</v>
      </c>
      <c r="M96" s="186">
        <f>-'Service GP Calc'!M23</f>
        <v>-21548.943126665592</v>
      </c>
      <c r="N96" s="186">
        <f>-'Service GP Calc'!N23</f>
        <v>-28832.682787461421</v>
      </c>
      <c r="O96" s="186">
        <f>-'Service GP Calc'!O23</f>
        <v>-19793.972043378089</v>
      </c>
      <c r="P96" s="186">
        <f>-'Service GP Calc'!P23</f>
        <v>-24236.611831019396</v>
      </c>
      <c r="Q96" s="186">
        <f>-'Service GP Calc'!Q23</f>
        <v>-26391.954806917674</v>
      </c>
      <c r="R96" s="186">
        <f>-'Service GP Calc'!R23</f>
        <v>-27271.68663381493</v>
      </c>
      <c r="S96" s="186">
        <f>-'Service GP Calc'!S23</f>
        <v>-25336.276614640967</v>
      </c>
      <c r="T96" s="186">
        <f>-'Service GP Calc'!T23</f>
        <v>-25336.276614640967</v>
      </c>
      <c r="U96" s="186">
        <f>-'Service GP Calc'!U23</f>
        <v>-28151.41846071219</v>
      </c>
      <c r="V96" s="186">
        <f>-'Service GP Calc'!V23</f>
        <v>-28151.41846071219</v>
      </c>
      <c r="W96" s="186">
        <f>-'Service GP Calc'!W23</f>
        <v>-25336.276614640967</v>
      </c>
      <c r="X96" s="186">
        <f>-'Service GP Calc'!X23</f>
        <v>-25336.276614640967</v>
      </c>
      <c r="Y96" s="186">
        <f>-'Service GP Calc'!Y23</f>
        <v>-25337.684185564005</v>
      </c>
      <c r="Z96" s="186">
        <f>-'Service GP Calc'!Z23</f>
        <v>-30966.560306783405</v>
      </c>
      <c r="AA96" s="184" t="s">
        <v>111</v>
      </c>
      <c r="AB96" s="184" t="s">
        <v>114</v>
      </c>
      <c r="AC96" s="184" t="str">
        <f t="shared" si="31"/>
        <v/>
      </c>
      <c r="AE96" s="184" t="str">
        <f t="shared" si="32"/>
        <v>140-3320</v>
      </c>
    </row>
    <row r="97" spans="1:31" x14ac:dyDescent="0.2">
      <c r="A97" s="184">
        <v>140</v>
      </c>
      <c r="B97" s="185">
        <v>3340</v>
      </c>
      <c r="C97" s="186"/>
      <c r="D97" s="186"/>
      <c r="E97" s="186"/>
      <c r="F97" s="186"/>
      <c r="G97" s="186">
        <f>-'Service GP Calc'!G24</f>
        <v>-19737.945668851171</v>
      </c>
      <c r="H97" s="186">
        <f>-'Service GP Calc'!H24</f>
        <v>-16621.427931664144</v>
      </c>
      <c r="I97" s="186">
        <f>-'Service GP Calc'!I24</f>
        <v>-20776.784914580181</v>
      </c>
      <c r="J97" s="186">
        <f>-'Service GP Calc'!J24</f>
        <v>-20776.784914580181</v>
      </c>
      <c r="K97" s="186">
        <f>-'Service GP Calc'!K24</f>
        <v>-15582.588685935136</v>
      </c>
      <c r="L97" s="186">
        <f>-'Service GP Calc'!L24</f>
        <v>-16246.45721708364</v>
      </c>
      <c r="M97" s="186">
        <f>-'Service GP Calc'!M24</f>
        <v>-16143.545402193498</v>
      </c>
      <c r="N97" s="186">
        <f>-'Service GP Calc'!N24</f>
        <v>-21600.211245183717</v>
      </c>
      <c r="O97" s="186">
        <f>-'Service GP Calc'!O24</f>
        <v>-14828.796219551221</v>
      </c>
      <c r="P97" s="186">
        <f>-'Service GP Calc'!P24</f>
        <v>-18157.031701718763</v>
      </c>
      <c r="Q97" s="186">
        <f>-'Service GP Calc'!Q24</f>
        <v>-19771.722361218253</v>
      </c>
      <c r="R97" s="186">
        <f>-'Service GP Calc'!R24</f>
        <v>-20430.779773258859</v>
      </c>
      <c r="S97" s="186">
        <f>-'Service GP Calc'!S24</f>
        <v>-18980.853466769524</v>
      </c>
      <c r="T97" s="186">
        <f>-'Service GP Calc'!T24</f>
        <v>-18980.853466769524</v>
      </c>
      <c r="U97" s="186">
        <f>-'Service GP Calc'!U24</f>
        <v>-21089.837185299471</v>
      </c>
      <c r="V97" s="186">
        <f>-'Service GP Calc'!V24</f>
        <v>-21089.837185299471</v>
      </c>
      <c r="W97" s="186">
        <f>-'Service GP Calc'!W24</f>
        <v>-18980.853466769524</v>
      </c>
      <c r="X97" s="186">
        <f>-'Service GP Calc'!X24</f>
        <v>-18980.853466769524</v>
      </c>
      <c r="Y97" s="186">
        <f>-'Service GP Calc'!Y24</f>
        <v>-18981.907958628788</v>
      </c>
      <c r="Z97" s="186">
        <f>-'Service GP Calc'!Z24</f>
        <v>-23198.820903829419</v>
      </c>
      <c r="AA97" s="184" t="s">
        <v>111</v>
      </c>
      <c r="AB97" s="184" t="s">
        <v>115</v>
      </c>
      <c r="AC97" s="184" t="str">
        <f t="shared" si="31"/>
        <v/>
      </c>
      <c r="AE97" s="184" t="str">
        <f t="shared" si="32"/>
        <v>140-3340</v>
      </c>
    </row>
    <row r="98" spans="1:31" x14ac:dyDescent="0.2">
      <c r="A98" s="184">
        <v>140</v>
      </c>
      <c r="B98" s="185">
        <v>4300</v>
      </c>
      <c r="C98" s="186"/>
      <c r="D98" s="186"/>
      <c r="E98" s="186"/>
      <c r="F98" s="186"/>
      <c r="G98" s="186">
        <f>-'Service GP Calc'!G43</f>
        <v>69447.324903425251</v>
      </c>
      <c r="H98" s="186">
        <f>-'Service GP Calc'!H43</f>
        <v>56811.044733027571</v>
      </c>
      <c r="I98" s="186">
        <f>-'Service GP Calc'!I43</f>
        <v>68507.436295709733</v>
      </c>
      <c r="J98" s="186">
        <f>-'Service GP Calc'!J43</f>
        <v>68507.436295709733</v>
      </c>
      <c r="K98" s="186">
        <f>-'Service GP Calc'!K43</f>
        <v>51380.577221782296</v>
      </c>
      <c r="L98" s="186">
        <f>-'Service GP Calc'!L43</f>
        <v>44096.89020756715</v>
      </c>
      <c r="M98" s="186">
        <f>-'Service GP Calc'!M43</f>
        <v>48686.180189545084</v>
      </c>
      <c r="N98" s="186">
        <f>-'Service GP Calc'!N43</f>
        <v>66662.546844349592</v>
      </c>
      <c r="O98" s="186">
        <f>-'Service GP Calc'!O43</f>
        <v>43578.247753170108</v>
      </c>
      <c r="P98" s="186">
        <f>-'Service GP Calc'!P43</f>
        <v>53359.127352254531</v>
      </c>
      <c r="Q98" s="186">
        <f>-'Service GP Calc'!Q43</f>
        <v>58104.312906266277</v>
      </c>
      <c r="R98" s="186">
        <f>-'Service GP Calc'!R43</f>
        <v>60041.123336475161</v>
      </c>
      <c r="S98" s="186">
        <f>-'Service GP Calc'!S43</f>
        <v>55780.140390015622</v>
      </c>
      <c r="T98" s="186">
        <f>-'Service GP Calc'!T43</f>
        <v>55780.140390015622</v>
      </c>
      <c r="U98" s="186">
        <f>-'Service GP Calc'!U43</f>
        <v>61977.933766684037</v>
      </c>
      <c r="V98" s="186">
        <f>-'Service GP Calc'!V43</f>
        <v>61977.933766684037</v>
      </c>
      <c r="W98" s="186">
        <f>-'Service GP Calc'!W43</f>
        <v>55780.140390015622</v>
      </c>
      <c r="X98" s="186">
        <f>-'Service GP Calc'!X43</f>
        <v>55780.140390015622</v>
      </c>
      <c r="Y98" s="186">
        <f>-'Service GP Calc'!Y43</f>
        <v>55783.239286703953</v>
      </c>
      <c r="Z98" s="186">
        <f>-'Service GP Calc'!Z43</f>
        <v>68175.727143352429</v>
      </c>
      <c r="AA98" s="184" t="s">
        <v>111</v>
      </c>
      <c r="AB98" s="184" t="s">
        <v>116</v>
      </c>
      <c r="AC98" s="184" t="str">
        <f t="shared" ref="AC98:AC129" si="50">+IF(RIGHT(B98,1)="#","#","")</f>
        <v/>
      </c>
      <c r="AE98" s="184" t="str">
        <f t="shared" ref="AE98:AE129" si="51">+A98&amp;"-"&amp;B98</f>
        <v>140-4300</v>
      </c>
    </row>
    <row r="99" spans="1:31" x14ac:dyDescent="0.2">
      <c r="A99" s="184">
        <v>140</v>
      </c>
      <c r="B99" s="185">
        <v>4320</v>
      </c>
      <c r="C99" s="186"/>
      <c r="D99" s="186"/>
      <c r="E99" s="186"/>
      <c r="F99" s="186"/>
      <c r="G99" s="186">
        <f>-'Service GP Calc'!G44</f>
        <v>9592.2864321024426</v>
      </c>
      <c r="H99" s="186">
        <f>-'Service GP Calc'!H44</f>
        <v>7846.9230361860573</v>
      </c>
      <c r="I99" s="186">
        <f>-'Service GP Calc'!I44</f>
        <v>9462.4660142243647</v>
      </c>
      <c r="J99" s="186">
        <f>-'Service GP Calc'!J44</f>
        <v>9462.4660142243647</v>
      </c>
      <c r="K99" s="186">
        <f>-'Service GP Calc'!K44</f>
        <v>7096.8495106682731</v>
      </c>
      <c r="L99" s="186">
        <f>-'Service GP Calc'!L44</f>
        <v>6090.803385503692</v>
      </c>
      <c r="M99" s="186">
        <f>-'Service GP Calc'!M44</f>
        <v>6724.6907827263803</v>
      </c>
      <c r="N99" s="186">
        <f>-'Service GP Calc'!N44</f>
        <v>9207.6439879242844</v>
      </c>
      <c r="O99" s="186">
        <f>-'Service GP Calc'!O44</f>
        <v>6019.1668323989707</v>
      </c>
      <c r="P99" s="186">
        <f>-'Service GP Calc'!P44</f>
        <v>7370.1331770752322</v>
      </c>
      <c r="Q99" s="186">
        <f>-'Service GP Calc'!Q44</f>
        <v>8025.5533688659507</v>
      </c>
      <c r="R99" s="186">
        <f>-'Service GP Calc'!R44</f>
        <v>8293.0718144948169</v>
      </c>
      <c r="S99" s="186">
        <f>-'Service GP Calc'!S44</f>
        <v>7704.5312341113122</v>
      </c>
      <c r="T99" s="186">
        <f>-'Service GP Calc'!T44</f>
        <v>7704.5312341113122</v>
      </c>
      <c r="U99" s="186">
        <f>-'Service GP Calc'!U44</f>
        <v>8560.590260123683</v>
      </c>
      <c r="V99" s="186">
        <f>-'Service GP Calc'!V44</f>
        <v>8560.590260123683</v>
      </c>
      <c r="W99" s="186">
        <f>-'Service GP Calc'!W44</f>
        <v>7704.5312341113122</v>
      </c>
      <c r="X99" s="186">
        <f>-'Service GP Calc'!X44</f>
        <v>7704.5312341113122</v>
      </c>
      <c r="Y99" s="186">
        <f>-'Service GP Calc'!Y44</f>
        <v>7704.9592636243187</v>
      </c>
      <c r="Z99" s="186">
        <f>-'Service GP Calc'!Z44</f>
        <v>9416.6492861360493</v>
      </c>
      <c r="AA99" s="184" t="s">
        <v>111</v>
      </c>
      <c r="AB99" s="184" t="s">
        <v>117</v>
      </c>
      <c r="AC99" s="184" t="str">
        <f t="shared" si="50"/>
        <v/>
      </c>
      <c r="AE99" s="184" t="str">
        <f t="shared" si="51"/>
        <v>140-4320</v>
      </c>
    </row>
    <row r="100" spans="1:31" x14ac:dyDescent="0.2">
      <c r="A100" s="184">
        <v>140</v>
      </c>
      <c r="B100" s="185">
        <v>4340</v>
      </c>
      <c r="C100" s="186"/>
      <c r="D100" s="186"/>
      <c r="E100" s="186"/>
      <c r="F100" s="186"/>
      <c r="G100" s="186">
        <f>-'Service GP Calc'!G45</f>
        <v>9567.434631262433</v>
      </c>
      <c r="H100" s="186">
        <f>-'Service GP Calc'!H45</f>
        <v>7826.5931419650569</v>
      </c>
      <c r="I100" s="186">
        <f>-'Service GP Calc'!I45</f>
        <v>9437.9505535460994</v>
      </c>
      <c r="J100" s="186">
        <f>-'Service GP Calc'!J45</f>
        <v>9437.9505535460994</v>
      </c>
      <c r="K100" s="186">
        <f>-'Service GP Calc'!K45</f>
        <v>7078.4629151595745</v>
      </c>
      <c r="L100" s="186">
        <f>-'Service GP Calc'!L45</f>
        <v>6075.0232653244602</v>
      </c>
      <c r="M100" s="186">
        <f>-'Service GP Calc'!M45</f>
        <v>6707.2683801296789</v>
      </c>
      <c r="N100" s="186">
        <f>-'Service GP Calc'!N45</f>
        <v>9183.7887229451462</v>
      </c>
      <c r="O100" s="186">
        <f>-'Service GP Calc'!O45</f>
        <v>6003.5723089868097</v>
      </c>
      <c r="P100" s="186">
        <f>-'Service GP Calc'!P45</f>
        <v>7351.0385552478401</v>
      </c>
      <c r="Q100" s="186">
        <f>-'Service GP Calc'!Q45</f>
        <v>8004.7606772208783</v>
      </c>
      <c r="R100" s="186">
        <f>-'Service GP Calc'!R45</f>
        <v>8271.586033128242</v>
      </c>
      <c r="S100" s="186">
        <f>-'Service GP Calc'!S45</f>
        <v>7684.570250132042</v>
      </c>
      <c r="T100" s="186">
        <f>-'Service GP Calc'!T45</f>
        <v>7684.570250132042</v>
      </c>
      <c r="U100" s="186">
        <f>-'Service GP Calc'!U45</f>
        <v>8538.4113890356039</v>
      </c>
      <c r="V100" s="186">
        <f>-'Service GP Calc'!V45</f>
        <v>8538.4113890356039</v>
      </c>
      <c r="W100" s="186">
        <f>-'Service GP Calc'!W45</f>
        <v>7684.570250132042</v>
      </c>
      <c r="X100" s="186">
        <f>-'Service GP Calc'!X45</f>
        <v>7684.570250132042</v>
      </c>
      <c r="Y100" s="186">
        <f>-'Service GP Calc'!Y45</f>
        <v>7684.9971707014938</v>
      </c>
      <c r="Z100" s="186">
        <f>-'Service GP Calc'!Z45</f>
        <v>9392.252527939163</v>
      </c>
      <c r="AA100" s="184" t="s">
        <v>111</v>
      </c>
      <c r="AB100" s="184" t="s">
        <v>118</v>
      </c>
      <c r="AC100" s="184" t="str">
        <f t="shared" si="50"/>
        <v/>
      </c>
      <c r="AE100" s="184" t="str">
        <f t="shared" si="51"/>
        <v>140-4340</v>
      </c>
    </row>
    <row r="101" spans="1:31" x14ac:dyDescent="0.2">
      <c r="A101" s="184">
        <v>147</v>
      </c>
      <c r="B101" s="185">
        <v>3300</v>
      </c>
      <c r="C101" s="186"/>
      <c r="D101" s="186"/>
      <c r="E101" s="186"/>
      <c r="F101" s="186"/>
      <c r="G101" s="186">
        <f>-'Service GP Calc'!G26</f>
        <v>-124.08793011506249</v>
      </c>
      <c r="H101" s="186">
        <f>-'Service GP Calc'!H26</f>
        <v>-104.49509904426316</v>
      </c>
      <c r="I101" s="186">
        <f>-'Service GP Calc'!I26</f>
        <v>-130.61887380532895</v>
      </c>
      <c r="J101" s="186">
        <f>-'Service GP Calc'!J26</f>
        <v>-130.61887380532895</v>
      </c>
      <c r="K101" s="186">
        <f>-'Service GP Calc'!K26</f>
        <v>-97.964155353996716</v>
      </c>
      <c r="L101" s="186">
        <f>-'Service GP Calc'!L26</f>
        <v>-102.13774430194621</v>
      </c>
      <c r="M101" s="186">
        <f>-'Service GP Calc'!M26</f>
        <v>-101.49076136317692</v>
      </c>
      <c r="N101" s="186">
        <f>-'Service GP Calc'!N26</f>
        <v>-135.79556598399282</v>
      </c>
      <c r="O101" s="186">
        <f>-'Service GP Calc'!O26</f>
        <v>-93.225235283022982</v>
      </c>
      <c r="P101" s="186">
        <f>-'Service GP Calc'!P26</f>
        <v>-114.14908717959754</v>
      </c>
      <c r="Q101" s="186">
        <f>-'Service GP Calc'!Q26</f>
        <v>-124.3002764206144</v>
      </c>
      <c r="R101" s="186">
        <f>-'Service GP Calc'!R26</f>
        <v>-128.44361896796821</v>
      </c>
      <c r="S101" s="186">
        <f>-'Service GP Calc'!S26</f>
        <v>-119.32826536378981</v>
      </c>
      <c r="T101" s="186">
        <f>-'Service GP Calc'!T26</f>
        <v>-119.32826536378981</v>
      </c>
      <c r="U101" s="186">
        <f>-'Service GP Calc'!U26</f>
        <v>-132.586961515322</v>
      </c>
      <c r="V101" s="186">
        <f>-'Service GP Calc'!V26</f>
        <v>-132.586961515322</v>
      </c>
      <c r="W101" s="186">
        <f>-'Service GP Calc'!W26</f>
        <v>-119.32826536378981</v>
      </c>
      <c r="X101" s="186">
        <f>-'Service GP Calc'!X26</f>
        <v>-119.32826536378981</v>
      </c>
      <c r="Y101" s="186">
        <f>-'Service GP Calc'!Y26</f>
        <v>-119.33489471186557</v>
      </c>
      <c r="Z101" s="186">
        <f>-'Service GP Calc'!Z26</f>
        <v>-145.84565766685421</v>
      </c>
      <c r="AA101" s="184" t="s">
        <v>111</v>
      </c>
      <c r="AB101" s="184" t="s">
        <v>113</v>
      </c>
      <c r="AC101" s="184" t="str">
        <f t="shared" si="50"/>
        <v/>
      </c>
      <c r="AE101" s="184" t="str">
        <f t="shared" si="51"/>
        <v>147-3300</v>
      </c>
    </row>
    <row r="102" spans="1:31" x14ac:dyDescent="0.2">
      <c r="A102" s="184">
        <v>147</v>
      </c>
      <c r="B102" s="185">
        <v>3320</v>
      </c>
      <c r="C102" s="186"/>
      <c r="D102" s="186"/>
      <c r="E102" s="186"/>
      <c r="F102" s="186"/>
      <c r="G102" s="186">
        <f>-'Service GP Calc'!G27</f>
        <v>-11.064490471294704</v>
      </c>
      <c r="H102" s="186">
        <f>-'Service GP Calc'!H27</f>
        <v>-9.3174656600376462</v>
      </c>
      <c r="I102" s="186">
        <f>-'Service GP Calc'!I27</f>
        <v>-11.646832075047058</v>
      </c>
      <c r="J102" s="186">
        <f>-'Service GP Calc'!J27</f>
        <v>-11.646832075047058</v>
      </c>
      <c r="K102" s="186">
        <f>-'Service GP Calc'!K27</f>
        <v>-8.7351240562852936</v>
      </c>
      <c r="L102" s="186">
        <f>-'Service GP Calc'!L27</f>
        <v>-9.1072685114540466</v>
      </c>
      <c r="M102" s="186">
        <f>-'Service GP Calc'!M27</f>
        <v>-9.0495792861243523</v>
      </c>
      <c r="N102" s="186">
        <f>-'Service GP Calc'!N27</f>
        <v>-12.10841976718231</v>
      </c>
      <c r="O102" s="186">
        <f>-'Service GP Calc'!O27</f>
        <v>-8.3125709850808978</v>
      </c>
      <c r="P102" s="186">
        <f>-'Service GP Calc'!P27</f>
        <v>-10.178278308248895</v>
      </c>
      <c r="Q102" s="186">
        <f>-'Service GP Calc'!Q27</f>
        <v>-11.083424655080469</v>
      </c>
      <c r="R102" s="186">
        <f>-'Service GP Calc'!R27</f>
        <v>-11.45287214358315</v>
      </c>
      <c r="S102" s="186">
        <f>-'Service GP Calc'!S27</f>
        <v>-10.64008766887725</v>
      </c>
      <c r="T102" s="186">
        <f>-'Service GP Calc'!T27</f>
        <v>-10.64008766887725</v>
      </c>
      <c r="U102" s="186">
        <f>-'Service GP Calc'!U27</f>
        <v>-11.822319632085831</v>
      </c>
      <c r="V102" s="186">
        <f>-'Service GP Calc'!V27</f>
        <v>-11.822319632085831</v>
      </c>
      <c r="W102" s="186">
        <f>-'Service GP Calc'!W27</f>
        <v>-10.64008766887725</v>
      </c>
      <c r="X102" s="186">
        <f>-'Service GP Calc'!X27</f>
        <v>-10.64008766887725</v>
      </c>
      <c r="Y102" s="186">
        <f>-'Service GP Calc'!Y27</f>
        <v>-10.640678784858853</v>
      </c>
      <c r="Z102" s="186">
        <f>-'Service GP Calc'!Z27</f>
        <v>-13.004551595294416</v>
      </c>
      <c r="AA102" s="184" t="s">
        <v>111</v>
      </c>
      <c r="AB102" s="184" t="s">
        <v>114</v>
      </c>
      <c r="AC102" s="184" t="str">
        <f t="shared" si="50"/>
        <v/>
      </c>
      <c r="AE102" s="184" t="str">
        <f t="shared" si="51"/>
        <v>147-3320</v>
      </c>
    </row>
    <row r="103" spans="1:31" x14ac:dyDescent="0.2">
      <c r="A103" s="184">
        <v>147</v>
      </c>
      <c r="B103" s="185">
        <v>3340</v>
      </c>
      <c r="C103" s="186"/>
      <c r="D103" s="186"/>
      <c r="E103" s="186"/>
      <c r="F103" s="186"/>
      <c r="G103" s="186">
        <f>-'Service GP Calc'!G28</f>
        <v>-184.71495825978212</v>
      </c>
      <c r="H103" s="186">
        <f>-'Service GP Calc'!H28</f>
        <v>-155.54943853455336</v>
      </c>
      <c r="I103" s="186">
        <f>-'Service GP Calc'!I28</f>
        <v>-194.4367981681917</v>
      </c>
      <c r="J103" s="186">
        <f>-'Service GP Calc'!J28</f>
        <v>-194.4367981681917</v>
      </c>
      <c r="K103" s="186">
        <f>-'Service GP Calc'!K28</f>
        <v>-145.82759862614378</v>
      </c>
      <c r="L103" s="186">
        <f>-'Service GP Calc'!L28</f>
        <v>-152.04032461487716</v>
      </c>
      <c r="M103" s="186">
        <f>-'Service GP Calc'!M28</f>
        <v>-151.07723798414082</v>
      </c>
      <c r="N103" s="186">
        <f>-'Service GP Calc'!N28</f>
        <v>-202.14272475443562</v>
      </c>
      <c r="O103" s="186">
        <f>-'Service GP Calc'!O28</f>
        <v>-138.77333136344811</v>
      </c>
      <c r="P103" s="186">
        <f>-'Service GP Calc'!P28</f>
        <v>-169.92018364896688</v>
      </c>
      <c r="Q103" s="186">
        <f>-'Service GP Calc'!Q28</f>
        <v>-185.03105297528157</v>
      </c>
      <c r="R103" s="186">
        <f>-'Service GP Calc'!R28</f>
        <v>-191.19875474112428</v>
      </c>
      <c r="S103" s="186">
        <f>-'Service GP Calc'!S28</f>
        <v>-177.6298108562703</v>
      </c>
      <c r="T103" s="186">
        <f>-'Service GP Calc'!T28</f>
        <v>-177.6298108562703</v>
      </c>
      <c r="U103" s="186">
        <f>-'Service GP Calc'!U28</f>
        <v>-197.36645650696698</v>
      </c>
      <c r="V103" s="186">
        <f>-'Service GP Calc'!V28</f>
        <v>-197.36645650696698</v>
      </c>
      <c r="W103" s="186">
        <f>-'Service GP Calc'!W28</f>
        <v>-177.6298108562703</v>
      </c>
      <c r="X103" s="186">
        <f>-'Service GP Calc'!X28</f>
        <v>-177.6298108562703</v>
      </c>
      <c r="Y103" s="186">
        <f>-'Service GP Calc'!Y28</f>
        <v>-177.63967917909565</v>
      </c>
      <c r="Z103" s="186">
        <f>-'Service GP Calc'!Z28</f>
        <v>-217.1031021576637</v>
      </c>
      <c r="AA103" s="184" t="s">
        <v>111</v>
      </c>
      <c r="AB103" s="184" t="s">
        <v>115</v>
      </c>
      <c r="AC103" s="184" t="str">
        <f t="shared" si="50"/>
        <v/>
      </c>
      <c r="AE103" s="184" t="str">
        <f t="shared" si="51"/>
        <v>147-3340</v>
      </c>
    </row>
    <row r="104" spans="1:31" x14ac:dyDescent="0.2">
      <c r="A104" s="184">
        <v>147</v>
      </c>
      <c r="B104" s="185">
        <v>4300</v>
      </c>
      <c r="C104" s="186"/>
      <c r="D104" s="186"/>
      <c r="E104" s="186"/>
      <c r="F104" s="186"/>
      <c r="G104" s="186">
        <f>-'Service GP Calc'!G47</f>
        <v>44.108155146256671</v>
      </c>
      <c r="H104" s="186">
        <f>-'Service GP Calc'!H47</f>
        <v>36.082460751223508</v>
      </c>
      <c r="I104" s="186">
        <f>-'Service GP Calc'!I47</f>
        <v>43.51120267059305</v>
      </c>
      <c r="J104" s="186">
        <f>-'Service GP Calc'!J47</f>
        <v>43.51120267059305</v>
      </c>
      <c r="K104" s="186">
        <f>-'Service GP Calc'!K47</f>
        <v>32.633402002944784</v>
      </c>
      <c r="L104" s="186">
        <f>-'Service GP Calc'!L47</f>
        <v>28.007305932195617</v>
      </c>
      <c r="M104" s="186">
        <f>-'Service GP Calc'!M47</f>
        <v>30.922106679636073</v>
      </c>
      <c r="N104" s="186">
        <f>-'Service GP Calc'!N47</f>
        <v>42.339456022879169</v>
      </c>
      <c r="O104" s="186">
        <f>-'Service GP Calc'!O47</f>
        <v>27.677899984942897</v>
      </c>
      <c r="P104" s="186">
        <f>-'Service GP Calc'!P47</f>
        <v>33.8900407034401</v>
      </c>
      <c r="Q104" s="186">
        <f>-'Service GP Calc'!Q47</f>
        <v>36.903855575433859</v>
      </c>
      <c r="R104" s="186">
        <f>-'Service GP Calc'!R47</f>
        <v>38.133984094614988</v>
      </c>
      <c r="S104" s="186">
        <f>-'Service GP Calc'!S47</f>
        <v>35.427701352416499</v>
      </c>
      <c r="T104" s="186">
        <f>-'Service GP Calc'!T47</f>
        <v>35.427701352416499</v>
      </c>
      <c r="U104" s="186">
        <f>-'Service GP Calc'!U47</f>
        <v>39.364112613796124</v>
      </c>
      <c r="V104" s="186">
        <f>-'Service GP Calc'!V47</f>
        <v>39.364112613796124</v>
      </c>
      <c r="W104" s="186">
        <f>-'Service GP Calc'!W47</f>
        <v>35.427701352416499</v>
      </c>
      <c r="X104" s="186">
        <f>-'Service GP Calc'!X47</f>
        <v>35.427701352416499</v>
      </c>
      <c r="Y104" s="186">
        <f>-'Service GP Calc'!Y47</f>
        <v>35.429669558047188</v>
      </c>
      <c r="Z104" s="186">
        <f>-'Service GP Calc'!Z47</f>
        <v>43.300523875175728</v>
      </c>
      <c r="AA104" s="184" t="s">
        <v>111</v>
      </c>
      <c r="AB104" s="184" t="s">
        <v>116</v>
      </c>
      <c r="AC104" s="184" t="str">
        <f t="shared" si="50"/>
        <v/>
      </c>
      <c r="AE104" s="184" t="str">
        <f t="shared" si="51"/>
        <v>147-4300</v>
      </c>
    </row>
    <row r="105" spans="1:31" x14ac:dyDescent="0.2">
      <c r="A105" s="184">
        <v>147</v>
      </c>
      <c r="B105" s="185">
        <v>4320</v>
      </c>
      <c r="C105" s="186"/>
      <c r="D105" s="186"/>
      <c r="E105" s="186"/>
      <c r="F105" s="186"/>
      <c r="G105" s="186">
        <f>-'Service GP Calc'!G48</f>
        <v>6.3278306120560268</v>
      </c>
      <c r="H105" s="186">
        <f>-'Service GP Calc'!H48</f>
        <v>5.1764509067044795</v>
      </c>
      <c r="I105" s="186">
        <f>-'Service GP Calc'!I48</f>
        <v>6.2421907992612846</v>
      </c>
      <c r="J105" s="186">
        <f>-'Service GP Calc'!J48</f>
        <v>6.2421907992612846</v>
      </c>
      <c r="K105" s="186">
        <f>-'Service GP Calc'!K48</f>
        <v>4.6816430994459628</v>
      </c>
      <c r="L105" s="186">
        <f>-'Service GP Calc'!L48</f>
        <v>4.0179755251905247</v>
      </c>
      <c r="M105" s="186">
        <f>-'Service GP Calc'!M48</f>
        <v>4.4361377751540179</v>
      </c>
      <c r="N105" s="186">
        <f>-'Service GP Calc'!N48</f>
        <v>6.0740900414220125</v>
      </c>
      <c r="O105" s="186">
        <f>-'Service GP Calc'!O48</f>
        <v>3.9707183903158647</v>
      </c>
      <c r="P105" s="186">
        <f>-'Service GP Calc'!P48</f>
        <v>4.8619226148988641</v>
      </c>
      <c r="Q105" s="186">
        <f>-'Service GP Calc'!Q48</f>
        <v>5.2942895988009404</v>
      </c>
      <c r="R105" s="186">
        <f>-'Service GP Calc'!R48</f>
        <v>5.4707659187609714</v>
      </c>
      <c r="S105" s="186">
        <f>-'Service GP Calc'!S48</f>
        <v>5.082518014848902</v>
      </c>
      <c r="T105" s="186">
        <f>-'Service GP Calc'!T48</f>
        <v>5.082518014848902</v>
      </c>
      <c r="U105" s="186">
        <f>-'Service GP Calc'!U48</f>
        <v>5.6472422387210042</v>
      </c>
      <c r="V105" s="186">
        <f>-'Service GP Calc'!V48</f>
        <v>5.6472422387210042</v>
      </c>
      <c r="W105" s="186">
        <f>-'Service GP Calc'!W48</f>
        <v>5.082518014848902</v>
      </c>
      <c r="X105" s="186">
        <f>-'Service GP Calc'!X48</f>
        <v>5.082518014848902</v>
      </c>
      <c r="Y105" s="186">
        <f>-'Service GP Calc'!Y48</f>
        <v>5.0828003769608383</v>
      </c>
      <c r="Z105" s="186">
        <f>-'Service GP Calc'!Z48</f>
        <v>6.2119664625931028</v>
      </c>
      <c r="AA105" s="184" t="s">
        <v>111</v>
      </c>
      <c r="AB105" s="184" t="s">
        <v>117</v>
      </c>
      <c r="AC105" s="184" t="str">
        <f t="shared" si="50"/>
        <v/>
      </c>
      <c r="AE105" s="184" t="str">
        <f t="shared" si="51"/>
        <v>147-4320</v>
      </c>
    </row>
    <row r="106" spans="1:31" x14ac:dyDescent="0.2">
      <c r="A106" s="184">
        <v>147</v>
      </c>
      <c r="B106" s="185">
        <v>4340</v>
      </c>
      <c r="C106" s="186"/>
      <c r="D106" s="186"/>
      <c r="E106" s="186"/>
      <c r="F106" s="186"/>
      <c r="G106" s="186">
        <f>-'Service GP Calc'!G49</f>
        <v>61.517596837836045</v>
      </c>
      <c r="H106" s="186">
        <f>-'Service GP Calc'!H49</f>
        <v>50.324169443282422</v>
      </c>
      <c r="I106" s="186">
        <f>-'Service GP Calc'!I49</f>
        <v>60.685027858075863</v>
      </c>
      <c r="J106" s="186">
        <f>-'Service GP Calc'!J49</f>
        <v>60.685027858075863</v>
      </c>
      <c r="K106" s="186">
        <f>-'Service GP Calc'!K49</f>
        <v>45.513770893556895</v>
      </c>
      <c r="L106" s="186">
        <f>-'Service GP Calc'!L49</f>
        <v>39.061759648248739</v>
      </c>
      <c r="M106" s="186">
        <f>-'Service GP Calc'!M49</f>
        <v>43.127029135242523</v>
      </c>
      <c r="N106" s="186">
        <f>-'Service GP Calc'!N49</f>
        <v>59.050794060921326</v>
      </c>
      <c r="O106" s="186">
        <f>-'Service GP Calc'!O49</f>
        <v>38.602337525698275</v>
      </c>
      <c r="P106" s="186">
        <f>-'Service GP Calc'!P49</f>
        <v>47.266403545989505</v>
      </c>
      <c r="Q106" s="186">
        <f>-'Service GP Calc'!Q49</f>
        <v>51.469767926667323</v>
      </c>
      <c r="R106" s="186">
        <f>-'Service GP Calc'!R49</f>
        <v>53.185426857556237</v>
      </c>
      <c r="S106" s="186">
        <f>-'Service GP Calc'!S49</f>
        <v>49.410977209600631</v>
      </c>
      <c r="T106" s="186">
        <f>-'Service GP Calc'!T49</f>
        <v>49.410977209600631</v>
      </c>
      <c r="U106" s="186">
        <f>-'Service GP Calc'!U49</f>
        <v>54.901085788445158</v>
      </c>
      <c r="V106" s="186">
        <f>-'Service GP Calc'!V49</f>
        <v>54.901085788445158</v>
      </c>
      <c r="W106" s="186">
        <f>-'Service GP Calc'!W49</f>
        <v>49.410977209600631</v>
      </c>
      <c r="X106" s="186">
        <f>-'Service GP Calc'!X49</f>
        <v>49.410977209600631</v>
      </c>
      <c r="Y106" s="186">
        <f>-'Service GP Calc'!Y49</f>
        <v>49.413722263890051</v>
      </c>
      <c r="Z106" s="186">
        <f>-'Service GP Calc'!Z49</f>
        <v>60.391194367289664</v>
      </c>
      <c r="AA106" s="184" t="s">
        <v>111</v>
      </c>
      <c r="AB106" s="184" t="s">
        <v>118</v>
      </c>
      <c r="AC106" s="184" t="str">
        <f t="shared" si="50"/>
        <v/>
      </c>
      <c r="AE106" s="184" t="str">
        <f t="shared" si="51"/>
        <v>147-4340</v>
      </c>
    </row>
    <row r="107" spans="1:31" x14ac:dyDescent="0.2">
      <c r="A107" s="184">
        <v>240</v>
      </c>
      <c r="B107" s="185">
        <v>3300</v>
      </c>
      <c r="C107" s="186"/>
      <c r="D107" s="186"/>
      <c r="E107" s="186"/>
      <c r="F107" s="186"/>
      <c r="G107" s="186">
        <f>-'Service GP Calc'!G30</f>
        <v>-116277.39759587469</v>
      </c>
      <c r="H107" s="186">
        <f>-'Service GP Calc'!H30</f>
        <v>-97917.808501789201</v>
      </c>
      <c r="I107" s="186">
        <f>-'Service GP Calc'!I30</f>
        <v>-122397.26062723651</v>
      </c>
      <c r="J107" s="186">
        <f>-'Service GP Calc'!J30</f>
        <v>-122397.26062723651</v>
      </c>
      <c r="K107" s="186">
        <f>-'Service GP Calc'!K30</f>
        <v>-91797.945470427381</v>
      </c>
      <c r="L107" s="186">
        <f>-'Service GP Calc'!L30</f>
        <v>-95708.833991595195</v>
      </c>
      <c r="M107" s="186">
        <f>-'Service GP Calc'!M30</f>
        <v>-95102.574443714373</v>
      </c>
      <c r="N107" s="186">
        <f>-'Service GP Calc'!N30</f>
        <v>-127248.11351947027</v>
      </c>
      <c r="O107" s="186">
        <f>-'Service GP Calc'!O30</f>
        <v>-87357.309763499783</v>
      </c>
      <c r="P107" s="186">
        <f>-'Service GP Calc'!P30</f>
        <v>-106964.14053228758</v>
      </c>
      <c r="Q107" s="186">
        <f>-'Service GP Calc'!Q30</f>
        <v>-116476.37807508629</v>
      </c>
      <c r="R107" s="186">
        <f>-'Service GP Calc'!R30</f>
        <v>-120358.92401092249</v>
      </c>
      <c r="S107" s="186">
        <f>-'Service GP Calc'!S30</f>
        <v>-111817.32295208285</v>
      </c>
      <c r="T107" s="186">
        <f>-'Service GP Calc'!T30</f>
        <v>-111817.32295208285</v>
      </c>
      <c r="U107" s="186">
        <f>-'Service GP Calc'!U30</f>
        <v>-124241.46994675872</v>
      </c>
      <c r="V107" s="186">
        <f>-'Service GP Calc'!V30</f>
        <v>-124241.46994675872</v>
      </c>
      <c r="W107" s="186">
        <f>-'Service GP Calc'!W30</f>
        <v>-111817.32295208285</v>
      </c>
      <c r="X107" s="186">
        <f>-'Service GP Calc'!X30</f>
        <v>-111817.32295208285</v>
      </c>
      <c r="Y107" s="186">
        <f>-'Service GP Calc'!Y30</f>
        <v>-111823.53502558019</v>
      </c>
      <c r="Z107" s="186">
        <f>-'Service GP Calc'!Z30</f>
        <v>-136665.61694143459</v>
      </c>
      <c r="AA107" s="184" t="s">
        <v>111</v>
      </c>
      <c r="AB107" s="184" t="s">
        <v>113</v>
      </c>
      <c r="AC107" s="184" t="str">
        <f t="shared" si="50"/>
        <v/>
      </c>
      <c r="AE107" s="184" t="str">
        <f t="shared" si="51"/>
        <v>240-3300</v>
      </c>
    </row>
    <row r="108" spans="1:31" x14ac:dyDescent="0.2">
      <c r="A108" s="184">
        <v>240</v>
      </c>
      <c r="B108" s="185">
        <v>3320</v>
      </c>
      <c r="C108" s="186"/>
      <c r="D108" s="186"/>
      <c r="E108" s="186"/>
      <c r="F108" s="186"/>
      <c r="G108" s="186">
        <f>-'Service GP Calc'!G31</f>
        <v>-14575.831622965336</v>
      </c>
      <c r="H108" s="186">
        <f>-'Service GP Calc'!H31</f>
        <v>-12274.384524602387</v>
      </c>
      <c r="I108" s="186">
        <f>-'Service GP Calc'!I31</f>
        <v>-15342.980655752985</v>
      </c>
      <c r="J108" s="186">
        <f>-'Service GP Calc'!J31</f>
        <v>-15342.980655752985</v>
      </c>
      <c r="K108" s="186">
        <f>-'Service GP Calc'!K31</f>
        <v>-11507.235491814739</v>
      </c>
      <c r="L108" s="186">
        <f>-'Service GP Calc'!L31</f>
        <v>-11997.480834068187</v>
      </c>
      <c r="M108" s="186">
        <f>-'Service GP Calc'!M31</f>
        <v>-11921.483802207891</v>
      </c>
      <c r="N108" s="186">
        <f>-'Service GP Calc'!N31</f>
        <v>-15951.054249132771</v>
      </c>
      <c r="O108" s="186">
        <f>-'Service GP Calc'!O31</f>
        <v>-10950.584244871105</v>
      </c>
      <c r="P108" s="186">
        <f>-'Service GP Calc'!P31</f>
        <v>-13408.378019539881</v>
      </c>
      <c r="Q108" s="186">
        <f>-'Service GP Calc'!Q31</f>
        <v>-14600.77461292909</v>
      </c>
      <c r="R108" s="186">
        <f>-'Service GP Calc'!R31</f>
        <v>-15087.467100026724</v>
      </c>
      <c r="S108" s="186">
        <f>-'Service GP Calc'!S31</f>
        <v>-14016.743628411927</v>
      </c>
      <c r="T108" s="186">
        <f>-'Service GP Calc'!T31</f>
        <v>-14016.743628411927</v>
      </c>
      <c r="U108" s="186">
        <f>-'Service GP Calc'!U31</f>
        <v>-15574.159587124363</v>
      </c>
      <c r="V108" s="186">
        <f>-'Service GP Calc'!V31</f>
        <v>-15574.159587124363</v>
      </c>
      <c r="W108" s="186">
        <f>-'Service GP Calc'!W31</f>
        <v>-14016.743628411927</v>
      </c>
      <c r="X108" s="186">
        <f>-'Service GP Calc'!X31</f>
        <v>-14016.743628411927</v>
      </c>
      <c r="Y108" s="186">
        <f>-'Service GP Calc'!Y31</f>
        <v>-14017.522336391283</v>
      </c>
      <c r="Z108" s="186">
        <f>-'Service GP Calc'!Z31</f>
        <v>-17131.5755458368</v>
      </c>
      <c r="AA108" s="184" t="s">
        <v>111</v>
      </c>
      <c r="AB108" s="184" t="s">
        <v>114</v>
      </c>
      <c r="AC108" s="184" t="str">
        <f t="shared" si="50"/>
        <v/>
      </c>
      <c r="AE108" s="184" t="str">
        <f t="shared" si="51"/>
        <v>240-3320</v>
      </c>
    </row>
    <row r="109" spans="1:31" x14ac:dyDescent="0.2">
      <c r="A109" s="184">
        <v>240</v>
      </c>
      <c r="B109" s="185">
        <v>3340</v>
      </c>
      <c r="C109" s="186"/>
      <c r="D109" s="186"/>
      <c r="E109" s="186"/>
      <c r="F109" s="186"/>
      <c r="G109" s="186">
        <f>-'Service GP Calc'!G32</f>
        <v>-14096.575427493959</v>
      </c>
      <c r="H109" s="186">
        <f>-'Service GP Calc'!H32</f>
        <v>-11870.800359994912</v>
      </c>
      <c r="I109" s="186">
        <f>-'Service GP Calc'!I32</f>
        <v>-14838.50044999364</v>
      </c>
      <c r="J109" s="186">
        <f>-'Service GP Calc'!J32</f>
        <v>-14838.50044999364</v>
      </c>
      <c r="K109" s="186">
        <f>-'Service GP Calc'!K32</f>
        <v>-11128.87533749523</v>
      </c>
      <c r="L109" s="186">
        <f>-'Service GP Calc'!L32</f>
        <v>-11603.001316980673</v>
      </c>
      <c r="M109" s="186">
        <f>-'Service GP Calc'!M32</f>
        <v>-11529.503082396486</v>
      </c>
      <c r="N109" s="186">
        <f>-'Service GP Calc'!N32</f>
        <v>-15426.580464655721</v>
      </c>
      <c r="O109" s="186">
        <f>-'Service GP Calc'!O32</f>
        <v>-10590.526892457889</v>
      </c>
      <c r="P109" s="186">
        <f>-'Service GP Calc'!P32</f>
        <v>-12967.507926957171</v>
      </c>
      <c r="Q109" s="186">
        <f>-'Service GP Calc'!Q32</f>
        <v>-14120.698287067698</v>
      </c>
      <c r="R109" s="186">
        <f>-'Service GP Calc'!R32</f>
        <v>-14591.388229969954</v>
      </c>
      <c r="S109" s="186">
        <f>-'Service GP Calc'!S32</f>
        <v>-13555.870355584992</v>
      </c>
      <c r="T109" s="186">
        <f>-'Service GP Calc'!T32</f>
        <v>-13555.870355584992</v>
      </c>
      <c r="U109" s="186">
        <f>-'Service GP Calc'!U32</f>
        <v>-15062.078172872214</v>
      </c>
      <c r="V109" s="186">
        <f>-'Service GP Calc'!V32</f>
        <v>-15062.078172872214</v>
      </c>
      <c r="W109" s="186">
        <f>-'Service GP Calc'!W32</f>
        <v>-13555.870355584992</v>
      </c>
      <c r="X109" s="186">
        <f>-'Service GP Calc'!X32</f>
        <v>-13555.870355584992</v>
      </c>
      <c r="Y109" s="186">
        <f>-'Service GP Calc'!Y32</f>
        <v>-13556.623459493636</v>
      </c>
      <c r="Z109" s="186">
        <f>-'Service GP Calc'!Z32</f>
        <v>-16568.285990159435</v>
      </c>
      <c r="AA109" s="184" t="s">
        <v>111</v>
      </c>
      <c r="AB109" s="184" t="s">
        <v>115</v>
      </c>
      <c r="AC109" s="184" t="str">
        <f t="shared" si="50"/>
        <v/>
      </c>
      <c r="AE109" s="184" t="str">
        <f t="shared" si="51"/>
        <v>240-3340</v>
      </c>
    </row>
    <row r="110" spans="1:31" x14ac:dyDescent="0.2">
      <c r="A110" s="184">
        <v>240</v>
      </c>
      <c r="B110" s="185">
        <v>4300</v>
      </c>
      <c r="C110" s="186"/>
      <c r="D110" s="186"/>
      <c r="E110" s="186"/>
      <c r="F110" s="186"/>
      <c r="G110" s="186">
        <f>-'Service GP Calc'!G51</f>
        <v>36330.606457009206</v>
      </c>
      <c r="H110" s="186">
        <f>-'Service GP Calc'!H51</f>
        <v>29720.075056560912</v>
      </c>
      <c r="I110" s="186">
        <f>-'Service GP Calc'!I51</f>
        <v>35838.91403879405</v>
      </c>
      <c r="J110" s="186">
        <f>-'Service GP Calc'!J51</f>
        <v>35838.91403879405</v>
      </c>
      <c r="K110" s="186">
        <f>-'Service GP Calc'!K51</f>
        <v>26879.185529095532</v>
      </c>
      <c r="L110" s="186">
        <f>-'Service GP Calc'!L51</f>
        <v>23068.804541239409</v>
      </c>
      <c r="M110" s="186">
        <f>-'Service GP Calc'!M51</f>
        <v>25469.641268704367</v>
      </c>
      <c r="N110" s="186">
        <f>-'Service GP Calc'!N51</f>
        <v>34873.780353554757</v>
      </c>
      <c r="O110" s="186">
        <f>-'Service GP Calc'!O51</f>
        <v>22797.482428705927</v>
      </c>
      <c r="P110" s="186">
        <f>-'Service GP Calc'!P51</f>
        <v>27914.242332876118</v>
      </c>
      <c r="Q110" s="186">
        <f>-'Service GP Calc'!Q51</f>
        <v>30396.634119284336</v>
      </c>
      <c r="R110" s="186">
        <f>-'Service GP Calc'!R51</f>
        <v>31409.855256593815</v>
      </c>
      <c r="S110" s="186">
        <f>-'Service GP Calc'!S51</f>
        <v>29180.768754512959</v>
      </c>
      <c r="T110" s="186">
        <f>-'Service GP Calc'!T51</f>
        <v>29180.768754512959</v>
      </c>
      <c r="U110" s="186">
        <f>-'Service GP Calc'!U51</f>
        <v>32423.076393903295</v>
      </c>
      <c r="V110" s="186">
        <f>-'Service GP Calc'!V51</f>
        <v>32423.076393903295</v>
      </c>
      <c r="W110" s="186">
        <f>-'Service GP Calc'!W51</f>
        <v>29180.768754512959</v>
      </c>
      <c r="X110" s="186">
        <f>-'Service GP Calc'!X51</f>
        <v>29180.768754512959</v>
      </c>
      <c r="Y110" s="186">
        <f>-'Service GP Calc'!Y51</f>
        <v>29182.389908332654</v>
      </c>
      <c r="Z110" s="186">
        <f>-'Service GP Calc'!Z51</f>
        <v>35665.384033293623</v>
      </c>
      <c r="AA110" s="184" t="s">
        <v>111</v>
      </c>
      <c r="AB110" s="184" t="s">
        <v>116</v>
      </c>
      <c r="AC110" s="184" t="str">
        <f t="shared" si="50"/>
        <v/>
      </c>
      <c r="AE110" s="184" t="str">
        <f t="shared" si="51"/>
        <v>240-4300</v>
      </c>
    </row>
    <row r="111" spans="1:31" x14ac:dyDescent="0.2">
      <c r="A111" s="184">
        <v>240</v>
      </c>
      <c r="B111" s="185">
        <v>4320</v>
      </c>
      <c r="C111" s="186"/>
      <c r="D111" s="186"/>
      <c r="E111" s="186"/>
      <c r="F111" s="186"/>
      <c r="G111" s="186">
        <f>-'Service GP Calc'!G52</f>
        <v>5997.6940019410404</v>
      </c>
      <c r="H111" s="186">
        <f>-'Service GP Calc'!H52</f>
        <v>4906.3842662495117</v>
      </c>
      <c r="I111" s="186">
        <f>-'Service GP Calc'!I52</f>
        <v>5916.5222034185299</v>
      </c>
      <c r="J111" s="186">
        <f>-'Service GP Calc'!J52</f>
        <v>5916.5222034185299</v>
      </c>
      <c r="K111" s="186">
        <f>-'Service GP Calc'!K52</f>
        <v>4437.391652563897</v>
      </c>
      <c r="L111" s="186">
        <f>-'Service GP Calc'!L52</f>
        <v>3808.3490511689024</v>
      </c>
      <c r="M111" s="186">
        <f>-'Service GP Calc'!M52</f>
        <v>4204.694872067751</v>
      </c>
      <c r="N111" s="186">
        <f>-'Service GP Calc'!N52</f>
        <v>5757.1916257173107</v>
      </c>
      <c r="O111" s="186">
        <f>-'Service GP Calc'!O52</f>
        <v>3763.5574232377348</v>
      </c>
      <c r="P111" s="186">
        <f>-'Service GP Calc'!P52</f>
        <v>4608.2655957514153</v>
      </c>
      <c r="Q111" s="186">
        <f>-'Service GP Calc'!Q52</f>
        <v>5018.0750588944629</v>
      </c>
      <c r="R111" s="186">
        <f>-'Service GP Calc'!R52</f>
        <v>5185.3442275242787</v>
      </c>
      <c r="S111" s="186">
        <f>-'Service GP Calc'!S52</f>
        <v>4817.3520565386834</v>
      </c>
      <c r="T111" s="186">
        <f>-'Service GP Calc'!T52</f>
        <v>4817.3520565386834</v>
      </c>
      <c r="U111" s="186">
        <f>-'Service GP Calc'!U52</f>
        <v>5352.6133961540936</v>
      </c>
      <c r="V111" s="186">
        <f>-'Service GP Calc'!V52</f>
        <v>5352.6133961540936</v>
      </c>
      <c r="W111" s="186">
        <f>-'Service GP Calc'!W52</f>
        <v>4817.3520565386834</v>
      </c>
      <c r="X111" s="186">
        <f>-'Service GP Calc'!X52</f>
        <v>4817.3520565386834</v>
      </c>
      <c r="Y111" s="186">
        <f>-'Service GP Calc'!Y52</f>
        <v>4817.6196872084911</v>
      </c>
      <c r="Z111" s="186">
        <f>-'Service GP Calc'!Z52</f>
        <v>5887.8747357695029</v>
      </c>
      <c r="AA111" s="184" t="s">
        <v>111</v>
      </c>
      <c r="AB111" s="184" t="s">
        <v>117</v>
      </c>
      <c r="AC111" s="184" t="str">
        <f t="shared" si="50"/>
        <v/>
      </c>
      <c r="AE111" s="184" t="str">
        <f t="shared" si="51"/>
        <v>240-4320</v>
      </c>
    </row>
    <row r="112" spans="1:31" x14ac:dyDescent="0.2">
      <c r="A112" s="184">
        <v>240</v>
      </c>
      <c r="B112" s="185">
        <v>4340</v>
      </c>
      <c r="C112" s="186"/>
      <c r="D112" s="186"/>
      <c r="E112" s="186"/>
      <c r="F112" s="186"/>
      <c r="G112" s="186">
        <f>-'Service GP Calc'!G53</f>
        <v>8404.131167266647</v>
      </c>
      <c r="H112" s="186">
        <f>-'Service GP Calc'!H53</f>
        <v>6874.9584285609862</v>
      </c>
      <c r="I112" s="186">
        <f>-'Service GP Calc'!I53</f>
        <v>8290.3910462058957</v>
      </c>
      <c r="J112" s="186">
        <f>-'Service GP Calc'!J53</f>
        <v>8290.3910462058957</v>
      </c>
      <c r="K112" s="186">
        <f>-'Service GP Calc'!K53</f>
        <v>6217.7932846544209</v>
      </c>
      <c r="L112" s="186">
        <f>-'Service GP Calc'!L53</f>
        <v>5336.3617661055814</v>
      </c>
      <c r="M112" s="186">
        <f>-'Service GP Calc'!M53</f>
        <v>5891.73225772351</v>
      </c>
      <c r="N112" s="186">
        <f>-'Service GP Calc'!N53</f>
        <v>8067.1327283383844</v>
      </c>
      <c r="O112" s="186">
        <f>-'Service GP Calc'!O53</f>
        <v>5273.5985247319613</v>
      </c>
      <c r="P112" s="186">
        <f>-'Service GP Calc'!P53</f>
        <v>6457.2264786705255</v>
      </c>
      <c r="Q112" s="186">
        <f>-'Service GP Calc'!Q53</f>
        <v>7031.4625902038388</v>
      </c>
      <c r="R112" s="186">
        <f>-'Service GP Calc'!R53</f>
        <v>7265.8446765439667</v>
      </c>
      <c r="S112" s="186">
        <f>-'Service GP Calc'!S53</f>
        <v>6750.2040865956842</v>
      </c>
      <c r="T112" s="186">
        <f>-'Service GP Calc'!T53</f>
        <v>6750.2040865956842</v>
      </c>
      <c r="U112" s="186">
        <f>-'Service GP Calc'!U53</f>
        <v>7500.2267628840955</v>
      </c>
      <c r="V112" s="186">
        <f>-'Service GP Calc'!V53</f>
        <v>7500.2267628840955</v>
      </c>
      <c r="W112" s="186">
        <f>-'Service GP Calc'!W53</f>
        <v>6750.2040865956842</v>
      </c>
      <c r="X112" s="186">
        <f>-'Service GP Calc'!X53</f>
        <v>6750.2040865956842</v>
      </c>
      <c r="Y112" s="186">
        <f>-'Service GP Calc'!Y53</f>
        <v>6750.5790979338281</v>
      </c>
      <c r="Z112" s="186">
        <f>-'Service GP Calc'!Z53</f>
        <v>8250.2494391725031</v>
      </c>
      <c r="AA112" s="184" t="s">
        <v>111</v>
      </c>
      <c r="AB112" s="184" t="s">
        <v>118</v>
      </c>
      <c r="AC112" s="184" t="str">
        <f t="shared" si="50"/>
        <v/>
      </c>
      <c r="AE112" s="184" t="str">
        <f t="shared" si="51"/>
        <v>240-4340</v>
      </c>
    </row>
    <row r="113" spans="1:31" x14ac:dyDescent="0.2">
      <c r="A113" s="184">
        <v>340</v>
      </c>
      <c r="B113" s="185">
        <v>3300</v>
      </c>
      <c r="C113" s="186"/>
      <c r="D113" s="186"/>
      <c r="E113" s="186"/>
      <c r="F113" s="186"/>
      <c r="G113" s="186">
        <f>-'Service GP Calc'!G34</f>
        <v>-89870.040842831295</v>
      </c>
      <c r="H113" s="186">
        <f>-'Service GP Calc'!H34</f>
        <v>-75680.0343939632</v>
      </c>
      <c r="I113" s="186">
        <f>-'Service GP Calc'!I34</f>
        <v>-94600.042992454008</v>
      </c>
      <c r="J113" s="186">
        <f>-'Service GP Calc'!J34</f>
        <v>-94600.042992454008</v>
      </c>
      <c r="K113" s="186">
        <f>-'Service GP Calc'!K34</f>
        <v>-70950.032244340502</v>
      </c>
      <c r="L113" s="186">
        <f>-'Service GP Calc'!L34</f>
        <v>-73972.732428521267</v>
      </c>
      <c r="M113" s="186">
        <f>-'Service GP Calc'!M34</f>
        <v>-73504.158385277129</v>
      </c>
      <c r="N113" s="186">
        <f>-'Service GP Calc'!N34</f>
        <v>-98349.2354972842</v>
      </c>
      <c r="O113" s="186">
        <f>-'Service GP Calc'!O34</f>
        <v>-67517.893921665498</v>
      </c>
      <c r="P113" s="186">
        <f>-'Service GP Calc'!P34</f>
        <v>-82671.885311407052</v>
      </c>
      <c r="Q113" s="186">
        <f>-'Service GP Calc'!Q34</f>
        <v>-90023.831555071214</v>
      </c>
      <c r="R113" s="186">
        <f>-'Service GP Calc'!R34</f>
        <v>-93024.62594024025</v>
      </c>
      <c r="S113" s="186">
        <f>-'Service GP Calc'!S34</f>
        <v>-86422.878292868365</v>
      </c>
      <c r="T113" s="186">
        <f>-'Service GP Calc'!T34</f>
        <v>-86422.878292868365</v>
      </c>
      <c r="U113" s="186">
        <f>-'Service GP Calc'!U34</f>
        <v>-96025.420325409286</v>
      </c>
      <c r="V113" s="186">
        <f>-'Service GP Calc'!V34</f>
        <v>-96025.420325409286</v>
      </c>
      <c r="W113" s="186">
        <f>-'Service GP Calc'!W34</f>
        <v>-86422.878292868365</v>
      </c>
      <c r="X113" s="186">
        <f>-'Service GP Calc'!X34</f>
        <v>-86422.878292868365</v>
      </c>
      <c r="Y113" s="186">
        <f>-'Service GP Calc'!Y34</f>
        <v>-86427.679563884638</v>
      </c>
      <c r="Z113" s="186">
        <f>-'Service GP Calc'!Z34</f>
        <v>-105627.96235795022</v>
      </c>
      <c r="AA113" s="184" t="s">
        <v>111</v>
      </c>
      <c r="AB113" s="184" t="s">
        <v>113</v>
      </c>
      <c r="AC113" s="184" t="str">
        <f t="shared" si="50"/>
        <v/>
      </c>
      <c r="AE113" s="184" t="str">
        <f t="shared" si="51"/>
        <v>340-3300</v>
      </c>
    </row>
    <row r="114" spans="1:31" x14ac:dyDescent="0.2">
      <c r="A114" s="184">
        <v>340</v>
      </c>
      <c r="B114" s="185">
        <v>3320</v>
      </c>
      <c r="C114" s="186"/>
      <c r="D114" s="186"/>
      <c r="E114" s="186"/>
      <c r="F114" s="186"/>
      <c r="G114" s="186">
        <f>-'Service GP Calc'!G35</f>
        <v>-7119.3992660903141</v>
      </c>
      <c r="H114" s="186">
        <f>-'Service GP Calc'!H35</f>
        <v>-5995.2835924971068</v>
      </c>
      <c r="I114" s="186">
        <f>-'Service GP Calc'!I35</f>
        <v>-7494.1044906213838</v>
      </c>
      <c r="J114" s="186">
        <f>-'Service GP Calc'!J35</f>
        <v>-7494.1044906213838</v>
      </c>
      <c r="K114" s="186">
        <f>-'Service GP Calc'!K35</f>
        <v>-5620.5783679660381</v>
      </c>
      <c r="L114" s="186">
        <f>-'Service GP Calc'!L35</f>
        <v>-5860.0331325466213</v>
      </c>
      <c r="M114" s="186">
        <f>-'Service GP Calc'!M35</f>
        <v>-5822.9132462274929</v>
      </c>
      <c r="N114" s="186">
        <f>-'Service GP Calc'!N35</f>
        <v>-7791.1111250569857</v>
      </c>
      <c r="O114" s="186">
        <f>-'Service GP Calc'!O35</f>
        <v>-5348.688394105835</v>
      </c>
      <c r="P114" s="186">
        <f>-'Service GP Calc'!P35</f>
        <v>-6549.1698244764184</v>
      </c>
      <c r="Q114" s="186">
        <f>-'Service GP Calc'!Q35</f>
        <v>-7131.5823859997308</v>
      </c>
      <c r="R114" s="186">
        <f>-'Service GP Calc'!R35</f>
        <v>-7369.3017988663878</v>
      </c>
      <c r="S114" s="186">
        <f>-'Service GP Calc'!S35</f>
        <v>-6846.3190905597412</v>
      </c>
      <c r="T114" s="186">
        <f>-'Service GP Calc'!T35</f>
        <v>-6846.3190905597412</v>
      </c>
      <c r="U114" s="186">
        <f>-'Service GP Calc'!U35</f>
        <v>-7607.0212117330457</v>
      </c>
      <c r="V114" s="186">
        <f>-'Service GP Calc'!V35</f>
        <v>-7607.0212117330457</v>
      </c>
      <c r="W114" s="186">
        <f>-'Service GP Calc'!W35</f>
        <v>-6846.3190905597412</v>
      </c>
      <c r="X114" s="186">
        <f>-'Service GP Calc'!X35</f>
        <v>-6846.3190905597412</v>
      </c>
      <c r="Y114" s="186">
        <f>-'Service GP Calc'!Y35</f>
        <v>-6846.6994416203279</v>
      </c>
      <c r="Z114" s="186">
        <f>-'Service GP Calc'!Z35</f>
        <v>-8367.7233329063511</v>
      </c>
      <c r="AA114" s="184" t="s">
        <v>111</v>
      </c>
      <c r="AB114" s="184" t="s">
        <v>114</v>
      </c>
      <c r="AC114" s="184" t="str">
        <f t="shared" si="50"/>
        <v/>
      </c>
      <c r="AE114" s="184" t="str">
        <f t="shared" si="51"/>
        <v>340-3320</v>
      </c>
    </row>
    <row r="115" spans="1:31" x14ac:dyDescent="0.2">
      <c r="A115" s="184">
        <v>340</v>
      </c>
      <c r="B115" s="185">
        <v>3340</v>
      </c>
      <c r="C115" s="186"/>
      <c r="D115" s="186"/>
      <c r="E115" s="186"/>
      <c r="F115" s="186"/>
      <c r="G115" s="186">
        <f>-'Service GP Calc'!G36</f>
        <v>-7870.6780159735281</v>
      </c>
      <c r="H115" s="186">
        <f>-'Service GP Calc'!H36</f>
        <v>-6627.9393818724448</v>
      </c>
      <c r="I115" s="186">
        <f>-'Service GP Calc'!I36</f>
        <v>-8284.9242273405562</v>
      </c>
      <c r="J115" s="186">
        <f>-'Service GP Calc'!J36</f>
        <v>-8284.9242273405562</v>
      </c>
      <c r="K115" s="186">
        <f>-'Service GP Calc'!K36</f>
        <v>-6213.6931705054176</v>
      </c>
      <c r="L115" s="186">
        <f>-'Service GP Calc'!L36</f>
        <v>-6478.4165384419794</v>
      </c>
      <c r="M115" s="186">
        <f>-'Service GP Calc'!M36</f>
        <v>-6437.3795545213061</v>
      </c>
      <c r="N115" s="186">
        <f>-'Service GP Calc'!N36</f>
        <v>-8613.2726596843877</v>
      </c>
      <c r="O115" s="186">
        <f>-'Service GP Calc'!O36</f>
        <v>-5913.1118489580031</v>
      </c>
      <c r="P115" s="186">
        <f>-'Service GP Calc'!P36</f>
        <v>-7240.2747807528094</v>
      </c>
      <c r="Q115" s="186">
        <f>-'Service GP Calc'!Q36</f>
        <v>-7884.1467666999743</v>
      </c>
      <c r="R115" s="186">
        <f>-'Service GP Calc'!R36</f>
        <v>-8146.9516589233062</v>
      </c>
      <c r="S115" s="186">
        <f>-'Service GP Calc'!S36</f>
        <v>-7568.7808960319753</v>
      </c>
      <c r="T115" s="186">
        <f>-'Service GP Calc'!T36</f>
        <v>-7568.7808960319753</v>
      </c>
      <c r="U115" s="186">
        <f>-'Service GP Calc'!U36</f>
        <v>-8409.75655114664</v>
      </c>
      <c r="V115" s="186">
        <f>-'Service GP Calc'!V36</f>
        <v>-8409.75655114664</v>
      </c>
      <c r="W115" s="186">
        <f>-'Service GP Calc'!W36</f>
        <v>-7568.7808960319753</v>
      </c>
      <c r="X115" s="186">
        <f>-'Service GP Calc'!X36</f>
        <v>-7568.7808960319753</v>
      </c>
      <c r="Y115" s="186">
        <f>-'Service GP Calc'!Y36</f>
        <v>-7569.2013838595321</v>
      </c>
      <c r="Z115" s="186">
        <f>-'Service GP Calc'!Z36</f>
        <v>-9250.7322062613039</v>
      </c>
      <c r="AA115" s="184" t="s">
        <v>111</v>
      </c>
      <c r="AB115" s="184" t="s">
        <v>115</v>
      </c>
      <c r="AC115" s="184" t="str">
        <f t="shared" si="50"/>
        <v/>
      </c>
      <c r="AE115" s="184" t="str">
        <f t="shared" si="51"/>
        <v>340-3340</v>
      </c>
    </row>
    <row r="116" spans="1:31" x14ac:dyDescent="0.2">
      <c r="A116" s="184">
        <v>340</v>
      </c>
      <c r="B116" s="185">
        <v>4300</v>
      </c>
      <c r="C116" s="186"/>
      <c r="D116" s="186"/>
      <c r="E116" s="186"/>
      <c r="F116" s="186"/>
      <c r="G116" s="186">
        <f>-'Service GP Calc'!G55</f>
        <v>29970.332569974249</v>
      </c>
      <c r="H116" s="186">
        <f>-'Service GP Calc'!H55</f>
        <v>24517.084087317282</v>
      </c>
      <c r="I116" s="186">
        <f>-'Service GP Calc'!I55</f>
        <v>29564.719046470836</v>
      </c>
      <c r="J116" s="186">
        <f>-'Service GP Calc'!J55</f>
        <v>29564.719046470836</v>
      </c>
      <c r="K116" s="186">
        <f>-'Service GP Calc'!K55</f>
        <v>22173.53928485313</v>
      </c>
      <c r="L116" s="186">
        <f>-'Service GP Calc'!L55</f>
        <v>19030.228546027771</v>
      </c>
      <c r="M116" s="186">
        <f>-'Service GP Calc'!M55</f>
        <v>21010.759073462756</v>
      </c>
      <c r="N116" s="186">
        <f>-'Service GP Calc'!N55</f>
        <v>28768.547984605022</v>
      </c>
      <c r="O116" s="186">
        <f>-'Service GP Calc'!O55</f>
        <v>18806.405859339651</v>
      </c>
      <c r="P116" s="186">
        <f>-'Service GP Calc'!P55</f>
        <v>23027.392266218209</v>
      </c>
      <c r="Q116" s="186">
        <f>-'Service GP Calc'!Q55</f>
        <v>25075.200289892782</v>
      </c>
      <c r="R116" s="186">
        <f>-'Service GP Calc'!R55</f>
        <v>25911.04029955588</v>
      </c>
      <c r="S116" s="186">
        <f>-'Service GP Calc'!S55</f>
        <v>24072.192278297072</v>
      </c>
      <c r="T116" s="186">
        <f>-'Service GP Calc'!T55</f>
        <v>24072.192278297072</v>
      </c>
      <c r="U116" s="186">
        <f>-'Service GP Calc'!U55</f>
        <v>26746.880309218974</v>
      </c>
      <c r="V116" s="186">
        <f>-'Service GP Calc'!V55</f>
        <v>26746.880309218974</v>
      </c>
      <c r="W116" s="186">
        <f>-'Service GP Calc'!W55</f>
        <v>24072.192278297072</v>
      </c>
      <c r="X116" s="186">
        <f>-'Service GP Calc'!X55</f>
        <v>24072.192278297072</v>
      </c>
      <c r="Y116" s="186">
        <f>-'Service GP Calc'!Y55</f>
        <v>24073.52962231253</v>
      </c>
      <c r="Z116" s="186">
        <f>-'Service GP Calc'!Z55</f>
        <v>29421.568340140868</v>
      </c>
      <c r="AA116" s="184" t="s">
        <v>111</v>
      </c>
      <c r="AB116" s="184" t="s">
        <v>116</v>
      </c>
      <c r="AC116" s="184" t="str">
        <f t="shared" si="50"/>
        <v/>
      </c>
      <c r="AE116" s="184" t="str">
        <f t="shared" si="51"/>
        <v>340-4300</v>
      </c>
    </row>
    <row r="117" spans="1:31" x14ac:dyDescent="0.2">
      <c r="A117" s="184">
        <v>340</v>
      </c>
      <c r="B117" s="185">
        <v>4320</v>
      </c>
      <c r="C117" s="186"/>
      <c r="D117" s="186"/>
      <c r="E117" s="186"/>
      <c r="F117" s="186"/>
      <c r="G117" s="186">
        <f>-'Service GP Calc'!G56</f>
        <v>3225.8373420728258</v>
      </c>
      <c r="H117" s="186">
        <f>-'Service GP Calc'!H56</f>
        <v>2638.8804723122062</v>
      </c>
      <c r="I117" s="186">
        <f>-'Service GP Calc'!I56</f>
        <v>3182.179393082366</v>
      </c>
      <c r="J117" s="186">
        <f>-'Service GP Calc'!J56</f>
        <v>3182.179393082366</v>
      </c>
      <c r="K117" s="186">
        <f>-'Service GP Calc'!K56</f>
        <v>2386.634544811775</v>
      </c>
      <c r="L117" s="186">
        <f>-'Service GP Calc'!L56</f>
        <v>2048.306328554344</v>
      </c>
      <c r="M117" s="186">
        <f>-'Service GP Calc'!M56</f>
        <v>2261.479449593236</v>
      </c>
      <c r="N117" s="186">
        <f>-'Service GP Calc'!N56</f>
        <v>3096.4840363142002</v>
      </c>
      <c r="O117" s="186">
        <f>-'Service GP Calc'!O56</f>
        <v>2024.2153185852071</v>
      </c>
      <c r="P117" s="186">
        <f>-'Service GP Calc'!P56</f>
        <v>2478.5384576394613</v>
      </c>
      <c r="Q117" s="186">
        <f>-'Service GP Calc'!Q56</f>
        <v>2698.952948427725</v>
      </c>
      <c r="R117" s="186">
        <f>-'Service GP Calc'!R56</f>
        <v>2788.9180467086499</v>
      </c>
      <c r="S117" s="186">
        <f>-'Service GP Calc'!S56</f>
        <v>2590.9948304906161</v>
      </c>
      <c r="T117" s="186">
        <f>-'Service GP Calc'!T56</f>
        <v>2590.9948304906161</v>
      </c>
      <c r="U117" s="186">
        <f>-'Service GP Calc'!U56</f>
        <v>2878.8831449895742</v>
      </c>
      <c r="V117" s="186">
        <f>-'Service GP Calc'!V56</f>
        <v>2878.8831449895742</v>
      </c>
      <c r="W117" s="186">
        <f>-'Service GP Calc'!W56</f>
        <v>2590.9948304906161</v>
      </c>
      <c r="X117" s="186">
        <f>-'Service GP Calc'!X56</f>
        <v>2590.9948304906161</v>
      </c>
      <c r="Y117" s="186">
        <f>-'Service GP Calc'!Y56</f>
        <v>2591.1387746478654</v>
      </c>
      <c r="Z117" s="186">
        <f>-'Service GP Calc'!Z56</f>
        <v>3166.771459488531</v>
      </c>
      <c r="AA117" s="184" t="s">
        <v>111</v>
      </c>
      <c r="AB117" s="184" t="s">
        <v>117</v>
      </c>
      <c r="AC117" s="184" t="str">
        <f t="shared" si="50"/>
        <v/>
      </c>
      <c r="AE117" s="184" t="str">
        <f t="shared" si="51"/>
        <v>340-4320</v>
      </c>
    </row>
    <row r="118" spans="1:31" x14ac:dyDescent="0.2">
      <c r="A118" s="184">
        <v>340</v>
      </c>
      <c r="B118" s="185">
        <v>4340</v>
      </c>
      <c r="C118" s="186"/>
      <c r="D118" s="186"/>
      <c r="E118" s="186"/>
      <c r="F118" s="186"/>
      <c r="G118" s="186">
        <f>-'Service GP Calc'!G57</f>
        <v>3504.8714316662217</v>
      </c>
      <c r="H118" s="186">
        <f>-'Service GP Calc'!H57</f>
        <v>2867.1429456036458</v>
      </c>
      <c r="I118" s="186">
        <f>-'Service GP Calc'!I57</f>
        <v>3457.4370814632198</v>
      </c>
      <c r="J118" s="186">
        <f>-'Service GP Calc'!J57</f>
        <v>3457.4370814632198</v>
      </c>
      <c r="K118" s="186">
        <f>-'Service GP Calc'!K57</f>
        <v>2593.0778110974152</v>
      </c>
      <c r="L118" s="186">
        <f>-'Service GP Calc'!L57</f>
        <v>2225.484292285551</v>
      </c>
      <c r="M118" s="186">
        <f>-'Service GP Calc'!M57</f>
        <v>2457.0968327517876</v>
      </c>
      <c r="N118" s="186">
        <f>-'Service GP Calc'!N57</f>
        <v>3364.3290986626389</v>
      </c>
      <c r="O118" s="186">
        <f>-'Service GP Calc'!O57</f>
        <v>2199.3094162310263</v>
      </c>
      <c r="P118" s="186">
        <f>-'Service GP Calc'!P57</f>
        <v>2692.9313884390185</v>
      </c>
      <c r="Q118" s="186">
        <f>-'Service GP Calc'!Q57</f>
        <v>2932.4116752511995</v>
      </c>
      <c r="R118" s="186">
        <f>-'Service GP Calc'!R57</f>
        <v>3030.1587310929062</v>
      </c>
      <c r="S118" s="186">
        <f>-'Service GP Calc'!S57</f>
        <v>2815.1152082411513</v>
      </c>
      <c r="T118" s="186">
        <f>-'Service GP Calc'!T57</f>
        <v>2815.1152082411513</v>
      </c>
      <c r="U118" s="186">
        <f>-'Service GP Calc'!U57</f>
        <v>3127.9057869346134</v>
      </c>
      <c r="V118" s="186">
        <f>-'Service GP Calc'!V57</f>
        <v>3127.9057869346134</v>
      </c>
      <c r="W118" s="186">
        <f>-'Service GP Calc'!W57</f>
        <v>2815.1152082411513</v>
      </c>
      <c r="X118" s="186">
        <f>-'Service GP Calc'!X57</f>
        <v>2815.1152082411513</v>
      </c>
      <c r="Y118" s="186">
        <f>-'Service GP Calc'!Y57</f>
        <v>2815.2716035304979</v>
      </c>
      <c r="Z118" s="186">
        <f>-'Service GP Calc'!Z57</f>
        <v>3440.6963656280741</v>
      </c>
      <c r="AA118" s="184" t="s">
        <v>111</v>
      </c>
      <c r="AB118" s="184" t="s">
        <v>118</v>
      </c>
      <c r="AC118" s="184" t="str">
        <f t="shared" si="50"/>
        <v/>
      </c>
      <c r="AE118" s="184" t="str">
        <f t="shared" si="51"/>
        <v>340-4340</v>
      </c>
    </row>
    <row r="119" spans="1:31" x14ac:dyDescent="0.2">
      <c r="A119" s="184">
        <v>440</v>
      </c>
      <c r="B119" s="185">
        <v>3300</v>
      </c>
      <c r="C119" s="186"/>
      <c r="D119" s="186"/>
      <c r="E119" s="186"/>
      <c r="F119" s="186"/>
      <c r="G119" s="186">
        <f>-'Service GP Calc'!G38</f>
        <v>-31159.115070149706</v>
      </c>
      <c r="H119" s="186">
        <f>-'Service GP Calc'!H38</f>
        <v>-26239.254795915542</v>
      </c>
      <c r="I119" s="186">
        <f>-'Service GP Calc'!I38</f>
        <v>-32799.068494894425</v>
      </c>
      <c r="J119" s="186">
        <f>-'Service GP Calc'!J38</f>
        <v>-32799.068494894425</v>
      </c>
      <c r="K119" s="186">
        <f>-'Service GP Calc'!K38</f>
        <v>-24599.301371170823</v>
      </c>
      <c r="L119" s="186">
        <f>-'Service GP Calc'!L38</f>
        <v>-25647.310941191667</v>
      </c>
      <c r="M119" s="186">
        <f>-'Service GP Calc'!M38</f>
        <v>-25484.850210169374</v>
      </c>
      <c r="N119" s="186">
        <f>-'Service GP Calc'!N38</f>
        <v>-34098.962425981532</v>
      </c>
      <c r="O119" s="186">
        <f>-'Service GP Calc'!O38</f>
        <v>-23409.334259439715</v>
      </c>
      <c r="P119" s="186">
        <f>-'Service GP Calc'!P38</f>
        <v>-28663.420683087756</v>
      </c>
      <c r="Q119" s="186">
        <f>-'Service GP Calc'!Q38</f>
        <v>-31212.436315522056</v>
      </c>
      <c r="R119" s="186">
        <f>-'Service GP Calc'!R38</f>
        <v>-32252.850859372793</v>
      </c>
      <c r="S119" s="186">
        <f>-'Service GP Calc'!S38</f>
        <v>-29963.938862901177</v>
      </c>
      <c r="T119" s="186">
        <f>-'Service GP Calc'!T38</f>
        <v>-29963.938862901177</v>
      </c>
      <c r="U119" s="186">
        <f>-'Service GP Calc'!U38</f>
        <v>-33293.26540322353</v>
      </c>
      <c r="V119" s="186">
        <f>-'Service GP Calc'!V38</f>
        <v>-33293.26540322353</v>
      </c>
      <c r="W119" s="186">
        <f>-'Service GP Calc'!W38</f>
        <v>-29963.938862901177</v>
      </c>
      <c r="X119" s="186">
        <f>-'Service GP Calc'!X38</f>
        <v>-29963.938862901177</v>
      </c>
      <c r="Y119" s="186">
        <f>-'Service GP Calc'!Y38</f>
        <v>-29965.603526171337</v>
      </c>
      <c r="Z119" s="186">
        <f>-'Service GP Calc'!Z38</f>
        <v>-36622.591943545878</v>
      </c>
      <c r="AA119" s="184" t="s">
        <v>111</v>
      </c>
      <c r="AB119" s="184" t="s">
        <v>113</v>
      </c>
      <c r="AC119" s="184" t="str">
        <f t="shared" si="50"/>
        <v/>
      </c>
      <c r="AE119" s="184" t="str">
        <f t="shared" si="51"/>
        <v>440-3300</v>
      </c>
    </row>
    <row r="120" spans="1:31" x14ac:dyDescent="0.2">
      <c r="A120" s="184">
        <v>440</v>
      </c>
      <c r="B120" s="185">
        <v>3320</v>
      </c>
      <c r="C120" s="186"/>
      <c r="D120" s="186"/>
      <c r="E120" s="186"/>
      <c r="F120" s="186"/>
      <c r="G120" s="186">
        <f>-'Service GP Calc'!G39</f>
        <v>-2410.6720805771001</v>
      </c>
      <c r="H120" s="186">
        <f>-'Service GP Calc'!H39</f>
        <v>-2030.0396468017684</v>
      </c>
      <c r="I120" s="186">
        <f>-'Service GP Calc'!I39</f>
        <v>-2537.5495585022109</v>
      </c>
      <c r="J120" s="186">
        <f>-'Service GP Calc'!J39</f>
        <v>-2537.5495585022109</v>
      </c>
      <c r="K120" s="186">
        <f>-'Service GP Calc'!K39</f>
        <v>-1903.1621688766581</v>
      </c>
      <c r="L120" s="186">
        <f>-'Service GP Calc'!L39</f>
        <v>-1984.2430148807589</v>
      </c>
      <c r="M120" s="186">
        <f>-'Service GP Calc'!M39</f>
        <v>-1971.673994625085</v>
      </c>
      <c r="N120" s="186">
        <f>-'Service GP Calc'!N39</f>
        <v>-2638.1178191966646</v>
      </c>
      <c r="O120" s="186">
        <f>-'Service GP Calc'!O39</f>
        <v>-1811.0985628789615</v>
      </c>
      <c r="P120" s="186">
        <f>-'Service GP Calc'!P39</f>
        <v>-2217.5889083817892</v>
      </c>
      <c r="Q120" s="186">
        <f>-'Service GP Calc'!Q39</f>
        <v>-2414.7973593994075</v>
      </c>
      <c r="R120" s="186">
        <f>-'Service GP Calc'!R39</f>
        <v>-2495.2906047127212</v>
      </c>
      <c r="S120" s="186">
        <f>-'Service GP Calc'!S39</f>
        <v>-2318.2054650234313</v>
      </c>
      <c r="T120" s="186">
        <f>-'Service GP Calc'!T39</f>
        <v>-2318.2054650234313</v>
      </c>
      <c r="U120" s="186">
        <f>-'Service GP Calc'!U39</f>
        <v>-2575.7838500260345</v>
      </c>
      <c r="V120" s="186">
        <f>-'Service GP Calc'!V39</f>
        <v>-2575.7838500260345</v>
      </c>
      <c r="W120" s="186">
        <f>-'Service GP Calc'!W39</f>
        <v>-2318.2054650234313</v>
      </c>
      <c r="X120" s="186">
        <f>-'Service GP Calc'!X39</f>
        <v>-2318.2054650234313</v>
      </c>
      <c r="Y120" s="186">
        <f>-'Service GP Calc'!Y39</f>
        <v>-2318.3342542159326</v>
      </c>
      <c r="Z120" s="186">
        <f>-'Service GP Calc'!Z39</f>
        <v>-2833.3622350286382</v>
      </c>
      <c r="AA120" s="184" t="s">
        <v>111</v>
      </c>
      <c r="AB120" s="184" t="s">
        <v>114</v>
      </c>
      <c r="AC120" s="184" t="str">
        <f t="shared" si="50"/>
        <v/>
      </c>
      <c r="AE120" s="184" t="str">
        <f t="shared" si="51"/>
        <v>440-3320</v>
      </c>
    </row>
    <row r="121" spans="1:31" x14ac:dyDescent="0.2">
      <c r="A121" s="184">
        <v>440</v>
      </c>
      <c r="B121" s="185">
        <v>3340</v>
      </c>
      <c r="C121" s="186"/>
      <c r="D121" s="186"/>
      <c r="E121" s="186"/>
      <c r="F121" s="186"/>
      <c r="G121" s="186">
        <f>-'Service GP Calc'!G40</f>
        <v>-62112.434222654745</v>
      </c>
      <c r="H121" s="186">
        <f>-'Service GP Calc'!H40</f>
        <v>-52305.207766446096</v>
      </c>
      <c r="I121" s="186">
        <f>-'Service GP Calc'!I40</f>
        <v>-65381.509708057623</v>
      </c>
      <c r="J121" s="186">
        <f>-'Service GP Calc'!J40</f>
        <v>-65381.509708057623</v>
      </c>
      <c r="K121" s="186">
        <f>-'Service GP Calc'!K40</f>
        <v>-49036.132281043218</v>
      </c>
      <c r="L121" s="186">
        <f>-'Service GP Calc'!L40</f>
        <v>-51125.229655473879</v>
      </c>
      <c r="M121" s="186">
        <f>-'Service GP Calc'!M40</f>
        <v>-50801.381194223657</v>
      </c>
      <c r="N121" s="186">
        <f>-'Service GP Calc'!N40</f>
        <v>-67972.712189556347</v>
      </c>
      <c r="O121" s="186">
        <f>-'Service GP Calc'!O40</f>
        <v>-46664.057407025757</v>
      </c>
      <c r="P121" s="186">
        <f>-'Service GP Calc'!P40</f>
        <v>-57137.528706010708</v>
      </c>
      <c r="Q121" s="186">
        <f>-'Service GP Calc'!Q40</f>
        <v>-62218.724543750315</v>
      </c>
      <c r="R121" s="186">
        <f>-'Service GP Calc'!R40</f>
        <v>-64292.682028541996</v>
      </c>
      <c r="S121" s="186">
        <f>-'Service GP Calc'!S40</f>
        <v>-59729.975562000305</v>
      </c>
      <c r="T121" s="186">
        <f>-'Service GP Calc'!T40</f>
        <v>-59729.975562000305</v>
      </c>
      <c r="U121" s="186">
        <f>-'Service GP Calc'!U40</f>
        <v>-66366.639513333677</v>
      </c>
      <c r="V121" s="186">
        <f>-'Service GP Calc'!V40</f>
        <v>-66366.639513333677</v>
      </c>
      <c r="W121" s="186">
        <f>-'Service GP Calc'!W40</f>
        <v>-59729.975562000305</v>
      </c>
      <c r="X121" s="186">
        <f>-'Service GP Calc'!X40</f>
        <v>-59729.975562000305</v>
      </c>
      <c r="Y121" s="186">
        <f>-'Service GP Calc'!Y40</f>
        <v>-59733.293893975977</v>
      </c>
      <c r="Z121" s="186">
        <f>-'Service GP Calc'!Z40</f>
        <v>-73003.303464667042</v>
      </c>
      <c r="AA121" s="184" t="s">
        <v>111</v>
      </c>
      <c r="AB121" s="184" t="s">
        <v>115</v>
      </c>
      <c r="AC121" s="184" t="str">
        <f t="shared" si="50"/>
        <v/>
      </c>
      <c r="AE121" s="184" t="str">
        <f t="shared" si="51"/>
        <v>440-3340</v>
      </c>
    </row>
    <row r="122" spans="1:31" x14ac:dyDescent="0.2">
      <c r="A122" s="184">
        <v>440</v>
      </c>
      <c r="B122" s="185">
        <v>4300</v>
      </c>
      <c r="C122" s="186"/>
      <c r="D122" s="186"/>
      <c r="E122" s="186"/>
      <c r="F122" s="186"/>
      <c r="G122" s="186">
        <f>-'Service GP Calc'!G59</f>
        <v>11509.53684644675</v>
      </c>
      <c r="H122" s="186">
        <f>-'Service GP Calc'!H59</f>
        <v>9415.3203676195953</v>
      </c>
      <c r="I122" s="186">
        <f>-'Service GP Calc'!I59</f>
        <v>11353.768678600101</v>
      </c>
      <c r="J122" s="186">
        <f>-'Service GP Calc'!J59</f>
        <v>11353.768678600101</v>
      </c>
      <c r="K122" s="186">
        <f>-'Service GP Calc'!K59</f>
        <v>8515.3265089500765</v>
      </c>
      <c r="L122" s="186">
        <f>-'Service GP Calc'!L59</f>
        <v>7308.1977363922706</v>
      </c>
      <c r="M122" s="186">
        <f>-'Service GP Calc'!M59</f>
        <v>8068.7828592901978</v>
      </c>
      <c r="N122" s="186">
        <f>-'Service GP Calc'!N59</f>
        <v>11048.014307966263</v>
      </c>
      <c r="O122" s="186">
        <f>-'Service GP Calc'!O59</f>
        <v>7222.2428857581308</v>
      </c>
      <c r="P122" s="186">
        <f>-'Service GP Calc'!P59</f>
        <v>8843.2325249252008</v>
      </c>
      <c r="Q122" s="186">
        <f>-'Service GP Calc'!Q59</f>
        <v>9629.6542921145556</v>
      </c>
      <c r="R122" s="186">
        <f>-'Service GP Calc'!R59</f>
        <v>9950.6427685183753</v>
      </c>
      <c r="S122" s="186">
        <f>-'Service GP Calc'!S59</f>
        <v>9244.4681204299723</v>
      </c>
      <c r="T122" s="186">
        <f>-'Service GP Calc'!T59</f>
        <v>9244.4681204299723</v>
      </c>
      <c r="U122" s="186">
        <f>-'Service GP Calc'!U59</f>
        <v>10271.631244922193</v>
      </c>
      <c r="V122" s="186">
        <f>-'Service GP Calc'!V59</f>
        <v>10271.631244922193</v>
      </c>
      <c r="W122" s="186">
        <f>-'Service GP Calc'!W59</f>
        <v>9244.4681204299723</v>
      </c>
      <c r="X122" s="186">
        <f>-'Service GP Calc'!X59</f>
        <v>9244.4681204299723</v>
      </c>
      <c r="Y122" s="186">
        <f>-'Service GP Calc'!Y59</f>
        <v>9244.9817019922193</v>
      </c>
      <c r="Z122" s="186">
        <f>-'Service GP Calc'!Z59</f>
        <v>11298.794369414411</v>
      </c>
      <c r="AA122" s="184" t="s">
        <v>111</v>
      </c>
      <c r="AB122" s="184" t="s">
        <v>116</v>
      </c>
      <c r="AC122" s="184" t="str">
        <f t="shared" si="50"/>
        <v/>
      </c>
      <c r="AE122" s="184" t="str">
        <f t="shared" si="51"/>
        <v>440-4300</v>
      </c>
    </row>
    <row r="123" spans="1:31" x14ac:dyDescent="0.2">
      <c r="A123" s="184">
        <v>440</v>
      </c>
      <c r="B123" s="185">
        <v>4320</v>
      </c>
      <c r="C123" s="186"/>
      <c r="D123" s="186"/>
      <c r="E123" s="186"/>
      <c r="F123" s="186"/>
      <c r="G123" s="186">
        <f>-'Service GP Calc'!G60</f>
        <v>929.76678201456264</v>
      </c>
      <c r="H123" s="186">
        <f>-'Service GP Calc'!H60</f>
        <v>760.5911720540181</v>
      </c>
      <c r="I123" s="186">
        <f>-'Service GP Calc'!I60</f>
        <v>917.18347218278655</v>
      </c>
      <c r="J123" s="186">
        <f>-'Service GP Calc'!J60</f>
        <v>917.18347218278655</v>
      </c>
      <c r="K123" s="186">
        <f>-'Service GP Calc'!K60</f>
        <v>687.88760413708985</v>
      </c>
      <c r="L123" s="186">
        <f>-'Service GP Calc'!L60</f>
        <v>590.37297350408107</v>
      </c>
      <c r="M123" s="186">
        <f>-'Service GP Calc'!M60</f>
        <v>651.81478403039034</v>
      </c>
      <c r="N123" s="186">
        <f>-'Service GP Calc'!N60</f>
        <v>892.48393291688853</v>
      </c>
      <c r="O123" s="186">
        <f>-'Service GP Calc'!O60</f>
        <v>583.42934354408681</v>
      </c>
      <c r="P123" s="186">
        <f>-'Service GP Calc'!P60</f>
        <v>714.37660411544516</v>
      </c>
      <c r="Q123" s="186">
        <f>-'Service GP Calc'!Q60</f>
        <v>777.90555802044844</v>
      </c>
      <c r="R123" s="186">
        <f>-'Service GP Calc'!R60</f>
        <v>803.83574328779684</v>
      </c>
      <c r="S123" s="186">
        <f>-'Service GP Calc'!S60</f>
        <v>746.78933569963044</v>
      </c>
      <c r="T123" s="186">
        <f>-'Service GP Calc'!T60</f>
        <v>746.78933569963044</v>
      </c>
      <c r="U123" s="186">
        <f>-'Service GP Calc'!U60</f>
        <v>829.76592855514514</v>
      </c>
      <c r="V123" s="186">
        <f>-'Service GP Calc'!V60</f>
        <v>829.76592855514514</v>
      </c>
      <c r="W123" s="186">
        <f>-'Service GP Calc'!W60</f>
        <v>746.78933569963044</v>
      </c>
      <c r="X123" s="186">
        <f>-'Service GP Calc'!X60</f>
        <v>746.78933569963044</v>
      </c>
      <c r="Y123" s="186">
        <f>-'Service GP Calc'!Y60</f>
        <v>746.83082399605826</v>
      </c>
      <c r="Z123" s="186">
        <f>-'Service GP Calc'!Z60</f>
        <v>912.74252141065949</v>
      </c>
      <c r="AA123" s="184" t="s">
        <v>111</v>
      </c>
      <c r="AB123" s="184" t="s">
        <v>117</v>
      </c>
      <c r="AC123" s="184" t="str">
        <f t="shared" si="50"/>
        <v/>
      </c>
      <c r="AE123" s="184" t="str">
        <f t="shared" si="51"/>
        <v>440-4320</v>
      </c>
    </row>
    <row r="124" spans="1:31" x14ac:dyDescent="0.2">
      <c r="A124" s="184">
        <v>440</v>
      </c>
      <c r="B124" s="185">
        <v>4340</v>
      </c>
      <c r="C124" s="186"/>
      <c r="D124" s="186"/>
      <c r="E124" s="186"/>
      <c r="F124" s="186"/>
      <c r="G124" s="186">
        <f>-'Service GP Calc'!G61</f>
        <v>21049.473852222236</v>
      </c>
      <c r="H124" s="186">
        <f>-'Service GP Calc'!H61</f>
        <v>17219.419211441946</v>
      </c>
      <c r="I124" s="186">
        <f>-'Service GP Calc'!I61</f>
        <v>20764.59375497411</v>
      </c>
      <c r="J124" s="186">
        <f>-'Service GP Calc'!J61</f>
        <v>20764.59375497411</v>
      </c>
      <c r="K124" s="186">
        <f>-'Service GP Calc'!K61</f>
        <v>15573.445316230584</v>
      </c>
      <c r="L124" s="186">
        <f>-'Service GP Calc'!L61</f>
        <v>13365.760865221149</v>
      </c>
      <c r="M124" s="186">
        <f>-'Service GP Calc'!M61</f>
        <v>14756.773976384851</v>
      </c>
      <c r="N124" s="186">
        <f>-'Service GP Calc'!N61</f>
        <v>20205.408036580364</v>
      </c>
      <c r="O124" s="186">
        <f>-'Service GP Calc'!O61</f>
        <v>13208.560414409478</v>
      </c>
      <c r="P124" s="186">
        <f>-'Service GP Calc'!P61</f>
        <v>16173.143566589428</v>
      </c>
      <c r="Q124" s="186">
        <f>-'Service GP Calc'!Q61</f>
        <v>17611.408602456726</v>
      </c>
      <c r="R124" s="186">
        <f>-'Service GP Calc'!R61</f>
        <v>18198.455555871951</v>
      </c>
      <c r="S124" s="186">
        <f>-'Service GP Calc'!S61</f>
        <v>16906.952258358455</v>
      </c>
      <c r="T124" s="186">
        <f>-'Service GP Calc'!T61</f>
        <v>16906.952258358455</v>
      </c>
      <c r="U124" s="186">
        <f>-'Service GP Calc'!U61</f>
        <v>18785.502509287177</v>
      </c>
      <c r="V124" s="186">
        <f>-'Service GP Calc'!V61</f>
        <v>18785.502509287177</v>
      </c>
      <c r="W124" s="186">
        <f>-'Service GP Calc'!W61</f>
        <v>16906.952258358455</v>
      </c>
      <c r="X124" s="186">
        <f>-'Service GP Calc'!X61</f>
        <v>16906.952258358455</v>
      </c>
      <c r="Y124" s="186">
        <f>-'Service GP Calc'!Y61</f>
        <v>16907.891533483918</v>
      </c>
      <c r="Z124" s="186">
        <f>-'Service GP Calc'!Z61</f>
        <v>20664.052760215891</v>
      </c>
      <c r="AA124" s="184" t="s">
        <v>111</v>
      </c>
      <c r="AB124" s="184" t="s">
        <v>118</v>
      </c>
      <c r="AC124" s="184" t="str">
        <f t="shared" si="50"/>
        <v/>
      </c>
      <c r="AE124" s="184" t="str">
        <f t="shared" si="51"/>
        <v>440-4340</v>
      </c>
    </row>
    <row r="125" spans="1:31" x14ac:dyDescent="0.2">
      <c r="A125" s="184">
        <v>140</v>
      </c>
      <c r="B125" s="185">
        <v>3390</v>
      </c>
      <c r="C125" s="186"/>
      <c r="D125" s="186"/>
      <c r="E125" s="186"/>
      <c r="F125" s="186"/>
      <c r="G125" s="186">
        <f>-'Service GP Calc'!G64</f>
        <v>-106405.35398708747</v>
      </c>
      <c r="H125" s="186">
        <f>-'Service GP Calc'!H64</f>
        <v>-89604.508620705223</v>
      </c>
      <c r="I125" s="186">
        <f>-'Service GP Calc'!I64</f>
        <v>-112005.63577588154</v>
      </c>
      <c r="J125" s="186">
        <f>-'Service GP Calc'!J64</f>
        <v>-112005.63577588154</v>
      </c>
      <c r="K125" s="186">
        <f>-'Service GP Calc'!K64</f>
        <v>-84004.226831911161</v>
      </c>
      <c r="L125" s="186">
        <f>-'Service GP Calc'!L64</f>
        <v>-94386.73443264731</v>
      </c>
      <c r="M125" s="186">
        <f>-'Service GP Calc'!M64</f>
        <v>-97904.955903074166</v>
      </c>
      <c r="N125" s="186">
        <f>-'Service GP Calc'!N64</f>
        <v>-122707.98169211105</v>
      </c>
      <c r="O125" s="186">
        <f>-'Service GP Calc'!O64</f>
        <v>-77542.386492165417</v>
      </c>
      <c r="P125" s="186">
        <f>-'Service GP Calc'!P64</f>
        <v>-112005.63577588154</v>
      </c>
      <c r="Q125" s="186">
        <f>-'Service GP Calc'!Q64</f>
        <v>-112005.63577588154</v>
      </c>
      <c r="R125" s="186">
        <f>-'Service GP Calc'!R64</f>
        <v>-112005.63577588154</v>
      </c>
      <c r="S125" s="186">
        <f>-'Service GP Calc'!S64</f>
        <v>-100805.07219829339</v>
      </c>
      <c r="T125" s="186">
        <f>-'Service GP Calc'!T64</f>
        <v>-100805.07219829339</v>
      </c>
      <c r="U125" s="186">
        <f>-'Service GP Calc'!U64</f>
        <v>-112005.63577588154</v>
      </c>
      <c r="V125" s="186">
        <f>-'Service GP Calc'!V64</f>
        <v>-112005.63577588154</v>
      </c>
      <c r="W125" s="186">
        <f>-'Service GP Calc'!W64</f>
        <v>-95204.790409499314</v>
      </c>
      <c r="X125" s="186">
        <f>-'Service GP Calc'!X64</f>
        <v>-95204.790409499314</v>
      </c>
      <c r="Y125" s="186">
        <f>-'Service GP Calc'!Y64</f>
        <v>-106405.35398708747</v>
      </c>
      <c r="Z125" s="186">
        <f>-'Service GP Calc'!Z64</f>
        <v>-112005.63577588154</v>
      </c>
      <c r="AA125" s="184" t="s">
        <v>111</v>
      </c>
      <c r="AB125" s="184" t="s">
        <v>119</v>
      </c>
      <c r="AC125" s="184" t="str">
        <f t="shared" si="50"/>
        <v/>
      </c>
      <c r="AE125" s="184" t="str">
        <f t="shared" si="51"/>
        <v>140-3390</v>
      </c>
    </row>
    <row r="126" spans="1:31" x14ac:dyDescent="0.2">
      <c r="A126" s="184">
        <v>147</v>
      </c>
      <c r="B126" s="185">
        <v>3390</v>
      </c>
      <c r="C126" s="186"/>
      <c r="D126" s="186"/>
      <c r="E126" s="186"/>
      <c r="F126" s="186"/>
      <c r="G126" s="186">
        <f>-'Service GP Calc'!G65</f>
        <v>-132.82713991202513</v>
      </c>
      <c r="H126" s="186">
        <f>-'Service GP Calc'!H65</f>
        <v>-111.85443361012642</v>
      </c>
      <c r="I126" s="186">
        <f>-'Service GP Calc'!I65</f>
        <v>-139.81804201265803</v>
      </c>
      <c r="J126" s="186">
        <f>-'Service GP Calc'!J65</f>
        <v>-139.81804201265803</v>
      </c>
      <c r="K126" s="186">
        <f>-'Service GP Calc'!K65</f>
        <v>-104.86353150949353</v>
      </c>
      <c r="L126" s="186">
        <f>-'Service GP Calc'!L65</f>
        <v>-117.82414615946688</v>
      </c>
      <c r="M126" s="186">
        <f>-'Service GP Calc'!M65</f>
        <v>-122.21598621246447</v>
      </c>
      <c r="N126" s="186">
        <f>-'Service GP Calc'!N65</f>
        <v>-153.17791484926752</v>
      </c>
      <c r="O126" s="186">
        <f>-'Service GP Calc'!O65</f>
        <v>-96.797135047895054</v>
      </c>
      <c r="P126" s="186">
        <f>-'Service GP Calc'!P65</f>
        <v>-139.81804201265803</v>
      </c>
      <c r="Q126" s="186">
        <f>-'Service GP Calc'!Q65</f>
        <v>-139.81804201265803</v>
      </c>
      <c r="R126" s="186">
        <f>-'Service GP Calc'!R65</f>
        <v>-139.81804201265803</v>
      </c>
      <c r="S126" s="186">
        <f>-'Service GP Calc'!S65</f>
        <v>-125.83623781139222</v>
      </c>
      <c r="T126" s="186">
        <f>-'Service GP Calc'!T65</f>
        <v>-125.83623781139222</v>
      </c>
      <c r="U126" s="186">
        <f>-'Service GP Calc'!U65</f>
        <v>-139.81804201265803</v>
      </c>
      <c r="V126" s="186">
        <f>-'Service GP Calc'!V65</f>
        <v>-139.81804201265803</v>
      </c>
      <c r="W126" s="186">
        <f>-'Service GP Calc'!W65</f>
        <v>-118.84533571075933</v>
      </c>
      <c r="X126" s="186">
        <f>-'Service GP Calc'!X65</f>
        <v>-118.84533571075933</v>
      </c>
      <c r="Y126" s="186">
        <f>-'Service GP Calc'!Y65</f>
        <v>-132.82713991202513</v>
      </c>
      <c r="Z126" s="186">
        <f>-'Service GP Calc'!Z65</f>
        <v>-139.81804201265803</v>
      </c>
      <c r="AA126" s="184" t="s">
        <v>111</v>
      </c>
      <c r="AB126" s="184" t="s">
        <v>119</v>
      </c>
      <c r="AC126" s="184" t="str">
        <f t="shared" si="50"/>
        <v/>
      </c>
      <c r="AE126" s="184" t="str">
        <f t="shared" si="51"/>
        <v>147-3390</v>
      </c>
    </row>
    <row r="127" spans="1:31" x14ac:dyDescent="0.2">
      <c r="A127" s="184">
        <v>240</v>
      </c>
      <c r="B127" s="185">
        <v>3390</v>
      </c>
      <c r="C127" s="186"/>
      <c r="D127" s="186"/>
      <c r="E127" s="186"/>
      <c r="F127" s="186"/>
      <c r="G127" s="186">
        <f>-'Service GP Calc'!G66</f>
        <v>-52332.536382266342</v>
      </c>
      <c r="H127" s="186">
        <f>-'Service GP Calc'!H66</f>
        <v>-44069.504321908498</v>
      </c>
      <c r="I127" s="186">
        <f>-'Service GP Calc'!I66</f>
        <v>-55086.880402385628</v>
      </c>
      <c r="J127" s="186">
        <f>-'Service GP Calc'!J66</f>
        <v>-55086.880402385628</v>
      </c>
      <c r="K127" s="186">
        <f>-'Service GP Calc'!K66</f>
        <v>-41315.160301789219</v>
      </c>
      <c r="L127" s="186">
        <f>-'Service GP Calc'!L66</f>
        <v>-46421.510089607393</v>
      </c>
      <c r="M127" s="186">
        <f>-'Service GP Calc'!M66</f>
        <v>-48151.85021069122</v>
      </c>
      <c r="N127" s="186">
        <f>-'Service GP Calc'!N66</f>
        <v>-60350.533837575051</v>
      </c>
      <c r="O127" s="186">
        <f>-'Service GP Calc'!O66</f>
        <v>-38137.082488926746</v>
      </c>
      <c r="P127" s="186">
        <f>-'Service GP Calc'!P66</f>
        <v>-55086.880402385628</v>
      </c>
      <c r="Q127" s="186">
        <f>-'Service GP Calc'!Q66</f>
        <v>-55086.880402385628</v>
      </c>
      <c r="R127" s="186">
        <f>-'Service GP Calc'!R66</f>
        <v>-55086.880402385628</v>
      </c>
      <c r="S127" s="186">
        <f>-'Service GP Calc'!S66</f>
        <v>-49578.192362147063</v>
      </c>
      <c r="T127" s="186">
        <f>-'Service GP Calc'!T66</f>
        <v>-49578.192362147063</v>
      </c>
      <c r="U127" s="186">
        <f>-'Service GP Calc'!U66</f>
        <v>-55086.880402385628</v>
      </c>
      <c r="V127" s="186">
        <f>-'Service GP Calc'!V66</f>
        <v>-55086.880402385628</v>
      </c>
      <c r="W127" s="186">
        <f>-'Service GP Calc'!W66</f>
        <v>-46823.848342027784</v>
      </c>
      <c r="X127" s="186">
        <f>-'Service GP Calc'!X66</f>
        <v>-46823.848342027784</v>
      </c>
      <c r="Y127" s="186">
        <f>-'Service GP Calc'!Y66</f>
        <v>-52332.536382266342</v>
      </c>
      <c r="Z127" s="186">
        <f>-'Service GP Calc'!Z66</f>
        <v>-55086.880402385628</v>
      </c>
      <c r="AA127" s="184" t="s">
        <v>111</v>
      </c>
      <c r="AB127" s="184" t="s">
        <v>119</v>
      </c>
      <c r="AC127" s="184" t="str">
        <f t="shared" si="50"/>
        <v/>
      </c>
      <c r="AE127" s="184" t="str">
        <f t="shared" si="51"/>
        <v>240-3390</v>
      </c>
    </row>
    <row r="128" spans="1:31" x14ac:dyDescent="0.2">
      <c r="A128" s="184">
        <v>340</v>
      </c>
      <c r="B128" s="185">
        <v>3390</v>
      </c>
      <c r="C128" s="186"/>
      <c r="D128" s="186"/>
      <c r="E128" s="186"/>
      <c r="F128" s="186"/>
      <c r="G128" s="186">
        <f>-'Service GP Calc'!G67</f>
        <v>-42048.081436286942</v>
      </c>
      <c r="H128" s="186">
        <f>-'Service GP Calc'!H67</f>
        <v>-35408.910683189009</v>
      </c>
      <c r="I128" s="186">
        <f>-'Service GP Calc'!I67</f>
        <v>-44261.138353986258</v>
      </c>
      <c r="J128" s="186">
        <f>-'Service GP Calc'!J67</f>
        <v>-44261.138353986258</v>
      </c>
      <c r="K128" s="186">
        <f>-'Service GP Calc'!K67</f>
        <v>-33195.853765489694</v>
      </c>
      <c r="L128" s="186">
        <f>-'Service GP Calc'!L67</f>
        <v>-37298.697360762162</v>
      </c>
      <c r="M128" s="186">
        <f>-'Service GP Calc'!M67</f>
        <v>-38688.988895503491</v>
      </c>
      <c r="N128" s="186">
        <f>-'Service GP Calc'!N67</f>
        <v>-48490.372088780663</v>
      </c>
      <c r="O128" s="186">
        <f>-'Service GP Calc'!O67</f>
        <v>-30642.33574545768</v>
      </c>
      <c r="P128" s="186">
        <f>-'Service GP Calc'!P67</f>
        <v>-44261.138353986258</v>
      </c>
      <c r="Q128" s="186">
        <f>-'Service GP Calc'!Q67</f>
        <v>-44261.138353986258</v>
      </c>
      <c r="R128" s="186">
        <f>-'Service GP Calc'!R67</f>
        <v>-44261.138353986258</v>
      </c>
      <c r="S128" s="186">
        <f>-'Service GP Calc'!S67</f>
        <v>-39835.024518587634</v>
      </c>
      <c r="T128" s="186">
        <f>-'Service GP Calc'!T67</f>
        <v>-39835.024518587634</v>
      </c>
      <c r="U128" s="186">
        <f>-'Service GP Calc'!U67</f>
        <v>-44261.138353986258</v>
      </c>
      <c r="V128" s="186">
        <f>-'Service GP Calc'!V67</f>
        <v>-44261.138353986258</v>
      </c>
      <c r="W128" s="186">
        <f>-'Service GP Calc'!W67</f>
        <v>-37621.967600888318</v>
      </c>
      <c r="X128" s="186">
        <f>-'Service GP Calc'!X67</f>
        <v>-37621.967600888318</v>
      </c>
      <c r="Y128" s="186">
        <f>-'Service GP Calc'!Y67</f>
        <v>-42048.081436286942</v>
      </c>
      <c r="Z128" s="186">
        <f>-'Service GP Calc'!Z67</f>
        <v>-44261.138353986258</v>
      </c>
      <c r="AA128" s="184" t="s">
        <v>111</v>
      </c>
      <c r="AB128" s="184" t="s">
        <v>119</v>
      </c>
      <c r="AC128" s="184" t="str">
        <f t="shared" si="50"/>
        <v/>
      </c>
      <c r="AE128" s="184" t="str">
        <f t="shared" si="51"/>
        <v>340-3390</v>
      </c>
    </row>
    <row r="129" spans="1:31" x14ac:dyDescent="0.2">
      <c r="A129" s="184">
        <v>440</v>
      </c>
      <c r="B129" s="185">
        <v>3390</v>
      </c>
      <c r="C129" s="186"/>
      <c r="D129" s="186"/>
      <c r="E129" s="186"/>
      <c r="F129" s="186"/>
      <c r="G129" s="186">
        <f>-'Service GP Calc'!G68</f>
        <v>-37824.025834574772</v>
      </c>
      <c r="H129" s="186">
        <f>-'Service GP Calc'!H68</f>
        <v>-31851.811229115599</v>
      </c>
      <c r="I129" s="186">
        <f>-'Service GP Calc'!I68</f>
        <v>-39814.764036394496</v>
      </c>
      <c r="J129" s="186">
        <f>-'Service GP Calc'!J68</f>
        <v>-39814.764036394496</v>
      </c>
      <c r="K129" s="186">
        <f>-'Service GP Calc'!K68</f>
        <v>-29861.073027295872</v>
      </c>
      <c r="L129" s="186">
        <f>-'Service GP Calc'!L68</f>
        <v>-33551.75419138062</v>
      </c>
      <c r="M129" s="186">
        <f>-'Service GP Calc'!M68</f>
        <v>-34802.380168390475</v>
      </c>
      <c r="N129" s="186">
        <f>-'Service GP Calc'!N68</f>
        <v>-43619.138471116501</v>
      </c>
      <c r="O129" s="186">
        <f>-'Service GP Calc'!O68</f>
        <v>-27564.075679031797</v>
      </c>
      <c r="P129" s="186">
        <f>-'Service GP Calc'!P68</f>
        <v>-39814.764036394496</v>
      </c>
      <c r="Q129" s="186">
        <f>-'Service GP Calc'!Q68</f>
        <v>-39814.764036394496</v>
      </c>
      <c r="R129" s="186">
        <f>-'Service GP Calc'!R68</f>
        <v>-39814.764036394496</v>
      </c>
      <c r="S129" s="186">
        <f>-'Service GP Calc'!S68</f>
        <v>-35833.287632755048</v>
      </c>
      <c r="T129" s="186">
        <f>-'Service GP Calc'!T68</f>
        <v>-35833.287632755048</v>
      </c>
      <c r="U129" s="186">
        <f>-'Service GP Calc'!U68</f>
        <v>-39814.764036394496</v>
      </c>
      <c r="V129" s="186">
        <f>-'Service GP Calc'!V68</f>
        <v>-39814.764036394496</v>
      </c>
      <c r="W129" s="186">
        <f>-'Service GP Calc'!W68</f>
        <v>-33842.549430935323</v>
      </c>
      <c r="X129" s="186">
        <f>-'Service GP Calc'!X68</f>
        <v>-33842.549430935323</v>
      </c>
      <c r="Y129" s="186">
        <f>-'Service GP Calc'!Y68</f>
        <v>-37824.025834574772</v>
      </c>
      <c r="Z129" s="186">
        <f>-'Service GP Calc'!Z68</f>
        <v>-39814.764036394496</v>
      </c>
      <c r="AA129" s="184" t="s">
        <v>111</v>
      </c>
      <c r="AB129" s="184" t="s">
        <v>119</v>
      </c>
      <c r="AC129" s="184" t="str">
        <f t="shared" si="50"/>
        <v/>
      </c>
      <c r="AE129" s="184" t="str">
        <f t="shared" si="51"/>
        <v>440-3390</v>
      </c>
    </row>
    <row r="130" spans="1:31" x14ac:dyDescent="0.2">
      <c r="A130" s="184">
        <v>140</v>
      </c>
      <c r="B130" s="185">
        <v>4390</v>
      </c>
      <c r="C130" s="186"/>
      <c r="D130" s="186"/>
      <c r="E130" s="186"/>
      <c r="F130" s="186"/>
      <c r="G130" s="186">
        <f>-'Service GP Calc'!G77</f>
        <v>52376.718993520917</v>
      </c>
      <c r="H130" s="186">
        <f>-'Service GP Calc'!H77</f>
        <v>42585.684796648318</v>
      </c>
      <c r="I130" s="186">
        <f>-'Service GP Calc'!I77</f>
        <v>53385.019622886328</v>
      </c>
      <c r="J130" s="186">
        <f>-'Service GP Calc'!J77</f>
        <v>53385.019622886328</v>
      </c>
      <c r="K130" s="186">
        <f>-'Service GP Calc'!K77</f>
        <v>40038.764717164748</v>
      </c>
      <c r="L130" s="186">
        <f>-'Service GP Calc'!L77</f>
        <v>62778.642708148596</v>
      </c>
      <c r="M130" s="186">
        <f>-'Service GP Calc'!M77</f>
        <v>55358.526695648456</v>
      </c>
      <c r="N130" s="186">
        <f>-'Service GP Calc'!N77</f>
        <v>65282.511687823571</v>
      </c>
      <c r="O130" s="186">
        <f>-'Service GP Calc'!O77</f>
        <v>47386.01714263067</v>
      </c>
      <c r="P130" s="186">
        <f>-'Service GP Calc'!P77</f>
        <v>64668.806221976534</v>
      </c>
      <c r="Q130" s="186">
        <f>-'Service GP Calc'!Q77</f>
        <v>66538.548444758722</v>
      </c>
      <c r="R130" s="186">
        <f>-'Service GP Calc'!R77</f>
        <v>67301.708535690239</v>
      </c>
      <c r="S130" s="186">
        <f>-'Service GP Calc'!S77</f>
        <v>61258.38176395958</v>
      </c>
      <c r="T130" s="186">
        <f>-'Service GP Calc'!T77</f>
        <v>61258.38176395958</v>
      </c>
      <c r="U130" s="186">
        <f>-'Service GP Calc'!U77</f>
        <v>68064.868626621741</v>
      </c>
      <c r="V130" s="186">
        <f>-'Service GP Calc'!V77</f>
        <v>68064.868626621741</v>
      </c>
      <c r="W130" s="186">
        <f>-'Service GP Calc'!W77</f>
        <v>59076.194478118894</v>
      </c>
      <c r="X130" s="186">
        <f>-'Service GP Calc'!X77</f>
        <v>59076.194478118894</v>
      </c>
      <c r="Y130" s="186">
        <f>-'Service GP Calc'!Y77</f>
        <v>63441.790105945751</v>
      </c>
      <c r="Z130" s="186">
        <f>-'Service GP Calc'!Z77</f>
        <v>70506.980917602559</v>
      </c>
      <c r="AA130" s="184" t="s">
        <v>111</v>
      </c>
      <c r="AB130" s="184" t="s">
        <v>120</v>
      </c>
      <c r="AC130" s="184" t="str">
        <f t="shared" ref="AC130:AC171" si="52">+IF(RIGHT(B130,1)="#","#","")</f>
        <v/>
      </c>
      <c r="AE130" s="184" t="str">
        <f t="shared" ref="AE130:AE194" si="53">+A130&amp;"-"&amp;B130</f>
        <v>140-4390</v>
      </c>
    </row>
    <row r="131" spans="1:31" x14ac:dyDescent="0.2">
      <c r="A131" s="184">
        <v>147</v>
      </c>
      <c r="B131" s="185">
        <v>4390</v>
      </c>
      <c r="C131" s="186"/>
      <c r="D131" s="186"/>
      <c r="E131" s="186"/>
      <c r="F131" s="186"/>
      <c r="G131" s="186">
        <f>-'Service GP Calc'!G78</f>
        <v>66.215845022994614</v>
      </c>
      <c r="H131" s="186">
        <f>-'Service GP Calc'!H78</f>
        <v>53.837795854333329</v>
      </c>
      <c r="I131" s="186">
        <f>-'Service GP Calc'!I78</f>
        <v>67.490561719527406</v>
      </c>
      <c r="J131" s="186">
        <f>-'Service GP Calc'!J78</f>
        <v>67.490561719527406</v>
      </c>
      <c r="K131" s="186">
        <f>-'Service GP Calc'!K78</f>
        <v>50.617921289645558</v>
      </c>
      <c r="L131" s="186">
        <f>-'Service GP Calc'!L78</f>
        <v>79.366194679566277</v>
      </c>
      <c r="M131" s="186">
        <f>-'Service GP Calc'!M78</f>
        <v>69.985514457937114</v>
      </c>
      <c r="N131" s="186">
        <f>-'Service GP Calc'!N78</f>
        <v>82.531643060106319</v>
      </c>
      <c r="O131" s="186">
        <f>-'Service GP Calc'!O78</f>
        <v>59.906485699524957</v>
      </c>
      <c r="P131" s="186">
        <f>-'Service GP Calc'!P78</f>
        <v>81.755782586270243</v>
      </c>
      <c r="Q131" s="186">
        <f>-'Service GP Calc'!Q78</f>
        <v>84.119553430182961</v>
      </c>
      <c r="R131" s="186">
        <f>-'Service GP Calc'!R78</f>
        <v>85.084357856269804</v>
      </c>
      <c r="S131" s="186">
        <f>-'Service GP Calc'!S78</f>
        <v>77.444246054120995</v>
      </c>
      <c r="T131" s="186">
        <f>-'Service GP Calc'!T78</f>
        <v>77.444246054120995</v>
      </c>
      <c r="U131" s="186">
        <f>-'Service GP Calc'!U78</f>
        <v>86.049162282356647</v>
      </c>
      <c r="V131" s="186">
        <f>-'Service GP Calc'!V78</f>
        <v>86.049162282356647</v>
      </c>
      <c r="W131" s="186">
        <f>-'Service GP Calc'!W78</f>
        <v>74.685475021742079</v>
      </c>
      <c r="X131" s="186">
        <f>-'Service GP Calc'!X78</f>
        <v>74.685475021742079</v>
      </c>
      <c r="Y131" s="186">
        <f>-'Service GP Calc'!Y78</f>
        <v>80.204560773581633</v>
      </c>
      <c r="Z131" s="186">
        <f>-'Service GP Calc'!Z78</f>
        <v>89.136536445834494</v>
      </c>
      <c r="AA131" s="184" t="s">
        <v>111</v>
      </c>
      <c r="AB131" s="184" t="s">
        <v>120</v>
      </c>
      <c r="AC131" s="184" t="str">
        <f t="shared" si="52"/>
        <v/>
      </c>
      <c r="AE131" s="184" t="str">
        <f t="shared" si="53"/>
        <v>147-4390</v>
      </c>
    </row>
    <row r="132" spans="1:31" x14ac:dyDescent="0.2">
      <c r="A132" s="184">
        <v>240</v>
      </c>
      <c r="B132" s="185">
        <v>4390</v>
      </c>
      <c r="C132" s="186"/>
      <c r="D132" s="186"/>
      <c r="E132" s="186"/>
      <c r="F132" s="186"/>
      <c r="G132" s="186">
        <f>-'Service GP Calc'!G79</f>
        <v>30006.103889674087</v>
      </c>
      <c r="H132" s="186">
        <f>-'Service GP Calc'!H79</f>
        <v>24396.917309371995</v>
      </c>
      <c r="I132" s="186">
        <f>-'Service GP Calc'!I79</f>
        <v>30583.749340136623</v>
      </c>
      <c r="J132" s="186">
        <f>-'Service GP Calc'!J79</f>
        <v>30583.749340136623</v>
      </c>
      <c r="K132" s="186">
        <f>-'Service GP Calc'!K79</f>
        <v>22937.812005102467</v>
      </c>
      <c r="L132" s="186">
        <f>-'Service GP Calc'!L79</f>
        <v>35965.263028149187</v>
      </c>
      <c r="M132" s="186">
        <f>-'Service GP Calc'!M79</f>
        <v>31714.352008463982</v>
      </c>
      <c r="N132" s="186">
        <f>-'Service GP Calc'!N79</f>
        <v>37399.704783455651</v>
      </c>
      <c r="O132" s="186">
        <f>-'Service GP Calc'!O79</f>
        <v>27146.98019697531</v>
      </c>
      <c r="P132" s="186">
        <f>-'Service GP Calc'!P79</f>
        <v>37048.118996492842</v>
      </c>
      <c r="Q132" s="186">
        <f>-'Service GP Calc'!Q79</f>
        <v>38119.275809325132</v>
      </c>
      <c r="R132" s="186">
        <f>-'Service GP Calc'!R79</f>
        <v>38556.482671705664</v>
      </c>
      <c r="S132" s="186">
        <f>-'Service GP Calc'!S79</f>
        <v>35094.32058067758</v>
      </c>
      <c r="T132" s="186">
        <f>-'Service GP Calc'!T79</f>
        <v>35094.32058067758</v>
      </c>
      <c r="U132" s="186">
        <f>-'Service GP Calc'!U79</f>
        <v>38993.689534086196</v>
      </c>
      <c r="V132" s="186">
        <f>-'Service GP Calc'!V79</f>
        <v>38993.689534086196</v>
      </c>
      <c r="W132" s="186">
        <f>-'Service GP Calc'!W79</f>
        <v>33844.167083782115</v>
      </c>
      <c r="X132" s="186">
        <f>-'Service GP Calc'!X79</f>
        <v>33844.167083782115</v>
      </c>
      <c r="Y132" s="186">
        <f>-'Service GP Calc'!Y79</f>
        <v>36345.173608552854</v>
      </c>
      <c r="Z132" s="186">
        <f>-'Service GP Calc'!Z79</f>
        <v>40392.75149370388</v>
      </c>
      <c r="AA132" s="184" t="s">
        <v>111</v>
      </c>
      <c r="AB132" s="184" t="s">
        <v>120</v>
      </c>
      <c r="AC132" s="184" t="str">
        <f t="shared" si="52"/>
        <v/>
      </c>
      <c r="AE132" s="184" t="str">
        <f t="shared" si="53"/>
        <v>240-4390</v>
      </c>
    </row>
    <row r="133" spans="1:31" x14ac:dyDescent="0.2">
      <c r="A133" s="184">
        <v>340</v>
      </c>
      <c r="B133" s="185">
        <v>4390</v>
      </c>
      <c r="C133" s="186"/>
      <c r="D133" s="186"/>
      <c r="E133" s="186"/>
      <c r="F133" s="186"/>
      <c r="G133" s="186">
        <f>-'Service GP Calc'!G80</f>
        <v>21659.975173496019</v>
      </c>
      <c r="H133" s="186">
        <f>-'Service GP Calc'!H80</f>
        <v>17610.970926908049</v>
      </c>
      <c r="I133" s="186">
        <f>-'Service GP Calc'!I80</f>
        <v>22076.949871780897</v>
      </c>
      <c r="J133" s="186">
        <f>-'Service GP Calc'!J80</f>
        <v>22076.949871780897</v>
      </c>
      <c r="K133" s="186">
        <f>-'Service GP Calc'!K80</f>
        <v>16557.712403835671</v>
      </c>
      <c r="L133" s="186">
        <f>-'Service GP Calc'!L80</f>
        <v>25961.607916915964</v>
      </c>
      <c r="M133" s="186">
        <f>-'Service GP Calc'!M80</f>
        <v>22893.078010812176</v>
      </c>
      <c r="N133" s="186">
        <f>-'Service GP Calc'!N80</f>
        <v>26997.063000388363</v>
      </c>
      <c r="O133" s="186">
        <f>-'Service GP Calc'!O80</f>
        <v>19596.110153581823</v>
      </c>
      <c r="P133" s="186">
        <f>-'Service GP Calc'!P80</f>
        <v>26743.269990640467</v>
      </c>
      <c r="Q133" s="186">
        <f>-'Service GP Calc'!Q80</f>
        <v>27516.487002025031</v>
      </c>
      <c r="R133" s="186">
        <f>-'Service GP Calc'!R80</f>
        <v>27832.085782181999</v>
      </c>
      <c r="S133" s="186">
        <f>-'Service GP Calc'!S80</f>
        <v>25332.916106105076</v>
      </c>
      <c r="T133" s="186">
        <f>-'Service GP Calc'!T80</f>
        <v>25332.916106105076</v>
      </c>
      <c r="U133" s="186">
        <f>-'Service GP Calc'!U80</f>
        <v>28147.684562338967</v>
      </c>
      <c r="V133" s="186">
        <f>-'Service GP Calc'!V80</f>
        <v>28147.684562338967</v>
      </c>
      <c r="W133" s="186">
        <f>-'Service GP Calc'!W80</f>
        <v>24430.489926239272</v>
      </c>
      <c r="X133" s="186">
        <f>-'Service GP Calc'!X80</f>
        <v>24430.489926239272</v>
      </c>
      <c r="Y133" s="186">
        <f>-'Service GP Calc'!Y80</f>
        <v>26235.847244019133</v>
      </c>
      <c r="Z133" s="186">
        <f>-'Service GP Calc'!Z80</f>
        <v>29157.600658841257</v>
      </c>
      <c r="AA133" s="184" t="s">
        <v>111</v>
      </c>
      <c r="AB133" s="184" t="s">
        <v>120</v>
      </c>
      <c r="AC133" s="184" t="str">
        <f t="shared" si="52"/>
        <v/>
      </c>
      <c r="AE133" s="184" t="str">
        <f t="shared" si="53"/>
        <v>340-4390</v>
      </c>
    </row>
    <row r="134" spans="1:31" x14ac:dyDescent="0.2">
      <c r="A134" s="184">
        <v>440</v>
      </c>
      <c r="B134" s="185">
        <v>4390</v>
      </c>
      <c r="C134" s="186"/>
      <c r="D134" s="186"/>
      <c r="E134" s="186"/>
      <c r="F134" s="186"/>
      <c r="G134" s="186">
        <f>-'Service GP Calc'!G81</f>
        <v>19807.206238943316</v>
      </c>
      <c r="H134" s="186">
        <f>-'Service GP Calc'!H81</f>
        <v>16104.549078345068</v>
      </c>
      <c r="I134" s="186">
        <f>-'Service GP Calc'!I81</f>
        <v>20188.513409389929</v>
      </c>
      <c r="J134" s="186">
        <f>-'Service GP Calc'!J81</f>
        <v>20188.513409389929</v>
      </c>
      <c r="K134" s="186">
        <f>-'Service GP Calc'!K81</f>
        <v>15141.385057042447</v>
      </c>
      <c r="L134" s="186">
        <f>-'Service GP Calc'!L81</f>
        <v>23740.882350325403</v>
      </c>
      <c r="M134" s="186">
        <f>-'Service GP Calc'!M81</f>
        <v>20934.830902263973</v>
      </c>
      <c r="N134" s="186">
        <f>-'Service GP Calc'!N81</f>
        <v>24687.765817421721</v>
      </c>
      <c r="O134" s="186">
        <f>-'Service GP Calc'!O81</f>
        <v>17919.88181814698</v>
      </c>
      <c r="P134" s="186">
        <f>-'Service GP Calc'!P81</f>
        <v>24455.681964794323</v>
      </c>
      <c r="Q134" s="186">
        <f>-'Service GP Calc'!Q81</f>
        <v>25162.758897675289</v>
      </c>
      <c r="R134" s="186">
        <f>-'Service GP Calc'!R81</f>
        <v>25451.361727422624</v>
      </c>
      <c r="S134" s="186">
        <f>-'Service GP Calc'!S81</f>
        <v>23165.968101452971</v>
      </c>
      <c r="T134" s="186">
        <f>-'Service GP Calc'!T81</f>
        <v>23165.968101452971</v>
      </c>
      <c r="U134" s="186">
        <f>-'Service GP Calc'!U81</f>
        <v>25739.964557169962</v>
      </c>
      <c r="V134" s="186">
        <f>-'Service GP Calc'!V81</f>
        <v>25739.964557169962</v>
      </c>
      <c r="W134" s="186">
        <f>-'Service GP Calc'!W81</f>
        <v>22340.734401190206</v>
      </c>
      <c r="X134" s="186">
        <f>-'Service GP Calc'!X81</f>
        <v>22340.734401190206</v>
      </c>
      <c r="Y134" s="186">
        <f>-'Service GP Calc'!Y81</f>
        <v>23991.663566243329</v>
      </c>
      <c r="Z134" s="186">
        <f>-'Service GP Calc'!Z81</f>
        <v>26663.493612361428</v>
      </c>
      <c r="AA134" s="184" t="s">
        <v>111</v>
      </c>
      <c r="AB134" s="184" t="s">
        <v>120</v>
      </c>
      <c r="AC134" s="184" t="str">
        <f t="shared" si="52"/>
        <v/>
      </c>
      <c r="AE134" s="184" t="str">
        <f t="shared" si="53"/>
        <v>440-4390</v>
      </c>
    </row>
    <row r="135" spans="1:31" x14ac:dyDescent="0.2">
      <c r="A135" s="184">
        <v>140</v>
      </c>
      <c r="B135" s="185">
        <v>3430</v>
      </c>
      <c r="C135" s="186"/>
      <c r="D135" s="186"/>
      <c r="E135" s="186"/>
      <c r="F135" s="186"/>
      <c r="G135" s="186">
        <f>-'Service GP Calc'!G70</f>
        <v>-2007.0280726534832</v>
      </c>
      <c r="H135" s="186">
        <f>-'Service GP Calc'!H70</f>
        <v>-1690.1289032871437</v>
      </c>
      <c r="I135" s="186">
        <f>-'Service GP Calc'!I70</f>
        <v>-2112.6611291089298</v>
      </c>
      <c r="J135" s="186">
        <f>-'Service GP Calc'!J70</f>
        <v>-2112.6611291089298</v>
      </c>
      <c r="K135" s="186">
        <f>-'Service GP Calc'!K70</f>
        <v>-1584.4958468316975</v>
      </c>
      <c r="L135" s="186">
        <f>-'Service GP Calc'!L70</f>
        <v>-1780.3317088292465</v>
      </c>
      <c r="M135" s="186">
        <f>-'Service GP Calc'!M70</f>
        <v>-1846.6927422958126</v>
      </c>
      <c r="N135" s="186">
        <f>-'Service GP Calc'!N70</f>
        <v>-2314.529812330712</v>
      </c>
      <c r="O135" s="186">
        <f>-'Service GP Calc'!O70</f>
        <v>-1462.6119897050319</v>
      </c>
      <c r="P135" s="186">
        <f>-'Service GP Calc'!P70</f>
        <v>-2112.6611291089298</v>
      </c>
      <c r="Q135" s="186">
        <f>-'Service GP Calc'!Q70</f>
        <v>-2112.6611291089298</v>
      </c>
      <c r="R135" s="186">
        <f>-'Service GP Calc'!R70</f>
        <v>-2112.6611291089298</v>
      </c>
      <c r="S135" s="186">
        <f>-'Service GP Calc'!S70</f>
        <v>-1901.395016198037</v>
      </c>
      <c r="T135" s="186">
        <f>-'Service GP Calc'!T70</f>
        <v>-1901.395016198037</v>
      </c>
      <c r="U135" s="186">
        <f>-'Service GP Calc'!U70</f>
        <v>-2112.6611291089298</v>
      </c>
      <c r="V135" s="186">
        <f>-'Service GP Calc'!V70</f>
        <v>-2112.6611291089298</v>
      </c>
      <c r="W135" s="186">
        <f>-'Service GP Calc'!W70</f>
        <v>-1795.7619597425903</v>
      </c>
      <c r="X135" s="186">
        <f>-'Service GP Calc'!X70</f>
        <v>-1795.7619597425903</v>
      </c>
      <c r="Y135" s="186">
        <f>-'Service GP Calc'!Y70</f>
        <v>-2007.0280726534832</v>
      </c>
      <c r="Z135" s="186">
        <f>-'Service GP Calc'!Z70</f>
        <v>-2112.6611291089298</v>
      </c>
      <c r="AA135" s="184" t="s">
        <v>111</v>
      </c>
      <c r="AB135" s="184" t="s">
        <v>121</v>
      </c>
      <c r="AC135" s="184" t="str">
        <f t="shared" si="52"/>
        <v/>
      </c>
      <c r="AE135" s="184" t="str">
        <f t="shared" si="53"/>
        <v>140-3430</v>
      </c>
    </row>
    <row r="136" spans="1:31" x14ac:dyDescent="0.2">
      <c r="A136" s="184">
        <v>147</v>
      </c>
      <c r="B136" s="185">
        <v>3430</v>
      </c>
      <c r="C136" s="186"/>
      <c r="D136" s="186"/>
      <c r="E136" s="186"/>
      <c r="F136" s="186"/>
      <c r="G136" s="186">
        <f>-'Service GP Calc'!G71</f>
        <v>-4.1501674447672778</v>
      </c>
      <c r="H136" s="186">
        <f>-'Service GP Calc'!H71</f>
        <v>-3.4948778482250757</v>
      </c>
      <c r="I136" s="186">
        <f>-'Service GP Calc'!I71</f>
        <v>-4.368597310281344</v>
      </c>
      <c r="J136" s="186">
        <f>-'Service GP Calc'!J71</f>
        <v>-4.368597310281344</v>
      </c>
      <c r="K136" s="186">
        <f>-'Service GP Calc'!K71</f>
        <v>-3.2764479827110087</v>
      </c>
      <c r="L136" s="186">
        <f>-'Service GP Calc'!L71</f>
        <v>-3.681400773384051</v>
      </c>
      <c r="M136" s="186">
        <f>-'Service GP Calc'!M71</f>
        <v>-3.8186232688969994</v>
      </c>
      <c r="N136" s="186">
        <f>-'Service GP Calc'!N71</f>
        <v>-4.7860248732737452</v>
      </c>
      <c r="O136" s="186">
        <f>-'Service GP Calc'!O71</f>
        <v>-3.0244144298265261</v>
      </c>
      <c r="P136" s="186">
        <f>-'Service GP Calc'!P71</f>
        <v>-4.368597310281344</v>
      </c>
      <c r="Q136" s="186">
        <f>-'Service GP Calc'!Q71</f>
        <v>-4.368597310281344</v>
      </c>
      <c r="R136" s="186">
        <f>-'Service GP Calc'!R71</f>
        <v>-4.368597310281344</v>
      </c>
      <c r="S136" s="186">
        <f>-'Service GP Calc'!S71</f>
        <v>-3.9317375792532099</v>
      </c>
      <c r="T136" s="186">
        <f>-'Service GP Calc'!T71</f>
        <v>-3.9317375792532099</v>
      </c>
      <c r="U136" s="186">
        <f>-'Service GP Calc'!U71</f>
        <v>-4.368597310281344</v>
      </c>
      <c r="V136" s="186">
        <f>-'Service GP Calc'!V71</f>
        <v>-4.368597310281344</v>
      </c>
      <c r="W136" s="186">
        <f>-'Service GP Calc'!W71</f>
        <v>-3.7133077137391428</v>
      </c>
      <c r="X136" s="186">
        <f>-'Service GP Calc'!X71</f>
        <v>-3.7133077137391428</v>
      </c>
      <c r="Y136" s="186">
        <f>-'Service GP Calc'!Y71</f>
        <v>-4.1501674447672778</v>
      </c>
      <c r="Z136" s="186">
        <f>-'Service GP Calc'!Z71</f>
        <v>-4.368597310281344</v>
      </c>
      <c r="AA136" s="184" t="s">
        <v>111</v>
      </c>
      <c r="AB136" s="184" t="s">
        <v>121</v>
      </c>
      <c r="AC136" s="184" t="str">
        <f t="shared" si="52"/>
        <v/>
      </c>
      <c r="AE136" s="184" t="str">
        <f t="shared" si="53"/>
        <v>147-3430</v>
      </c>
    </row>
    <row r="137" spans="1:31" x14ac:dyDescent="0.2">
      <c r="A137" s="184">
        <v>240</v>
      </c>
      <c r="B137" s="185">
        <v>3430</v>
      </c>
      <c r="C137" s="186"/>
      <c r="D137" s="186"/>
      <c r="E137" s="186"/>
      <c r="F137" s="186"/>
      <c r="G137" s="186">
        <f>-'Service GP Calc'!G72</f>
        <v>-9739.544909581673</v>
      </c>
      <c r="H137" s="186">
        <f>-'Service GP Calc'!H72</f>
        <v>-8201.7220291214089</v>
      </c>
      <c r="I137" s="186">
        <f>-'Service GP Calc'!I72</f>
        <v>-10252.152536401762</v>
      </c>
      <c r="J137" s="186">
        <f>-'Service GP Calc'!J72</f>
        <v>-10252.152536401762</v>
      </c>
      <c r="K137" s="186">
        <f>-'Service GP Calc'!K72</f>
        <v>-7689.1144023013203</v>
      </c>
      <c r="L137" s="186">
        <f>-'Service GP Calc'!L72</f>
        <v>-8639.4509714904434</v>
      </c>
      <c r="M137" s="186">
        <f>-'Service GP Calc'!M72</f>
        <v>-8961.4824739394189</v>
      </c>
      <c r="N137" s="186">
        <f>-'Service GP Calc'!N72</f>
        <v>-11231.764696722608</v>
      </c>
      <c r="O137" s="186">
        <f>-'Service GP Calc'!O72</f>
        <v>-7097.6461929559755</v>
      </c>
      <c r="P137" s="186">
        <f>-'Service GP Calc'!P72</f>
        <v>-10252.152536401762</v>
      </c>
      <c r="Q137" s="186">
        <f>-'Service GP Calc'!Q72</f>
        <v>-10252.152536401762</v>
      </c>
      <c r="R137" s="186">
        <f>-'Service GP Calc'!R72</f>
        <v>-10252.152536401762</v>
      </c>
      <c r="S137" s="186">
        <f>-'Service GP Calc'!S72</f>
        <v>-9226.9372827615844</v>
      </c>
      <c r="T137" s="186">
        <f>-'Service GP Calc'!T72</f>
        <v>-9226.9372827615844</v>
      </c>
      <c r="U137" s="186">
        <f>-'Service GP Calc'!U72</f>
        <v>-10252.152536401762</v>
      </c>
      <c r="V137" s="186">
        <f>-'Service GP Calc'!V72</f>
        <v>-10252.152536401762</v>
      </c>
      <c r="W137" s="186">
        <f>-'Service GP Calc'!W72</f>
        <v>-8714.3296559414975</v>
      </c>
      <c r="X137" s="186">
        <f>-'Service GP Calc'!X72</f>
        <v>-8714.3296559414975</v>
      </c>
      <c r="Y137" s="186">
        <f>-'Service GP Calc'!Y72</f>
        <v>-9739.544909581673</v>
      </c>
      <c r="Z137" s="186">
        <f>-'Service GP Calc'!Z72</f>
        <v>-10252.152536401762</v>
      </c>
      <c r="AA137" s="184" t="s">
        <v>111</v>
      </c>
      <c r="AB137" s="184" t="s">
        <v>121</v>
      </c>
      <c r="AC137" s="184" t="str">
        <f t="shared" si="52"/>
        <v/>
      </c>
      <c r="AE137" s="184" t="str">
        <f t="shared" si="53"/>
        <v>240-3430</v>
      </c>
    </row>
    <row r="138" spans="1:31" x14ac:dyDescent="0.2">
      <c r="A138" s="184">
        <v>340</v>
      </c>
      <c r="B138" s="185">
        <v>3430</v>
      </c>
      <c r="C138" s="186"/>
      <c r="D138" s="186"/>
      <c r="E138" s="186"/>
      <c r="F138" s="186"/>
      <c r="G138" s="186">
        <f>-'Service GP Calc'!G73</f>
        <v>-2856.3307662851212</v>
      </c>
      <c r="H138" s="186">
        <f>-'Service GP Calc'!H73</f>
        <v>-2405.3311716085236</v>
      </c>
      <c r="I138" s="186">
        <f>-'Service GP Calc'!I73</f>
        <v>-3006.6639645106543</v>
      </c>
      <c r="J138" s="186">
        <f>-'Service GP Calc'!J73</f>
        <v>-3006.6639645106543</v>
      </c>
      <c r="K138" s="186">
        <f>-'Service GP Calc'!K73</f>
        <v>-2254.9979733829905</v>
      </c>
      <c r="L138" s="186">
        <f>-'Service GP Calc'!L73</f>
        <v>-2533.7045871006671</v>
      </c>
      <c r="M138" s="186">
        <f>-'Service GP Calc'!M73</f>
        <v>-2628.1472429636851</v>
      </c>
      <c r="N138" s="186">
        <f>-'Service GP Calc'!N73</f>
        <v>-3293.9562742158773</v>
      </c>
      <c r="O138" s="186">
        <f>-'Service GP Calc'!O73</f>
        <v>-2081.5372152760456</v>
      </c>
      <c r="P138" s="186">
        <f>-'Service GP Calc'!P73</f>
        <v>-3006.6639645106543</v>
      </c>
      <c r="Q138" s="186">
        <f>-'Service GP Calc'!Q73</f>
        <v>-3006.6639645106543</v>
      </c>
      <c r="R138" s="186">
        <f>-'Service GP Calc'!R73</f>
        <v>-3006.6639645106543</v>
      </c>
      <c r="S138" s="186">
        <f>-'Service GP Calc'!S73</f>
        <v>-2705.997568059589</v>
      </c>
      <c r="T138" s="186">
        <f>-'Service GP Calc'!T73</f>
        <v>-2705.997568059589</v>
      </c>
      <c r="U138" s="186">
        <f>-'Service GP Calc'!U73</f>
        <v>-3006.6639645106543</v>
      </c>
      <c r="V138" s="186">
        <f>-'Service GP Calc'!V73</f>
        <v>-3006.6639645106543</v>
      </c>
      <c r="W138" s="186">
        <f>-'Service GP Calc'!W73</f>
        <v>-2555.6643698340558</v>
      </c>
      <c r="X138" s="186">
        <f>-'Service GP Calc'!X73</f>
        <v>-2555.6643698340558</v>
      </c>
      <c r="Y138" s="186">
        <f>-'Service GP Calc'!Y73</f>
        <v>-2856.3307662851212</v>
      </c>
      <c r="Z138" s="186">
        <f>-'Service GP Calc'!Z73</f>
        <v>-3006.6639645106543</v>
      </c>
      <c r="AA138" s="184" t="s">
        <v>111</v>
      </c>
      <c r="AB138" s="184" t="s">
        <v>121</v>
      </c>
      <c r="AC138" s="184" t="str">
        <f t="shared" si="52"/>
        <v/>
      </c>
      <c r="AE138" s="184" t="str">
        <f t="shared" si="53"/>
        <v>340-3430</v>
      </c>
    </row>
    <row r="139" spans="1:31" x14ac:dyDescent="0.2">
      <c r="A139" s="184">
        <v>440</v>
      </c>
      <c r="B139" s="185">
        <v>3430</v>
      </c>
      <c r="C139" s="186"/>
      <c r="D139" s="186"/>
      <c r="E139" s="186"/>
      <c r="F139" s="186"/>
      <c r="G139" s="186">
        <f>-'Service GP Calc'!G74</f>
        <v>-3150.1213039074123</v>
      </c>
      <c r="H139" s="186">
        <f>-'Service GP Calc'!H74</f>
        <v>-2652.7337296062419</v>
      </c>
      <c r="I139" s="186">
        <f>-'Service GP Calc'!I74</f>
        <v>-3315.9171620078027</v>
      </c>
      <c r="J139" s="186">
        <f>-'Service GP Calc'!J74</f>
        <v>-3315.9171620078027</v>
      </c>
      <c r="K139" s="186">
        <f>-'Service GP Calc'!K74</f>
        <v>-2486.9378715058519</v>
      </c>
      <c r="L139" s="186">
        <f>-'Service GP Calc'!L74</f>
        <v>-2794.3111112493011</v>
      </c>
      <c r="M139" s="186">
        <f>-'Service GP Calc'!M74</f>
        <v>-2898.4677536603685</v>
      </c>
      <c r="N139" s="186">
        <f>-'Service GP Calc'!N74</f>
        <v>-3632.7591874249847</v>
      </c>
      <c r="O139" s="186">
        <f>-'Service GP Calc'!O74</f>
        <v>-2295.6356470035817</v>
      </c>
      <c r="P139" s="186">
        <f>-'Service GP Calc'!P74</f>
        <v>-3315.9171620078027</v>
      </c>
      <c r="Q139" s="186">
        <f>-'Service GP Calc'!Q74</f>
        <v>-3315.9171620078027</v>
      </c>
      <c r="R139" s="186">
        <f>-'Service GP Calc'!R74</f>
        <v>-3315.9171620078027</v>
      </c>
      <c r="S139" s="186">
        <f>-'Service GP Calc'!S74</f>
        <v>-2984.3254458070223</v>
      </c>
      <c r="T139" s="186">
        <f>-'Service GP Calc'!T74</f>
        <v>-2984.3254458070223</v>
      </c>
      <c r="U139" s="186">
        <f>-'Service GP Calc'!U74</f>
        <v>-3315.9171620078027</v>
      </c>
      <c r="V139" s="186">
        <f>-'Service GP Calc'!V74</f>
        <v>-3315.9171620078027</v>
      </c>
      <c r="W139" s="186">
        <f>-'Service GP Calc'!W74</f>
        <v>-2818.5295877066319</v>
      </c>
      <c r="X139" s="186">
        <f>-'Service GP Calc'!X74</f>
        <v>-2818.5295877066319</v>
      </c>
      <c r="Y139" s="186">
        <f>-'Service GP Calc'!Y74</f>
        <v>-3150.1213039074123</v>
      </c>
      <c r="Z139" s="186">
        <f>-'Service GP Calc'!Z74</f>
        <v>-3315.9171620078027</v>
      </c>
      <c r="AA139" s="184" t="s">
        <v>111</v>
      </c>
      <c r="AB139" s="184" t="s">
        <v>121</v>
      </c>
      <c r="AC139" s="184" t="str">
        <f t="shared" si="52"/>
        <v/>
      </c>
      <c r="AE139" s="184" t="str">
        <f t="shared" si="53"/>
        <v>440-3430</v>
      </c>
    </row>
    <row r="140" spans="1:31" x14ac:dyDescent="0.2">
      <c r="A140" s="184">
        <v>140</v>
      </c>
      <c r="B140" s="185">
        <v>4430</v>
      </c>
      <c r="C140" s="186"/>
      <c r="D140" s="186"/>
      <c r="E140" s="186"/>
      <c r="F140" s="186"/>
      <c r="G140" s="186">
        <f>-'Service GP Calc'!G83</f>
        <v>30.629548839774309</v>
      </c>
      <c r="H140" s="186">
        <f>-'Service GP Calc'!H83</f>
        <v>24.903818670190621</v>
      </c>
      <c r="I140" s="186">
        <f>-'Service GP Calc'!I83</f>
        <v>31.219196186263183</v>
      </c>
      <c r="J140" s="186">
        <f>-'Service GP Calc'!J83</f>
        <v>31.219196186263183</v>
      </c>
      <c r="K140" s="186">
        <f>-'Service GP Calc'!K83</f>
        <v>23.414397139697389</v>
      </c>
      <c r="L140" s="186">
        <f>-'Service GP Calc'!L83</f>
        <v>36.712523042190597</v>
      </c>
      <c r="M140" s="186">
        <f>-'Service GP Calc'!M83</f>
        <v>32.373289692545718</v>
      </c>
      <c r="N140" s="186">
        <f>-'Service GP Calc'!N83</f>
        <v>38.176768582481841</v>
      </c>
      <c r="O140" s="186">
        <f>-'Service GP Calc'!O83</f>
        <v>27.711020359487023</v>
      </c>
      <c r="P140" s="186">
        <f>-'Service GP Calc'!P83</f>
        <v>37.817877802367803</v>
      </c>
      <c r="Q140" s="186">
        <f>-'Service GP Calc'!Q83</f>
        <v>38.911290330509928</v>
      </c>
      <c r="R140" s="186">
        <f>-'Service GP Calc'!R83</f>
        <v>39.357581158323043</v>
      </c>
      <c r="S140" s="186">
        <f>-'Service GP Calc'!S83</f>
        <v>35.823484787522546</v>
      </c>
      <c r="T140" s="186">
        <f>-'Service GP Calc'!T83</f>
        <v>35.823484787522546</v>
      </c>
      <c r="U140" s="186">
        <f>-'Service GP Calc'!U83</f>
        <v>39.803871986136159</v>
      </c>
      <c r="V140" s="186">
        <f>-'Service GP Calc'!V83</f>
        <v>39.803871986136159</v>
      </c>
      <c r="W140" s="186">
        <f>-'Service GP Calc'!W83</f>
        <v>34.547356512716718</v>
      </c>
      <c r="X140" s="186">
        <f>-'Service GP Calc'!X83</f>
        <v>34.547356512716718</v>
      </c>
      <c r="Y140" s="186">
        <f>-'Service GP Calc'!Y83</f>
        <v>37.100327127652882</v>
      </c>
      <c r="Z140" s="186">
        <f>-'Service GP Calc'!Z83</f>
        <v>41.232002635138109</v>
      </c>
      <c r="AA140" s="184" t="s">
        <v>111</v>
      </c>
      <c r="AB140" s="184" t="s">
        <v>122</v>
      </c>
      <c r="AC140" s="184" t="str">
        <f t="shared" si="52"/>
        <v/>
      </c>
      <c r="AE140" s="184" t="str">
        <f t="shared" si="53"/>
        <v>140-4430</v>
      </c>
    </row>
    <row r="141" spans="1:31" x14ac:dyDescent="0.2">
      <c r="A141" s="184">
        <v>147</v>
      </c>
      <c r="B141" s="185">
        <v>4430</v>
      </c>
      <c r="C141" s="186"/>
      <c r="D141" s="186"/>
      <c r="E141" s="186"/>
      <c r="F141" s="186"/>
      <c r="G141" s="186">
        <f>-'Service GP Calc'!G84</f>
        <v>0</v>
      </c>
      <c r="H141" s="186">
        <f>-'Service GP Calc'!H84</f>
        <v>0</v>
      </c>
      <c r="I141" s="186">
        <f>-'Service GP Calc'!I84</f>
        <v>0</v>
      </c>
      <c r="J141" s="186">
        <f>-'Service GP Calc'!J84</f>
        <v>0</v>
      </c>
      <c r="K141" s="186">
        <f>-'Service GP Calc'!K84</f>
        <v>0</v>
      </c>
      <c r="L141" s="186">
        <f>-'Service GP Calc'!L84</f>
        <v>0</v>
      </c>
      <c r="M141" s="186">
        <f>-'Service GP Calc'!M84</f>
        <v>0</v>
      </c>
      <c r="N141" s="186">
        <f>-'Service GP Calc'!N84</f>
        <v>0</v>
      </c>
      <c r="O141" s="186">
        <f>-'Service GP Calc'!O84</f>
        <v>0</v>
      </c>
      <c r="P141" s="186">
        <f>-'Service GP Calc'!P84</f>
        <v>0</v>
      </c>
      <c r="Q141" s="186">
        <f>-'Service GP Calc'!Q84</f>
        <v>0</v>
      </c>
      <c r="R141" s="186">
        <f>-'Service GP Calc'!R84</f>
        <v>0</v>
      </c>
      <c r="S141" s="186">
        <f>-'Service GP Calc'!S84</f>
        <v>0</v>
      </c>
      <c r="T141" s="186">
        <f>-'Service GP Calc'!T84</f>
        <v>0</v>
      </c>
      <c r="U141" s="186">
        <f>-'Service GP Calc'!U84</f>
        <v>0</v>
      </c>
      <c r="V141" s="186">
        <f>-'Service GP Calc'!V84</f>
        <v>0</v>
      </c>
      <c r="W141" s="186">
        <f>-'Service GP Calc'!W84</f>
        <v>0</v>
      </c>
      <c r="X141" s="186">
        <f>-'Service GP Calc'!X84</f>
        <v>0</v>
      </c>
      <c r="Y141" s="186">
        <f>-'Service GP Calc'!Y84</f>
        <v>0</v>
      </c>
      <c r="Z141" s="186">
        <f>-'Service GP Calc'!Z84</f>
        <v>0</v>
      </c>
      <c r="AA141" s="184" t="s">
        <v>111</v>
      </c>
      <c r="AB141" s="184" t="s">
        <v>122</v>
      </c>
      <c r="AC141" s="184" t="str">
        <f t="shared" si="52"/>
        <v/>
      </c>
      <c r="AE141" s="184" t="str">
        <f t="shared" si="53"/>
        <v>147-4430</v>
      </c>
    </row>
    <row r="142" spans="1:31" x14ac:dyDescent="0.2">
      <c r="A142" s="184">
        <v>240</v>
      </c>
      <c r="B142" s="185">
        <v>4430</v>
      </c>
      <c r="C142" s="186"/>
      <c r="D142" s="186"/>
      <c r="E142" s="186"/>
      <c r="F142" s="186"/>
      <c r="G142" s="186">
        <f>-'Service GP Calc'!G85</f>
        <v>0</v>
      </c>
      <c r="H142" s="186">
        <f>-'Service GP Calc'!H85</f>
        <v>0</v>
      </c>
      <c r="I142" s="186">
        <f>-'Service GP Calc'!I85</f>
        <v>0</v>
      </c>
      <c r="J142" s="186">
        <f>-'Service GP Calc'!J85</f>
        <v>0</v>
      </c>
      <c r="K142" s="186">
        <f>-'Service GP Calc'!K85</f>
        <v>0</v>
      </c>
      <c r="L142" s="186">
        <f>-'Service GP Calc'!L85</f>
        <v>0</v>
      </c>
      <c r="M142" s="186">
        <f>-'Service GP Calc'!M85</f>
        <v>0</v>
      </c>
      <c r="N142" s="186">
        <f>-'Service GP Calc'!N85</f>
        <v>0</v>
      </c>
      <c r="O142" s="186">
        <f>-'Service GP Calc'!O85</f>
        <v>0</v>
      </c>
      <c r="P142" s="186">
        <f>-'Service GP Calc'!P85</f>
        <v>0</v>
      </c>
      <c r="Q142" s="186">
        <f>-'Service GP Calc'!Q85</f>
        <v>0</v>
      </c>
      <c r="R142" s="186">
        <f>-'Service GP Calc'!R85</f>
        <v>0</v>
      </c>
      <c r="S142" s="186">
        <f>-'Service GP Calc'!S85</f>
        <v>0</v>
      </c>
      <c r="T142" s="186">
        <f>-'Service GP Calc'!T85</f>
        <v>0</v>
      </c>
      <c r="U142" s="186">
        <f>-'Service GP Calc'!U85</f>
        <v>0</v>
      </c>
      <c r="V142" s="186">
        <f>-'Service GP Calc'!V85</f>
        <v>0</v>
      </c>
      <c r="W142" s="186">
        <f>-'Service GP Calc'!W85</f>
        <v>0</v>
      </c>
      <c r="X142" s="186">
        <f>-'Service GP Calc'!X85</f>
        <v>0</v>
      </c>
      <c r="Y142" s="186">
        <f>-'Service GP Calc'!Y85</f>
        <v>0</v>
      </c>
      <c r="Z142" s="186">
        <f>-'Service GP Calc'!Z85</f>
        <v>0</v>
      </c>
      <c r="AA142" s="184" t="s">
        <v>111</v>
      </c>
      <c r="AB142" s="184" t="s">
        <v>122</v>
      </c>
      <c r="AC142" s="184" t="str">
        <f t="shared" si="52"/>
        <v/>
      </c>
      <c r="AE142" s="184" t="str">
        <f t="shared" si="53"/>
        <v>240-4430</v>
      </c>
    </row>
    <row r="143" spans="1:31" x14ac:dyDescent="0.2">
      <c r="A143" s="184">
        <v>340</v>
      </c>
      <c r="B143" s="185">
        <v>4430</v>
      </c>
      <c r="C143" s="186"/>
      <c r="D143" s="186"/>
      <c r="E143" s="186"/>
      <c r="F143" s="186"/>
      <c r="G143" s="186">
        <f>-'Service GP Calc'!G86</f>
        <v>47.150310502890576</v>
      </c>
      <c r="H143" s="186">
        <f>-'Service GP Calc'!H86</f>
        <v>38.336274202066349</v>
      </c>
      <c r="I143" s="186">
        <f>-'Service GP Calc'!I86</f>
        <v>48.057997900429164</v>
      </c>
      <c r="J143" s="186">
        <f>-'Service GP Calc'!J86</f>
        <v>48.057997900429164</v>
      </c>
      <c r="K143" s="186">
        <f>-'Service GP Calc'!K86</f>
        <v>36.043498425321872</v>
      </c>
      <c r="L143" s="186">
        <f>-'Service GP Calc'!L86</f>
        <v>56.514278739097684</v>
      </c>
      <c r="M143" s="186">
        <f>-'Service GP Calc'!M86</f>
        <v>49.834578660898252</v>
      </c>
      <c r="N143" s="186">
        <f>-'Service GP Calc'!N86</f>
        <v>58.768299268043663</v>
      </c>
      <c r="O143" s="186">
        <f>-'Service GP Calc'!O86</f>
        <v>42.657605606160892</v>
      </c>
      <c r="P143" s="186">
        <f>-'Service GP Calc'!P86</f>
        <v>58.215832373819381</v>
      </c>
      <c r="Q143" s="186">
        <f>-'Service GP Calc'!Q86</f>
        <v>59.89900245508106</v>
      </c>
      <c r="R143" s="186">
        <f>-'Service GP Calc'!R86</f>
        <v>60.586010651514407</v>
      </c>
      <c r="S143" s="186">
        <f>-'Service GP Calc'!S86</f>
        <v>55.145716963152985</v>
      </c>
      <c r="T143" s="186">
        <f>-'Service GP Calc'!T86</f>
        <v>55.145716963152985</v>
      </c>
      <c r="U143" s="186">
        <f>-'Service GP Calc'!U86</f>
        <v>61.273018847947753</v>
      </c>
      <c r="V143" s="186">
        <f>-'Service GP Calc'!V86</f>
        <v>61.273018847947753</v>
      </c>
      <c r="W143" s="186">
        <f>-'Service GP Calc'!W86</f>
        <v>53.181279135048939</v>
      </c>
      <c r="X143" s="186">
        <f>-'Service GP Calc'!X86</f>
        <v>53.181279135048939</v>
      </c>
      <c r="Y143" s="186">
        <f>-'Service GP Calc'!Y86</f>
        <v>57.111254004371325</v>
      </c>
      <c r="Z143" s="186">
        <f>-'Service GP Calc'!Z86</f>
        <v>63.471445076534437</v>
      </c>
      <c r="AA143" s="184" t="s">
        <v>111</v>
      </c>
      <c r="AB143" s="184" t="s">
        <v>122</v>
      </c>
      <c r="AC143" s="184" t="str">
        <f t="shared" si="52"/>
        <v/>
      </c>
      <c r="AE143" s="184" t="str">
        <f t="shared" si="53"/>
        <v>340-4430</v>
      </c>
    </row>
    <row r="144" spans="1:31" x14ac:dyDescent="0.2">
      <c r="A144" s="184">
        <v>440</v>
      </c>
      <c r="B144" s="185">
        <v>4430</v>
      </c>
      <c r="C144" s="186"/>
      <c r="D144" s="186"/>
      <c r="E144" s="186"/>
      <c r="F144" s="186"/>
      <c r="G144" s="186">
        <f>-'Service GP Calc'!G87</f>
        <v>0</v>
      </c>
      <c r="H144" s="186">
        <f>-'Service GP Calc'!H87</f>
        <v>0</v>
      </c>
      <c r="I144" s="186">
        <f>-'Service GP Calc'!I87</f>
        <v>0</v>
      </c>
      <c r="J144" s="186">
        <f>-'Service GP Calc'!J87</f>
        <v>0</v>
      </c>
      <c r="K144" s="186">
        <f>-'Service GP Calc'!K87</f>
        <v>0</v>
      </c>
      <c r="L144" s="186">
        <f>-'Service GP Calc'!L87</f>
        <v>0</v>
      </c>
      <c r="M144" s="186">
        <f>-'Service GP Calc'!M87</f>
        <v>0</v>
      </c>
      <c r="N144" s="186">
        <f>-'Service GP Calc'!N87</f>
        <v>0</v>
      </c>
      <c r="O144" s="186">
        <f>-'Service GP Calc'!O87</f>
        <v>0</v>
      </c>
      <c r="P144" s="186">
        <f>-'Service GP Calc'!P87</f>
        <v>0</v>
      </c>
      <c r="Q144" s="186">
        <f>-'Service GP Calc'!Q87</f>
        <v>0</v>
      </c>
      <c r="R144" s="186">
        <f>-'Service GP Calc'!R87</f>
        <v>0</v>
      </c>
      <c r="S144" s="186">
        <f>-'Service GP Calc'!S87</f>
        <v>0</v>
      </c>
      <c r="T144" s="186">
        <f>-'Service GP Calc'!T87</f>
        <v>0</v>
      </c>
      <c r="U144" s="186">
        <f>-'Service GP Calc'!U87</f>
        <v>0</v>
      </c>
      <c r="V144" s="186">
        <f>-'Service GP Calc'!V87</f>
        <v>0</v>
      </c>
      <c r="W144" s="186">
        <f>-'Service GP Calc'!W87</f>
        <v>0</v>
      </c>
      <c r="X144" s="186">
        <f>-'Service GP Calc'!X87</f>
        <v>0</v>
      </c>
      <c r="Y144" s="186">
        <f>-'Service GP Calc'!Y87</f>
        <v>0</v>
      </c>
      <c r="Z144" s="186">
        <f>-'Service GP Calc'!Z87</f>
        <v>0</v>
      </c>
      <c r="AA144" s="184" t="s">
        <v>111</v>
      </c>
      <c r="AB144" s="184" t="s">
        <v>122</v>
      </c>
      <c r="AC144" s="184" t="str">
        <f t="shared" si="52"/>
        <v/>
      </c>
      <c r="AE144" s="184" t="str">
        <f t="shared" si="53"/>
        <v>440-4430</v>
      </c>
    </row>
    <row r="145" spans="1:31" x14ac:dyDescent="0.2">
      <c r="A145" s="184">
        <v>140</v>
      </c>
      <c r="B145" s="185">
        <v>7020</v>
      </c>
      <c r="C145" s="186"/>
      <c r="D145" s="186"/>
      <c r="E145" s="186"/>
      <c r="F145" s="186"/>
      <c r="G145" s="186">
        <f>-'Service GP Calc'!G90</f>
        <v>47525.737093378229</v>
      </c>
      <c r="H145" s="186">
        <f>-'Service GP Calc'!H90</f>
        <v>39344.1758583177</v>
      </c>
      <c r="I145" s="186">
        <f>-'Service GP Calc'!I90</f>
        <v>48672.096710291255</v>
      </c>
      <c r="J145" s="186">
        <f>-'Service GP Calc'!J90</f>
        <v>47994.599226816761</v>
      </c>
      <c r="K145" s="186">
        <f>-'Service GP Calc'!K90</f>
        <v>34810.3288240322</v>
      </c>
      <c r="L145" s="186">
        <f>-'Service GP Calc'!L90</f>
        <v>36026.955905440758</v>
      </c>
      <c r="M145" s="186">
        <f>-'Service GP Calc'!M90</f>
        <v>36196.49219820794</v>
      </c>
      <c r="N145" s="186">
        <f>-'Service GP Calc'!N90</f>
        <v>47434.798774163391</v>
      </c>
      <c r="O145" s="186">
        <f>-'Service GP Calc'!O90</f>
        <v>33658.085076435447</v>
      </c>
      <c r="P145" s="186">
        <f>-'Service GP Calc'!P90</f>
        <v>41716.907544942078</v>
      </c>
      <c r="Q145" s="186">
        <f>-'Service GP Calc'!Q90</f>
        <v>44206.710796710853</v>
      </c>
      <c r="R145" s="186">
        <f>-'Service GP Calc'!R90</f>
        <v>45222.957021922593</v>
      </c>
      <c r="S145" s="186">
        <f>-'Service GP Calc'!S90</f>
        <v>41615.282922420905</v>
      </c>
      <c r="T145" s="186">
        <f>-'Service GP Calc'!T90</f>
        <v>41615.282922420905</v>
      </c>
      <c r="U145" s="186">
        <f>-'Service GP Calc'!U90</f>
        <v>46239.203247134341</v>
      </c>
      <c r="V145" s="186">
        <f>-'Service GP Calc'!V90</f>
        <v>46239.203247134341</v>
      </c>
      <c r="W145" s="186">
        <f>-'Service GP Calc'!W90</f>
        <v>40929.316720402974</v>
      </c>
      <c r="X145" s="186">
        <f>-'Service GP Calc'!X90</f>
        <v>40929.316720402974</v>
      </c>
      <c r="Y145" s="186">
        <f>-'Service GP Calc'!Y90</f>
        <v>42302.87511839917</v>
      </c>
      <c r="Z145" s="186">
        <f>-'Service GP Calc'!Z90</f>
        <v>49491.191167811921</v>
      </c>
      <c r="AA145" s="184" t="s">
        <v>111</v>
      </c>
      <c r="AB145" s="184" t="s">
        <v>75</v>
      </c>
      <c r="AC145" s="184" t="str">
        <f t="shared" si="52"/>
        <v/>
      </c>
      <c r="AE145" s="184" t="str">
        <f t="shared" si="53"/>
        <v>140-7020</v>
      </c>
    </row>
    <row r="146" spans="1:31" x14ac:dyDescent="0.2">
      <c r="A146" s="184">
        <v>147</v>
      </c>
      <c r="B146" s="185">
        <v>7020</v>
      </c>
      <c r="C146" s="186"/>
      <c r="D146" s="186"/>
      <c r="E146" s="186"/>
      <c r="F146" s="186"/>
      <c r="G146" s="186">
        <f>-'Service GP Calc'!G91</f>
        <v>423.22799546877098</v>
      </c>
      <c r="H146" s="186">
        <f>-'Service GP Calc'!H91</f>
        <v>350.36924622904326</v>
      </c>
      <c r="I146" s="186">
        <f>-'Service GP Calc'!I91</f>
        <v>433.4366005830733</v>
      </c>
      <c r="J146" s="186">
        <f>-'Service GP Calc'!J91</f>
        <v>427.40332431209885</v>
      </c>
      <c r="K146" s="186">
        <f>-'Service GP Calc'!K91</f>
        <v>309.99425975986895</v>
      </c>
      <c r="L146" s="186">
        <f>-'Service GP Calc'!L91</f>
        <v>320.82861336254683</v>
      </c>
      <c r="M146" s="186">
        <f>-'Service GP Calc'!M91</f>
        <v>322.33837438331921</v>
      </c>
      <c r="N146" s="186">
        <f>-'Service GP Calc'!N91</f>
        <v>422.41816810140216</v>
      </c>
      <c r="O146" s="186">
        <f>-'Service GP Calc'!O91</f>
        <v>299.73325506195874</v>
      </c>
      <c r="P146" s="186">
        <f>-'Service GP Calc'!P91</f>
        <v>371.49898638524991</v>
      </c>
      <c r="Q146" s="186">
        <f>-'Service GP Calc'!Q91</f>
        <v>393.67127668108088</v>
      </c>
      <c r="R146" s="186">
        <f>-'Service GP Calc'!R91</f>
        <v>402.72119108754254</v>
      </c>
      <c r="S146" s="186">
        <f>-'Service GP Calc'!S91</f>
        <v>370.59399494460371</v>
      </c>
      <c r="T146" s="186">
        <f>-'Service GP Calc'!T91</f>
        <v>370.59399494460371</v>
      </c>
      <c r="U146" s="186">
        <f>-'Service GP Calc'!U91</f>
        <v>411.77110549400419</v>
      </c>
      <c r="V146" s="186">
        <f>-'Service GP Calc'!V91</f>
        <v>411.77110549400419</v>
      </c>
      <c r="W146" s="186">
        <f>-'Service GP Calc'!W91</f>
        <v>364.48530272024215</v>
      </c>
      <c r="X146" s="186">
        <f>-'Service GP Calc'!X91</f>
        <v>364.48530272024215</v>
      </c>
      <c r="Y146" s="186">
        <f>-'Service GP Calc'!Y91</f>
        <v>376.71716703201565</v>
      </c>
      <c r="Z146" s="186">
        <f>-'Service GP Calc'!Z91</f>
        <v>440.73083159468138</v>
      </c>
      <c r="AA146" s="184" t="s">
        <v>111</v>
      </c>
      <c r="AB146" s="184" t="s">
        <v>75</v>
      </c>
      <c r="AC146" s="184" t="str">
        <f t="shared" si="52"/>
        <v/>
      </c>
      <c r="AE146" s="184" t="str">
        <f t="shared" si="53"/>
        <v>147-7020</v>
      </c>
    </row>
    <row r="147" spans="1:31" x14ac:dyDescent="0.2">
      <c r="A147" s="184">
        <v>240</v>
      </c>
      <c r="B147" s="185">
        <v>7020</v>
      </c>
      <c r="C147" s="186"/>
      <c r="D147" s="186"/>
      <c r="E147" s="186"/>
      <c r="F147" s="186"/>
      <c r="G147" s="186">
        <f>-'Service GP Calc'!G92</f>
        <v>24693.368667878196</v>
      </c>
      <c r="H147" s="186">
        <f>-'Service GP Calc'!H92</f>
        <v>20442.402344952516</v>
      </c>
      <c r="I147" s="186">
        <f>-'Service GP Calc'!I92</f>
        <v>25288.992899666173</v>
      </c>
      <c r="J147" s="186">
        <f>-'Service GP Calc'!J92</f>
        <v>24936.979524300212</v>
      </c>
      <c r="K147" s="186">
        <f>-'Service GP Calc'!K92</f>
        <v>18086.711236334722</v>
      </c>
      <c r="L147" s="186">
        <f>-'Service GP Calc'!L92</f>
        <v>18718.844957764832</v>
      </c>
      <c r="M147" s="186">
        <f>-'Service GP Calc'!M92</f>
        <v>18806.932432803038</v>
      </c>
      <c r="N147" s="186">
        <f>-'Service GP Calc'!N92</f>
        <v>24646.119038945621</v>
      </c>
      <c r="O147" s="186">
        <f>-'Service GP Calc'!O92</f>
        <v>17488.029734588406</v>
      </c>
      <c r="P147" s="186">
        <f>-'Service GP Calc'!P92</f>
        <v>21675.223588159195</v>
      </c>
      <c r="Q147" s="186">
        <f>-'Service GP Calc'!Q92</f>
        <v>22968.872742629108</v>
      </c>
      <c r="R147" s="186">
        <f>-'Service GP Calc'!R92</f>
        <v>23496.892805678057</v>
      </c>
      <c r="S147" s="186">
        <f>-'Service GP Calc'!S92</f>
        <v>21622.421581854302</v>
      </c>
      <c r="T147" s="186">
        <f>-'Service GP Calc'!T92</f>
        <v>21622.421581854302</v>
      </c>
      <c r="U147" s="186">
        <f>-'Service GP Calc'!U92</f>
        <v>24024.912868727002</v>
      </c>
      <c r="V147" s="186">
        <f>-'Service GP Calc'!V92</f>
        <v>24024.912868727002</v>
      </c>
      <c r="W147" s="186">
        <f>-'Service GP Calc'!W92</f>
        <v>21266.008039296259</v>
      </c>
      <c r="X147" s="186">
        <f>-'Service GP Calc'!X92</f>
        <v>21266.008039296259</v>
      </c>
      <c r="Y147" s="186">
        <f>-'Service GP Calc'!Y92</f>
        <v>21979.679956513217</v>
      </c>
      <c r="Z147" s="186">
        <f>-'Service GP Calc'!Z92</f>
        <v>25714.577070483625</v>
      </c>
      <c r="AA147" s="184" t="s">
        <v>111</v>
      </c>
      <c r="AB147" s="184" t="s">
        <v>75</v>
      </c>
      <c r="AC147" s="184" t="str">
        <f t="shared" si="52"/>
        <v/>
      </c>
      <c r="AE147" s="184" t="str">
        <f t="shared" si="53"/>
        <v>240-7020</v>
      </c>
    </row>
    <row r="148" spans="1:31" x14ac:dyDescent="0.2">
      <c r="A148" s="184">
        <v>340</v>
      </c>
      <c r="B148" s="185">
        <v>7020</v>
      </c>
      <c r="C148" s="186"/>
      <c r="D148" s="186"/>
      <c r="E148" s="186"/>
      <c r="F148" s="186"/>
      <c r="G148" s="186">
        <f>-'Service GP Calc'!G93</f>
        <v>14250.969495244015</v>
      </c>
      <c r="H148" s="186">
        <f>-'Service GP Calc'!H93</f>
        <v>11797.663419101877</v>
      </c>
      <c r="I148" s="186">
        <f>-'Service GP Calc'!I93</f>
        <v>14594.714525418061</v>
      </c>
      <c r="J148" s="186">
        <f>-'Service GP Calc'!J93</f>
        <v>14391.561527472346</v>
      </c>
      <c r="K148" s="186">
        <f>-'Service GP Calc'!K93</f>
        <v>10438.15339919926</v>
      </c>
      <c r="L148" s="186">
        <f>-'Service GP Calc'!L93</f>
        <v>10802.968686338843</v>
      </c>
      <c r="M148" s="186">
        <f>-'Service GP Calc'!M93</f>
        <v>10853.805489391782</v>
      </c>
      <c r="N148" s="186">
        <f>-'Service GP Calc'!N93</f>
        <v>14223.700918419356</v>
      </c>
      <c r="O148" s="186">
        <f>-'Service GP Calc'!O93</f>
        <v>10092.643965735369</v>
      </c>
      <c r="P148" s="186">
        <f>-'Service GP Calc'!P93</f>
        <v>12509.145848507358</v>
      </c>
      <c r="Q148" s="186">
        <f>-'Service GP Calc'!Q93</f>
        <v>13255.733115957859</v>
      </c>
      <c r="R148" s="186">
        <f>-'Service GP Calc'!R93</f>
        <v>13560.462612876428</v>
      </c>
      <c r="S148" s="186">
        <f>-'Service GP Calc'!S93</f>
        <v>12478.672898815501</v>
      </c>
      <c r="T148" s="186">
        <f>-'Service GP Calc'!T93</f>
        <v>12478.672898815501</v>
      </c>
      <c r="U148" s="186">
        <f>-'Service GP Calc'!U93</f>
        <v>13865.192109795002</v>
      </c>
      <c r="V148" s="186">
        <f>-'Service GP Calc'!V93</f>
        <v>13865.192109795002</v>
      </c>
      <c r="W148" s="186">
        <f>-'Service GP Calc'!W93</f>
        <v>12272.980488395464</v>
      </c>
      <c r="X148" s="186">
        <f>-'Service GP Calc'!X93</f>
        <v>12272.980488395464</v>
      </c>
      <c r="Y148" s="186">
        <f>-'Service GP Calc'!Y93</f>
        <v>12684.852876430605</v>
      </c>
      <c r="Z148" s="186">
        <f>-'Service GP Calc'!Z93</f>
        <v>14840.32649993443</v>
      </c>
      <c r="AA148" s="184" t="s">
        <v>111</v>
      </c>
      <c r="AB148" s="184" t="s">
        <v>75</v>
      </c>
      <c r="AC148" s="184" t="str">
        <f t="shared" si="52"/>
        <v/>
      </c>
      <c r="AE148" s="184" t="str">
        <f t="shared" si="53"/>
        <v>340-7020</v>
      </c>
    </row>
    <row r="149" spans="1:31" x14ac:dyDescent="0.2">
      <c r="A149" s="184">
        <v>440</v>
      </c>
      <c r="B149" s="185">
        <v>7020</v>
      </c>
      <c r="C149" s="186"/>
      <c r="D149" s="186"/>
      <c r="E149" s="186"/>
      <c r="F149" s="186"/>
      <c r="G149" s="186">
        <f>-'Service GP Calc'!G94</f>
        <v>16301.269488346981</v>
      </c>
      <c r="H149" s="186">
        <f>-'Service GP Calc'!H94</f>
        <v>13495.004027043549</v>
      </c>
      <c r="I149" s="186">
        <f>-'Service GP Calc'!I94</f>
        <v>16694.46942986795</v>
      </c>
      <c r="J149" s="186">
        <f>-'Service GP Calc'!J94</f>
        <v>16462.088624619308</v>
      </c>
      <c r="K149" s="186">
        <f>-'Service GP Calc'!K94</f>
        <v>11939.900059279351</v>
      </c>
      <c r="L149" s="186">
        <f>-'Service GP Calc'!L94</f>
        <v>12357.20165487365</v>
      </c>
      <c r="M149" s="186">
        <f>-'Service GP Calc'!M94</f>
        <v>12415.352395198266</v>
      </c>
      <c r="N149" s="186">
        <f>-'Service GP Calc'!N94</f>
        <v>16270.077756477031</v>
      </c>
      <c r="O149" s="186">
        <f>-'Service GP Calc'!O94</f>
        <v>11544.681868156238</v>
      </c>
      <c r="P149" s="186">
        <f>-'Service GP Calc'!P94</f>
        <v>14308.848083185354</v>
      </c>
      <c r="Q149" s="186">
        <f>-'Service GP Calc'!Q94</f>
        <v>15162.84754247413</v>
      </c>
      <c r="R149" s="186">
        <f>-'Service GP Calc'!R94</f>
        <v>15511.418750347097</v>
      </c>
      <c r="S149" s="186">
        <f>-'Service GP Calc'!S94</f>
        <v>14273.990962398058</v>
      </c>
      <c r="T149" s="186">
        <f>-'Service GP Calc'!T94</f>
        <v>14273.990962398058</v>
      </c>
      <c r="U149" s="186">
        <f>-'Service GP Calc'!U94</f>
        <v>15859.989958220065</v>
      </c>
      <c r="V149" s="186">
        <f>-'Service GP Calc'!V94</f>
        <v>15859.989958220065</v>
      </c>
      <c r="W149" s="186">
        <f>-'Service GP Calc'!W94</f>
        <v>14038.705397083804</v>
      </c>
      <c r="X149" s="186">
        <f>-'Service GP Calc'!X94</f>
        <v>14038.705397083804</v>
      </c>
      <c r="Y149" s="186">
        <f>-'Service GP Calc'!Y94</f>
        <v>14509.834241644909</v>
      </c>
      <c r="Z149" s="186">
        <f>-'Service GP Calc'!Z94</f>
        <v>16975.417823413565</v>
      </c>
      <c r="AA149" s="184" t="s">
        <v>111</v>
      </c>
      <c r="AB149" s="184" t="s">
        <v>75</v>
      </c>
      <c r="AC149" s="184" t="str">
        <f t="shared" si="52"/>
        <v/>
      </c>
      <c r="AE149" s="184" t="str">
        <f t="shared" si="53"/>
        <v>440-7020</v>
      </c>
    </row>
    <row r="150" spans="1:31" x14ac:dyDescent="0.2">
      <c r="A150" s="184">
        <v>140</v>
      </c>
      <c r="B150" s="185">
        <v>7060</v>
      </c>
      <c r="C150" s="186"/>
      <c r="D150" s="186"/>
      <c r="E150" s="186"/>
      <c r="F150" s="186"/>
      <c r="G150" s="186">
        <f>-'Service GP Calc'!G95</f>
        <v>89407.07712350956</v>
      </c>
      <c r="H150" s="186">
        <f>-'Service GP Calc'!H95</f>
        <v>74015.638272249926</v>
      </c>
      <c r="I150" s="186">
        <f>-'Service GP Calc'!I95</f>
        <v>91563.648887546442</v>
      </c>
      <c r="J150" s="186">
        <f>-'Service GP Calc'!J95</f>
        <v>90289.11695052516</v>
      </c>
      <c r="K150" s="186">
        <f>-'Service GP Calc'!K95</f>
        <v>65486.406823106612</v>
      </c>
      <c r="L150" s="186">
        <f>-'Service GP Calc'!L95</f>
        <v>67775.168196429964</v>
      </c>
      <c r="M150" s="186">
        <f>-'Service GP Calc'!M95</f>
        <v>68094.105793818249</v>
      </c>
      <c r="N150" s="186">
        <f>-'Service GP Calc'!N95</f>
        <v>89236.000780105387</v>
      </c>
      <c r="O150" s="186">
        <f>-'Service GP Calc'!O95-'Service GP Calc'!O102</f>
        <v>63318.765626841647</v>
      </c>
      <c r="P150" s="186">
        <f>-'Service GP Calc'!P95-'Service GP Calc'!P102</f>
        <v>93001.117355419221</v>
      </c>
      <c r="Q150" s="186">
        <f>-'Service GP Calc'!Q95-'Service GP Calc'!Q102</f>
        <v>97685.022223972468</v>
      </c>
      <c r="R150" s="186">
        <f>-'Service GP Calc'!R95-'Service GP Calc'!R102</f>
        <v>99596.820129504398</v>
      </c>
      <c r="S150" s="186">
        <f>-'Service GP Calc'!S95-'Service GP Calc'!S102</f>
        <v>92809.937564866035</v>
      </c>
      <c r="T150" s="186">
        <f>-'Service GP Calc'!T95-'Service GP Calc'!T102</f>
        <v>92809.937564866035</v>
      </c>
      <c r="U150" s="186">
        <f>-'Service GP Calc'!U95-'Service GP Calc'!U102</f>
        <v>104836.61803503633</v>
      </c>
      <c r="V150" s="186">
        <f>-'Service GP Calc'!V95-'Service GP Calc'!V102</f>
        <v>104836.61803503633</v>
      </c>
      <c r="W150" s="186">
        <f>-'Service GP Calc'!W95-'Service GP Calc'!W102</f>
        <v>94847.47397863197</v>
      </c>
      <c r="X150" s="186">
        <f>-'Service GP Calc'!X95-'Service GP Calc'!X102</f>
        <v>94847.47397863197</v>
      </c>
      <c r="Y150" s="186">
        <f>-'Service GP Calc'!Y95-'Service GP Calc'!Y102</f>
        <v>97431.460027748937</v>
      </c>
      <c r="Z150" s="186">
        <f>-'Service GP Calc'!Z95-'Service GP Calc'!Z102</f>
        <v>110954.37133273852</v>
      </c>
      <c r="AA150" s="184" t="s">
        <v>111</v>
      </c>
      <c r="AB150" s="184" t="s">
        <v>123</v>
      </c>
      <c r="AC150" s="184" t="str">
        <f t="shared" si="52"/>
        <v/>
      </c>
      <c r="AE150" s="184" t="str">
        <f t="shared" si="53"/>
        <v>140-7060</v>
      </c>
    </row>
    <row r="151" spans="1:31" x14ac:dyDescent="0.2">
      <c r="A151" s="184">
        <v>147</v>
      </c>
      <c r="B151" s="185">
        <v>7060</v>
      </c>
      <c r="C151" s="186"/>
      <c r="D151" s="186"/>
      <c r="E151" s="186"/>
      <c r="F151" s="186"/>
      <c r="G151" s="186">
        <f>-'Service GP Calc'!G96</f>
        <v>494.10758402431787</v>
      </c>
      <c r="H151" s="186">
        <f>-'Service GP Calc'!H96</f>
        <v>409.04690527124649</v>
      </c>
      <c r="I151" s="186">
        <f>-'Service GP Calc'!I96</f>
        <v>506.0258627376607</v>
      </c>
      <c r="J151" s="186">
        <f>-'Service GP Calc'!J96</f>
        <v>498.98217093579734</v>
      </c>
      <c r="K151" s="186">
        <f>-'Service GP Calc'!K96</f>
        <v>361.91016754858731</v>
      </c>
      <c r="L151" s="186">
        <f>-'Service GP Calc'!L96</f>
        <v>374.55899120959049</v>
      </c>
      <c r="M151" s="186">
        <f>-'Service GP Calc'!M96</f>
        <v>376.32159760239693</v>
      </c>
      <c r="N151" s="186">
        <f>-'Service GP Calc'!N96</f>
        <v>493.16213181356756</v>
      </c>
      <c r="O151" s="186">
        <f>-'Service GP Calc'!O96</f>
        <v>349.93071369575097</v>
      </c>
      <c r="P151" s="186">
        <f>-'Service GP Calc'!P96</f>
        <v>433.71532269973216</v>
      </c>
      <c r="Q151" s="186">
        <f>-'Service GP Calc'!Q96</f>
        <v>459.60089007157973</v>
      </c>
      <c r="R151" s="186">
        <f>-'Service GP Calc'!R96</f>
        <v>470.16642777437465</v>
      </c>
      <c r="S151" s="186">
        <f>-'Service GP Calc'!S96</f>
        <v>432.65876892945261</v>
      </c>
      <c r="T151" s="186">
        <f>-'Service GP Calc'!T96</f>
        <v>432.65876892945261</v>
      </c>
      <c r="U151" s="186">
        <f>-'Service GP Calc'!U96</f>
        <v>480.73196547716964</v>
      </c>
      <c r="V151" s="186">
        <f>-'Service GP Calc'!V96</f>
        <v>480.73196547716964</v>
      </c>
      <c r="W151" s="186">
        <f>-'Service GP Calc'!W96</f>
        <v>425.52703098006606</v>
      </c>
      <c r="X151" s="186">
        <f>-'Service GP Calc'!X96</f>
        <v>425.52703098006606</v>
      </c>
      <c r="Y151" s="186">
        <f>-'Service GP Calc'!Y96</f>
        <v>439.80741173916368</v>
      </c>
      <c r="Z151" s="186">
        <f>-'Service GP Calc'!Z96</f>
        <v>514.5416861261134</v>
      </c>
      <c r="AA151" s="184" t="s">
        <v>111</v>
      </c>
      <c r="AB151" s="184" t="s">
        <v>123</v>
      </c>
      <c r="AC151" s="184" t="str">
        <f t="shared" si="52"/>
        <v/>
      </c>
      <c r="AE151" s="184" t="str">
        <f t="shared" si="53"/>
        <v>147-7060</v>
      </c>
    </row>
    <row r="152" spans="1:31" x14ac:dyDescent="0.2">
      <c r="A152" s="184">
        <v>240</v>
      </c>
      <c r="B152" s="185">
        <v>7060</v>
      </c>
      <c r="C152" s="186"/>
      <c r="D152" s="186"/>
      <c r="E152" s="186"/>
      <c r="F152" s="186"/>
      <c r="G152" s="186">
        <f>-'Service GP Calc'!G97</f>
        <v>52505.489040780623</v>
      </c>
      <c r="H152" s="186">
        <f>-'Service GP Calc'!H97</f>
        <v>43466.662921789204</v>
      </c>
      <c r="I152" s="186">
        <f>-'Service GP Calc'!I97</f>
        <v>53771.964344138018</v>
      </c>
      <c r="J152" s="186">
        <f>-'Service GP Calc'!J97</f>
        <v>53023.478600006703</v>
      </c>
      <c r="K152" s="186">
        <f>-'Service GP Calc'!K97</f>
        <v>38457.758897775224</v>
      </c>
      <c r="L152" s="186">
        <f>-'Service GP Calc'!L97</f>
        <v>39801.86429826809</v>
      </c>
      <c r="M152" s="186">
        <f>-'Service GP Calc'!M97</f>
        <v>39989.164622393771</v>
      </c>
      <c r="N152" s="186">
        <f>-'Service GP Calc'!N97</f>
        <v>52405.022194500249</v>
      </c>
      <c r="O152" s="186">
        <f>-'Service GP Calc'!O97</f>
        <v>37184.782923875413</v>
      </c>
      <c r="P152" s="186">
        <f>-'Service GP Calc'!P97</f>
        <v>46088.009694885914</v>
      </c>
      <c r="Q152" s="186">
        <f>-'Service GP Calc'!Q97</f>
        <v>48838.694804568506</v>
      </c>
      <c r="R152" s="186">
        <f>-'Service GP Calc'!R97</f>
        <v>49961.423420765481</v>
      </c>
      <c r="S152" s="186">
        <f>-'Service GP Calc'!S97</f>
        <v>45975.736833266215</v>
      </c>
      <c r="T152" s="186">
        <f>-'Service GP Calc'!T97</f>
        <v>45975.736833266215</v>
      </c>
      <c r="U152" s="186">
        <f>-'Service GP Calc'!U97</f>
        <v>51084.152036962463</v>
      </c>
      <c r="V152" s="186">
        <f>-'Service GP Calc'!V97</f>
        <v>51084.152036962463</v>
      </c>
      <c r="W152" s="186">
        <f>-'Service GP Calc'!W97</f>
        <v>45217.895017333249</v>
      </c>
      <c r="X152" s="186">
        <f>-'Service GP Calc'!X97</f>
        <v>45217.895017333249</v>
      </c>
      <c r="Y152" s="186">
        <f>-'Service GP Calc'!Y97</f>
        <v>46735.375014985089</v>
      </c>
      <c r="Z152" s="186">
        <f>-'Service GP Calc'!Z97</f>
        <v>54676.883608792785</v>
      </c>
      <c r="AA152" s="184" t="s">
        <v>111</v>
      </c>
      <c r="AB152" s="184" t="s">
        <v>123</v>
      </c>
      <c r="AC152" s="184" t="str">
        <f t="shared" si="52"/>
        <v/>
      </c>
      <c r="AE152" s="184" t="str">
        <f t="shared" si="53"/>
        <v>240-7060</v>
      </c>
    </row>
    <row r="153" spans="1:31" x14ac:dyDescent="0.2">
      <c r="A153" s="184">
        <v>340</v>
      </c>
      <c r="B153" s="185">
        <v>7060</v>
      </c>
      <c r="C153" s="186"/>
      <c r="D153" s="186"/>
      <c r="E153" s="186"/>
      <c r="F153" s="186"/>
      <c r="G153" s="186">
        <f>-'Service GP Calc'!G98</f>
        <v>49856.05986067887</v>
      </c>
      <c r="H153" s="186">
        <f>-'Service GP Calc'!H98</f>
        <v>41273.333286916364</v>
      </c>
      <c r="I153" s="186">
        <f>-'Service GP Calc'!I98</f>
        <v>51058.628767088187</v>
      </c>
      <c r="J153" s="186">
        <f>-'Service GP Calc'!J98</f>
        <v>50347.911645011816</v>
      </c>
      <c r="K153" s="186">
        <f>-'Service GP Calc'!K98</f>
        <v>36517.178770125225</v>
      </c>
      <c r="L153" s="186">
        <f>-'Service GP Calc'!L98</f>
        <v>37793.460555711237</v>
      </c>
      <c r="M153" s="186">
        <f>-'Service GP Calc'!M98</f>
        <v>37971.309697622506</v>
      </c>
      <c r="N153" s="186">
        <f>-'Service GP Calc'!N98</f>
        <v>49760.66257567735</v>
      </c>
      <c r="O153" s="186">
        <f>-'Service GP Calc'!O98</f>
        <v>35308.43721728184</v>
      </c>
      <c r="P153" s="186">
        <f>-'Service GP Calc'!P98</f>
        <v>43762.40679185222</v>
      </c>
      <c r="Q153" s="186">
        <f>-'Service GP Calc'!Q98</f>
        <v>46374.292215482863</v>
      </c>
      <c r="R153" s="186">
        <f>-'Service GP Calc'!R98</f>
        <v>47440.367898597404</v>
      </c>
      <c r="S153" s="186">
        <f>-'Service GP Calc'!S98</f>
        <v>43655.799223540766</v>
      </c>
      <c r="T153" s="186">
        <f>-'Service GP Calc'!T98</f>
        <v>43655.799223540766</v>
      </c>
      <c r="U153" s="186">
        <f>-'Service GP Calc'!U98</f>
        <v>48506.443581711959</v>
      </c>
      <c r="V153" s="186">
        <f>-'Service GP Calc'!V98</f>
        <v>48506.443581711959</v>
      </c>
      <c r="W153" s="186">
        <f>-'Service GP Calc'!W98</f>
        <v>42936.198137438441</v>
      </c>
      <c r="X153" s="186">
        <f>-'Service GP Calc'!X98</f>
        <v>42936.198137438441</v>
      </c>
      <c r="Y153" s="186">
        <f>-'Service GP Calc'!Y98</f>
        <v>44377.10603073606</v>
      </c>
      <c r="Z153" s="186">
        <f>-'Service GP Calc'!Z98</f>
        <v>51917.885767678519</v>
      </c>
      <c r="AA153" s="184" t="s">
        <v>111</v>
      </c>
      <c r="AB153" s="184" t="s">
        <v>123</v>
      </c>
      <c r="AC153" s="184" t="str">
        <f t="shared" si="52"/>
        <v/>
      </c>
      <c r="AE153" s="184" t="str">
        <f t="shared" si="53"/>
        <v>340-7060</v>
      </c>
    </row>
    <row r="154" spans="1:31" x14ac:dyDescent="0.2">
      <c r="A154" s="184">
        <v>440</v>
      </c>
      <c r="B154" s="185">
        <v>7060</v>
      </c>
      <c r="C154" s="186"/>
      <c r="D154" s="186"/>
      <c r="E154" s="186"/>
      <c r="F154" s="186"/>
      <c r="G154" s="186">
        <f>-'Service GP Calc'!G99</f>
        <v>55287.443650690439</v>
      </c>
      <c r="H154" s="186">
        <f>-'Service GP Calc'!H99</f>
        <v>45769.703718128578</v>
      </c>
      <c r="I154" s="186">
        <f>-'Service GP Calc'!I99</f>
        <v>56621.021972663184</v>
      </c>
      <c r="J154" s="186">
        <f>-'Service GP Calc'!J99</f>
        <v>55832.878405999822</v>
      </c>
      <c r="K154" s="186">
        <f>-'Service GP Calc'!K99</f>
        <v>40495.407562838969</v>
      </c>
      <c r="L154" s="186">
        <f>-'Service GP Calc'!L99</f>
        <v>41910.729140600488</v>
      </c>
      <c r="M154" s="186">
        <f>-'Service GP Calc'!M99</f>
        <v>42107.953398578771</v>
      </c>
      <c r="N154" s="186">
        <f>-'Service GP Calc'!N99</f>
        <v>55181.653661796619</v>
      </c>
      <c r="O154" s="186">
        <f>-'Service GP Calc'!O99</f>
        <v>39154.984138327956</v>
      </c>
      <c r="P154" s="186">
        <f>-'Service GP Calc'!P99</f>
        <v>48529.940117297025</v>
      </c>
      <c r="Q154" s="186">
        <f>-'Service GP Calc'!Q99</f>
        <v>51426.367724784919</v>
      </c>
      <c r="R154" s="186">
        <f>-'Service GP Calc'!R99</f>
        <v>52608.58307477997</v>
      </c>
      <c r="S154" s="186">
        <f>-'Service GP Calc'!S99</f>
        <v>48411.718582297523</v>
      </c>
      <c r="T154" s="186">
        <f>-'Service GP Calc'!T99</f>
        <v>48411.718582297523</v>
      </c>
      <c r="U154" s="186">
        <f>-'Service GP Calc'!U99</f>
        <v>53790.798424775028</v>
      </c>
      <c r="V154" s="186">
        <f>-'Service GP Calc'!V99</f>
        <v>53790.798424775028</v>
      </c>
      <c r="W154" s="186">
        <f>-'Service GP Calc'!W99</f>
        <v>47613.723221050859</v>
      </c>
      <c r="X154" s="186">
        <f>-'Service GP Calc'!X99</f>
        <v>47613.723221050859</v>
      </c>
      <c r="Y154" s="186">
        <f>-'Service GP Calc'!Y99</f>
        <v>49211.605488104178</v>
      </c>
      <c r="Z154" s="186">
        <f>-'Service GP Calc'!Z99</f>
        <v>57573.8875447592</v>
      </c>
      <c r="AA154" s="184" t="s">
        <v>111</v>
      </c>
      <c r="AB154" s="184" t="s">
        <v>123</v>
      </c>
      <c r="AC154" s="184" t="str">
        <f t="shared" si="52"/>
        <v/>
      </c>
      <c r="AE154" s="184" t="str">
        <f t="shared" si="53"/>
        <v>440-7060</v>
      </c>
    </row>
    <row r="155" spans="1:31" x14ac:dyDescent="0.2">
      <c r="A155" s="184">
        <v>110</v>
      </c>
      <c r="B155" s="185">
        <v>7180</v>
      </c>
      <c r="C155" s="186"/>
      <c r="D155" s="186"/>
      <c r="E155" s="186"/>
      <c r="F155" s="186"/>
      <c r="G155" s="186">
        <f>+[1]Admin!F$4*$AD155</f>
        <v>196518.07080134613</v>
      </c>
      <c r="H155" s="186">
        <f>+[1]Admin!G$4*$AD155</f>
        <v>196518.07080134613</v>
      </c>
      <c r="I155" s="186">
        <f>+[1]Admin!H$4*$AD155</f>
        <v>196518.07080134613</v>
      </c>
      <c r="J155" s="186">
        <f>+[1]Admin!I$4*$AD155</f>
        <v>186773.37307565953</v>
      </c>
      <c r="K155" s="186">
        <f>+[1]Admin!J$4*$AD155</f>
        <v>186773.37307565953</v>
      </c>
      <c r="L155" s="186">
        <f>+[1]Admin!K$4*$AD155</f>
        <v>161844.81217706564</v>
      </c>
      <c r="M155" s="186">
        <f>+[1]Admin!L$4*$AD155</f>
        <v>179758.16518293778</v>
      </c>
      <c r="N155" s="186">
        <f>+[1]Admin!M$4*$AD155</f>
        <v>191986.78635890185</v>
      </c>
      <c r="O155" s="186">
        <f>+[1]Admin!Q$4*$AD155</f>
        <v>175404.55906235852</v>
      </c>
      <c r="P155" s="186">
        <f>+[1]Admin!R$4*$AD155</f>
        <v>175404.55906235852</v>
      </c>
      <c r="Q155" s="186">
        <f>+[1]Admin!S$4*$AD155</f>
        <v>175404.55906235852</v>
      </c>
      <c r="R155" s="186">
        <f>+[1]Admin!T$4*$AD155</f>
        <v>175404.55906235852</v>
      </c>
      <c r="S155" s="186">
        <f>+[1]Admin!U$4*$AD155</f>
        <v>175404.55906235852</v>
      </c>
      <c r="T155" s="186">
        <f>+[1]Admin!V$4*$AD155</f>
        <v>175404.55906235852</v>
      </c>
      <c r="U155" s="186">
        <f>+[1]Admin!W$4*$AD155</f>
        <v>175404.55906235852</v>
      </c>
      <c r="V155" s="186">
        <f>+[1]Admin!X$4*$AD155</f>
        <v>175404.55906235852</v>
      </c>
      <c r="W155" s="186">
        <f>+[1]Admin!Y$4*$AD155</f>
        <v>175404.55906235852</v>
      </c>
      <c r="X155" s="186">
        <f>+[1]Admin!Z$4*$AD155</f>
        <v>175404.55906235852</v>
      </c>
      <c r="Y155" s="186">
        <f>+[1]Admin!AA$4*$AD155</f>
        <v>175404.55906235852</v>
      </c>
      <c r="Z155" s="186">
        <f>+[1]Admin!AB$4*$AD155</f>
        <v>175404.55906235852</v>
      </c>
      <c r="AA155" s="184" t="s">
        <v>124</v>
      </c>
      <c r="AB155" s="184" t="s">
        <v>125</v>
      </c>
      <c r="AC155" s="184" t="str">
        <f t="shared" si="52"/>
        <v/>
      </c>
      <c r="AD155" s="188">
        <v>0.32482325752288616</v>
      </c>
      <c r="AE155" s="184" t="str">
        <f t="shared" si="53"/>
        <v>110-7180</v>
      </c>
    </row>
    <row r="156" spans="1:31" x14ac:dyDescent="0.2">
      <c r="A156" s="184">
        <v>110</v>
      </c>
      <c r="B156" s="185">
        <v>7690</v>
      </c>
      <c r="C156" s="186"/>
      <c r="D156" s="186"/>
      <c r="E156" s="186"/>
      <c r="F156" s="186"/>
      <c r="G156" s="186">
        <f>+[1]Admin!F$4*$AD156</f>
        <v>149247.84930585499</v>
      </c>
      <c r="H156" s="186">
        <f>+[1]Admin!G$4*$AD156</f>
        <v>149247.84930585499</v>
      </c>
      <c r="I156" s="186">
        <f>+[1]Admin!H$4*$AD156</f>
        <v>149247.84930585499</v>
      </c>
      <c r="J156" s="186">
        <f>+[1]Admin!I$4*$AD156</f>
        <v>141847.12950556466</v>
      </c>
      <c r="K156" s="186">
        <f>+[1]Admin!J$4*$AD156</f>
        <v>141847.12950556466</v>
      </c>
      <c r="L156" s="186">
        <f>+[1]Admin!K$4*$AD156</f>
        <v>122914.85480312194</v>
      </c>
      <c r="M156" s="186">
        <f>+[1]Admin!L$4*$AD156</f>
        <v>136519.35132133565</v>
      </c>
      <c r="N156" s="186">
        <f>+[1]Admin!M$4*$AD156</f>
        <v>145806.51459871998</v>
      </c>
      <c r="O156" s="186">
        <f>+[1]Admin!Q$4*$AD156</f>
        <v>133212.95640522594</v>
      </c>
      <c r="P156" s="186">
        <f>+[1]Admin!R$4*$AD156</f>
        <v>133212.95640522594</v>
      </c>
      <c r="Q156" s="186">
        <f>+[1]Admin!S$4*$AD156</f>
        <v>133212.95640522594</v>
      </c>
      <c r="R156" s="186">
        <f>+[1]Admin!T$4*$AD156</f>
        <v>133212.95640522594</v>
      </c>
      <c r="S156" s="186">
        <f>+[1]Admin!U$4*$AD156</f>
        <v>133212.95640522594</v>
      </c>
      <c r="T156" s="186">
        <f>+[1]Admin!V$4*$AD156</f>
        <v>133212.95640522594</v>
      </c>
      <c r="U156" s="186">
        <f>+[1]Admin!W$4*$AD156</f>
        <v>133212.95640522594</v>
      </c>
      <c r="V156" s="186">
        <f>+[1]Admin!X$4*$AD156</f>
        <v>133212.95640522594</v>
      </c>
      <c r="W156" s="186">
        <f>+[1]Admin!Y$4*$AD156</f>
        <v>133212.95640522594</v>
      </c>
      <c r="X156" s="186">
        <f>+[1]Admin!Z$4*$AD156</f>
        <v>133212.95640522594</v>
      </c>
      <c r="Y156" s="186">
        <f>+[1]Admin!AA$4*$AD156</f>
        <v>133212.95640522594</v>
      </c>
      <c r="Z156" s="186">
        <f>+[1]Admin!AB$4*$AD156</f>
        <v>133212.95640522594</v>
      </c>
      <c r="AA156" s="184" t="s">
        <v>124</v>
      </c>
      <c r="AB156" s="184" t="s">
        <v>126</v>
      </c>
      <c r="AC156" s="184" t="str">
        <f t="shared" si="52"/>
        <v/>
      </c>
      <c r="AD156" s="188">
        <v>0.24669066000967765</v>
      </c>
      <c r="AE156" s="184" t="str">
        <f t="shared" si="53"/>
        <v>110-7690</v>
      </c>
    </row>
    <row r="157" spans="1:31" x14ac:dyDescent="0.2">
      <c r="A157" s="184">
        <v>110</v>
      </c>
      <c r="B157" s="185">
        <v>7790</v>
      </c>
      <c r="C157" s="186"/>
      <c r="D157" s="186"/>
      <c r="E157" s="186"/>
      <c r="F157" s="186"/>
      <c r="G157" s="186">
        <f>+[1]Admin!F$4*$AD157</f>
        <v>69873.708008774571</v>
      </c>
      <c r="H157" s="186">
        <f>+[1]Admin!G$4*$AD157</f>
        <v>69873.708008774571</v>
      </c>
      <c r="I157" s="186">
        <f>+[1]Admin!H$4*$AD157</f>
        <v>69873.708008774571</v>
      </c>
      <c r="J157" s="186">
        <f>+[1]Admin!I$4*$AD157</f>
        <v>66408.896041397325</v>
      </c>
      <c r="K157" s="186">
        <f>+[1]Admin!J$4*$AD157</f>
        <v>66408.896041397325</v>
      </c>
      <c r="L157" s="186">
        <f>+[1]Admin!K$4*$AD157</f>
        <v>57545.329560185084</v>
      </c>
      <c r="M157" s="186">
        <f>+[1]Admin!L$4*$AD157</f>
        <v>63914.577906082442</v>
      </c>
      <c r="N157" s="186">
        <f>+[1]Admin!M$4*$AD157</f>
        <v>68262.570443944162</v>
      </c>
      <c r="O157" s="186">
        <f>+[1]Admin!Q$4*$AD157</f>
        <v>62366.615412790532</v>
      </c>
      <c r="P157" s="186">
        <f>+[1]Admin!R$4*$AD157</f>
        <v>62366.615412790532</v>
      </c>
      <c r="Q157" s="186">
        <f>+[1]Admin!S$4*$AD157</f>
        <v>62366.615412790532</v>
      </c>
      <c r="R157" s="186">
        <f>+[1]Admin!T$4*$AD157</f>
        <v>62366.615412790532</v>
      </c>
      <c r="S157" s="186">
        <f>+[1]Admin!U$4*$AD157</f>
        <v>62366.615412790532</v>
      </c>
      <c r="T157" s="186">
        <f>+[1]Admin!V$4*$AD157</f>
        <v>62366.615412790532</v>
      </c>
      <c r="U157" s="186">
        <f>+[1]Admin!W$4*$AD157</f>
        <v>62366.615412790532</v>
      </c>
      <c r="V157" s="186">
        <f>+[1]Admin!X$4*$AD157</f>
        <v>62366.615412790532</v>
      </c>
      <c r="W157" s="186">
        <f>+[1]Admin!Y$4*$AD157</f>
        <v>62366.615412790532</v>
      </c>
      <c r="X157" s="186">
        <f>+[1]Admin!Z$4*$AD157</f>
        <v>62366.615412790532</v>
      </c>
      <c r="Y157" s="186">
        <f>+[1]Admin!AA$4*$AD157</f>
        <v>62366.615412790532</v>
      </c>
      <c r="Z157" s="186">
        <f>+[1]Admin!AB$4*$AD157</f>
        <v>62366.615412790532</v>
      </c>
      <c r="AA157" s="184" t="s">
        <v>124</v>
      </c>
      <c r="AB157" s="184" t="s">
        <v>127</v>
      </c>
      <c r="AC157" s="184" t="str">
        <f t="shared" si="52"/>
        <v/>
      </c>
      <c r="AD157" s="188">
        <v>0.11549373224590839</v>
      </c>
      <c r="AE157" s="184" t="str">
        <f t="shared" si="53"/>
        <v>110-7790</v>
      </c>
    </row>
    <row r="158" spans="1:31" x14ac:dyDescent="0.2">
      <c r="A158" s="184">
        <v>110</v>
      </c>
      <c r="B158" s="185">
        <v>7610</v>
      </c>
      <c r="C158" s="186"/>
      <c r="D158" s="186"/>
      <c r="E158" s="186"/>
      <c r="F158" s="186"/>
      <c r="G158" s="186">
        <f>+[1]Admin!F$4*$AD158</f>
        <v>4542.0645010640155</v>
      </c>
      <c r="H158" s="186">
        <f>+[1]Admin!G$4*$AD158</f>
        <v>4542.0645010640155</v>
      </c>
      <c r="I158" s="186">
        <f>+[1]Admin!H$4*$AD158</f>
        <v>4542.0645010640155</v>
      </c>
      <c r="J158" s="186">
        <f>+[1]Admin!I$4*$AD158</f>
        <v>4316.8381621682793</v>
      </c>
      <c r="K158" s="186">
        <f>+[1]Admin!J$4*$AD158</f>
        <v>4316.8381621682793</v>
      </c>
      <c r="L158" s="186">
        <f>+[1]Admin!K$4*$AD158</f>
        <v>3740.6716495498367</v>
      </c>
      <c r="M158" s="186">
        <f>+[1]Admin!L$4*$AD158</f>
        <v>4154.6977207972386</v>
      </c>
      <c r="N158" s="186">
        <f>+[1]Admin!M$4*$AD158</f>
        <v>4437.3342534774984</v>
      </c>
      <c r="O158" s="186">
        <f>+[1]Admin!Q$4*$AD158</f>
        <v>4054.0741001232536</v>
      </c>
      <c r="P158" s="186">
        <f>+[1]Admin!R$4*$AD158</f>
        <v>4054.0741001232536</v>
      </c>
      <c r="Q158" s="186">
        <f>+[1]Admin!S$4*$AD158</f>
        <v>4054.0741001232536</v>
      </c>
      <c r="R158" s="186">
        <f>+[1]Admin!T$4*$AD158</f>
        <v>4054.0741001232536</v>
      </c>
      <c r="S158" s="186">
        <f>+[1]Admin!U$4*$AD158</f>
        <v>4054.0741001232536</v>
      </c>
      <c r="T158" s="186">
        <f>+[1]Admin!V$4*$AD158</f>
        <v>4054.0741001232536</v>
      </c>
      <c r="U158" s="186">
        <f>+[1]Admin!W$4*$AD158</f>
        <v>4054.0741001232536</v>
      </c>
      <c r="V158" s="186">
        <f>+[1]Admin!X$4*$AD158</f>
        <v>4054.0741001232536</v>
      </c>
      <c r="W158" s="186">
        <f>+[1]Admin!Y$4*$AD158</f>
        <v>4054.0741001232536</v>
      </c>
      <c r="X158" s="186">
        <f>+[1]Admin!Z$4*$AD158</f>
        <v>4054.0741001232536</v>
      </c>
      <c r="Y158" s="186">
        <f>+[1]Admin!AA$4*$AD158</f>
        <v>4054.0741001232536</v>
      </c>
      <c r="Z158" s="186">
        <f>+[1]Admin!AB$4*$AD158</f>
        <v>4054.0741001232536</v>
      </c>
      <c r="AA158" s="184" t="s">
        <v>124</v>
      </c>
      <c r="AB158" s="184" t="s">
        <v>128</v>
      </c>
      <c r="AC158" s="184" t="str">
        <f t="shared" si="52"/>
        <v/>
      </c>
      <c r="AD158" s="188">
        <v>7.5075446298578773E-3</v>
      </c>
      <c r="AE158" s="184" t="str">
        <f t="shared" si="53"/>
        <v>110-7610</v>
      </c>
    </row>
    <row r="159" spans="1:31" x14ac:dyDescent="0.2">
      <c r="A159" s="184">
        <v>110</v>
      </c>
      <c r="B159" s="185">
        <v>7840</v>
      </c>
      <c r="C159" s="186"/>
      <c r="D159" s="186"/>
      <c r="E159" s="186"/>
      <c r="F159" s="186"/>
      <c r="G159" s="186">
        <f>+[1]Admin!F$4*$AD159</f>
        <v>11413.557709910056</v>
      </c>
      <c r="H159" s="186">
        <f>+[1]Admin!G$4*$AD159</f>
        <v>11413.557709910056</v>
      </c>
      <c r="I159" s="186">
        <f>+[1]Admin!H$4*$AD159</f>
        <v>11413.557709910056</v>
      </c>
      <c r="J159" s="186">
        <f>+[1]Admin!I$4*$AD159</f>
        <v>10847.596170575673</v>
      </c>
      <c r="K159" s="186">
        <f>+[1]Admin!J$4*$AD159</f>
        <v>10847.596170575673</v>
      </c>
      <c r="L159" s="186">
        <f>+[1]Admin!K$4*$AD159</f>
        <v>9399.7722260350984</v>
      </c>
      <c r="M159" s="186">
        <f>+[1]Admin!L$4*$AD159</f>
        <v>10440.160458408851</v>
      </c>
      <c r="N159" s="186">
        <f>+[1]Admin!M$4*$AD159</f>
        <v>11150.385594119567</v>
      </c>
      <c r="O159" s="186">
        <f>+[1]Admin!Q$4*$AD159</f>
        <v>10187.307708018892</v>
      </c>
      <c r="P159" s="186">
        <f>+[1]Admin!R$4*$AD159</f>
        <v>10187.307708018892</v>
      </c>
      <c r="Q159" s="186">
        <f>+[1]Admin!S$4*$AD159</f>
        <v>10187.307708018892</v>
      </c>
      <c r="R159" s="186">
        <f>+[1]Admin!T$4*$AD159</f>
        <v>10187.307708018892</v>
      </c>
      <c r="S159" s="186">
        <f>+[1]Admin!U$4*$AD159</f>
        <v>10187.307708018892</v>
      </c>
      <c r="T159" s="186">
        <f>+[1]Admin!V$4*$AD159</f>
        <v>10187.307708018892</v>
      </c>
      <c r="U159" s="186">
        <f>+[1]Admin!W$4*$AD159</f>
        <v>10187.307708018892</v>
      </c>
      <c r="V159" s="186">
        <f>+[1]Admin!X$4*$AD159</f>
        <v>10187.307708018892</v>
      </c>
      <c r="W159" s="186">
        <f>+[1]Admin!Y$4*$AD159</f>
        <v>10187.307708018892</v>
      </c>
      <c r="X159" s="186">
        <f>+[1]Admin!Z$4*$AD159</f>
        <v>10187.307708018892</v>
      </c>
      <c r="Y159" s="186">
        <f>+[1]Admin!AA$4*$AD159</f>
        <v>10187.307708018892</v>
      </c>
      <c r="Z159" s="186">
        <f>+[1]Admin!AB$4*$AD159</f>
        <v>10187.307708018892</v>
      </c>
      <c r="AA159" s="184" t="s">
        <v>124</v>
      </c>
      <c r="AB159" s="184" t="s">
        <v>129</v>
      </c>
      <c r="AC159" s="184" t="str">
        <f t="shared" si="52"/>
        <v/>
      </c>
      <c r="AD159" s="188">
        <v>1.8865384644479431E-2</v>
      </c>
      <c r="AE159" s="184" t="str">
        <f t="shared" si="53"/>
        <v>110-7840</v>
      </c>
    </row>
    <row r="160" spans="1:31" x14ac:dyDescent="0.2">
      <c r="A160" s="184">
        <v>110</v>
      </c>
      <c r="B160" s="185">
        <v>7430</v>
      </c>
      <c r="C160" s="186"/>
      <c r="D160" s="186"/>
      <c r="E160" s="186"/>
      <c r="F160" s="186"/>
      <c r="G160" s="186">
        <f>+[1]Admin!F$4*$AD160</f>
        <v>4776.9451764830619</v>
      </c>
      <c r="H160" s="186">
        <f>+[1]Admin!G$4*$AD160</f>
        <v>4776.9451764830619</v>
      </c>
      <c r="I160" s="186">
        <f>+[1]Admin!H$4*$AD160</f>
        <v>4776.9451764830619</v>
      </c>
      <c r="J160" s="186">
        <f>+[1]Admin!I$4*$AD160</f>
        <v>4540.0718619467116</v>
      </c>
      <c r="K160" s="186">
        <f>+[1]Admin!J$4*$AD160</f>
        <v>4540.0718619467116</v>
      </c>
      <c r="L160" s="186">
        <f>+[1]Admin!K$4*$AD160</f>
        <v>3934.1104444769721</v>
      </c>
      <c r="M160" s="186">
        <f>+[1]Admin!L$4*$AD160</f>
        <v>4369.5467628119932</v>
      </c>
      <c r="N160" s="186">
        <f>+[1]Admin!M$4*$AD160</f>
        <v>4666.7990852236589</v>
      </c>
      <c r="O160" s="186">
        <f>+[1]Admin!Q$4*$AD160</f>
        <v>4263.7196616543033</v>
      </c>
      <c r="P160" s="186">
        <f>+[1]Admin!R$4*$AD160</f>
        <v>4263.7196616543033</v>
      </c>
      <c r="Q160" s="186">
        <f>+[1]Admin!S$4*$AD160</f>
        <v>4263.7196616543033</v>
      </c>
      <c r="R160" s="186">
        <f>+[1]Admin!T$4*$AD160</f>
        <v>4263.7196616543033</v>
      </c>
      <c r="S160" s="186">
        <f>+[1]Admin!U$4*$AD160</f>
        <v>4263.7196616543033</v>
      </c>
      <c r="T160" s="186">
        <f>+[1]Admin!V$4*$AD160</f>
        <v>4263.7196616543033</v>
      </c>
      <c r="U160" s="186">
        <f>+[1]Admin!W$4*$AD160</f>
        <v>4263.7196616543033</v>
      </c>
      <c r="V160" s="186">
        <f>+[1]Admin!X$4*$AD160</f>
        <v>4263.7196616543033</v>
      </c>
      <c r="W160" s="186">
        <f>+[1]Admin!Y$4*$AD160</f>
        <v>4263.7196616543033</v>
      </c>
      <c r="X160" s="186">
        <f>+[1]Admin!Z$4*$AD160</f>
        <v>4263.7196616543033</v>
      </c>
      <c r="Y160" s="186">
        <f>+[1]Admin!AA$4*$AD160</f>
        <v>4263.7196616543033</v>
      </c>
      <c r="Z160" s="186">
        <f>+[1]Admin!AB$4*$AD160</f>
        <v>4263.7196616543033</v>
      </c>
      <c r="AA160" s="184" t="s">
        <v>124</v>
      </c>
      <c r="AB160" s="184" t="s">
        <v>130</v>
      </c>
      <c r="AC160" s="184" t="str">
        <f t="shared" si="52"/>
        <v/>
      </c>
      <c r="AD160" s="188">
        <v>7.895777151211673E-3</v>
      </c>
      <c r="AE160" s="184" t="str">
        <f t="shared" si="53"/>
        <v>110-7430</v>
      </c>
    </row>
    <row r="161" spans="1:31" x14ac:dyDescent="0.2">
      <c r="A161" s="184">
        <v>110</v>
      </c>
      <c r="B161" s="185">
        <v>7570</v>
      </c>
      <c r="C161" s="186"/>
      <c r="D161" s="186"/>
      <c r="E161" s="186"/>
      <c r="F161" s="186"/>
      <c r="G161" s="186">
        <f>+[1]Admin!F$4*$AD161</f>
        <v>27789.379908788058</v>
      </c>
      <c r="H161" s="186">
        <f>+[1]Admin!G$4*$AD161</f>
        <v>27789.379908788058</v>
      </c>
      <c r="I161" s="186">
        <f>+[1]Admin!H$4*$AD161</f>
        <v>27789.379908788058</v>
      </c>
      <c r="J161" s="186">
        <f>+[1]Admin!I$4*$AD161</f>
        <v>26411.394128186996</v>
      </c>
      <c r="K161" s="186">
        <f>+[1]Admin!J$4*$AD161</f>
        <v>26411.394128186996</v>
      </c>
      <c r="L161" s="186">
        <f>+[1]Admin!K$4*$AD161</f>
        <v>22886.276837112717</v>
      </c>
      <c r="M161" s="186">
        <f>+[1]Admin!L$4*$AD161</f>
        <v>25419.382164732291</v>
      </c>
      <c r="N161" s="186">
        <f>+[1]Admin!M$4*$AD161</f>
        <v>27148.616520808562</v>
      </c>
      <c r="O161" s="186">
        <f>+[1]Admin!Q$4*$AD161</f>
        <v>24803.744050819092</v>
      </c>
      <c r="P161" s="186">
        <f>+[1]Admin!R$4*$AD161</f>
        <v>24803.744050819092</v>
      </c>
      <c r="Q161" s="186">
        <f>+[1]Admin!S$4*$AD161</f>
        <v>24803.744050819092</v>
      </c>
      <c r="R161" s="186">
        <f>+[1]Admin!T$4*$AD161</f>
        <v>24803.744050819092</v>
      </c>
      <c r="S161" s="186">
        <f>+[1]Admin!U$4*$AD161</f>
        <v>24803.744050819092</v>
      </c>
      <c r="T161" s="186">
        <f>+[1]Admin!V$4*$AD161</f>
        <v>24803.744050819092</v>
      </c>
      <c r="U161" s="186">
        <f>+[1]Admin!W$4*$AD161</f>
        <v>24803.744050819092</v>
      </c>
      <c r="V161" s="186">
        <f>+[1]Admin!X$4*$AD161</f>
        <v>24803.744050819092</v>
      </c>
      <c r="W161" s="186">
        <f>+[1]Admin!Y$4*$AD161</f>
        <v>24803.744050819092</v>
      </c>
      <c r="X161" s="186">
        <f>+[1]Admin!Z$4*$AD161</f>
        <v>24803.744050819092</v>
      </c>
      <c r="Y161" s="186">
        <f>+[1]Admin!AA$4*$AD161</f>
        <v>24803.744050819092</v>
      </c>
      <c r="Z161" s="186">
        <f>+[1]Admin!AB$4*$AD161</f>
        <v>24803.744050819092</v>
      </c>
      <c r="AA161" s="184" t="s">
        <v>124</v>
      </c>
      <c r="AB161" s="184" t="s">
        <v>131</v>
      </c>
      <c r="AC161" s="184" t="str">
        <f t="shared" si="52"/>
        <v/>
      </c>
      <c r="AD161" s="188">
        <v>4.5932859353368688E-2</v>
      </c>
      <c r="AE161" s="184" t="str">
        <f t="shared" si="53"/>
        <v>110-7570</v>
      </c>
    </row>
    <row r="162" spans="1:31" x14ac:dyDescent="0.2">
      <c r="A162" s="184">
        <v>110</v>
      </c>
      <c r="B162" s="185">
        <v>7452</v>
      </c>
      <c r="C162" s="186"/>
      <c r="D162" s="186"/>
      <c r="E162" s="186"/>
      <c r="F162" s="186"/>
      <c r="G162" s="186">
        <f>+[1]Admin!F$4*$AD162</f>
        <v>106798.96612657412</v>
      </c>
      <c r="H162" s="186">
        <f>+[1]Admin!G$4*$AD162</f>
        <v>106798.96612657412</v>
      </c>
      <c r="I162" s="186">
        <f>+[1]Admin!H$4*$AD162</f>
        <v>106798.96612657412</v>
      </c>
      <c r="J162" s="186">
        <f>+[1]Admin!I$4*$AD162</f>
        <v>101503.14962442995</v>
      </c>
      <c r="K162" s="186">
        <f>+[1]Admin!J$4*$AD162</f>
        <v>101503.14962442995</v>
      </c>
      <c r="L162" s="186">
        <f>+[1]Admin!K$4*$AD162</f>
        <v>87955.568375861461</v>
      </c>
      <c r="M162" s="186">
        <f>+[1]Admin!L$4*$AD162</f>
        <v>97690.691324536354</v>
      </c>
      <c r="N162" s="186">
        <f>+[1]Admin!M$4*$AD162</f>
        <v>104336.41145307707</v>
      </c>
      <c r="O162" s="186">
        <f>+[1]Admin!Q$4*$AD162</f>
        <v>95324.697038595084</v>
      </c>
      <c r="P162" s="186">
        <f>+[1]Admin!R$4*$AD162</f>
        <v>95324.697038595084</v>
      </c>
      <c r="Q162" s="186">
        <f>+[1]Admin!S$4*$AD162</f>
        <v>95324.697038595084</v>
      </c>
      <c r="R162" s="186">
        <f>+[1]Admin!T$4*$AD162</f>
        <v>95324.697038595084</v>
      </c>
      <c r="S162" s="186">
        <f>+[1]Admin!U$4*$AD162</f>
        <v>95324.697038595084</v>
      </c>
      <c r="T162" s="186">
        <f>+[1]Admin!V$4*$AD162</f>
        <v>95324.697038595084</v>
      </c>
      <c r="U162" s="186">
        <f>+[1]Admin!W$4*$AD162</f>
        <v>95324.697038595084</v>
      </c>
      <c r="V162" s="186">
        <f>+[1]Admin!X$4*$AD162</f>
        <v>95324.697038595084</v>
      </c>
      <c r="W162" s="186">
        <f>+[1]Admin!Y$4*$AD162</f>
        <v>95324.697038595084</v>
      </c>
      <c r="X162" s="186">
        <f>+[1]Admin!Z$4*$AD162</f>
        <v>95324.697038595084</v>
      </c>
      <c r="Y162" s="186">
        <f>+[1]Admin!AA$4*$AD162</f>
        <v>95324.697038595084</v>
      </c>
      <c r="Z162" s="186">
        <f>+[1]Admin!AB$4*$AD162</f>
        <v>95324.697038595084</v>
      </c>
      <c r="AA162" s="184" t="s">
        <v>124</v>
      </c>
      <c r="AB162" s="184" t="s">
        <v>132</v>
      </c>
      <c r="AC162" s="184" t="str">
        <f t="shared" si="52"/>
        <v/>
      </c>
      <c r="AD162" s="188">
        <v>0.17652721673813904</v>
      </c>
      <c r="AE162" s="184" t="str">
        <f t="shared" si="53"/>
        <v>110-7452</v>
      </c>
    </row>
    <row r="163" spans="1:31" x14ac:dyDescent="0.2">
      <c r="A163" s="184">
        <v>110</v>
      </c>
      <c r="B163" s="185">
        <v>7520</v>
      </c>
      <c r="C163" s="186"/>
      <c r="D163" s="186"/>
      <c r="E163" s="186"/>
      <c r="F163" s="186"/>
      <c r="G163" s="186">
        <f>+[1]Admin!F$4*$AD163</f>
        <v>34039.458461205119</v>
      </c>
      <c r="H163" s="186">
        <f>+[1]Admin!G$4*$AD163</f>
        <v>34039.458461205119</v>
      </c>
      <c r="I163" s="186">
        <f>+[1]Admin!H$4*$AD163</f>
        <v>34039.458461205119</v>
      </c>
      <c r="J163" s="186">
        <f>+[1]Admin!I$4*$AD163</f>
        <v>32351.551430070984</v>
      </c>
      <c r="K163" s="186">
        <f>+[1]Admin!J$4*$AD163</f>
        <v>32351.551430070984</v>
      </c>
      <c r="L163" s="186">
        <f>+[1]Admin!K$4*$AD163</f>
        <v>28033.603926591335</v>
      </c>
      <c r="M163" s="186">
        <f>+[1]Admin!L$4*$AD163</f>
        <v>31136.427158357517</v>
      </c>
      <c r="N163" s="186">
        <f>+[1]Admin!M$4*$AD163</f>
        <v>33254.581691727748</v>
      </c>
      <c r="O163" s="186">
        <f>+[1]Admin!Q$4*$AD163</f>
        <v>30382.326560414487</v>
      </c>
      <c r="P163" s="186">
        <f>+[1]Admin!R$4*$AD163</f>
        <v>30382.326560414487</v>
      </c>
      <c r="Q163" s="186">
        <f>+[1]Admin!S$4*$AD163</f>
        <v>30382.326560414487</v>
      </c>
      <c r="R163" s="186">
        <f>+[1]Admin!T$4*$AD163</f>
        <v>30382.326560414487</v>
      </c>
      <c r="S163" s="186">
        <f>+[1]Admin!U$4*$AD163</f>
        <v>30382.326560414487</v>
      </c>
      <c r="T163" s="186">
        <f>+[1]Admin!V$4*$AD163</f>
        <v>30382.326560414487</v>
      </c>
      <c r="U163" s="186">
        <f>+[1]Admin!W$4*$AD163</f>
        <v>30382.326560414487</v>
      </c>
      <c r="V163" s="186">
        <f>+[1]Admin!X$4*$AD163</f>
        <v>30382.326560414487</v>
      </c>
      <c r="W163" s="186">
        <f>+[1]Admin!Y$4*$AD163</f>
        <v>30382.326560414487</v>
      </c>
      <c r="X163" s="186">
        <f>+[1]Admin!Z$4*$AD163</f>
        <v>30382.326560414487</v>
      </c>
      <c r="Y163" s="186">
        <f>+[1]Admin!AA$4*$AD163</f>
        <v>30382.326560414487</v>
      </c>
      <c r="Z163" s="186">
        <f>+[1]Admin!AB$4*$AD163</f>
        <v>30382.326560414487</v>
      </c>
      <c r="AA163" s="184" t="s">
        <v>124</v>
      </c>
      <c r="AB163" s="184" t="s">
        <v>133</v>
      </c>
      <c r="AC163" s="184" t="str">
        <f t="shared" si="52"/>
        <v/>
      </c>
      <c r="AD163" s="188">
        <v>5.6263567704471273E-2</v>
      </c>
      <c r="AE163" s="184" t="str">
        <f t="shared" si="53"/>
        <v>110-7520</v>
      </c>
    </row>
    <row r="164" spans="1:31" x14ac:dyDescent="0.2">
      <c r="A164" s="184">
        <v>110</v>
      </c>
      <c r="B164" s="185">
        <v>3248</v>
      </c>
      <c r="C164" s="186"/>
      <c r="D164" s="186"/>
      <c r="E164" s="186"/>
      <c r="F164" s="186"/>
      <c r="G164" s="186"/>
      <c r="H164" s="186"/>
      <c r="I164" s="186"/>
      <c r="J164" s="186"/>
      <c r="K164" s="186"/>
      <c r="L164" s="186"/>
      <c r="M164" s="186"/>
      <c r="N164" s="186"/>
      <c r="O164" s="186"/>
      <c r="P164" s="186"/>
      <c r="Q164" s="186"/>
      <c r="R164" s="186"/>
      <c r="S164" s="186"/>
      <c r="T164" s="186">
        <v>-51104.323308270679</v>
      </c>
      <c r="U164" s="186"/>
      <c r="V164" s="186"/>
      <c r="W164" s="186">
        <v>-51104.323308270679</v>
      </c>
      <c r="X164" s="186"/>
      <c r="Y164" s="186"/>
      <c r="Z164" s="186">
        <v>-51104.323308270679</v>
      </c>
      <c r="AA164" s="186" t="s">
        <v>134</v>
      </c>
      <c r="AB164" s="184" t="s">
        <v>70</v>
      </c>
      <c r="AC164" s="184" t="str">
        <f t="shared" si="52"/>
        <v/>
      </c>
      <c r="AD164" s="188"/>
      <c r="AE164" s="184" t="str">
        <f t="shared" si="53"/>
        <v>110-3248</v>
      </c>
    </row>
    <row r="165" spans="1:31" x14ac:dyDescent="0.2">
      <c r="A165" s="184">
        <v>210</v>
      </c>
      <c r="B165" s="185">
        <v>3248</v>
      </c>
      <c r="C165" s="186"/>
      <c r="D165" s="186"/>
      <c r="E165" s="186"/>
      <c r="F165" s="186"/>
      <c r="G165" s="186"/>
      <c r="H165" s="186"/>
      <c r="I165" s="186"/>
      <c r="J165" s="186"/>
      <c r="K165" s="186"/>
      <c r="L165" s="186"/>
      <c r="M165" s="186"/>
      <c r="N165" s="186"/>
      <c r="O165" s="186"/>
      <c r="P165" s="186"/>
      <c r="Q165" s="186"/>
      <c r="R165" s="186"/>
      <c r="S165" s="186"/>
      <c r="T165" s="186">
        <v>-42645.676691729321</v>
      </c>
      <c r="U165" s="186"/>
      <c r="V165" s="186"/>
      <c r="W165" s="186">
        <v>-42645.676691729321</v>
      </c>
      <c r="X165" s="186"/>
      <c r="Y165" s="186"/>
      <c r="Z165" s="186">
        <v>-42645.676691729321</v>
      </c>
      <c r="AA165" s="186" t="s">
        <v>134</v>
      </c>
      <c r="AB165" s="184" t="s">
        <v>70</v>
      </c>
      <c r="AC165" s="184" t="str">
        <f t="shared" si="52"/>
        <v/>
      </c>
      <c r="AD165" s="188"/>
      <c r="AE165" s="184" t="str">
        <f t="shared" si="53"/>
        <v>210-3248</v>
      </c>
    </row>
    <row r="166" spans="1:31" x14ac:dyDescent="0.2">
      <c r="A166" s="184">
        <v>120</v>
      </c>
      <c r="B166" s="185">
        <v>3248</v>
      </c>
      <c r="C166" s="186"/>
      <c r="D166" s="186"/>
      <c r="E166" s="186"/>
      <c r="F166" s="186"/>
      <c r="G166" s="186"/>
      <c r="H166" s="186"/>
      <c r="I166" s="186"/>
      <c r="J166" s="186"/>
      <c r="K166" s="186"/>
      <c r="L166" s="186"/>
      <c r="M166" s="186"/>
      <c r="N166" s="186"/>
      <c r="O166" s="186"/>
      <c r="P166" s="186"/>
      <c r="Q166" s="186"/>
      <c r="R166" s="186"/>
      <c r="S166" s="186"/>
      <c r="T166" s="186">
        <v>-62077.702702702707</v>
      </c>
      <c r="U166" s="186"/>
      <c r="V166" s="186"/>
      <c r="W166" s="186">
        <v>-62077.702702702707</v>
      </c>
      <c r="X166" s="186"/>
      <c r="Y166" s="186"/>
      <c r="Z166" s="186">
        <v>-62077.702702702707</v>
      </c>
      <c r="AA166" s="186" t="s">
        <v>134</v>
      </c>
      <c r="AB166" s="184" t="s">
        <v>79</v>
      </c>
      <c r="AC166" s="184" t="str">
        <f t="shared" si="52"/>
        <v/>
      </c>
      <c r="AD166" s="188"/>
      <c r="AE166" s="184" t="str">
        <f t="shared" si="53"/>
        <v>120-3248</v>
      </c>
    </row>
    <row r="167" spans="1:31" x14ac:dyDescent="0.2">
      <c r="A167" s="184">
        <v>220</v>
      </c>
      <c r="B167" s="185">
        <v>3248</v>
      </c>
      <c r="C167" s="186"/>
      <c r="D167" s="186"/>
      <c r="E167" s="186"/>
      <c r="F167" s="186"/>
      <c r="G167" s="186"/>
      <c r="H167" s="186"/>
      <c r="I167" s="186"/>
      <c r="J167" s="186"/>
      <c r="K167" s="186"/>
      <c r="L167" s="186"/>
      <c r="M167" s="186"/>
      <c r="N167" s="186"/>
      <c r="O167" s="186"/>
      <c r="P167" s="186"/>
      <c r="Q167" s="186"/>
      <c r="R167" s="186"/>
      <c r="S167" s="186"/>
      <c r="T167" s="186">
        <v>-31672.297297297297</v>
      </c>
      <c r="U167" s="186"/>
      <c r="V167" s="186"/>
      <c r="W167" s="186">
        <v>-31672.297297297297</v>
      </c>
      <c r="X167" s="186"/>
      <c r="Y167" s="186"/>
      <c r="Z167" s="186">
        <v>-31672.297297297297</v>
      </c>
      <c r="AA167" s="186" t="s">
        <v>134</v>
      </c>
      <c r="AB167" s="184" t="s">
        <v>79</v>
      </c>
      <c r="AC167" s="184" t="str">
        <f t="shared" si="52"/>
        <v/>
      </c>
      <c r="AD167" s="188"/>
      <c r="AE167" s="184" t="str">
        <f t="shared" si="53"/>
        <v>220-3248</v>
      </c>
    </row>
    <row r="168" spans="1:31" x14ac:dyDescent="0.2">
      <c r="A168" s="184">
        <v>160</v>
      </c>
      <c r="B168" s="185">
        <v>3248</v>
      </c>
      <c r="C168" s="186"/>
      <c r="D168" s="186"/>
      <c r="E168" s="186"/>
      <c r="F168" s="186"/>
      <c r="G168" s="186"/>
      <c r="H168" s="186"/>
      <c r="I168" s="186"/>
      <c r="J168" s="186"/>
      <c r="K168" s="186"/>
      <c r="L168" s="186"/>
      <c r="M168" s="186"/>
      <c r="N168" s="186"/>
      <c r="O168" s="186"/>
      <c r="P168" s="186"/>
      <c r="Q168" s="186"/>
      <c r="R168" s="186"/>
      <c r="S168" s="186"/>
      <c r="T168" s="186">
        <v>-56250</v>
      </c>
      <c r="U168" s="186"/>
      <c r="V168" s="186"/>
      <c r="W168" s="186">
        <v>-56250</v>
      </c>
      <c r="X168" s="186"/>
      <c r="Y168" s="186"/>
      <c r="Z168" s="186">
        <v>-56250</v>
      </c>
      <c r="AA168" s="186" t="s">
        <v>134</v>
      </c>
      <c r="AB168" s="184" t="s">
        <v>16</v>
      </c>
      <c r="AC168" s="184" t="str">
        <f t="shared" si="52"/>
        <v/>
      </c>
      <c r="AD168" s="188"/>
      <c r="AE168" s="184" t="str">
        <f t="shared" si="53"/>
        <v>160-3248</v>
      </c>
    </row>
    <row r="169" spans="1:31" x14ac:dyDescent="0.2">
      <c r="A169" s="184">
        <v>260</v>
      </c>
      <c r="B169" s="185">
        <v>3248</v>
      </c>
      <c r="C169" s="186"/>
      <c r="D169" s="186"/>
      <c r="E169" s="186"/>
      <c r="F169" s="186"/>
      <c r="G169" s="186"/>
      <c r="H169" s="186"/>
      <c r="I169" s="186"/>
      <c r="J169" s="186"/>
      <c r="K169" s="186"/>
      <c r="L169" s="186"/>
      <c r="M169" s="186"/>
      <c r="N169" s="186"/>
      <c r="O169" s="186"/>
      <c r="P169" s="186"/>
      <c r="Q169" s="186"/>
      <c r="R169" s="186"/>
      <c r="S169" s="186"/>
      <c r="T169" s="186">
        <v>-37500</v>
      </c>
      <c r="U169" s="186"/>
      <c r="V169" s="186"/>
      <c r="W169" s="186">
        <v>-37500</v>
      </c>
      <c r="X169" s="186"/>
      <c r="Y169" s="186"/>
      <c r="Z169" s="186">
        <v>-37500</v>
      </c>
      <c r="AA169" s="186" t="s">
        <v>134</v>
      </c>
      <c r="AB169" s="184" t="s">
        <v>16</v>
      </c>
      <c r="AC169" s="184" t="str">
        <f t="shared" si="52"/>
        <v/>
      </c>
      <c r="AD169" s="188"/>
      <c r="AE169" s="184" t="str">
        <f t="shared" si="53"/>
        <v>260-3248</v>
      </c>
    </row>
    <row r="170" spans="1:31" x14ac:dyDescent="0.2">
      <c r="A170" s="184">
        <v>130</v>
      </c>
      <c r="B170" s="185">
        <v>3248</v>
      </c>
      <c r="C170" s="186"/>
      <c r="D170" s="186"/>
      <c r="E170" s="186"/>
      <c r="F170" s="186"/>
      <c r="G170" s="186"/>
      <c r="H170" s="186"/>
      <c r="I170" s="186"/>
      <c r="J170" s="186"/>
      <c r="K170" s="186"/>
      <c r="L170" s="186"/>
      <c r="M170" s="186"/>
      <c r="N170" s="186"/>
      <c r="O170" s="186"/>
      <c r="P170" s="186"/>
      <c r="Q170" s="186"/>
      <c r="R170" s="186"/>
      <c r="S170" s="186"/>
      <c r="T170" s="186">
        <v>-18750</v>
      </c>
      <c r="U170" s="186"/>
      <c r="V170" s="186"/>
      <c r="W170" s="186">
        <v>-18750</v>
      </c>
      <c r="X170" s="186"/>
      <c r="Y170" s="186"/>
      <c r="Z170" s="186">
        <v>-18750</v>
      </c>
      <c r="AA170" s="186" t="s">
        <v>134</v>
      </c>
      <c r="AB170" s="184" t="s">
        <v>98</v>
      </c>
      <c r="AC170" s="184" t="str">
        <f t="shared" si="52"/>
        <v/>
      </c>
      <c r="AD170" s="188"/>
      <c r="AE170" s="184" t="str">
        <f t="shared" si="53"/>
        <v>130-3248</v>
      </c>
    </row>
    <row r="171" spans="1:31" x14ac:dyDescent="0.2">
      <c r="A171" s="184">
        <v>230</v>
      </c>
      <c r="B171" s="185">
        <v>3248</v>
      </c>
      <c r="C171" s="186"/>
      <c r="D171" s="186"/>
      <c r="E171" s="186"/>
      <c r="F171" s="186"/>
      <c r="G171" s="186"/>
      <c r="H171" s="186"/>
      <c r="I171" s="186"/>
      <c r="J171" s="186"/>
      <c r="K171" s="186"/>
      <c r="L171" s="186"/>
      <c r="M171" s="186"/>
      <c r="N171" s="186"/>
      <c r="O171" s="186"/>
      <c r="P171" s="186"/>
      <c r="Q171" s="186"/>
      <c r="R171" s="186"/>
      <c r="S171" s="186"/>
      <c r="T171" s="186">
        <v>-9375</v>
      </c>
      <c r="U171" s="186"/>
      <c r="V171" s="186"/>
      <c r="W171" s="186">
        <v>-9375</v>
      </c>
      <c r="X171" s="186"/>
      <c r="Y171" s="186"/>
      <c r="Z171" s="186">
        <v>-9375</v>
      </c>
      <c r="AA171" s="186" t="s">
        <v>134</v>
      </c>
      <c r="AB171" s="184" t="s">
        <v>98</v>
      </c>
      <c r="AC171" s="184" t="str">
        <f t="shared" si="52"/>
        <v/>
      </c>
      <c r="AD171" s="188"/>
      <c r="AE171" s="184" t="str">
        <f t="shared" si="53"/>
        <v>230-3248</v>
      </c>
    </row>
    <row r="172" spans="1:31" x14ac:dyDescent="0.2">
      <c r="A172" s="184">
        <v>330</v>
      </c>
      <c r="B172" s="185">
        <v>3248</v>
      </c>
      <c r="C172" s="186"/>
      <c r="D172" s="186"/>
      <c r="E172" s="186"/>
      <c r="F172" s="186"/>
      <c r="G172" s="186"/>
      <c r="H172" s="186"/>
      <c r="I172" s="186"/>
      <c r="J172" s="186"/>
      <c r="K172" s="186"/>
      <c r="L172" s="186"/>
      <c r="M172" s="186"/>
      <c r="N172" s="186"/>
      <c r="O172" s="186"/>
      <c r="P172" s="186"/>
      <c r="Q172" s="186"/>
      <c r="R172" s="186"/>
      <c r="S172" s="186"/>
      <c r="T172" s="186">
        <v>-9375</v>
      </c>
      <c r="U172" s="186"/>
      <c r="V172" s="186"/>
      <c r="W172" s="186">
        <v>-9375</v>
      </c>
      <c r="X172" s="186"/>
      <c r="Y172" s="186"/>
      <c r="Z172" s="186">
        <v>-9375</v>
      </c>
      <c r="AA172" s="186" t="s">
        <v>134</v>
      </c>
      <c r="AB172" s="184" t="s">
        <v>98</v>
      </c>
      <c r="AD172" s="188"/>
      <c r="AE172" s="184" t="str">
        <f t="shared" si="53"/>
        <v>330-3248</v>
      </c>
    </row>
    <row r="173" spans="1:31" x14ac:dyDescent="0.2">
      <c r="A173" s="184">
        <v>430</v>
      </c>
      <c r="B173" s="185">
        <v>3248</v>
      </c>
      <c r="C173" s="186"/>
      <c r="D173" s="186"/>
      <c r="E173" s="186"/>
      <c r="F173" s="186"/>
      <c r="G173" s="186"/>
      <c r="H173" s="186"/>
      <c r="I173" s="186"/>
      <c r="J173" s="186"/>
      <c r="K173" s="186"/>
      <c r="L173" s="186"/>
      <c r="M173" s="186"/>
      <c r="N173" s="186"/>
      <c r="O173" s="186"/>
      <c r="P173" s="186"/>
      <c r="Q173" s="186"/>
      <c r="R173" s="186"/>
      <c r="S173" s="186"/>
      <c r="T173" s="186">
        <v>-9375</v>
      </c>
      <c r="U173" s="186"/>
      <c r="V173" s="186"/>
      <c r="W173" s="186">
        <v>-9375</v>
      </c>
      <c r="X173" s="186"/>
      <c r="Y173" s="186"/>
      <c r="Z173" s="186">
        <v>-9375</v>
      </c>
      <c r="AA173" s="186" t="s">
        <v>134</v>
      </c>
      <c r="AB173" s="184" t="s">
        <v>98</v>
      </c>
      <c r="AE173" s="184" t="str">
        <f t="shared" si="53"/>
        <v>430-3248</v>
      </c>
    </row>
    <row r="174" spans="1:31" x14ac:dyDescent="0.2">
      <c r="A174" s="184">
        <v>140</v>
      </c>
      <c r="B174" s="185">
        <v>3248</v>
      </c>
      <c r="C174" s="186"/>
      <c r="D174" s="186"/>
      <c r="E174" s="186"/>
      <c r="F174" s="186"/>
      <c r="G174" s="186"/>
      <c r="H174" s="186"/>
      <c r="I174" s="186"/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>
        <v>-37500</v>
      </c>
      <c r="U174" s="186"/>
      <c r="V174" s="186"/>
      <c r="W174" s="186">
        <v>-37500</v>
      </c>
      <c r="X174" s="186"/>
      <c r="Y174" s="186"/>
      <c r="Z174" s="186">
        <v>-37500</v>
      </c>
      <c r="AA174" s="186" t="s">
        <v>134</v>
      </c>
      <c r="AB174" s="184" t="s">
        <v>111</v>
      </c>
      <c r="AE174" s="184" t="str">
        <f t="shared" si="53"/>
        <v>140-3248</v>
      </c>
    </row>
    <row r="175" spans="1:31" x14ac:dyDescent="0.2">
      <c r="A175" s="184">
        <v>240</v>
      </c>
      <c r="B175" s="185">
        <v>3248</v>
      </c>
      <c r="C175" s="186"/>
      <c r="D175" s="186"/>
      <c r="E175" s="186"/>
      <c r="F175" s="186"/>
      <c r="G175" s="186"/>
      <c r="H175" s="186"/>
      <c r="I175" s="186"/>
      <c r="J175" s="186"/>
      <c r="K175" s="186"/>
      <c r="L175" s="186"/>
      <c r="M175" s="186"/>
      <c r="N175" s="186"/>
      <c r="O175" s="186"/>
      <c r="P175" s="186"/>
      <c r="Q175" s="186"/>
      <c r="R175" s="186"/>
      <c r="S175" s="186"/>
      <c r="T175" s="186">
        <v>-18750</v>
      </c>
      <c r="U175" s="186"/>
      <c r="V175" s="186"/>
      <c r="W175" s="186">
        <v>-18750</v>
      </c>
      <c r="X175" s="186"/>
      <c r="Y175" s="186"/>
      <c r="Z175" s="186">
        <v>-18750</v>
      </c>
      <c r="AA175" s="186" t="s">
        <v>134</v>
      </c>
      <c r="AB175" s="184" t="s">
        <v>111</v>
      </c>
      <c r="AE175" s="184" t="str">
        <f t="shared" si="53"/>
        <v>240-3248</v>
      </c>
    </row>
    <row r="176" spans="1:31" x14ac:dyDescent="0.2">
      <c r="A176" s="184">
        <v>340</v>
      </c>
      <c r="B176" s="185">
        <v>3248</v>
      </c>
      <c r="C176" s="186"/>
      <c r="D176" s="186"/>
      <c r="E176" s="186"/>
      <c r="F176" s="186"/>
      <c r="G176" s="186"/>
      <c r="H176" s="186"/>
      <c r="I176" s="186"/>
      <c r="J176" s="186"/>
      <c r="K176" s="186"/>
      <c r="L176" s="186"/>
      <c r="M176" s="186"/>
      <c r="N176" s="186"/>
      <c r="O176" s="186"/>
      <c r="P176" s="186"/>
      <c r="Q176" s="186"/>
      <c r="R176" s="186"/>
      <c r="S176" s="186"/>
      <c r="T176" s="186">
        <v>-18750</v>
      </c>
      <c r="U176" s="186"/>
      <c r="V176" s="186"/>
      <c r="W176" s="186">
        <v>-18750</v>
      </c>
      <c r="X176" s="186"/>
      <c r="Y176" s="186"/>
      <c r="Z176" s="186">
        <v>-18750</v>
      </c>
      <c r="AA176" s="186" t="s">
        <v>134</v>
      </c>
      <c r="AB176" s="184" t="s">
        <v>111</v>
      </c>
      <c r="AE176" s="184" t="str">
        <f t="shared" si="53"/>
        <v>340-3248</v>
      </c>
    </row>
    <row r="177" spans="1:31" x14ac:dyDescent="0.2">
      <c r="A177" s="184">
        <v>440</v>
      </c>
      <c r="B177" s="185">
        <v>3248</v>
      </c>
      <c r="C177" s="186"/>
      <c r="D177" s="186"/>
      <c r="E177" s="186"/>
      <c r="F177" s="186"/>
      <c r="G177" s="186"/>
      <c r="H177" s="186"/>
      <c r="I177" s="186"/>
      <c r="J177" s="186"/>
      <c r="K177" s="186"/>
      <c r="L177" s="186"/>
      <c r="M177" s="186"/>
      <c r="N177" s="186"/>
      <c r="O177" s="186"/>
      <c r="P177" s="186"/>
      <c r="Q177" s="186"/>
      <c r="R177" s="186"/>
      <c r="S177" s="186"/>
      <c r="T177" s="186">
        <v>-18750</v>
      </c>
      <c r="U177" s="186"/>
      <c r="V177" s="186"/>
      <c r="W177" s="186">
        <v>-18750</v>
      </c>
      <c r="X177" s="186"/>
      <c r="Y177" s="186"/>
      <c r="Z177" s="186">
        <v>-18750</v>
      </c>
      <c r="AA177" s="186" t="s">
        <v>134</v>
      </c>
      <c r="AB177" s="184" t="s">
        <v>111</v>
      </c>
      <c r="AE177" s="184" t="str">
        <f t="shared" si="53"/>
        <v>440-3248</v>
      </c>
    </row>
    <row r="178" spans="1:31" x14ac:dyDescent="0.2">
      <c r="A178" s="184">
        <v>190</v>
      </c>
      <c r="B178" s="187">
        <v>3150</v>
      </c>
      <c r="C178" s="186"/>
      <c r="D178" s="186"/>
      <c r="E178" s="186"/>
      <c r="F178" s="186"/>
      <c r="G178" s="186"/>
      <c r="H178" s="186"/>
      <c r="I178" s="186"/>
      <c r="J178" s="186"/>
      <c r="K178" s="186"/>
      <c r="L178" s="186"/>
      <c r="M178" s="186"/>
      <c r="N178" s="186"/>
      <c r="O178" s="186"/>
      <c r="P178" s="186"/>
      <c r="Q178" s="186"/>
      <c r="R178" s="186"/>
      <c r="S178" s="186"/>
      <c r="T178" s="186">
        <v>-46875</v>
      </c>
      <c r="U178" s="186"/>
      <c r="V178" s="186"/>
      <c r="W178" s="186">
        <v>-46875</v>
      </c>
      <c r="X178" s="186"/>
      <c r="Y178" s="186"/>
      <c r="Z178" s="186">
        <v>-46875</v>
      </c>
      <c r="AA178" s="186" t="s">
        <v>134</v>
      </c>
      <c r="AB178" s="184" t="s">
        <v>135</v>
      </c>
      <c r="AE178" s="184" t="str">
        <f t="shared" si="53"/>
        <v>190-3150</v>
      </c>
    </row>
    <row r="179" spans="1:31" x14ac:dyDescent="0.2">
      <c r="A179" s="184">
        <v>112</v>
      </c>
      <c r="B179" s="185" t="s">
        <v>69</v>
      </c>
      <c r="C179" s="186"/>
      <c r="D179" s="186"/>
      <c r="E179" s="186"/>
      <c r="F179" s="186"/>
      <c r="G179" s="186"/>
      <c r="H179" s="186"/>
      <c r="I179" s="186"/>
      <c r="J179" s="186"/>
      <c r="K179" s="186"/>
      <c r="L179" s="186"/>
      <c r="M179" s="186"/>
      <c r="N179" s="186"/>
      <c r="O179" s="186">
        <f>'[3]LEX - New Vehicles'!E4</f>
        <v>29</v>
      </c>
      <c r="P179" s="186">
        <f>'[3]LEX - New Vehicles'!F4</f>
        <v>30</v>
      </c>
      <c r="Q179" s="186">
        <f>'[3]LEX - New Vehicles'!G4</f>
        <v>31</v>
      </c>
      <c r="R179" s="186">
        <f>'[3]LEX - New Vehicles'!H4</f>
        <v>31</v>
      </c>
      <c r="S179" s="186">
        <f>'[3]LEX - New Vehicles'!I4</f>
        <v>34</v>
      </c>
      <c r="T179" s="186">
        <f>'[3]LEX - New Vehicles'!J4</f>
        <v>28</v>
      </c>
      <c r="U179" s="186">
        <f>'[3]LEX - New Vehicles'!K4</f>
        <v>29</v>
      </c>
      <c r="V179" s="186">
        <f>'[3]LEX - New Vehicles'!L4</f>
        <v>29</v>
      </c>
      <c r="W179" s="186">
        <f>'[3]LEX - New Vehicles'!M4</f>
        <v>29</v>
      </c>
      <c r="X179" s="186">
        <f>'[3]LEX - New Vehicles'!N4</f>
        <v>29</v>
      </c>
      <c r="Y179" s="186">
        <f>'[3]LEX - New Vehicles'!O4</f>
        <v>29</v>
      </c>
      <c r="Z179" s="186">
        <f>'[3]LEX - New Vehicles'!P4</f>
        <v>29</v>
      </c>
      <c r="AA179" s="184" t="s">
        <v>136</v>
      </c>
      <c r="AB179" s="184" t="s">
        <v>137</v>
      </c>
      <c r="AE179" s="184" t="str">
        <f t="shared" si="53"/>
        <v>112-6142#</v>
      </c>
    </row>
    <row r="180" spans="1:31" x14ac:dyDescent="0.2">
      <c r="A180" s="184">
        <v>112</v>
      </c>
      <c r="B180" s="185" t="s">
        <v>72</v>
      </c>
      <c r="C180" s="186"/>
      <c r="D180" s="186"/>
      <c r="E180" s="186"/>
      <c r="F180" s="186"/>
      <c r="G180" s="186"/>
      <c r="H180" s="186"/>
      <c r="I180" s="186"/>
      <c r="J180" s="186"/>
      <c r="K180" s="186"/>
      <c r="L180" s="186"/>
      <c r="M180" s="186"/>
      <c r="N180" s="186"/>
      <c r="O180" s="186">
        <f>'[3]LEX - New Vehicles'!E5</f>
        <v>3</v>
      </c>
      <c r="P180" s="186">
        <f>'[3]LEX - New Vehicles'!F5</f>
        <v>3</v>
      </c>
      <c r="Q180" s="186">
        <f>'[3]LEX - New Vehicles'!G5</f>
        <v>3</v>
      </c>
      <c r="R180" s="186">
        <f>'[3]LEX - New Vehicles'!H5</f>
        <v>3</v>
      </c>
      <c r="S180" s="186">
        <f>'[3]LEX - New Vehicles'!I5</f>
        <v>3</v>
      </c>
      <c r="T180" s="186">
        <f>'[3]LEX - New Vehicles'!J5</f>
        <v>3</v>
      </c>
      <c r="U180" s="186">
        <f>'[3]LEX - New Vehicles'!K5</f>
        <v>3</v>
      </c>
      <c r="V180" s="186">
        <f>'[3]LEX - New Vehicles'!L5</f>
        <v>3</v>
      </c>
      <c r="W180" s="186">
        <f>'[3]LEX - New Vehicles'!M5</f>
        <v>3</v>
      </c>
      <c r="X180" s="186">
        <f>'[3]LEX - New Vehicles'!N5</f>
        <v>3</v>
      </c>
      <c r="Y180" s="186">
        <f>'[3]LEX - New Vehicles'!O5</f>
        <v>3</v>
      </c>
      <c r="Z180" s="186">
        <f>'[3]LEX - New Vehicles'!P5</f>
        <v>3</v>
      </c>
      <c r="AA180" s="184" t="s">
        <v>136</v>
      </c>
      <c r="AB180" s="184" t="s">
        <v>73</v>
      </c>
      <c r="AE180" s="184" t="str">
        <f t="shared" si="53"/>
        <v>112-9285M#</v>
      </c>
    </row>
    <row r="181" spans="1:31" x14ac:dyDescent="0.2">
      <c r="A181" s="184">
        <v>112</v>
      </c>
      <c r="B181" s="185" t="s">
        <v>138</v>
      </c>
      <c r="C181" s="186"/>
      <c r="D181" s="186"/>
      <c r="E181" s="186"/>
      <c r="F181" s="186"/>
      <c r="G181" s="186"/>
      <c r="H181" s="186"/>
      <c r="I181" s="186"/>
      <c r="J181" s="186"/>
      <c r="K181" s="186"/>
      <c r="L181" s="186"/>
      <c r="M181" s="186"/>
      <c r="N181" s="186"/>
      <c r="O181" s="186">
        <f>-'[3]LEX - New Vehicles'!E8*'[3]LEX - New Vehicles'!E4</f>
        <v>-290000</v>
      </c>
      <c r="P181" s="186">
        <f>-'[3]LEX - New Vehicles'!F8*'[3]LEX - New Vehicles'!F4</f>
        <v>-300000</v>
      </c>
      <c r="Q181" s="186">
        <f>-'[3]LEX - New Vehicles'!G8*'[3]LEX - New Vehicles'!G4</f>
        <v>-310000</v>
      </c>
      <c r="R181" s="186">
        <f>-'[3]LEX - New Vehicles'!H8*'[3]LEX - New Vehicles'!H4</f>
        <v>-310000</v>
      </c>
      <c r="S181" s="186">
        <f>-'[3]LEX - New Vehicles'!I8*'[3]LEX - New Vehicles'!I4</f>
        <v>-340000</v>
      </c>
      <c r="T181" s="186">
        <f>-'[3]LEX - New Vehicles'!J8*'[3]LEX - New Vehicles'!J4</f>
        <v>-280000</v>
      </c>
      <c r="U181" s="186">
        <f>-'[3]LEX - New Vehicles'!K8*'[3]LEX - New Vehicles'!K4</f>
        <v>-290000</v>
      </c>
      <c r="V181" s="186">
        <f>-'[3]LEX - New Vehicles'!L8*'[3]LEX - New Vehicles'!L4</f>
        <v>-290000</v>
      </c>
      <c r="W181" s="186">
        <f>-'[3]LEX - New Vehicles'!M8*'[3]LEX - New Vehicles'!M4</f>
        <v>-290000</v>
      </c>
      <c r="X181" s="186">
        <f>-'[3]LEX - New Vehicles'!N8*'[3]LEX - New Vehicles'!N4</f>
        <v>-290000</v>
      </c>
      <c r="Y181" s="186">
        <f>-'[3]LEX - New Vehicles'!O8*'[3]LEX - New Vehicles'!O4</f>
        <v>-290000</v>
      </c>
      <c r="Z181" s="186">
        <f>-'[3]LEX - New Vehicles'!P8*'[3]LEX - New Vehicles'!P4</f>
        <v>-290000</v>
      </c>
      <c r="AA181" s="184" t="s">
        <v>136</v>
      </c>
      <c r="AB181" s="184" t="s">
        <v>139</v>
      </c>
      <c r="AE181" s="184" t="str">
        <f t="shared" si="53"/>
        <v>112-3050R</v>
      </c>
    </row>
    <row r="182" spans="1:31" x14ac:dyDescent="0.2">
      <c r="A182" s="184">
        <v>112</v>
      </c>
      <c r="B182" s="185">
        <v>7020</v>
      </c>
      <c r="C182" s="186"/>
      <c r="D182" s="186"/>
      <c r="E182" s="186"/>
      <c r="F182" s="186"/>
      <c r="G182" s="186"/>
      <c r="H182" s="186"/>
      <c r="I182" s="186"/>
      <c r="J182" s="186"/>
      <c r="K182" s="186"/>
      <c r="L182" s="186"/>
      <c r="M182" s="186"/>
      <c r="N182" s="186"/>
      <c r="O182" s="186">
        <f>'[3]LEX - New Vehicles'!E9*O179</f>
        <v>43500</v>
      </c>
      <c r="P182" s="186">
        <f>'[3]LEX - New Vehicles'!F9*P179</f>
        <v>45000</v>
      </c>
      <c r="Q182" s="186">
        <f>'[3]LEX - New Vehicles'!G9*Q179</f>
        <v>46500</v>
      </c>
      <c r="R182" s="186">
        <f>'[3]LEX - New Vehicles'!H9*R179</f>
        <v>46500</v>
      </c>
      <c r="S182" s="186">
        <f>'[3]LEX - New Vehicles'!I9*S179</f>
        <v>51000</v>
      </c>
      <c r="T182" s="186">
        <f>'[3]LEX - New Vehicles'!J9*T179</f>
        <v>42000</v>
      </c>
      <c r="U182" s="186">
        <f>'[3]LEX - New Vehicles'!K9*U179</f>
        <v>43500</v>
      </c>
      <c r="V182" s="186">
        <f>'[3]LEX - New Vehicles'!L9*V179</f>
        <v>43500</v>
      </c>
      <c r="W182" s="186">
        <f>'[3]LEX - New Vehicles'!M9*W179</f>
        <v>43500</v>
      </c>
      <c r="X182" s="186">
        <f>'[3]LEX - New Vehicles'!N9*X179</f>
        <v>43500</v>
      </c>
      <c r="Y182" s="186">
        <f>'[3]LEX - New Vehicles'!O9*Y179</f>
        <v>43500</v>
      </c>
      <c r="Z182" s="186">
        <f>'[3]LEX - New Vehicles'!P9*Z179</f>
        <v>43500</v>
      </c>
      <c r="AA182" s="184" t="s">
        <v>136</v>
      </c>
      <c r="AB182" s="184" t="s">
        <v>75</v>
      </c>
      <c r="AE182" s="184" t="str">
        <f t="shared" si="53"/>
        <v>112-7020</v>
      </c>
    </row>
    <row r="183" spans="1:31" x14ac:dyDescent="0.2">
      <c r="A183" s="184">
        <v>112</v>
      </c>
      <c r="B183" s="187">
        <v>7080</v>
      </c>
      <c r="C183" s="186"/>
      <c r="D183" s="186"/>
      <c r="E183" s="186"/>
      <c r="F183" s="186"/>
      <c r="G183" s="186"/>
      <c r="H183" s="186"/>
      <c r="I183" s="186"/>
      <c r="J183" s="186"/>
      <c r="K183" s="186"/>
      <c r="L183" s="186"/>
      <c r="M183" s="186"/>
      <c r="N183" s="186"/>
      <c r="O183" s="186">
        <f>'[3]LEX - New Vehicles'!E10*O179</f>
        <v>145000</v>
      </c>
      <c r="P183" s="186">
        <f>'[3]LEX - New Vehicles'!F10*P179</f>
        <v>150000</v>
      </c>
      <c r="Q183" s="186">
        <f>'[3]LEX - New Vehicles'!G10*Q179</f>
        <v>155000</v>
      </c>
      <c r="R183" s="186">
        <f>'[3]LEX - New Vehicles'!H10*R179</f>
        <v>155000</v>
      </c>
      <c r="S183" s="186">
        <f>'[3]LEX - New Vehicles'!I10*S179</f>
        <v>170000</v>
      </c>
      <c r="T183" s="186">
        <f>'[3]LEX - New Vehicles'!J10*T179</f>
        <v>140000</v>
      </c>
      <c r="U183" s="186">
        <f>'[3]LEX - New Vehicles'!K10*U179</f>
        <v>145000</v>
      </c>
      <c r="V183" s="186">
        <f>'[3]LEX - New Vehicles'!L10*V179</f>
        <v>145000</v>
      </c>
      <c r="W183" s="186">
        <f>'[3]LEX - New Vehicles'!M10*W179</f>
        <v>145000</v>
      </c>
      <c r="X183" s="186">
        <f>'[3]LEX - New Vehicles'!N10*X179</f>
        <v>145000</v>
      </c>
      <c r="Y183" s="186">
        <f>'[3]LEX - New Vehicles'!O10*Y179</f>
        <v>145000</v>
      </c>
      <c r="Z183" s="186">
        <f>'[3]LEX - New Vehicles'!P10*Z179</f>
        <v>145000</v>
      </c>
      <c r="AA183" s="184" t="s">
        <v>136</v>
      </c>
      <c r="AB183" s="184" t="s">
        <v>76</v>
      </c>
      <c r="AE183" s="184" t="str">
        <f t="shared" si="53"/>
        <v>112-7080</v>
      </c>
    </row>
    <row r="184" spans="1:31" x14ac:dyDescent="0.2">
      <c r="A184" s="184">
        <v>112</v>
      </c>
      <c r="B184" s="187">
        <v>3248</v>
      </c>
      <c r="C184" s="186"/>
      <c r="D184" s="186"/>
      <c r="E184" s="186"/>
      <c r="F184" s="186"/>
      <c r="G184" s="186"/>
      <c r="H184" s="186"/>
      <c r="I184" s="186"/>
      <c r="J184" s="186"/>
      <c r="K184" s="186"/>
      <c r="L184" s="186"/>
      <c r="M184" s="186"/>
      <c r="N184" s="186"/>
      <c r="O184" s="186"/>
      <c r="P184" s="186"/>
      <c r="Q184" s="186"/>
      <c r="R184" s="186"/>
      <c r="S184" s="186"/>
      <c r="T184" s="186"/>
      <c r="U184" s="186"/>
      <c r="V184" s="186"/>
      <c r="W184" s="186">
        <v>-52200</v>
      </c>
      <c r="X184" s="186"/>
      <c r="Y184" s="186"/>
      <c r="Z184" s="186">
        <v>-52200</v>
      </c>
      <c r="AA184" s="184" t="s">
        <v>140</v>
      </c>
      <c r="AB184" s="184" t="s">
        <v>70</v>
      </c>
      <c r="AE184" s="184" t="str">
        <f t="shared" si="53"/>
        <v>112-3248</v>
      </c>
    </row>
    <row r="185" spans="1:31" x14ac:dyDescent="0.2">
      <c r="A185" s="184">
        <v>122</v>
      </c>
      <c r="B185" s="187" t="s">
        <v>85</v>
      </c>
      <c r="C185" s="186"/>
      <c r="D185" s="186"/>
      <c r="E185" s="186"/>
      <c r="F185" s="186"/>
      <c r="G185" s="186"/>
      <c r="H185" s="186"/>
      <c r="I185" s="186"/>
      <c r="J185" s="186"/>
      <c r="K185" s="186"/>
      <c r="L185" s="186"/>
      <c r="M185" s="186"/>
      <c r="N185" s="186"/>
      <c r="O185" s="186">
        <f>'[3]LEX - Used Vehicles'!E6</f>
        <v>5</v>
      </c>
      <c r="P185" s="186">
        <f>'[3]LEX - Used Vehicles'!F6</f>
        <v>5</v>
      </c>
      <c r="Q185" s="186">
        <f>'[3]LEX - Used Vehicles'!G6</f>
        <v>5</v>
      </c>
      <c r="R185" s="186">
        <f>'[3]LEX - Used Vehicles'!H6</f>
        <v>5</v>
      </c>
      <c r="S185" s="186">
        <f>'[3]LEX - Used Vehicles'!I6</f>
        <v>5</v>
      </c>
      <c r="T185" s="186">
        <f>'[3]LEX - Used Vehicles'!J6</f>
        <v>5</v>
      </c>
      <c r="U185" s="186">
        <f>'[3]LEX - Used Vehicles'!K6</f>
        <v>5</v>
      </c>
      <c r="V185" s="186">
        <f>'[3]LEX - Used Vehicles'!L6</f>
        <v>5</v>
      </c>
      <c r="W185" s="186">
        <f>'[3]LEX - Used Vehicles'!M6</f>
        <v>5</v>
      </c>
      <c r="X185" s="186">
        <f>'[3]LEX - Used Vehicles'!N6</f>
        <v>5</v>
      </c>
      <c r="Y185" s="186">
        <f>'[3]LEX - Used Vehicles'!O6</f>
        <v>5</v>
      </c>
      <c r="Z185" s="186">
        <f>'[3]LEX - Used Vehicles'!P6</f>
        <v>5</v>
      </c>
      <c r="AA185" s="184" t="s">
        <v>141</v>
      </c>
      <c r="AB185" s="184" t="s">
        <v>86</v>
      </c>
      <c r="AE185" s="184" t="str">
        <f t="shared" si="53"/>
        <v>122-6209#</v>
      </c>
    </row>
    <row r="186" spans="1:31" x14ac:dyDescent="0.2">
      <c r="A186" s="184">
        <v>122</v>
      </c>
      <c r="B186" s="187">
        <v>3209</v>
      </c>
      <c r="C186" s="186"/>
      <c r="D186" s="186"/>
      <c r="E186" s="186"/>
      <c r="F186" s="186"/>
      <c r="G186" s="186"/>
      <c r="H186" s="186"/>
      <c r="I186" s="186"/>
      <c r="J186" s="186"/>
      <c r="K186" s="186"/>
      <c r="L186" s="186"/>
      <c r="M186" s="186"/>
      <c r="N186" s="186"/>
      <c r="O186" s="186">
        <f>-O185*45000</f>
        <v>-225000</v>
      </c>
      <c r="P186" s="186">
        <f t="shared" ref="P186:Z186" si="54">-P185*45000</f>
        <v>-225000</v>
      </c>
      <c r="Q186" s="186">
        <f t="shared" si="54"/>
        <v>-225000</v>
      </c>
      <c r="R186" s="186">
        <f t="shared" si="54"/>
        <v>-225000</v>
      </c>
      <c r="S186" s="186">
        <f t="shared" si="54"/>
        <v>-225000</v>
      </c>
      <c r="T186" s="186">
        <f t="shared" si="54"/>
        <v>-225000</v>
      </c>
      <c r="U186" s="186">
        <f t="shared" si="54"/>
        <v>-225000</v>
      </c>
      <c r="V186" s="186">
        <f t="shared" si="54"/>
        <v>-225000</v>
      </c>
      <c r="W186" s="186">
        <f t="shared" si="54"/>
        <v>-225000</v>
      </c>
      <c r="X186" s="186">
        <f t="shared" si="54"/>
        <v>-225000</v>
      </c>
      <c r="Y186" s="186">
        <f t="shared" si="54"/>
        <v>-225000</v>
      </c>
      <c r="Z186" s="186">
        <f t="shared" si="54"/>
        <v>-225000</v>
      </c>
      <c r="AA186" s="184" t="s">
        <v>141</v>
      </c>
      <c r="AB186" s="184" t="s">
        <v>93</v>
      </c>
      <c r="AE186" s="184" t="str">
        <f t="shared" si="53"/>
        <v>122-3209</v>
      </c>
    </row>
    <row r="187" spans="1:31" x14ac:dyDescent="0.2">
      <c r="A187" s="184">
        <v>122</v>
      </c>
      <c r="B187" s="187">
        <v>4209</v>
      </c>
      <c r="C187" s="186"/>
      <c r="D187" s="186"/>
      <c r="E187" s="186"/>
      <c r="F187" s="186"/>
      <c r="G187" s="186"/>
      <c r="H187" s="186"/>
      <c r="I187" s="186"/>
      <c r="J187" s="186"/>
      <c r="K187" s="186"/>
      <c r="L187" s="186"/>
      <c r="M187" s="186"/>
      <c r="N187" s="186"/>
      <c r="O187" s="186">
        <f>(45000-'[3]LEX - Used Vehicles'!E14)*O185</f>
        <v>197500</v>
      </c>
      <c r="P187" s="186">
        <f>(45000-'[3]LEX - Used Vehicles'!F14)*P185</f>
        <v>197500</v>
      </c>
      <c r="Q187" s="186">
        <f>(45000-'[3]LEX - Used Vehicles'!G14)*Q185</f>
        <v>197500</v>
      </c>
      <c r="R187" s="186">
        <f>(45000-'[3]LEX - Used Vehicles'!H14)*R185</f>
        <v>197500</v>
      </c>
      <c r="S187" s="186">
        <f>(45000-'[3]LEX - Used Vehicles'!I14)*S185</f>
        <v>197500</v>
      </c>
      <c r="T187" s="186">
        <f>(45000-'[3]LEX - Used Vehicles'!J14)*T185</f>
        <v>197500</v>
      </c>
      <c r="U187" s="186">
        <f>(45000-'[3]LEX - Used Vehicles'!K14)*U185</f>
        <v>197500</v>
      </c>
      <c r="V187" s="186">
        <f>(45000-'[3]LEX - Used Vehicles'!L14)*V185</f>
        <v>197500</v>
      </c>
      <c r="W187" s="186">
        <f>(45000-'[3]LEX - Used Vehicles'!M14)*W185</f>
        <v>197500</v>
      </c>
      <c r="X187" s="186">
        <f>(45000-'[3]LEX - Used Vehicles'!N14)*X185</f>
        <v>197500</v>
      </c>
      <c r="Y187" s="186">
        <f>(45000-'[3]LEX - Used Vehicles'!O14)*Y185</f>
        <v>197500</v>
      </c>
      <c r="Z187" s="186">
        <f>(45000-'[3]LEX - Used Vehicles'!P14)*Z185</f>
        <v>197500</v>
      </c>
      <c r="AA187" s="184" t="s">
        <v>141</v>
      </c>
      <c r="AB187" s="184" t="s">
        <v>94</v>
      </c>
      <c r="AE187" s="184" t="str">
        <f t="shared" si="53"/>
        <v>122-4209</v>
      </c>
    </row>
    <row r="188" spans="1:31" x14ac:dyDescent="0.2">
      <c r="A188" s="184">
        <v>122</v>
      </c>
      <c r="B188" s="187">
        <v>3248</v>
      </c>
      <c r="C188" s="186"/>
      <c r="D188" s="186"/>
      <c r="E188" s="186"/>
      <c r="F188" s="186"/>
      <c r="G188" s="186"/>
      <c r="H188" s="186"/>
      <c r="I188" s="186"/>
      <c r="J188" s="186"/>
      <c r="K188" s="186"/>
      <c r="L188" s="186"/>
      <c r="M188" s="186"/>
      <c r="N188" s="186"/>
      <c r="O188" s="186"/>
      <c r="P188" s="186"/>
      <c r="Q188" s="186"/>
      <c r="R188" s="186"/>
      <c r="S188" s="186"/>
      <c r="T188" s="186"/>
      <c r="U188" s="186"/>
      <c r="V188" s="186"/>
      <c r="W188" s="186">
        <v>-26100</v>
      </c>
      <c r="X188" s="186"/>
      <c r="Y188" s="186"/>
      <c r="Z188" s="186">
        <v>-26100</v>
      </c>
      <c r="AA188" s="184" t="s">
        <v>140</v>
      </c>
      <c r="AB188" s="184" t="s">
        <v>79</v>
      </c>
      <c r="AE188" s="184" t="str">
        <f t="shared" si="53"/>
        <v>122-3248</v>
      </c>
    </row>
    <row r="189" spans="1:31" x14ac:dyDescent="0.2">
      <c r="A189" s="184">
        <v>122</v>
      </c>
      <c r="B189" s="187">
        <v>7020</v>
      </c>
      <c r="C189" s="186"/>
      <c r="D189" s="186"/>
      <c r="E189" s="186"/>
      <c r="F189" s="186"/>
      <c r="G189" s="186"/>
      <c r="H189" s="186"/>
      <c r="I189" s="186"/>
      <c r="J189" s="186"/>
      <c r="K189" s="186"/>
      <c r="L189" s="186"/>
      <c r="M189" s="186"/>
      <c r="N189" s="186"/>
      <c r="O189" s="186">
        <f>'[3]LEX - Used Vehicles'!E15*O185</f>
        <v>5000</v>
      </c>
      <c r="P189" s="186">
        <f>'[3]LEX - Used Vehicles'!F15*P185</f>
        <v>5000</v>
      </c>
      <c r="Q189" s="186">
        <f>'[3]LEX - Used Vehicles'!G15*Q185</f>
        <v>5000</v>
      </c>
      <c r="R189" s="186">
        <f>'[3]LEX - Used Vehicles'!H15*R185</f>
        <v>5000</v>
      </c>
      <c r="S189" s="186">
        <f>'[3]LEX - Used Vehicles'!I15*S185</f>
        <v>5000</v>
      </c>
      <c r="T189" s="186">
        <f>'[3]LEX - Used Vehicles'!J15*T185</f>
        <v>5000</v>
      </c>
      <c r="U189" s="186">
        <f>'[3]LEX - Used Vehicles'!K15*U185</f>
        <v>5000</v>
      </c>
      <c r="V189" s="186">
        <f>'[3]LEX - Used Vehicles'!L15*V185</f>
        <v>5000</v>
      </c>
      <c r="W189" s="186">
        <f>'[3]LEX - Used Vehicles'!M15*W185</f>
        <v>5000</v>
      </c>
      <c r="X189" s="186">
        <f>'[3]LEX - Used Vehicles'!N15*X185</f>
        <v>5000</v>
      </c>
      <c r="Y189" s="186">
        <f>'[3]LEX - Used Vehicles'!O15*Y185</f>
        <v>5000</v>
      </c>
      <c r="Z189" s="186">
        <f>'[3]LEX - Used Vehicles'!P15*Z185</f>
        <v>5000</v>
      </c>
      <c r="AA189" s="184" t="s">
        <v>141</v>
      </c>
      <c r="AB189" s="184" t="s">
        <v>75</v>
      </c>
      <c r="AE189" s="184" t="str">
        <f t="shared" si="53"/>
        <v>122-7020</v>
      </c>
    </row>
    <row r="190" spans="1:31" x14ac:dyDescent="0.2">
      <c r="A190" s="184">
        <v>122</v>
      </c>
      <c r="B190" s="187">
        <v>7080</v>
      </c>
      <c r="C190" s="186"/>
      <c r="D190" s="186"/>
      <c r="E190" s="186"/>
      <c r="F190" s="186"/>
      <c r="G190" s="186"/>
      <c r="H190" s="186"/>
      <c r="I190" s="186"/>
      <c r="J190" s="186"/>
      <c r="K190" s="186"/>
      <c r="L190" s="186"/>
      <c r="M190" s="186"/>
      <c r="N190" s="186"/>
      <c r="O190" s="186">
        <f>'[3]LEX - Used Vehicles'!E16*O185</f>
        <v>10169.34</v>
      </c>
      <c r="P190" s="186">
        <f>'[3]LEX - Used Vehicles'!F16*P185</f>
        <v>10169.34</v>
      </c>
      <c r="Q190" s="186">
        <f>'[3]LEX - Used Vehicles'!G16*Q185</f>
        <v>10169.34</v>
      </c>
      <c r="R190" s="186">
        <f>'[3]LEX - Used Vehicles'!H16*R185</f>
        <v>10169.34</v>
      </c>
      <c r="S190" s="186">
        <f>'[3]LEX - Used Vehicles'!I16*S185</f>
        <v>10169.34</v>
      </c>
      <c r="T190" s="186">
        <f>'[3]LEX - Used Vehicles'!J16*T185</f>
        <v>10169.34</v>
      </c>
      <c r="U190" s="186">
        <f>'[3]LEX - Used Vehicles'!K16*U185</f>
        <v>10169.34</v>
      </c>
      <c r="V190" s="186">
        <f>'[3]LEX - Used Vehicles'!L16*V185</f>
        <v>10169.34</v>
      </c>
      <c r="W190" s="186">
        <f>'[3]LEX - Used Vehicles'!M16*W185</f>
        <v>10169.34</v>
      </c>
      <c r="X190" s="186">
        <f>'[3]LEX - Used Vehicles'!N16*X185</f>
        <v>10169.34</v>
      </c>
      <c r="Y190" s="186">
        <f>'[3]LEX - Used Vehicles'!O16*Y185</f>
        <v>10169.34</v>
      </c>
      <c r="Z190" s="186">
        <f>'[3]LEX - Used Vehicles'!P16*Z185</f>
        <v>10169.34</v>
      </c>
      <c r="AA190" s="184" t="s">
        <v>141</v>
      </c>
      <c r="AB190" s="184" t="s">
        <v>76</v>
      </c>
      <c r="AE190" s="184" t="str">
        <f t="shared" si="53"/>
        <v>122-7080</v>
      </c>
    </row>
    <row r="191" spans="1:31" x14ac:dyDescent="0.2">
      <c r="A191" s="184">
        <v>162</v>
      </c>
      <c r="B191" s="185" t="s">
        <v>95</v>
      </c>
      <c r="C191" s="186"/>
      <c r="D191" s="186"/>
      <c r="E191" s="186"/>
      <c r="F191" s="186"/>
      <c r="G191" s="186"/>
      <c r="H191" s="186"/>
      <c r="I191" s="186"/>
      <c r="J191" s="186"/>
      <c r="K191" s="186"/>
      <c r="L191" s="186"/>
      <c r="M191" s="186"/>
      <c r="N191" s="186"/>
      <c r="O191" s="186">
        <f>-'[3]LEX - F&amp;I'!E6*'[3]LEX - F&amp;I'!E4</f>
        <v>-17000</v>
      </c>
      <c r="P191" s="186">
        <f>-'[3]LEX - F&amp;I'!F6*'[3]LEX - F&amp;I'!F4</f>
        <v>-17500</v>
      </c>
      <c r="Q191" s="186">
        <f>-'[3]LEX - F&amp;I'!G6*'[3]LEX - F&amp;I'!G4</f>
        <v>-18000</v>
      </c>
      <c r="R191" s="186">
        <f>-'[3]LEX - F&amp;I'!H6*'[3]LEX - F&amp;I'!H4</f>
        <v>-18000</v>
      </c>
      <c r="S191" s="186">
        <f>-'[3]LEX - F&amp;I'!I6*'[3]LEX - F&amp;I'!I4</f>
        <v>-19500</v>
      </c>
      <c r="T191" s="186">
        <f>-'[3]LEX - F&amp;I'!J6*'[3]LEX - F&amp;I'!J4</f>
        <v>-16500</v>
      </c>
      <c r="U191" s="186">
        <f>-'[3]LEX - F&amp;I'!K6*'[3]LEX - F&amp;I'!K4</f>
        <v>-17000</v>
      </c>
      <c r="V191" s="186">
        <f>-'[3]LEX - F&amp;I'!L6*'[3]LEX - F&amp;I'!L4</f>
        <v>-17000</v>
      </c>
      <c r="W191" s="186">
        <f>-'[3]LEX - F&amp;I'!M6*'[3]LEX - F&amp;I'!M4</f>
        <v>-17000</v>
      </c>
      <c r="X191" s="186">
        <f>-'[3]LEX - F&amp;I'!N6*'[3]LEX - F&amp;I'!N4</f>
        <v>-17000</v>
      </c>
      <c r="Y191" s="186">
        <f>-'[3]LEX - F&amp;I'!O6*'[3]LEX - F&amp;I'!O4</f>
        <v>-17000</v>
      </c>
      <c r="Z191" s="186">
        <f>-'[3]LEX - F&amp;I'!P6*'[3]LEX - F&amp;I'!P4</f>
        <v>-17000</v>
      </c>
      <c r="AA191" s="184" t="s">
        <v>142</v>
      </c>
      <c r="AB191" s="184" t="s">
        <v>96</v>
      </c>
      <c r="AE191" s="184" t="str">
        <f t="shared" si="53"/>
        <v>162-3165R</v>
      </c>
    </row>
    <row r="192" spans="1:31" x14ac:dyDescent="0.2">
      <c r="A192" s="184">
        <v>162</v>
      </c>
      <c r="B192" s="187">
        <v>7020</v>
      </c>
      <c r="C192" s="186"/>
      <c r="D192" s="186"/>
      <c r="E192" s="186"/>
      <c r="F192" s="186"/>
      <c r="G192" s="186"/>
      <c r="H192" s="186"/>
      <c r="I192" s="186"/>
      <c r="J192" s="186"/>
      <c r="K192" s="186"/>
      <c r="L192" s="186"/>
      <c r="M192" s="186"/>
      <c r="N192" s="186"/>
      <c r="O192" s="186">
        <f>'[3]LEX - F&amp;I'!E7*'[3]LEX - F&amp;I'!E4</f>
        <v>10200</v>
      </c>
      <c r="P192" s="186">
        <f>'[3]LEX - F&amp;I'!F7*'[3]LEX - F&amp;I'!F4</f>
        <v>10500</v>
      </c>
      <c r="Q192" s="186">
        <f>'[3]LEX - F&amp;I'!G7*'[3]LEX - F&amp;I'!G4</f>
        <v>10800</v>
      </c>
      <c r="R192" s="186">
        <f>'[3]LEX - F&amp;I'!H7*'[3]LEX - F&amp;I'!H4</f>
        <v>10800</v>
      </c>
      <c r="S192" s="186">
        <f>'[3]LEX - F&amp;I'!I7*'[3]LEX - F&amp;I'!I4</f>
        <v>11700</v>
      </c>
      <c r="T192" s="186">
        <f>'[3]LEX - F&amp;I'!J7*'[3]LEX - F&amp;I'!J4</f>
        <v>9900</v>
      </c>
      <c r="U192" s="186">
        <f>'[3]LEX - F&amp;I'!K7*'[3]LEX - F&amp;I'!K4</f>
        <v>10200</v>
      </c>
      <c r="V192" s="186">
        <f>'[3]LEX - F&amp;I'!L7*'[3]LEX - F&amp;I'!L4</f>
        <v>10200</v>
      </c>
      <c r="W192" s="186">
        <f>'[3]LEX - F&amp;I'!M7*'[3]LEX - F&amp;I'!M4</f>
        <v>10200</v>
      </c>
      <c r="X192" s="186">
        <f>'[3]LEX - F&amp;I'!N7*'[3]LEX - F&amp;I'!N4</f>
        <v>10200</v>
      </c>
      <c r="Y192" s="186">
        <f>'[3]LEX - F&amp;I'!O7*'[3]LEX - F&amp;I'!O4</f>
        <v>10200</v>
      </c>
      <c r="Z192" s="186">
        <f>'[3]LEX - F&amp;I'!P7*'[3]LEX - F&amp;I'!P4</f>
        <v>10200</v>
      </c>
      <c r="AA192" s="184" t="s">
        <v>142</v>
      </c>
      <c r="AB192" s="184" t="s">
        <v>75</v>
      </c>
      <c r="AE192" s="184" t="str">
        <f t="shared" si="53"/>
        <v>162-7020</v>
      </c>
    </row>
    <row r="193" spans="1:31" x14ac:dyDescent="0.2">
      <c r="A193" s="184">
        <v>162</v>
      </c>
      <c r="B193" s="185">
        <v>3248</v>
      </c>
      <c r="C193" s="186"/>
      <c r="D193" s="186"/>
      <c r="E193" s="186"/>
      <c r="F193" s="186"/>
      <c r="G193" s="186"/>
      <c r="H193" s="186"/>
      <c r="I193" s="186"/>
      <c r="J193" s="186"/>
      <c r="K193" s="186"/>
      <c r="L193" s="186"/>
      <c r="M193" s="186"/>
      <c r="N193" s="186"/>
      <c r="O193" s="186"/>
      <c r="P193" s="186"/>
      <c r="Q193" s="186"/>
      <c r="R193" s="186"/>
      <c r="S193" s="186"/>
      <c r="T193" s="186"/>
      <c r="U193" s="186"/>
      <c r="V193" s="186"/>
      <c r="W193" s="186">
        <v>-43500</v>
      </c>
      <c r="X193" s="186"/>
      <c r="Y193" s="186"/>
      <c r="Z193" s="186">
        <v>-43500</v>
      </c>
      <c r="AA193" s="184" t="s">
        <v>140</v>
      </c>
      <c r="AB193" s="184" t="s">
        <v>16</v>
      </c>
      <c r="AE193" s="184" t="str">
        <f t="shared" si="53"/>
        <v>162-3248</v>
      </c>
    </row>
    <row r="194" spans="1:31" x14ac:dyDescent="0.2">
      <c r="A194" s="184">
        <v>132</v>
      </c>
      <c r="B194" s="187">
        <v>3475</v>
      </c>
      <c r="C194" s="186"/>
      <c r="D194" s="186"/>
      <c r="E194" s="186"/>
      <c r="F194" s="186"/>
      <c r="G194" s="186"/>
      <c r="H194" s="186"/>
      <c r="I194" s="186"/>
      <c r="J194" s="186"/>
      <c r="K194" s="186"/>
      <c r="L194" s="186"/>
      <c r="M194" s="186"/>
      <c r="N194" s="186"/>
      <c r="O194" s="186">
        <f>-'[3]LEX - Parts'!E$4*$AC194</f>
        <v>-21314.7</v>
      </c>
      <c r="P194" s="186">
        <f>-'[3]LEX - Parts'!F$4*$AC194</f>
        <v>-21600</v>
      </c>
      <c r="Q194" s="186">
        <f>-'[3]LEX - Parts'!G$4*$AC194</f>
        <v>-18600</v>
      </c>
      <c r="R194" s="186">
        <f>-'[3]LEX - Parts'!H$4*$AC194</f>
        <v>-21600</v>
      </c>
      <c r="S194" s="186">
        <f>-'[3]LEX - Parts'!I$4*$AC194</f>
        <v>-27000</v>
      </c>
      <c r="T194" s="186">
        <f>-'[3]LEX - Parts'!J$4*$AC194</f>
        <v>-24000</v>
      </c>
      <c r="U194" s="186">
        <f>-'[3]LEX - Parts'!K$4*$AC194</f>
        <v>-24240</v>
      </c>
      <c r="V194" s="186">
        <f>-'[3]LEX - Parts'!L$4*$AC194</f>
        <v>-16500</v>
      </c>
      <c r="W194" s="186">
        <f>-'[3]LEX - Parts'!M$4*$AC194</f>
        <v>-12000</v>
      </c>
      <c r="X194" s="186">
        <f>-'[3]LEX - Parts'!N$4*$AC194</f>
        <v>-6000</v>
      </c>
      <c r="Y194" s="186">
        <f>-'[3]LEX - Parts'!O$4*$AC194</f>
        <v>-9000</v>
      </c>
      <c r="Z194" s="186">
        <f>-'[3]LEX - Parts'!P$4*$AC194</f>
        <v>-19500</v>
      </c>
      <c r="AA194" s="186" t="s">
        <v>143</v>
      </c>
      <c r="AB194" s="184" t="s">
        <v>102</v>
      </c>
      <c r="AC194" s="318">
        <v>0.3</v>
      </c>
      <c r="AE194" s="184" t="str">
        <f t="shared" si="53"/>
        <v>132-3475</v>
      </c>
    </row>
    <row r="195" spans="1:31" x14ac:dyDescent="0.2">
      <c r="A195" s="184">
        <v>132</v>
      </c>
      <c r="B195" s="187">
        <v>3500</v>
      </c>
      <c r="C195" s="186"/>
      <c r="D195" s="186"/>
      <c r="E195" s="186"/>
      <c r="F195" s="186"/>
      <c r="G195" s="186"/>
      <c r="H195" s="186"/>
      <c r="I195" s="186"/>
      <c r="J195" s="186"/>
      <c r="K195" s="186"/>
      <c r="L195" s="186"/>
      <c r="M195" s="186"/>
      <c r="N195" s="186"/>
      <c r="O195" s="186">
        <f>-'[3]LEX - Parts'!E$4*$AC195</f>
        <v>-35524.5</v>
      </c>
      <c r="P195" s="186">
        <f>-'[3]LEX - Parts'!F$4*$AC195</f>
        <v>-36000</v>
      </c>
      <c r="Q195" s="186">
        <f>-'[3]LEX - Parts'!G$4*$AC195</f>
        <v>-31000</v>
      </c>
      <c r="R195" s="186">
        <f>-'[3]LEX - Parts'!H$4*$AC195</f>
        <v>-36000</v>
      </c>
      <c r="S195" s="186">
        <f>-'[3]LEX - Parts'!I$4*$AC195</f>
        <v>-45000</v>
      </c>
      <c r="T195" s="186">
        <f>-'[3]LEX - Parts'!J$4*$AC195</f>
        <v>-40000</v>
      </c>
      <c r="U195" s="186">
        <f>-'[3]LEX - Parts'!K$4*$AC195</f>
        <v>-40400</v>
      </c>
      <c r="V195" s="186">
        <f>-'[3]LEX - Parts'!L$4*$AC195</f>
        <v>-27500</v>
      </c>
      <c r="W195" s="186">
        <f>-'[3]LEX - Parts'!M$4*$AC195</f>
        <v>-20000</v>
      </c>
      <c r="X195" s="186">
        <f>-'[3]LEX - Parts'!N$4*$AC195</f>
        <v>-10000</v>
      </c>
      <c r="Y195" s="186">
        <f>-'[3]LEX - Parts'!O$4*$AC195</f>
        <v>-15000</v>
      </c>
      <c r="Z195" s="186">
        <f>-'[3]LEX - Parts'!P$4*$AC195</f>
        <v>-32500</v>
      </c>
      <c r="AA195" s="186" t="s">
        <v>143</v>
      </c>
      <c r="AB195" s="184" t="s">
        <v>103</v>
      </c>
      <c r="AC195" s="318">
        <v>0.5</v>
      </c>
      <c r="AE195" s="184" t="str">
        <f t="shared" ref="AE195:AE242" si="55">+A195&amp;"-"&amp;B195</f>
        <v>132-3500</v>
      </c>
    </row>
    <row r="196" spans="1:31" x14ac:dyDescent="0.2">
      <c r="A196" s="184">
        <v>132</v>
      </c>
      <c r="B196" s="187">
        <v>3505</v>
      </c>
      <c r="C196" s="186"/>
      <c r="D196" s="186"/>
      <c r="E196" s="186"/>
      <c r="F196" s="186"/>
      <c r="G196" s="186"/>
      <c r="H196" s="186"/>
      <c r="I196" s="186"/>
      <c r="J196" s="186"/>
      <c r="K196" s="186"/>
      <c r="L196" s="186"/>
      <c r="M196" s="186"/>
      <c r="N196" s="186"/>
      <c r="O196" s="186">
        <f>-'[3]LEX - Parts'!E$4*$AC196</f>
        <v>-14209.800000000001</v>
      </c>
      <c r="P196" s="186">
        <f>-'[3]LEX - Parts'!F$4*$AC196</f>
        <v>-14400</v>
      </c>
      <c r="Q196" s="186">
        <f>-'[3]LEX - Parts'!G$4*$AC196</f>
        <v>-12400</v>
      </c>
      <c r="R196" s="186">
        <f>-'[3]LEX - Parts'!H$4*$AC196</f>
        <v>-14400</v>
      </c>
      <c r="S196" s="186">
        <f>-'[3]LEX - Parts'!I$4*$AC196</f>
        <v>-18000</v>
      </c>
      <c r="T196" s="186">
        <f>-'[3]LEX - Parts'!J$4*$AC196</f>
        <v>-16000</v>
      </c>
      <c r="U196" s="186">
        <f>-'[3]LEX - Parts'!K$4*$AC196</f>
        <v>-16160</v>
      </c>
      <c r="V196" s="186">
        <f>-'[3]LEX - Parts'!L$4*$AC196</f>
        <v>-11000</v>
      </c>
      <c r="W196" s="186">
        <f>-'[3]LEX - Parts'!M$4*$AC196</f>
        <v>-8000</v>
      </c>
      <c r="X196" s="186">
        <f>-'[3]LEX - Parts'!N$4*$AC196</f>
        <v>-4000</v>
      </c>
      <c r="Y196" s="186">
        <f>-'[3]LEX - Parts'!O$4*$AC196</f>
        <v>-6000</v>
      </c>
      <c r="Z196" s="186">
        <f>-'[3]LEX - Parts'!P$4*$AC196</f>
        <v>-13000</v>
      </c>
      <c r="AA196" s="186" t="s">
        <v>143</v>
      </c>
      <c r="AB196" s="184" t="s">
        <v>104</v>
      </c>
      <c r="AC196" s="318">
        <v>0.2</v>
      </c>
      <c r="AE196" s="184" t="str">
        <f t="shared" si="55"/>
        <v>132-3505</v>
      </c>
    </row>
    <row r="197" spans="1:31" x14ac:dyDescent="0.2">
      <c r="A197" s="184">
        <v>132</v>
      </c>
      <c r="B197" s="187">
        <v>4475</v>
      </c>
      <c r="C197" s="186"/>
      <c r="D197" s="186"/>
      <c r="E197" s="186"/>
      <c r="F197" s="186"/>
      <c r="G197" s="186"/>
      <c r="H197" s="186"/>
      <c r="I197" s="186"/>
      <c r="J197" s="186"/>
      <c r="K197" s="186"/>
      <c r="L197" s="186"/>
      <c r="M197" s="186"/>
      <c r="N197" s="186"/>
      <c r="O197" s="186">
        <f>-O194*(1-'[3]LEX - Parts'!E$6)</f>
        <v>16625.466</v>
      </c>
      <c r="P197" s="186">
        <f>-P194*(1-'[3]LEX - Parts'!F$6)</f>
        <v>16848</v>
      </c>
      <c r="Q197" s="186">
        <f>-Q194*(1-'[3]LEX - Parts'!G$6)</f>
        <v>14508</v>
      </c>
      <c r="R197" s="186">
        <f>-R194*(1-'[3]LEX - Parts'!H$6)</f>
        <v>16848</v>
      </c>
      <c r="S197" s="186">
        <f>-S194*(1-'[3]LEX - Parts'!I$6)</f>
        <v>21060</v>
      </c>
      <c r="T197" s="186">
        <f>-T194*(1-'[3]LEX - Parts'!J$6)</f>
        <v>18720</v>
      </c>
      <c r="U197" s="186">
        <f>-U194*(1-'[3]LEX - Parts'!K$6)</f>
        <v>18907.2</v>
      </c>
      <c r="V197" s="186">
        <f>-V194*(1-'[3]LEX - Parts'!L$6)</f>
        <v>12870</v>
      </c>
      <c r="W197" s="186">
        <f>-W194*(1-'[3]LEX - Parts'!M$6)</f>
        <v>9360</v>
      </c>
      <c r="X197" s="186">
        <f>-X194*(1-'[3]LEX - Parts'!N$6)</f>
        <v>4680</v>
      </c>
      <c r="Y197" s="186">
        <f>-Y194*(1-'[3]LEX - Parts'!O$6)</f>
        <v>7020</v>
      </c>
      <c r="Z197" s="186">
        <f>-Z194*(1-'[3]LEX - Parts'!P$6)</f>
        <v>15210</v>
      </c>
      <c r="AA197" s="186" t="s">
        <v>143</v>
      </c>
      <c r="AB197" s="184" t="s">
        <v>107</v>
      </c>
      <c r="AC197" s="318">
        <v>0.3</v>
      </c>
      <c r="AE197" s="184" t="str">
        <f t="shared" si="55"/>
        <v>132-4475</v>
      </c>
    </row>
    <row r="198" spans="1:31" x14ac:dyDescent="0.2">
      <c r="A198" s="184">
        <v>132</v>
      </c>
      <c r="B198" s="187">
        <v>4500</v>
      </c>
      <c r="C198" s="186"/>
      <c r="D198" s="186"/>
      <c r="E198" s="186"/>
      <c r="F198" s="186"/>
      <c r="G198" s="186"/>
      <c r="H198" s="186"/>
      <c r="I198" s="186"/>
      <c r="J198" s="186"/>
      <c r="K198" s="186"/>
      <c r="L198" s="186"/>
      <c r="M198" s="186"/>
      <c r="N198" s="186"/>
      <c r="O198" s="186">
        <f>-O195*(1-'[3]LEX - Parts'!E$6)</f>
        <v>27709.11</v>
      </c>
      <c r="P198" s="186">
        <f>-P195*(1-'[3]LEX - Parts'!F$6)</f>
        <v>28080</v>
      </c>
      <c r="Q198" s="186">
        <f>-Q195*(1-'[3]LEX - Parts'!G$6)</f>
        <v>24180</v>
      </c>
      <c r="R198" s="186">
        <f>-R195*(1-'[3]LEX - Parts'!H$6)</f>
        <v>28080</v>
      </c>
      <c r="S198" s="186">
        <f>-S195*(1-'[3]LEX - Parts'!I$6)</f>
        <v>35100</v>
      </c>
      <c r="T198" s="186">
        <f>-T195*(1-'[3]LEX - Parts'!J$6)</f>
        <v>31200</v>
      </c>
      <c r="U198" s="186">
        <f>-U195*(1-'[3]LEX - Parts'!K$6)</f>
        <v>31512</v>
      </c>
      <c r="V198" s="186">
        <f>-V195*(1-'[3]LEX - Parts'!L$6)</f>
        <v>21450</v>
      </c>
      <c r="W198" s="186">
        <f>-W195*(1-'[3]LEX - Parts'!M$6)</f>
        <v>15600</v>
      </c>
      <c r="X198" s="186">
        <f>-X195*(1-'[3]LEX - Parts'!N$6)</f>
        <v>7800</v>
      </c>
      <c r="Y198" s="186">
        <f>-Y195*(1-'[3]LEX - Parts'!O$6)</f>
        <v>11700</v>
      </c>
      <c r="Z198" s="186">
        <f>-Z195*(1-'[3]LEX - Parts'!P$6)</f>
        <v>25350</v>
      </c>
      <c r="AA198" s="186" t="s">
        <v>143</v>
      </c>
      <c r="AB198" s="184" t="s">
        <v>108</v>
      </c>
      <c r="AC198" s="318">
        <v>0.5</v>
      </c>
      <c r="AE198" s="184" t="str">
        <f t="shared" si="55"/>
        <v>132-4500</v>
      </c>
    </row>
    <row r="199" spans="1:31" x14ac:dyDescent="0.2">
      <c r="A199" s="184">
        <v>132</v>
      </c>
      <c r="B199" s="187">
        <v>4505</v>
      </c>
      <c r="C199" s="186"/>
      <c r="D199" s="186"/>
      <c r="E199" s="186"/>
      <c r="F199" s="186"/>
      <c r="G199" s="186"/>
      <c r="H199" s="186"/>
      <c r="I199" s="186"/>
      <c r="J199" s="186"/>
      <c r="K199" s="186"/>
      <c r="L199" s="186"/>
      <c r="M199" s="186"/>
      <c r="N199" s="186"/>
      <c r="O199" s="186">
        <f>-O196*(1-'[3]LEX - Parts'!E$6)</f>
        <v>11083.644000000002</v>
      </c>
      <c r="P199" s="186">
        <f>-P196*(1-'[3]LEX - Parts'!F$6)</f>
        <v>11232</v>
      </c>
      <c r="Q199" s="186">
        <f>-Q196*(1-'[3]LEX - Parts'!G$6)</f>
        <v>9672</v>
      </c>
      <c r="R199" s="186">
        <f>-R196*(1-'[3]LEX - Parts'!H$6)</f>
        <v>11232</v>
      </c>
      <c r="S199" s="186">
        <f>-S196*(1-'[3]LEX - Parts'!I$6)</f>
        <v>14040</v>
      </c>
      <c r="T199" s="186">
        <f>-T196*(1-'[3]LEX - Parts'!J$6)</f>
        <v>12480</v>
      </c>
      <c r="U199" s="186">
        <f>-U196*(1-'[3]LEX - Parts'!K$6)</f>
        <v>12604.800000000001</v>
      </c>
      <c r="V199" s="186">
        <f>-V196*(1-'[3]LEX - Parts'!L$6)</f>
        <v>8580</v>
      </c>
      <c r="W199" s="186">
        <f>-W196*(1-'[3]LEX - Parts'!M$6)</f>
        <v>6240</v>
      </c>
      <c r="X199" s="186">
        <f>-X196*(1-'[3]LEX - Parts'!N$6)</f>
        <v>3120</v>
      </c>
      <c r="Y199" s="186">
        <f>-Y196*(1-'[3]LEX - Parts'!O$6)</f>
        <v>4680</v>
      </c>
      <c r="Z199" s="186">
        <f>-Z196*(1-'[3]LEX - Parts'!P$6)</f>
        <v>10140</v>
      </c>
      <c r="AA199" s="186" t="s">
        <v>143</v>
      </c>
      <c r="AB199" s="184" t="s">
        <v>109</v>
      </c>
      <c r="AC199" s="318">
        <v>0.2</v>
      </c>
      <c r="AE199" s="184" t="str">
        <f t="shared" si="55"/>
        <v>132-4505</v>
      </c>
    </row>
    <row r="200" spans="1:31" x14ac:dyDescent="0.2">
      <c r="A200" s="184">
        <v>132</v>
      </c>
      <c r="B200" s="185">
        <v>3248</v>
      </c>
      <c r="C200" s="186"/>
      <c r="D200" s="186"/>
      <c r="E200" s="186"/>
      <c r="F200" s="186"/>
      <c r="G200" s="186"/>
      <c r="H200" s="186"/>
      <c r="I200" s="186"/>
      <c r="J200" s="186"/>
      <c r="K200" s="186"/>
      <c r="L200" s="186"/>
      <c r="M200" s="186"/>
      <c r="N200" s="186"/>
      <c r="O200" s="186"/>
      <c r="P200" s="186"/>
      <c r="Q200" s="186"/>
      <c r="R200" s="186"/>
      <c r="S200" s="186"/>
      <c r="T200" s="186"/>
      <c r="U200" s="186"/>
      <c r="V200" s="186"/>
      <c r="W200" s="186">
        <v>-26100</v>
      </c>
      <c r="X200" s="186"/>
      <c r="Y200" s="186"/>
      <c r="Z200" s="186">
        <v>-26100</v>
      </c>
      <c r="AA200" s="184" t="s">
        <v>140</v>
      </c>
      <c r="AB200" s="184" t="s">
        <v>98</v>
      </c>
      <c r="AE200" s="184" t="str">
        <f t="shared" si="55"/>
        <v>132-3248</v>
      </c>
    </row>
    <row r="201" spans="1:31" x14ac:dyDescent="0.2">
      <c r="A201" s="184">
        <v>142</v>
      </c>
      <c r="B201" s="185" t="s">
        <v>110</v>
      </c>
      <c r="C201" s="186"/>
      <c r="D201" s="186"/>
      <c r="E201" s="186"/>
      <c r="F201" s="186"/>
      <c r="G201" s="186"/>
      <c r="H201" s="186"/>
      <c r="I201" s="186"/>
      <c r="J201" s="186"/>
      <c r="K201" s="186"/>
      <c r="L201" s="186"/>
      <c r="M201" s="186"/>
      <c r="N201" s="186"/>
      <c r="O201" s="186">
        <f>'[3]LEX - Service'!E$7</f>
        <v>3</v>
      </c>
      <c r="P201" s="186">
        <f>'[3]LEX - Service'!F$7</f>
        <v>3</v>
      </c>
      <c r="Q201" s="186">
        <f>'[3]LEX - Service'!G$7</f>
        <v>3</v>
      </c>
      <c r="R201" s="186">
        <f>'[3]LEX - Service'!H$7</f>
        <v>3</v>
      </c>
      <c r="S201" s="186">
        <f>'[3]LEX - Service'!I$7</f>
        <v>3</v>
      </c>
      <c r="T201" s="186">
        <f>'[3]LEX - Service'!J$7</f>
        <v>3</v>
      </c>
      <c r="U201" s="186">
        <f>'[3]LEX - Service'!K$7</f>
        <v>4</v>
      </c>
      <c r="V201" s="186">
        <f>'[3]LEX - Service'!L$7</f>
        <v>4</v>
      </c>
      <c r="W201" s="186">
        <f>'[3]LEX - Service'!M$7</f>
        <v>4</v>
      </c>
      <c r="X201" s="186">
        <f>'[3]LEX - Service'!N$7</f>
        <v>4</v>
      </c>
      <c r="Y201" s="186">
        <f>'[3]LEX - Service'!O$7</f>
        <v>4</v>
      </c>
      <c r="Z201" s="186">
        <f>'[3]LEX - Service'!P$7</f>
        <v>4</v>
      </c>
      <c r="AA201" s="184" t="s">
        <v>144</v>
      </c>
      <c r="AB201" s="184" t="s">
        <v>112</v>
      </c>
      <c r="AC201" s="184" t="str">
        <f t="shared" ref="AC201" si="56">+IF(RIGHT(B201,1)="#","#","")</f>
        <v>#</v>
      </c>
      <c r="AE201" s="184" t="str">
        <f t="shared" si="55"/>
        <v>142-9360M#</v>
      </c>
    </row>
    <row r="202" spans="1:31" x14ac:dyDescent="0.2">
      <c r="A202" s="184">
        <v>142</v>
      </c>
      <c r="B202" s="185">
        <v>3300</v>
      </c>
      <c r="C202" s="186"/>
      <c r="D202" s="186"/>
      <c r="E202" s="186"/>
      <c r="F202" s="186"/>
      <c r="G202" s="186"/>
      <c r="H202" s="186"/>
      <c r="I202" s="186"/>
      <c r="J202" s="186"/>
      <c r="K202" s="186"/>
      <c r="L202" s="186"/>
      <c r="M202" s="186"/>
      <c r="N202" s="186"/>
      <c r="O202" s="186">
        <f>-'[3]LEX - Service'!E$4*$AC202</f>
        <v>-22100</v>
      </c>
      <c r="P202" s="186">
        <f>-'[3]LEX - Service'!F$4*$AC202</f>
        <v>-20400</v>
      </c>
      <c r="Q202" s="186">
        <f>-'[3]LEX - Service'!G$4*$AC202</f>
        <v>-20400</v>
      </c>
      <c r="R202" s="186">
        <f>-'[3]LEX - Service'!H$4*$AC202</f>
        <v>-20400</v>
      </c>
      <c r="S202" s="186">
        <f>-'[3]LEX - Service'!I$4*$AC202</f>
        <v>-20400</v>
      </c>
      <c r="T202" s="186">
        <f>-'[3]LEX - Service'!J$4*$AC202</f>
        <v>-17000</v>
      </c>
      <c r="U202" s="186">
        <f>-'[3]LEX - Service'!K$4*$AC202</f>
        <v>-23800</v>
      </c>
      <c r="V202" s="186">
        <f>-'[3]LEX - Service'!L$4*$AC202</f>
        <v>-23800</v>
      </c>
      <c r="W202" s="186">
        <f>-'[3]LEX - Service'!M$4*$AC202</f>
        <v>-22100</v>
      </c>
      <c r="X202" s="186">
        <f>-'[3]LEX - Service'!N$4*$AC202</f>
        <v>-27200.000000000004</v>
      </c>
      <c r="Y202" s="186">
        <f>-'[3]LEX - Service'!O$4*$AC202</f>
        <v>-22100</v>
      </c>
      <c r="Z202" s="186">
        <f>-'[3]LEX - Service'!P$4*$AC202</f>
        <v>-29920.000000000004</v>
      </c>
      <c r="AA202" s="184" t="s">
        <v>144</v>
      </c>
      <c r="AB202" s="184" t="s">
        <v>113</v>
      </c>
      <c r="AC202" s="318">
        <v>0.34</v>
      </c>
      <c r="AE202" s="184" t="str">
        <f t="shared" si="55"/>
        <v>142-3300</v>
      </c>
    </row>
    <row r="203" spans="1:31" x14ac:dyDescent="0.2">
      <c r="A203" s="184">
        <v>142</v>
      </c>
      <c r="B203" s="185">
        <v>3320</v>
      </c>
      <c r="C203" s="186"/>
      <c r="D203" s="186"/>
      <c r="E203" s="186"/>
      <c r="F203" s="186"/>
      <c r="G203" s="186"/>
      <c r="H203" s="186"/>
      <c r="I203" s="186"/>
      <c r="J203" s="186"/>
      <c r="K203" s="186"/>
      <c r="L203" s="186"/>
      <c r="M203" s="186"/>
      <c r="N203" s="186"/>
      <c r="O203" s="186">
        <f>-'[3]LEX - Service'!E$4*$AC203</f>
        <v>-25350</v>
      </c>
      <c r="P203" s="186">
        <f>-'[3]LEX - Service'!F$4*$AC203</f>
        <v>-23400</v>
      </c>
      <c r="Q203" s="186">
        <f>-'[3]LEX - Service'!G$4*$AC203</f>
        <v>-23400</v>
      </c>
      <c r="R203" s="186">
        <f>-'[3]LEX - Service'!H$4*$AC203</f>
        <v>-23400</v>
      </c>
      <c r="S203" s="186">
        <f>-'[3]LEX - Service'!I$4*$AC203</f>
        <v>-23400</v>
      </c>
      <c r="T203" s="186">
        <f>-'[3]LEX - Service'!J$4*$AC203</f>
        <v>-19500</v>
      </c>
      <c r="U203" s="186">
        <f>-'[3]LEX - Service'!K$4*$AC203</f>
        <v>-27300</v>
      </c>
      <c r="V203" s="186">
        <f>-'[3]LEX - Service'!L$4*$AC203</f>
        <v>-27300</v>
      </c>
      <c r="W203" s="186">
        <f>-'[3]LEX - Service'!M$4*$AC203</f>
        <v>-25350</v>
      </c>
      <c r="X203" s="186">
        <f>-'[3]LEX - Service'!N$4*$AC203</f>
        <v>-31200</v>
      </c>
      <c r="Y203" s="186">
        <f>-'[3]LEX - Service'!O$4*$AC203</f>
        <v>-25350</v>
      </c>
      <c r="Z203" s="186">
        <f>-'[3]LEX - Service'!P$4*$AC203</f>
        <v>-34320</v>
      </c>
      <c r="AA203" s="184" t="s">
        <v>144</v>
      </c>
      <c r="AB203" s="184" t="s">
        <v>114</v>
      </c>
      <c r="AC203" s="318">
        <v>0.39</v>
      </c>
      <c r="AE203" s="184" t="str">
        <f t="shared" si="55"/>
        <v>142-3320</v>
      </c>
    </row>
    <row r="204" spans="1:31" x14ac:dyDescent="0.2">
      <c r="A204" s="184">
        <v>142</v>
      </c>
      <c r="B204" s="185">
        <v>3340</v>
      </c>
      <c r="C204" s="186"/>
      <c r="D204" s="186"/>
      <c r="E204" s="186"/>
      <c r="F204" s="186"/>
      <c r="G204" s="186"/>
      <c r="H204" s="186"/>
      <c r="I204" s="186"/>
      <c r="J204" s="186"/>
      <c r="K204" s="186"/>
      <c r="L204" s="186"/>
      <c r="M204" s="186"/>
      <c r="N204" s="186"/>
      <c r="O204" s="186">
        <f>-'[3]LEX - Service'!E$4*$AC204</f>
        <v>-17550</v>
      </c>
      <c r="P204" s="186">
        <f>-'[3]LEX - Service'!F$4*$AC204</f>
        <v>-16200.000000000002</v>
      </c>
      <c r="Q204" s="186">
        <f>-'[3]LEX - Service'!G$4*$AC204</f>
        <v>-16200.000000000002</v>
      </c>
      <c r="R204" s="186">
        <f>-'[3]LEX - Service'!H$4*$AC204</f>
        <v>-16200.000000000002</v>
      </c>
      <c r="S204" s="186">
        <f>-'[3]LEX - Service'!I$4*$AC204</f>
        <v>-16200.000000000002</v>
      </c>
      <c r="T204" s="186">
        <f>-'[3]LEX - Service'!J$4*$AC204</f>
        <v>-13500</v>
      </c>
      <c r="U204" s="186">
        <f>-'[3]LEX - Service'!K$4*$AC204</f>
        <v>-18900</v>
      </c>
      <c r="V204" s="186">
        <f>-'[3]LEX - Service'!L$4*$AC204</f>
        <v>-18900</v>
      </c>
      <c r="W204" s="186">
        <f>-'[3]LEX - Service'!M$4*$AC204</f>
        <v>-17550</v>
      </c>
      <c r="X204" s="186">
        <f>-'[3]LEX - Service'!N$4*$AC204</f>
        <v>-21600</v>
      </c>
      <c r="Y204" s="186">
        <f>-'[3]LEX - Service'!O$4*$AC204</f>
        <v>-17550</v>
      </c>
      <c r="Z204" s="186">
        <f>-'[3]LEX - Service'!P$4*$AC204</f>
        <v>-23760</v>
      </c>
      <c r="AA204" s="184" t="s">
        <v>144</v>
      </c>
      <c r="AB204" s="184" t="s">
        <v>115</v>
      </c>
      <c r="AC204" s="318">
        <v>0.27</v>
      </c>
      <c r="AE204" s="184" t="str">
        <f t="shared" si="55"/>
        <v>142-3340</v>
      </c>
    </row>
    <row r="205" spans="1:31" x14ac:dyDescent="0.2">
      <c r="A205" s="184">
        <v>142</v>
      </c>
      <c r="B205" s="185">
        <v>4300</v>
      </c>
      <c r="C205" s="186"/>
      <c r="D205" s="186"/>
      <c r="E205" s="186"/>
      <c r="F205" s="186"/>
      <c r="G205" s="186"/>
      <c r="H205" s="186"/>
      <c r="I205" s="186"/>
      <c r="J205" s="186"/>
      <c r="K205" s="186"/>
      <c r="L205" s="186"/>
      <c r="M205" s="186"/>
      <c r="N205" s="186"/>
      <c r="O205" s="186">
        <f>-O202*(1-'[3]LEX - Service'!E$8)</f>
        <v>5613.4</v>
      </c>
      <c r="P205" s="186">
        <f>-P202*(1-'[3]LEX - Service'!F$8)</f>
        <v>5181.6000000000004</v>
      </c>
      <c r="Q205" s="186">
        <f>-Q202*(1-'[3]LEX - Service'!G$8)</f>
        <v>5181.6000000000004</v>
      </c>
      <c r="R205" s="186">
        <f>-R202*(1-'[3]LEX - Service'!H$8)</f>
        <v>5181.6000000000004</v>
      </c>
      <c r="S205" s="186">
        <f>-S202*(1-'[3]LEX - Service'!I$8)</f>
        <v>5181.6000000000004</v>
      </c>
      <c r="T205" s="186">
        <f>-T202*(1-'[3]LEX - Service'!J$8)</f>
        <v>4318</v>
      </c>
      <c r="U205" s="186">
        <f>-U202*(1-'[3]LEX - Service'!K$8)</f>
        <v>6045.2</v>
      </c>
      <c r="V205" s="186">
        <f>-V202*(1-'[3]LEX - Service'!L$8)</f>
        <v>6045.2</v>
      </c>
      <c r="W205" s="186">
        <f>-W202*(1-'[3]LEX - Service'!M$8)</f>
        <v>5613.4</v>
      </c>
      <c r="X205" s="186">
        <f>-X202*(1-'[3]LEX - Service'!N$8)</f>
        <v>6908.8000000000011</v>
      </c>
      <c r="Y205" s="186">
        <f>-Y202*(1-'[3]LEX - Service'!O$8)</f>
        <v>5613.4</v>
      </c>
      <c r="Z205" s="186">
        <f>-Z202*(1-'[3]LEX - Service'!P$8)</f>
        <v>7599.6800000000012</v>
      </c>
      <c r="AA205" s="184" t="s">
        <v>144</v>
      </c>
      <c r="AB205" s="184" t="s">
        <v>116</v>
      </c>
      <c r="AC205" s="318"/>
      <c r="AE205" s="184" t="str">
        <f t="shared" si="55"/>
        <v>142-4300</v>
      </c>
    </row>
    <row r="206" spans="1:31" x14ac:dyDescent="0.2">
      <c r="A206" s="184">
        <v>142</v>
      </c>
      <c r="B206" s="185">
        <v>4320</v>
      </c>
      <c r="C206" s="186"/>
      <c r="D206" s="186"/>
      <c r="E206" s="186"/>
      <c r="F206" s="186"/>
      <c r="G206" s="186"/>
      <c r="H206" s="186"/>
      <c r="I206" s="186"/>
      <c r="J206" s="186"/>
      <c r="K206" s="186"/>
      <c r="L206" s="186"/>
      <c r="M206" s="186"/>
      <c r="N206" s="186"/>
      <c r="O206" s="186">
        <f>-O203*(1-'[3]LEX - Service'!E$8)</f>
        <v>6438.9</v>
      </c>
      <c r="P206" s="186">
        <f>-P203*(1-'[3]LEX - Service'!F$8)</f>
        <v>5943.6</v>
      </c>
      <c r="Q206" s="186">
        <f>-Q203*(1-'[3]LEX - Service'!G$8)</f>
        <v>5943.6</v>
      </c>
      <c r="R206" s="186">
        <f>-R203*(1-'[3]LEX - Service'!H$8)</f>
        <v>5943.6</v>
      </c>
      <c r="S206" s="186">
        <f>-S203*(1-'[3]LEX - Service'!I$8)</f>
        <v>5943.6</v>
      </c>
      <c r="T206" s="186">
        <f>-T203*(1-'[3]LEX - Service'!J$8)</f>
        <v>4953</v>
      </c>
      <c r="U206" s="186">
        <f>-U203*(1-'[3]LEX - Service'!K$8)</f>
        <v>6934.2</v>
      </c>
      <c r="V206" s="186">
        <f>-V203*(1-'[3]LEX - Service'!L$8)</f>
        <v>6934.2</v>
      </c>
      <c r="W206" s="186">
        <f>-W203*(1-'[3]LEX - Service'!M$8)</f>
        <v>6438.9</v>
      </c>
      <c r="X206" s="186">
        <f>-X203*(1-'[3]LEX - Service'!N$8)</f>
        <v>7924.8</v>
      </c>
      <c r="Y206" s="186">
        <f>-Y203*(1-'[3]LEX - Service'!O$8)</f>
        <v>6438.9</v>
      </c>
      <c r="Z206" s="186">
        <f>-Z203*(1-'[3]LEX - Service'!P$8)</f>
        <v>8717.2800000000007</v>
      </c>
      <c r="AA206" s="184" t="s">
        <v>144</v>
      </c>
      <c r="AB206" s="184" t="s">
        <v>117</v>
      </c>
      <c r="AC206" s="318"/>
      <c r="AE206" s="184" t="str">
        <f t="shared" si="55"/>
        <v>142-4320</v>
      </c>
    </row>
    <row r="207" spans="1:31" x14ac:dyDescent="0.2">
      <c r="A207" s="184">
        <v>142</v>
      </c>
      <c r="B207" s="185">
        <v>4340</v>
      </c>
      <c r="C207" s="186"/>
      <c r="D207" s="186"/>
      <c r="E207" s="186"/>
      <c r="F207" s="186"/>
      <c r="G207" s="186"/>
      <c r="H207" s="186"/>
      <c r="I207" s="186"/>
      <c r="J207" s="186"/>
      <c r="K207" s="186"/>
      <c r="L207" s="186"/>
      <c r="M207" s="186"/>
      <c r="N207" s="186"/>
      <c r="O207" s="186">
        <f>-O204*(1-'[3]LEX - Service'!E$8)</f>
        <v>4457.7</v>
      </c>
      <c r="P207" s="186">
        <f>-P204*(1-'[3]LEX - Service'!F$8)</f>
        <v>4114.8</v>
      </c>
      <c r="Q207" s="186">
        <f>-Q204*(1-'[3]LEX - Service'!G$8)</f>
        <v>4114.8</v>
      </c>
      <c r="R207" s="186">
        <f>-R204*(1-'[3]LEX - Service'!H$8)</f>
        <v>4114.8</v>
      </c>
      <c r="S207" s="186">
        <f>-S204*(1-'[3]LEX - Service'!I$8)</f>
        <v>4114.8</v>
      </c>
      <c r="T207" s="186">
        <f>-T204*(1-'[3]LEX - Service'!J$8)</f>
        <v>3429</v>
      </c>
      <c r="U207" s="186">
        <f>-U204*(1-'[3]LEX - Service'!K$8)</f>
        <v>4800.6000000000004</v>
      </c>
      <c r="V207" s="186">
        <f>-V204*(1-'[3]LEX - Service'!L$8)</f>
        <v>4800.6000000000004</v>
      </c>
      <c r="W207" s="186">
        <f>-W204*(1-'[3]LEX - Service'!M$8)</f>
        <v>4457.7</v>
      </c>
      <c r="X207" s="186">
        <f>-X204*(1-'[3]LEX - Service'!N$8)</f>
        <v>5486.4</v>
      </c>
      <c r="Y207" s="186">
        <f>-Y204*(1-'[3]LEX - Service'!O$8)</f>
        <v>4457.7</v>
      </c>
      <c r="Z207" s="186">
        <f>-Z204*(1-'[3]LEX - Service'!P$8)</f>
        <v>6035.04</v>
      </c>
      <c r="AA207" s="184" t="s">
        <v>144</v>
      </c>
      <c r="AB207" s="184" t="s">
        <v>118</v>
      </c>
      <c r="AC207" s="318"/>
      <c r="AE207" s="184" t="str">
        <f t="shared" si="55"/>
        <v>142-4340</v>
      </c>
    </row>
    <row r="208" spans="1:31" x14ac:dyDescent="0.2">
      <c r="A208" s="184">
        <v>142</v>
      </c>
      <c r="B208" s="187">
        <v>3390</v>
      </c>
      <c r="C208" s="186"/>
      <c r="D208" s="186"/>
      <c r="E208" s="186"/>
      <c r="F208" s="186"/>
      <c r="G208" s="186"/>
      <c r="H208" s="186"/>
      <c r="I208" s="186"/>
      <c r="J208" s="186"/>
      <c r="K208" s="186"/>
      <c r="L208" s="186"/>
      <c r="M208" s="186"/>
      <c r="N208" s="186"/>
      <c r="O208" s="186">
        <f>-'[3]LEX - Service'!E$5*$AC208</f>
        <v>-16800</v>
      </c>
      <c r="P208" s="186">
        <f>-'[3]LEX - Service'!F$5*$AC208</f>
        <v>-23520</v>
      </c>
      <c r="Q208" s="186">
        <f>-'[3]LEX - Service'!G$5*$AC208</f>
        <v>-23520</v>
      </c>
      <c r="R208" s="186">
        <f>-'[3]LEX - Service'!H$5*$AC208</f>
        <v>-23520</v>
      </c>
      <c r="S208" s="186">
        <f>-'[3]LEX - Service'!I$5*$AC208</f>
        <v>-23520</v>
      </c>
      <c r="T208" s="186">
        <f>-'[3]LEX - Service'!J$5*$AC208</f>
        <v>-19600</v>
      </c>
      <c r="U208" s="186">
        <f>-'[3]LEX - Service'!K$5*$AC208</f>
        <v>-27440</v>
      </c>
      <c r="V208" s="186">
        <f>-'[3]LEX - Service'!L$5*$AC208</f>
        <v>-27440</v>
      </c>
      <c r="W208" s="186">
        <f>-'[3]LEX - Service'!M$5*$AC208</f>
        <v>-25480</v>
      </c>
      <c r="X208" s="186">
        <f>-'[3]LEX - Service'!N$5*$AC208</f>
        <v>-31360</v>
      </c>
      <c r="Y208" s="186">
        <f>-'[3]LEX - Service'!O$5*$AC208</f>
        <v>-25480</v>
      </c>
      <c r="Z208" s="186">
        <f>-'[3]LEX - Service'!P$5*$AC208</f>
        <v>-34496</v>
      </c>
      <c r="AA208" s="184" t="s">
        <v>144</v>
      </c>
      <c r="AB208" s="184" t="s">
        <v>119</v>
      </c>
      <c r="AC208" s="318">
        <v>0.8</v>
      </c>
      <c r="AE208" s="184" t="str">
        <f t="shared" si="55"/>
        <v>142-3390</v>
      </c>
    </row>
    <row r="209" spans="1:31" x14ac:dyDescent="0.2">
      <c r="A209" s="184">
        <v>142</v>
      </c>
      <c r="B209" s="187">
        <v>4390</v>
      </c>
      <c r="C209" s="186"/>
      <c r="D209" s="186"/>
      <c r="E209" s="186"/>
      <c r="F209" s="186"/>
      <c r="G209" s="186"/>
      <c r="H209" s="186"/>
      <c r="I209" s="186"/>
      <c r="J209" s="186"/>
      <c r="K209" s="186"/>
      <c r="L209" s="186"/>
      <c r="M209" s="186"/>
      <c r="N209" s="186"/>
      <c r="O209" s="186">
        <f>-O208*(1-'[3]LEX - Service'!E$31)</f>
        <v>13968</v>
      </c>
      <c r="P209" s="186">
        <f>-P208*(1-'[3]LEX - Service'!F$31)</f>
        <v>16058.400000000001</v>
      </c>
      <c r="Q209" s="186">
        <f>-Q208*(1-'[3]LEX - Service'!G$31)</f>
        <v>16058.400000000001</v>
      </c>
      <c r="R209" s="186">
        <f>-R208*(1-'[3]LEX - Service'!H$31)</f>
        <v>16058.400000000001</v>
      </c>
      <c r="S209" s="186">
        <f>-S208*(1-'[3]LEX - Service'!I$31)</f>
        <v>16058.400000000001</v>
      </c>
      <c r="T209" s="186">
        <f>-T208*(1-'[3]LEX - Service'!J$31)</f>
        <v>13382</v>
      </c>
      <c r="U209" s="186">
        <f>-U208*(1-'[3]LEX - Service'!K$31)</f>
        <v>18734.8</v>
      </c>
      <c r="V209" s="186">
        <f>-V208*(1-'[3]LEX - Service'!L$31)</f>
        <v>18734.8</v>
      </c>
      <c r="W209" s="186">
        <f>-W208*(1-'[3]LEX - Service'!M$31)</f>
        <v>17396.600000000002</v>
      </c>
      <c r="X209" s="186">
        <f>-X208*(1-'[3]LEX - Service'!N$31)</f>
        <v>21411.200000000001</v>
      </c>
      <c r="Y209" s="186">
        <f>-Y208*(1-'[3]LEX - Service'!O$31)</f>
        <v>17396.600000000002</v>
      </c>
      <c r="Z209" s="186">
        <f>-Z208*(1-'[3]LEX - Service'!P$31)</f>
        <v>23552.320000000003</v>
      </c>
      <c r="AA209" s="184" t="s">
        <v>144</v>
      </c>
      <c r="AB209" s="184" t="s">
        <v>120</v>
      </c>
      <c r="AE209" s="184" t="str">
        <f t="shared" si="55"/>
        <v>142-4390</v>
      </c>
    </row>
    <row r="210" spans="1:31" x14ac:dyDescent="0.2">
      <c r="A210" s="184">
        <v>142</v>
      </c>
      <c r="B210" s="185">
        <v>3430</v>
      </c>
      <c r="C210" s="186"/>
      <c r="D210" s="186"/>
      <c r="E210" s="186"/>
      <c r="F210" s="186"/>
      <c r="G210" s="186"/>
      <c r="H210" s="186"/>
      <c r="I210" s="186"/>
      <c r="J210" s="186"/>
      <c r="K210" s="186"/>
      <c r="L210" s="186"/>
      <c r="M210" s="186"/>
      <c r="N210" s="186"/>
      <c r="O210" s="186">
        <f>-'[3]LEX - Service'!E$5*$AC210</f>
        <v>-4200</v>
      </c>
      <c r="P210" s="186">
        <f>-'[3]LEX - Service'!F$5*$AC210</f>
        <v>-5880</v>
      </c>
      <c r="Q210" s="186">
        <f>-'[3]LEX - Service'!G$5*$AC210</f>
        <v>-5880</v>
      </c>
      <c r="R210" s="186">
        <f>-'[3]LEX - Service'!H$5*$AC210</f>
        <v>-5880</v>
      </c>
      <c r="S210" s="186">
        <f>-'[3]LEX - Service'!I$5*$AC210</f>
        <v>-5880</v>
      </c>
      <c r="T210" s="186">
        <f>-'[3]LEX - Service'!J$5*$AC210</f>
        <v>-4900</v>
      </c>
      <c r="U210" s="186">
        <f>-'[3]LEX - Service'!K$5*$AC210</f>
        <v>-6860</v>
      </c>
      <c r="V210" s="186">
        <f>-'[3]LEX - Service'!L$5*$AC210</f>
        <v>-6860</v>
      </c>
      <c r="W210" s="186">
        <f>-'[3]LEX - Service'!M$5*$AC210</f>
        <v>-6370</v>
      </c>
      <c r="X210" s="186">
        <f>-'[3]LEX - Service'!N$5*$AC210</f>
        <v>-7840</v>
      </c>
      <c r="Y210" s="186">
        <f>-'[3]LEX - Service'!O$5*$AC210</f>
        <v>-6370</v>
      </c>
      <c r="Z210" s="186">
        <f>-'[3]LEX - Service'!P$5*$AC210</f>
        <v>-8624</v>
      </c>
      <c r="AA210" s="184" t="s">
        <v>144</v>
      </c>
      <c r="AB210" s="184" t="s">
        <v>121</v>
      </c>
      <c r="AC210" s="318">
        <v>0.2</v>
      </c>
      <c r="AE210" s="184" t="str">
        <f t="shared" si="55"/>
        <v>142-3430</v>
      </c>
    </row>
    <row r="211" spans="1:31" x14ac:dyDescent="0.2">
      <c r="A211" s="184">
        <v>142</v>
      </c>
      <c r="B211" s="185">
        <v>4430</v>
      </c>
      <c r="C211" s="186"/>
      <c r="D211" s="186"/>
      <c r="E211" s="186"/>
      <c r="F211" s="186"/>
      <c r="G211" s="186"/>
      <c r="H211" s="186"/>
      <c r="I211" s="186"/>
      <c r="J211" s="186"/>
      <c r="K211" s="186"/>
      <c r="L211" s="186"/>
      <c r="M211" s="186"/>
      <c r="N211" s="186"/>
      <c r="O211" s="186">
        <f>-O210*(1-'[3]LEX - Service'!E$31)</f>
        <v>3492</v>
      </c>
      <c r="P211" s="186">
        <f>-P210*(1-'[3]LEX - Service'!F$31)</f>
        <v>4014.6000000000004</v>
      </c>
      <c r="Q211" s="186">
        <f>-Q210*(1-'[3]LEX - Service'!G$31)</f>
        <v>4014.6000000000004</v>
      </c>
      <c r="R211" s="186">
        <f>-R210*(1-'[3]LEX - Service'!H$31)</f>
        <v>4014.6000000000004</v>
      </c>
      <c r="S211" s="186">
        <f>-S210*(1-'[3]LEX - Service'!I$31)</f>
        <v>4014.6000000000004</v>
      </c>
      <c r="T211" s="186">
        <f>-T210*(1-'[3]LEX - Service'!J$31)</f>
        <v>3345.5</v>
      </c>
      <c r="U211" s="186">
        <f>-U210*(1-'[3]LEX - Service'!K$31)</f>
        <v>4683.7</v>
      </c>
      <c r="V211" s="186">
        <f>-V210*(1-'[3]LEX - Service'!L$31)</f>
        <v>4683.7</v>
      </c>
      <c r="W211" s="186">
        <f>-W210*(1-'[3]LEX - Service'!M$31)</f>
        <v>4349.1500000000005</v>
      </c>
      <c r="X211" s="186">
        <f>-X210*(1-'[3]LEX - Service'!N$31)</f>
        <v>5352.8</v>
      </c>
      <c r="Y211" s="186">
        <f>-Y210*(1-'[3]LEX - Service'!O$31)</f>
        <v>4349.1500000000005</v>
      </c>
      <c r="Z211" s="186">
        <f>-Z210*(1-'[3]LEX - Service'!P$31)</f>
        <v>5888.0800000000008</v>
      </c>
      <c r="AA211" s="184" t="s">
        <v>144</v>
      </c>
      <c r="AB211" s="184" t="s">
        <v>122</v>
      </c>
      <c r="AE211" s="184" t="str">
        <f t="shared" si="55"/>
        <v>142-4430</v>
      </c>
    </row>
    <row r="212" spans="1:31" x14ac:dyDescent="0.2">
      <c r="A212" s="184">
        <v>142</v>
      </c>
      <c r="B212" s="185">
        <v>7020</v>
      </c>
      <c r="C212" s="186"/>
      <c r="D212" s="186"/>
      <c r="E212" s="186"/>
      <c r="F212" s="186"/>
      <c r="G212" s="186"/>
      <c r="H212" s="186"/>
      <c r="I212" s="186"/>
      <c r="J212" s="186"/>
      <c r="K212" s="186"/>
      <c r="L212" s="186"/>
      <c r="M212" s="186"/>
      <c r="N212" s="186"/>
      <c r="O212" s="186">
        <f>('[3]LEX - Service'!E$6*'[3]LEX - Service'!E$10)*$AC212</f>
        <v>30340.800000000003</v>
      </c>
      <c r="P212" s="186">
        <f>('[3]LEX - Service'!F$6*'[3]LEX - Service'!F$10)*$AC212</f>
        <v>31540.320000000003</v>
      </c>
      <c r="Q212" s="186">
        <f>('[3]LEX - Service'!G$6*'[3]LEX - Service'!G$10)*$AC212</f>
        <v>31540.320000000003</v>
      </c>
      <c r="R212" s="186">
        <f>('[3]LEX - Service'!H$6*'[3]LEX - Service'!H$10)*$AC212</f>
        <v>31540.320000000003</v>
      </c>
      <c r="S212" s="186">
        <f>('[3]LEX - Service'!I$6*'[3]LEX - Service'!I$10)*$AC212</f>
        <v>31540.320000000003</v>
      </c>
      <c r="T212" s="186">
        <f>('[3]LEX - Service'!J$6*'[3]LEX - Service'!J$10)*$AC212</f>
        <v>26283.600000000002</v>
      </c>
      <c r="U212" s="186">
        <f>('[3]LEX - Service'!K$6*'[3]LEX - Service'!K$10)*$AC212</f>
        <v>36797.040000000001</v>
      </c>
      <c r="V212" s="186">
        <f>('[3]LEX - Service'!L$6*'[3]LEX - Service'!L$10)*$AC212</f>
        <v>36797.040000000001</v>
      </c>
      <c r="W212" s="186">
        <f>('[3]LEX - Service'!M$6*'[3]LEX - Service'!M$10)*$AC212</f>
        <v>34168.68</v>
      </c>
      <c r="X212" s="186">
        <f>('[3]LEX - Service'!N$6*'[3]LEX - Service'!N$10)*$AC212</f>
        <v>42053.760000000002</v>
      </c>
      <c r="Y212" s="186">
        <f>('[3]LEX - Service'!O$6*'[3]LEX - Service'!O$10)*$AC212</f>
        <v>34168.68</v>
      </c>
      <c r="Z212" s="186">
        <f>('[3]LEX - Service'!P$6*'[3]LEX - Service'!P$10)*$AC212</f>
        <v>46259.135999999999</v>
      </c>
      <c r="AA212" s="184" t="s">
        <v>144</v>
      </c>
      <c r="AB212" s="184" t="s">
        <v>75</v>
      </c>
      <c r="AC212" s="318">
        <v>0.8</v>
      </c>
      <c r="AE212" s="184" t="str">
        <f t="shared" si="55"/>
        <v>142-7020</v>
      </c>
    </row>
    <row r="213" spans="1:31" x14ac:dyDescent="0.2">
      <c r="A213" s="184">
        <v>142</v>
      </c>
      <c r="B213" s="185">
        <v>7060</v>
      </c>
      <c r="C213" s="186"/>
      <c r="D213" s="186"/>
      <c r="E213" s="186"/>
      <c r="F213" s="186"/>
      <c r="G213" s="186"/>
      <c r="H213" s="186"/>
      <c r="I213" s="186"/>
      <c r="J213" s="186"/>
      <c r="K213" s="186"/>
      <c r="L213" s="186"/>
      <c r="M213" s="186"/>
      <c r="N213" s="186"/>
      <c r="O213" s="186">
        <f>('[3]LEX - Service'!E$6*'[3]LEX - Service'!E$10)*$AC213+'[3]LEX - Service'!E$18</f>
        <v>7585.2000000000007</v>
      </c>
      <c r="P213" s="186">
        <f>('[3]LEX - Service'!F$6*'[3]LEX - Service'!F$10)*$AC213+'[3]LEX - Service'!F$18</f>
        <v>12423.146666666667</v>
      </c>
      <c r="Q213" s="186">
        <f>('[3]LEX - Service'!G$6*'[3]LEX - Service'!G$10)*$AC213+'[3]LEX - Service'!G$18</f>
        <v>12423.146666666667</v>
      </c>
      <c r="R213" s="186">
        <f>('[3]LEX - Service'!H$6*'[3]LEX - Service'!H$10)*$AC213+'[3]LEX - Service'!H$18</f>
        <v>12423.146666666667</v>
      </c>
      <c r="S213" s="186">
        <f>('[3]LEX - Service'!I$6*'[3]LEX - Service'!I$10)*$AC213+'[3]LEX - Service'!I$18</f>
        <v>12423.146666666667</v>
      </c>
      <c r="T213" s="186">
        <f>('[3]LEX - Service'!J$6*'[3]LEX - Service'!J$10)*$AC213+'[3]LEX - Service'!J$18</f>
        <v>11108.966666666667</v>
      </c>
      <c r="U213" s="186">
        <f>('[3]LEX - Service'!K$6*'[3]LEX - Service'!K$10)*$AC213+'[3]LEX - Service'!K$18</f>
        <v>14777.326666666666</v>
      </c>
      <c r="V213" s="186">
        <f>('[3]LEX - Service'!L$6*'[3]LEX - Service'!L$10)*$AC213+'[3]LEX - Service'!L$18</f>
        <v>14777.326666666666</v>
      </c>
      <c r="W213" s="186">
        <f>('[3]LEX - Service'!M$6*'[3]LEX - Service'!M$10)*$AC213+'[3]LEX - Service'!M$18</f>
        <v>14120.236666666666</v>
      </c>
      <c r="X213" s="186">
        <f>('[3]LEX - Service'!N$6*'[3]LEX - Service'!N$10)*$AC213+'[3]LEX - Service'!N$18</f>
        <v>16091.506666666666</v>
      </c>
      <c r="Y213" s="186">
        <f>('[3]LEX - Service'!O$6*'[3]LEX - Service'!O$10)*$AC213+'[3]LEX - Service'!O$18</f>
        <v>14120.236666666666</v>
      </c>
      <c r="Z213" s="186">
        <f>('[3]LEX - Service'!P$6*'[3]LEX - Service'!P$10)*$AC213+'[3]LEX - Service'!P$18</f>
        <v>17142.850666666665</v>
      </c>
      <c r="AA213" s="184" t="s">
        <v>144</v>
      </c>
      <c r="AB213" s="184" t="s">
        <v>123</v>
      </c>
      <c r="AC213" s="318">
        <v>0.2</v>
      </c>
      <c r="AE213" s="184" t="str">
        <f t="shared" si="55"/>
        <v>142-7060</v>
      </c>
    </row>
    <row r="214" spans="1:31" x14ac:dyDescent="0.2">
      <c r="A214" s="184">
        <v>142</v>
      </c>
      <c r="B214" s="187">
        <v>3248</v>
      </c>
      <c r="C214" s="186"/>
      <c r="D214" s="186"/>
      <c r="E214" s="186"/>
      <c r="F214" s="186"/>
      <c r="G214" s="186"/>
      <c r="H214" s="186"/>
      <c r="I214" s="186"/>
      <c r="J214" s="186"/>
      <c r="K214" s="186"/>
      <c r="L214" s="186"/>
      <c r="M214" s="186"/>
      <c r="N214" s="186"/>
      <c r="O214" s="186"/>
      <c r="P214" s="186"/>
      <c r="Q214" s="186"/>
      <c r="R214" s="186"/>
      <c r="S214" s="186"/>
      <c r="T214" s="186"/>
      <c r="U214" s="186"/>
      <c r="V214" s="186"/>
      <c r="W214" s="186">
        <v>-26100</v>
      </c>
      <c r="X214" s="186"/>
      <c r="Y214" s="186"/>
      <c r="Z214" s="186">
        <v>-26100</v>
      </c>
      <c r="AA214" s="184" t="s">
        <v>140</v>
      </c>
      <c r="AB214" s="184" t="s">
        <v>111</v>
      </c>
      <c r="AE214" s="184" t="str">
        <f t="shared" si="55"/>
        <v>142-3248</v>
      </c>
    </row>
    <row r="215" spans="1:31" x14ac:dyDescent="0.2">
      <c r="A215" s="184">
        <v>150</v>
      </c>
      <c r="B215" s="185" t="s">
        <v>110</v>
      </c>
      <c r="C215" s="186"/>
      <c r="D215" s="186"/>
      <c r="E215" s="186"/>
      <c r="F215" s="186"/>
      <c r="G215" s="186"/>
      <c r="H215" s="186"/>
      <c r="I215" s="186"/>
      <c r="J215" s="186"/>
      <c r="K215" s="186"/>
      <c r="L215" s="186"/>
      <c r="M215" s="186"/>
      <c r="N215" s="186"/>
      <c r="O215" s="186">
        <f>'[3]Retail Detailing'!E$8</f>
        <v>6</v>
      </c>
      <c r="P215" s="186">
        <f>'[3]Retail Detailing'!F$8</f>
        <v>6</v>
      </c>
      <c r="Q215" s="186">
        <f>'[3]Retail Detailing'!G$8</f>
        <v>6</v>
      </c>
      <c r="R215" s="186">
        <f>'[3]Retail Detailing'!H$8</f>
        <v>6</v>
      </c>
      <c r="S215" s="186">
        <f>'[3]Retail Detailing'!I$8</f>
        <v>6</v>
      </c>
      <c r="T215" s="186">
        <f>'[3]Retail Detailing'!J$8</f>
        <v>6</v>
      </c>
      <c r="U215" s="186">
        <f>'[3]Retail Detailing'!K$8</f>
        <v>7</v>
      </c>
      <c r="V215" s="186">
        <f>'[3]Retail Detailing'!L$8</f>
        <v>7</v>
      </c>
      <c r="W215" s="186">
        <f>'[3]Retail Detailing'!M$8</f>
        <v>7</v>
      </c>
      <c r="X215" s="186">
        <f>'[3]Retail Detailing'!N$8</f>
        <v>7</v>
      </c>
      <c r="Y215" s="186">
        <f>'[3]Retail Detailing'!O$8</f>
        <v>7</v>
      </c>
      <c r="Z215" s="186">
        <f>'[3]Retail Detailing'!P$8</f>
        <v>7</v>
      </c>
      <c r="AA215" s="184" t="s">
        <v>145</v>
      </c>
      <c r="AB215" s="184" t="s">
        <v>112</v>
      </c>
      <c r="AC215" s="184" t="str">
        <f t="shared" ref="AC215" si="57">+IF(RIGHT(B215,1)="#","#","")</f>
        <v>#</v>
      </c>
      <c r="AE215" s="184" t="str">
        <f t="shared" si="55"/>
        <v>150-9360M#</v>
      </c>
    </row>
    <row r="216" spans="1:31" x14ac:dyDescent="0.2">
      <c r="A216" s="184">
        <v>150</v>
      </c>
      <c r="B216" s="185">
        <v>3300</v>
      </c>
      <c r="C216" s="186"/>
      <c r="D216" s="186"/>
      <c r="E216" s="186"/>
      <c r="F216" s="186"/>
      <c r="G216" s="186"/>
      <c r="H216" s="186"/>
      <c r="I216" s="186"/>
      <c r="J216" s="186"/>
      <c r="K216" s="186"/>
      <c r="L216" s="186"/>
      <c r="M216" s="186"/>
      <c r="N216" s="186"/>
      <c r="O216" s="186">
        <f>-'[3]Retail Detailing'!E$6</f>
        <v>-1000</v>
      </c>
      <c r="P216" s="186">
        <f>-'[3]Retail Detailing'!F$6</f>
        <v>-3000</v>
      </c>
      <c r="Q216" s="186">
        <f>-'[3]Retail Detailing'!G$6</f>
        <v>-5000</v>
      </c>
      <c r="R216" s="186">
        <f>-'[3]Retail Detailing'!H$6</f>
        <v>-7000</v>
      </c>
      <c r="S216" s="186">
        <f>-'[3]Retail Detailing'!I$6</f>
        <v>-9000</v>
      </c>
      <c r="T216" s="186">
        <f>-'[3]Retail Detailing'!J$6</f>
        <v>-11000</v>
      </c>
      <c r="U216" s="186">
        <f>-'[3]Retail Detailing'!K$6</f>
        <v>-15000</v>
      </c>
      <c r="V216" s="186">
        <f>-'[3]Retail Detailing'!L$6</f>
        <v>-19000</v>
      </c>
      <c r="W216" s="186">
        <f>-'[3]Retail Detailing'!M$6</f>
        <v>-23000</v>
      </c>
      <c r="X216" s="186">
        <f>-'[3]Retail Detailing'!N$6</f>
        <v>-27000</v>
      </c>
      <c r="Y216" s="186">
        <f>-'[3]Retail Detailing'!O$6</f>
        <v>-31000</v>
      </c>
      <c r="Z216" s="186">
        <f>-'[3]Retail Detailing'!P$6</f>
        <v>-35000</v>
      </c>
      <c r="AA216" s="184" t="s">
        <v>145</v>
      </c>
      <c r="AB216" s="184" t="s">
        <v>113</v>
      </c>
      <c r="AE216" s="184" t="str">
        <f t="shared" si="55"/>
        <v>150-3300</v>
      </c>
    </row>
    <row r="217" spans="1:31" x14ac:dyDescent="0.2">
      <c r="A217" s="184">
        <v>150</v>
      </c>
      <c r="B217" s="185">
        <v>3340</v>
      </c>
      <c r="C217" s="186"/>
      <c r="D217" s="186"/>
      <c r="E217" s="186"/>
      <c r="F217" s="186"/>
      <c r="G217" s="186"/>
      <c r="H217" s="186"/>
      <c r="I217" s="186"/>
      <c r="J217" s="186"/>
      <c r="K217" s="186"/>
      <c r="L217" s="186"/>
      <c r="M217" s="186"/>
      <c r="N217" s="186"/>
      <c r="O217" s="186">
        <f>-'[3]Retail Detailing'!E$5</f>
        <v>-11000</v>
      </c>
      <c r="P217" s="186">
        <f>-'[3]Retail Detailing'!F$5</f>
        <v>-18152.266666666666</v>
      </c>
      <c r="Q217" s="186">
        <f>-'[3]Retail Detailing'!G$5</f>
        <v>-18152.266666666666</v>
      </c>
      <c r="R217" s="186">
        <f>-'[3]Retail Detailing'!H$5</f>
        <v>-18152.266666666666</v>
      </c>
      <c r="S217" s="186">
        <f>-'[3]Retail Detailing'!I$5</f>
        <v>-18152.266666666666</v>
      </c>
      <c r="T217" s="186">
        <f>-'[3]Retail Detailing'!J$5</f>
        <v>-18152.266666666666</v>
      </c>
      <c r="U217" s="186">
        <f>-'[3]Retail Detailing'!K$5</f>
        <v>-22312.266666666666</v>
      </c>
      <c r="V217" s="186">
        <f>-'[3]Retail Detailing'!L$5</f>
        <v>-22312.266666666666</v>
      </c>
      <c r="W217" s="186">
        <f>-'[3]Retail Detailing'!M$5</f>
        <v>-22312.266666666666</v>
      </c>
      <c r="X217" s="186">
        <f>-'[3]Retail Detailing'!N$5</f>
        <v>-22312.266666666666</v>
      </c>
      <c r="Y217" s="186">
        <f>-'[3]Retail Detailing'!O$5</f>
        <v>-22312.266666666666</v>
      </c>
      <c r="Z217" s="186">
        <f>-'[3]Retail Detailing'!P$5</f>
        <v>-22312.266666666666</v>
      </c>
      <c r="AA217" s="184" t="s">
        <v>145</v>
      </c>
      <c r="AB217" s="184" t="s">
        <v>115</v>
      </c>
      <c r="AE217" s="184" t="str">
        <f t="shared" si="55"/>
        <v>150-3340</v>
      </c>
    </row>
    <row r="218" spans="1:31" x14ac:dyDescent="0.2">
      <c r="A218" s="184">
        <v>150</v>
      </c>
      <c r="B218" s="185">
        <v>7020</v>
      </c>
      <c r="C218" s="186"/>
      <c r="D218" s="186"/>
      <c r="E218" s="186"/>
      <c r="F218" s="186"/>
      <c r="G218" s="186"/>
      <c r="H218" s="186"/>
      <c r="I218" s="186"/>
      <c r="J218" s="186"/>
      <c r="K218" s="186"/>
      <c r="L218" s="186"/>
      <c r="M218" s="186"/>
      <c r="N218" s="186"/>
      <c r="O218" s="186">
        <f>'[3]Retail Detailing'!E$9*$AC218</f>
        <v>52399.267200000002</v>
      </c>
      <c r="P218" s="186">
        <f>'[3]Retail Detailing'!F$9*$AC218</f>
        <v>52399.267200000002</v>
      </c>
      <c r="Q218" s="186">
        <f>'[3]Retail Detailing'!G$9*$AC218</f>
        <v>52399.267200000002</v>
      </c>
      <c r="R218" s="186">
        <f>'[3]Retail Detailing'!H$9*$AC218</f>
        <v>52399.267200000002</v>
      </c>
      <c r="S218" s="186">
        <f>'[3]Retail Detailing'!I$9*$AC218</f>
        <v>52399.267200000002</v>
      </c>
      <c r="T218" s="186">
        <f>'[3]Retail Detailing'!J$9*$AC218</f>
        <v>52399.267200000002</v>
      </c>
      <c r="U218" s="186">
        <f>'[3]Retail Detailing'!K$9*$AC218</f>
        <v>56476.067199999998</v>
      </c>
      <c r="V218" s="186">
        <f>'[3]Retail Detailing'!L$9*$AC218</f>
        <v>56476.067199999998</v>
      </c>
      <c r="W218" s="186">
        <f>'[3]Retail Detailing'!M$9*$AC218</f>
        <v>56476.067199999998</v>
      </c>
      <c r="X218" s="186">
        <f>'[3]Retail Detailing'!N$9*$AC218</f>
        <v>56476.067199999998</v>
      </c>
      <c r="Y218" s="186">
        <f>'[3]Retail Detailing'!O$9*$AC218</f>
        <v>56476.067199999998</v>
      </c>
      <c r="Z218" s="186">
        <f>'[3]Retail Detailing'!P$9*$AC218</f>
        <v>56476.067199999998</v>
      </c>
      <c r="AA218" s="184" t="s">
        <v>145</v>
      </c>
      <c r="AB218" s="184" t="s">
        <v>75</v>
      </c>
      <c r="AC218" s="318">
        <v>0.98</v>
      </c>
      <c r="AE218" s="184" t="str">
        <f t="shared" si="55"/>
        <v>150-7020</v>
      </c>
    </row>
    <row r="219" spans="1:31" x14ac:dyDescent="0.2">
      <c r="A219" s="184">
        <v>150</v>
      </c>
      <c r="B219" s="185">
        <v>7550</v>
      </c>
      <c r="C219" s="186"/>
      <c r="D219" s="186"/>
      <c r="E219" s="186"/>
      <c r="F219" s="186"/>
      <c r="G219" s="186"/>
      <c r="H219" s="186"/>
      <c r="I219" s="186"/>
      <c r="J219" s="186"/>
      <c r="K219" s="186"/>
      <c r="L219" s="186"/>
      <c r="M219" s="186"/>
      <c r="N219" s="186"/>
      <c r="O219" s="186">
        <f>'[3]Retail Detailing'!E$9*$AC219</f>
        <v>1069.3728000000001</v>
      </c>
      <c r="P219" s="186">
        <f>'[3]Retail Detailing'!F$9*$AC219</f>
        <v>1069.3728000000001</v>
      </c>
      <c r="Q219" s="186">
        <f>'[3]Retail Detailing'!G$9*$AC219</f>
        <v>1069.3728000000001</v>
      </c>
      <c r="R219" s="186">
        <f>'[3]Retail Detailing'!H$9*$AC219</f>
        <v>1069.3728000000001</v>
      </c>
      <c r="S219" s="186">
        <f>'[3]Retail Detailing'!I$9*$AC219</f>
        <v>1069.3728000000001</v>
      </c>
      <c r="T219" s="186">
        <f>'[3]Retail Detailing'!J$9*$AC219</f>
        <v>1069.3728000000001</v>
      </c>
      <c r="U219" s="186">
        <f>'[3]Retail Detailing'!K$9*$AC219</f>
        <v>1152.5727999999999</v>
      </c>
      <c r="V219" s="186">
        <f>'[3]Retail Detailing'!L$9*$AC219</f>
        <v>1152.5727999999999</v>
      </c>
      <c r="W219" s="186">
        <f>'[3]Retail Detailing'!M$9*$AC219</f>
        <v>1152.5727999999999</v>
      </c>
      <c r="X219" s="186">
        <f>'[3]Retail Detailing'!N$9*$AC219</f>
        <v>1152.5727999999999</v>
      </c>
      <c r="Y219" s="186">
        <f>'[3]Retail Detailing'!O$9*$AC219</f>
        <v>1152.5727999999999</v>
      </c>
      <c r="Z219" s="186">
        <f>'[3]Retail Detailing'!P$9*$AC219</f>
        <v>1152.5727999999999</v>
      </c>
      <c r="AA219" s="184" t="s">
        <v>145</v>
      </c>
      <c r="AB219" s="184" t="s">
        <v>146</v>
      </c>
      <c r="AC219" s="318">
        <v>0.02</v>
      </c>
      <c r="AE219" s="184" t="str">
        <f t="shared" si="55"/>
        <v>150-7550</v>
      </c>
    </row>
    <row r="220" spans="1:31" x14ac:dyDescent="0.2">
      <c r="A220" s="184">
        <v>935</v>
      </c>
      <c r="B220" s="187">
        <v>3465</v>
      </c>
      <c r="C220" s="186"/>
      <c r="D220" s="186"/>
      <c r="E220" s="186"/>
      <c r="F220" s="186"/>
      <c r="G220" s="186"/>
      <c r="H220" s="186"/>
      <c r="I220" s="186"/>
      <c r="J220" s="186"/>
      <c r="K220" s="186"/>
      <c r="L220" s="186"/>
      <c r="M220" s="186"/>
      <c r="N220" s="186"/>
      <c r="O220" s="186">
        <f>-[3]Bridgestone!E$4*$AC220*5/7</f>
        <v>-96428.571428571435</v>
      </c>
      <c r="P220" s="186">
        <f>-[3]Bridgestone!F$4*$AC220*5/7</f>
        <v>-107142.85714285714</v>
      </c>
      <c r="Q220" s="186">
        <f>-[3]Bridgestone!G$4*$AC220*5/7</f>
        <v>-123214.28571428571</v>
      </c>
      <c r="R220" s="186">
        <f>-[3]Bridgestone!H$4*$AC220*5/7</f>
        <v>-133928.57142857142</v>
      </c>
      <c r="S220" s="186">
        <f>-[3]Bridgestone!I$4*$AC220*5/7</f>
        <v>-133928.57142857142</v>
      </c>
      <c r="T220" s="186">
        <f>-[3]Bridgestone!J$4*$AC220*5/7</f>
        <v>-133928.57142857142</v>
      </c>
      <c r="U220" s="186">
        <f>-[3]Bridgestone!K$4*$AC220*5/7</f>
        <v>-133928.57142857142</v>
      </c>
      <c r="V220" s="186">
        <f>-[3]Bridgestone!L$4*$AC220*5/7</f>
        <v>-133928.57142857142</v>
      </c>
      <c r="W220" s="186">
        <f>-[3]Bridgestone!M$4*$AC220*5/7</f>
        <v>-133928.57142857142</v>
      </c>
      <c r="X220" s="186">
        <f>-[3]Bridgestone!N$4*$AC220*5/7</f>
        <v>-133928.57142857142</v>
      </c>
      <c r="Y220" s="186">
        <f>-[3]Bridgestone!O$4*$AC220*5/7</f>
        <v>-133928.57142857142</v>
      </c>
      <c r="Z220" s="186">
        <f>-[3]Bridgestone!P$4*$AC220*5/7</f>
        <v>-133928.57142857142</v>
      </c>
      <c r="AA220" s="184" t="s">
        <v>58</v>
      </c>
      <c r="AB220" s="184" t="s">
        <v>100</v>
      </c>
      <c r="AC220" s="318">
        <v>0.75</v>
      </c>
      <c r="AE220" s="184" t="str">
        <f t="shared" si="55"/>
        <v>935-3465</v>
      </c>
    </row>
    <row r="221" spans="1:31" x14ac:dyDescent="0.2">
      <c r="A221" s="184">
        <v>935</v>
      </c>
      <c r="B221" s="187">
        <v>3466</v>
      </c>
      <c r="C221" s="186"/>
      <c r="D221" s="186"/>
      <c r="E221" s="186"/>
      <c r="F221" s="186"/>
      <c r="G221" s="186"/>
      <c r="H221" s="186"/>
      <c r="I221" s="186"/>
      <c r="J221" s="186"/>
      <c r="K221" s="186"/>
      <c r="L221" s="186"/>
      <c r="M221" s="186"/>
      <c r="N221" s="186"/>
      <c r="O221" s="186">
        <f>-[3]Bridgestone!E$4*$AC221*5/7</f>
        <v>-12857.142857142857</v>
      </c>
      <c r="P221" s="186">
        <f>-[3]Bridgestone!F$4*$AC221*5/7</f>
        <v>-14285.714285714286</v>
      </c>
      <c r="Q221" s="186">
        <f>-[3]Bridgestone!G$4*$AC221*5/7</f>
        <v>-16428.571428571428</v>
      </c>
      <c r="R221" s="186">
        <f>-[3]Bridgestone!H$4*$AC221*5/7</f>
        <v>-17857.142857142859</v>
      </c>
      <c r="S221" s="186">
        <f>-[3]Bridgestone!I$4*$AC221*5/7</f>
        <v>-17857.142857142859</v>
      </c>
      <c r="T221" s="186">
        <f>-[3]Bridgestone!J$4*$AC221*5/7</f>
        <v>-17857.142857142859</v>
      </c>
      <c r="U221" s="186">
        <f>-[3]Bridgestone!K$4*$AC221*5/7</f>
        <v>-17857.142857142859</v>
      </c>
      <c r="V221" s="186">
        <f>-[3]Bridgestone!L$4*$AC221*5/7</f>
        <v>-17857.142857142859</v>
      </c>
      <c r="W221" s="186">
        <f>-[3]Bridgestone!M$4*$AC221*5/7</f>
        <v>-17857.142857142859</v>
      </c>
      <c r="X221" s="186">
        <f>-[3]Bridgestone!N$4*$AC221*5/7</f>
        <v>-17857.142857142859</v>
      </c>
      <c r="Y221" s="186">
        <f>-[3]Bridgestone!O$4*$AC221*5/7</f>
        <v>-17857.142857142859</v>
      </c>
      <c r="Z221" s="186">
        <f>-[3]Bridgestone!P$4*$AC221*5/7</f>
        <v>-17857.142857142859</v>
      </c>
      <c r="AA221" s="184" t="s">
        <v>58</v>
      </c>
      <c r="AB221" s="184" t="s">
        <v>101</v>
      </c>
      <c r="AC221" s="318">
        <v>0.1</v>
      </c>
      <c r="AE221" s="184" t="str">
        <f t="shared" si="55"/>
        <v>935-3466</v>
      </c>
    </row>
    <row r="222" spans="1:31" x14ac:dyDescent="0.2">
      <c r="A222" s="184">
        <v>935</v>
      </c>
      <c r="B222" s="187">
        <v>3505</v>
      </c>
      <c r="C222" s="186"/>
      <c r="D222" s="186"/>
      <c r="E222" s="186"/>
      <c r="F222" s="186"/>
      <c r="G222" s="186"/>
      <c r="H222" s="186"/>
      <c r="I222" s="186"/>
      <c r="J222" s="186"/>
      <c r="K222" s="186"/>
      <c r="L222" s="186"/>
      <c r="M222" s="186"/>
      <c r="N222" s="186"/>
      <c r="O222" s="186">
        <f>-[3]Bridgestone!E$4*$AC222*5/7</f>
        <v>-19285.714285714286</v>
      </c>
      <c r="P222" s="186">
        <f>-[3]Bridgestone!F$4*$AC222*5/7</f>
        <v>-21428.571428571428</v>
      </c>
      <c r="Q222" s="186">
        <f>-[3]Bridgestone!G$4*$AC222*5/7</f>
        <v>-24642.857142857141</v>
      </c>
      <c r="R222" s="186">
        <f>-[3]Bridgestone!H$4*$AC222*5/7</f>
        <v>-26785.714285714286</v>
      </c>
      <c r="S222" s="186">
        <f>-[3]Bridgestone!I$4*$AC222*5/7</f>
        <v>-26785.714285714286</v>
      </c>
      <c r="T222" s="186">
        <f>-[3]Bridgestone!J$4*$AC222*5/7</f>
        <v>-26785.714285714286</v>
      </c>
      <c r="U222" s="186">
        <f>-[3]Bridgestone!K$4*$AC222*5/7</f>
        <v>-26785.714285714286</v>
      </c>
      <c r="V222" s="186">
        <f>-[3]Bridgestone!L$4*$AC222*5/7</f>
        <v>-26785.714285714286</v>
      </c>
      <c r="W222" s="186">
        <f>-[3]Bridgestone!M$4*$AC222*5/7</f>
        <v>-26785.714285714286</v>
      </c>
      <c r="X222" s="186">
        <f>-[3]Bridgestone!N$4*$AC222*5/7</f>
        <v>-26785.714285714286</v>
      </c>
      <c r="Y222" s="186">
        <f>-[3]Bridgestone!O$4*$AC222*5/7</f>
        <v>-26785.714285714286</v>
      </c>
      <c r="Z222" s="186">
        <f>-[3]Bridgestone!P$4*$AC222*5/7</f>
        <v>-26785.714285714286</v>
      </c>
      <c r="AA222" s="184" t="s">
        <v>58</v>
      </c>
      <c r="AB222" s="184" t="s">
        <v>104</v>
      </c>
      <c r="AC222" s="318">
        <v>0.15</v>
      </c>
      <c r="AE222" s="184" t="str">
        <f t="shared" si="55"/>
        <v>935-3505</v>
      </c>
    </row>
    <row r="223" spans="1:31" x14ac:dyDescent="0.2">
      <c r="A223" s="184">
        <v>935</v>
      </c>
      <c r="B223" s="187">
        <v>4465</v>
      </c>
      <c r="C223" s="186"/>
      <c r="D223" s="186"/>
      <c r="E223" s="186"/>
      <c r="F223" s="186"/>
      <c r="G223" s="186"/>
      <c r="H223" s="186"/>
      <c r="I223" s="186"/>
      <c r="J223" s="186"/>
      <c r="K223" s="186"/>
      <c r="L223" s="186"/>
      <c r="M223" s="186"/>
      <c r="N223" s="186"/>
      <c r="O223" s="186">
        <f>-O220*(1-[3]Bridgestone!E$6)</f>
        <v>58849.649398456335</v>
      </c>
      <c r="P223" s="186">
        <f>-P220*(1-[3]Bridgestone!F$6)</f>
        <v>65388.499331618143</v>
      </c>
      <c r="Q223" s="186">
        <f>-Q220*(1-[3]Bridgestone!G$6)</f>
        <v>75196.774231360861</v>
      </c>
      <c r="R223" s="186">
        <f>-R220*(1-[3]Bridgestone!H$6)</f>
        <v>81735.624164522669</v>
      </c>
      <c r="S223" s="186">
        <f>-S220*(1-[3]Bridgestone!I$6)</f>
        <v>81735.624164522669</v>
      </c>
      <c r="T223" s="186">
        <f>-T220*(1-[3]Bridgestone!J$6)</f>
        <v>81735.624164522669</v>
      </c>
      <c r="U223" s="186">
        <f>-U220*(1-[3]Bridgestone!K$6)</f>
        <v>81735.624164522669</v>
      </c>
      <c r="V223" s="186">
        <f>-V220*(1-[3]Bridgestone!L$6)</f>
        <v>81735.624164522669</v>
      </c>
      <c r="W223" s="186">
        <f>-W220*(1-[3]Bridgestone!M$6)</f>
        <v>81735.624164522669</v>
      </c>
      <c r="X223" s="186">
        <f>-X220*(1-[3]Bridgestone!N$6)</f>
        <v>81735.624164522669</v>
      </c>
      <c r="Y223" s="186">
        <f>-Y220*(1-[3]Bridgestone!O$6)</f>
        <v>81735.624164522669</v>
      </c>
      <c r="Z223" s="186">
        <f>-Z220*(1-[3]Bridgestone!P$6)</f>
        <v>81735.624164522669</v>
      </c>
      <c r="AA223" s="184" t="s">
        <v>58</v>
      </c>
      <c r="AB223" s="184" t="s">
        <v>105</v>
      </c>
      <c r="AE223" s="184" t="str">
        <f t="shared" si="55"/>
        <v>935-4465</v>
      </c>
    </row>
    <row r="224" spans="1:31" x14ac:dyDescent="0.2">
      <c r="A224" s="184">
        <v>935</v>
      </c>
      <c r="B224" s="187">
        <v>4466</v>
      </c>
      <c r="C224" s="186"/>
      <c r="D224" s="186"/>
      <c r="E224" s="186"/>
      <c r="F224" s="186"/>
      <c r="G224" s="186"/>
      <c r="H224" s="186"/>
      <c r="I224" s="186"/>
      <c r="J224" s="186"/>
      <c r="K224" s="186"/>
      <c r="L224" s="186"/>
      <c r="M224" s="186"/>
      <c r="N224" s="186"/>
      <c r="O224" s="186">
        <f>-O221*(1-[3]Bridgestone!E$6)</f>
        <v>7846.6199197941769</v>
      </c>
      <c r="P224" s="186">
        <f>-P221*(1-[3]Bridgestone!F$6)</f>
        <v>8718.4665775490867</v>
      </c>
      <c r="Q224" s="186">
        <f>-Q221*(1-[3]Bridgestone!G$6)</f>
        <v>10026.236564181449</v>
      </c>
      <c r="R224" s="186">
        <f>-R221*(1-[3]Bridgestone!H$6)</f>
        <v>10898.083221936358</v>
      </c>
      <c r="S224" s="186">
        <f>-S221*(1-[3]Bridgestone!I$6)</f>
        <v>10898.083221936358</v>
      </c>
      <c r="T224" s="186">
        <f>-T221*(1-[3]Bridgestone!J$6)</f>
        <v>10898.083221936358</v>
      </c>
      <c r="U224" s="186">
        <f>-U221*(1-[3]Bridgestone!K$6)</f>
        <v>10898.083221936358</v>
      </c>
      <c r="V224" s="186">
        <f>-V221*(1-[3]Bridgestone!L$6)</f>
        <v>10898.083221936358</v>
      </c>
      <c r="W224" s="186">
        <f>-W221*(1-[3]Bridgestone!M$6)</f>
        <v>10898.083221936358</v>
      </c>
      <c r="X224" s="186">
        <f>-X221*(1-[3]Bridgestone!N$6)</f>
        <v>10898.083221936358</v>
      </c>
      <c r="Y224" s="186">
        <f>-Y221*(1-[3]Bridgestone!O$6)</f>
        <v>10898.083221936358</v>
      </c>
      <c r="Z224" s="186">
        <f>-Z221*(1-[3]Bridgestone!P$6)</f>
        <v>10898.083221936358</v>
      </c>
      <c r="AA224" s="184" t="s">
        <v>58</v>
      </c>
      <c r="AB224" s="184" t="s">
        <v>106</v>
      </c>
      <c r="AE224" s="184" t="str">
        <f t="shared" si="55"/>
        <v>935-4466</v>
      </c>
    </row>
    <row r="225" spans="1:31" x14ac:dyDescent="0.2">
      <c r="A225" s="184">
        <v>935</v>
      </c>
      <c r="B225" s="187">
        <v>4505</v>
      </c>
      <c r="C225" s="186"/>
      <c r="D225" s="186"/>
      <c r="E225" s="186"/>
      <c r="F225" s="186"/>
      <c r="G225" s="186"/>
      <c r="H225" s="186"/>
      <c r="I225" s="186"/>
      <c r="J225" s="186"/>
      <c r="K225" s="186"/>
      <c r="L225" s="186"/>
      <c r="M225" s="186"/>
      <c r="N225" s="186"/>
      <c r="O225" s="186">
        <f>-O222*(1-[3]Bridgestone!E$6)</f>
        <v>11769.929879691266</v>
      </c>
      <c r="P225" s="186">
        <f>-P222*(1-[3]Bridgestone!F$6)</f>
        <v>13077.699866323628</v>
      </c>
      <c r="Q225" s="186">
        <f>-Q222*(1-[3]Bridgestone!G$6)</f>
        <v>15039.354846272172</v>
      </c>
      <c r="R225" s="186">
        <f>-R222*(1-[3]Bridgestone!H$6)</f>
        <v>16347.124832904536</v>
      </c>
      <c r="S225" s="186">
        <f>-S222*(1-[3]Bridgestone!I$6)</f>
        <v>16347.124832904536</v>
      </c>
      <c r="T225" s="186">
        <f>-T222*(1-[3]Bridgestone!J$6)</f>
        <v>16347.124832904536</v>
      </c>
      <c r="U225" s="186">
        <f>-U222*(1-[3]Bridgestone!K$6)</f>
        <v>16347.124832904536</v>
      </c>
      <c r="V225" s="186">
        <f>-V222*(1-[3]Bridgestone!L$6)</f>
        <v>16347.124832904536</v>
      </c>
      <c r="W225" s="186">
        <f>-W222*(1-[3]Bridgestone!M$6)</f>
        <v>16347.124832904536</v>
      </c>
      <c r="X225" s="186">
        <f>-X222*(1-[3]Bridgestone!N$6)</f>
        <v>16347.124832904536</v>
      </c>
      <c r="Y225" s="186">
        <f>-Y222*(1-[3]Bridgestone!O$6)</f>
        <v>16347.124832904536</v>
      </c>
      <c r="Z225" s="186">
        <f>-Z222*(1-[3]Bridgestone!P$6)</f>
        <v>16347.124832904536</v>
      </c>
      <c r="AA225" s="184" t="s">
        <v>58</v>
      </c>
      <c r="AB225" s="184" t="s">
        <v>109</v>
      </c>
      <c r="AE225" s="184" t="str">
        <f t="shared" si="55"/>
        <v>935-4505</v>
      </c>
    </row>
    <row r="226" spans="1:31" x14ac:dyDescent="0.2">
      <c r="A226" s="184">
        <v>935</v>
      </c>
      <c r="B226" s="187">
        <v>7020</v>
      </c>
      <c r="C226" s="186"/>
      <c r="D226" s="186"/>
      <c r="E226" s="186"/>
      <c r="F226" s="186"/>
      <c r="G226" s="186"/>
      <c r="H226" s="186"/>
      <c r="I226" s="186"/>
      <c r="J226" s="186"/>
      <c r="K226" s="186"/>
      <c r="L226" s="186"/>
      <c r="M226" s="186"/>
      <c r="N226" s="186"/>
      <c r="O226" s="186">
        <f>[3]Bridgestone!E$4*[3]Bridgestone!E$7*5/7</f>
        <v>38571.428571428572</v>
      </c>
      <c r="P226" s="186">
        <f>[3]Bridgestone!F$4*[3]Bridgestone!F$7*5/7</f>
        <v>42857.142857142855</v>
      </c>
      <c r="Q226" s="186">
        <f>[3]Bridgestone!G$4*[3]Bridgestone!G$7*5/7</f>
        <v>49285.714285714283</v>
      </c>
      <c r="R226" s="186">
        <f>[3]Bridgestone!H$4*[3]Bridgestone!H$7*5/7</f>
        <v>53571.428571428572</v>
      </c>
      <c r="S226" s="186">
        <f>[3]Bridgestone!I$4*[3]Bridgestone!I$7*5/7</f>
        <v>53571.428571428572</v>
      </c>
      <c r="T226" s="186">
        <f>[3]Bridgestone!J$4*[3]Bridgestone!J$7*5/7</f>
        <v>53571.428571428572</v>
      </c>
      <c r="U226" s="186">
        <f>[3]Bridgestone!K$4*[3]Bridgestone!K$7*5/7</f>
        <v>53571.428571428572</v>
      </c>
      <c r="V226" s="186">
        <f>[3]Bridgestone!L$4*[3]Bridgestone!L$7*5/7</f>
        <v>53571.428571428572</v>
      </c>
      <c r="W226" s="186">
        <f>[3]Bridgestone!M$4*[3]Bridgestone!M$7*5/7</f>
        <v>53571.428571428572</v>
      </c>
      <c r="X226" s="186">
        <f>[3]Bridgestone!N$4*[3]Bridgestone!N$7*5/7</f>
        <v>53571.428571428572</v>
      </c>
      <c r="Y226" s="186">
        <f>[3]Bridgestone!O$4*[3]Bridgestone!O$7*5/7</f>
        <v>53571.428571428572</v>
      </c>
      <c r="Z226" s="186">
        <f>[3]Bridgestone!P$4*[3]Bridgestone!P$7*5/7</f>
        <v>53571.428571428572</v>
      </c>
      <c r="AA226" s="184" t="s">
        <v>58</v>
      </c>
      <c r="AB226" s="184" t="s">
        <v>75</v>
      </c>
      <c r="AE226" s="184" t="str">
        <f t="shared" si="55"/>
        <v>935-7020</v>
      </c>
    </row>
    <row r="227" spans="1:31" x14ac:dyDescent="0.2">
      <c r="A227" s="184">
        <v>936</v>
      </c>
      <c r="B227" s="187">
        <v>3465</v>
      </c>
      <c r="C227" s="186"/>
      <c r="D227" s="186"/>
      <c r="E227" s="186"/>
      <c r="F227" s="186"/>
      <c r="G227" s="186"/>
      <c r="H227" s="186"/>
      <c r="I227" s="186"/>
      <c r="J227" s="186"/>
      <c r="K227" s="186"/>
      <c r="L227" s="186"/>
      <c r="M227" s="186"/>
      <c r="N227" s="186"/>
      <c r="O227" s="186">
        <f>-[3]Bridgestone!E$4*$AC227*2/7</f>
        <v>-38571.428571428572</v>
      </c>
      <c r="P227" s="186">
        <f>-[3]Bridgestone!F$4*$AC227*2/7</f>
        <v>-42857.142857142855</v>
      </c>
      <c r="Q227" s="186">
        <f>-[3]Bridgestone!G$4*$AC227*2/7</f>
        <v>-49285.714285714283</v>
      </c>
      <c r="R227" s="186">
        <f>-[3]Bridgestone!H$4*$AC227*2/7</f>
        <v>-53571.428571428572</v>
      </c>
      <c r="S227" s="186">
        <f>-[3]Bridgestone!I$4*$AC227*2/7</f>
        <v>-53571.428571428572</v>
      </c>
      <c r="T227" s="186">
        <f>-[3]Bridgestone!J$4*$AC227*2/7</f>
        <v>-53571.428571428572</v>
      </c>
      <c r="U227" s="186">
        <f>-[3]Bridgestone!K$4*$AC227*2/7</f>
        <v>-53571.428571428572</v>
      </c>
      <c r="V227" s="186">
        <f>-[3]Bridgestone!L$4*$AC227*2/7</f>
        <v>-53571.428571428572</v>
      </c>
      <c r="W227" s="186">
        <f>-[3]Bridgestone!M$4*$AC227*2/7</f>
        <v>-53571.428571428572</v>
      </c>
      <c r="X227" s="186">
        <f>-[3]Bridgestone!N$4*$AC227*2/7</f>
        <v>-53571.428571428572</v>
      </c>
      <c r="Y227" s="186">
        <f>-[3]Bridgestone!O$4*$AC227*2/7</f>
        <v>-53571.428571428572</v>
      </c>
      <c r="Z227" s="186">
        <f>-[3]Bridgestone!P$4*$AC227*2/7</f>
        <v>-53571.428571428572</v>
      </c>
      <c r="AA227" s="184" t="s">
        <v>58</v>
      </c>
      <c r="AB227" s="184" t="s">
        <v>100</v>
      </c>
      <c r="AC227" s="318">
        <v>0.75</v>
      </c>
      <c r="AE227" s="184" t="str">
        <f t="shared" si="55"/>
        <v>936-3465</v>
      </c>
    </row>
    <row r="228" spans="1:31" x14ac:dyDescent="0.2">
      <c r="A228" s="184">
        <v>936</v>
      </c>
      <c r="B228" s="187">
        <v>3466</v>
      </c>
      <c r="C228" s="186"/>
      <c r="D228" s="186"/>
      <c r="E228" s="186"/>
      <c r="F228" s="186"/>
      <c r="G228" s="186"/>
      <c r="H228" s="186"/>
      <c r="I228" s="186"/>
      <c r="J228" s="186"/>
      <c r="K228" s="186"/>
      <c r="L228" s="186"/>
      <c r="M228" s="186"/>
      <c r="N228" s="186"/>
      <c r="O228" s="186">
        <f>-[3]Bridgestone!E$4*$AC228*2/7</f>
        <v>-5142.8571428571431</v>
      </c>
      <c r="P228" s="186">
        <f>-[3]Bridgestone!F$4*$AC228*2/7</f>
        <v>-5714.2857142857147</v>
      </c>
      <c r="Q228" s="186">
        <f>-[3]Bridgestone!G$4*$AC228*2/7</f>
        <v>-6571.4285714285716</v>
      </c>
      <c r="R228" s="186">
        <f>-[3]Bridgestone!H$4*$AC228*2/7</f>
        <v>-7142.8571428571431</v>
      </c>
      <c r="S228" s="186">
        <f>-[3]Bridgestone!I$4*$AC228*2/7</f>
        <v>-7142.8571428571431</v>
      </c>
      <c r="T228" s="186">
        <f>-[3]Bridgestone!J$4*$AC228*2/7</f>
        <v>-7142.8571428571431</v>
      </c>
      <c r="U228" s="186">
        <f>-[3]Bridgestone!K$4*$AC228*2/7</f>
        <v>-7142.8571428571431</v>
      </c>
      <c r="V228" s="186">
        <f>-[3]Bridgestone!L$4*$AC228*2/7</f>
        <v>-7142.8571428571431</v>
      </c>
      <c r="W228" s="186">
        <f>-[3]Bridgestone!M$4*$AC228*2/7</f>
        <v>-7142.8571428571431</v>
      </c>
      <c r="X228" s="186">
        <f>-[3]Bridgestone!N$4*$AC228*2/7</f>
        <v>-7142.8571428571431</v>
      </c>
      <c r="Y228" s="186">
        <f>-[3]Bridgestone!O$4*$AC228*2/7</f>
        <v>-7142.8571428571431</v>
      </c>
      <c r="Z228" s="186">
        <f>-[3]Bridgestone!P$4*$AC228*2/7</f>
        <v>-7142.8571428571431</v>
      </c>
      <c r="AA228" s="184" t="s">
        <v>58</v>
      </c>
      <c r="AB228" s="184" t="s">
        <v>101</v>
      </c>
      <c r="AC228" s="318">
        <v>0.1</v>
      </c>
      <c r="AE228" s="184" t="str">
        <f t="shared" si="55"/>
        <v>936-3466</v>
      </c>
    </row>
    <row r="229" spans="1:31" x14ac:dyDescent="0.2">
      <c r="A229" s="184">
        <v>936</v>
      </c>
      <c r="B229" s="187">
        <v>3505</v>
      </c>
      <c r="C229" s="186"/>
      <c r="D229" s="186"/>
      <c r="E229" s="186"/>
      <c r="F229" s="186"/>
      <c r="G229" s="186"/>
      <c r="H229" s="186"/>
      <c r="I229" s="186"/>
      <c r="J229" s="186"/>
      <c r="K229" s="186"/>
      <c r="L229" s="186"/>
      <c r="M229" s="186"/>
      <c r="N229" s="186"/>
      <c r="O229" s="186">
        <f>-[3]Bridgestone!E$4*$AC229*2/7</f>
        <v>-7714.2857142857147</v>
      </c>
      <c r="P229" s="186">
        <f>-[3]Bridgestone!F$4*$AC229*2/7</f>
        <v>-8571.4285714285706</v>
      </c>
      <c r="Q229" s="186">
        <f>-[3]Bridgestone!G$4*$AC229*2/7</f>
        <v>-9857.1428571428569</v>
      </c>
      <c r="R229" s="186">
        <f>-[3]Bridgestone!H$4*$AC229*2/7</f>
        <v>-10714.285714285714</v>
      </c>
      <c r="S229" s="186">
        <f>-[3]Bridgestone!I$4*$AC229*2/7</f>
        <v>-10714.285714285714</v>
      </c>
      <c r="T229" s="186">
        <f>-[3]Bridgestone!J$4*$AC229*2/7</f>
        <v>-10714.285714285714</v>
      </c>
      <c r="U229" s="186">
        <f>-[3]Bridgestone!K$4*$AC229*2/7</f>
        <v>-10714.285714285714</v>
      </c>
      <c r="V229" s="186">
        <f>-[3]Bridgestone!L$4*$AC229*2/7</f>
        <v>-10714.285714285714</v>
      </c>
      <c r="W229" s="186">
        <f>-[3]Bridgestone!M$4*$AC229*2/7</f>
        <v>-10714.285714285714</v>
      </c>
      <c r="X229" s="186">
        <f>-[3]Bridgestone!N$4*$AC229*2/7</f>
        <v>-10714.285714285714</v>
      </c>
      <c r="Y229" s="186">
        <f>-[3]Bridgestone!O$4*$AC229*2/7</f>
        <v>-10714.285714285714</v>
      </c>
      <c r="Z229" s="186">
        <f>-[3]Bridgestone!P$4*$AC229*2/7</f>
        <v>-10714.285714285714</v>
      </c>
      <c r="AA229" s="184" t="s">
        <v>58</v>
      </c>
      <c r="AB229" s="184" t="s">
        <v>104</v>
      </c>
      <c r="AC229" s="318">
        <v>0.15</v>
      </c>
      <c r="AE229" s="184" t="str">
        <f t="shared" si="55"/>
        <v>936-3505</v>
      </c>
    </row>
    <row r="230" spans="1:31" x14ac:dyDescent="0.2">
      <c r="A230" s="184">
        <v>936</v>
      </c>
      <c r="B230" s="187">
        <v>4465</v>
      </c>
      <c r="C230" s="186"/>
      <c r="D230" s="186"/>
      <c r="E230" s="186"/>
      <c r="F230" s="186"/>
      <c r="G230" s="186"/>
      <c r="H230" s="186"/>
      <c r="I230" s="186"/>
      <c r="J230" s="186"/>
      <c r="K230" s="186"/>
      <c r="L230" s="186"/>
      <c r="M230" s="186"/>
      <c r="N230" s="186"/>
      <c r="O230" s="186">
        <f>-O227*(1-[3]Bridgestone!E$6)</f>
        <v>23539.859759382533</v>
      </c>
      <c r="P230" s="186">
        <f>-P227*(1-[3]Bridgestone!F$6)</f>
        <v>26155.399732647256</v>
      </c>
      <c r="Q230" s="186">
        <f>-Q227*(1-[3]Bridgestone!G$6)</f>
        <v>30078.709692544344</v>
      </c>
      <c r="R230" s="186">
        <f>-R227*(1-[3]Bridgestone!H$6)</f>
        <v>32694.249665809071</v>
      </c>
      <c r="S230" s="186">
        <f>-S227*(1-[3]Bridgestone!I$6)</f>
        <v>32694.249665809071</v>
      </c>
      <c r="T230" s="186">
        <f>-T227*(1-[3]Bridgestone!J$6)</f>
        <v>32694.249665809071</v>
      </c>
      <c r="U230" s="186">
        <f>-U227*(1-[3]Bridgestone!K$6)</f>
        <v>32694.249665809071</v>
      </c>
      <c r="V230" s="186">
        <f>-V227*(1-[3]Bridgestone!L$6)</f>
        <v>32694.249665809071</v>
      </c>
      <c r="W230" s="186">
        <f>-W227*(1-[3]Bridgestone!M$6)</f>
        <v>32694.249665809071</v>
      </c>
      <c r="X230" s="186">
        <f>-X227*(1-[3]Bridgestone!N$6)</f>
        <v>32694.249665809071</v>
      </c>
      <c r="Y230" s="186">
        <f>-Y227*(1-[3]Bridgestone!O$6)</f>
        <v>32694.249665809071</v>
      </c>
      <c r="Z230" s="186">
        <f>-Z227*(1-[3]Bridgestone!P$6)</f>
        <v>32694.249665809071</v>
      </c>
      <c r="AA230" s="184" t="s">
        <v>58</v>
      </c>
      <c r="AB230" s="184" t="s">
        <v>105</v>
      </c>
      <c r="AE230" s="184" t="str">
        <f t="shared" si="55"/>
        <v>936-4465</v>
      </c>
    </row>
    <row r="231" spans="1:31" x14ac:dyDescent="0.2">
      <c r="A231" s="184">
        <v>936</v>
      </c>
      <c r="B231" s="187">
        <v>4466</v>
      </c>
      <c r="C231" s="186"/>
      <c r="D231" s="186"/>
      <c r="E231" s="186"/>
      <c r="F231" s="186"/>
      <c r="G231" s="186"/>
      <c r="H231" s="186"/>
      <c r="I231" s="186"/>
      <c r="J231" s="186"/>
      <c r="K231" s="186"/>
      <c r="L231" s="186"/>
      <c r="M231" s="186"/>
      <c r="N231" s="186"/>
      <c r="O231" s="186">
        <f>-O228*(1-[3]Bridgestone!E$6)</f>
        <v>3138.6479679176709</v>
      </c>
      <c r="P231" s="186">
        <f>-P228*(1-[3]Bridgestone!F$6)</f>
        <v>3487.3866310196345</v>
      </c>
      <c r="Q231" s="186">
        <f>-Q228*(1-[3]Bridgestone!G$6)</f>
        <v>4010.4946256725793</v>
      </c>
      <c r="R231" s="186">
        <f>-R228*(1-[3]Bridgestone!H$6)</f>
        <v>4359.2332887745433</v>
      </c>
      <c r="S231" s="186">
        <f>-S228*(1-[3]Bridgestone!I$6)</f>
        <v>4359.2332887745433</v>
      </c>
      <c r="T231" s="186">
        <f>-T228*(1-[3]Bridgestone!J$6)</f>
        <v>4359.2332887745433</v>
      </c>
      <c r="U231" s="186">
        <f>-U228*(1-[3]Bridgestone!K$6)</f>
        <v>4359.2332887745433</v>
      </c>
      <c r="V231" s="186">
        <f>-V228*(1-[3]Bridgestone!L$6)</f>
        <v>4359.2332887745433</v>
      </c>
      <c r="W231" s="186">
        <f>-W228*(1-[3]Bridgestone!M$6)</f>
        <v>4359.2332887745433</v>
      </c>
      <c r="X231" s="186">
        <f>-X228*(1-[3]Bridgestone!N$6)</f>
        <v>4359.2332887745433</v>
      </c>
      <c r="Y231" s="186">
        <f>-Y228*(1-[3]Bridgestone!O$6)</f>
        <v>4359.2332887745433</v>
      </c>
      <c r="Z231" s="186">
        <f>-Z228*(1-[3]Bridgestone!P$6)</f>
        <v>4359.2332887745433</v>
      </c>
      <c r="AA231" s="184" t="s">
        <v>58</v>
      </c>
      <c r="AB231" s="184" t="s">
        <v>106</v>
      </c>
      <c r="AE231" s="184" t="str">
        <f t="shared" si="55"/>
        <v>936-4466</v>
      </c>
    </row>
    <row r="232" spans="1:31" x14ac:dyDescent="0.2">
      <c r="A232" s="184">
        <v>936</v>
      </c>
      <c r="B232" s="187">
        <v>4505</v>
      </c>
      <c r="C232" s="186"/>
      <c r="D232" s="186"/>
      <c r="E232" s="186"/>
      <c r="F232" s="186"/>
      <c r="G232" s="186"/>
      <c r="H232" s="186"/>
      <c r="I232" s="186"/>
      <c r="J232" s="186"/>
      <c r="K232" s="186"/>
      <c r="L232" s="186"/>
      <c r="M232" s="186"/>
      <c r="N232" s="186"/>
      <c r="O232" s="186">
        <f>-O229*(1-[3]Bridgestone!E$6)</f>
        <v>4707.9719518765069</v>
      </c>
      <c r="P232" s="186">
        <f>-P229*(1-[3]Bridgestone!F$6)</f>
        <v>5231.0799465294513</v>
      </c>
      <c r="Q232" s="186">
        <f>-Q229*(1-[3]Bridgestone!G$6)</f>
        <v>6015.7419385088688</v>
      </c>
      <c r="R232" s="186">
        <f>-R229*(1-[3]Bridgestone!H$6)</f>
        <v>6538.8499331618141</v>
      </c>
      <c r="S232" s="186">
        <f>-S229*(1-[3]Bridgestone!I$6)</f>
        <v>6538.8499331618141</v>
      </c>
      <c r="T232" s="186">
        <f>-T229*(1-[3]Bridgestone!J$6)</f>
        <v>6538.8499331618141</v>
      </c>
      <c r="U232" s="186">
        <f>-U229*(1-[3]Bridgestone!K$6)</f>
        <v>6538.8499331618141</v>
      </c>
      <c r="V232" s="186">
        <f>-V229*(1-[3]Bridgestone!L$6)</f>
        <v>6538.8499331618141</v>
      </c>
      <c r="W232" s="186">
        <f>-W229*(1-[3]Bridgestone!M$6)</f>
        <v>6538.8499331618141</v>
      </c>
      <c r="X232" s="186">
        <f>-X229*(1-[3]Bridgestone!N$6)</f>
        <v>6538.8499331618141</v>
      </c>
      <c r="Y232" s="186">
        <f>-Y229*(1-[3]Bridgestone!O$6)</f>
        <v>6538.8499331618141</v>
      </c>
      <c r="Z232" s="186">
        <f>-Z229*(1-[3]Bridgestone!P$6)</f>
        <v>6538.8499331618141</v>
      </c>
      <c r="AA232" s="184" t="s">
        <v>58</v>
      </c>
      <c r="AB232" s="184" t="s">
        <v>109</v>
      </c>
      <c r="AE232" s="184" t="str">
        <f t="shared" si="55"/>
        <v>936-4505</v>
      </c>
    </row>
    <row r="233" spans="1:31" x14ac:dyDescent="0.2">
      <c r="A233" s="184">
        <v>936</v>
      </c>
      <c r="B233" s="187">
        <v>7020</v>
      </c>
      <c r="C233" s="186"/>
      <c r="D233" s="186"/>
      <c r="E233" s="186"/>
      <c r="F233" s="186"/>
      <c r="G233" s="186"/>
      <c r="H233" s="186"/>
      <c r="I233" s="186"/>
      <c r="J233" s="186"/>
      <c r="K233" s="186"/>
      <c r="L233" s="186"/>
      <c r="M233" s="186"/>
      <c r="N233" s="186"/>
      <c r="O233" s="186">
        <f>[3]Bridgestone!E$4*[3]Bridgestone!E$7*2/7</f>
        <v>15428.571428571429</v>
      </c>
      <c r="P233" s="186">
        <f>[3]Bridgestone!F$4*[3]Bridgestone!F$7*2/7</f>
        <v>17142.857142857141</v>
      </c>
      <c r="Q233" s="186">
        <f>[3]Bridgestone!G$4*[3]Bridgestone!G$7*2/7</f>
        <v>19714.285714285714</v>
      </c>
      <c r="R233" s="186">
        <f>[3]Bridgestone!H$4*[3]Bridgestone!H$7*2/7</f>
        <v>21428.571428571428</v>
      </c>
      <c r="S233" s="186">
        <f>[3]Bridgestone!I$4*[3]Bridgestone!I$7*2/7</f>
        <v>21428.571428571428</v>
      </c>
      <c r="T233" s="186">
        <f>[3]Bridgestone!J$4*[3]Bridgestone!J$7*2/7</f>
        <v>21428.571428571428</v>
      </c>
      <c r="U233" s="186">
        <f>[3]Bridgestone!K$4*[3]Bridgestone!K$7*2/7</f>
        <v>21428.571428571428</v>
      </c>
      <c r="V233" s="186">
        <f>[3]Bridgestone!L$4*[3]Bridgestone!L$7*2/7</f>
        <v>21428.571428571428</v>
      </c>
      <c r="W233" s="186">
        <f>[3]Bridgestone!M$4*[3]Bridgestone!M$7*2/7</f>
        <v>21428.571428571428</v>
      </c>
      <c r="X233" s="186">
        <f>[3]Bridgestone!N$4*[3]Bridgestone!N$7*2/7</f>
        <v>21428.571428571428</v>
      </c>
      <c r="Y233" s="186">
        <f>[3]Bridgestone!O$4*[3]Bridgestone!O$7*2/7</f>
        <v>21428.571428571428</v>
      </c>
      <c r="Z233" s="186">
        <f>[3]Bridgestone!P$4*[3]Bridgestone!P$7*2/7</f>
        <v>21428.571428571428</v>
      </c>
      <c r="AA233" s="184" t="s">
        <v>58</v>
      </c>
      <c r="AB233" s="184" t="s">
        <v>75</v>
      </c>
      <c r="AE233" s="184" t="str">
        <f t="shared" si="55"/>
        <v>936-7020</v>
      </c>
    </row>
    <row r="234" spans="1:31" x14ac:dyDescent="0.2">
      <c r="A234" s="184">
        <v>112</v>
      </c>
      <c r="B234" s="185">
        <v>7180</v>
      </c>
      <c r="C234" s="186"/>
      <c r="D234" s="186"/>
      <c r="E234" s="186"/>
      <c r="F234" s="186"/>
      <c r="G234" s="186"/>
      <c r="H234" s="186"/>
      <c r="I234" s="186"/>
      <c r="J234" s="186"/>
      <c r="K234" s="186"/>
      <c r="L234" s="186"/>
      <c r="M234" s="186"/>
      <c r="N234" s="186"/>
      <c r="O234" s="186">
        <f>'[3]LEX - Admin'!E$4*$AD234</f>
        <v>23569.500389118144</v>
      </c>
      <c r="P234" s="186">
        <f>'[3]LEX - Admin'!F$4*$AD234</f>
        <v>23569.500389118144</v>
      </c>
      <c r="Q234" s="186">
        <f>'[3]LEX - Admin'!G$4*$AD234</f>
        <v>23569.500389118144</v>
      </c>
      <c r="R234" s="186">
        <f>'[3]LEX - Admin'!H$4*$AD234</f>
        <v>23569.500389118144</v>
      </c>
      <c r="S234" s="186">
        <f>'[3]LEX - Admin'!I$4*$AD234</f>
        <v>23569.500389118144</v>
      </c>
      <c r="T234" s="186">
        <f>'[3]LEX - Admin'!J$4*$AD234</f>
        <v>23569.500389118144</v>
      </c>
      <c r="U234" s="186">
        <f>'[3]LEX - Admin'!K$4*$AD234</f>
        <v>23569.500389118144</v>
      </c>
      <c r="V234" s="186">
        <f>'[3]LEX - Admin'!L$4*$AD234</f>
        <v>23569.500389118144</v>
      </c>
      <c r="W234" s="186">
        <f>'[3]LEX - Admin'!M$4*$AD234</f>
        <v>23569.500389118144</v>
      </c>
      <c r="X234" s="186">
        <f>'[3]LEX - Admin'!N$4*$AD234</f>
        <v>23569.500389118144</v>
      </c>
      <c r="Y234" s="186">
        <f>'[3]LEX - Admin'!O$4*$AD234</f>
        <v>23569.500389118144</v>
      </c>
      <c r="Z234" s="186">
        <f>'[3]LEX - Admin'!P$4*$AD234</f>
        <v>23569.500389118144</v>
      </c>
      <c r="AA234" s="184" t="s">
        <v>147</v>
      </c>
      <c r="AB234" s="184" t="s">
        <v>125</v>
      </c>
      <c r="AD234" s="188">
        <v>0.32482325752288616</v>
      </c>
      <c r="AE234" s="184" t="str">
        <f t="shared" si="55"/>
        <v>112-7180</v>
      </c>
    </row>
    <row r="235" spans="1:31" x14ac:dyDescent="0.2">
      <c r="A235" s="184">
        <v>112</v>
      </c>
      <c r="B235" s="185">
        <v>7690</v>
      </c>
      <c r="C235" s="186"/>
      <c r="D235" s="186"/>
      <c r="E235" s="186"/>
      <c r="F235" s="186"/>
      <c r="G235" s="186"/>
      <c r="H235" s="186"/>
      <c r="I235" s="186"/>
      <c r="J235" s="186"/>
      <c r="K235" s="186"/>
      <c r="L235" s="186"/>
      <c r="M235" s="186"/>
      <c r="N235" s="186"/>
      <c r="O235" s="186">
        <f>'[3]LEX - Admin'!E$4*$AD235</f>
        <v>17900.12098096222</v>
      </c>
      <c r="P235" s="186">
        <f>'[3]LEX - Admin'!F$4*$AD235</f>
        <v>17900.12098096222</v>
      </c>
      <c r="Q235" s="186">
        <f>'[3]LEX - Admin'!G$4*$AD235</f>
        <v>17900.12098096222</v>
      </c>
      <c r="R235" s="186">
        <f>'[3]LEX - Admin'!H$4*$AD235</f>
        <v>17900.12098096222</v>
      </c>
      <c r="S235" s="186">
        <f>'[3]LEX - Admin'!I$4*$AD235</f>
        <v>17900.12098096222</v>
      </c>
      <c r="T235" s="186">
        <f>'[3]LEX - Admin'!J$4*$AD235</f>
        <v>17900.12098096222</v>
      </c>
      <c r="U235" s="186">
        <f>'[3]LEX - Admin'!K$4*$AD235</f>
        <v>17900.12098096222</v>
      </c>
      <c r="V235" s="186">
        <f>'[3]LEX - Admin'!L$4*$AD235</f>
        <v>17900.12098096222</v>
      </c>
      <c r="W235" s="186">
        <f>'[3]LEX - Admin'!M$4*$AD235</f>
        <v>17900.12098096222</v>
      </c>
      <c r="X235" s="186">
        <f>'[3]LEX - Admin'!N$4*$AD235</f>
        <v>17900.12098096222</v>
      </c>
      <c r="Y235" s="186">
        <f>'[3]LEX - Admin'!O$4*$AD235</f>
        <v>17900.12098096222</v>
      </c>
      <c r="Z235" s="186">
        <f>'[3]LEX - Admin'!P$4*$AD235</f>
        <v>17900.12098096222</v>
      </c>
      <c r="AA235" s="184" t="s">
        <v>147</v>
      </c>
      <c r="AB235" s="184" t="s">
        <v>126</v>
      </c>
      <c r="AD235" s="188">
        <v>0.24669066000967765</v>
      </c>
      <c r="AE235" s="184" t="str">
        <f t="shared" si="55"/>
        <v>112-7690</v>
      </c>
    </row>
    <row r="236" spans="1:31" x14ac:dyDescent="0.2">
      <c r="A236" s="184">
        <v>112</v>
      </c>
      <c r="B236" s="185">
        <v>7790</v>
      </c>
      <c r="C236" s="186"/>
      <c r="D236" s="186"/>
      <c r="E236" s="186"/>
      <c r="F236" s="186"/>
      <c r="G236" s="186"/>
      <c r="H236" s="186"/>
      <c r="I236" s="186"/>
      <c r="J236" s="186"/>
      <c r="K236" s="186"/>
      <c r="L236" s="186"/>
      <c r="M236" s="186"/>
      <c r="N236" s="186"/>
      <c r="O236" s="186">
        <f>'[3]LEX - Admin'!E$4*$AD236</f>
        <v>8380.3407054953586</v>
      </c>
      <c r="P236" s="186">
        <f>'[3]LEX - Admin'!F$4*$AD236</f>
        <v>8380.3407054953586</v>
      </c>
      <c r="Q236" s="186">
        <f>'[3]LEX - Admin'!G$4*$AD236</f>
        <v>8380.3407054953586</v>
      </c>
      <c r="R236" s="186">
        <f>'[3]LEX - Admin'!H$4*$AD236</f>
        <v>8380.3407054953586</v>
      </c>
      <c r="S236" s="186">
        <f>'[3]LEX - Admin'!I$4*$AD236</f>
        <v>8380.3407054953586</v>
      </c>
      <c r="T236" s="186">
        <f>'[3]LEX - Admin'!J$4*$AD236</f>
        <v>8380.3407054953586</v>
      </c>
      <c r="U236" s="186">
        <f>'[3]LEX - Admin'!K$4*$AD236</f>
        <v>8380.3407054953586</v>
      </c>
      <c r="V236" s="186">
        <f>'[3]LEX - Admin'!L$4*$AD236</f>
        <v>8380.3407054953586</v>
      </c>
      <c r="W236" s="186">
        <f>'[3]LEX - Admin'!M$4*$AD236</f>
        <v>8380.3407054953586</v>
      </c>
      <c r="X236" s="186">
        <f>'[3]LEX - Admin'!N$4*$AD236</f>
        <v>8380.3407054953586</v>
      </c>
      <c r="Y236" s="186">
        <f>'[3]LEX - Admin'!O$4*$AD236</f>
        <v>8380.3407054953586</v>
      </c>
      <c r="Z236" s="186">
        <f>'[3]LEX - Admin'!P$4*$AD236</f>
        <v>8380.3407054953586</v>
      </c>
      <c r="AA236" s="184" t="s">
        <v>147</v>
      </c>
      <c r="AB236" s="184" t="s">
        <v>127</v>
      </c>
      <c r="AD236" s="188">
        <v>0.11549373224590839</v>
      </c>
      <c r="AE236" s="184" t="str">
        <f t="shared" si="55"/>
        <v>112-7790</v>
      </c>
    </row>
    <row r="237" spans="1:31" x14ac:dyDescent="0.2">
      <c r="A237" s="184">
        <v>112</v>
      </c>
      <c r="B237" s="185">
        <v>7610</v>
      </c>
      <c r="C237" s="186"/>
      <c r="D237" s="186"/>
      <c r="E237" s="186"/>
      <c r="F237" s="186"/>
      <c r="G237" s="186"/>
      <c r="H237" s="186"/>
      <c r="I237" s="186"/>
      <c r="J237" s="186"/>
      <c r="K237" s="186"/>
      <c r="L237" s="186"/>
      <c r="M237" s="186"/>
      <c r="N237" s="186"/>
      <c r="O237" s="186">
        <f>'[3]LEX - Admin'!E$4*$AD237</f>
        <v>544.7549458871174</v>
      </c>
      <c r="P237" s="186">
        <f>'[3]LEX - Admin'!F$4*$AD237</f>
        <v>544.7549458871174</v>
      </c>
      <c r="Q237" s="186">
        <f>'[3]LEX - Admin'!G$4*$AD237</f>
        <v>544.7549458871174</v>
      </c>
      <c r="R237" s="186">
        <f>'[3]LEX - Admin'!H$4*$AD237</f>
        <v>544.7549458871174</v>
      </c>
      <c r="S237" s="186">
        <f>'[3]LEX - Admin'!I$4*$AD237</f>
        <v>544.7549458871174</v>
      </c>
      <c r="T237" s="186">
        <f>'[3]LEX - Admin'!J$4*$AD237</f>
        <v>544.7549458871174</v>
      </c>
      <c r="U237" s="186">
        <f>'[3]LEX - Admin'!K$4*$AD237</f>
        <v>544.7549458871174</v>
      </c>
      <c r="V237" s="186">
        <f>'[3]LEX - Admin'!L$4*$AD237</f>
        <v>544.7549458871174</v>
      </c>
      <c r="W237" s="186">
        <f>'[3]LEX - Admin'!M$4*$AD237</f>
        <v>544.7549458871174</v>
      </c>
      <c r="X237" s="186">
        <f>'[3]LEX - Admin'!N$4*$AD237</f>
        <v>544.7549458871174</v>
      </c>
      <c r="Y237" s="186">
        <f>'[3]LEX - Admin'!O$4*$AD237</f>
        <v>544.7549458871174</v>
      </c>
      <c r="Z237" s="186">
        <f>'[3]LEX - Admin'!P$4*$AD237</f>
        <v>544.7549458871174</v>
      </c>
      <c r="AA237" s="184" t="s">
        <v>147</v>
      </c>
      <c r="AB237" s="184" t="s">
        <v>128</v>
      </c>
      <c r="AD237" s="188">
        <v>7.5075446298578773E-3</v>
      </c>
      <c r="AE237" s="184" t="str">
        <f t="shared" si="55"/>
        <v>112-7610</v>
      </c>
    </row>
    <row r="238" spans="1:31" x14ac:dyDescent="0.2">
      <c r="A238" s="184">
        <v>112</v>
      </c>
      <c r="B238" s="185">
        <v>7840</v>
      </c>
      <c r="C238" s="186"/>
      <c r="D238" s="186"/>
      <c r="E238" s="186"/>
      <c r="F238" s="186"/>
      <c r="G238" s="186"/>
      <c r="H238" s="186"/>
      <c r="I238" s="186"/>
      <c r="J238" s="186"/>
      <c r="K238" s="186"/>
      <c r="L238" s="186"/>
      <c r="M238" s="186"/>
      <c r="N238" s="186"/>
      <c r="O238" s="186">
        <f>'[3]LEX - Admin'!E$4*$AD238</f>
        <v>1368.8911751880719</v>
      </c>
      <c r="P238" s="186">
        <f>'[3]LEX - Admin'!F$4*$AD238</f>
        <v>1368.8911751880719</v>
      </c>
      <c r="Q238" s="186">
        <f>'[3]LEX - Admin'!G$4*$AD238</f>
        <v>1368.8911751880719</v>
      </c>
      <c r="R238" s="186">
        <f>'[3]LEX - Admin'!H$4*$AD238</f>
        <v>1368.8911751880719</v>
      </c>
      <c r="S238" s="186">
        <f>'[3]LEX - Admin'!I$4*$AD238</f>
        <v>1368.8911751880719</v>
      </c>
      <c r="T238" s="186">
        <f>'[3]LEX - Admin'!J$4*$AD238</f>
        <v>1368.8911751880719</v>
      </c>
      <c r="U238" s="186">
        <f>'[3]LEX - Admin'!K$4*$AD238</f>
        <v>1368.8911751880719</v>
      </c>
      <c r="V238" s="186">
        <f>'[3]LEX - Admin'!L$4*$AD238</f>
        <v>1368.8911751880719</v>
      </c>
      <c r="W238" s="186">
        <f>'[3]LEX - Admin'!M$4*$AD238</f>
        <v>1368.8911751880719</v>
      </c>
      <c r="X238" s="186">
        <f>'[3]LEX - Admin'!N$4*$AD238</f>
        <v>1368.8911751880719</v>
      </c>
      <c r="Y238" s="186">
        <f>'[3]LEX - Admin'!O$4*$AD238</f>
        <v>1368.8911751880719</v>
      </c>
      <c r="Z238" s="186">
        <f>'[3]LEX - Admin'!P$4*$AD238</f>
        <v>1368.8911751880719</v>
      </c>
      <c r="AA238" s="184" t="s">
        <v>147</v>
      </c>
      <c r="AB238" s="184" t="s">
        <v>129</v>
      </c>
      <c r="AD238" s="188">
        <v>1.8865384644479431E-2</v>
      </c>
      <c r="AE238" s="184" t="str">
        <f t="shared" si="55"/>
        <v>112-7840</v>
      </c>
    </row>
    <row r="239" spans="1:31" x14ac:dyDescent="0.2">
      <c r="A239" s="184">
        <v>112</v>
      </c>
      <c r="B239" s="185">
        <v>7430</v>
      </c>
      <c r="C239" s="186"/>
      <c r="D239" s="186"/>
      <c r="E239" s="186"/>
      <c r="F239" s="186"/>
      <c r="G239" s="186"/>
      <c r="H239" s="186"/>
      <c r="I239" s="186"/>
      <c r="J239" s="186"/>
      <c r="K239" s="186"/>
      <c r="L239" s="186"/>
      <c r="M239" s="186"/>
      <c r="N239" s="186"/>
      <c r="O239" s="186">
        <f>'[3]LEX - Admin'!E$4*$AD239</f>
        <v>572.92548586907026</v>
      </c>
      <c r="P239" s="186">
        <f>'[3]LEX - Admin'!F$4*$AD239</f>
        <v>572.92548586907026</v>
      </c>
      <c r="Q239" s="186">
        <f>'[3]LEX - Admin'!G$4*$AD239</f>
        <v>572.92548586907026</v>
      </c>
      <c r="R239" s="186">
        <f>'[3]LEX - Admin'!H$4*$AD239</f>
        <v>572.92548586907026</v>
      </c>
      <c r="S239" s="186">
        <f>'[3]LEX - Admin'!I$4*$AD239</f>
        <v>572.92548586907026</v>
      </c>
      <c r="T239" s="186">
        <f>'[3]LEX - Admin'!J$4*$AD239</f>
        <v>572.92548586907026</v>
      </c>
      <c r="U239" s="186">
        <f>'[3]LEX - Admin'!K$4*$AD239</f>
        <v>572.92548586907026</v>
      </c>
      <c r="V239" s="186">
        <f>'[3]LEX - Admin'!L$4*$AD239</f>
        <v>572.92548586907026</v>
      </c>
      <c r="W239" s="186">
        <f>'[3]LEX - Admin'!M$4*$AD239</f>
        <v>572.92548586907026</v>
      </c>
      <c r="X239" s="186">
        <f>'[3]LEX - Admin'!N$4*$AD239</f>
        <v>572.92548586907026</v>
      </c>
      <c r="Y239" s="186">
        <f>'[3]LEX - Admin'!O$4*$AD239</f>
        <v>572.92548586907026</v>
      </c>
      <c r="Z239" s="186">
        <f>'[3]LEX - Admin'!P$4*$AD239</f>
        <v>572.92548586907026</v>
      </c>
      <c r="AA239" s="184" t="s">
        <v>147</v>
      </c>
      <c r="AB239" s="184" t="s">
        <v>130</v>
      </c>
      <c r="AD239" s="188">
        <v>7.895777151211673E-3</v>
      </c>
      <c r="AE239" s="184" t="str">
        <f t="shared" si="55"/>
        <v>112-7430</v>
      </c>
    </row>
    <row r="240" spans="1:31" x14ac:dyDescent="0.2">
      <c r="A240" s="184">
        <v>112</v>
      </c>
      <c r="B240" s="185">
        <v>7570</v>
      </c>
      <c r="C240" s="186"/>
      <c r="D240" s="186"/>
      <c r="E240" s="186"/>
      <c r="F240" s="186"/>
      <c r="G240" s="186"/>
      <c r="H240" s="186"/>
      <c r="I240" s="186"/>
      <c r="J240" s="186"/>
      <c r="K240" s="186"/>
      <c r="L240" s="186"/>
      <c r="M240" s="186"/>
      <c r="N240" s="186"/>
      <c r="O240" s="186">
        <f>'[3]LEX - Admin'!E$4*$AD240</f>
        <v>3332.9342075397853</v>
      </c>
      <c r="P240" s="186">
        <f>'[3]LEX - Admin'!F$4*$AD240</f>
        <v>3332.9342075397853</v>
      </c>
      <c r="Q240" s="186">
        <f>'[3]LEX - Admin'!G$4*$AD240</f>
        <v>3332.9342075397853</v>
      </c>
      <c r="R240" s="186">
        <f>'[3]LEX - Admin'!H$4*$AD240</f>
        <v>3332.9342075397853</v>
      </c>
      <c r="S240" s="186">
        <f>'[3]LEX - Admin'!I$4*$AD240</f>
        <v>3332.9342075397853</v>
      </c>
      <c r="T240" s="186">
        <f>'[3]LEX - Admin'!J$4*$AD240</f>
        <v>3332.9342075397853</v>
      </c>
      <c r="U240" s="186">
        <f>'[3]LEX - Admin'!K$4*$AD240</f>
        <v>3332.9342075397853</v>
      </c>
      <c r="V240" s="186">
        <f>'[3]LEX - Admin'!L$4*$AD240</f>
        <v>3332.9342075397853</v>
      </c>
      <c r="W240" s="186">
        <f>'[3]LEX - Admin'!M$4*$AD240</f>
        <v>3332.9342075397853</v>
      </c>
      <c r="X240" s="186">
        <f>'[3]LEX - Admin'!N$4*$AD240</f>
        <v>3332.9342075397853</v>
      </c>
      <c r="Y240" s="186">
        <f>'[3]LEX - Admin'!O$4*$AD240</f>
        <v>3332.9342075397853</v>
      </c>
      <c r="Z240" s="186">
        <f>'[3]LEX - Admin'!P$4*$AD240</f>
        <v>3332.9342075397853</v>
      </c>
      <c r="AA240" s="184" t="s">
        <v>147</v>
      </c>
      <c r="AB240" s="184" t="s">
        <v>131</v>
      </c>
      <c r="AD240" s="188">
        <v>4.5932859353368688E-2</v>
      </c>
      <c r="AE240" s="184" t="str">
        <f t="shared" si="55"/>
        <v>112-7570</v>
      </c>
    </row>
    <row r="241" spans="1:31" x14ac:dyDescent="0.2">
      <c r="A241" s="184">
        <v>112</v>
      </c>
      <c r="B241" s="185">
        <v>7452</v>
      </c>
      <c r="C241" s="186"/>
      <c r="D241" s="186"/>
      <c r="E241" s="186"/>
      <c r="F241" s="186"/>
      <c r="G241" s="186"/>
      <c r="H241" s="186"/>
      <c r="I241" s="186"/>
      <c r="J241" s="186"/>
      <c r="K241" s="186"/>
      <c r="L241" s="186"/>
      <c r="M241" s="186"/>
      <c r="N241" s="186"/>
      <c r="O241" s="186">
        <f>'[3]LEX - Admin'!E$4*$AD241</f>
        <v>12808.991373736106</v>
      </c>
      <c r="P241" s="186">
        <f>'[3]LEX - Admin'!F$4*$AD241</f>
        <v>12808.991373736106</v>
      </c>
      <c r="Q241" s="186">
        <f>'[3]LEX - Admin'!G$4*$AD241</f>
        <v>12808.991373736106</v>
      </c>
      <c r="R241" s="186">
        <f>'[3]LEX - Admin'!H$4*$AD241</f>
        <v>12808.991373736106</v>
      </c>
      <c r="S241" s="186">
        <f>'[3]LEX - Admin'!I$4*$AD241</f>
        <v>12808.991373736106</v>
      </c>
      <c r="T241" s="186">
        <f>'[3]LEX - Admin'!J$4*$AD241</f>
        <v>12808.991373736106</v>
      </c>
      <c r="U241" s="186">
        <f>'[3]LEX - Admin'!K$4*$AD241</f>
        <v>12808.991373736106</v>
      </c>
      <c r="V241" s="186">
        <f>'[3]LEX - Admin'!L$4*$AD241</f>
        <v>12808.991373736106</v>
      </c>
      <c r="W241" s="186">
        <f>'[3]LEX - Admin'!M$4*$AD241</f>
        <v>12808.991373736106</v>
      </c>
      <c r="X241" s="186">
        <f>'[3]LEX - Admin'!N$4*$AD241</f>
        <v>12808.991373736106</v>
      </c>
      <c r="Y241" s="186">
        <f>'[3]LEX - Admin'!O$4*$AD241</f>
        <v>12808.991373736106</v>
      </c>
      <c r="Z241" s="186">
        <f>'[3]LEX - Admin'!P$4*$AD241</f>
        <v>12808.991373736106</v>
      </c>
      <c r="AA241" s="184" t="s">
        <v>147</v>
      </c>
      <c r="AB241" s="184" t="s">
        <v>132</v>
      </c>
      <c r="AD241" s="188">
        <v>0.17652721673813904</v>
      </c>
      <c r="AE241" s="184" t="str">
        <f t="shared" si="55"/>
        <v>112-7452</v>
      </c>
    </row>
    <row r="242" spans="1:31" x14ac:dyDescent="0.2">
      <c r="A242" s="184">
        <v>112</v>
      </c>
      <c r="B242" s="185">
        <v>7520</v>
      </c>
      <c r="C242" s="186"/>
      <c r="D242" s="186"/>
      <c r="E242" s="186"/>
      <c r="F242" s="186"/>
      <c r="G242" s="186"/>
      <c r="H242" s="186"/>
      <c r="I242" s="186"/>
      <c r="J242" s="186"/>
      <c r="K242" s="186"/>
      <c r="L242" s="186"/>
      <c r="M242" s="186"/>
      <c r="N242" s="186"/>
      <c r="O242" s="186">
        <f>'[3]LEX - Admin'!E$4*$AD242</f>
        <v>4082.5407362041401</v>
      </c>
      <c r="P242" s="186">
        <f>'[3]LEX - Admin'!F$4*$AD242</f>
        <v>4082.5407362041401</v>
      </c>
      <c r="Q242" s="186">
        <f>'[3]LEX - Admin'!G$4*$AD242</f>
        <v>4082.5407362041401</v>
      </c>
      <c r="R242" s="186">
        <f>'[3]LEX - Admin'!H$4*$AD242</f>
        <v>4082.5407362041401</v>
      </c>
      <c r="S242" s="186">
        <f>'[3]LEX - Admin'!I$4*$AD242</f>
        <v>4082.5407362041401</v>
      </c>
      <c r="T242" s="186">
        <f>'[3]LEX - Admin'!J$4*$AD242</f>
        <v>4082.5407362041401</v>
      </c>
      <c r="U242" s="186">
        <f>'[3]LEX - Admin'!K$4*$AD242</f>
        <v>4082.5407362041401</v>
      </c>
      <c r="V242" s="186">
        <f>'[3]LEX - Admin'!L$4*$AD242</f>
        <v>4082.5407362041401</v>
      </c>
      <c r="W242" s="186">
        <f>'[3]LEX - Admin'!M$4*$AD242</f>
        <v>4082.5407362041401</v>
      </c>
      <c r="X242" s="186">
        <f>'[3]LEX - Admin'!N$4*$AD242</f>
        <v>4082.5407362041401</v>
      </c>
      <c r="Y242" s="186">
        <f>'[3]LEX - Admin'!O$4*$AD242</f>
        <v>4082.5407362041401</v>
      </c>
      <c r="Z242" s="186">
        <f>'[3]LEX - Admin'!P$4*$AD242</f>
        <v>4082.5407362041401</v>
      </c>
      <c r="AA242" s="184" t="s">
        <v>147</v>
      </c>
      <c r="AB242" s="184" t="s">
        <v>133</v>
      </c>
      <c r="AD242" s="188">
        <v>5.6263567704471273E-2</v>
      </c>
      <c r="AE242" s="184" t="str">
        <f t="shared" si="55"/>
        <v>112-7520</v>
      </c>
    </row>
    <row r="243" spans="1:31" x14ac:dyDescent="0.2">
      <c r="B243" s="187"/>
      <c r="C243" s="186"/>
      <c r="D243" s="186"/>
      <c r="E243" s="186"/>
      <c r="F243" s="186"/>
      <c r="G243" s="186"/>
      <c r="H243" s="186"/>
      <c r="I243" s="186"/>
      <c r="J243" s="186"/>
      <c r="K243" s="186"/>
      <c r="L243" s="186"/>
      <c r="M243" s="186"/>
      <c r="N243" s="186"/>
      <c r="O243" s="186"/>
      <c r="P243" s="186"/>
      <c r="Q243" s="186"/>
      <c r="R243" s="186"/>
      <c r="S243" s="186"/>
      <c r="T243" s="186"/>
      <c r="U243" s="186"/>
      <c r="V243" s="186"/>
      <c r="W243" s="186"/>
      <c r="X243" s="186"/>
      <c r="Y243" s="186"/>
      <c r="Z243" s="186"/>
    </row>
    <row r="244" spans="1:31" x14ac:dyDescent="0.2">
      <c r="B244" s="187"/>
      <c r="C244" s="186"/>
      <c r="D244" s="186"/>
      <c r="E244" s="186"/>
      <c r="F244" s="186"/>
      <c r="G244" s="186"/>
      <c r="H244" s="186"/>
      <c r="I244" s="186"/>
      <c r="J244" s="186"/>
      <c r="K244" s="186"/>
      <c r="L244" s="186"/>
      <c r="M244" s="186"/>
      <c r="N244" s="186"/>
      <c r="O244" s="186"/>
      <c r="P244" s="186"/>
      <c r="Q244" s="186"/>
      <c r="R244" s="186"/>
      <c r="S244" s="186"/>
      <c r="T244" s="186"/>
      <c r="U244" s="186"/>
      <c r="V244" s="186"/>
      <c r="W244" s="186"/>
      <c r="X244" s="186"/>
      <c r="Y244" s="186"/>
      <c r="Z244" s="186"/>
    </row>
    <row r="245" spans="1:31" x14ac:dyDescent="0.2">
      <c r="B245" s="187"/>
      <c r="C245" s="186"/>
      <c r="D245" s="186"/>
      <c r="E245" s="186"/>
      <c r="F245" s="186"/>
      <c r="G245" s="186"/>
      <c r="H245" s="186"/>
      <c r="I245" s="186"/>
      <c r="J245" s="186"/>
      <c r="K245" s="186"/>
      <c r="L245" s="186"/>
      <c r="M245" s="186"/>
      <c r="N245" s="186"/>
      <c r="O245" s="186"/>
      <c r="P245" s="186"/>
      <c r="Q245" s="186"/>
      <c r="R245" s="186"/>
      <c r="S245" s="186"/>
      <c r="T245" s="186"/>
      <c r="U245" s="186"/>
      <c r="V245" s="186"/>
      <c r="W245" s="186"/>
      <c r="X245" s="186"/>
      <c r="Y245" s="186"/>
      <c r="Z245" s="186"/>
    </row>
    <row r="246" spans="1:31" x14ac:dyDescent="0.2">
      <c r="B246" s="187"/>
      <c r="C246" s="186"/>
      <c r="D246" s="186"/>
      <c r="E246" s="186"/>
      <c r="F246" s="186"/>
      <c r="G246" s="186"/>
      <c r="H246" s="186"/>
      <c r="I246" s="186"/>
      <c r="J246" s="186"/>
      <c r="K246" s="186"/>
      <c r="L246" s="186"/>
      <c r="M246" s="186"/>
      <c r="N246" s="186"/>
      <c r="O246" s="186"/>
      <c r="P246" s="186"/>
      <c r="Q246" s="186"/>
      <c r="R246" s="186"/>
      <c r="S246" s="186"/>
      <c r="T246" s="186"/>
      <c r="U246" s="186"/>
      <c r="V246" s="186"/>
      <c r="W246" s="186"/>
      <c r="X246" s="186"/>
      <c r="Y246" s="186"/>
      <c r="Z246" s="186"/>
    </row>
    <row r="247" spans="1:31" x14ac:dyDescent="0.2">
      <c r="B247" s="187"/>
      <c r="C247" s="186"/>
      <c r="D247" s="186"/>
      <c r="E247" s="186"/>
      <c r="F247" s="186"/>
      <c r="G247" s="186"/>
      <c r="H247" s="186"/>
      <c r="I247" s="186"/>
      <c r="J247" s="186"/>
      <c r="K247" s="186"/>
      <c r="L247" s="186"/>
      <c r="M247" s="186"/>
      <c r="N247" s="186"/>
      <c r="O247" s="186"/>
      <c r="P247" s="186"/>
      <c r="Q247" s="186"/>
      <c r="R247" s="186"/>
      <c r="S247" s="186"/>
      <c r="T247" s="186"/>
      <c r="U247" s="186"/>
      <c r="V247" s="186"/>
      <c r="W247" s="186"/>
      <c r="X247" s="186"/>
      <c r="Y247" s="186"/>
      <c r="Z247" s="186"/>
    </row>
    <row r="248" spans="1:31" x14ac:dyDescent="0.2">
      <c r="B248" s="187"/>
      <c r="C248" s="186"/>
      <c r="D248" s="186"/>
      <c r="E248" s="186"/>
      <c r="F248" s="186"/>
      <c r="G248" s="186"/>
      <c r="H248" s="186"/>
      <c r="I248" s="186"/>
      <c r="J248" s="186"/>
      <c r="K248" s="186"/>
      <c r="L248" s="186"/>
      <c r="M248" s="186"/>
      <c r="N248" s="186"/>
      <c r="O248" s="186"/>
      <c r="P248" s="186"/>
      <c r="Q248" s="186"/>
      <c r="R248" s="186"/>
      <c r="S248" s="186"/>
      <c r="T248" s="186"/>
      <c r="U248" s="186"/>
      <c r="V248" s="186"/>
      <c r="W248" s="186"/>
      <c r="X248" s="186"/>
      <c r="Y248" s="186"/>
      <c r="Z248" s="186"/>
    </row>
    <row r="249" spans="1:31" x14ac:dyDescent="0.2">
      <c r="B249" s="187"/>
      <c r="C249" s="186"/>
      <c r="D249" s="186"/>
      <c r="E249" s="186"/>
      <c r="F249" s="186"/>
      <c r="G249" s="186"/>
      <c r="H249" s="186"/>
      <c r="I249" s="186"/>
      <c r="J249" s="186"/>
      <c r="K249" s="186"/>
      <c r="L249" s="186"/>
      <c r="M249" s="186"/>
      <c r="N249" s="186"/>
      <c r="O249" s="186"/>
      <c r="P249" s="186"/>
      <c r="Q249" s="186"/>
      <c r="R249" s="186"/>
      <c r="S249" s="186"/>
      <c r="T249" s="186"/>
      <c r="U249" s="186"/>
      <c r="V249" s="186"/>
      <c r="W249" s="186"/>
      <c r="X249" s="186"/>
      <c r="Y249" s="186"/>
      <c r="Z249" s="186"/>
    </row>
    <row r="250" spans="1:31" x14ac:dyDescent="0.2">
      <c r="B250" s="187"/>
      <c r="C250" s="186"/>
      <c r="D250" s="186"/>
      <c r="E250" s="186"/>
      <c r="F250" s="186"/>
      <c r="G250" s="186"/>
      <c r="H250" s="186"/>
      <c r="I250" s="186"/>
      <c r="J250" s="186"/>
      <c r="K250" s="186"/>
      <c r="L250" s="186"/>
      <c r="M250" s="186"/>
      <c r="N250" s="186"/>
      <c r="O250" s="186"/>
      <c r="P250" s="186"/>
      <c r="Q250" s="186"/>
      <c r="R250" s="186"/>
      <c r="S250" s="186"/>
      <c r="T250" s="186"/>
      <c r="U250" s="186"/>
      <c r="V250" s="186"/>
      <c r="W250" s="186"/>
      <c r="X250" s="186"/>
      <c r="Y250" s="186"/>
      <c r="Z250" s="186"/>
    </row>
    <row r="251" spans="1:31" x14ac:dyDescent="0.2">
      <c r="B251" s="187"/>
      <c r="C251" s="186"/>
      <c r="D251" s="186"/>
      <c r="E251" s="186"/>
      <c r="F251" s="186"/>
      <c r="G251" s="186"/>
      <c r="H251" s="186"/>
      <c r="I251" s="186"/>
      <c r="J251" s="186"/>
      <c r="K251" s="186"/>
      <c r="L251" s="186"/>
      <c r="M251" s="186"/>
      <c r="N251" s="186"/>
      <c r="O251" s="186"/>
      <c r="P251" s="186"/>
      <c r="Q251" s="186"/>
      <c r="R251" s="186"/>
      <c r="S251" s="186"/>
      <c r="T251" s="186"/>
      <c r="U251" s="186"/>
      <c r="V251" s="186"/>
      <c r="W251" s="186"/>
      <c r="X251" s="186"/>
      <c r="Y251" s="186"/>
      <c r="Z251" s="186"/>
    </row>
    <row r="252" spans="1:31" x14ac:dyDescent="0.2">
      <c r="B252" s="187"/>
      <c r="C252" s="186"/>
      <c r="D252" s="186"/>
      <c r="E252" s="186"/>
      <c r="F252" s="186"/>
      <c r="G252" s="186"/>
      <c r="H252" s="186"/>
      <c r="I252" s="186"/>
      <c r="J252" s="186"/>
      <c r="K252" s="186"/>
      <c r="L252" s="186"/>
      <c r="M252" s="186"/>
      <c r="N252" s="186"/>
      <c r="O252" s="186"/>
      <c r="P252" s="186"/>
      <c r="Q252" s="186"/>
      <c r="R252" s="186"/>
      <c r="S252" s="186"/>
      <c r="T252" s="186"/>
      <c r="U252" s="186"/>
      <c r="V252" s="186"/>
      <c r="W252" s="186"/>
      <c r="X252" s="186"/>
      <c r="Y252" s="186"/>
      <c r="Z252" s="186"/>
    </row>
    <row r="253" spans="1:31" x14ac:dyDescent="0.2">
      <c r="B253" s="187"/>
      <c r="C253" s="186"/>
      <c r="D253" s="186"/>
      <c r="E253" s="186"/>
      <c r="F253" s="186"/>
      <c r="G253" s="186"/>
      <c r="H253" s="186"/>
      <c r="I253" s="186"/>
      <c r="J253" s="186"/>
      <c r="K253" s="186"/>
      <c r="L253" s="186"/>
      <c r="M253" s="186"/>
      <c r="N253" s="186"/>
      <c r="O253" s="186"/>
      <c r="P253" s="186"/>
      <c r="Q253" s="186"/>
      <c r="R253" s="186"/>
      <c r="S253" s="186"/>
      <c r="T253" s="186"/>
      <c r="U253" s="186"/>
      <c r="V253" s="186"/>
      <c r="W253" s="186"/>
      <c r="X253" s="186"/>
      <c r="Y253" s="186"/>
      <c r="Z253" s="186"/>
    </row>
    <row r="254" spans="1:31" x14ac:dyDescent="0.2">
      <c r="B254" s="187"/>
      <c r="C254" s="186"/>
      <c r="D254" s="186"/>
      <c r="E254" s="186"/>
      <c r="F254" s="186"/>
      <c r="G254" s="186"/>
      <c r="H254" s="186"/>
      <c r="I254" s="186"/>
      <c r="J254" s="186"/>
      <c r="K254" s="186"/>
      <c r="L254" s="186"/>
      <c r="M254" s="186"/>
      <c r="N254" s="186"/>
      <c r="O254" s="186"/>
      <c r="P254" s="186"/>
      <c r="Q254" s="186"/>
      <c r="R254" s="186"/>
      <c r="S254" s="186"/>
      <c r="T254" s="186"/>
      <c r="U254" s="186"/>
      <c r="V254" s="186"/>
      <c r="W254" s="186"/>
      <c r="X254" s="186"/>
      <c r="Y254" s="186"/>
      <c r="Z254" s="186"/>
    </row>
    <row r="255" spans="1:31" x14ac:dyDescent="0.2">
      <c r="B255" s="187"/>
      <c r="C255" s="186"/>
      <c r="D255" s="186"/>
      <c r="E255" s="186"/>
      <c r="F255" s="186"/>
      <c r="G255" s="186"/>
      <c r="H255" s="186"/>
      <c r="I255" s="186"/>
      <c r="J255" s="186"/>
      <c r="K255" s="186"/>
      <c r="L255" s="186"/>
      <c r="M255" s="186"/>
      <c r="N255" s="186"/>
      <c r="O255" s="186"/>
      <c r="P255" s="186"/>
      <c r="Q255" s="186"/>
      <c r="R255" s="186"/>
      <c r="S255" s="186"/>
      <c r="T255" s="186"/>
      <c r="U255" s="186"/>
      <c r="V255" s="186"/>
      <c r="W255" s="186"/>
      <c r="X255" s="186"/>
      <c r="Y255" s="186"/>
      <c r="Z255" s="186"/>
    </row>
    <row r="256" spans="1:31" x14ac:dyDescent="0.2">
      <c r="B256" s="187"/>
      <c r="C256" s="186"/>
      <c r="D256" s="186"/>
      <c r="E256" s="186"/>
      <c r="F256" s="186"/>
      <c r="G256" s="186"/>
      <c r="H256" s="186"/>
      <c r="I256" s="186"/>
      <c r="J256" s="186"/>
      <c r="K256" s="186"/>
      <c r="L256" s="186"/>
      <c r="M256" s="186"/>
      <c r="N256" s="186"/>
      <c r="O256" s="186"/>
      <c r="P256" s="186"/>
      <c r="Q256" s="186"/>
      <c r="R256" s="186"/>
      <c r="S256" s="186"/>
      <c r="T256" s="186"/>
      <c r="U256" s="186"/>
      <c r="V256" s="186"/>
      <c r="W256" s="186"/>
      <c r="X256" s="186"/>
      <c r="Y256" s="186"/>
      <c r="Z256" s="186"/>
    </row>
    <row r="257" spans="2:26" x14ac:dyDescent="0.2">
      <c r="B257" s="187"/>
      <c r="C257" s="186"/>
      <c r="D257" s="186"/>
      <c r="E257" s="186"/>
      <c r="F257" s="186"/>
      <c r="G257" s="186"/>
      <c r="H257" s="186"/>
      <c r="I257" s="186"/>
      <c r="J257" s="186"/>
      <c r="K257" s="186"/>
      <c r="L257" s="186"/>
      <c r="M257" s="186"/>
      <c r="N257" s="186"/>
      <c r="O257" s="186"/>
      <c r="P257" s="186"/>
      <c r="Q257" s="186"/>
      <c r="R257" s="186"/>
      <c r="S257" s="186"/>
      <c r="T257" s="186"/>
      <c r="U257" s="186"/>
      <c r="V257" s="186"/>
      <c r="W257" s="186"/>
      <c r="X257" s="186"/>
      <c r="Y257" s="186"/>
      <c r="Z257" s="186"/>
    </row>
    <row r="258" spans="2:26" x14ac:dyDescent="0.2">
      <c r="B258" s="187"/>
      <c r="C258" s="186"/>
      <c r="D258" s="186"/>
      <c r="E258" s="186"/>
      <c r="F258" s="186"/>
      <c r="G258" s="186"/>
      <c r="H258" s="186"/>
      <c r="I258" s="186"/>
      <c r="J258" s="186"/>
      <c r="K258" s="186"/>
      <c r="L258" s="186"/>
      <c r="M258" s="186"/>
      <c r="N258" s="186"/>
      <c r="O258" s="186"/>
      <c r="P258" s="186"/>
      <c r="Q258" s="186"/>
      <c r="R258" s="186"/>
      <c r="S258" s="186"/>
      <c r="T258" s="186"/>
      <c r="U258" s="186"/>
      <c r="V258" s="186"/>
      <c r="W258" s="186"/>
      <c r="X258" s="186"/>
      <c r="Y258" s="186"/>
      <c r="Z258" s="186"/>
    </row>
    <row r="259" spans="2:26" x14ac:dyDescent="0.2">
      <c r="B259" s="187"/>
      <c r="C259" s="186"/>
      <c r="D259" s="186"/>
      <c r="E259" s="186"/>
      <c r="F259" s="186"/>
      <c r="G259" s="186"/>
      <c r="H259" s="186"/>
      <c r="I259" s="186"/>
      <c r="J259" s="186"/>
      <c r="K259" s="186"/>
      <c r="L259" s="186"/>
      <c r="M259" s="186"/>
      <c r="N259" s="186"/>
      <c r="O259" s="186"/>
      <c r="P259" s="186"/>
      <c r="Q259" s="186"/>
      <c r="R259" s="186"/>
      <c r="S259" s="186"/>
      <c r="T259" s="186"/>
      <c r="U259" s="186"/>
      <c r="V259" s="186"/>
      <c r="W259" s="186"/>
      <c r="X259" s="186"/>
      <c r="Y259" s="186"/>
      <c r="Z259" s="186"/>
    </row>
    <row r="260" spans="2:26" x14ac:dyDescent="0.2">
      <c r="B260" s="187"/>
      <c r="C260" s="186"/>
      <c r="D260" s="186"/>
      <c r="E260" s="186"/>
      <c r="F260" s="186"/>
      <c r="G260" s="186"/>
      <c r="H260" s="186"/>
      <c r="I260" s="186"/>
      <c r="J260" s="186"/>
      <c r="K260" s="186"/>
      <c r="L260" s="186"/>
      <c r="M260" s="186"/>
      <c r="N260" s="186"/>
      <c r="O260" s="186"/>
      <c r="P260" s="186"/>
      <c r="Q260" s="186"/>
      <c r="R260" s="186"/>
      <c r="S260" s="186"/>
      <c r="T260" s="186"/>
      <c r="U260" s="186"/>
      <c r="V260" s="186"/>
      <c r="W260" s="186"/>
      <c r="X260" s="186"/>
      <c r="Y260" s="186"/>
      <c r="Z260" s="186"/>
    </row>
    <row r="261" spans="2:26" x14ac:dyDescent="0.2">
      <c r="B261" s="187"/>
      <c r="C261" s="186"/>
      <c r="D261" s="186"/>
      <c r="E261" s="186"/>
      <c r="F261" s="186"/>
      <c r="G261" s="186"/>
      <c r="H261" s="186"/>
      <c r="I261" s="186"/>
      <c r="J261" s="186"/>
      <c r="K261" s="186"/>
      <c r="L261" s="186"/>
      <c r="M261" s="186"/>
      <c r="N261" s="186"/>
      <c r="O261" s="186"/>
      <c r="P261" s="186"/>
      <c r="Q261" s="186"/>
      <c r="R261" s="186"/>
      <c r="S261" s="186"/>
      <c r="T261" s="186"/>
      <c r="U261" s="186"/>
      <c r="V261" s="186"/>
      <c r="W261" s="186"/>
      <c r="X261" s="186"/>
      <c r="Y261" s="186"/>
      <c r="Z261" s="186"/>
    </row>
    <row r="262" spans="2:26" x14ac:dyDescent="0.2">
      <c r="B262" s="187"/>
      <c r="C262" s="186"/>
      <c r="D262" s="186"/>
      <c r="E262" s="186"/>
      <c r="F262" s="186"/>
      <c r="G262" s="186"/>
      <c r="H262" s="186"/>
      <c r="I262" s="186"/>
      <c r="J262" s="186"/>
      <c r="K262" s="186"/>
      <c r="L262" s="186"/>
      <c r="M262" s="186"/>
      <c r="N262" s="186"/>
      <c r="O262" s="186"/>
      <c r="P262" s="186"/>
      <c r="Q262" s="186"/>
      <c r="R262" s="186"/>
      <c r="S262" s="186"/>
      <c r="T262" s="186"/>
      <c r="U262" s="186"/>
      <c r="V262" s="186"/>
      <c r="W262" s="186"/>
      <c r="X262" s="186"/>
      <c r="Y262" s="186"/>
      <c r="Z262" s="186"/>
    </row>
    <row r="263" spans="2:26" x14ac:dyDescent="0.2">
      <c r="B263" s="187"/>
      <c r="C263" s="186"/>
      <c r="D263" s="186"/>
      <c r="E263" s="186"/>
      <c r="F263" s="186"/>
      <c r="G263" s="186"/>
      <c r="H263" s="186"/>
      <c r="I263" s="186"/>
      <c r="J263" s="186"/>
      <c r="K263" s="186"/>
      <c r="L263" s="186"/>
      <c r="M263" s="186"/>
      <c r="N263" s="186"/>
      <c r="O263" s="186"/>
      <c r="P263" s="186"/>
      <c r="Q263" s="186"/>
      <c r="R263" s="186"/>
      <c r="S263" s="186"/>
      <c r="T263" s="186"/>
      <c r="U263" s="186"/>
      <c r="V263" s="186"/>
      <c r="W263" s="186"/>
      <c r="X263" s="186"/>
      <c r="Y263" s="186"/>
      <c r="Z263" s="186"/>
    </row>
    <row r="264" spans="2:26" x14ac:dyDescent="0.2">
      <c r="C264" s="186"/>
      <c r="D264" s="186"/>
      <c r="E264" s="186"/>
      <c r="F264" s="186"/>
      <c r="G264" s="186"/>
      <c r="H264" s="186"/>
      <c r="I264" s="215"/>
      <c r="J264" s="186"/>
      <c r="K264" s="186"/>
      <c r="L264" s="186"/>
      <c r="M264" s="186"/>
      <c r="N264" s="186"/>
      <c r="O264" s="186"/>
      <c r="P264" s="186"/>
      <c r="Q264" s="186"/>
      <c r="R264" s="186"/>
      <c r="S264" s="186"/>
      <c r="T264" s="186"/>
      <c r="U264" s="186"/>
      <c r="V264" s="186"/>
      <c r="W264" s="186"/>
      <c r="X264" s="186"/>
      <c r="Y264" s="186"/>
      <c r="Z264" s="186"/>
    </row>
    <row r="265" spans="2:26" x14ac:dyDescent="0.2">
      <c r="C265" s="186"/>
      <c r="D265" s="186"/>
      <c r="E265" s="186"/>
      <c r="F265" s="186"/>
      <c r="G265" s="186"/>
      <c r="H265" s="186"/>
      <c r="I265" s="215"/>
      <c r="J265" s="186"/>
      <c r="K265" s="186"/>
      <c r="L265" s="186"/>
      <c r="M265" s="186"/>
      <c r="N265" s="186"/>
      <c r="O265" s="186"/>
      <c r="P265" s="186"/>
      <c r="Q265" s="186"/>
      <c r="R265" s="186"/>
      <c r="S265" s="186"/>
      <c r="T265" s="186"/>
      <c r="U265" s="186"/>
      <c r="V265" s="186"/>
      <c r="W265" s="186"/>
      <c r="X265" s="186"/>
      <c r="Y265" s="186"/>
      <c r="Z265" s="186"/>
    </row>
    <row r="266" spans="2:26" x14ac:dyDescent="0.2">
      <c r="C266" s="186"/>
      <c r="D266" s="186"/>
      <c r="E266" s="186"/>
      <c r="F266" s="186"/>
      <c r="G266" s="186"/>
      <c r="H266" s="186"/>
      <c r="I266" s="215"/>
      <c r="J266" s="186"/>
      <c r="K266" s="186"/>
      <c r="L266" s="186"/>
      <c r="M266" s="186"/>
      <c r="N266" s="186"/>
      <c r="O266" s="186"/>
      <c r="P266" s="186"/>
      <c r="Q266" s="186"/>
      <c r="R266" s="186"/>
      <c r="S266" s="186"/>
      <c r="T266" s="186"/>
      <c r="U266" s="186"/>
      <c r="V266" s="186"/>
      <c r="W266" s="186"/>
      <c r="X266" s="186"/>
      <c r="Y266" s="186"/>
      <c r="Z266" s="186"/>
    </row>
    <row r="267" spans="2:26" x14ac:dyDescent="0.2">
      <c r="C267" s="186"/>
      <c r="D267" s="186"/>
      <c r="E267" s="186"/>
      <c r="F267" s="186"/>
      <c r="G267" s="186"/>
      <c r="H267" s="186"/>
      <c r="I267" s="215"/>
      <c r="J267" s="186"/>
      <c r="K267" s="186"/>
      <c r="L267" s="186"/>
      <c r="M267" s="186"/>
      <c r="N267" s="186"/>
      <c r="O267" s="186"/>
      <c r="P267" s="186"/>
      <c r="Q267" s="186"/>
      <c r="R267" s="186"/>
      <c r="S267" s="186"/>
      <c r="T267" s="186"/>
      <c r="U267" s="186"/>
      <c r="V267" s="186"/>
      <c r="W267" s="186"/>
      <c r="X267" s="186"/>
      <c r="Y267" s="186"/>
      <c r="Z267" s="186"/>
    </row>
    <row r="268" spans="2:26" x14ac:dyDescent="0.2">
      <c r="C268" s="186"/>
      <c r="D268" s="186"/>
      <c r="E268" s="186"/>
      <c r="F268" s="186"/>
      <c r="G268" s="186"/>
      <c r="H268" s="186"/>
      <c r="I268" s="215"/>
      <c r="J268" s="186"/>
      <c r="K268" s="186"/>
      <c r="L268" s="186"/>
      <c r="M268" s="186"/>
      <c r="N268" s="186"/>
      <c r="O268" s="186"/>
      <c r="P268" s="186"/>
      <c r="Q268" s="186"/>
      <c r="R268" s="186"/>
      <c r="S268" s="186"/>
      <c r="T268" s="186"/>
      <c r="U268" s="186"/>
      <c r="V268" s="186"/>
      <c r="W268" s="186"/>
      <c r="X268" s="186"/>
      <c r="Y268" s="186"/>
      <c r="Z268" s="186"/>
    </row>
    <row r="269" spans="2:26" x14ac:dyDescent="0.2">
      <c r="C269" s="186"/>
      <c r="D269" s="186"/>
      <c r="E269" s="186"/>
      <c r="F269" s="186"/>
      <c r="G269" s="186"/>
      <c r="H269" s="186"/>
      <c r="I269" s="186"/>
      <c r="J269" s="186"/>
      <c r="K269" s="186"/>
      <c r="L269" s="186"/>
      <c r="M269" s="186"/>
      <c r="N269" s="186"/>
      <c r="O269" s="186"/>
      <c r="P269" s="186"/>
      <c r="Q269" s="186"/>
      <c r="R269" s="186"/>
      <c r="S269" s="186"/>
      <c r="T269" s="186"/>
      <c r="U269" s="186"/>
      <c r="V269" s="186"/>
      <c r="W269" s="186"/>
      <c r="X269" s="186"/>
      <c r="Y269" s="186"/>
      <c r="Z269" s="186"/>
    </row>
    <row r="270" spans="2:26" x14ac:dyDescent="0.2">
      <c r="C270" s="186"/>
      <c r="D270" s="186"/>
      <c r="E270" s="186"/>
      <c r="F270" s="186"/>
      <c r="G270" s="186"/>
      <c r="H270" s="186"/>
      <c r="I270" s="186"/>
      <c r="J270" s="186"/>
      <c r="K270" s="186"/>
      <c r="L270" s="186"/>
      <c r="M270" s="186"/>
      <c r="N270" s="186"/>
      <c r="O270" s="186"/>
      <c r="P270" s="186"/>
      <c r="Q270" s="186"/>
      <c r="R270" s="186"/>
      <c r="S270" s="186"/>
      <c r="T270" s="186"/>
      <c r="U270" s="186"/>
      <c r="V270" s="186"/>
      <c r="W270" s="186"/>
      <c r="X270" s="186"/>
      <c r="Y270" s="186"/>
      <c r="Z270" s="186"/>
    </row>
    <row r="271" spans="2:26" x14ac:dyDescent="0.2">
      <c r="C271" s="186"/>
      <c r="D271" s="186"/>
      <c r="E271" s="186"/>
      <c r="F271" s="186"/>
      <c r="G271" s="186"/>
      <c r="H271" s="186"/>
      <c r="I271" s="186"/>
      <c r="J271" s="186"/>
      <c r="K271" s="186"/>
      <c r="L271" s="186"/>
      <c r="M271" s="186"/>
      <c r="N271" s="186"/>
      <c r="O271" s="186"/>
      <c r="P271" s="186"/>
      <c r="Q271" s="186"/>
      <c r="R271" s="186"/>
      <c r="S271" s="186"/>
      <c r="T271" s="186"/>
      <c r="U271" s="186"/>
      <c r="V271" s="186"/>
      <c r="W271" s="186"/>
      <c r="X271" s="186"/>
      <c r="Y271" s="186"/>
      <c r="Z271" s="186"/>
    </row>
    <row r="272" spans="2:26" x14ac:dyDescent="0.2">
      <c r="C272" s="186"/>
      <c r="D272" s="186"/>
      <c r="E272" s="186"/>
      <c r="F272" s="186"/>
      <c r="G272" s="186"/>
      <c r="H272" s="186"/>
      <c r="I272" s="186"/>
      <c r="J272" s="186"/>
      <c r="K272" s="186"/>
      <c r="L272" s="186"/>
      <c r="M272" s="186"/>
      <c r="N272" s="186"/>
      <c r="O272" s="186"/>
      <c r="P272" s="186"/>
      <c r="Q272" s="186"/>
      <c r="R272" s="186"/>
      <c r="S272" s="186"/>
      <c r="T272" s="186"/>
      <c r="U272" s="186"/>
      <c r="V272" s="186"/>
      <c r="W272" s="186"/>
      <c r="X272" s="186"/>
      <c r="Y272" s="186"/>
      <c r="Z272" s="186"/>
    </row>
    <row r="273" spans="3:26" x14ac:dyDescent="0.2">
      <c r="C273" s="186"/>
      <c r="D273" s="186"/>
      <c r="E273" s="186"/>
      <c r="F273" s="186"/>
      <c r="G273" s="186"/>
      <c r="H273" s="186"/>
      <c r="I273" s="186"/>
      <c r="J273" s="186"/>
      <c r="K273" s="186"/>
      <c r="L273" s="186"/>
      <c r="M273" s="186"/>
      <c r="N273" s="186"/>
      <c r="O273" s="186"/>
      <c r="P273" s="186"/>
      <c r="Q273" s="186"/>
      <c r="R273" s="186"/>
      <c r="S273" s="186"/>
      <c r="T273" s="186"/>
      <c r="U273" s="186"/>
      <c r="V273" s="186"/>
      <c r="W273" s="186"/>
      <c r="X273" s="186"/>
      <c r="Y273" s="186"/>
      <c r="Z273" s="186"/>
    </row>
    <row r="274" spans="3:26" x14ac:dyDescent="0.2">
      <c r="C274" s="186"/>
      <c r="D274" s="186"/>
      <c r="E274" s="186"/>
      <c r="F274" s="186"/>
      <c r="G274" s="186"/>
      <c r="H274" s="186"/>
      <c r="I274" s="186"/>
      <c r="J274" s="186"/>
      <c r="K274" s="186"/>
      <c r="L274" s="186"/>
      <c r="M274" s="186"/>
      <c r="N274" s="186"/>
      <c r="O274" s="186"/>
      <c r="P274" s="186"/>
      <c r="Q274" s="186"/>
      <c r="R274" s="186"/>
      <c r="S274" s="186"/>
      <c r="T274" s="186"/>
      <c r="U274" s="186"/>
      <c r="V274" s="186"/>
      <c r="W274" s="186"/>
      <c r="X274" s="186"/>
      <c r="Y274" s="186"/>
      <c r="Z274" s="186"/>
    </row>
    <row r="275" spans="3:26" x14ac:dyDescent="0.2">
      <c r="C275" s="186"/>
      <c r="D275" s="186"/>
      <c r="E275" s="186"/>
      <c r="F275" s="186"/>
      <c r="G275" s="186"/>
      <c r="H275" s="186"/>
      <c r="I275" s="186"/>
      <c r="J275" s="186"/>
      <c r="K275" s="186"/>
      <c r="L275" s="186"/>
      <c r="M275" s="186"/>
      <c r="N275" s="186"/>
      <c r="O275" s="186"/>
      <c r="P275" s="186"/>
      <c r="Q275" s="186"/>
      <c r="R275" s="186"/>
      <c r="S275" s="186"/>
      <c r="T275" s="186"/>
      <c r="U275" s="186"/>
      <c r="V275" s="186"/>
      <c r="W275" s="186"/>
      <c r="X275" s="186"/>
      <c r="Y275" s="186"/>
      <c r="Z275" s="186"/>
    </row>
    <row r="276" spans="3:26" x14ac:dyDescent="0.2">
      <c r="C276" s="186"/>
      <c r="D276" s="186"/>
      <c r="E276" s="186"/>
      <c r="F276" s="186"/>
      <c r="G276" s="186"/>
      <c r="H276" s="186"/>
      <c r="I276" s="186"/>
      <c r="J276" s="186"/>
      <c r="K276" s="186"/>
      <c r="L276" s="186"/>
      <c r="M276" s="186"/>
      <c r="N276" s="186"/>
      <c r="O276" s="186"/>
      <c r="P276" s="186"/>
      <c r="Q276" s="186"/>
      <c r="R276" s="186"/>
      <c r="S276" s="186"/>
      <c r="T276" s="186"/>
      <c r="U276" s="186"/>
      <c r="V276" s="186"/>
      <c r="W276" s="186"/>
      <c r="X276" s="186"/>
      <c r="Y276" s="186"/>
      <c r="Z276" s="186"/>
    </row>
    <row r="277" spans="3:26" x14ac:dyDescent="0.2">
      <c r="C277" s="186"/>
      <c r="D277" s="186"/>
      <c r="E277" s="186"/>
      <c r="F277" s="186"/>
      <c r="G277" s="186"/>
      <c r="H277" s="186"/>
      <c r="I277" s="186"/>
      <c r="J277" s="186"/>
      <c r="K277" s="186"/>
      <c r="L277" s="186"/>
      <c r="M277" s="186"/>
      <c r="N277" s="186"/>
      <c r="O277" s="186"/>
      <c r="P277" s="186"/>
      <c r="Q277" s="186"/>
      <c r="R277" s="186"/>
      <c r="S277" s="186"/>
      <c r="T277" s="186"/>
      <c r="U277" s="186"/>
      <c r="V277" s="186"/>
      <c r="W277" s="186"/>
      <c r="X277" s="186"/>
      <c r="Y277" s="186"/>
      <c r="Z277" s="186"/>
    </row>
    <row r="278" spans="3:26" x14ac:dyDescent="0.2">
      <c r="C278" s="186"/>
      <c r="D278" s="186"/>
      <c r="E278" s="186"/>
      <c r="F278" s="186"/>
      <c r="G278" s="186"/>
      <c r="H278" s="186"/>
      <c r="I278" s="186"/>
      <c r="J278" s="186"/>
      <c r="K278" s="186"/>
      <c r="L278" s="186"/>
      <c r="M278" s="186"/>
      <c r="N278" s="186"/>
      <c r="O278" s="186"/>
      <c r="P278" s="186"/>
      <c r="Q278" s="186"/>
      <c r="R278" s="186"/>
      <c r="S278" s="186"/>
      <c r="T278" s="186"/>
      <c r="U278" s="186"/>
      <c r="V278" s="186"/>
      <c r="W278" s="186"/>
      <c r="X278" s="186"/>
      <c r="Y278" s="186"/>
      <c r="Z278" s="186"/>
    </row>
    <row r="279" spans="3:26" x14ac:dyDescent="0.2">
      <c r="C279" s="186"/>
      <c r="D279" s="186"/>
      <c r="E279" s="186"/>
      <c r="F279" s="186"/>
      <c r="G279" s="186"/>
      <c r="H279" s="186"/>
      <c r="I279" s="186"/>
      <c r="J279" s="186"/>
      <c r="K279" s="186"/>
      <c r="L279" s="186"/>
      <c r="M279" s="186"/>
      <c r="N279" s="186"/>
      <c r="O279" s="186"/>
      <c r="P279" s="186"/>
      <c r="Q279" s="186"/>
      <c r="R279" s="186"/>
      <c r="S279" s="186"/>
      <c r="T279" s="186"/>
      <c r="U279" s="186"/>
      <c r="V279" s="186"/>
      <c r="W279" s="186"/>
      <c r="X279" s="186"/>
      <c r="Y279" s="186"/>
      <c r="Z279" s="186"/>
    </row>
    <row r="280" spans="3:26" x14ac:dyDescent="0.2">
      <c r="C280" s="186"/>
      <c r="D280" s="186"/>
      <c r="E280" s="186"/>
      <c r="F280" s="186"/>
      <c r="G280" s="186"/>
      <c r="H280" s="186"/>
      <c r="I280" s="186"/>
      <c r="J280" s="186"/>
      <c r="K280" s="186"/>
      <c r="L280" s="186"/>
      <c r="M280" s="186"/>
      <c r="N280" s="186"/>
      <c r="O280" s="186"/>
      <c r="P280" s="186"/>
      <c r="Q280" s="186"/>
      <c r="R280" s="186"/>
      <c r="S280" s="186"/>
      <c r="T280" s="186"/>
      <c r="U280" s="186"/>
      <c r="V280" s="186"/>
      <c r="W280" s="186"/>
      <c r="X280" s="186"/>
      <c r="Y280" s="186"/>
      <c r="Z280" s="186"/>
    </row>
    <row r="281" spans="3:26" x14ac:dyDescent="0.2">
      <c r="C281" s="186"/>
      <c r="D281" s="186"/>
      <c r="E281" s="186"/>
      <c r="F281" s="186"/>
      <c r="G281" s="186"/>
      <c r="H281" s="186"/>
      <c r="I281" s="186"/>
      <c r="J281" s="186"/>
      <c r="K281" s="186"/>
      <c r="L281" s="186"/>
      <c r="M281" s="186"/>
      <c r="N281" s="186"/>
      <c r="O281" s="186"/>
      <c r="P281" s="186"/>
      <c r="Q281" s="186"/>
      <c r="R281" s="186"/>
      <c r="S281" s="186"/>
      <c r="T281" s="186"/>
      <c r="U281" s="186"/>
      <c r="V281" s="186"/>
      <c r="W281" s="186"/>
      <c r="X281" s="186"/>
      <c r="Y281" s="186"/>
      <c r="Z281" s="186"/>
    </row>
    <row r="282" spans="3:26" x14ac:dyDescent="0.2">
      <c r="C282" s="186"/>
      <c r="D282" s="186"/>
      <c r="E282" s="186"/>
      <c r="F282" s="186"/>
      <c r="G282" s="186"/>
      <c r="H282" s="186"/>
      <c r="I282" s="186"/>
      <c r="J282" s="186"/>
      <c r="K282" s="186"/>
      <c r="L282" s="186"/>
      <c r="M282" s="186"/>
      <c r="N282" s="186"/>
      <c r="O282" s="186"/>
      <c r="P282" s="186"/>
      <c r="Q282" s="186"/>
      <c r="R282" s="186"/>
      <c r="S282" s="186"/>
      <c r="T282" s="186"/>
      <c r="U282" s="186"/>
      <c r="V282" s="186"/>
      <c r="W282" s="186"/>
      <c r="X282" s="186"/>
      <c r="Y282" s="186"/>
      <c r="Z282" s="186"/>
    </row>
    <row r="283" spans="3:26" x14ac:dyDescent="0.2">
      <c r="C283" s="186"/>
      <c r="D283" s="186"/>
      <c r="E283" s="186"/>
      <c r="F283" s="186"/>
      <c r="G283" s="186"/>
      <c r="H283" s="186"/>
      <c r="I283" s="186"/>
      <c r="J283" s="186"/>
      <c r="K283" s="186"/>
      <c r="L283" s="186"/>
      <c r="M283" s="186"/>
      <c r="N283" s="186"/>
      <c r="O283" s="186"/>
      <c r="P283" s="186"/>
      <c r="Q283" s="186"/>
      <c r="R283" s="186"/>
      <c r="S283" s="186"/>
      <c r="T283" s="186"/>
      <c r="U283" s="186"/>
      <c r="V283" s="186"/>
      <c r="W283" s="186"/>
      <c r="X283" s="186"/>
      <c r="Y283" s="186"/>
      <c r="Z283" s="186"/>
    </row>
    <row r="284" spans="3:26" x14ac:dyDescent="0.2">
      <c r="C284" s="186"/>
      <c r="D284" s="186"/>
      <c r="E284" s="186"/>
      <c r="F284" s="186"/>
      <c r="G284" s="186"/>
      <c r="H284" s="186"/>
      <c r="I284" s="186"/>
      <c r="J284" s="186"/>
      <c r="K284" s="186"/>
      <c r="L284" s="186"/>
      <c r="M284" s="186"/>
      <c r="N284" s="186"/>
      <c r="O284" s="186"/>
      <c r="P284" s="186"/>
      <c r="Q284" s="186"/>
      <c r="R284" s="186"/>
      <c r="S284" s="186"/>
      <c r="T284" s="186"/>
      <c r="U284" s="186"/>
      <c r="V284" s="186"/>
      <c r="W284" s="186"/>
      <c r="X284" s="186"/>
      <c r="Y284" s="186"/>
      <c r="Z284" s="186"/>
    </row>
    <row r="285" spans="3:26" x14ac:dyDescent="0.2">
      <c r="C285" s="186"/>
      <c r="D285" s="186"/>
      <c r="E285" s="186"/>
      <c r="F285" s="186"/>
      <c r="G285" s="186"/>
      <c r="H285" s="186"/>
      <c r="I285" s="186"/>
      <c r="J285" s="186"/>
      <c r="K285" s="186"/>
      <c r="L285" s="186"/>
      <c r="M285" s="186"/>
      <c r="N285" s="186"/>
      <c r="O285" s="186"/>
      <c r="P285" s="186"/>
      <c r="Q285" s="186"/>
      <c r="R285" s="186"/>
      <c r="S285" s="186"/>
      <c r="T285" s="186"/>
      <c r="U285" s="186"/>
      <c r="V285" s="186"/>
      <c r="W285" s="186"/>
      <c r="X285" s="186"/>
      <c r="Y285" s="186"/>
      <c r="Z285" s="186"/>
    </row>
    <row r="286" spans="3:26" x14ac:dyDescent="0.2">
      <c r="C286" s="186"/>
      <c r="D286" s="186"/>
      <c r="E286" s="186"/>
      <c r="F286" s="186"/>
      <c r="G286" s="186"/>
      <c r="H286" s="186"/>
      <c r="I286" s="186"/>
      <c r="J286" s="186"/>
      <c r="K286" s="186"/>
      <c r="L286" s="186"/>
      <c r="M286" s="186"/>
      <c r="N286" s="186"/>
      <c r="O286" s="186"/>
      <c r="P286" s="186"/>
      <c r="Q286" s="186"/>
      <c r="R286" s="186"/>
      <c r="S286" s="186"/>
      <c r="T286" s="186"/>
      <c r="U286" s="186"/>
      <c r="V286" s="186"/>
      <c r="W286" s="186"/>
      <c r="X286" s="186"/>
      <c r="Y286" s="186"/>
      <c r="Z286" s="186"/>
    </row>
    <row r="287" spans="3:26" x14ac:dyDescent="0.2">
      <c r="C287" s="186"/>
      <c r="D287" s="186"/>
      <c r="E287" s="186"/>
      <c r="F287" s="186"/>
      <c r="G287" s="186"/>
      <c r="H287" s="186"/>
      <c r="I287" s="186"/>
      <c r="J287" s="186"/>
      <c r="K287" s="186"/>
      <c r="L287" s="186"/>
      <c r="M287" s="186"/>
      <c r="N287" s="186"/>
      <c r="O287" s="186"/>
      <c r="P287" s="186"/>
      <c r="Q287" s="186"/>
      <c r="R287" s="186"/>
      <c r="S287" s="186"/>
      <c r="T287" s="186"/>
      <c r="U287" s="186"/>
      <c r="V287" s="186"/>
      <c r="W287" s="186"/>
      <c r="X287" s="186"/>
      <c r="Y287" s="186"/>
      <c r="Z287" s="186"/>
    </row>
    <row r="288" spans="3:26" x14ac:dyDescent="0.2">
      <c r="C288" s="186"/>
      <c r="D288" s="186"/>
      <c r="E288" s="186"/>
      <c r="F288" s="186"/>
      <c r="G288" s="186"/>
      <c r="H288" s="186"/>
      <c r="I288" s="186"/>
      <c r="J288" s="186"/>
      <c r="K288" s="186"/>
      <c r="L288" s="186"/>
      <c r="M288" s="186"/>
      <c r="N288" s="186"/>
      <c r="O288" s="186"/>
      <c r="P288" s="186"/>
      <c r="Q288" s="186"/>
      <c r="R288" s="186"/>
      <c r="S288" s="186"/>
      <c r="T288" s="186"/>
      <c r="U288" s="186"/>
      <c r="V288" s="186"/>
      <c r="W288" s="186"/>
      <c r="X288" s="186"/>
      <c r="Y288" s="186"/>
      <c r="Z288" s="186"/>
    </row>
    <row r="289" spans="3:26" x14ac:dyDescent="0.2">
      <c r="C289" s="186"/>
      <c r="D289" s="186"/>
      <c r="E289" s="186"/>
      <c r="F289" s="186"/>
      <c r="G289" s="186"/>
      <c r="H289" s="186"/>
      <c r="I289" s="186"/>
      <c r="J289" s="186"/>
      <c r="K289" s="186"/>
      <c r="L289" s="186"/>
      <c r="M289" s="186"/>
      <c r="N289" s="186"/>
      <c r="O289" s="186"/>
      <c r="P289" s="186"/>
      <c r="Q289" s="186"/>
      <c r="R289" s="186"/>
      <c r="S289" s="186"/>
      <c r="T289" s="186"/>
      <c r="U289" s="186"/>
      <c r="V289" s="186"/>
      <c r="W289" s="186"/>
      <c r="X289" s="186"/>
      <c r="Y289" s="186"/>
      <c r="Z289" s="186"/>
    </row>
    <row r="290" spans="3:26" x14ac:dyDescent="0.2">
      <c r="C290" s="186"/>
      <c r="D290" s="186"/>
      <c r="E290" s="186"/>
      <c r="F290" s="186"/>
      <c r="G290" s="186"/>
      <c r="H290" s="186"/>
      <c r="I290" s="186"/>
      <c r="J290" s="186"/>
      <c r="K290" s="186"/>
      <c r="L290" s="186"/>
      <c r="M290" s="186"/>
      <c r="N290" s="186"/>
      <c r="O290" s="186"/>
      <c r="P290" s="186"/>
      <c r="Q290" s="186"/>
      <c r="R290" s="186"/>
      <c r="S290" s="186"/>
      <c r="T290" s="186"/>
      <c r="U290" s="186"/>
      <c r="V290" s="186"/>
      <c r="W290" s="186"/>
      <c r="X290" s="186"/>
      <c r="Y290" s="186"/>
      <c r="Z290" s="186"/>
    </row>
    <row r="291" spans="3:26" x14ac:dyDescent="0.2">
      <c r="C291" s="186"/>
      <c r="D291" s="186"/>
      <c r="E291" s="186"/>
      <c r="F291" s="186"/>
      <c r="G291" s="186"/>
      <c r="H291" s="186"/>
      <c r="I291" s="186"/>
      <c r="J291" s="186"/>
      <c r="K291" s="186"/>
      <c r="L291" s="186"/>
      <c r="M291" s="186"/>
      <c r="N291" s="186"/>
      <c r="O291" s="186"/>
      <c r="P291" s="186"/>
      <c r="Q291" s="186"/>
      <c r="R291" s="186"/>
      <c r="S291" s="186"/>
      <c r="T291" s="186"/>
      <c r="U291" s="186"/>
      <c r="V291" s="186"/>
      <c r="W291" s="186"/>
      <c r="X291" s="186"/>
      <c r="Y291" s="186"/>
      <c r="Z291" s="186"/>
    </row>
    <row r="292" spans="3:26" x14ac:dyDescent="0.2">
      <c r="C292" s="186"/>
      <c r="D292" s="186"/>
      <c r="E292" s="186"/>
      <c r="F292" s="186"/>
      <c r="G292" s="186"/>
      <c r="H292" s="186"/>
      <c r="I292" s="186"/>
      <c r="J292" s="186"/>
      <c r="K292" s="186"/>
      <c r="L292" s="186"/>
      <c r="M292" s="186"/>
      <c r="N292" s="186"/>
      <c r="O292" s="186"/>
      <c r="P292" s="186"/>
      <c r="Q292" s="186"/>
      <c r="R292" s="186"/>
      <c r="S292" s="186"/>
      <c r="T292" s="186"/>
      <c r="U292" s="186"/>
      <c r="V292" s="186"/>
      <c r="W292" s="186"/>
      <c r="X292" s="186"/>
      <c r="Y292" s="186"/>
      <c r="Z292" s="186"/>
    </row>
    <row r="293" spans="3:26" x14ac:dyDescent="0.2">
      <c r="C293" s="186"/>
      <c r="D293" s="186"/>
      <c r="E293" s="186"/>
      <c r="F293" s="186"/>
      <c r="G293" s="186"/>
      <c r="H293" s="186"/>
      <c r="I293" s="186"/>
      <c r="J293" s="186"/>
      <c r="K293" s="186"/>
      <c r="L293" s="186"/>
      <c r="M293" s="186"/>
      <c r="N293" s="186"/>
      <c r="O293" s="186"/>
      <c r="P293" s="186"/>
      <c r="Q293" s="186"/>
      <c r="R293" s="186"/>
      <c r="S293" s="186"/>
      <c r="T293" s="186"/>
      <c r="U293" s="186"/>
      <c r="V293" s="186"/>
      <c r="W293" s="186"/>
      <c r="X293" s="186"/>
      <c r="Y293" s="186"/>
      <c r="Z293" s="186"/>
    </row>
    <row r="294" spans="3:26" x14ac:dyDescent="0.2">
      <c r="C294" s="186"/>
      <c r="D294" s="186"/>
      <c r="E294" s="186"/>
      <c r="F294" s="186"/>
      <c r="G294" s="186"/>
      <c r="H294" s="186"/>
      <c r="I294" s="186"/>
      <c r="J294" s="186"/>
      <c r="K294" s="186"/>
      <c r="L294" s="186"/>
      <c r="M294" s="186"/>
      <c r="N294" s="186"/>
      <c r="O294" s="186"/>
      <c r="P294" s="186"/>
      <c r="Q294" s="186"/>
      <c r="R294" s="186"/>
      <c r="S294" s="186"/>
      <c r="T294" s="186"/>
      <c r="U294" s="186"/>
      <c r="V294" s="186"/>
      <c r="W294" s="186"/>
      <c r="X294" s="186"/>
      <c r="Y294" s="186"/>
      <c r="Z294" s="186"/>
    </row>
    <row r="295" spans="3:26" x14ac:dyDescent="0.2">
      <c r="C295" s="186"/>
      <c r="D295" s="186"/>
      <c r="E295" s="186"/>
      <c r="F295" s="186"/>
      <c r="G295" s="186"/>
      <c r="H295" s="186"/>
      <c r="I295" s="186"/>
      <c r="J295" s="186"/>
      <c r="K295" s="186"/>
      <c r="L295" s="186"/>
      <c r="M295" s="186"/>
      <c r="N295" s="186"/>
      <c r="O295" s="186"/>
      <c r="P295" s="186"/>
      <c r="Q295" s="186"/>
      <c r="R295" s="186"/>
      <c r="S295" s="186"/>
      <c r="T295" s="186"/>
      <c r="U295" s="186"/>
      <c r="V295" s="186"/>
      <c r="W295" s="186"/>
      <c r="X295" s="186"/>
      <c r="Y295" s="186"/>
      <c r="Z295" s="186"/>
    </row>
    <row r="296" spans="3:26" x14ac:dyDescent="0.2">
      <c r="C296" s="186"/>
      <c r="D296" s="186"/>
      <c r="E296" s="186"/>
      <c r="F296" s="186"/>
      <c r="G296" s="186"/>
      <c r="H296" s="186"/>
      <c r="I296" s="186"/>
      <c r="J296" s="186"/>
      <c r="K296" s="186"/>
      <c r="L296" s="186"/>
      <c r="M296" s="186"/>
      <c r="N296" s="186"/>
      <c r="O296" s="186"/>
      <c r="P296" s="186"/>
      <c r="Q296" s="186"/>
      <c r="R296" s="186"/>
      <c r="S296" s="186"/>
      <c r="T296" s="186"/>
      <c r="U296" s="186"/>
      <c r="V296" s="186"/>
      <c r="W296" s="186"/>
      <c r="X296" s="186"/>
      <c r="Y296" s="186"/>
      <c r="Z296" s="186"/>
    </row>
    <row r="297" spans="3:26" x14ac:dyDescent="0.2">
      <c r="C297" s="186"/>
      <c r="D297" s="186"/>
      <c r="E297" s="186"/>
      <c r="F297" s="186"/>
      <c r="G297" s="186"/>
      <c r="H297" s="186"/>
      <c r="I297" s="186"/>
      <c r="J297" s="186"/>
      <c r="K297" s="186"/>
      <c r="L297" s="186"/>
      <c r="M297" s="186"/>
      <c r="N297" s="186"/>
      <c r="O297" s="186"/>
      <c r="P297" s="186"/>
      <c r="Q297" s="186"/>
      <c r="R297" s="186"/>
      <c r="S297" s="186"/>
      <c r="T297" s="186"/>
      <c r="U297" s="186"/>
      <c r="V297" s="186"/>
      <c r="W297" s="186"/>
      <c r="X297" s="186"/>
      <c r="Y297" s="186"/>
      <c r="Z297" s="186"/>
    </row>
    <row r="298" spans="3:26" x14ac:dyDescent="0.2">
      <c r="C298" s="186"/>
      <c r="D298" s="186"/>
      <c r="E298" s="186"/>
      <c r="F298" s="186"/>
      <c r="G298" s="186"/>
      <c r="H298" s="186"/>
      <c r="I298" s="186"/>
      <c r="J298" s="186"/>
      <c r="K298" s="186"/>
      <c r="L298" s="186"/>
      <c r="M298" s="186"/>
      <c r="N298" s="186"/>
      <c r="O298" s="186"/>
      <c r="P298" s="186"/>
      <c r="Q298" s="186"/>
      <c r="R298" s="186"/>
      <c r="S298" s="186"/>
      <c r="T298" s="186"/>
      <c r="U298" s="186"/>
      <c r="V298" s="186"/>
      <c r="W298" s="186"/>
      <c r="X298" s="186"/>
      <c r="Y298" s="186"/>
      <c r="Z298" s="186"/>
    </row>
    <row r="299" spans="3:26" x14ac:dyDescent="0.2">
      <c r="C299" s="186"/>
      <c r="D299" s="186"/>
      <c r="E299" s="186"/>
      <c r="F299" s="186"/>
      <c r="G299" s="186"/>
      <c r="H299" s="186"/>
      <c r="I299" s="186"/>
      <c r="J299" s="186"/>
      <c r="K299" s="186"/>
      <c r="L299" s="186"/>
      <c r="M299" s="186"/>
      <c r="N299" s="186"/>
      <c r="O299" s="186"/>
      <c r="P299" s="186"/>
      <c r="Q299" s="186"/>
      <c r="R299" s="186"/>
      <c r="S299" s="186"/>
      <c r="T299" s="186"/>
      <c r="U299" s="186"/>
      <c r="V299" s="186"/>
      <c r="W299" s="186"/>
      <c r="X299" s="186"/>
      <c r="Y299" s="186"/>
      <c r="Z299" s="186"/>
    </row>
    <row r="300" spans="3:26" x14ac:dyDescent="0.2">
      <c r="C300" s="186"/>
      <c r="D300" s="186"/>
      <c r="E300" s="186"/>
      <c r="F300" s="186"/>
      <c r="G300" s="186"/>
      <c r="H300" s="186"/>
      <c r="I300" s="186"/>
      <c r="J300" s="186"/>
      <c r="K300" s="186"/>
      <c r="L300" s="186"/>
      <c r="M300" s="186"/>
      <c r="N300" s="186"/>
      <c r="O300" s="186"/>
      <c r="P300" s="186"/>
      <c r="Q300" s="186"/>
      <c r="R300" s="186"/>
      <c r="S300" s="186"/>
      <c r="T300" s="186"/>
      <c r="U300" s="186"/>
      <c r="V300" s="186"/>
      <c r="W300" s="186"/>
      <c r="X300" s="186"/>
      <c r="Y300" s="186"/>
      <c r="Z300" s="186"/>
    </row>
    <row r="301" spans="3:26" x14ac:dyDescent="0.2">
      <c r="C301" s="186"/>
      <c r="D301" s="186"/>
      <c r="E301" s="186"/>
      <c r="F301" s="186"/>
      <c r="G301" s="186"/>
      <c r="H301" s="186"/>
      <c r="I301" s="186"/>
      <c r="J301" s="186"/>
      <c r="K301" s="186"/>
      <c r="L301" s="186"/>
      <c r="M301" s="186"/>
      <c r="N301" s="186"/>
      <c r="O301" s="186"/>
      <c r="P301" s="186"/>
      <c r="Q301" s="186"/>
      <c r="R301" s="186"/>
      <c r="S301" s="186"/>
      <c r="T301" s="186"/>
      <c r="U301" s="186"/>
      <c r="V301" s="186"/>
      <c r="W301" s="186"/>
      <c r="X301" s="186"/>
      <c r="Y301" s="186"/>
      <c r="Z301" s="186"/>
    </row>
    <row r="302" spans="3:26" x14ac:dyDescent="0.2">
      <c r="C302" s="186"/>
      <c r="D302" s="186"/>
      <c r="E302" s="186"/>
      <c r="F302" s="186"/>
      <c r="G302" s="186"/>
      <c r="H302" s="186"/>
      <c r="I302" s="186"/>
      <c r="J302" s="186"/>
      <c r="K302" s="186"/>
      <c r="L302" s="186"/>
      <c r="M302" s="186"/>
      <c r="N302" s="186"/>
      <c r="O302" s="186"/>
      <c r="P302" s="186"/>
      <c r="Q302" s="186"/>
      <c r="R302" s="186"/>
      <c r="S302" s="186"/>
      <c r="T302" s="186"/>
      <c r="U302" s="186"/>
      <c r="V302" s="186"/>
      <c r="W302" s="186"/>
      <c r="X302" s="186"/>
      <c r="Y302" s="186"/>
      <c r="Z302" s="186"/>
    </row>
    <row r="303" spans="3:26" x14ac:dyDescent="0.2">
      <c r="C303" s="186"/>
      <c r="D303" s="186"/>
      <c r="E303" s="186"/>
      <c r="F303" s="186"/>
      <c r="G303" s="186"/>
      <c r="H303" s="186"/>
      <c r="I303" s="186"/>
      <c r="J303" s="186"/>
      <c r="K303" s="186"/>
      <c r="L303" s="186"/>
      <c r="M303" s="186"/>
      <c r="N303" s="186"/>
      <c r="O303" s="186"/>
      <c r="P303" s="186"/>
      <c r="Q303" s="186"/>
      <c r="R303" s="186"/>
      <c r="S303" s="186"/>
      <c r="T303" s="186"/>
      <c r="U303" s="186"/>
      <c r="V303" s="186"/>
      <c r="W303" s="186"/>
      <c r="X303" s="186"/>
      <c r="Y303" s="186"/>
      <c r="Z303" s="186"/>
    </row>
    <row r="304" spans="3:26" x14ac:dyDescent="0.2">
      <c r="C304" s="186"/>
      <c r="D304" s="186"/>
      <c r="E304" s="186"/>
      <c r="F304" s="186"/>
      <c r="G304" s="186"/>
      <c r="H304" s="186"/>
      <c r="I304" s="186"/>
      <c r="J304" s="186"/>
      <c r="K304" s="186"/>
      <c r="L304" s="186"/>
      <c r="M304" s="186"/>
      <c r="N304" s="186"/>
      <c r="O304" s="186"/>
      <c r="P304" s="186"/>
      <c r="Q304" s="186"/>
      <c r="R304" s="186"/>
      <c r="S304" s="186"/>
      <c r="T304" s="186"/>
      <c r="U304" s="186"/>
      <c r="V304" s="186"/>
      <c r="W304" s="186"/>
      <c r="X304" s="186"/>
      <c r="Y304" s="186"/>
      <c r="Z304" s="186"/>
    </row>
    <row r="305" spans="3:26" x14ac:dyDescent="0.2">
      <c r="C305" s="186"/>
      <c r="D305" s="186"/>
      <c r="E305" s="186"/>
      <c r="F305" s="186"/>
      <c r="G305" s="186"/>
      <c r="H305" s="186"/>
      <c r="I305" s="186"/>
      <c r="J305" s="186"/>
      <c r="K305" s="186"/>
      <c r="L305" s="186"/>
      <c r="M305" s="186"/>
      <c r="N305" s="186"/>
      <c r="O305" s="186"/>
      <c r="P305" s="186"/>
      <c r="Q305" s="186"/>
      <c r="R305" s="186"/>
      <c r="S305" s="186"/>
      <c r="T305" s="186"/>
      <c r="U305" s="186"/>
      <c r="V305" s="186"/>
      <c r="W305" s="186"/>
      <c r="X305" s="186"/>
      <c r="Y305" s="186"/>
      <c r="Z305" s="186"/>
    </row>
    <row r="306" spans="3:26" x14ac:dyDescent="0.2">
      <c r="C306" s="186"/>
      <c r="D306" s="186"/>
      <c r="E306" s="186"/>
      <c r="F306" s="186"/>
      <c r="G306" s="186"/>
      <c r="H306" s="186"/>
      <c r="I306" s="186"/>
      <c r="J306" s="186"/>
      <c r="K306" s="186"/>
      <c r="L306" s="186"/>
      <c r="M306" s="186"/>
      <c r="N306" s="186"/>
      <c r="O306" s="186"/>
      <c r="P306" s="186"/>
      <c r="Q306" s="186"/>
      <c r="R306" s="186"/>
      <c r="S306" s="186"/>
      <c r="T306" s="186"/>
      <c r="U306" s="186"/>
      <c r="V306" s="186"/>
      <c r="W306" s="186"/>
      <c r="X306" s="186"/>
      <c r="Y306" s="186"/>
      <c r="Z306" s="186"/>
    </row>
    <row r="307" spans="3:26" x14ac:dyDescent="0.2">
      <c r="C307" s="186"/>
      <c r="D307" s="186"/>
      <c r="E307" s="186"/>
      <c r="F307" s="186"/>
      <c r="G307" s="186"/>
      <c r="H307" s="186"/>
      <c r="I307" s="186"/>
      <c r="J307" s="186"/>
      <c r="K307" s="186"/>
      <c r="L307" s="186"/>
      <c r="M307" s="186"/>
      <c r="N307" s="186"/>
      <c r="O307" s="186"/>
      <c r="P307" s="186"/>
      <c r="Q307" s="186"/>
      <c r="R307" s="186"/>
      <c r="S307" s="186"/>
      <c r="T307" s="186"/>
      <c r="U307" s="186"/>
      <c r="V307" s="186"/>
      <c r="W307" s="186"/>
      <c r="X307" s="186"/>
      <c r="Y307" s="186"/>
      <c r="Z307" s="186"/>
    </row>
    <row r="308" spans="3:26" x14ac:dyDescent="0.2">
      <c r="C308" s="186"/>
      <c r="D308" s="186"/>
      <c r="E308" s="186"/>
      <c r="F308" s="186"/>
      <c r="G308" s="186"/>
      <c r="H308" s="186"/>
      <c r="I308" s="186"/>
      <c r="J308" s="186"/>
      <c r="K308" s="186"/>
      <c r="L308" s="186"/>
      <c r="M308" s="186"/>
      <c r="N308" s="186"/>
      <c r="O308" s="186"/>
      <c r="P308" s="186"/>
      <c r="Q308" s="186"/>
      <c r="R308" s="186"/>
      <c r="S308" s="186"/>
      <c r="T308" s="186"/>
      <c r="U308" s="186"/>
      <c r="V308" s="186"/>
      <c r="W308" s="186"/>
      <c r="X308" s="186"/>
      <c r="Y308" s="186"/>
      <c r="Z308" s="186"/>
    </row>
    <row r="309" spans="3:26" x14ac:dyDescent="0.2">
      <c r="C309" s="186"/>
      <c r="D309" s="186"/>
      <c r="E309" s="186"/>
      <c r="F309" s="186"/>
      <c r="G309" s="186"/>
      <c r="H309" s="186"/>
      <c r="I309" s="186"/>
      <c r="J309" s="186"/>
      <c r="K309" s="186"/>
      <c r="L309" s="186"/>
      <c r="M309" s="186"/>
      <c r="N309" s="186"/>
      <c r="O309" s="186"/>
      <c r="P309" s="186"/>
      <c r="Q309" s="186"/>
      <c r="R309" s="186"/>
      <c r="S309" s="186"/>
      <c r="T309" s="186"/>
      <c r="U309" s="186"/>
      <c r="V309" s="186"/>
      <c r="W309" s="186"/>
      <c r="X309" s="186"/>
      <c r="Y309" s="186"/>
      <c r="Z309" s="186"/>
    </row>
    <row r="310" spans="3:26" x14ac:dyDescent="0.2">
      <c r="C310" s="186"/>
      <c r="D310" s="186"/>
      <c r="E310" s="186"/>
      <c r="F310" s="186"/>
      <c r="G310" s="186"/>
      <c r="H310" s="186"/>
      <c r="I310" s="186"/>
      <c r="J310" s="186"/>
      <c r="K310" s="186"/>
      <c r="L310" s="186"/>
      <c r="M310" s="186"/>
      <c r="N310" s="186"/>
      <c r="O310" s="186"/>
      <c r="P310" s="186"/>
      <c r="Q310" s="186"/>
      <c r="R310" s="186"/>
      <c r="S310" s="186"/>
      <c r="T310" s="186"/>
      <c r="U310" s="186"/>
      <c r="V310" s="186"/>
      <c r="W310" s="186"/>
      <c r="X310" s="186"/>
      <c r="Y310" s="186"/>
      <c r="Z310" s="186"/>
    </row>
    <row r="311" spans="3:26" x14ac:dyDescent="0.2">
      <c r="C311" s="186"/>
      <c r="D311" s="186"/>
      <c r="E311" s="186"/>
      <c r="F311" s="186"/>
      <c r="G311" s="186"/>
      <c r="H311" s="186"/>
      <c r="I311" s="186"/>
      <c r="J311" s="186"/>
      <c r="K311" s="186"/>
      <c r="L311" s="186"/>
      <c r="M311" s="186"/>
      <c r="N311" s="186"/>
      <c r="O311" s="186"/>
      <c r="P311" s="186"/>
      <c r="Q311" s="186"/>
      <c r="R311" s="186"/>
      <c r="S311" s="186"/>
      <c r="T311" s="186"/>
      <c r="U311" s="186"/>
      <c r="V311" s="186"/>
      <c r="W311" s="186"/>
      <c r="X311" s="186"/>
      <c r="Y311" s="186"/>
      <c r="Z311" s="186"/>
    </row>
    <row r="312" spans="3:26" x14ac:dyDescent="0.2">
      <c r="C312" s="186"/>
      <c r="D312" s="186"/>
      <c r="E312" s="186"/>
      <c r="F312" s="186"/>
      <c r="G312" s="186"/>
      <c r="H312" s="186"/>
      <c r="I312" s="186"/>
      <c r="J312" s="186"/>
      <c r="K312" s="186"/>
      <c r="L312" s="186"/>
      <c r="M312" s="186"/>
      <c r="N312" s="186"/>
      <c r="O312" s="186"/>
      <c r="P312" s="186"/>
      <c r="Q312" s="186"/>
      <c r="R312" s="186"/>
      <c r="S312" s="186"/>
      <c r="T312" s="186"/>
      <c r="U312" s="186"/>
      <c r="V312" s="186"/>
      <c r="W312" s="186"/>
      <c r="X312" s="186"/>
      <c r="Y312" s="186"/>
      <c r="Z312" s="186"/>
    </row>
    <row r="313" spans="3:26" x14ac:dyDescent="0.2">
      <c r="C313" s="186"/>
      <c r="D313" s="186"/>
      <c r="E313" s="186"/>
      <c r="F313" s="186"/>
      <c r="G313" s="186"/>
      <c r="H313" s="186"/>
      <c r="I313" s="186"/>
      <c r="J313" s="186"/>
      <c r="K313" s="186"/>
      <c r="L313" s="186"/>
      <c r="M313" s="186"/>
      <c r="N313" s="186"/>
      <c r="O313" s="186"/>
      <c r="P313" s="186"/>
      <c r="Q313" s="186"/>
      <c r="R313" s="186"/>
      <c r="S313" s="186"/>
      <c r="T313" s="186"/>
      <c r="U313" s="186"/>
      <c r="V313" s="186"/>
      <c r="W313" s="186"/>
      <c r="X313" s="186"/>
      <c r="Y313" s="186"/>
      <c r="Z313" s="186"/>
    </row>
    <row r="314" spans="3:26" x14ac:dyDescent="0.2">
      <c r="C314" s="186"/>
      <c r="D314" s="186"/>
      <c r="E314" s="186"/>
      <c r="F314" s="186"/>
      <c r="G314" s="186"/>
      <c r="H314" s="186"/>
      <c r="I314" s="186"/>
      <c r="J314" s="186"/>
      <c r="K314" s="186"/>
      <c r="L314" s="186"/>
      <c r="M314" s="186"/>
      <c r="N314" s="186"/>
      <c r="O314" s="186"/>
      <c r="P314" s="186"/>
      <c r="Q314" s="186"/>
      <c r="R314" s="186"/>
      <c r="S314" s="186"/>
      <c r="T314" s="186"/>
      <c r="U314" s="186"/>
      <c r="V314" s="186"/>
      <c r="W314" s="186"/>
      <c r="X314" s="186"/>
      <c r="Y314" s="186"/>
      <c r="Z314" s="186"/>
    </row>
    <row r="315" spans="3:26" x14ac:dyDescent="0.2">
      <c r="C315" s="186"/>
      <c r="D315" s="186"/>
      <c r="E315" s="186"/>
      <c r="F315" s="186"/>
      <c r="G315" s="186"/>
      <c r="H315" s="186"/>
      <c r="I315" s="186"/>
      <c r="J315" s="186"/>
      <c r="K315" s="186"/>
      <c r="L315" s="186"/>
      <c r="M315" s="186"/>
      <c r="N315" s="186"/>
      <c r="O315" s="186"/>
      <c r="P315" s="186"/>
      <c r="Q315" s="186"/>
      <c r="R315" s="186"/>
      <c r="S315" s="186"/>
      <c r="T315" s="186"/>
      <c r="U315" s="186"/>
      <c r="V315" s="186"/>
      <c r="W315" s="186"/>
      <c r="X315" s="186"/>
      <c r="Y315" s="186"/>
      <c r="Z315" s="186"/>
    </row>
    <row r="316" spans="3:26" x14ac:dyDescent="0.2">
      <c r="C316" s="186"/>
      <c r="D316" s="186"/>
      <c r="E316" s="186"/>
      <c r="F316" s="186"/>
      <c r="G316" s="186"/>
      <c r="H316" s="186"/>
      <c r="I316" s="186"/>
      <c r="J316" s="186"/>
      <c r="K316" s="186"/>
      <c r="L316" s="186"/>
      <c r="M316" s="186"/>
      <c r="N316" s="186"/>
      <c r="O316" s="186"/>
      <c r="P316" s="186"/>
      <c r="Q316" s="186"/>
      <c r="R316" s="186"/>
      <c r="S316" s="186"/>
      <c r="T316" s="186"/>
      <c r="U316" s="186"/>
      <c r="V316" s="186"/>
      <c r="W316" s="186"/>
      <c r="X316" s="186"/>
      <c r="Y316" s="186"/>
      <c r="Z316" s="186"/>
    </row>
    <row r="317" spans="3:26" x14ac:dyDescent="0.2">
      <c r="C317" s="186"/>
      <c r="D317" s="186"/>
      <c r="E317" s="186"/>
      <c r="F317" s="186"/>
      <c r="G317" s="186"/>
      <c r="H317" s="186"/>
      <c r="I317" s="186"/>
      <c r="J317" s="186"/>
      <c r="K317" s="186"/>
      <c r="L317" s="186"/>
      <c r="M317" s="186"/>
      <c r="N317" s="186"/>
      <c r="O317" s="186"/>
      <c r="P317" s="186"/>
      <c r="Q317" s="186"/>
      <c r="R317" s="186"/>
      <c r="S317" s="186"/>
      <c r="T317" s="186"/>
      <c r="U317" s="186"/>
      <c r="V317" s="186"/>
      <c r="W317" s="186"/>
      <c r="X317" s="186"/>
      <c r="Y317" s="186"/>
      <c r="Z317" s="186"/>
    </row>
    <row r="318" spans="3:26" x14ac:dyDescent="0.2">
      <c r="C318" s="186"/>
      <c r="D318" s="186"/>
      <c r="E318" s="186"/>
      <c r="F318" s="186"/>
      <c r="G318" s="186"/>
      <c r="H318" s="186"/>
      <c r="I318" s="186"/>
      <c r="J318" s="186"/>
      <c r="K318" s="186"/>
      <c r="L318" s="186"/>
      <c r="M318" s="186"/>
      <c r="N318" s="186"/>
      <c r="O318" s="186"/>
      <c r="P318" s="186"/>
      <c r="Q318" s="186"/>
      <c r="R318" s="186"/>
      <c r="S318" s="186"/>
      <c r="T318" s="186"/>
      <c r="U318" s="186"/>
      <c r="V318" s="186"/>
      <c r="W318" s="186"/>
      <c r="X318" s="186"/>
      <c r="Y318" s="186"/>
      <c r="Z318" s="186"/>
    </row>
    <row r="319" spans="3:26" x14ac:dyDescent="0.2">
      <c r="C319" s="186"/>
      <c r="D319" s="186"/>
      <c r="E319" s="186"/>
      <c r="F319" s="186"/>
      <c r="G319" s="186"/>
      <c r="H319" s="186"/>
      <c r="I319" s="186"/>
      <c r="J319" s="186"/>
      <c r="K319" s="186"/>
      <c r="L319" s="186"/>
      <c r="M319" s="186"/>
      <c r="N319" s="186"/>
      <c r="O319" s="186"/>
      <c r="P319" s="186"/>
      <c r="Q319" s="186"/>
      <c r="R319" s="186"/>
      <c r="S319" s="186"/>
      <c r="T319" s="186"/>
      <c r="U319" s="186"/>
      <c r="V319" s="186"/>
      <c r="W319" s="186"/>
      <c r="X319" s="186"/>
      <c r="Y319" s="186"/>
      <c r="Z319" s="186"/>
    </row>
    <row r="320" spans="3:26" x14ac:dyDescent="0.2">
      <c r="C320" s="186"/>
      <c r="D320" s="186"/>
      <c r="E320" s="186"/>
      <c r="F320" s="186"/>
      <c r="G320" s="186"/>
      <c r="H320" s="186"/>
      <c r="I320" s="186"/>
      <c r="J320" s="186"/>
      <c r="K320" s="186"/>
      <c r="L320" s="186"/>
      <c r="M320" s="186"/>
      <c r="N320" s="186"/>
      <c r="O320" s="186"/>
      <c r="P320" s="186"/>
      <c r="Q320" s="186"/>
      <c r="R320" s="186"/>
      <c r="S320" s="186"/>
      <c r="T320" s="186"/>
      <c r="U320" s="186"/>
      <c r="V320" s="186"/>
      <c r="W320" s="186"/>
      <c r="X320" s="186"/>
      <c r="Y320" s="186"/>
      <c r="Z320" s="186"/>
    </row>
    <row r="321" spans="3:30" x14ac:dyDescent="0.2">
      <c r="C321" s="186"/>
      <c r="D321" s="186"/>
      <c r="E321" s="186"/>
      <c r="F321" s="186"/>
      <c r="G321" s="186"/>
      <c r="H321" s="186"/>
      <c r="I321" s="186"/>
      <c r="J321" s="186"/>
      <c r="K321" s="186"/>
      <c r="L321" s="186"/>
      <c r="M321" s="186"/>
      <c r="N321" s="186"/>
      <c r="O321" s="186"/>
      <c r="P321" s="186"/>
      <c r="Q321" s="186"/>
      <c r="R321" s="186"/>
      <c r="S321" s="186"/>
      <c r="T321" s="186"/>
      <c r="U321" s="186"/>
      <c r="V321" s="186"/>
      <c r="W321" s="186"/>
      <c r="X321" s="186"/>
      <c r="Y321" s="186"/>
      <c r="Z321" s="186"/>
    </row>
    <row r="322" spans="3:30" x14ac:dyDescent="0.2">
      <c r="C322" s="186"/>
      <c r="D322" s="186"/>
      <c r="E322" s="186"/>
      <c r="F322" s="186"/>
      <c r="G322" s="186"/>
      <c r="H322" s="186"/>
      <c r="I322" s="186"/>
      <c r="J322" s="186"/>
      <c r="K322" s="186"/>
      <c r="L322" s="186"/>
      <c r="M322" s="186"/>
      <c r="N322" s="186"/>
      <c r="O322" s="186"/>
      <c r="P322" s="186"/>
      <c r="Q322" s="186"/>
      <c r="R322" s="186"/>
      <c r="S322" s="186"/>
      <c r="T322" s="186"/>
      <c r="U322" s="186"/>
      <c r="V322" s="186"/>
      <c r="W322" s="186"/>
      <c r="X322" s="186"/>
      <c r="Y322" s="186"/>
      <c r="Z322" s="186"/>
    </row>
    <row r="323" spans="3:30" x14ac:dyDescent="0.2">
      <c r="C323" s="186"/>
      <c r="D323" s="186"/>
      <c r="E323" s="186"/>
      <c r="F323" s="186"/>
      <c r="G323" s="186"/>
      <c r="H323" s="186"/>
      <c r="I323" s="186"/>
      <c r="J323" s="186"/>
      <c r="K323" s="186"/>
      <c r="L323" s="186"/>
      <c r="M323" s="186"/>
      <c r="N323" s="186"/>
      <c r="O323" s="186"/>
      <c r="P323" s="186"/>
      <c r="Q323" s="186"/>
      <c r="R323" s="186"/>
      <c r="S323" s="186"/>
      <c r="T323" s="186"/>
      <c r="U323" s="186"/>
      <c r="V323" s="186"/>
      <c r="W323" s="186"/>
      <c r="X323" s="186"/>
      <c r="Y323" s="186"/>
      <c r="Z323" s="186"/>
    </row>
    <row r="324" spans="3:30" x14ac:dyDescent="0.2">
      <c r="C324" s="186"/>
      <c r="D324" s="186"/>
      <c r="E324" s="186"/>
      <c r="F324" s="186"/>
      <c r="G324" s="186"/>
      <c r="H324" s="186"/>
      <c r="I324" s="186"/>
      <c r="J324" s="186"/>
      <c r="K324" s="186"/>
      <c r="L324" s="186"/>
      <c r="M324" s="186"/>
      <c r="N324" s="186"/>
      <c r="O324" s="186"/>
      <c r="P324" s="186"/>
      <c r="Q324" s="186"/>
      <c r="R324" s="186"/>
      <c r="S324" s="186"/>
      <c r="T324" s="186"/>
      <c r="U324" s="186"/>
      <c r="V324" s="186"/>
      <c r="W324" s="186"/>
      <c r="X324" s="186"/>
      <c r="Y324" s="186"/>
      <c r="Z324" s="186"/>
    </row>
    <row r="325" spans="3:30" x14ac:dyDescent="0.2">
      <c r="C325" s="186"/>
      <c r="D325" s="186"/>
      <c r="E325" s="186"/>
      <c r="F325" s="186"/>
      <c r="G325" s="186"/>
      <c r="H325" s="186"/>
      <c r="I325" s="186"/>
      <c r="J325" s="186"/>
      <c r="K325" s="186"/>
      <c r="L325" s="186"/>
      <c r="M325" s="186"/>
      <c r="N325" s="186"/>
      <c r="O325" s="186"/>
      <c r="P325" s="186"/>
      <c r="Q325" s="186"/>
      <c r="R325" s="186"/>
      <c r="S325" s="186"/>
      <c r="T325" s="186"/>
      <c r="U325" s="186"/>
      <c r="V325" s="186"/>
      <c r="W325" s="186"/>
      <c r="X325" s="186"/>
      <c r="Y325" s="186"/>
      <c r="Z325" s="186"/>
    </row>
    <row r="326" spans="3:30" x14ac:dyDescent="0.2">
      <c r="C326" s="186"/>
      <c r="D326" s="186"/>
      <c r="E326" s="186"/>
      <c r="F326" s="186"/>
      <c r="G326" s="186"/>
      <c r="H326" s="186"/>
      <c r="I326" s="186"/>
      <c r="J326" s="186"/>
      <c r="K326" s="186"/>
      <c r="L326" s="186"/>
      <c r="M326" s="186"/>
      <c r="N326" s="186"/>
      <c r="O326" s="186"/>
      <c r="P326" s="186"/>
      <c r="Q326" s="186"/>
      <c r="R326" s="186"/>
      <c r="S326" s="186"/>
      <c r="T326" s="186"/>
      <c r="U326" s="186"/>
      <c r="V326" s="186"/>
      <c r="W326" s="186"/>
      <c r="X326" s="186"/>
      <c r="Y326" s="186"/>
      <c r="Z326" s="186"/>
    </row>
    <row r="327" spans="3:30" x14ac:dyDescent="0.2">
      <c r="C327" s="186"/>
      <c r="D327" s="186"/>
      <c r="E327" s="186"/>
      <c r="F327" s="186"/>
      <c r="G327" s="186"/>
      <c r="H327" s="186"/>
      <c r="I327" s="186"/>
      <c r="J327" s="186"/>
      <c r="K327" s="186"/>
      <c r="L327" s="186"/>
      <c r="M327" s="186"/>
      <c r="N327" s="186"/>
      <c r="O327" s="186"/>
      <c r="P327" s="186"/>
      <c r="Q327" s="186"/>
      <c r="R327" s="186"/>
      <c r="S327" s="186"/>
      <c r="T327" s="186"/>
      <c r="U327" s="186"/>
      <c r="V327" s="186"/>
      <c r="W327" s="186"/>
      <c r="X327" s="186"/>
      <c r="Y327" s="186"/>
      <c r="Z327" s="186"/>
    </row>
    <row r="328" spans="3:30" x14ac:dyDescent="0.2">
      <c r="C328" s="186"/>
      <c r="D328" s="186"/>
      <c r="E328" s="186"/>
      <c r="F328" s="186"/>
      <c r="G328" s="186"/>
      <c r="H328" s="186"/>
      <c r="I328" s="186"/>
      <c r="J328" s="186"/>
      <c r="K328" s="186"/>
      <c r="L328" s="186"/>
      <c r="M328" s="186"/>
      <c r="N328" s="186"/>
      <c r="O328" s="186"/>
      <c r="P328" s="186"/>
      <c r="Q328" s="186"/>
      <c r="R328" s="186"/>
      <c r="S328" s="186"/>
      <c r="T328" s="186"/>
      <c r="U328" s="186"/>
      <c r="V328" s="186"/>
      <c r="W328" s="186"/>
      <c r="X328" s="186"/>
      <c r="Y328" s="186"/>
      <c r="Z328" s="186"/>
    </row>
    <row r="329" spans="3:30" x14ac:dyDescent="0.2">
      <c r="C329" s="186"/>
      <c r="D329" s="186"/>
      <c r="E329" s="186"/>
      <c r="F329" s="186"/>
      <c r="G329" s="186"/>
      <c r="H329" s="186"/>
      <c r="I329" s="186"/>
      <c r="J329" s="186"/>
      <c r="K329" s="186"/>
      <c r="L329" s="186"/>
      <c r="M329" s="186"/>
      <c r="N329" s="186"/>
      <c r="O329" s="186"/>
      <c r="P329" s="186"/>
      <c r="Q329" s="186"/>
      <c r="R329" s="186"/>
      <c r="S329" s="186"/>
      <c r="T329" s="186"/>
      <c r="U329" s="186"/>
      <c r="V329" s="186"/>
      <c r="W329" s="186"/>
      <c r="X329" s="186"/>
      <c r="Y329" s="186"/>
      <c r="Z329" s="186"/>
      <c r="AD329" s="188"/>
    </row>
    <row r="330" spans="3:30" x14ac:dyDescent="0.2">
      <c r="C330" s="186"/>
      <c r="D330" s="186"/>
      <c r="E330" s="186"/>
      <c r="F330" s="186"/>
      <c r="G330" s="186"/>
      <c r="H330" s="186"/>
      <c r="I330" s="186"/>
      <c r="J330" s="186"/>
      <c r="K330" s="186"/>
      <c r="L330" s="186"/>
      <c r="M330" s="186"/>
      <c r="N330" s="186"/>
      <c r="O330" s="186"/>
      <c r="P330" s="186"/>
      <c r="Q330" s="186"/>
      <c r="R330" s="186"/>
      <c r="S330" s="186"/>
      <c r="T330" s="186"/>
      <c r="U330" s="186"/>
      <c r="V330" s="186"/>
      <c r="W330" s="186"/>
      <c r="X330" s="186"/>
      <c r="Y330" s="186"/>
      <c r="Z330" s="186"/>
      <c r="AD330" s="188"/>
    </row>
    <row r="331" spans="3:30" x14ac:dyDescent="0.2">
      <c r="C331" s="186"/>
      <c r="D331" s="186"/>
      <c r="E331" s="186"/>
      <c r="F331" s="186"/>
      <c r="G331" s="186"/>
      <c r="H331" s="186"/>
      <c r="I331" s="186"/>
      <c r="J331" s="186"/>
      <c r="K331" s="186"/>
      <c r="L331" s="186"/>
      <c r="M331" s="186"/>
      <c r="N331" s="186"/>
      <c r="O331" s="186"/>
      <c r="P331" s="186"/>
      <c r="Q331" s="186"/>
      <c r="R331" s="186"/>
      <c r="S331" s="186"/>
      <c r="T331" s="186"/>
      <c r="U331" s="186"/>
      <c r="V331" s="186"/>
      <c r="W331" s="186"/>
      <c r="X331" s="186"/>
      <c r="Y331" s="186"/>
      <c r="Z331" s="186"/>
      <c r="AD331" s="188"/>
    </row>
    <row r="332" spans="3:30" x14ac:dyDescent="0.2">
      <c r="C332" s="186"/>
      <c r="D332" s="186"/>
      <c r="E332" s="186"/>
      <c r="F332" s="186"/>
      <c r="G332" s="186"/>
      <c r="H332" s="186"/>
      <c r="I332" s="186"/>
      <c r="J332" s="186"/>
      <c r="K332" s="186"/>
      <c r="L332" s="186"/>
      <c r="M332" s="186"/>
      <c r="N332" s="186"/>
      <c r="O332" s="186"/>
      <c r="P332" s="186"/>
      <c r="Q332" s="186"/>
      <c r="R332" s="186"/>
      <c r="S332" s="186"/>
      <c r="T332" s="186"/>
      <c r="U332" s="186"/>
      <c r="V332" s="186"/>
      <c r="W332" s="186"/>
      <c r="X332" s="186"/>
      <c r="Y332" s="186"/>
      <c r="Z332" s="186"/>
      <c r="AD332" s="188"/>
    </row>
    <row r="333" spans="3:30" x14ac:dyDescent="0.2">
      <c r="C333" s="186"/>
      <c r="D333" s="186"/>
      <c r="E333" s="186"/>
      <c r="F333" s="186"/>
      <c r="G333" s="186"/>
      <c r="H333" s="186"/>
      <c r="I333" s="186"/>
      <c r="J333" s="186"/>
      <c r="K333" s="186"/>
      <c r="L333" s="186"/>
      <c r="M333" s="186"/>
      <c r="N333" s="186"/>
      <c r="O333" s="186"/>
      <c r="P333" s="186"/>
      <c r="Q333" s="186"/>
      <c r="R333" s="186"/>
      <c r="S333" s="186"/>
      <c r="T333" s="186"/>
      <c r="U333" s="186"/>
      <c r="V333" s="186"/>
      <c r="W333" s="186"/>
      <c r="X333" s="186"/>
      <c r="Y333" s="186"/>
      <c r="Z333" s="186"/>
      <c r="AD333" s="188"/>
    </row>
    <row r="334" spans="3:30" x14ac:dyDescent="0.2">
      <c r="C334" s="186"/>
      <c r="D334" s="186"/>
      <c r="E334" s="186"/>
      <c r="F334" s="186"/>
      <c r="G334" s="186"/>
      <c r="H334" s="186"/>
      <c r="I334" s="186"/>
      <c r="J334" s="186"/>
      <c r="K334" s="186"/>
      <c r="L334" s="186"/>
      <c r="M334" s="186"/>
      <c r="N334" s="186"/>
      <c r="O334" s="186"/>
      <c r="P334" s="186"/>
      <c r="Q334" s="186"/>
      <c r="R334" s="186"/>
      <c r="S334" s="186"/>
      <c r="T334" s="186"/>
      <c r="U334" s="186"/>
      <c r="V334" s="186"/>
      <c r="W334" s="186"/>
      <c r="X334" s="186"/>
      <c r="Y334" s="186"/>
      <c r="Z334" s="186"/>
      <c r="AD334" s="188"/>
    </row>
    <row r="335" spans="3:30" x14ac:dyDescent="0.2">
      <c r="C335" s="186"/>
      <c r="D335" s="186"/>
      <c r="E335" s="186"/>
      <c r="F335" s="186"/>
      <c r="G335" s="186"/>
      <c r="H335" s="186"/>
      <c r="I335" s="186"/>
      <c r="J335" s="186"/>
      <c r="K335" s="186"/>
      <c r="L335" s="186"/>
      <c r="M335" s="186"/>
      <c r="N335" s="186"/>
      <c r="O335" s="186"/>
      <c r="P335" s="186"/>
      <c r="Q335" s="186"/>
      <c r="R335" s="186"/>
      <c r="S335" s="186"/>
      <c r="T335" s="186"/>
      <c r="U335" s="186"/>
      <c r="V335" s="186"/>
      <c r="W335" s="186"/>
      <c r="X335" s="186"/>
      <c r="Y335" s="186"/>
      <c r="Z335" s="186"/>
      <c r="AD335" s="188"/>
    </row>
    <row r="336" spans="3:30" x14ac:dyDescent="0.2">
      <c r="C336" s="186"/>
      <c r="D336" s="186"/>
      <c r="E336" s="186"/>
      <c r="F336" s="186"/>
      <c r="G336" s="186"/>
      <c r="H336" s="186"/>
      <c r="I336" s="186"/>
      <c r="J336" s="186"/>
      <c r="K336" s="186"/>
      <c r="L336" s="186"/>
      <c r="M336" s="186"/>
      <c r="N336" s="186"/>
      <c r="O336" s="186"/>
      <c r="P336" s="186"/>
      <c r="Q336" s="186"/>
      <c r="R336" s="186"/>
      <c r="S336" s="186"/>
      <c r="T336" s="186"/>
      <c r="U336" s="186"/>
      <c r="V336" s="186"/>
      <c r="W336" s="186"/>
      <c r="X336" s="186"/>
      <c r="Y336" s="186"/>
      <c r="Z336" s="186"/>
      <c r="AD336" s="188"/>
    </row>
    <row r="337" spans="2:30" x14ac:dyDescent="0.2">
      <c r="C337" s="186"/>
      <c r="D337" s="186"/>
      <c r="E337" s="186"/>
      <c r="F337" s="186"/>
      <c r="G337" s="186"/>
      <c r="H337" s="186"/>
      <c r="I337" s="186"/>
      <c r="J337" s="186"/>
      <c r="K337" s="186"/>
      <c r="L337" s="186"/>
      <c r="M337" s="186"/>
      <c r="N337" s="186"/>
      <c r="O337" s="186"/>
      <c r="P337" s="186"/>
      <c r="Q337" s="186"/>
      <c r="R337" s="186"/>
      <c r="S337" s="186"/>
      <c r="T337" s="186"/>
      <c r="U337" s="186"/>
      <c r="V337" s="186"/>
      <c r="W337" s="186"/>
      <c r="X337" s="186"/>
      <c r="Y337" s="186"/>
      <c r="Z337" s="186"/>
      <c r="AD337" s="188"/>
    </row>
    <row r="338" spans="2:30" x14ac:dyDescent="0.2">
      <c r="C338" s="186"/>
      <c r="D338" s="186"/>
      <c r="E338" s="186"/>
      <c r="F338" s="186"/>
      <c r="G338" s="186"/>
      <c r="H338" s="186"/>
      <c r="I338" s="186"/>
      <c r="J338" s="186"/>
      <c r="K338" s="186"/>
      <c r="L338" s="186"/>
      <c r="M338" s="186"/>
      <c r="N338" s="186"/>
      <c r="O338" s="186"/>
      <c r="P338" s="186"/>
      <c r="Q338" s="186"/>
      <c r="R338" s="186"/>
      <c r="S338" s="186"/>
      <c r="T338" s="186"/>
      <c r="U338" s="186"/>
      <c r="V338" s="186"/>
      <c r="W338" s="186"/>
      <c r="X338" s="186"/>
      <c r="Y338" s="186"/>
      <c r="Z338" s="186"/>
      <c r="AA338" s="186"/>
      <c r="AD338" s="188"/>
    </row>
    <row r="339" spans="2:30" x14ac:dyDescent="0.2">
      <c r="C339" s="186"/>
      <c r="D339" s="186"/>
      <c r="E339" s="186"/>
      <c r="F339" s="186"/>
      <c r="G339" s="186"/>
      <c r="H339" s="186"/>
      <c r="I339" s="186"/>
      <c r="J339" s="186"/>
      <c r="K339" s="186"/>
      <c r="L339" s="186"/>
      <c r="M339" s="186"/>
      <c r="N339" s="186"/>
      <c r="O339" s="186"/>
      <c r="P339" s="186"/>
      <c r="Q339" s="186"/>
      <c r="R339" s="186"/>
      <c r="S339" s="186"/>
      <c r="T339" s="186"/>
      <c r="U339" s="186"/>
      <c r="V339" s="186"/>
      <c r="W339" s="186"/>
      <c r="X339" s="186"/>
      <c r="Y339" s="186"/>
      <c r="Z339" s="186"/>
      <c r="AA339" s="186"/>
      <c r="AD339" s="188"/>
    </row>
    <row r="340" spans="2:30" x14ac:dyDescent="0.2">
      <c r="C340" s="186"/>
      <c r="D340" s="186"/>
      <c r="E340" s="186"/>
      <c r="F340" s="186"/>
      <c r="G340" s="186"/>
      <c r="H340" s="186"/>
      <c r="I340" s="186"/>
      <c r="J340" s="186"/>
      <c r="K340" s="186"/>
      <c r="L340" s="186"/>
      <c r="M340" s="186"/>
      <c r="N340" s="186"/>
      <c r="O340" s="186"/>
      <c r="P340" s="186"/>
      <c r="Q340" s="186"/>
      <c r="R340" s="186"/>
      <c r="S340" s="186"/>
      <c r="T340" s="186"/>
      <c r="U340" s="186"/>
      <c r="V340" s="186"/>
      <c r="W340" s="186"/>
      <c r="X340" s="186"/>
      <c r="Y340" s="186"/>
      <c r="Z340" s="186"/>
      <c r="AA340" s="186"/>
      <c r="AD340" s="188"/>
    </row>
    <row r="341" spans="2:30" x14ac:dyDescent="0.2">
      <c r="C341" s="186"/>
      <c r="D341" s="186"/>
      <c r="E341" s="186"/>
      <c r="F341" s="186"/>
      <c r="G341" s="186"/>
      <c r="H341" s="186"/>
      <c r="I341" s="186"/>
      <c r="J341" s="186"/>
      <c r="K341" s="186"/>
      <c r="L341" s="186"/>
      <c r="M341" s="186"/>
      <c r="N341" s="186"/>
      <c r="O341" s="186"/>
      <c r="P341" s="186"/>
      <c r="Q341" s="186"/>
      <c r="R341" s="186"/>
      <c r="S341" s="186"/>
      <c r="T341" s="186"/>
      <c r="U341" s="186"/>
      <c r="V341" s="186"/>
      <c r="W341" s="186"/>
      <c r="X341" s="186"/>
      <c r="Y341" s="186"/>
      <c r="Z341" s="186"/>
      <c r="AA341" s="186"/>
      <c r="AD341" s="188"/>
    </row>
    <row r="342" spans="2:30" x14ac:dyDescent="0.2">
      <c r="C342" s="186"/>
      <c r="D342" s="186"/>
      <c r="E342" s="186"/>
      <c r="F342" s="186"/>
      <c r="G342" s="186"/>
      <c r="H342" s="186"/>
      <c r="I342" s="186"/>
      <c r="J342" s="186"/>
      <c r="K342" s="186"/>
      <c r="L342" s="186"/>
      <c r="M342" s="186"/>
      <c r="N342" s="186"/>
      <c r="O342" s="186"/>
      <c r="P342" s="186"/>
      <c r="Q342" s="186"/>
      <c r="R342" s="186"/>
      <c r="S342" s="186"/>
      <c r="T342" s="186"/>
      <c r="U342" s="186"/>
      <c r="V342" s="186"/>
      <c r="W342" s="186"/>
      <c r="X342" s="186"/>
      <c r="Y342" s="186"/>
      <c r="Z342" s="186"/>
      <c r="AA342" s="186"/>
      <c r="AD342" s="188"/>
    </row>
    <row r="343" spans="2:30" x14ac:dyDescent="0.2">
      <c r="C343" s="186"/>
      <c r="D343" s="186"/>
      <c r="E343" s="186"/>
      <c r="F343" s="186"/>
      <c r="G343" s="186"/>
      <c r="H343" s="186"/>
      <c r="I343" s="186"/>
      <c r="J343" s="186"/>
      <c r="K343" s="186"/>
      <c r="L343" s="186"/>
      <c r="M343" s="186"/>
      <c r="N343" s="186"/>
      <c r="O343" s="186"/>
      <c r="P343" s="186"/>
      <c r="Q343" s="186"/>
      <c r="R343" s="186"/>
      <c r="S343" s="186"/>
      <c r="T343" s="186"/>
      <c r="U343" s="186"/>
      <c r="V343" s="186"/>
      <c r="W343" s="186"/>
      <c r="X343" s="186"/>
      <c r="Y343" s="186"/>
      <c r="Z343" s="186"/>
      <c r="AA343" s="186"/>
      <c r="AD343" s="188"/>
    </row>
    <row r="344" spans="2:30" x14ac:dyDescent="0.2">
      <c r="C344" s="186"/>
      <c r="D344" s="186"/>
      <c r="E344" s="186"/>
      <c r="F344" s="186"/>
      <c r="G344" s="186"/>
      <c r="H344" s="186"/>
      <c r="I344" s="186"/>
      <c r="J344" s="186"/>
      <c r="K344" s="186"/>
      <c r="L344" s="186"/>
      <c r="M344" s="186"/>
      <c r="N344" s="186"/>
      <c r="O344" s="186"/>
      <c r="P344" s="186"/>
      <c r="Q344" s="186"/>
      <c r="R344" s="186"/>
      <c r="S344" s="186"/>
      <c r="T344" s="186"/>
      <c r="U344" s="186"/>
      <c r="V344" s="186"/>
      <c r="W344" s="186"/>
      <c r="X344" s="186"/>
      <c r="Y344" s="186"/>
      <c r="Z344" s="186"/>
      <c r="AA344" s="186"/>
      <c r="AD344" s="188"/>
    </row>
    <row r="345" spans="2:30" x14ac:dyDescent="0.2">
      <c r="C345" s="186"/>
      <c r="D345" s="186"/>
      <c r="E345" s="186"/>
      <c r="F345" s="186"/>
      <c r="G345" s="186"/>
      <c r="H345" s="186"/>
      <c r="I345" s="186"/>
      <c r="J345" s="186"/>
      <c r="K345" s="186"/>
      <c r="L345" s="186"/>
      <c r="M345" s="186"/>
      <c r="N345" s="186"/>
      <c r="O345" s="186"/>
      <c r="P345" s="186"/>
      <c r="Q345" s="186"/>
      <c r="R345" s="186"/>
      <c r="S345" s="186"/>
      <c r="T345" s="186"/>
      <c r="U345" s="186"/>
      <c r="V345" s="186"/>
      <c r="W345" s="186"/>
      <c r="X345" s="186"/>
      <c r="Y345" s="186"/>
      <c r="Z345" s="186"/>
      <c r="AA345" s="186"/>
      <c r="AD345" s="188"/>
    </row>
    <row r="346" spans="2:30" x14ac:dyDescent="0.2">
      <c r="C346" s="186"/>
      <c r="D346" s="186"/>
      <c r="E346" s="186"/>
      <c r="F346" s="186"/>
      <c r="G346" s="186"/>
      <c r="H346" s="186"/>
      <c r="I346" s="186"/>
      <c r="J346" s="186"/>
      <c r="K346" s="186"/>
      <c r="L346" s="186"/>
      <c r="M346" s="186"/>
      <c r="N346" s="186"/>
      <c r="O346" s="186"/>
      <c r="P346" s="186"/>
      <c r="Q346" s="186"/>
      <c r="R346" s="186"/>
      <c r="S346" s="186"/>
      <c r="T346" s="186"/>
      <c r="U346" s="186"/>
      <c r="V346" s="186"/>
      <c r="W346" s="186"/>
      <c r="X346" s="186"/>
      <c r="Y346" s="186"/>
      <c r="Z346" s="186"/>
      <c r="AA346" s="186"/>
      <c r="AD346" s="188"/>
    </row>
    <row r="347" spans="2:30" x14ac:dyDescent="0.2">
      <c r="C347" s="186"/>
      <c r="D347" s="186"/>
      <c r="E347" s="186"/>
      <c r="F347" s="186"/>
      <c r="G347" s="186"/>
      <c r="H347" s="186"/>
      <c r="I347" s="186"/>
      <c r="J347" s="186"/>
      <c r="K347" s="186"/>
      <c r="L347" s="186"/>
      <c r="M347" s="186"/>
      <c r="N347" s="186"/>
      <c r="O347" s="186"/>
      <c r="P347" s="186"/>
      <c r="Q347" s="186"/>
      <c r="R347" s="186"/>
      <c r="S347" s="186"/>
      <c r="T347" s="186"/>
      <c r="U347" s="186"/>
      <c r="V347" s="186"/>
      <c r="W347" s="186"/>
      <c r="X347" s="186"/>
      <c r="Y347" s="186"/>
      <c r="Z347" s="186"/>
      <c r="AA347" s="186"/>
    </row>
    <row r="348" spans="2:30" x14ac:dyDescent="0.2">
      <c r="C348" s="186"/>
      <c r="D348" s="186"/>
      <c r="E348" s="186"/>
      <c r="F348" s="186"/>
      <c r="G348" s="186"/>
      <c r="H348" s="186"/>
      <c r="I348" s="186"/>
      <c r="J348" s="186"/>
      <c r="K348" s="186"/>
      <c r="L348" s="186"/>
      <c r="M348" s="186"/>
      <c r="N348" s="186"/>
      <c r="O348" s="186"/>
      <c r="P348" s="186"/>
      <c r="Q348" s="186"/>
      <c r="R348" s="186"/>
      <c r="S348" s="186"/>
      <c r="T348" s="186"/>
      <c r="U348" s="186"/>
      <c r="V348" s="186"/>
      <c r="W348" s="186"/>
      <c r="X348" s="186"/>
      <c r="Y348" s="186"/>
      <c r="Z348" s="186"/>
      <c r="AA348" s="186"/>
    </row>
    <row r="349" spans="2:30" x14ac:dyDescent="0.2">
      <c r="C349" s="186"/>
      <c r="D349" s="186"/>
      <c r="E349" s="186"/>
      <c r="F349" s="186"/>
      <c r="G349" s="186"/>
      <c r="H349" s="186"/>
      <c r="I349" s="186"/>
      <c r="J349" s="186"/>
      <c r="K349" s="186"/>
      <c r="L349" s="186"/>
      <c r="M349" s="186"/>
      <c r="N349" s="186"/>
      <c r="O349" s="186"/>
      <c r="P349" s="186"/>
      <c r="Q349" s="186"/>
      <c r="R349" s="186"/>
      <c r="S349" s="186"/>
      <c r="T349" s="186"/>
      <c r="U349" s="186"/>
      <c r="V349" s="186"/>
      <c r="W349" s="186"/>
      <c r="X349" s="186"/>
      <c r="Y349" s="186"/>
      <c r="Z349" s="186"/>
      <c r="AA349" s="186"/>
    </row>
    <row r="350" spans="2:30" x14ac:dyDescent="0.2">
      <c r="C350" s="186"/>
      <c r="D350" s="186"/>
      <c r="E350" s="186"/>
      <c r="F350" s="186"/>
      <c r="G350" s="186"/>
      <c r="H350" s="186"/>
      <c r="I350" s="186"/>
      <c r="J350" s="186"/>
      <c r="K350" s="186"/>
      <c r="L350" s="186"/>
      <c r="M350" s="186"/>
      <c r="N350" s="186"/>
      <c r="O350" s="186"/>
      <c r="P350" s="186"/>
      <c r="Q350" s="186"/>
      <c r="R350" s="186"/>
      <c r="S350" s="186"/>
      <c r="T350" s="186"/>
      <c r="U350" s="186"/>
      <c r="V350" s="186"/>
      <c r="W350" s="186"/>
      <c r="X350" s="186"/>
      <c r="Y350" s="186"/>
      <c r="Z350" s="186"/>
      <c r="AA350" s="186"/>
    </row>
    <row r="351" spans="2:30" x14ac:dyDescent="0.2">
      <c r="C351" s="186"/>
      <c r="D351" s="186"/>
      <c r="E351" s="186"/>
      <c r="F351" s="186"/>
      <c r="G351" s="186"/>
      <c r="H351" s="186"/>
      <c r="I351" s="186"/>
      <c r="J351" s="186"/>
      <c r="K351" s="186"/>
      <c r="L351" s="186"/>
      <c r="M351" s="186"/>
      <c r="N351" s="186"/>
      <c r="O351" s="186"/>
      <c r="P351" s="186"/>
      <c r="Q351" s="186"/>
      <c r="R351" s="186"/>
      <c r="S351" s="186"/>
      <c r="T351" s="186"/>
      <c r="U351" s="186"/>
      <c r="V351" s="186"/>
      <c r="W351" s="186"/>
      <c r="X351" s="186"/>
      <c r="Y351" s="186"/>
      <c r="Z351" s="186"/>
      <c r="AA351" s="186"/>
    </row>
    <row r="352" spans="2:30" x14ac:dyDescent="0.2">
      <c r="B352" s="187"/>
      <c r="C352" s="186"/>
      <c r="D352" s="186"/>
      <c r="E352" s="186"/>
      <c r="F352" s="186"/>
      <c r="G352" s="186"/>
      <c r="H352" s="186"/>
      <c r="I352" s="186"/>
      <c r="J352" s="186"/>
      <c r="K352" s="186"/>
      <c r="L352" s="186"/>
      <c r="M352" s="186"/>
      <c r="N352" s="186"/>
      <c r="O352" s="186"/>
      <c r="P352" s="186"/>
      <c r="Q352" s="186"/>
      <c r="R352" s="186"/>
      <c r="S352" s="186"/>
      <c r="T352" s="186"/>
      <c r="U352" s="186"/>
      <c r="V352" s="186"/>
      <c r="W352" s="186"/>
      <c r="X352" s="186"/>
      <c r="Y352" s="186"/>
      <c r="Z352" s="186"/>
      <c r="AA352" s="186"/>
    </row>
    <row r="353" spans="2:27" x14ac:dyDescent="0.2">
      <c r="B353" s="187"/>
      <c r="C353" s="186"/>
      <c r="D353" s="186"/>
      <c r="E353" s="186"/>
      <c r="F353" s="186"/>
      <c r="G353" s="186"/>
      <c r="H353" s="186"/>
      <c r="I353" s="186"/>
      <c r="J353" s="186"/>
      <c r="K353" s="186"/>
      <c r="L353" s="186"/>
      <c r="M353" s="186"/>
      <c r="N353" s="186"/>
      <c r="O353" s="186"/>
      <c r="P353" s="186"/>
      <c r="Q353" s="186"/>
      <c r="R353" s="186"/>
      <c r="S353" s="186"/>
      <c r="T353" s="186"/>
      <c r="U353" s="186"/>
      <c r="V353" s="186"/>
      <c r="W353" s="186"/>
      <c r="X353" s="186"/>
      <c r="Y353" s="186"/>
      <c r="Z353" s="186"/>
      <c r="AA353" s="186"/>
    </row>
    <row r="354" spans="2:27" x14ac:dyDescent="0.2">
      <c r="B354" s="187"/>
      <c r="C354" s="186"/>
      <c r="D354" s="186"/>
      <c r="E354" s="186"/>
      <c r="F354" s="186"/>
      <c r="G354" s="186"/>
      <c r="H354" s="186"/>
      <c r="I354" s="186"/>
      <c r="J354" s="186"/>
      <c r="K354" s="186"/>
      <c r="L354" s="186"/>
      <c r="M354" s="186"/>
      <c r="N354" s="186"/>
      <c r="O354" s="186"/>
      <c r="P354" s="186"/>
      <c r="Q354" s="186"/>
      <c r="R354" s="186"/>
      <c r="S354" s="186"/>
      <c r="T354" s="186"/>
      <c r="U354" s="186"/>
      <c r="V354" s="186"/>
      <c r="W354" s="186"/>
      <c r="X354" s="186"/>
      <c r="Y354" s="186"/>
      <c r="Z354" s="186"/>
    </row>
    <row r="355" spans="2:27" x14ac:dyDescent="0.2">
      <c r="B355" s="187"/>
      <c r="C355" s="186"/>
      <c r="D355" s="186"/>
      <c r="E355" s="186"/>
      <c r="F355" s="186"/>
      <c r="G355" s="186"/>
      <c r="H355" s="186"/>
      <c r="I355" s="186"/>
      <c r="J355" s="186"/>
      <c r="K355" s="186"/>
      <c r="L355" s="186"/>
      <c r="M355" s="186"/>
      <c r="N355" s="186"/>
      <c r="O355" s="186"/>
      <c r="P355" s="186"/>
      <c r="Q355" s="186"/>
      <c r="R355" s="186"/>
      <c r="S355" s="186"/>
      <c r="T355" s="186"/>
      <c r="U355" s="186"/>
      <c r="V355" s="186"/>
      <c r="W355" s="186"/>
      <c r="X355" s="186"/>
      <c r="Y355" s="186"/>
      <c r="Z355" s="186"/>
    </row>
    <row r="356" spans="2:27" x14ac:dyDescent="0.2">
      <c r="B356" s="187"/>
      <c r="C356" s="186"/>
      <c r="D356" s="186"/>
      <c r="E356" s="186"/>
      <c r="F356" s="186"/>
      <c r="G356" s="186"/>
      <c r="H356" s="186"/>
      <c r="I356" s="186"/>
      <c r="J356" s="186"/>
      <c r="K356" s="186"/>
      <c r="L356" s="186"/>
      <c r="M356" s="186"/>
      <c r="N356" s="186"/>
      <c r="O356" s="186"/>
      <c r="P356" s="186"/>
      <c r="Q356" s="186"/>
      <c r="R356" s="186"/>
      <c r="S356" s="186"/>
      <c r="T356" s="186"/>
      <c r="U356" s="186"/>
      <c r="V356" s="186"/>
      <c r="W356" s="186"/>
      <c r="X356" s="186"/>
      <c r="Y356" s="186"/>
      <c r="Z356" s="186"/>
    </row>
    <row r="357" spans="2:27" x14ac:dyDescent="0.2">
      <c r="B357" s="187"/>
      <c r="C357" s="186"/>
      <c r="D357" s="186"/>
      <c r="E357" s="186"/>
      <c r="F357" s="186"/>
      <c r="G357" s="186"/>
      <c r="H357" s="186"/>
      <c r="I357" s="186"/>
      <c r="J357" s="186"/>
      <c r="K357" s="186"/>
      <c r="L357" s="186"/>
      <c r="M357" s="186"/>
      <c r="N357" s="186"/>
      <c r="O357" s="186"/>
      <c r="P357" s="186"/>
      <c r="Q357" s="186"/>
      <c r="R357" s="186"/>
      <c r="S357" s="186"/>
      <c r="T357" s="186"/>
      <c r="U357" s="186"/>
      <c r="V357" s="186"/>
      <c r="W357" s="186"/>
      <c r="X357" s="186"/>
      <c r="Y357" s="186"/>
      <c r="Z357" s="186"/>
    </row>
    <row r="358" spans="2:27" x14ac:dyDescent="0.2">
      <c r="B358" s="187"/>
      <c r="C358" s="186"/>
      <c r="D358" s="186"/>
      <c r="E358" s="189" t="s">
        <v>148</v>
      </c>
      <c r="F358" s="186"/>
      <c r="G358" s="186"/>
      <c r="H358" s="186"/>
      <c r="I358" s="186"/>
      <c r="J358" s="186"/>
      <c r="K358" s="186"/>
      <c r="L358" s="186"/>
      <c r="M358" s="186"/>
      <c r="N358" s="186"/>
      <c r="O358" s="186"/>
      <c r="P358" s="186"/>
      <c r="Q358" s="186"/>
      <c r="R358" s="186"/>
      <c r="S358" s="186"/>
      <c r="T358" s="186"/>
      <c r="U358" s="186"/>
      <c r="V358" s="186"/>
      <c r="W358" s="186"/>
      <c r="X358" s="186"/>
      <c r="Y358" s="186"/>
      <c r="Z358" s="186"/>
    </row>
    <row r="359" spans="2:27" x14ac:dyDescent="0.2">
      <c r="B359" s="187"/>
      <c r="C359" s="186"/>
      <c r="D359" s="186"/>
      <c r="E359" s="186" t="s">
        <v>70</v>
      </c>
      <c r="F359" s="186"/>
      <c r="G359" s="186">
        <f t="shared" ref="G359:P363" si="58">+SUMIFS(G$2:G$157,$AC$2:$AC$157,"",$AA$2:$AA$157,+$E359)</f>
        <v>-45700</v>
      </c>
      <c r="H359" s="186">
        <f t="shared" si="58"/>
        <v>-49750</v>
      </c>
      <c r="I359" s="186">
        <f t="shared" si="58"/>
        <v>-49749.999999999978</v>
      </c>
      <c r="J359" s="186">
        <f t="shared" si="58"/>
        <v>-60150</v>
      </c>
      <c r="K359" s="186">
        <f t="shared" si="58"/>
        <v>-60150</v>
      </c>
      <c r="L359" s="186">
        <f t="shared" si="58"/>
        <v>-10085.680000000013</v>
      </c>
      <c r="M359" s="186">
        <f t="shared" si="58"/>
        <v>8651.0300000000079</v>
      </c>
      <c r="N359" s="186">
        <f t="shared" si="58"/>
        <v>-106955.99000000005</v>
      </c>
      <c r="O359" s="186">
        <f t="shared" si="58"/>
        <v>-16199.999999999993</v>
      </c>
      <c r="P359" s="186">
        <f t="shared" si="58"/>
        <v>-16000</v>
      </c>
      <c r="Q359" s="186">
        <f t="shared" ref="Q359:Z363" si="59">+SUMIFS(Q$2:Q$157,$AC$2:$AC$157,"",$AA$2:$AA$157,+$E359)</f>
        <v>-16499.999999999993</v>
      </c>
      <c r="R359" s="186">
        <f t="shared" si="59"/>
        <v>-28999.999999999993</v>
      </c>
      <c r="S359" s="186">
        <f t="shared" si="59"/>
        <v>-28999.999999999993</v>
      </c>
      <c r="T359" s="186">
        <f t="shared" si="59"/>
        <v>-28999.999999999993</v>
      </c>
      <c r="U359" s="186">
        <f t="shared" si="59"/>
        <v>-35249.999999999993</v>
      </c>
      <c r="V359" s="186">
        <f t="shared" si="59"/>
        <v>-35249.999999999993</v>
      </c>
      <c r="W359" s="186">
        <f t="shared" si="59"/>
        <v>-35249.999999999993</v>
      </c>
      <c r="X359" s="186">
        <f t="shared" si="59"/>
        <v>-35249.999999999993</v>
      </c>
      <c r="Y359" s="186">
        <f t="shared" si="59"/>
        <v>-35249.999999999993</v>
      </c>
      <c r="Z359" s="186">
        <f t="shared" si="59"/>
        <v>-35249.999999999993</v>
      </c>
      <c r="AA359" s="186">
        <f t="shared" ref="AA359:AA364" si="60">SUM(G359:N359)</f>
        <v>-373890.64</v>
      </c>
    </row>
    <row r="360" spans="2:27" x14ac:dyDescent="0.2">
      <c r="B360" s="187"/>
      <c r="C360" s="186"/>
      <c r="D360" s="186"/>
      <c r="E360" s="186" t="s">
        <v>79</v>
      </c>
      <c r="F360" s="186"/>
      <c r="G360" s="186">
        <f t="shared" si="58"/>
        <v>-75620.000000000276</v>
      </c>
      <c r="H360" s="186">
        <f t="shared" si="58"/>
        <v>-90649.999999999753</v>
      </c>
      <c r="I360" s="186">
        <f t="shared" si="58"/>
        <v>-98500.000000000073</v>
      </c>
      <c r="J360" s="186">
        <f t="shared" si="58"/>
        <v>-106350.00000000003</v>
      </c>
      <c r="K360" s="186">
        <f t="shared" si="58"/>
        <v>-129174.99999999997</v>
      </c>
      <c r="L360" s="186">
        <f t="shared" si="58"/>
        <v>19629.000000000022</v>
      </c>
      <c r="M360" s="186">
        <f t="shared" si="58"/>
        <v>-74113.48000000004</v>
      </c>
      <c r="N360" s="186">
        <f t="shared" si="58"/>
        <v>-79848.000000000116</v>
      </c>
      <c r="O360" s="186">
        <f t="shared" si="58"/>
        <v>-4587.2203030303135</v>
      </c>
      <c r="P360" s="186">
        <f t="shared" si="58"/>
        <v>-48456.520303030324</v>
      </c>
      <c r="Q360" s="186">
        <f t="shared" si="59"/>
        <v>-62224.920303030311</v>
      </c>
      <c r="R360" s="186">
        <f t="shared" si="59"/>
        <v>-101213.74951010113</v>
      </c>
      <c r="S360" s="186">
        <f t="shared" si="59"/>
        <v>-104513.74951010113</v>
      </c>
      <c r="T360" s="186">
        <f t="shared" si="59"/>
        <v>-109613.74951010113</v>
      </c>
      <c r="U360" s="186">
        <f t="shared" si="59"/>
        <v>-114713.74951010113</v>
      </c>
      <c r="V360" s="186">
        <f t="shared" si="59"/>
        <v>-119813.74951010113</v>
      </c>
      <c r="W360" s="186">
        <f t="shared" si="59"/>
        <v>-126835.97173232315</v>
      </c>
      <c r="X360" s="186">
        <f t="shared" si="59"/>
        <v>-95935.971732323145</v>
      </c>
      <c r="Y360" s="186">
        <f t="shared" si="59"/>
        <v>-107935.97173232315</v>
      </c>
      <c r="Z360" s="186">
        <f t="shared" si="59"/>
        <v>-119935.97173232315</v>
      </c>
      <c r="AA360" s="186">
        <f t="shared" si="60"/>
        <v>-634627.48000000033</v>
      </c>
    </row>
    <row r="361" spans="2:27" x14ac:dyDescent="0.2">
      <c r="B361" s="187"/>
      <c r="C361" s="186"/>
      <c r="D361" s="186"/>
      <c r="E361" s="186" t="s">
        <v>16</v>
      </c>
      <c r="F361" s="186"/>
      <c r="G361" s="186">
        <f t="shared" si="58"/>
        <v>-89500.000000000015</v>
      </c>
      <c r="H361" s="186">
        <f t="shared" si="58"/>
        <v>-97499.999999999985</v>
      </c>
      <c r="I361" s="186">
        <f t="shared" si="58"/>
        <v>-100000</v>
      </c>
      <c r="J361" s="186">
        <f t="shared" si="58"/>
        <v>-112500</v>
      </c>
      <c r="K361" s="186">
        <f t="shared" si="58"/>
        <v>-117500</v>
      </c>
      <c r="L361" s="186">
        <f t="shared" si="58"/>
        <v>-74804.73000000001</v>
      </c>
      <c r="M361" s="186">
        <f t="shared" si="58"/>
        <v>-75075</v>
      </c>
      <c r="N361" s="186">
        <f t="shared" si="58"/>
        <v>-261649</v>
      </c>
      <c r="O361" s="186">
        <f t="shared" si="58"/>
        <v>-78645</v>
      </c>
      <c r="P361" s="186">
        <f t="shared" si="58"/>
        <v>-82818</v>
      </c>
      <c r="Q361" s="186">
        <f t="shared" si="59"/>
        <v>-81213</v>
      </c>
      <c r="R361" s="186">
        <f t="shared" si="59"/>
        <v>-83131.866666666654</v>
      </c>
      <c r="S361" s="186">
        <f t="shared" si="59"/>
        <v>-84094.866666666654</v>
      </c>
      <c r="T361" s="186">
        <f t="shared" si="59"/>
        <v>-85057.866666666654</v>
      </c>
      <c r="U361" s="186">
        <f t="shared" si="59"/>
        <v>-86020.866666666654</v>
      </c>
      <c r="V361" s="186">
        <f t="shared" si="59"/>
        <v>-86983.866666666654</v>
      </c>
      <c r="W361" s="186">
        <f t="shared" si="59"/>
        <v>-87982.53333333334</v>
      </c>
      <c r="X361" s="186">
        <f t="shared" si="59"/>
        <v>-83167.53333333334</v>
      </c>
      <c r="Y361" s="186">
        <f t="shared" si="59"/>
        <v>-85093.53333333334</v>
      </c>
      <c r="Z361" s="186">
        <f t="shared" si="59"/>
        <v>-87019.53333333334</v>
      </c>
      <c r="AA361" s="186">
        <f t="shared" si="60"/>
        <v>-928528.73</v>
      </c>
    </row>
    <row r="362" spans="2:27" x14ac:dyDescent="0.2">
      <c r="B362" s="187"/>
      <c r="C362" s="186"/>
      <c r="D362" s="186"/>
      <c r="E362" s="186" t="s">
        <v>98</v>
      </c>
      <c r="F362" s="186"/>
      <c r="G362" s="186">
        <f t="shared" si="58"/>
        <v>-177600.00000000012</v>
      </c>
      <c r="H362" s="186">
        <f t="shared" si="58"/>
        <v>-179376.00000000006</v>
      </c>
      <c r="I362" s="186">
        <f t="shared" si="58"/>
        <v>-181169.76000000004</v>
      </c>
      <c r="J362" s="186">
        <f t="shared" si="58"/>
        <v>-182981.45760000008</v>
      </c>
      <c r="K362" s="186">
        <f t="shared" si="58"/>
        <v>-184811.27217599988</v>
      </c>
      <c r="L362" s="186">
        <f t="shared" si="58"/>
        <v>-94710.87999999999</v>
      </c>
      <c r="M362" s="186">
        <f t="shared" si="58"/>
        <v>-93963.119999999806</v>
      </c>
      <c r="N362" s="186">
        <f t="shared" si="58"/>
        <v>-248751.72300000026</v>
      </c>
      <c r="O362" s="186">
        <f t="shared" si="58"/>
        <v>-87546.334333333129</v>
      </c>
      <c r="P362" s="186">
        <f t="shared" si="58"/>
        <v>-145355.31012161021</v>
      </c>
      <c r="Q362" s="186">
        <f t="shared" si="59"/>
        <v>-139646.33433333336</v>
      </c>
      <c r="R362" s="186">
        <f t="shared" si="59"/>
        <v>-165566.33433333304</v>
      </c>
      <c r="S362" s="186">
        <f t="shared" si="59"/>
        <v>-216686.33433333339</v>
      </c>
      <c r="T362" s="186">
        <f t="shared" si="59"/>
        <v>-187526.33433333316</v>
      </c>
      <c r="U362" s="186">
        <f t="shared" si="59"/>
        <v>-148646.33433333301</v>
      </c>
      <c r="V362" s="186">
        <f t="shared" si="59"/>
        <v>-134786.33433333342</v>
      </c>
      <c r="W362" s="186">
        <f t="shared" si="59"/>
        <v>-114986.3343333331</v>
      </c>
      <c r="X362" s="186">
        <f t="shared" si="59"/>
        <v>-114986.3343333331</v>
      </c>
      <c r="Y362" s="186">
        <f t="shared" si="59"/>
        <v>-114986.3343333331</v>
      </c>
      <c r="Z362" s="186">
        <f t="shared" si="59"/>
        <v>-190586.33433333307</v>
      </c>
      <c r="AA362" s="186">
        <f t="shared" si="60"/>
        <v>-1343364.2127760001</v>
      </c>
    </row>
    <row r="363" spans="2:27" x14ac:dyDescent="0.2">
      <c r="B363" s="187"/>
      <c r="C363" s="186"/>
      <c r="D363" s="186"/>
      <c r="E363" s="186" t="s">
        <v>111</v>
      </c>
      <c r="F363" s="186"/>
      <c r="G363" s="186">
        <f t="shared" si="58"/>
        <v>-171094.99999999988</v>
      </c>
      <c r="H363" s="186">
        <f t="shared" si="58"/>
        <v>-157724.80000000019</v>
      </c>
      <c r="I363" s="186">
        <f t="shared" si="58"/>
        <v>-208109.99999999994</v>
      </c>
      <c r="J363" s="186">
        <f t="shared" si="58"/>
        <v>-213109.99999999985</v>
      </c>
      <c r="K363" s="186">
        <f t="shared" si="58"/>
        <v>-168582.5</v>
      </c>
      <c r="L363" s="186">
        <f t="shared" si="58"/>
        <v>-172931.75999999983</v>
      </c>
      <c r="M363" s="186">
        <f t="shared" si="58"/>
        <v>-180750.84299999996</v>
      </c>
      <c r="N363" s="186">
        <f t="shared" si="58"/>
        <v>-245432.04599999971</v>
      </c>
      <c r="O363" s="186">
        <f t="shared" si="58"/>
        <v>-144793.88959200005</v>
      </c>
      <c r="P363" s="186">
        <f t="shared" si="58"/>
        <v>-184433.85333333336</v>
      </c>
      <c r="Q363" s="186">
        <f t="shared" si="59"/>
        <v>-196308.18666666656</v>
      </c>
      <c r="R363" s="186">
        <f t="shared" si="59"/>
        <v>-201154.85333333316</v>
      </c>
      <c r="S363" s="186">
        <f t="shared" si="59"/>
        <v>-183949.18666666644</v>
      </c>
      <c r="T363" s="186">
        <f t="shared" si="59"/>
        <v>-183949.18666666644</v>
      </c>
      <c r="U363" s="186">
        <f t="shared" si="59"/>
        <v>-202673.52000000008</v>
      </c>
      <c r="V363" s="186">
        <f t="shared" si="59"/>
        <v>-202673.52000000008</v>
      </c>
      <c r="W363" s="186">
        <f t="shared" si="59"/>
        <v>-177349.68666666665</v>
      </c>
      <c r="X363" s="186">
        <f t="shared" si="59"/>
        <v>-177349.68666666665</v>
      </c>
      <c r="Y363" s="186">
        <f t="shared" si="59"/>
        <v>-183900.44133333332</v>
      </c>
      <c r="Z363" s="186">
        <f t="shared" si="59"/>
        <v>-218182.85333333357</v>
      </c>
      <c r="AA363" s="186">
        <f t="shared" si="60"/>
        <v>-1517736.9489999993</v>
      </c>
    </row>
    <row r="364" spans="2:27" x14ac:dyDescent="0.2">
      <c r="B364" s="187"/>
      <c r="C364" s="186"/>
      <c r="D364" s="186"/>
      <c r="E364" s="186" t="s">
        <v>124</v>
      </c>
      <c r="F364" s="186"/>
      <c r="G364" s="186">
        <f t="shared" ref="G364:Z364" si="61">+SUMIFS(G$2:G$173,$AC$2:$AC$173,"",$AA$2:$AA$173,+$E364)</f>
        <v>605000.00000000012</v>
      </c>
      <c r="H364" s="186">
        <f t="shared" si="61"/>
        <v>605000.00000000012</v>
      </c>
      <c r="I364" s="186">
        <f t="shared" si="61"/>
        <v>605000.00000000012</v>
      </c>
      <c r="J364" s="186">
        <f t="shared" si="61"/>
        <v>575000.00000000012</v>
      </c>
      <c r="K364" s="186">
        <f t="shared" si="61"/>
        <v>575000.00000000012</v>
      </c>
      <c r="L364" s="186">
        <f t="shared" si="61"/>
        <v>498255.00000000006</v>
      </c>
      <c r="M364" s="186">
        <f t="shared" si="61"/>
        <v>553403.00000000023</v>
      </c>
      <c r="N364" s="186">
        <f t="shared" si="61"/>
        <v>591050</v>
      </c>
      <c r="O364" s="186">
        <f t="shared" si="61"/>
        <v>540000.00000000012</v>
      </c>
      <c r="P364" s="186">
        <f t="shared" si="61"/>
        <v>540000.00000000012</v>
      </c>
      <c r="Q364" s="186">
        <f t="shared" si="61"/>
        <v>540000.00000000012</v>
      </c>
      <c r="R364" s="186">
        <f t="shared" si="61"/>
        <v>540000.00000000012</v>
      </c>
      <c r="S364" s="186">
        <f t="shared" si="61"/>
        <v>540000.00000000012</v>
      </c>
      <c r="T364" s="186">
        <f t="shared" si="61"/>
        <v>540000.00000000012</v>
      </c>
      <c r="U364" s="186">
        <f t="shared" si="61"/>
        <v>540000.00000000012</v>
      </c>
      <c r="V364" s="186">
        <f t="shared" si="61"/>
        <v>540000.00000000012</v>
      </c>
      <c r="W364" s="186">
        <f t="shared" si="61"/>
        <v>540000.00000000012</v>
      </c>
      <c r="X364" s="186">
        <f t="shared" si="61"/>
        <v>540000.00000000012</v>
      </c>
      <c r="Y364" s="186">
        <f t="shared" si="61"/>
        <v>540000.00000000012</v>
      </c>
      <c r="Z364" s="186">
        <f t="shared" si="61"/>
        <v>540000.00000000012</v>
      </c>
      <c r="AA364" s="186">
        <f t="shared" si="60"/>
        <v>4607708.0000000009</v>
      </c>
    </row>
    <row r="365" spans="2:27" x14ac:dyDescent="0.2">
      <c r="B365" s="187"/>
      <c r="C365" s="186"/>
      <c r="D365" s="186"/>
      <c r="E365" s="186"/>
      <c r="F365" s="186"/>
      <c r="G365" s="186">
        <f>SUM(G359:G364)</f>
        <v>45484.999999999884</v>
      </c>
      <c r="H365" s="186">
        <f t="shared" ref="H365:AA365" si="62">SUM(H359:H364)</f>
        <v>29999.20000000007</v>
      </c>
      <c r="I365" s="186">
        <f>SUM(I359:I364)</f>
        <v>-32529.759999999893</v>
      </c>
      <c r="J365" s="186">
        <f t="shared" si="62"/>
        <v>-100091.45759999985</v>
      </c>
      <c r="K365" s="186">
        <f t="shared" si="62"/>
        <v>-85218.772175999708</v>
      </c>
      <c r="L365" s="186">
        <f>SUM(L359:L364)</f>
        <v>165350.95000000024</v>
      </c>
      <c r="M365" s="186">
        <f t="shared" si="62"/>
        <v>138151.58700000041</v>
      </c>
      <c r="N365" s="186">
        <f t="shared" si="62"/>
        <v>-351586.75900000019</v>
      </c>
      <c r="O365" s="186">
        <f>SUM(O359:O364)</f>
        <v>208227.55577163666</v>
      </c>
      <c r="P365" s="186">
        <f t="shared" ref="P365:Z365" si="63">SUM(P359:P364)</f>
        <v>62936.316242026165</v>
      </c>
      <c r="Q365" s="186">
        <f t="shared" si="63"/>
        <v>44107.558696969878</v>
      </c>
      <c r="R365" s="186">
        <f t="shared" si="63"/>
        <v>-40066.803843433852</v>
      </c>
      <c r="S365" s="186">
        <f t="shared" si="63"/>
        <v>-78244.137176767457</v>
      </c>
      <c r="T365" s="186">
        <f t="shared" si="63"/>
        <v>-55147.137176767224</v>
      </c>
      <c r="U365" s="186">
        <f t="shared" si="63"/>
        <v>-47304.470510100829</v>
      </c>
      <c r="V365" s="186">
        <f t="shared" si="63"/>
        <v>-39507.470510101179</v>
      </c>
      <c r="W365" s="186">
        <f t="shared" si="63"/>
        <v>-2404.5260656561004</v>
      </c>
      <c r="X365" s="186">
        <f t="shared" si="63"/>
        <v>33310.4739343439</v>
      </c>
      <c r="Y365" s="186">
        <f t="shared" si="63"/>
        <v>12833.719267677166</v>
      </c>
      <c r="Z365" s="186">
        <f t="shared" si="63"/>
        <v>-110974.69273232308</v>
      </c>
      <c r="AA365" s="186">
        <f t="shared" si="62"/>
        <v>-190440.0117759984</v>
      </c>
    </row>
    <row r="366" spans="2:27" x14ac:dyDescent="0.2">
      <c r="B366" s="187"/>
      <c r="C366" s="186"/>
      <c r="D366" s="186"/>
      <c r="E366" s="186" t="s">
        <v>149</v>
      </c>
      <c r="F366" s="186"/>
      <c r="G366" s="186">
        <f>-[1]Overall!F$9</f>
        <v>-40000</v>
      </c>
      <c r="H366" s="186">
        <f>-[1]Overall!G$9</f>
        <v>-40000</v>
      </c>
      <c r="I366" s="186">
        <f>-[1]Overall!H$9</f>
        <v>-40000</v>
      </c>
      <c r="J366" s="186">
        <f>-[1]Overall!I$9</f>
        <v>-40000</v>
      </c>
      <c r="K366" s="186">
        <f>-[1]Overall!J$9</f>
        <v>-40000</v>
      </c>
      <c r="L366" s="186">
        <f>-[1]Overall!K$9</f>
        <v>94531.26</v>
      </c>
      <c r="M366" s="186">
        <f>-[1]Overall!L$9</f>
        <v>97554.808080000003</v>
      </c>
      <c r="N366" s="186">
        <f>-[1]Overall!M$9</f>
        <v>-191633.79332</v>
      </c>
      <c r="O366" s="186">
        <f>-[1]Overall!Q$9</f>
        <v>-45152.461122881534</v>
      </c>
      <c r="P366" s="186">
        <f>-[1]Overall!R$9</f>
        <v>-56027.627914312805</v>
      </c>
      <c r="Q366" s="186">
        <f>-[1]Overall!S$9</f>
        <v>-242218.84810145973</v>
      </c>
      <c r="R366" s="186">
        <f>-[1]Overall!T$9</f>
        <v>-68212.994892891002</v>
      </c>
      <c r="S366" s="186">
        <f>-[1]Overall!U$9</f>
        <v>-85272.994892891002</v>
      </c>
      <c r="T366" s="186">
        <f>-[1]Overall!V$9</f>
        <v>-246429.39489289102</v>
      </c>
      <c r="U366" s="186">
        <f>-[1]Overall!W$9</f>
        <v>-72152.594892891007</v>
      </c>
      <c r="V366" s="186">
        <f>-[1]Overall!X$9</f>
        <v>-70476.594892891007</v>
      </c>
      <c r="W366" s="186">
        <f>-[1]Overall!Y$9</f>
        <v>-243954.79489289102</v>
      </c>
      <c r="X366" s="186">
        <f>-[1]Overall!Z$9</f>
        <v>-73220.194892891013</v>
      </c>
      <c r="Y366" s="186">
        <f>-[1]Overall!AA$9</f>
        <v>-75754.794892891019</v>
      </c>
      <c r="Z366" s="186">
        <f>-[1]Overall!AB$9</f>
        <v>-267075.07489289099</v>
      </c>
      <c r="AA366" s="186">
        <f>-[1]Overall!N$9</f>
        <v>-420453.72524</v>
      </c>
    </row>
    <row r="367" spans="2:27" x14ac:dyDescent="0.2">
      <c r="B367" s="187"/>
      <c r="C367" s="186"/>
      <c r="D367" s="186"/>
      <c r="E367" s="186"/>
      <c r="F367" s="186"/>
      <c r="G367" s="186">
        <f>+SUM(G365:G366)</f>
        <v>5484.9999999998836</v>
      </c>
      <c r="H367" s="186">
        <f t="shared" ref="H367:AA367" si="64">+SUM(H365:H366)</f>
        <v>-10000.79999999993</v>
      </c>
      <c r="I367" s="186">
        <f t="shared" si="64"/>
        <v>-72529.759999999893</v>
      </c>
      <c r="J367" s="186">
        <f t="shared" si="64"/>
        <v>-140091.45759999985</v>
      </c>
      <c r="K367" s="186">
        <f t="shared" si="64"/>
        <v>-125218.77217599971</v>
      </c>
      <c r="L367" s="186">
        <f>+SUM(L365:L366)</f>
        <v>259882.21000000025</v>
      </c>
      <c r="M367" s="186">
        <f t="shared" si="64"/>
        <v>235706.39508000039</v>
      </c>
      <c r="N367" s="186">
        <f t="shared" si="64"/>
        <v>-543220.55232000025</v>
      </c>
      <c r="O367" s="186">
        <f>+SUM(O365:O366)</f>
        <v>163075.09464875513</v>
      </c>
      <c r="P367" s="186">
        <f t="shared" ref="P367:S367" si="65">+SUM(P365:P366)</f>
        <v>6908.6883277133602</v>
      </c>
      <c r="Q367" s="186">
        <f t="shared" si="65"/>
        <v>-198111.28940448986</v>
      </c>
      <c r="R367" s="186">
        <f t="shared" si="65"/>
        <v>-108279.79873632485</v>
      </c>
      <c r="S367" s="186">
        <f t="shared" si="65"/>
        <v>-163517.13206965846</v>
      </c>
      <c r="T367" s="186">
        <f>+SUM(T365:T366)+T368</f>
        <v>-770326.53206965828</v>
      </c>
      <c r="U367" s="186">
        <f t="shared" ref="U367:Z367" si="66">+SUM(U365:U366)+U368</f>
        <v>-119457.06540299184</v>
      </c>
      <c r="V367" s="186">
        <f t="shared" si="66"/>
        <v>-109984.06540299219</v>
      </c>
      <c r="W367" s="186">
        <f t="shared" si="66"/>
        <v>-715109.32095854706</v>
      </c>
      <c r="X367" s="186">
        <f t="shared" si="66"/>
        <v>-39909.720958547114</v>
      </c>
      <c r="Y367" s="186">
        <f t="shared" si="66"/>
        <v>-62921.075625213853</v>
      </c>
      <c r="Z367" s="186">
        <f t="shared" si="66"/>
        <v>-846799.76762521407</v>
      </c>
      <c r="AA367" s="186">
        <f t="shared" si="64"/>
        <v>-610893.73701599846</v>
      </c>
    </row>
    <row r="368" spans="2:27" x14ac:dyDescent="0.2">
      <c r="B368" s="187"/>
      <c r="C368" s="186"/>
      <c r="D368" s="186"/>
      <c r="E368" s="186" t="s">
        <v>134</v>
      </c>
      <c r="F368" s="186"/>
      <c r="G368" s="186"/>
      <c r="H368" s="186"/>
      <c r="I368" s="186"/>
      <c r="J368" s="186"/>
      <c r="K368" s="186"/>
      <c r="L368" s="186"/>
      <c r="M368" s="186"/>
      <c r="N368" s="186"/>
      <c r="O368" s="186"/>
      <c r="P368" s="186"/>
      <c r="Q368" s="186"/>
      <c r="R368" s="186"/>
      <c r="S368" s="186"/>
      <c r="T368" s="186">
        <f>SUM(T164:T178)</f>
        <v>-468750</v>
      </c>
      <c r="U368" s="186"/>
      <c r="V368" s="186"/>
      <c r="W368" s="186">
        <f>SUM(W164:W178)</f>
        <v>-468750</v>
      </c>
      <c r="X368" s="186"/>
      <c r="Y368" s="186"/>
      <c r="Z368" s="186">
        <f>SUM(Z164:Z178)</f>
        <v>-468750</v>
      </c>
    </row>
    <row r="369" spans="2:26" x14ac:dyDescent="0.2">
      <c r="B369" s="187"/>
      <c r="C369" s="186"/>
      <c r="D369" s="186"/>
      <c r="E369" s="186"/>
      <c r="F369" s="186"/>
      <c r="G369" s="186"/>
      <c r="H369" s="186"/>
      <c r="I369" s="186"/>
      <c r="J369" s="186"/>
      <c r="K369" s="186"/>
      <c r="L369" s="186"/>
      <c r="M369" s="186"/>
      <c r="N369" s="186"/>
      <c r="O369" s="186"/>
      <c r="P369" s="186"/>
      <c r="Q369" s="186"/>
      <c r="R369" s="186"/>
      <c r="S369" s="186"/>
      <c r="T369" s="186"/>
      <c r="U369" s="186"/>
      <c r="V369" s="186"/>
      <c r="W369" s="186"/>
      <c r="X369" s="186"/>
      <c r="Y369" s="186"/>
      <c r="Z369" s="186"/>
    </row>
    <row r="370" spans="2:26" x14ac:dyDescent="0.2">
      <c r="B370" s="187"/>
      <c r="C370" s="186"/>
      <c r="D370" s="186"/>
      <c r="E370" s="186"/>
      <c r="F370" s="186"/>
      <c r="G370" s="186"/>
      <c r="H370" s="186"/>
      <c r="I370" s="186"/>
      <c r="J370" s="186"/>
      <c r="K370" s="186"/>
      <c r="L370" s="186"/>
      <c r="M370" s="186"/>
      <c r="N370" s="186"/>
      <c r="O370" s="186"/>
      <c r="P370" s="186"/>
      <c r="Q370" s="186"/>
      <c r="R370" s="186"/>
      <c r="S370" s="186"/>
      <c r="T370" s="186"/>
      <c r="U370" s="186"/>
      <c r="V370" s="186"/>
      <c r="W370" s="186"/>
      <c r="X370" s="186"/>
      <c r="Y370" s="186"/>
      <c r="Z370" s="186"/>
    </row>
  </sheetData>
  <pageMargins left="0.7" right="0.7" top="0.75" bottom="0.75" header="0.3" footer="0.3"/>
  <pageSetup paperSize="9" scale="64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9F566-EF73-4525-9FEB-F7459CC124A5}">
  <sheetPr>
    <tabColor rgb="FFFFFF00"/>
  </sheetPr>
  <dimension ref="A1:R14"/>
  <sheetViews>
    <sheetView workbookViewId="0"/>
  </sheetViews>
  <sheetFormatPr defaultRowHeight="15" x14ac:dyDescent="0.25"/>
  <cols>
    <col min="1" max="1" width="16.28515625" style="176" customWidth="1"/>
    <col min="2" max="3" width="16.28515625" style="225" customWidth="1"/>
    <col min="4" max="6" width="16.28515625" style="176" customWidth="1"/>
    <col min="9" max="10" width="16.28515625" style="225" customWidth="1"/>
    <col min="11" max="13" width="16.28515625" style="176" customWidth="1"/>
  </cols>
  <sheetData>
    <row r="1" spans="1:18" x14ac:dyDescent="0.25">
      <c r="C1" s="232" t="s">
        <v>150</v>
      </c>
      <c r="D1" s="231" t="s">
        <v>151</v>
      </c>
      <c r="E1" s="231" t="s">
        <v>150</v>
      </c>
      <c r="F1" s="231" t="s">
        <v>152</v>
      </c>
      <c r="G1" s="165"/>
      <c r="H1" s="165"/>
      <c r="I1" s="232"/>
      <c r="J1" s="232" t="s">
        <v>150</v>
      </c>
      <c r="K1" s="231" t="s">
        <v>151</v>
      </c>
      <c r="L1" s="231" t="s">
        <v>150</v>
      </c>
      <c r="M1" s="231" t="s">
        <v>152</v>
      </c>
    </row>
    <row r="2" spans="1:18" ht="15.75" thickBot="1" x14ac:dyDescent="0.3">
      <c r="C2" s="226" t="s">
        <v>153</v>
      </c>
      <c r="D2" s="226" t="s">
        <v>153</v>
      </c>
      <c r="E2" s="226" t="s">
        <v>154</v>
      </c>
      <c r="F2" s="226" t="s">
        <v>154</v>
      </c>
      <c r="G2" s="165"/>
      <c r="H2" s="165"/>
      <c r="I2" s="232"/>
      <c r="J2" s="226" t="s">
        <v>153</v>
      </c>
      <c r="K2" s="226" t="s">
        <v>153</v>
      </c>
      <c r="L2" s="226" t="s">
        <v>154</v>
      </c>
      <c r="M2" s="226" t="s">
        <v>154</v>
      </c>
      <c r="O2" s="226" t="s">
        <v>155</v>
      </c>
      <c r="Q2" s="226" t="s">
        <v>156</v>
      </c>
    </row>
    <row r="3" spans="1:18" ht="15.75" thickBot="1" x14ac:dyDescent="0.3">
      <c r="A3"/>
      <c r="B3" s="323">
        <v>130</v>
      </c>
      <c r="C3" s="227">
        <f>SUMIFS('TUNZ Extracted TB'!$G:$G,'TUNZ Extracted TB'!$R:$R,C$2,'TUNZ Extracted TB'!$C:$C,$B3)</f>
        <v>-104162.52000000002</v>
      </c>
      <c r="D3" s="227">
        <f>SUMIFS('TUNZ Extracted TB'!$H:$H,'TUNZ Extracted TB'!$R:$R,D$2,'TUNZ Extracted TB'!$C:$C,$B3)</f>
        <v>-1302384.1099999999</v>
      </c>
      <c r="E3" s="230">
        <f>SUMIFS('TUNZ Extracted TB'!$G:$G,'TUNZ Extracted TB'!$R:$R,E$2,'TUNZ Extracted TB'!$C:$C,$B3)</f>
        <v>74180.570000000007</v>
      </c>
      <c r="F3" s="230">
        <f>SUMIFS('TUNZ Extracted TB'!$H:$H,'TUNZ Extracted TB'!$R:$R,F$2,'TUNZ Extracted TB'!$C:$C,$B3)</f>
        <v>734488.94</v>
      </c>
      <c r="I3" s="323">
        <v>140</v>
      </c>
      <c r="J3" s="227">
        <f>SUMIFS('TUNZ Extracted TB'!$G:$G,'TUNZ Extracted TB'!$R:$R,J$2,'TUNZ Extracted TB'!$C:$C,$I3)</f>
        <v>-201799.14000000004</v>
      </c>
      <c r="K3" s="227">
        <f>SUMIFS('TUNZ Extracted TB'!$H:$H,'TUNZ Extracted TB'!$R:$R,K$2,'TUNZ Extracted TB'!$C:$C,$I3)</f>
        <v>-2291671.33</v>
      </c>
      <c r="L3" s="227">
        <f>SUMIFS('TUNZ Extracted TB'!$G:$G,'TUNZ Extracted TB'!$R:$R,L$2,'TUNZ Extracted TB'!$C:$C,$I3)</f>
        <v>115301.24999999997</v>
      </c>
      <c r="M3" s="230">
        <f>SUMIFS('TUNZ Extracted TB'!$H:$H,'TUNZ Extracted TB'!$R:$R,M$2,'TUNZ Extracted TB'!$C:$C,$I3)</f>
        <v>1161446.1600000001</v>
      </c>
      <c r="O3" s="149" t="s">
        <v>153</v>
      </c>
      <c r="P3" s="149" t="s">
        <v>157</v>
      </c>
      <c r="Q3" s="149" t="s">
        <v>153</v>
      </c>
      <c r="R3" s="149" t="s">
        <v>157</v>
      </c>
    </row>
    <row r="4" spans="1:18" ht="15.75" thickBot="1" x14ac:dyDescent="0.3">
      <c r="A4"/>
      <c r="B4" s="324"/>
      <c r="C4" s="288">
        <f>C3/$C$11</f>
        <v>0.5153259248778258</v>
      </c>
      <c r="D4" s="288">
        <f>D3/$D$11</f>
        <v>0.49733539497357082</v>
      </c>
      <c r="E4" s="289">
        <f>E3/$E$11</f>
        <v>0.51002899194830043</v>
      </c>
      <c r="F4" s="289">
        <f>F3/$F$11</f>
        <v>0.58916898424662745</v>
      </c>
      <c r="I4" s="324"/>
      <c r="J4" s="288">
        <f>J3/$J$13</f>
        <v>0.41068527872604149</v>
      </c>
      <c r="K4" s="288">
        <f>K3/$K$13</f>
        <v>0.42266035890737208</v>
      </c>
      <c r="L4" s="288">
        <f>L3/$L$13</f>
        <v>0.40091271501579856</v>
      </c>
      <c r="M4" s="289">
        <f>M3/$M$13</f>
        <v>0.390405884099157</v>
      </c>
      <c r="N4" s="175">
        <v>0.4</v>
      </c>
      <c r="O4" s="149" t="s">
        <v>158</v>
      </c>
      <c r="P4" s="149" t="s">
        <v>158</v>
      </c>
      <c r="Q4" s="149" t="s">
        <v>158</v>
      </c>
      <c r="R4" s="149" t="s">
        <v>159</v>
      </c>
    </row>
    <row r="5" spans="1:18" ht="15.75" thickBot="1" x14ac:dyDescent="0.3">
      <c r="A5"/>
      <c r="B5" s="323">
        <v>230</v>
      </c>
      <c r="C5" s="227">
        <f>SUMIFS('TUNZ Extracted TB'!$G:$G,'TUNZ Extracted TB'!$R:$R,C$2,'TUNZ Extracted TB'!$C:$C,$B5)</f>
        <v>-43627.510000000024</v>
      </c>
      <c r="D5" s="227">
        <f>SUMIFS('TUNZ Extracted TB'!$H:$H,'TUNZ Extracted TB'!$R:$R,D$2,'TUNZ Extracted TB'!$C:$C,$B5)</f>
        <v>-664961.76000000071</v>
      </c>
      <c r="E5" s="230">
        <f>SUMIFS('TUNZ Extracted TB'!$G:$G,'TUNZ Extracted TB'!$R:$R,E$2,'TUNZ Extracted TB'!$C:$C,$B5)</f>
        <v>51728.520000000011</v>
      </c>
      <c r="F5" s="230">
        <f>SUMIFS('TUNZ Extracted TB'!$H:$H,'TUNZ Extracted TB'!$R:$R,F$2,'TUNZ Extracted TB'!$C:$C,$B5)</f>
        <v>355190.08</v>
      </c>
      <c r="I5" s="323">
        <v>147</v>
      </c>
      <c r="J5" s="227">
        <f>SUMIFS('TUNZ Extracted TB'!$G:$G,'TUNZ Extracted TB'!$R:$R,J$2,'TUNZ Extracted TB'!$C:$C,$I5)</f>
        <v>0</v>
      </c>
      <c r="K5" s="227">
        <f>SUMIFS('TUNZ Extracted TB'!$H:$H,'TUNZ Extracted TB'!$R:$R,K$2,'TUNZ Extracted TB'!$C:$C,$I5)</f>
        <v>-2895.4899999999993</v>
      </c>
      <c r="L5" s="227">
        <f>SUMIFS('TUNZ Extracted TB'!$G:$G,'TUNZ Extracted TB'!$R:$R,L$2,'TUNZ Extracted TB'!$C:$C,$I5)</f>
        <v>0</v>
      </c>
      <c r="M5" s="230">
        <f>SUMIFS('TUNZ Extracted TB'!$H:$H,'TUNZ Extracted TB'!$R:$R,M$2,'TUNZ Extracted TB'!$C:$C,$I5)</f>
        <v>7780.7199999999993</v>
      </c>
    </row>
    <row r="6" spans="1:18" ht="15.75" thickBot="1" x14ac:dyDescent="0.3">
      <c r="A6"/>
      <c r="B6" s="324"/>
      <c r="C6" s="288">
        <f>C5/$C$11</f>
        <v>0.21583950677140495</v>
      </c>
      <c r="D6" s="288">
        <f>D5/$D$11</f>
        <v>0.25392587103348579</v>
      </c>
      <c r="E6" s="289">
        <f>E5/$E$11</f>
        <v>0.35565977601112397</v>
      </c>
      <c r="F6" s="289">
        <f>F5/$F$11</f>
        <v>0.28491508483174488</v>
      </c>
      <c r="I6" s="324"/>
      <c r="J6" s="288">
        <f>J5/$J$13</f>
        <v>0</v>
      </c>
      <c r="K6" s="288">
        <f>K5/$K$13</f>
        <v>5.3402459008496063E-4</v>
      </c>
      <c r="L6" s="288">
        <f>L5/$L$13</f>
        <v>0</v>
      </c>
      <c r="M6" s="289">
        <f>M5/$M$13</f>
        <v>2.6153936145675424E-3</v>
      </c>
      <c r="N6" s="175">
        <v>0.08</v>
      </c>
      <c r="O6" s="149" t="s">
        <v>159</v>
      </c>
      <c r="P6" s="149" t="s">
        <v>160</v>
      </c>
      <c r="Q6" s="149" t="s">
        <v>159</v>
      </c>
      <c r="R6" s="149" t="s">
        <v>160</v>
      </c>
    </row>
    <row r="7" spans="1:18" ht="15.75" thickBot="1" x14ac:dyDescent="0.3">
      <c r="A7"/>
      <c r="B7" s="323">
        <v>330</v>
      </c>
      <c r="C7" s="227">
        <f>SUMIFS('TUNZ Extracted TB'!$G:$G,'TUNZ Extracted TB'!$R:$R,C$2,'TUNZ Extracted TB'!$C:$C,$B7)</f>
        <v>-25877.540000000005</v>
      </c>
      <c r="D7" s="227">
        <f>SUMIFS('TUNZ Extracted TB'!$H:$H,'TUNZ Extracted TB'!$R:$R,D$2,'TUNZ Extracted TB'!$C:$C,$B7)</f>
        <v>-255970.56999999972</v>
      </c>
      <c r="E7" s="230">
        <f>SUMIFS('TUNZ Extracted TB'!$G:$G,'TUNZ Extracted TB'!$R:$R,E$2,'TUNZ Extracted TB'!$C:$C,$B7)</f>
        <v>8267.98</v>
      </c>
      <c r="F7" s="230">
        <f>SUMIFS('TUNZ Extracted TB'!$H:$H,'TUNZ Extracted TB'!$R:$R,F$2,'TUNZ Extracted TB'!$C:$C,$B7)</f>
        <v>70614.23000000001</v>
      </c>
      <c r="I7" s="323">
        <v>240</v>
      </c>
      <c r="J7" s="227">
        <f>SUMIFS('TUNZ Extracted TB'!$G:$G,'TUNZ Extracted TB'!$R:$R,J$2,'TUNZ Extracted TB'!$C:$C,$I7)</f>
        <v>-116047.33000000005</v>
      </c>
      <c r="K7" s="227">
        <f>SUMIFS('TUNZ Extracted TB'!$H:$H,'TUNZ Extracted TB'!$R:$R,K$2,'TUNZ Extracted TB'!$C:$C,$I7)</f>
        <v>-1312108.5100000005</v>
      </c>
      <c r="L7" s="227">
        <f>SUMIFS('TUNZ Extracted TB'!$G:$G,'TUNZ Extracted TB'!$R:$R,L$2,'TUNZ Extracted TB'!$C:$C,$I7)</f>
        <v>58795.780000000006</v>
      </c>
      <c r="M7" s="230">
        <f>SUMIFS('TUNZ Extracted TB'!$H:$H,'TUNZ Extracted TB'!$R:$R,M$2,'TUNZ Extracted TB'!$C:$C,$I7)</f>
        <v>654790.57999999996</v>
      </c>
    </row>
    <row r="8" spans="1:18" ht="15.75" thickBot="1" x14ac:dyDescent="0.3">
      <c r="B8" s="324"/>
      <c r="C8" s="288">
        <f>C7/$C$11</f>
        <v>0.12802462185115079</v>
      </c>
      <c r="D8" s="288">
        <f>D7/$D$11</f>
        <v>9.7746297390375811E-2</v>
      </c>
      <c r="E8" s="289">
        <f>E7/$E$11</f>
        <v>5.6846550314303447E-2</v>
      </c>
      <c r="F8" s="289">
        <f>F7/$F$11</f>
        <v>5.6643077787471838E-2</v>
      </c>
      <c r="I8" s="324"/>
      <c r="J8" s="288">
        <f>J7/$J$13</f>
        <v>0.23617013465202541</v>
      </c>
      <c r="K8" s="288">
        <f>K7/$K$13</f>
        <v>0.24199641829180513</v>
      </c>
      <c r="L8" s="288">
        <f>L7/$L$13</f>
        <v>0.2044381634307659</v>
      </c>
      <c r="M8" s="289">
        <f>M7/$M$13</f>
        <v>0.22009982389945629</v>
      </c>
      <c r="N8" s="175">
        <v>0.22</v>
      </c>
      <c r="O8" s="149" t="s">
        <v>160</v>
      </c>
      <c r="P8" s="149" t="s">
        <v>158</v>
      </c>
      <c r="Q8" s="149" t="s">
        <v>159</v>
      </c>
      <c r="R8" s="149" t="s">
        <v>158</v>
      </c>
    </row>
    <row r="9" spans="1:18" ht="15.75" thickBot="1" x14ac:dyDescent="0.3">
      <c r="B9" s="323">
        <v>430</v>
      </c>
      <c r="C9" s="227">
        <f>SUMIFS('TUNZ Extracted TB'!$G:$G,'TUNZ Extracted TB'!$R:$R,C$2,'TUNZ Extracted TB'!$C:$C,$B9)</f>
        <v>-28461.829999999998</v>
      </c>
      <c r="D9" s="227">
        <f>SUMIFS('TUNZ Extracted TB'!$H:$H,'TUNZ Extracted TB'!$R:$R,D$2,'TUNZ Extracted TB'!$C:$C,$B9)</f>
        <v>-395407.51000000018</v>
      </c>
      <c r="E9" s="230">
        <f>SUMIFS('TUNZ Extracted TB'!$G:$G,'TUNZ Extracted TB'!$R:$R,E$2,'TUNZ Extracted TB'!$C:$C,$B9)</f>
        <v>11266.76</v>
      </c>
      <c r="F9" s="230">
        <f>SUMIFS('TUNZ Extracted TB'!$H:$H,'TUNZ Extracted TB'!$R:$R,F$2,'TUNZ Extracted TB'!$C:$C,$B9)</f>
        <v>86359.17</v>
      </c>
      <c r="I9" s="323">
        <v>340</v>
      </c>
      <c r="J9" s="227">
        <f>SUMIFS('TUNZ Extracted TB'!$G:$G,'TUNZ Extracted TB'!$R:$R,J$2,'TUNZ Extracted TB'!$C:$C,$I9)</f>
        <v>-76286.210000000006</v>
      </c>
      <c r="K9" s="227">
        <f>SUMIFS('TUNZ Extracted TB'!$H:$H,'TUNZ Extracted TB'!$R:$R,K$2,'TUNZ Extracted TB'!$C:$C,$I9)</f>
        <v>-949210.33999999973</v>
      </c>
      <c r="L9" s="227">
        <f>SUMIFS('TUNZ Extracted TB'!$G:$G,'TUNZ Extracted TB'!$R:$R,L$2,'TUNZ Extracted TB'!$C:$C,$I9)</f>
        <v>53659.95</v>
      </c>
      <c r="M9" s="230">
        <f>SUMIFS('TUNZ Extracted TB'!$H:$H,'TUNZ Extracted TB'!$R:$R,M$2,'TUNZ Extracted TB'!$C:$C,$I9)</f>
        <v>543747.41</v>
      </c>
    </row>
    <row r="10" spans="1:18" ht="15.75" thickBot="1" x14ac:dyDescent="0.3">
      <c r="B10" s="324"/>
      <c r="C10" s="288">
        <f>C9/$C$11</f>
        <v>0.14080994649961853</v>
      </c>
      <c r="D10" s="288">
        <f>D9/$D$11</f>
        <v>0.15099243660256748</v>
      </c>
      <c r="E10" s="289">
        <f>E9/$E$11</f>
        <v>7.7464681726271897E-2</v>
      </c>
      <c r="F10" s="289">
        <f>F9/$F$11</f>
        <v>6.9272853134155876E-2</v>
      </c>
      <c r="I10" s="324"/>
      <c r="J10" s="288">
        <f>J9/$J$13</f>
        <v>0.15525152097676595</v>
      </c>
      <c r="K10" s="288">
        <f>K9/$K$13</f>
        <v>0.17506593451295152</v>
      </c>
      <c r="L10" s="288">
        <f>L9/$L$13</f>
        <v>0.18658042512212145</v>
      </c>
      <c r="M10" s="289">
        <f>M9/$M$13</f>
        <v>0.182774024004416</v>
      </c>
      <c r="N10" s="175">
        <v>0.17</v>
      </c>
      <c r="O10" s="149" t="s">
        <v>159</v>
      </c>
      <c r="P10" s="149" t="s">
        <v>159</v>
      </c>
      <c r="Q10" s="149" t="s">
        <v>159</v>
      </c>
      <c r="R10" s="149" t="s">
        <v>159</v>
      </c>
    </row>
    <row r="11" spans="1:18" ht="15.75" thickBot="1" x14ac:dyDescent="0.3">
      <c r="B11" s="323" t="s">
        <v>161</v>
      </c>
      <c r="C11" s="228">
        <f>SUM(C3+C5+C7+C9)</f>
        <v>-202129.40000000002</v>
      </c>
      <c r="D11" s="228">
        <f>SUM(D3+D5+D7+D9)</f>
        <v>-2618723.9500000007</v>
      </c>
      <c r="E11" s="229">
        <f>SUM(E3+E5+E7+E9)</f>
        <v>145443.83000000005</v>
      </c>
      <c r="F11" s="229">
        <f>SUM(F3+F5+F7+F9)</f>
        <v>1246652.42</v>
      </c>
      <c r="I11" s="323">
        <v>440</v>
      </c>
      <c r="J11" s="227">
        <f>SUMIFS('TUNZ Extracted TB'!$G:$G,'TUNZ Extracted TB'!$R:$R,J$2,'TUNZ Extracted TB'!$C:$C,$I11)</f>
        <v>-97239.059999999983</v>
      </c>
      <c r="K11" s="227">
        <f>SUMIFS('TUNZ Extracted TB'!$H:$H,'TUNZ Extracted TB'!$R:$R,K$2,'TUNZ Extracted TB'!$C:$C,$I11)</f>
        <v>-866130.56999999983</v>
      </c>
      <c r="L11" s="227">
        <f>SUMIFS('TUNZ Extracted TB'!$G:$G,'TUNZ Extracted TB'!$R:$R,L$2,'TUNZ Extracted TB'!$C:$C,$I11)</f>
        <v>59839.910000000011</v>
      </c>
      <c r="M11" s="230">
        <f>SUMIFS('TUNZ Extracted TB'!$H:$H,'TUNZ Extracted TB'!$R:$R,M$2,'TUNZ Extracted TB'!$C:$C,$I11)</f>
        <v>607206.06999999995</v>
      </c>
    </row>
    <row r="12" spans="1:18" ht="15.75" thickBot="1" x14ac:dyDescent="0.3">
      <c r="B12" s="324"/>
      <c r="C12" s="288">
        <f>C4+C6+C8+C10</f>
        <v>1</v>
      </c>
      <c r="D12" s="288">
        <f>D4+D6+D8+D10</f>
        <v>0.99999999999999978</v>
      </c>
      <c r="E12" s="289">
        <f>E4+E6+E8+E10</f>
        <v>0.99999999999999967</v>
      </c>
      <c r="F12" s="289">
        <f>F4+F6+F8+F10</f>
        <v>1</v>
      </c>
      <c r="I12" s="324"/>
      <c r="J12" s="288">
        <f>J11/$J$13</f>
        <v>0.19789306564516707</v>
      </c>
      <c r="K12" s="288">
        <f>K11/$K$13</f>
        <v>0.1597432636977863</v>
      </c>
      <c r="L12" s="288">
        <f>L11/$L$13</f>
        <v>0.20806869643131401</v>
      </c>
      <c r="M12" s="289">
        <f>M11/$M$13</f>
        <v>0.20410487438240318</v>
      </c>
      <c r="N12" s="175">
        <v>0.14000000000000001</v>
      </c>
      <c r="O12" s="149" t="s">
        <v>159</v>
      </c>
      <c r="P12" s="149" t="s">
        <v>159</v>
      </c>
      <c r="Q12" s="149" t="s">
        <v>159</v>
      </c>
      <c r="R12" s="149" t="s">
        <v>160</v>
      </c>
    </row>
    <row r="13" spans="1:18" ht="15.75" thickBot="1" x14ac:dyDescent="0.3">
      <c r="I13" s="323" t="s">
        <v>161</v>
      </c>
      <c r="J13" s="228">
        <f>SUM(J3+J5+J7+J9+J11)</f>
        <v>-491371.74000000011</v>
      </c>
      <c r="K13" s="228">
        <f>SUM(K3+K5+K7+K9+K11)</f>
        <v>-5422016.2400000002</v>
      </c>
      <c r="L13" s="228">
        <f>SUM(L3+L5+L7+L9+L11)</f>
        <v>287596.89</v>
      </c>
      <c r="M13" s="229">
        <f>SUM(M3+M5+M7+M9+M11)</f>
        <v>2974970.94</v>
      </c>
    </row>
    <row r="14" spans="1:18" ht="15.75" thickBot="1" x14ac:dyDescent="0.3">
      <c r="I14" s="324"/>
      <c r="J14" s="288">
        <f>J4+J6+J8+J10+J12</f>
        <v>0.99999999999999989</v>
      </c>
      <c r="K14" s="288">
        <f>K4+K6+K8+K10+K12</f>
        <v>1</v>
      </c>
      <c r="L14" s="288">
        <f>L4+L6+L8+L10+L12</f>
        <v>0.99999999999999989</v>
      </c>
      <c r="M14" s="289">
        <f>M4+M6+M8+M10+M12</f>
        <v>1</v>
      </c>
    </row>
  </sheetData>
  <mergeCells count="11">
    <mergeCell ref="I13:I14"/>
    <mergeCell ref="B3:B4"/>
    <mergeCell ref="B5:B6"/>
    <mergeCell ref="B7:B8"/>
    <mergeCell ref="B9:B10"/>
    <mergeCell ref="B11:B12"/>
    <mergeCell ref="I3:I4"/>
    <mergeCell ref="I5:I6"/>
    <mergeCell ref="I7:I8"/>
    <mergeCell ref="I9:I10"/>
    <mergeCell ref="I11:I12"/>
  </mergeCells>
  <pageMargins left="0.7" right="0.7" top="0.75" bottom="0.75" header="0.3" footer="0.3"/>
  <pageSetup paperSize="9" scale="44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DC9CB-4393-4F70-937C-84A009D57AAA}">
  <sheetPr>
    <tabColor rgb="FFFFFF00"/>
  </sheetPr>
  <dimension ref="A1:AG86"/>
  <sheetViews>
    <sheetView workbookViewId="0"/>
  </sheetViews>
  <sheetFormatPr defaultColWidth="9.140625" defaultRowHeight="11.25" outlineLevelRow="1" outlineLevelCol="1" x14ac:dyDescent="0.2"/>
  <cols>
    <col min="1" max="1" width="9.140625" style="184"/>
    <col min="2" max="2" width="4.42578125" style="184" bestFit="1" customWidth="1"/>
    <col min="3" max="3" width="5.5703125" style="184" hidden="1" customWidth="1" outlineLevel="1"/>
    <col min="4" max="4" width="6" style="184" hidden="1" customWidth="1" outlineLevel="1"/>
    <col min="5" max="5" width="5.42578125" style="184" hidden="1" customWidth="1" outlineLevel="1"/>
    <col min="6" max="6" width="5" style="184" hidden="1" customWidth="1" outlineLevel="1"/>
    <col min="7" max="8" width="8.7109375" style="184" hidden="1" customWidth="1" outlineLevel="1"/>
    <col min="9" max="9" width="8.7109375" style="184" bestFit="1" customWidth="1" collapsed="1"/>
    <col min="10" max="15" width="8.7109375" style="184" bestFit="1" customWidth="1"/>
    <col min="16" max="25" width="10.85546875" style="184" customWidth="1"/>
    <col min="26" max="26" width="9.5703125" style="212" bestFit="1" customWidth="1"/>
    <col min="27" max="27" width="9.140625" style="184"/>
    <col min="28" max="28" width="12.140625" style="184" bestFit="1" customWidth="1"/>
    <col min="29" max="29" width="9.140625" style="184" customWidth="1" outlineLevel="1"/>
    <col min="30" max="30" width="8.7109375" style="184" customWidth="1" outlineLevel="1"/>
    <col min="31" max="31" width="11.7109375" style="184" bestFit="1" customWidth="1"/>
    <col min="32" max="32" width="16.28515625" style="184" bestFit="1" customWidth="1"/>
    <col min="33" max="33" width="16" style="184" bestFit="1" customWidth="1"/>
    <col min="34" max="16384" width="9.140625" style="184"/>
  </cols>
  <sheetData>
    <row r="1" spans="1:33" s="181" customFormat="1" x14ac:dyDescent="0.2">
      <c r="B1" s="182"/>
      <c r="C1" s="183">
        <v>44652</v>
      </c>
      <c r="D1" s="183">
        <v>44682</v>
      </c>
      <c r="E1" s="183">
        <v>44713</v>
      </c>
      <c r="F1" s="183">
        <v>44743</v>
      </c>
      <c r="G1" s="183">
        <v>44774</v>
      </c>
      <c r="H1" s="183">
        <v>44805</v>
      </c>
      <c r="I1" s="183">
        <v>44835</v>
      </c>
      <c r="J1" s="183">
        <v>44866</v>
      </c>
      <c r="K1" s="183">
        <v>44896</v>
      </c>
      <c r="L1" s="183">
        <v>44927</v>
      </c>
      <c r="M1" s="183">
        <v>44958</v>
      </c>
      <c r="N1" s="183">
        <v>44986</v>
      </c>
      <c r="O1" s="183">
        <v>45017</v>
      </c>
      <c r="P1" s="183">
        <v>45047</v>
      </c>
      <c r="Q1" s="183">
        <v>45078</v>
      </c>
      <c r="R1" s="183">
        <v>45108</v>
      </c>
      <c r="S1" s="183">
        <v>45139</v>
      </c>
      <c r="T1" s="183">
        <v>45170</v>
      </c>
      <c r="U1" s="183">
        <v>45200</v>
      </c>
      <c r="V1" s="183">
        <v>45231</v>
      </c>
      <c r="W1" s="183">
        <v>45261</v>
      </c>
      <c r="X1" s="183">
        <v>45292</v>
      </c>
      <c r="Y1" s="183">
        <v>45323</v>
      </c>
      <c r="Z1" s="183">
        <v>45352</v>
      </c>
    </row>
    <row r="3" spans="1:33" x14ac:dyDescent="0.2">
      <c r="A3" s="184" t="s">
        <v>162</v>
      </c>
      <c r="C3" s="190"/>
      <c r="D3" s="190"/>
      <c r="E3" s="190"/>
      <c r="F3" s="190"/>
      <c r="G3" s="190">
        <f>+[1]Parts!F$4</f>
        <v>1776000</v>
      </c>
      <c r="H3" s="190">
        <f>+[1]Parts!G$4</f>
        <v>1793760</v>
      </c>
      <c r="I3" s="190">
        <f>+[1]Parts!H$4</f>
        <v>1811697.6</v>
      </c>
      <c r="J3" s="190">
        <f>+[1]Parts!I$4</f>
        <v>1829814.5760000001</v>
      </c>
      <c r="K3" s="190">
        <f>+[1]Parts!J$4</f>
        <v>1848112.7217600001</v>
      </c>
      <c r="L3" s="190">
        <f>+[1]Parts!K$4</f>
        <v>1183886</v>
      </c>
      <c r="M3" s="190">
        <f>+[1]Parts!L$4</f>
        <v>1174539</v>
      </c>
      <c r="N3" s="190">
        <f>+[1]Parts!M$4</f>
        <v>1680629</v>
      </c>
      <c r="O3" s="190">
        <f>+[1]Parts!Q$4</f>
        <v>1358000</v>
      </c>
      <c r="P3" s="190">
        <f>+[1]Parts!R$4</f>
        <v>1532138</v>
      </c>
      <c r="Q3" s="190">
        <f>+[1]Parts!S$4</f>
        <v>1502000</v>
      </c>
      <c r="R3" s="190">
        <f>+[1]Parts!T$4</f>
        <v>1646000</v>
      </c>
      <c r="S3" s="190">
        <f>+[1]Parts!U$4</f>
        <v>1930000</v>
      </c>
      <c r="T3" s="190">
        <f>+[1]Parts!V$4</f>
        <v>1768000</v>
      </c>
      <c r="U3" s="190">
        <f>+[1]Parts!W$4</f>
        <v>1552000</v>
      </c>
      <c r="V3" s="190">
        <f>+[1]Parts!X$4</f>
        <v>1475000</v>
      </c>
      <c r="W3" s="190">
        <f>+[1]Parts!Y$4</f>
        <v>1365000</v>
      </c>
      <c r="X3" s="190">
        <f>+[1]Parts!Z$4</f>
        <v>1365000</v>
      </c>
      <c r="Y3" s="190">
        <f>+[1]Parts!AA$4</f>
        <v>1365000</v>
      </c>
      <c r="Z3" s="190">
        <f>+[1]Parts!AB$4</f>
        <v>1785000</v>
      </c>
      <c r="AA3" s="190"/>
    </row>
    <row r="4" spans="1:33" x14ac:dyDescent="0.2">
      <c r="A4" s="184" t="s">
        <v>163</v>
      </c>
      <c r="C4" s="190"/>
      <c r="D4" s="190"/>
      <c r="E4" s="190"/>
      <c r="F4" s="190"/>
      <c r="G4" s="190">
        <f>G5-G3</f>
        <v>-1474080</v>
      </c>
      <c r="H4" s="190">
        <f t="shared" ref="H4:N4" si="0">H5-H3</f>
        <v>-1488820.8</v>
      </c>
      <c r="I4" s="190">
        <f t="shared" si="0"/>
        <v>-1503709.0079999999</v>
      </c>
      <c r="J4" s="190">
        <f t="shared" si="0"/>
        <v>-1518746.0980800001</v>
      </c>
      <c r="K4" s="190">
        <f t="shared" si="0"/>
        <v>-1533933.5590608001</v>
      </c>
      <c r="L4" s="190">
        <f>L5-L3</f>
        <v>-970786.52</v>
      </c>
      <c r="M4" s="190">
        <f t="shared" si="0"/>
        <v>-963121.98</v>
      </c>
      <c r="N4" s="190">
        <f t="shared" si="0"/>
        <v>-1275578.78</v>
      </c>
      <c r="O4" s="190">
        <f t="shared" ref="O4:Z4" si="1">O5-O3</f>
        <v>-1139740</v>
      </c>
      <c r="P4" s="190">
        <f t="shared" si="1"/>
        <v>-1270142.402</v>
      </c>
      <c r="Q4" s="190">
        <f t="shared" si="1"/>
        <v>-1231640</v>
      </c>
      <c r="R4" s="190">
        <f t="shared" si="1"/>
        <v>-1349720</v>
      </c>
      <c r="S4" s="190">
        <f t="shared" si="1"/>
        <v>-1582600</v>
      </c>
      <c r="T4" s="190">
        <f t="shared" si="1"/>
        <v>-1449760</v>
      </c>
      <c r="U4" s="190">
        <f t="shared" si="1"/>
        <v>-1272640</v>
      </c>
      <c r="V4" s="190">
        <f t="shared" si="1"/>
        <v>-1209500</v>
      </c>
      <c r="W4" s="190">
        <f t="shared" si="1"/>
        <v>-1119300</v>
      </c>
      <c r="X4" s="190">
        <f t="shared" si="1"/>
        <v>-1119300</v>
      </c>
      <c r="Y4" s="190">
        <f t="shared" si="1"/>
        <v>-1119300</v>
      </c>
      <c r="Z4" s="190">
        <f t="shared" si="1"/>
        <v>-1463700</v>
      </c>
      <c r="AA4" s="190"/>
    </row>
    <row r="5" spans="1:33" x14ac:dyDescent="0.2">
      <c r="A5" s="184" t="s">
        <v>164</v>
      </c>
      <c r="C5" s="190"/>
      <c r="D5" s="190"/>
      <c r="E5" s="190"/>
      <c r="F5" s="190"/>
      <c r="G5" s="190">
        <f>+G3*0.17</f>
        <v>301920</v>
      </c>
      <c r="H5" s="190">
        <f t="shared" ref="H5:K5" si="2">+H3*0.17</f>
        <v>304939.2</v>
      </c>
      <c r="I5" s="190">
        <f t="shared" si="2"/>
        <v>307988.59200000006</v>
      </c>
      <c r="J5" s="190">
        <f t="shared" si="2"/>
        <v>311068.47792000003</v>
      </c>
      <c r="K5" s="190">
        <f t="shared" si="2"/>
        <v>314179.16269920004</v>
      </c>
      <c r="L5" s="190">
        <f>[1]Parts!K$11</f>
        <v>213099.48</v>
      </c>
      <c r="M5" s="190">
        <f>[1]Parts!L$11</f>
        <v>211417.02000000002</v>
      </c>
      <c r="N5" s="190">
        <f>[1]Parts!M$11</f>
        <v>405050.22000000003</v>
      </c>
      <c r="O5" s="190">
        <f>[1]Parts!Q$11</f>
        <v>218260</v>
      </c>
      <c r="P5" s="190">
        <f>[1]Parts!R$11</f>
        <v>261995.59800000003</v>
      </c>
      <c r="Q5" s="190">
        <f>[1]Parts!S$11</f>
        <v>270360</v>
      </c>
      <c r="R5" s="190">
        <f>[1]Parts!T$11</f>
        <v>296280</v>
      </c>
      <c r="S5" s="190">
        <f>[1]Parts!U$11</f>
        <v>347400</v>
      </c>
      <c r="T5" s="190">
        <f>[1]Parts!V$11</f>
        <v>318240</v>
      </c>
      <c r="U5" s="190">
        <f>[1]Parts!W$11</f>
        <v>279360</v>
      </c>
      <c r="V5" s="190">
        <f>[1]Parts!X$11</f>
        <v>265500</v>
      </c>
      <c r="W5" s="190">
        <f>[1]Parts!Y$11</f>
        <v>245700</v>
      </c>
      <c r="X5" s="190">
        <f>[1]Parts!Z$11</f>
        <v>245700</v>
      </c>
      <c r="Y5" s="190">
        <f>[1]Parts!AA$11</f>
        <v>245700</v>
      </c>
      <c r="Z5" s="190">
        <f>[1]Parts!AB$11</f>
        <v>321300</v>
      </c>
      <c r="AA5" s="190"/>
    </row>
    <row r="6" spans="1:33" x14ac:dyDescent="0.2">
      <c r="A6" s="184" t="s">
        <v>165</v>
      </c>
      <c r="C6" s="190"/>
      <c r="D6" s="190"/>
      <c r="E6" s="190"/>
      <c r="F6" s="190"/>
      <c r="G6" s="190">
        <f>-G3*7%</f>
        <v>-124320.00000000001</v>
      </c>
      <c r="H6" s="190">
        <f t="shared" ref="H6:K6" si="3">-H3*7%</f>
        <v>-125563.20000000001</v>
      </c>
      <c r="I6" s="190">
        <f t="shared" si="3"/>
        <v>-126818.83200000002</v>
      </c>
      <c r="J6" s="190">
        <f t="shared" si="3"/>
        <v>-128087.02032000003</v>
      </c>
      <c r="K6" s="190">
        <f t="shared" si="3"/>
        <v>-129367.89052320003</v>
      </c>
      <c r="L6" s="190">
        <f>-L3*[1]Parts!K$7</f>
        <v>-118388.6</v>
      </c>
      <c r="M6" s="190">
        <f>-M3*[1]Parts!L$7</f>
        <v>-117453.90000000001</v>
      </c>
      <c r="N6" s="190">
        <f>-N3*[1]Parts!M$7</f>
        <v>-156298.497</v>
      </c>
      <c r="O6" s="190">
        <f>-O3*[1]Parts!Q$7</f>
        <v>-130713.66566666665</v>
      </c>
      <c r="P6" s="190">
        <f>-P3*[1]Parts!R$7</f>
        <v>-116640.28787838982</v>
      </c>
      <c r="Q6" s="190">
        <f>-Q3*[1]Parts!S$7</f>
        <v>-130713.66566666665</v>
      </c>
      <c r="R6" s="190">
        <f>-R3*[1]Parts!T$7</f>
        <v>-130713.66566666664</v>
      </c>
      <c r="S6" s="190">
        <f>-S3*[1]Parts!U$7</f>
        <v>-130713.66566666665</v>
      </c>
      <c r="T6" s="190">
        <f>-T3*[1]Parts!V$7</f>
        <v>-130713.66566666664</v>
      </c>
      <c r="U6" s="190">
        <f>-U3*[1]Parts!W$7</f>
        <v>-130713.66566666665</v>
      </c>
      <c r="V6" s="190">
        <f>-V3*[1]Parts!X$7</f>
        <v>-130713.66566666665</v>
      </c>
      <c r="W6" s="190">
        <f>-W3*[1]Parts!Y$7</f>
        <v>-130713.66566666665</v>
      </c>
      <c r="X6" s="190">
        <f>-X3*[1]Parts!Z$7</f>
        <v>-130713.66566666665</v>
      </c>
      <c r="Y6" s="190">
        <f>-Y3*[1]Parts!AA$7</f>
        <v>-130713.66566666665</v>
      </c>
      <c r="Z6" s="190">
        <f>-Z3*[1]Parts!AB$7</f>
        <v>-130713.66566666665</v>
      </c>
      <c r="AA6" s="190"/>
      <c r="AB6" s="219"/>
      <c r="AC6" s="220"/>
      <c r="AD6" s="221"/>
      <c r="AE6" s="223" t="s">
        <v>166</v>
      </c>
      <c r="AF6" s="223" t="s">
        <v>154</v>
      </c>
    </row>
    <row r="7" spans="1:33" x14ac:dyDescent="0.2">
      <c r="A7" s="184" t="s">
        <v>19</v>
      </c>
      <c r="C7" s="190"/>
      <c r="D7" s="190"/>
      <c r="E7" s="190"/>
      <c r="F7" s="190"/>
      <c r="G7" s="190">
        <f>G5+G6</f>
        <v>177600</v>
      </c>
      <c r="H7" s="190">
        <f t="shared" ref="H7:N7" si="4">H5+H6</f>
        <v>179376</v>
      </c>
      <c r="I7" s="190">
        <f t="shared" si="4"/>
        <v>181169.76000000004</v>
      </c>
      <c r="J7" s="190">
        <f t="shared" si="4"/>
        <v>182981.45760000002</v>
      </c>
      <c r="K7" s="190">
        <f t="shared" si="4"/>
        <v>184811.272176</v>
      </c>
      <c r="L7" s="190">
        <f t="shared" si="4"/>
        <v>94710.88</v>
      </c>
      <c r="M7" s="190">
        <f t="shared" si="4"/>
        <v>93963.12000000001</v>
      </c>
      <c r="N7" s="190">
        <f t="shared" si="4"/>
        <v>248751.72300000003</v>
      </c>
      <c r="O7" s="190">
        <f t="shared" ref="O7:Z7" si="5">O5+O6</f>
        <v>87546.334333333347</v>
      </c>
      <c r="P7" s="190">
        <f t="shared" si="5"/>
        <v>145355.31012161021</v>
      </c>
      <c r="Q7" s="190">
        <f t="shared" si="5"/>
        <v>139646.33433333336</v>
      </c>
      <c r="R7" s="190">
        <f t="shared" si="5"/>
        <v>165566.33433333336</v>
      </c>
      <c r="S7" s="190">
        <f t="shared" si="5"/>
        <v>216686.33433333336</v>
      </c>
      <c r="T7" s="190">
        <f t="shared" si="5"/>
        <v>187526.33433333336</v>
      </c>
      <c r="U7" s="190">
        <f t="shared" si="5"/>
        <v>148646.33433333336</v>
      </c>
      <c r="V7" s="190">
        <f t="shared" si="5"/>
        <v>134786.33433333336</v>
      </c>
      <c r="W7" s="190">
        <f t="shared" si="5"/>
        <v>114986.33433333335</v>
      </c>
      <c r="X7" s="190">
        <f t="shared" si="5"/>
        <v>114986.33433333335</v>
      </c>
      <c r="Y7" s="190">
        <f t="shared" si="5"/>
        <v>114986.33433333335</v>
      </c>
      <c r="Z7" s="190">
        <f t="shared" si="5"/>
        <v>190586.33433333336</v>
      </c>
      <c r="AA7" s="190"/>
      <c r="AB7" s="222" t="s">
        <v>167</v>
      </c>
      <c r="AC7" s="220"/>
      <c r="AD7" s="221"/>
      <c r="AE7" s="220" t="str">
        <f>AF9</f>
        <v>GP Contribution</v>
      </c>
      <c r="AF7" s="220" t="str">
        <f>AG9</f>
        <v>Expenses Contribution</v>
      </c>
    </row>
    <row r="8" spans="1:33" x14ac:dyDescent="0.2"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88"/>
      <c r="AD8" s="212"/>
      <c r="AE8" s="325" t="s">
        <v>168</v>
      </c>
      <c r="AF8" s="325"/>
      <c r="AG8" s="325"/>
    </row>
    <row r="9" spans="1:33" x14ac:dyDescent="0.2">
      <c r="A9" s="184" t="s">
        <v>169</v>
      </c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81" t="s">
        <v>170</v>
      </c>
      <c r="AC9" s="184" t="s">
        <v>171</v>
      </c>
      <c r="AD9" s="212" t="s">
        <v>156</v>
      </c>
      <c r="AE9" s="181" t="s">
        <v>172</v>
      </c>
      <c r="AF9" s="181" t="s">
        <v>173</v>
      </c>
      <c r="AG9" s="181" t="s">
        <v>174</v>
      </c>
    </row>
    <row r="10" spans="1:33" outlineLevel="1" x14ac:dyDescent="0.2">
      <c r="A10" s="184">
        <v>130</v>
      </c>
      <c r="B10" s="187" t="s">
        <v>175</v>
      </c>
      <c r="C10" s="190"/>
      <c r="D10" s="190"/>
      <c r="E10" s="190"/>
      <c r="F10" s="190"/>
      <c r="G10" s="190" cm="1">
        <f t="array" ref="G10">_xlfn.IFS($AE$7=$AE$9,G$3*$AE10*$AB10,$AE$7=$AF$9,G$3*$AF10*$AB10,$AE$7=$AG$9,G$3*$AG10*$AB10)</f>
        <v>131392.15629564377</v>
      </c>
      <c r="H10" s="190" cm="1">
        <f t="array" ref="H10">_xlfn.IFS($AE$7=$AE$9,H$3*$AE10*$AB10,$AE$7=$AF$9,H$3*$AF10*$AB10,$AE$7=$AG$9,H$3*$AG10*$AB10)</f>
        <v>132706.07785860021</v>
      </c>
      <c r="I10" s="190" cm="1">
        <f t="array" ref="I10">_xlfn.IFS($AE$7=$AE$9,I$3*$AE10*$AB10,$AE$7=$AF$9,I$3*$AF10*$AB10,$AE$7=$AG$9,I$3*$AG10*$AB10)</f>
        <v>134033.1386371862</v>
      </c>
      <c r="J10" s="190" cm="1">
        <f t="array" ref="J10">_xlfn.IFS($AE$7=$AE$9,J$3*$AE10*$AB10,$AE$7=$AF$9,J$3*$AF10*$AB10,$AE$7=$AG$9,J$3*$AG10*$AB10)</f>
        <v>135373.4700235581</v>
      </c>
      <c r="K10" s="190" cm="1">
        <f t="array" ref="K10">_xlfn.IFS($AE$7=$AE$9,K$3*$AE10*$AB10,$AE$7=$AF$9,K$3*$AF10*$AB10,$AE$7=$AG$9,K$3*$AG10*$AB10)</f>
        <v>136727.20472379363</v>
      </c>
      <c r="L10" s="190" cm="1">
        <f t="array" ref="L10">_xlfn.IFS($AE$7=$AE$9,L$3*$AE10*$AB10,$AE$7=$AF$9,L$3*$AF10*$AB10,$AE$7=$AG$9,L$3*$AG10*$AB10)</f>
        <v>87586.336907784076</v>
      </c>
      <c r="M10" s="190" cm="1">
        <f t="array" ref="M10">_xlfn.IFS($AE$7=$AE$9,M$3*$AE10*$AB10,$AE$7=$AF$9,M$3*$AF10*$AB10,$AE$7=$AG$9,M$3*$AG10*$AB10)</f>
        <v>86894.826499622257</v>
      </c>
      <c r="N10" s="190" cm="1">
        <f t="array" ref="N10">_xlfn.IFS($AE$7=$AE$9,N$3*$AE10*$AB10,$AE$7=$AF$9,N$3*$AF10*$AB10,$AE$7=$AG$9,N$3*$AG10*$AB10)</f>
        <v>124336.4122989817</v>
      </c>
      <c r="O10" s="190" cm="1">
        <f t="array" ref="O10">_xlfn.IFS($AE$7=$AE$9,O$3*$AE10*$AB10,$AE$7=$AF$9,O$3*$AF10*$AB10,$AE$7=$AG$9,O$3*$AG10*$AB10)</f>
        <v>100467.65104137626</v>
      </c>
      <c r="P10" s="190" cm="1">
        <f t="array" ref="P10">_xlfn.IFS($AE$7=$AE$9,P$3*$AE10*$AB10,$AE$7=$AF$9,P$3*$AF10*$AB10,$AE$7=$AG$9,P$3*$AG10*$AB10)</f>
        <v>113350.74074464811</v>
      </c>
      <c r="Q10" s="190" cm="1">
        <f t="array" ref="Q10">_xlfn.IFS($AE$7=$AE$9,Q$3*$AE10*$AB10,$AE$7=$AF$9,Q$3*$AF10*$AB10,$AE$7=$AG$9,Q$3*$AG10*$AB10)</f>
        <v>111121.06911940142</v>
      </c>
      <c r="R10" s="190" cm="1">
        <f t="array" ref="R10">_xlfn.IFS($AE$7=$AE$9,R$3*$AE10*$AB10,$AE$7=$AF$9,R$3*$AF10*$AB10,$AE$7=$AG$9,R$3*$AG10*$AB10)</f>
        <v>121774.48719742658</v>
      </c>
      <c r="S10" s="190" cm="1">
        <f t="array" ref="S10">_xlfn.IFS($AE$7=$AE$9,S$3*$AE10*$AB10,$AE$7=$AF$9,S$3*$AF10*$AB10,$AE$7=$AG$9,S$3*$AG10*$AB10)</f>
        <v>142785.39507353181</v>
      </c>
      <c r="T10" s="190" cm="1">
        <f t="array" ref="T10">_xlfn.IFS($AE$7=$AE$9,T$3*$AE10*$AB10,$AE$7=$AF$9,T$3*$AF10*$AB10,$AE$7=$AG$9,T$3*$AG10*$AB10)</f>
        <v>130800.29973575348</v>
      </c>
      <c r="U10" s="190" cm="1">
        <f t="array" ref="U10">_xlfn.IFS($AE$7=$AE$9,U$3*$AE10*$AB10,$AE$7=$AF$9,U$3*$AF10*$AB10,$AE$7=$AG$9,U$3*$AG10*$AB10)</f>
        <v>114820.17261871572</v>
      </c>
      <c r="V10" s="190" cm="1">
        <f t="array" ref="V10">_xlfn.IFS($AE$7=$AE$9,V$3*$AE10*$AB10,$AE$7=$AF$9,V$3*$AF10*$AB10,$AE$7=$AG$9,V$3*$AG10*$AB10)</f>
        <v>109123.55322977171</v>
      </c>
      <c r="W10" s="190" cm="1">
        <f t="array" ref="W10">_xlfn.IFS($AE$7=$AE$9,W$3*$AE10*$AB10,$AE$7=$AF$9,W$3*$AF10*$AB10,$AE$7=$AG$9,W$3*$AG10*$AB10)</f>
        <v>100985.52553128025</v>
      </c>
      <c r="X10" s="190" cm="1">
        <f t="array" ref="X10">_xlfn.IFS($AE$7=$AE$9,X$3*$AE10*$AB10,$AE$7=$AF$9,X$3*$AF10*$AB10,$AE$7=$AG$9,X$3*$AG10*$AB10)</f>
        <v>100985.52553128025</v>
      </c>
      <c r="Y10" s="190" cm="1">
        <f t="array" ref="Y10">_xlfn.IFS($AE$7=$AE$9,Y$3*$AE10*$AB10,$AE$7=$AF$9,Y$3*$AF10*$AB10,$AE$7=$AG$9,Y$3*$AG10*$AB10)</f>
        <v>100985.52553128025</v>
      </c>
      <c r="Z10" s="190" cm="1">
        <f t="array" ref="Z10">_xlfn.IFS($AE$7=$AE$9,Z$3*$AE10*$AB10,$AE$7=$AF$9,Z$3*$AF10*$AB10,$AE$7=$AG$9,Z$3*$AG10*$AB10)</f>
        <v>132057.99492552032</v>
      </c>
      <c r="AA10" s="190"/>
      <c r="AB10" s="188">
        <f>AD10/SUM($AD$10:$AD$14)</f>
        <v>0.14875689672201478</v>
      </c>
      <c r="AC10" s="184" t="str">
        <f>+A10&amp;"-"&amp;B10</f>
        <v>130-3465</v>
      </c>
      <c r="AD10" s="212">
        <v>-1010950.03</v>
      </c>
      <c r="AE10" s="218">
        <f>'Input Sheet'!O42/SUM('Input Sheet'!O42:O45)</f>
        <v>0.5714285714285714</v>
      </c>
      <c r="AF10" s="218">
        <f>'GP &amp; SE % Contribution'!D4</f>
        <v>0.49733539497357082</v>
      </c>
      <c r="AG10" s="218">
        <f>'GP &amp; SE % Contribution'!F4</f>
        <v>0.58916898424662745</v>
      </c>
    </row>
    <row r="11" spans="1:33" outlineLevel="1" x14ac:dyDescent="0.2">
      <c r="A11" s="184">
        <v>130</v>
      </c>
      <c r="B11" s="187" t="s">
        <v>176</v>
      </c>
      <c r="C11" s="190"/>
      <c r="D11" s="190"/>
      <c r="E11" s="190"/>
      <c r="F11" s="190"/>
      <c r="G11" s="190" cm="1">
        <f t="array" ref="G11">_xlfn.IFS($AE$7=$AE$9,G$3*$AE11*$AB11,$AE$7=$AF$9,G$3*$AF11*$AB11,$AE$7=$AG$9,G$3*$AG11*$AB11)</f>
        <v>398783.47974404722</v>
      </c>
      <c r="H11" s="190" cm="1">
        <f t="array" ref="H11">_xlfn.IFS($AE$7=$AE$9,H$3*$AE11*$AB11,$AE$7=$AF$9,H$3*$AF11*$AB11,$AE$7=$AG$9,H$3*$AG11*$AB11)</f>
        <v>402771.31454148772</v>
      </c>
      <c r="I11" s="190" cm="1">
        <f t="array" ref="I11">_xlfn.IFS($AE$7=$AE$9,I$3*$AE11*$AB11,$AE$7=$AF$9,I$3*$AF11*$AB11,$AE$7=$AG$9,I$3*$AG11*$AB11)</f>
        <v>406799.02768690261</v>
      </c>
      <c r="J11" s="190" cm="1">
        <f t="array" ref="J11">_xlfn.IFS($AE$7=$AE$9,J$3*$AE11*$AB11,$AE$7=$AF$9,J$3*$AF11*$AB11,$AE$7=$AG$9,J$3*$AG11*$AB11)</f>
        <v>410867.01796377165</v>
      </c>
      <c r="K11" s="190" cm="1">
        <f t="array" ref="K11">_xlfn.IFS($AE$7=$AE$9,K$3*$AE11*$AB11,$AE$7=$AF$9,K$3*$AF11*$AB11,$AE$7=$AG$9,K$3*$AG11*$AB11)</f>
        <v>414975.68814340932</v>
      </c>
      <c r="L11" s="190" cm="1">
        <f t="array" ref="L11">_xlfn.IFS($AE$7=$AE$9,L$3*$AE11*$AB11,$AE$7=$AF$9,L$3*$AF11*$AB11,$AE$7=$AG$9,L$3*$AG11*$AB11)</f>
        <v>265830.05557447136</v>
      </c>
      <c r="M11" s="190" cm="1">
        <f t="array" ref="M11">_xlfn.IFS($AE$7=$AE$9,M$3*$AE11*$AB11,$AE$7=$AF$9,M$3*$AF11*$AB11,$AE$7=$AG$9,M$3*$AG11*$AB11)</f>
        <v>263731.27788012021</v>
      </c>
      <c r="N11" s="190" cm="1">
        <f t="array" ref="N11">_xlfn.IFS($AE$7=$AE$9,N$3*$AE11*$AB11,$AE$7=$AF$9,N$3*$AF11*$AB11,$AE$7=$AG$9,N$3*$AG11*$AB11)</f>
        <v>377368.85178984143</v>
      </c>
      <c r="O11" s="190" cm="1">
        <f t="array" ref="O11">_xlfn.IFS($AE$7=$AE$9,O$3*$AE11*$AB11,$AE$7=$AF$9,O$3*$AF11*$AB11,$AE$7=$AG$9,O$3*$AG11*$AB11)</f>
        <v>304925.65624572977</v>
      </c>
      <c r="P11" s="190" cm="1">
        <f t="array" ref="P11">_xlfn.IFS($AE$7=$AE$9,P$3*$AE11*$AB11,$AE$7=$AF$9,P$3*$AF11*$AB11,$AE$7=$AG$9,P$3*$AG11*$AB11)</f>
        <v>344026.64588293078</v>
      </c>
      <c r="Q11" s="190" cm="1">
        <f t="array" ref="Q11">_xlfn.IFS($AE$7=$AE$9,Q$3*$AE11*$AB11,$AE$7=$AF$9,Q$3*$AF11*$AB11,$AE$7=$AG$9,Q$3*$AG11*$AB11)</f>
        <v>337259.45190065255</v>
      </c>
      <c r="R11" s="190" cm="1">
        <f t="array" ref="R11">_xlfn.IFS($AE$7=$AE$9,R$3*$AE11*$AB11,$AE$7=$AF$9,R$3*$AF11*$AB11,$AE$7=$AG$9,R$3*$AG11*$AB11)</f>
        <v>369593.24755557528</v>
      </c>
      <c r="S11" s="190" cm="1">
        <f t="array" ref="S11">_xlfn.IFS($AE$7=$AE$9,S$3*$AE11*$AB11,$AE$7=$AF$9,S$3*$AF11*$AB11,$AE$7=$AG$9,S$3*$AG11*$AB11)</f>
        <v>433362.67787500628</v>
      </c>
      <c r="T11" s="190" cm="1">
        <f t="array" ref="T11">_xlfn.IFS($AE$7=$AE$9,T$3*$AE11*$AB11,$AE$7=$AF$9,T$3*$AF11*$AB11,$AE$7=$AG$9,T$3*$AG11*$AB11)</f>
        <v>396987.15776321816</v>
      </c>
      <c r="U11" s="190" cm="1">
        <f t="array" ref="U11">_xlfn.IFS($AE$7=$AE$9,U$3*$AE11*$AB11,$AE$7=$AF$9,U$3*$AF11*$AB11,$AE$7=$AG$9,U$3*$AG11*$AB11)</f>
        <v>348486.46428083407</v>
      </c>
      <c r="V11" s="190" cm="1">
        <f t="array" ref="V11">_xlfn.IFS($AE$7=$AE$9,V$3*$AE11*$AB11,$AE$7=$AF$9,V$3*$AF11*$AB11,$AE$7=$AG$9,V$3*$AG11*$AB11)</f>
        <v>331196.86521535454</v>
      </c>
      <c r="W11" s="190" cm="1">
        <f t="array" ref="W11">_xlfn.IFS($AE$7=$AE$9,W$3*$AE11*$AB11,$AE$7=$AF$9,W$3*$AF11*$AB11,$AE$7=$AG$9,W$3*$AG11*$AB11)</f>
        <v>306497.43797895522</v>
      </c>
      <c r="X11" s="190" cm="1">
        <f t="array" ref="X11">_xlfn.IFS($AE$7=$AE$9,X$3*$AE11*$AB11,$AE$7=$AF$9,X$3*$AF11*$AB11,$AE$7=$AG$9,X$3*$AG11*$AB11)</f>
        <v>306497.43797895522</v>
      </c>
      <c r="Y11" s="190" cm="1">
        <f t="array" ref="Y11">_xlfn.IFS($AE$7=$AE$9,Y$3*$AE11*$AB11,$AE$7=$AF$9,Y$3*$AF11*$AB11,$AE$7=$AG$9,Y$3*$AG11*$AB11)</f>
        <v>306497.43797895522</v>
      </c>
      <c r="Z11" s="190" cm="1">
        <f t="array" ref="Z11">_xlfn.IFS($AE$7=$AE$9,Z$3*$AE11*$AB11,$AE$7=$AF$9,Z$3*$AF11*$AB11,$AE$7=$AG$9,Z$3*$AG11*$AB11)</f>
        <v>400804.34197247989</v>
      </c>
      <c r="AA11" s="190"/>
      <c r="AB11" s="188">
        <f>AD11/SUM($AD$10:$AD$14)</f>
        <v>0.451486561931838</v>
      </c>
      <c r="AC11" s="184" t="str">
        <f>+A11&amp;"-"&amp;B11</f>
        <v>130-3466</v>
      </c>
      <c r="AD11" s="212">
        <v>-3068297.09</v>
      </c>
      <c r="AE11" s="218">
        <f>AE$10</f>
        <v>0.5714285714285714</v>
      </c>
      <c r="AF11" s="218">
        <f t="shared" ref="AF11:AG11" si="6">AF$10</f>
        <v>0.49733539497357082</v>
      </c>
      <c r="AG11" s="218">
        <f t="shared" si="6"/>
        <v>0.58916898424662745</v>
      </c>
    </row>
    <row r="12" spans="1:33" outlineLevel="1" x14ac:dyDescent="0.2">
      <c r="A12" s="184">
        <v>130</v>
      </c>
      <c r="B12" s="187" t="s">
        <v>177</v>
      </c>
      <c r="C12" s="190"/>
      <c r="D12" s="190"/>
      <c r="E12" s="190"/>
      <c r="F12" s="190"/>
      <c r="G12" s="190" cm="1">
        <f t="array" ref="G12">_xlfn.IFS($AE$7=$AE$9,G$3*$AE12*$AB12,$AE$7=$AF$9,G$3*$AF12*$AB12,$AE$7=$AG$9,G$3*$AG12*$AB12)</f>
        <v>179132.90968355275</v>
      </c>
      <c r="H12" s="190" cm="1">
        <f t="array" ref="H12">_xlfn.IFS($AE$7=$AE$9,H$3*$AE12*$AB12,$AE$7=$AF$9,H$3*$AF12*$AB12,$AE$7=$AG$9,H$3*$AG12*$AB12)</f>
        <v>180924.23878038826</v>
      </c>
      <c r="I12" s="190" cm="1">
        <f t="array" ref="I12">_xlfn.IFS($AE$7=$AE$9,I$3*$AE12*$AB12,$AE$7=$AF$9,I$3*$AF12*$AB12,$AE$7=$AG$9,I$3*$AG12*$AB12)</f>
        <v>182733.48116819217</v>
      </c>
      <c r="J12" s="190" cm="1">
        <f t="array" ref="J12">_xlfn.IFS($AE$7=$AE$9,J$3*$AE12*$AB12,$AE$7=$AF$9,J$3*$AF12*$AB12,$AE$7=$AG$9,J$3*$AG12*$AB12)</f>
        <v>184560.81597987408</v>
      </c>
      <c r="K12" s="190" cm="1">
        <f t="array" ref="K12">_xlfn.IFS($AE$7=$AE$9,K$3*$AE12*$AB12,$AE$7=$AF$9,K$3*$AF12*$AB12,$AE$7=$AG$9,K$3*$AG12*$AB12)</f>
        <v>186406.4241396728</v>
      </c>
      <c r="L12" s="190" cm="1">
        <f t="array" ref="L12">_xlfn.IFS($AE$7=$AE$9,L$3*$AE12*$AB12,$AE$7=$AF$9,L$3*$AF12*$AB12,$AE$7=$AG$9,L$3*$AG12*$AB12)</f>
        <v>119410.44139280547</v>
      </c>
      <c r="M12" s="190" cm="1">
        <f t="array" ref="M12">_xlfn.IFS($AE$7=$AE$9,M$3*$AE12*$AB12,$AE$7=$AF$9,M$3*$AF12*$AB12,$AE$7=$AG$9,M$3*$AG12*$AB12)</f>
        <v>118467.67376509593</v>
      </c>
      <c r="N12" s="190" cm="1">
        <f t="array" ref="N12">_xlfn.IFS($AE$7=$AE$9,N$3*$AE12*$AB12,$AE$7=$AF$9,N$3*$AF12*$AB12,$AE$7=$AG$9,N$3*$AG12*$AB12)</f>
        <v>169513.49260617091</v>
      </c>
      <c r="O12" s="190" cm="1">
        <f t="array" ref="O12">_xlfn.IFS($AE$7=$AE$9,O$3*$AE12*$AB12,$AE$7=$AF$9,O$3*$AF12*$AB12,$AE$7=$AG$9,O$3*$AG12*$AB12)</f>
        <v>136972.12350803186</v>
      </c>
      <c r="P12" s="190" cm="1">
        <f t="array" ref="P12">_xlfn.IFS($AE$7=$AE$9,P$3*$AE12*$AB12,$AE$7=$AF$9,P$3*$AF12*$AB12,$AE$7=$AG$9,P$3*$AG12*$AB12)</f>
        <v>154536.226338254</v>
      </c>
      <c r="Q12" s="190" cm="1">
        <f t="array" ref="Q12">_xlfn.IFS($AE$7=$AE$9,Q$3*$AE12*$AB12,$AE$7=$AF$9,Q$3*$AF12*$AB12,$AE$7=$AG$9,Q$3*$AG12*$AB12)</f>
        <v>151496.41348237399</v>
      </c>
      <c r="R12" s="190" cm="1">
        <f t="array" ref="R12">_xlfn.IFS($AE$7=$AE$9,R$3*$AE12*$AB12,$AE$7=$AF$9,R$3*$AF12*$AB12,$AE$7=$AG$9,R$3*$AG12*$AB12)</f>
        <v>166020.70345671609</v>
      </c>
      <c r="S12" s="190" cm="1">
        <f t="array" ref="S12">_xlfn.IFS($AE$7=$AE$9,S$3*$AE12*$AB12,$AE$7=$AF$9,S$3*$AF12*$AB12,$AE$7=$AG$9,S$3*$AG12*$AB12)</f>
        <v>194665.83090611306</v>
      </c>
      <c r="T12" s="190" cm="1">
        <f t="array" ref="T12">_xlfn.IFS($AE$7=$AE$9,T$3*$AE12*$AB12,$AE$7=$AF$9,T$3*$AF12*$AB12,$AE$7=$AG$9,T$3*$AG12*$AB12)</f>
        <v>178326.00468497816</v>
      </c>
      <c r="U12" s="190" cm="1">
        <f t="array" ref="U12">_xlfn.IFS($AE$7=$AE$9,U$3*$AE12*$AB12,$AE$7=$AF$9,U$3*$AF12*$AB12,$AE$7=$AG$9,U$3*$AG12*$AB12)</f>
        <v>156539.56972346499</v>
      </c>
      <c r="V12" s="190" cm="1">
        <f t="array" ref="V12">_xlfn.IFS($AE$7=$AE$9,V$3*$AE12*$AB12,$AE$7=$AF$9,V$3*$AF12*$AB12,$AE$7=$AG$9,V$3*$AG12*$AB12)</f>
        <v>148773.10911218484</v>
      </c>
      <c r="W12" s="190" cm="1">
        <f t="array" ref="W12">_xlfn.IFS($AE$7=$AE$9,W$3*$AE12*$AB12,$AE$7=$AF$9,W$3*$AF12*$AB12,$AE$7=$AG$9,W$3*$AG12*$AB12)</f>
        <v>137678.16538178461</v>
      </c>
      <c r="X12" s="190" cm="1">
        <f t="array" ref="X12">_xlfn.IFS($AE$7=$AE$9,X$3*$AE12*$AB12,$AE$7=$AF$9,X$3*$AF12*$AB12,$AE$7=$AG$9,X$3*$AG12*$AB12)</f>
        <v>137678.16538178461</v>
      </c>
      <c r="Y12" s="190" cm="1">
        <f t="array" ref="Y12">_xlfn.IFS($AE$7=$AE$9,Y$3*$AE12*$AB12,$AE$7=$AF$9,Y$3*$AF12*$AB12,$AE$7=$AG$9,Y$3*$AG12*$AB12)</f>
        <v>137678.16538178461</v>
      </c>
      <c r="Z12" s="190" cm="1">
        <f t="array" ref="Z12">_xlfn.IFS($AE$7=$AE$9,Z$3*$AE12*$AB12,$AE$7=$AF$9,Z$3*$AF12*$AB12,$AE$7=$AG$9,Z$3*$AG12*$AB12)</f>
        <v>180040.6778069491</v>
      </c>
      <c r="AA12" s="190"/>
      <c r="AB12" s="188">
        <f>AD12/SUM($AD$10:$AD$14)</f>
        <v>0.20280705101871999</v>
      </c>
      <c r="AC12" s="184" t="str">
        <f>+A12&amp;"-"&amp;B12</f>
        <v>130-3475</v>
      </c>
      <c r="AD12" s="212">
        <v>-1378274.21</v>
      </c>
      <c r="AE12" s="218">
        <f t="shared" ref="AE12:AG14" si="7">AE$10</f>
        <v>0.5714285714285714</v>
      </c>
      <c r="AF12" s="218">
        <f t="shared" si="7"/>
        <v>0.49733539497357082</v>
      </c>
      <c r="AG12" s="218">
        <f t="shared" si="7"/>
        <v>0.58916898424662745</v>
      </c>
    </row>
    <row r="13" spans="1:33" outlineLevel="1" x14ac:dyDescent="0.2">
      <c r="A13" s="184">
        <v>130</v>
      </c>
      <c r="B13" s="187" t="s">
        <v>178</v>
      </c>
      <c r="C13" s="190"/>
      <c r="D13" s="190"/>
      <c r="E13" s="190"/>
      <c r="F13" s="190"/>
      <c r="G13" s="190" cm="1">
        <f t="array" ref="G13">_xlfn.IFS($AE$7=$AE$9,G$3*$AE13*$AB13,$AE$7=$AF$9,G$3*$AF13*$AB13,$AE$7=$AG$9,G$3*$AG13*$AB13)</f>
        <v>125355.58140460818</v>
      </c>
      <c r="H13" s="190" cm="1">
        <f t="array" ref="H13">_xlfn.IFS($AE$7=$AE$9,H$3*$AE13*$AB13,$AE$7=$AF$9,H$3*$AF13*$AB13,$AE$7=$AG$9,H$3*$AG13*$AB13)</f>
        <v>126609.13721865426</v>
      </c>
      <c r="I13" s="190" cm="1">
        <f t="array" ref="I13">_xlfn.IFS($AE$7=$AE$9,I$3*$AE13*$AB13,$AE$7=$AF$9,I$3*$AF13*$AB13,$AE$7=$AG$9,I$3*$AG13*$AB13)</f>
        <v>127875.22859084081</v>
      </c>
      <c r="J13" s="190" cm="1">
        <f t="array" ref="J13">_xlfn.IFS($AE$7=$AE$9,J$3*$AE13*$AB13,$AE$7=$AF$9,J$3*$AF13*$AB13,$AE$7=$AG$9,J$3*$AG13*$AB13)</f>
        <v>129153.98087674922</v>
      </c>
      <c r="K13" s="190" cm="1">
        <f t="array" ref="K13">_xlfn.IFS($AE$7=$AE$9,K$3*$AE13*$AB13,$AE$7=$AF$9,K$3*$AF13*$AB13,$AE$7=$AG$9,K$3*$AG13*$AB13)</f>
        <v>130445.52068551671</v>
      </c>
      <c r="L13" s="190" cm="1">
        <f t="array" ref="L13">_xlfn.IFS($AE$7=$AE$9,L$3*$AE13*$AB13,$AE$7=$AF$9,L$3*$AF13*$AB13,$AE$7=$AG$9,L$3*$AG13*$AB13)</f>
        <v>83562.341129941415</v>
      </c>
      <c r="M13" s="190" cm="1">
        <f t="array" ref="M13">_xlfn.IFS($AE$7=$AE$9,M$3*$AE13*$AB13,$AE$7=$AF$9,M$3*$AF13*$AB13,$AE$7=$AG$9,M$3*$AG13*$AB13)</f>
        <v>82902.600916321564</v>
      </c>
      <c r="N13" s="190" cm="1">
        <f t="array" ref="N13">_xlfn.IFS($AE$7=$AE$9,N$3*$AE13*$AB13,$AE$7=$AF$9,N$3*$AF13*$AB13,$AE$7=$AG$9,N$3*$AG13*$AB13)</f>
        <v>118624.00079980024</v>
      </c>
      <c r="O13" s="190" cm="1">
        <f t="array" ref="O13">_xlfn.IFS($AE$7=$AE$9,O$3*$AE13*$AB13,$AE$7=$AF$9,O$3*$AF13*$AB13,$AE$7=$AG$9,O$3*$AG13*$AB13)</f>
        <v>95851.846592037109</v>
      </c>
      <c r="P13" s="190" cm="1">
        <f t="array" ref="P13">_xlfn.IFS($AE$7=$AE$9,P$3*$AE13*$AB13,$AE$7=$AF$9,P$3*$AF13*$AB13,$AE$7=$AG$9,P$3*$AG13*$AB13)</f>
        <v>108143.0460484761</v>
      </c>
      <c r="Q13" s="190" cm="1">
        <f t="array" ref="Q13">_xlfn.IFS($AE$7=$AE$9,Q$3*$AE13*$AB13,$AE$7=$AF$9,Q$3*$AF13*$AB13,$AE$7=$AG$9,Q$3*$AG13*$AB13)</f>
        <v>106015.81265187019</v>
      </c>
      <c r="R13" s="190" cm="1">
        <f t="array" ref="R13">_xlfn.IFS($AE$7=$AE$9,R$3*$AE13*$AB13,$AE$7=$AF$9,R$3*$AF13*$AB13,$AE$7=$AG$9,R$3*$AG13*$AB13)</f>
        <v>116179.77871170329</v>
      </c>
      <c r="S13" s="190" cm="1">
        <f t="array" ref="S13">_xlfn.IFS($AE$7=$AE$9,S$3*$AE13*$AB13,$AE$7=$AF$9,S$3*$AF13*$AB13,$AE$7=$AG$9,S$3*$AG13*$AB13)</f>
        <v>136225.37844081857</v>
      </c>
      <c r="T13" s="190" cm="1">
        <f t="array" ref="T13">_xlfn.IFS($AE$7=$AE$9,T$3*$AE13*$AB13,$AE$7=$AF$9,T$3*$AF13*$AB13,$AE$7=$AG$9,T$3*$AG13*$AB13)</f>
        <v>124790.91662350633</v>
      </c>
      <c r="U13" s="190" cm="1">
        <f t="array" ref="U13">_xlfn.IFS($AE$7=$AE$9,U$3*$AE13*$AB13,$AE$7=$AF$9,U$3*$AF13*$AB13,$AE$7=$AG$9,U$3*$AG13*$AB13)</f>
        <v>109544.96753375669</v>
      </c>
      <c r="V13" s="190" cm="1">
        <f t="array" ref="V13">_xlfn.IFS($AE$7=$AE$9,V$3*$AE13*$AB13,$AE$7=$AF$9,V$3*$AF13*$AB13,$AE$7=$AG$9,V$3*$AG13*$AB13)</f>
        <v>104110.06901565149</v>
      </c>
      <c r="W13" s="190" cm="1">
        <f t="array" ref="W13">_xlfn.IFS($AE$7=$AE$9,W$3*$AE13*$AB13,$AE$7=$AF$9,W$3*$AF13*$AB13,$AE$7=$AG$9,W$3*$AG13*$AB13)</f>
        <v>96345.92827550121</v>
      </c>
      <c r="X13" s="190" cm="1">
        <f t="array" ref="X13">_xlfn.IFS($AE$7=$AE$9,X$3*$AE13*$AB13,$AE$7=$AF$9,X$3*$AF13*$AB13,$AE$7=$AG$9,X$3*$AG13*$AB13)</f>
        <v>96345.92827550121</v>
      </c>
      <c r="Y13" s="190" cm="1">
        <f t="array" ref="Y13">_xlfn.IFS($AE$7=$AE$9,Y$3*$AE13*$AB13,$AE$7=$AF$9,Y$3*$AF13*$AB13,$AE$7=$AG$9,Y$3*$AG13*$AB13)</f>
        <v>96345.92827550121</v>
      </c>
      <c r="Z13" s="190" cm="1">
        <f t="array" ref="Z13">_xlfn.IFS($AE$7=$AE$9,Z$3*$AE13*$AB13,$AE$7=$AF$9,Z$3*$AF13*$AB13,$AE$7=$AG$9,Z$3*$AG13*$AB13)</f>
        <v>125990.82928334775</v>
      </c>
      <c r="AA13" s="190"/>
      <c r="AB13" s="188">
        <f>AD13/SUM($AD$10:$AD$14)</f>
        <v>0.14192253025039717</v>
      </c>
      <c r="AC13" s="184" t="str">
        <f>+A13&amp;"-"&amp;B13</f>
        <v>130-3500</v>
      </c>
      <c r="AD13" s="212">
        <v>-964503.76</v>
      </c>
      <c r="AE13" s="218">
        <f t="shared" si="7"/>
        <v>0.5714285714285714</v>
      </c>
      <c r="AF13" s="218">
        <f t="shared" si="7"/>
        <v>0.49733539497357082</v>
      </c>
      <c r="AG13" s="218">
        <f t="shared" si="7"/>
        <v>0.58916898424662745</v>
      </c>
    </row>
    <row r="14" spans="1:33" outlineLevel="1" x14ac:dyDescent="0.2">
      <c r="A14" s="184">
        <v>130</v>
      </c>
      <c r="B14" s="187" t="s">
        <v>179</v>
      </c>
      <c r="C14" s="190"/>
      <c r="D14" s="190"/>
      <c r="E14" s="190"/>
      <c r="F14" s="190"/>
      <c r="G14" s="190" cm="1">
        <f t="array" ref="G14">_xlfn.IFS($AE$7=$AE$9,G$3*$AE14*$AB14,$AE$7=$AF$9,G$3*$AF14*$AB14,$AE$7=$AG$9,G$3*$AG14*$AB14)</f>
        <v>48603.534345209853</v>
      </c>
      <c r="H14" s="190" cm="1">
        <f t="array" ref="H14">_xlfn.IFS($AE$7=$AE$9,H$3*$AE14*$AB14,$AE$7=$AF$9,H$3*$AF14*$AB14,$AE$7=$AG$9,H$3*$AG14*$AB14)</f>
        <v>49089.569688661948</v>
      </c>
      <c r="I14" s="190" cm="1">
        <f t="array" ref="I14">_xlfn.IFS($AE$7=$AE$9,I$3*$AE14*$AB14,$AE$7=$AF$9,I$3*$AF14*$AB14,$AE$7=$AG$9,I$3*$AG14*$AB14)</f>
        <v>49580.465385548574</v>
      </c>
      <c r="J14" s="190" cm="1">
        <f t="array" ref="J14">_xlfn.IFS($AE$7=$AE$9,J$3*$AE14*$AB14,$AE$7=$AF$9,J$3*$AF14*$AB14,$AE$7=$AG$9,J$3*$AG14*$AB14)</f>
        <v>50076.270039404058</v>
      </c>
      <c r="K14" s="190" cm="1">
        <f t="array" ref="K14">_xlfn.IFS($AE$7=$AE$9,K$3*$AE14*$AB14,$AE$7=$AF$9,K$3*$AF14*$AB14,$AE$7=$AG$9,K$3*$AG14*$AB14)</f>
        <v>50577.032739798095</v>
      </c>
      <c r="L14" s="190" cm="1">
        <f t="array" ref="L14">_xlfn.IFS($AE$7=$AE$9,L$3*$AE14*$AB14,$AE$7=$AF$9,L$3*$AF14*$AB14,$AE$7=$AG$9,L$3*$AG14*$AB14)</f>
        <v>32399.236408678553</v>
      </c>
      <c r="M14" s="190" cm="1">
        <f t="array" ref="M14">_xlfn.IFS($AE$7=$AE$9,M$3*$AE14*$AB14,$AE$7=$AF$9,M$3*$AF14*$AB14,$AE$7=$AG$9,M$3*$AG14*$AB14)</f>
        <v>32143.438415702949</v>
      </c>
      <c r="N14" s="190" cm="1">
        <f t="array" ref="N14">_xlfn.IFS($AE$7=$AE$9,N$3*$AE14*$AB14,$AE$7=$AF$9,N$3*$AF14*$AB14,$AE$7=$AG$9,N$3*$AG14*$AB14)</f>
        <v>45993.530024243068</v>
      </c>
      <c r="O14" s="190" cm="1">
        <f t="array" ref="O14">_xlfn.IFS($AE$7=$AE$9,O$3*$AE14*$AB14,$AE$7=$AF$9,O$3*$AF14*$AB14,$AE$7=$AG$9,O$3*$AG14*$AB14)</f>
        <v>37164.18898693411</v>
      </c>
      <c r="P14" s="190" cm="1">
        <f t="array" ref="P14">_xlfn.IFS($AE$7=$AE$9,P$3*$AE14*$AB14,$AE$7=$AF$9,P$3*$AF14*$AB14,$AE$7=$AG$9,P$3*$AG14*$AB14)</f>
        <v>41929.798369707845</v>
      </c>
      <c r="Q14" s="190" cm="1">
        <f t="array" ref="Q14">_xlfn.IFS($AE$7=$AE$9,Q$3*$AE14*$AB14,$AE$7=$AF$9,Q$3*$AF14*$AB14,$AE$7=$AG$9,Q$3*$AG14*$AB14)</f>
        <v>41105.016096005173</v>
      </c>
      <c r="R14" s="190" cm="1">
        <f t="array" ref="R14">_xlfn.IFS($AE$7=$AE$9,R$3*$AE14*$AB14,$AE$7=$AF$9,R$3*$AF14*$AB14,$AE$7=$AG$9,R$3*$AG14*$AB14)</f>
        <v>45045.843205076242</v>
      </c>
      <c r="S14" s="190" cm="1">
        <f t="array" ref="S14">_xlfn.IFS($AE$7=$AE$9,S$3*$AE14*$AB14,$AE$7=$AF$9,S$3*$AF14*$AB14,$AE$7=$AG$9,S$3*$AG14*$AB14)</f>
        <v>52818.03000352197</v>
      </c>
      <c r="T14" s="190" cm="1">
        <f t="array" ref="T14">_xlfn.IFS($AE$7=$AE$9,T$3*$AE14*$AB14,$AE$7=$AF$9,T$3*$AF14*$AB14,$AE$7=$AG$9,T$3*$AG14*$AB14)</f>
        <v>48384.599505817008</v>
      </c>
      <c r="U14" s="190" cm="1">
        <f t="array" ref="U14">_xlfn.IFS($AE$7=$AE$9,U$3*$AE14*$AB14,$AE$7=$AF$9,U$3*$AF14*$AB14,$AE$7=$AG$9,U$3*$AG14*$AB14)</f>
        <v>42473.358842210408</v>
      </c>
      <c r="V14" s="190" cm="1">
        <f t="array" ref="V14">_xlfn.IFS($AE$7=$AE$9,V$3*$AE14*$AB14,$AE$7=$AF$9,V$3*$AF14*$AB14,$AE$7=$AG$9,V$3*$AG14*$AB14)</f>
        <v>40366.111013054353</v>
      </c>
      <c r="W14" s="190" cm="1">
        <f t="array" ref="W14">_xlfn.IFS($AE$7=$AE$9,W$3*$AE14*$AB14,$AE$7=$AF$9,W$3*$AF14*$AB14,$AE$7=$AG$9,W$3*$AG14*$AB14)</f>
        <v>37355.756971402836</v>
      </c>
      <c r="X14" s="190" cm="1">
        <f t="array" ref="X14">_xlfn.IFS($AE$7=$AE$9,X$3*$AE14*$AB14,$AE$7=$AF$9,X$3*$AF14*$AB14,$AE$7=$AG$9,X$3*$AG14*$AB14)</f>
        <v>37355.756971402836</v>
      </c>
      <c r="Y14" s="190" cm="1">
        <f t="array" ref="Y14">_xlfn.IFS($AE$7=$AE$9,Y$3*$AE14*$AB14,$AE$7=$AF$9,Y$3*$AF14*$AB14,$AE$7=$AG$9,Y$3*$AG14*$AB14)</f>
        <v>37355.756971402836</v>
      </c>
      <c r="Z14" s="190" cm="1">
        <f t="array" ref="Z14">_xlfn.IFS($AE$7=$AE$9,Z$3*$AE14*$AB14,$AE$7=$AF$9,Z$3*$AF14*$AB14,$AE$7=$AG$9,Z$3*$AG14*$AB14)</f>
        <v>48849.836039526788</v>
      </c>
      <c r="AA14" s="190"/>
      <c r="AB14" s="188">
        <f>AD14/SUM($AD$10:$AD$14)</f>
        <v>5.5026960077030035E-2</v>
      </c>
      <c r="AC14" s="184" t="str">
        <f>+A14&amp;"-"&amp;B14</f>
        <v>130-3505</v>
      </c>
      <c r="AD14" s="212">
        <v>-373962.54</v>
      </c>
      <c r="AE14" s="218">
        <f t="shared" si="7"/>
        <v>0.5714285714285714</v>
      </c>
      <c r="AF14" s="218">
        <f t="shared" si="7"/>
        <v>0.49733539497357082</v>
      </c>
      <c r="AG14" s="218">
        <f t="shared" si="7"/>
        <v>0.58916898424662745</v>
      </c>
    </row>
    <row r="15" spans="1:33" outlineLevel="1" x14ac:dyDescent="0.2">
      <c r="C15" s="190"/>
      <c r="D15" s="190"/>
      <c r="E15" s="190"/>
      <c r="F15" s="190"/>
      <c r="G15" s="190"/>
      <c r="H15" s="190"/>
      <c r="I15" s="190"/>
      <c r="J15" s="190"/>
      <c r="K15" s="190"/>
      <c r="L15" s="190"/>
      <c r="M15" s="190"/>
      <c r="N15" s="190"/>
      <c r="O15" s="190"/>
      <c r="P15" s="190"/>
      <c r="Q15" s="190"/>
      <c r="R15" s="190"/>
      <c r="S15" s="190"/>
      <c r="T15" s="190"/>
      <c r="U15" s="190"/>
      <c r="V15" s="190"/>
      <c r="W15" s="190"/>
      <c r="X15" s="190"/>
      <c r="Y15" s="190"/>
      <c r="Z15" s="190"/>
      <c r="AA15" s="190"/>
      <c r="AD15" s="212"/>
      <c r="AE15" s="218"/>
      <c r="AF15" s="218"/>
      <c r="AG15" s="218"/>
    </row>
    <row r="16" spans="1:33" outlineLevel="1" x14ac:dyDescent="0.2">
      <c r="A16" s="184">
        <v>230</v>
      </c>
      <c r="B16" s="187" t="s">
        <v>175</v>
      </c>
      <c r="C16" s="190"/>
      <c r="D16" s="190"/>
      <c r="E16" s="190"/>
      <c r="F16" s="190"/>
      <c r="G16" s="190" cm="1">
        <f t="array" ref="G16">_xlfn.IFS($AE$7=$AE$9,G$3*$AE16*$AB16,$AE$7=$AF$9,G$3*$AF16*$AB16,$AE$7=$AG$9,G$3*$AG16*$AB16)</f>
        <v>139856.58399391326</v>
      </c>
      <c r="H16" s="190" cm="1">
        <f t="array" ref="H16">_xlfn.IFS($AE$7=$AE$9,H$3*$AE16*$AB16,$AE$7=$AF$9,H$3*$AF16*$AB16,$AE$7=$AG$9,H$3*$AG16*$AB16)</f>
        <v>141255.1498338524</v>
      </c>
      <c r="I16" s="190" cm="1">
        <f t="array" ref="I16">_xlfn.IFS($AE$7=$AE$9,I$3*$AE16*$AB16,$AE$7=$AF$9,I$3*$AF16*$AB16,$AE$7=$AG$9,I$3*$AG16*$AB16)</f>
        <v>142667.70133219092</v>
      </c>
      <c r="J16" s="190" cm="1">
        <f t="array" ref="J16">_xlfn.IFS($AE$7=$AE$9,J$3*$AE16*$AB16,$AE$7=$AF$9,J$3*$AF16*$AB16,$AE$7=$AG$9,J$3*$AG16*$AB16)</f>
        <v>144094.37834551284</v>
      </c>
      <c r="K16" s="190" cm="1">
        <f t="array" ref="K16">_xlfn.IFS($AE$7=$AE$9,K$3*$AE16*$AB16,$AE$7=$AF$9,K$3*$AF16*$AB16,$AE$7=$AG$9,K$3*$AG16*$AB16)</f>
        <v>145535.32212896796</v>
      </c>
      <c r="L16" s="190" cm="1">
        <f t="array" ref="L16">_xlfn.IFS($AE$7=$AE$9,L$3*$AE16*$AB16,$AE$7=$AF$9,L$3*$AF16*$AB16,$AE$7=$AG$9,L$3*$AG16*$AB16)</f>
        <v>93228.745381879489</v>
      </c>
      <c r="M16" s="190" cm="1">
        <f t="array" ref="M16">_xlfn.IFS($AE$7=$AE$9,M$3*$AE16*$AB16,$AE$7=$AF$9,M$3*$AF16*$AB16,$AE$7=$AG$9,M$3*$AG16*$AB16)</f>
        <v>92492.687110150277</v>
      </c>
      <c r="N16" s="190" cm="1">
        <f t="array" ref="N16">_xlfn.IFS($AE$7=$AE$9,N$3*$AE16*$AB16,$AE$7=$AF$9,N$3*$AF16*$AB16,$AE$7=$AG$9,N$3*$AG16*$AB16)</f>
        <v>132346.30118305545</v>
      </c>
      <c r="O16" s="190" cm="1">
        <f t="array" ref="O16">_xlfn.IFS($AE$7=$AE$9,O$3*$AE16*$AB16,$AE$7=$AF$9,O$3*$AF16*$AB16,$AE$7=$AG$9,O$3*$AG16*$AB16)</f>
        <v>106939.88798633682</v>
      </c>
      <c r="P16" s="190" cm="1">
        <f t="array" ref="P16">_xlfn.IFS($AE$7=$AE$9,P$3*$AE16*$AB16,$AE$7=$AF$9,P$3*$AF16*$AB16,$AE$7=$AG$9,P$3*$AG16*$AB16)</f>
        <v>120652.9205446319</v>
      </c>
      <c r="Q16" s="190" cm="1">
        <f t="array" ref="Q16">_xlfn.IFS($AE$7=$AE$9,Q$3*$AE16*$AB16,$AE$7=$AF$9,Q$3*$AF16*$AB16,$AE$7=$AG$9,Q$3*$AG16*$AB16)</f>
        <v>118279.61101287033</v>
      </c>
      <c r="R16" s="190" cm="1">
        <f t="array" ref="R16">_xlfn.IFS($AE$7=$AE$9,R$3*$AE16*$AB16,$AE$7=$AF$9,R$3*$AF16*$AB16,$AE$7=$AG$9,R$3*$AG16*$AB16)</f>
        <v>129619.33403940384</v>
      </c>
      <c r="S16" s="190" cm="1">
        <f t="array" ref="S16">_xlfn.IFS($AE$7=$AE$9,S$3*$AE16*$AB16,$AE$7=$AF$9,S$3*$AF16*$AB16,$AE$7=$AG$9,S$3*$AG16*$AB16)</f>
        <v>151983.78778617826</v>
      </c>
      <c r="T16" s="190" cm="1">
        <f t="array" ref="T16">_xlfn.IFS($AE$7=$AE$9,T$3*$AE16*$AB16,$AE$7=$AF$9,T$3*$AF16*$AB16,$AE$7=$AG$9,T$3*$AG16*$AB16)</f>
        <v>139226.59938132807</v>
      </c>
      <c r="U16" s="190" cm="1">
        <f t="array" ref="U16">_xlfn.IFS($AE$7=$AE$9,U$3*$AE16*$AB16,$AE$7=$AF$9,U$3*$AF16*$AB16,$AE$7=$AG$9,U$3*$AG16*$AB16)</f>
        <v>122217.01484152779</v>
      </c>
      <c r="V16" s="190" cm="1">
        <f t="array" ref="V16">_xlfn.IFS($AE$7=$AE$9,V$3*$AE16*$AB16,$AE$7=$AF$9,V$3*$AF16*$AB16,$AE$7=$AG$9,V$3*$AG16*$AB16)</f>
        <v>116153.41294539531</v>
      </c>
      <c r="W16" s="190" cm="1">
        <f t="array" ref="W16">_xlfn.IFS($AE$7=$AE$9,W$3*$AE16*$AB16,$AE$7=$AF$9,W$3*$AF16*$AB16,$AE$7=$AG$9,W$3*$AG16*$AB16)</f>
        <v>107491.12452234887</v>
      </c>
      <c r="X16" s="190" cm="1">
        <f t="array" ref="X16">_xlfn.IFS($AE$7=$AE$9,X$3*$AE16*$AB16,$AE$7=$AF$9,X$3*$AF16*$AB16,$AE$7=$AG$9,X$3*$AG16*$AB16)</f>
        <v>107491.12452234887</v>
      </c>
      <c r="Y16" s="190" cm="1">
        <f t="array" ref="Y16">_xlfn.IFS($AE$7=$AE$9,Y$3*$AE16*$AB16,$AE$7=$AF$9,Y$3*$AF16*$AB16,$AE$7=$AG$9,Y$3*$AG16*$AB16)</f>
        <v>107491.12452234887</v>
      </c>
      <c r="Z16" s="190" cm="1">
        <f t="array" ref="Z16">_xlfn.IFS($AE$7=$AE$9,Z$3*$AE16*$AB16,$AE$7=$AF$9,Z$3*$AF16*$AB16,$AE$7=$AG$9,Z$3*$AG16*$AB16)</f>
        <v>140565.31668307158</v>
      </c>
      <c r="AA16" s="190"/>
      <c r="AB16" s="188">
        <f>AD16/SUM($AD$16:$AD$20)</f>
        <v>0.31012230558722653</v>
      </c>
      <c r="AC16" s="184" t="str">
        <f>+A16&amp;"-"&amp;B16</f>
        <v>230-3465</v>
      </c>
      <c r="AD16" s="212">
        <v>-1271501.18</v>
      </c>
      <c r="AE16" s="218">
        <f>'Input Sheet'!O43/SUM('Input Sheet'!O42:O45)</f>
        <v>0.2857142857142857</v>
      </c>
      <c r="AF16" s="218">
        <f>'GP &amp; SE % Contribution'!D6</f>
        <v>0.25392587103348579</v>
      </c>
      <c r="AG16" s="218">
        <f>'GP &amp; SE % Contribution'!F6</f>
        <v>0.28491508483174488</v>
      </c>
    </row>
    <row r="17" spans="1:33" outlineLevel="1" x14ac:dyDescent="0.2">
      <c r="A17" s="184">
        <v>230</v>
      </c>
      <c r="B17" s="187" t="s">
        <v>176</v>
      </c>
      <c r="C17" s="190"/>
      <c r="D17" s="190"/>
      <c r="E17" s="190"/>
      <c r="F17" s="190"/>
      <c r="G17" s="190" cm="1">
        <f t="array" ref="G17">_xlfn.IFS($AE$7=$AE$9,G$3*$AE17*$AB17,$AE$7=$AF$9,G$3*$AF17*$AB17,$AE$7=$AG$9,G$3*$AG17*$AB17)</f>
        <v>179914.98236285313</v>
      </c>
      <c r="H17" s="190" cm="1">
        <f t="array" ref="H17">_xlfn.IFS($AE$7=$AE$9,H$3*$AE17*$AB17,$AE$7=$AF$9,H$3*$AF17*$AB17,$AE$7=$AG$9,H$3*$AG17*$AB17)</f>
        <v>181714.13218648164</v>
      </c>
      <c r="I17" s="190" cm="1">
        <f t="array" ref="I17">_xlfn.IFS($AE$7=$AE$9,I$3*$AE17*$AB17,$AE$7=$AF$9,I$3*$AF17*$AB17,$AE$7=$AG$9,I$3*$AG17*$AB17)</f>
        <v>183531.27350834649</v>
      </c>
      <c r="J17" s="190" cm="1">
        <f t="array" ref="J17">_xlfn.IFS($AE$7=$AE$9,J$3*$AE17*$AB17,$AE$7=$AF$9,J$3*$AF17*$AB17,$AE$7=$AG$9,J$3*$AG17*$AB17)</f>
        <v>185366.58624342995</v>
      </c>
      <c r="K17" s="190" cm="1">
        <f t="array" ref="K17">_xlfn.IFS($AE$7=$AE$9,K$3*$AE17*$AB17,$AE$7=$AF$9,K$3*$AF17*$AB17,$AE$7=$AG$9,K$3*$AG17*$AB17)</f>
        <v>187220.25210586423</v>
      </c>
      <c r="L17" s="190" cm="1">
        <f t="array" ref="L17">_xlfn.IFS($AE$7=$AE$9,L$3*$AE17*$AB17,$AE$7=$AF$9,L$3*$AF17*$AB17,$AE$7=$AG$9,L$3*$AG17*$AB17)</f>
        <v>119931.77297839455</v>
      </c>
      <c r="M17" s="190" cm="1">
        <f t="array" ref="M17">_xlfn.IFS($AE$7=$AE$9,M$3*$AE17*$AB17,$AE$7=$AF$9,M$3*$AF17*$AB17,$AE$7=$AG$9,M$3*$AG17*$AB17)</f>
        <v>118984.88934092519</v>
      </c>
      <c r="N17" s="190" cm="1">
        <f t="array" ref="N17">_xlfn.IFS($AE$7=$AE$9,N$3*$AE17*$AB17,$AE$7=$AF$9,N$3*$AF17*$AB17,$AE$7=$AG$9,N$3*$AG17*$AB17)</f>
        <v>170253.56807066413</v>
      </c>
      <c r="O17" s="190" cm="1">
        <f t="array" ref="O17">_xlfn.IFS($AE$7=$AE$9,O$3*$AE17*$AB17,$AE$7=$AF$9,O$3*$AF17*$AB17,$AE$7=$AG$9,O$3*$AG17*$AB17)</f>
        <v>137570.12727970412</v>
      </c>
      <c r="P17" s="190" cm="1">
        <f t="array" ref="P17">_xlfn.IFS($AE$7=$AE$9,P$3*$AE17*$AB17,$AE$7=$AF$9,P$3*$AF17*$AB17,$AE$7=$AG$9,P$3*$AG17*$AB17)</f>
        <v>155210.91286455916</v>
      </c>
      <c r="Q17" s="190" cm="1">
        <f t="array" ref="Q17">_xlfn.IFS($AE$7=$AE$9,Q$3*$AE17*$AB17,$AE$7=$AF$9,Q$3*$AF17*$AB17,$AE$7=$AG$9,Q$3*$AG17*$AB17)</f>
        <v>152157.82855236789</v>
      </c>
      <c r="R17" s="190" cm="1">
        <f t="array" ref="R17">_xlfn.IFS($AE$7=$AE$9,R$3*$AE17*$AB17,$AE$7=$AF$9,R$3*$AF17*$AB17,$AE$7=$AG$9,R$3*$AG17*$AB17)</f>
        <v>166745.52982503167</v>
      </c>
      <c r="S17" s="190" cm="1">
        <f t="array" ref="S17">_xlfn.IFS($AE$7=$AE$9,S$3*$AE17*$AB17,$AE$7=$AF$9,S$3*$AF17*$AB17,$AE$7=$AG$9,S$3*$AG17*$AB17)</f>
        <v>195515.71844611855</v>
      </c>
      <c r="T17" s="190" cm="1">
        <f t="array" ref="T17">_xlfn.IFS($AE$7=$AE$9,T$3*$AE17*$AB17,$AE$7=$AF$9,T$3*$AF17*$AB17,$AE$7=$AG$9,T$3*$AG17*$AB17)</f>
        <v>179104.55451437179</v>
      </c>
      <c r="U17" s="190" cm="1">
        <f t="array" ref="U17">_xlfn.IFS($AE$7=$AE$9,U$3*$AE17*$AB17,$AE$7=$AF$9,U$3*$AF17*$AB17,$AE$7=$AG$9,U$3*$AG17*$AB17)</f>
        <v>157223.00260537615</v>
      </c>
      <c r="V17" s="190" cm="1">
        <f t="array" ref="V17">_xlfn.IFS($AE$7=$AE$9,V$3*$AE17*$AB17,$AE$7=$AF$9,V$3*$AF17*$AB17,$AE$7=$AG$9,V$3*$AG17*$AB17)</f>
        <v>149422.63456374346</v>
      </c>
      <c r="W17" s="190" cm="1">
        <f t="array" ref="W17">_xlfn.IFS($AE$7=$AE$9,W$3*$AE17*$AB17,$AE$7=$AF$9,W$3*$AF17*$AB17,$AE$7=$AG$9,W$3*$AG17*$AB17)</f>
        <v>138279.25164712529</v>
      </c>
      <c r="X17" s="190" cm="1">
        <f t="array" ref="X17">_xlfn.IFS($AE$7=$AE$9,X$3*$AE17*$AB17,$AE$7=$AF$9,X$3*$AF17*$AB17,$AE$7=$AG$9,X$3*$AG17*$AB17)</f>
        <v>138279.25164712529</v>
      </c>
      <c r="Y17" s="190" cm="1">
        <f t="array" ref="Y17">_xlfn.IFS($AE$7=$AE$9,Y$3*$AE17*$AB17,$AE$7=$AF$9,Y$3*$AF17*$AB17,$AE$7=$AG$9,Y$3*$AG17*$AB17)</f>
        <v>138279.25164712529</v>
      </c>
      <c r="Z17" s="190" cm="1">
        <f t="array" ref="Z17">_xlfn.IFS($AE$7=$AE$9,Z$3*$AE17*$AB17,$AE$7=$AF$9,Z$3*$AF17*$AB17,$AE$7=$AG$9,Z$3*$AG17*$AB17)</f>
        <v>180826.71369239461</v>
      </c>
      <c r="AA17" s="190"/>
      <c r="AB17" s="188">
        <f t="shared" ref="AB17:AB20" si="8">AD17/SUM($AD$16:$AD$20)</f>
        <v>0.39894903440857321</v>
      </c>
      <c r="AC17" s="184" t="str">
        <f>+A17&amp;"-"&amp;B17</f>
        <v>230-3466</v>
      </c>
      <c r="AD17" s="212">
        <v>-1635690.69</v>
      </c>
      <c r="AE17" s="218">
        <f>AE$16</f>
        <v>0.2857142857142857</v>
      </c>
      <c r="AF17" s="218">
        <f t="shared" ref="AF17:AG17" si="9">AF$16</f>
        <v>0.25392587103348579</v>
      </c>
      <c r="AG17" s="218">
        <f t="shared" si="9"/>
        <v>0.28491508483174488</v>
      </c>
    </row>
    <row r="18" spans="1:33" outlineLevel="1" x14ac:dyDescent="0.2">
      <c r="A18" s="184">
        <v>230</v>
      </c>
      <c r="B18" s="187" t="s">
        <v>177</v>
      </c>
      <c r="C18" s="190"/>
      <c r="D18" s="190"/>
      <c r="E18" s="190"/>
      <c r="F18" s="190"/>
      <c r="G18" s="190" cm="1">
        <f t="array" ref="G18">_xlfn.IFS($AE$7=$AE$9,G$3*$AE18*$AB18,$AE$7=$AF$9,G$3*$AF18*$AB18,$AE$7=$AG$9,G$3*$AG18*$AB18)</f>
        <v>54081.148921849759</v>
      </c>
      <c r="H18" s="190" cm="1">
        <f t="array" ref="H18">_xlfn.IFS($AE$7=$AE$9,H$3*$AE18*$AB18,$AE$7=$AF$9,H$3*$AF18*$AB18,$AE$7=$AG$9,H$3*$AG18*$AB18)</f>
        <v>54621.960411068249</v>
      </c>
      <c r="I18" s="190" cm="1">
        <f t="array" ref="I18">_xlfn.IFS($AE$7=$AE$9,I$3*$AE18*$AB18,$AE$7=$AF$9,I$3*$AF18*$AB18,$AE$7=$AG$9,I$3*$AG18*$AB18)</f>
        <v>55168.180015178943</v>
      </c>
      <c r="J18" s="190" cm="1">
        <f t="array" ref="J18">_xlfn.IFS($AE$7=$AE$9,J$3*$AE18*$AB18,$AE$7=$AF$9,J$3*$AF18*$AB18,$AE$7=$AG$9,J$3*$AG18*$AB18)</f>
        <v>55719.861815330725</v>
      </c>
      <c r="K18" s="190" cm="1">
        <f t="array" ref="K18">_xlfn.IFS($AE$7=$AE$9,K$3*$AE18*$AB18,$AE$7=$AF$9,K$3*$AF18*$AB18,$AE$7=$AG$9,K$3*$AG18*$AB18)</f>
        <v>56277.060433484032</v>
      </c>
      <c r="L18" s="190" cm="1">
        <f t="array" ref="L18">_xlfn.IFS($AE$7=$AE$9,L$3*$AE18*$AB18,$AE$7=$AF$9,L$3*$AF18*$AB18,$AE$7=$AG$9,L$3*$AG18*$AB18)</f>
        <v>36050.627856133455</v>
      </c>
      <c r="M18" s="190" cm="1">
        <f t="array" ref="M18">_xlfn.IFS($AE$7=$AE$9,M$3*$AE18*$AB18,$AE$7=$AF$9,M$3*$AF18*$AB18,$AE$7=$AG$9,M$3*$AG18*$AB18)</f>
        <v>35766.001449054333</v>
      </c>
      <c r="N18" s="190" cm="1">
        <f t="array" ref="N18">_xlfn.IFS($AE$7=$AE$9,N$3*$AE18*$AB18,$AE$7=$AF$9,N$3*$AF18*$AB18,$AE$7=$AG$9,N$3*$AG18*$AB18)</f>
        <v>51176.997314965898</v>
      </c>
      <c r="O18" s="190" cm="1">
        <f t="array" ref="O18">_xlfn.IFS($AE$7=$AE$9,O$3*$AE18*$AB18,$AE$7=$AF$9,O$3*$AF18*$AB18,$AE$7=$AG$9,O$3*$AG18*$AB18)</f>
        <v>41352.590222900879</v>
      </c>
      <c r="P18" s="190" cm="1">
        <f t="array" ref="P18">_xlfn.IFS($AE$7=$AE$9,P$3*$AE18*$AB18,$AE$7=$AF$9,P$3*$AF18*$AB18,$AE$7=$AG$9,P$3*$AG18*$AB18)</f>
        <v>46655.283416005084</v>
      </c>
      <c r="Q18" s="190" cm="1">
        <f t="array" ref="Q18">_xlfn.IFS($AE$7=$AE$9,Q$3*$AE18*$AB18,$AE$7=$AF$9,Q$3*$AF18*$AB18,$AE$7=$AG$9,Q$3*$AG18*$AB18)</f>
        <v>45737.548243591402</v>
      </c>
      <c r="R18" s="190" cm="1">
        <f t="array" ref="R18">_xlfn.IFS($AE$7=$AE$9,R$3*$AE18*$AB18,$AE$7=$AF$9,R$3*$AF18*$AB18,$AE$7=$AG$9,R$3*$AG18*$AB18)</f>
        <v>50122.506264281925</v>
      </c>
      <c r="S18" s="190" cm="1">
        <f t="array" ref="S18">_xlfn.IFS($AE$7=$AE$9,S$3*$AE18*$AB18,$AE$7=$AF$9,S$3*$AF18*$AB18,$AE$7=$AG$9,S$3*$AG18*$AB18)</f>
        <v>58770.617916199342</v>
      </c>
      <c r="T18" s="190" cm="1">
        <f t="array" ref="T18">_xlfn.IFS($AE$7=$AE$9,T$3*$AE18*$AB18,$AE$7=$AF$9,T$3*$AF18*$AB18,$AE$7=$AG$9,T$3*$AG18*$AB18)</f>
        <v>53837.540142922502</v>
      </c>
      <c r="U18" s="190" cm="1">
        <f t="array" ref="U18">_xlfn.IFS($AE$7=$AE$9,U$3*$AE18*$AB18,$AE$7=$AF$9,U$3*$AF18*$AB18,$AE$7=$AG$9,U$3*$AG18*$AB18)</f>
        <v>47260.103111886718</v>
      </c>
      <c r="V18" s="190" cm="1">
        <f t="array" ref="V18">_xlfn.IFS($AE$7=$AE$9,V$3*$AE18*$AB18,$AE$7=$AF$9,V$3*$AF18*$AB18,$AE$7=$AG$9,V$3*$AG18*$AB18)</f>
        <v>44915.36861471193</v>
      </c>
      <c r="W18" s="190" cm="1">
        <f t="array" ref="W18">_xlfn.IFS($AE$7=$AE$9,W$3*$AE18*$AB18,$AE$7=$AF$9,W$3*$AF18*$AB18,$AE$7=$AG$9,W$3*$AG18*$AB18)</f>
        <v>41565.747904462223</v>
      </c>
      <c r="X18" s="190" cm="1">
        <f t="array" ref="X18">_xlfn.IFS($AE$7=$AE$9,X$3*$AE18*$AB18,$AE$7=$AF$9,X$3*$AF18*$AB18,$AE$7=$AG$9,X$3*$AG18*$AB18)</f>
        <v>41565.747904462223</v>
      </c>
      <c r="Y18" s="190" cm="1">
        <f t="array" ref="Y18">_xlfn.IFS($AE$7=$AE$9,Y$3*$AE18*$AB18,$AE$7=$AF$9,Y$3*$AF18*$AB18,$AE$7=$AG$9,Y$3*$AG18*$AB18)</f>
        <v>41565.747904462223</v>
      </c>
      <c r="Z18" s="190" cm="1">
        <f t="array" ref="Z18">_xlfn.IFS($AE$7=$AE$9,Z$3*$AE18*$AB18,$AE$7=$AF$9,Z$3*$AF18*$AB18,$AE$7=$AG$9,Z$3*$AG18*$AB18)</f>
        <v>54355.208798142907</v>
      </c>
      <c r="AA18" s="190"/>
      <c r="AB18" s="188">
        <f t="shared" si="8"/>
        <v>0.11992120866601551</v>
      </c>
      <c r="AC18" s="184" t="str">
        <f>+A18&amp;"-"&amp;B18</f>
        <v>230-3475</v>
      </c>
      <c r="AD18" s="212">
        <v>-491676.85</v>
      </c>
      <c r="AE18" s="218">
        <f t="shared" ref="AE18:AG20" si="10">AE$16</f>
        <v>0.2857142857142857</v>
      </c>
      <c r="AF18" s="218">
        <f t="shared" si="10"/>
        <v>0.25392587103348579</v>
      </c>
      <c r="AG18" s="218">
        <f t="shared" si="10"/>
        <v>0.28491508483174488</v>
      </c>
    </row>
    <row r="19" spans="1:33" outlineLevel="1" x14ac:dyDescent="0.2">
      <c r="A19" s="184">
        <v>230</v>
      </c>
      <c r="B19" s="187" t="s">
        <v>178</v>
      </c>
      <c r="C19" s="190"/>
      <c r="D19" s="190"/>
      <c r="E19" s="190"/>
      <c r="F19" s="190"/>
      <c r="G19" s="190" cm="1">
        <f t="array" ref="G19">_xlfn.IFS($AE$7=$AE$9,G$3*$AE19*$AB19,$AE$7=$AF$9,G$3*$AF19*$AB19,$AE$7=$AG$9,G$3*$AG19*$AB19)</f>
        <v>62328.476876569373</v>
      </c>
      <c r="H19" s="190" cm="1">
        <f t="array" ref="H19">_xlfn.IFS($AE$7=$AE$9,H$3*$AE19*$AB19,$AE$7=$AF$9,H$3*$AF19*$AB19,$AE$7=$AG$9,H$3*$AG19*$AB19)</f>
        <v>62951.761645335064</v>
      </c>
      <c r="I19" s="190" cm="1">
        <f t="array" ref="I19">_xlfn.IFS($AE$7=$AE$9,I$3*$AE19*$AB19,$AE$7=$AF$9,I$3*$AF19*$AB19,$AE$7=$AG$9,I$3*$AG19*$AB19)</f>
        <v>63581.279261788419</v>
      </c>
      <c r="J19" s="190" cm="1">
        <f t="array" ref="J19">_xlfn.IFS($AE$7=$AE$9,J$3*$AE19*$AB19,$AE$7=$AF$9,J$3*$AF19*$AB19,$AE$7=$AG$9,J$3*$AG19*$AB19)</f>
        <v>64217.092054406305</v>
      </c>
      <c r="K19" s="190" cm="1">
        <f t="array" ref="K19">_xlfn.IFS($AE$7=$AE$9,K$3*$AE19*$AB19,$AE$7=$AF$9,K$3*$AF19*$AB19,$AE$7=$AG$9,K$3*$AG19*$AB19)</f>
        <v>64859.262974950361</v>
      </c>
      <c r="L19" s="190" cm="1">
        <f t="array" ref="L19">_xlfn.IFS($AE$7=$AE$9,L$3*$AE19*$AB19,$AE$7=$AF$9,L$3*$AF19*$AB19,$AE$7=$AG$9,L$3*$AG19*$AB19)</f>
        <v>41548.317103318805</v>
      </c>
      <c r="M19" s="190" cm="1">
        <f t="array" ref="M19">_xlfn.IFS($AE$7=$AE$9,M$3*$AE19*$AB19,$AE$7=$AF$9,M$3*$AF19*$AB19,$AE$7=$AG$9,M$3*$AG19*$AB19)</f>
        <v>41220.28541786538</v>
      </c>
      <c r="N19" s="190" cm="1">
        <f t="array" ref="N19">_xlfn.IFS($AE$7=$AE$9,N$3*$AE19*$AB19,$AE$7=$AF$9,N$3*$AF19*$AB19,$AE$7=$AG$9,N$3*$AG19*$AB19)</f>
        <v>58981.444687270217</v>
      </c>
      <c r="O19" s="190" cm="1">
        <f t="array" ref="O19">_xlfn.IFS($AE$7=$AE$9,O$3*$AE19*$AB19,$AE$7=$AF$9,O$3*$AF19*$AB19,$AE$7=$AG$9,O$3*$AG19*$AB19)</f>
        <v>47658.824098187608</v>
      </c>
      <c r="P19" s="190" cm="1">
        <f t="array" ref="P19">_xlfn.IFS($AE$7=$AE$9,P$3*$AE19*$AB19,$AE$7=$AF$9,P$3*$AF19*$AB19,$AE$7=$AG$9,P$3*$AG19*$AB19)</f>
        <v>53770.173369770964</v>
      </c>
      <c r="Q19" s="190" cm="1">
        <f t="array" ref="Q19">_xlfn.IFS($AE$7=$AE$9,Q$3*$AE19*$AB19,$AE$7=$AF$9,Q$3*$AF19*$AB19,$AE$7=$AG$9,Q$3*$AG19*$AB19)</f>
        <v>52712.484385477022</v>
      </c>
      <c r="R19" s="190" cm="1">
        <f t="array" ref="R19">_xlfn.IFS($AE$7=$AE$9,R$3*$AE19*$AB19,$AE$7=$AF$9,R$3*$AF19*$AB19,$AE$7=$AG$9,R$3*$AG19*$AB19)</f>
        <v>57766.14467276643</v>
      </c>
      <c r="S19" s="190" cm="1">
        <f t="array" ref="S19">_xlfn.IFS($AE$7=$AE$9,S$3*$AE19*$AB19,$AE$7=$AF$9,S$3*$AF19*$AB19,$AE$7=$AG$9,S$3*$AG19*$AB19)</f>
        <v>67733.085794920538</v>
      </c>
      <c r="T19" s="190" cm="1">
        <f t="array" ref="T19">_xlfn.IFS($AE$7=$AE$9,T$3*$AE19*$AB19,$AE$7=$AF$9,T$3*$AF19*$AB19,$AE$7=$AG$9,T$3*$AG19*$AB19)</f>
        <v>62047.717971719954</v>
      </c>
      <c r="U19" s="190" cm="1">
        <f t="array" ref="U19">_xlfn.IFS($AE$7=$AE$9,U$3*$AE19*$AB19,$AE$7=$AF$9,U$3*$AF19*$AB19,$AE$7=$AG$9,U$3*$AG19*$AB19)</f>
        <v>54467.22754078584</v>
      </c>
      <c r="V19" s="190" cm="1">
        <f t="array" ref="V19">_xlfn.IFS($AE$7=$AE$9,V$3*$AE19*$AB19,$AE$7=$AF$9,V$3*$AF19*$AB19,$AE$7=$AG$9,V$3*$AG19*$AB19)</f>
        <v>51764.923081610264</v>
      </c>
      <c r="W19" s="190" cm="1">
        <f t="array" ref="W19">_xlfn.IFS($AE$7=$AE$9,W$3*$AE19*$AB19,$AE$7=$AF$9,W$3*$AF19*$AB19,$AE$7=$AG$9,W$3*$AG19*$AB19)</f>
        <v>47904.488139930851</v>
      </c>
      <c r="X19" s="190" cm="1">
        <f t="array" ref="X19">_xlfn.IFS($AE$7=$AE$9,X$3*$AE19*$AB19,$AE$7=$AF$9,X$3*$AF19*$AB19,$AE$7=$AG$9,X$3*$AG19*$AB19)</f>
        <v>47904.488139930851</v>
      </c>
      <c r="Y19" s="190" cm="1">
        <f t="array" ref="Y19">_xlfn.IFS($AE$7=$AE$9,Y$3*$AE19*$AB19,$AE$7=$AF$9,Y$3*$AF19*$AB19,$AE$7=$AG$9,Y$3*$AG19*$AB19)</f>
        <v>47904.488139930851</v>
      </c>
      <c r="Z19" s="190" cm="1">
        <f t="array" ref="Z19">_xlfn.IFS($AE$7=$AE$9,Z$3*$AE19*$AB19,$AE$7=$AF$9,Z$3*$AF19*$AB19,$AE$7=$AG$9,Z$3*$AG19*$AB19)</f>
        <v>62644.330644524955</v>
      </c>
      <c r="AA19" s="190"/>
      <c r="AB19" s="188">
        <f t="shared" si="8"/>
        <v>0.13820908820097502</v>
      </c>
      <c r="AC19" s="184" t="str">
        <f>+A19&amp;"-"&amp;B19</f>
        <v>230-3500</v>
      </c>
      <c r="AD19" s="212">
        <v>-566657.14</v>
      </c>
      <c r="AE19" s="218">
        <f t="shared" si="10"/>
        <v>0.2857142857142857</v>
      </c>
      <c r="AF19" s="218">
        <f t="shared" si="10"/>
        <v>0.25392587103348579</v>
      </c>
      <c r="AG19" s="218">
        <f t="shared" si="10"/>
        <v>0.28491508483174488</v>
      </c>
    </row>
    <row r="20" spans="1:33" outlineLevel="1" x14ac:dyDescent="0.2">
      <c r="A20" s="184">
        <v>230</v>
      </c>
      <c r="B20" s="187" t="s">
        <v>179</v>
      </c>
      <c r="C20" s="190"/>
      <c r="D20" s="190"/>
      <c r="E20" s="190"/>
      <c r="F20" s="190"/>
      <c r="G20" s="190" cm="1">
        <f t="array" ref="G20">_xlfn.IFS($AE$7=$AE$9,G$3*$AE20*$AB20,$AE$7=$AF$9,G$3*$AF20*$AB20,$AE$7=$AG$9,G$3*$AG20*$AB20)</f>
        <v>14791.154800285234</v>
      </c>
      <c r="H20" s="190" cm="1">
        <f t="array" ref="H20">_xlfn.IFS($AE$7=$AE$9,H$3*$AE20*$AB20,$AE$7=$AF$9,H$3*$AF20*$AB20,$AE$7=$AG$9,H$3*$AG20*$AB20)</f>
        <v>14939.066348288086</v>
      </c>
      <c r="I20" s="190" cm="1">
        <f t="array" ref="I20">_xlfn.IFS($AE$7=$AE$9,I$3*$AE20*$AB20,$AE$7=$AF$9,I$3*$AF20*$AB20,$AE$7=$AG$9,I$3*$AG20*$AB20)</f>
        <v>15088.457011770968</v>
      </c>
      <c r="J20" s="190" cm="1">
        <f t="array" ref="J20">_xlfn.IFS($AE$7=$AE$9,J$3*$AE20*$AB20,$AE$7=$AF$9,J$3*$AF20*$AB20,$AE$7=$AG$9,J$3*$AG20*$AB20)</f>
        <v>15239.341581888677</v>
      </c>
      <c r="K20" s="190" cm="1">
        <f t="array" ref="K20">_xlfn.IFS($AE$7=$AE$9,K$3*$AE20*$AB20,$AE$7=$AF$9,K$3*$AF20*$AB20,$AE$7=$AG$9,K$3*$AG20*$AB20)</f>
        <v>15391.734997707563</v>
      </c>
      <c r="L20" s="190" cm="1">
        <f t="array" ref="L20">_xlfn.IFS($AE$7=$AE$9,L$3*$AE20*$AB20,$AE$7=$AF$9,L$3*$AF20*$AB20,$AE$7=$AG$9,L$3*$AG20*$AB20)</f>
        <v>9859.8204346230195</v>
      </c>
      <c r="M20" s="190" cm="1">
        <f t="array" ref="M20">_xlfn.IFS($AE$7=$AE$9,M$3*$AE20*$AB20,$AE$7=$AF$9,M$3*$AF20*$AB20,$AE$7=$AG$9,M$3*$AG20*$AB20)</f>
        <v>9781.9753198041763</v>
      </c>
      <c r="N20" s="190" cm="1">
        <f t="array" ref="N20">_xlfn.IFS($AE$7=$AE$9,N$3*$AE20*$AB20,$AE$7=$AF$9,N$3*$AF20*$AB20,$AE$7=$AG$9,N$3*$AG20*$AB20)</f>
        <v>13996.871453180504</v>
      </c>
      <c r="O20" s="190" cm="1">
        <f t="array" ref="O20">_xlfn.IFS($AE$7=$AE$9,O$3*$AE20*$AB20,$AE$7=$AF$9,O$3*$AF20*$AB20,$AE$7=$AG$9,O$3*$AG20*$AB20)</f>
        <v>11309.903276344226</v>
      </c>
      <c r="P20" s="190" cm="1">
        <f t="array" ref="P20">_xlfn.IFS($AE$7=$AE$9,P$3*$AE20*$AB20,$AE$7=$AF$9,P$3*$AF20*$AB20,$AE$7=$AG$9,P$3*$AG20*$AB20)</f>
        <v>12760.185998535708</v>
      </c>
      <c r="Q20" s="190" cm="1">
        <f t="array" ref="Q20">_xlfn.IFS($AE$7=$AE$9,Q$3*$AE20*$AB20,$AE$7=$AF$9,Q$3*$AF20*$AB20,$AE$7=$AG$9,Q$3*$AG20*$AB20)</f>
        <v>12509.186097988975</v>
      </c>
      <c r="R20" s="190" cm="1">
        <f t="array" ref="R20">_xlfn.IFS($AE$7=$AE$9,R$3*$AE20*$AB20,$AE$7=$AF$9,R$3*$AF20*$AB20,$AE$7=$AG$9,R$3*$AG20*$AB20)</f>
        <v>13708.468919633724</v>
      </c>
      <c r="S20" s="190" cm="1">
        <f t="array" ref="S20">_xlfn.IFS($AE$7=$AE$9,S$3*$AE20*$AB20,$AE$7=$AF$9,S$3*$AF20*$AB20,$AE$7=$AG$9,S$3*$AG20*$AB20)</f>
        <v>16073.721151210868</v>
      </c>
      <c r="T20" s="190" cm="1">
        <f t="array" ref="T20">_xlfn.IFS($AE$7=$AE$9,T$3*$AE20*$AB20,$AE$7=$AF$9,T$3*$AF20*$AB20,$AE$7=$AG$9,T$3*$AG20*$AB20)</f>
        <v>14724.527976860525</v>
      </c>
      <c r="U20" s="190" cm="1">
        <f t="array" ref="U20">_xlfn.IFS($AE$7=$AE$9,U$3*$AE20*$AB20,$AE$7=$AF$9,U$3*$AF20*$AB20,$AE$7=$AG$9,U$3*$AG20*$AB20)</f>
        <v>12925.603744393402</v>
      </c>
      <c r="V20" s="190" cm="1">
        <f t="array" ref="V20">_xlfn.IFS($AE$7=$AE$9,V$3*$AE20*$AB20,$AE$7=$AF$9,V$3*$AF20*$AB20,$AE$7=$AG$9,V$3*$AG20*$AB20)</f>
        <v>12284.320568930585</v>
      </c>
      <c r="W20" s="190" cm="1">
        <f t="array" ref="W20">_xlfn.IFS($AE$7=$AE$9,W$3*$AE20*$AB20,$AE$7=$AF$9,W$3*$AF20*$AB20,$AE$7=$AG$9,W$3*$AG20*$AB20)</f>
        <v>11368.201746840847</v>
      </c>
      <c r="X20" s="190" cm="1">
        <f t="array" ref="X20">_xlfn.IFS($AE$7=$AE$9,X$3*$AE20*$AB20,$AE$7=$AF$9,X$3*$AF20*$AB20,$AE$7=$AG$9,X$3*$AG20*$AB20)</f>
        <v>11368.201746840847</v>
      </c>
      <c r="Y20" s="190" cm="1">
        <f t="array" ref="Y20">_xlfn.IFS($AE$7=$AE$9,Y$3*$AE20*$AB20,$AE$7=$AF$9,Y$3*$AF20*$AB20,$AE$7=$AG$9,Y$3*$AG20*$AB20)</f>
        <v>11368.201746840847</v>
      </c>
      <c r="Z20" s="190" cm="1">
        <f t="array" ref="Z20">_xlfn.IFS($AE$7=$AE$9,Z$3*$AE20*$AB20,$AE$7=$AF$9,Z$3*$AF20*$AB20,$AE$7=$AG$9,Z$3*$AG20*$AB20)</f>
        <v>14866.109976638028</v>
      </c>
      <c r="AA20" s="190"/>
      <c r="AB20" s="188">
        <f t="shared" si="8"/>
        <v>3.279836313720965E-2</v>
      </c>
      <c r="AC20" s="184" t="str">
        <f>+A20&amp;"-"&amp;B20</f>
        <v>230-3505</v>
      </c>
      <c r="AD20" s="212">
        <v>-134473.26</v>
      </c>
      <c r="AE20" s="218">
        <f t="shared" si="10"/>
        <v>0.2857142857142857</v>
      </c>
      <c r="AF20" s="218">
        <f t="shared" si="10"/>
        <v>0.25392587103348579</v>
      </c>
      <c r="AG20" s="218">
        <f t="shared" si="10"/>
        <v>0.28491508483174488</v>
      </c>
    </row>
    <row r="21" spans="1:33" outlineLevel="1" x14ac:dyDescent="0.2">
      <c r="Z21" s="184"/>
      <c r="AD21" s="212"/>
      <c r="AE21" s="218"/>
      <c r="AF21" s="218"/>
      <c r="AG21" s="218"/>
    </row>
    <row r="22" spans="1:33" outlineLevel="1" x14ac:dyDescent="0.2">
      <c r="A22" s="184">
        <v>330</v>
      </c>
      <c r="B22" s="187" t="s">
        <v>175</v>
      </c>
      <c r="C22" s="190"/>
      <c r="D22" s="190"/>
      <c r="E22" s="190"/>
      <c r="F22" s="190"/>
      <c r="G22" s="190" cm="1">
        <f t="array" ref="G22">_xlfn.IFS($AE$7=$AE$9,G$3*$AE22*$AB22,$AE$7=$AF$9,G$3*$AF22*$AB22,$AE$7=$AG$9,G$3*$AG22*$AB22)</f>
        <v>28811.941586471905</v>
      </c>
      <c r="H22" s="190" cm="1">
        <f t="array" ref="H22">_xlfn.IFS($AE$7=$AE$9,H$3*$AE22*$AB22,$AE$7=$AF$9,H$3*$AF22*$AB22,$AE$7=$AG$9,H$3*$AG22*$AB22)</f>
        <v>29100.061002336624</v>
      </c>
      <c r="I22" s="190" cm="1">
        <f t="array" ref="I22">_xlfn.IFS($AE$7=$AE$9,I$3*$AE22*$AB22,$AE$7=$AF$9,I$3*$AF22*$AB22,$AE$7=$AG$9,I$3*$AG22*$AB22)</f>
        <v>29391.061612359994</v>
      </c>
      <c r="J22" s="190" cm="1">
        <f t="array" ref="J22">_xlfn.IFS($AE$7=$AE$9,J$3*$AE22*$AB22,$AE$7=$AF$9,J$3*$AF22*$AB22,$AE$7=$AG$9,J$3*$AG22*$AB22)</f>
        <v>29684.972228483595</v>
      </c>
      <c r="K22" s="190" cm="1">
        <f t="array" ref="K22">_xlfn.IFS($AE$7=$AE$9,K$3*$AE22*$AB22,$AE$7=$AF$9,K$3*$AF22*$AB22,$AE$7=$AG$9,K$3*$AG22*$AB22)</f>
        <v>29981.82195076843</v>
      </c>
      <c r="L22" s="190" cm="1">
        <f t="array" ref="L22">_xlfn.IFS($AE$7=$AE$9,L$3*$AE22*$AB22,$AE$7=$AF$9,L$3*$AF22*$AB22,$AE$7=$AG$9,L$3*$AG22*$AB22)</f>
        <v>19206.111642478536</v>
      </c>
      <c r="M22" s="190" cm="1">
        <f t="array" ref="M22">_xlfn.IFS($AE$7=$AE$9,M$3*$AE22*$AB22,$AE$7=$AF$9,M$3*$AF22*$AB22,$AE$7=$AG$9,M$3*$AG22*$AB22)</f>
        <v>19054.47582152766</v>
      </c>
      <c r="N22" s="190" cm="1">
        <f t="array" ref="N22">_xlfn.IFS($AE$7=$AE$9,N$3*$AE22*$AB22,$AE$7=$AF$9,N$3*$AF22*$AB22,$AE$7=$AG$9,N$3*$AG22*$AB22)</f>
        <v>27264.743567866382</v>
      </c>
      <c r="O22" s="190" cm="1">
        <f t="array" ref="O22">_xlfn.IFS($AE$7=$AE$9,O$3*$AE22*$AB22,$AE$7=$AF$9,O$3*$AF22*$AB22,$AE$7=$AG$9,O$3*$AG22*$AB22)</f>
        <v>22030.752631998224</v>
      </c>
      <c r="P22" s="190" cm="1">
        <f t="array" ref="P22">_xlfn.IFS($AE$7=$AE$9,P$3*$AE22*$AB22,$AE$7=$AF$9,P$3*$AF22*$AB22,$AE$7=$AG$9,P$3*$AG22*$AB22)</f>
        <v>24855.782972079895</v>
      </c>
      <c r="Q22" s="190" cm="1">
        <f t="array" ref="Q22">_xlfn.IFS($AE$7=$AE$9,Q$3*$AE22*$AB22,$AE$7=$AF$9,Q$3*$AF22*$AB22,$AE$7=$AG$9,Q$3*$AG22*$AB22)</f>
        <v>24366.856003874327</v>
      </c>
      <c r="R22" s="190" cm="1">
        <f t="array" ref="R22">_xlfn.IFS($AE$7=$AE$9,R$3*$AE22*$AB22,$AE$7=$AF$9,R$3*$AF22*$AB22,$AE$7=$AG$9,R$3*$AG22*$AB22)</f>
        <v>26702.959375750426</v>
      </c>
      <c r="S22" s="190" cm="1">
        <f t="array" ref="S22">_xlfn.IFS($AE$7=$AE$9,S$3*$AE22*$AB22,$AE$7=$AF$9,S$3*$AF22*$AB22,$AE$7=$AG$9,S$3*$AG22*$AB22)</f>
        <v>31310.274359172738</v>
      </c>
      <c r="T22" s="190" cm="1">
        <f t="array" ref="T22">_xlfn.IFS($AE$7=$AE$9,T$3*$AE22*$AB22,$AE$7=$AF$9,T$3*$AF22*$AB22,$AE$7=$AG$9,T$3*$AG22*$AB22)</f>
        <v>28682.158065812124</v>
      </c>
      <c r="U22" s="190" cm="1">
        <f t="array" ref="U22">_xlfn.IFS($AE$7=$AE$9,U$3*$AE22*$AB22,$AE$7=$AF$9,U$3*$AF22*$AB22,$AE$7=$AG$9,U$3*$AG22*$AB22)</f>
        <v>25178.003007997973</v>
      </c>
      <c r="V22" s="190" cm="1">
        <f t="array" ref="V22">_xlfn.IFS($AE$7=$AE$9,V$3*$AE22*$AB22,$AE$7=$AF$9,V$3*$AF22*$AB22,$AE$7=$AG$9,V$3*$AG22*$AB22)</f>
        <v>23928.836621647559</v>
      </c>
      <c r="W22" s="190" cm="1">
        <f t="array" ref="W22">_xlfn.IFS($AE$7=$AE$9,W$3*$AE22*$AB22,$AE$7=$AF$9,W$3*$AF22*$AB22,$AE$7=$AG$9,W$3*$AG22*$AB22)</f>
        <v>22144.313212575536</v>
      </c>
      <c r="X22" s="190" cm="1">
        <f t="array" ref="X22">_xlfn.IFS($AE$7=$AE$9,X$3*$AE22*$AB22,$AE$7=$AF$9,X$3*$AF22*$AB22,$AE$7=$AG$9,X$3*$AG22*$AB22)</f>
        <v>22144.313212575536</v>
      </c>
      <c r="Y22" s="190" cm="1">
        <f t="array" ref="Y22">_xlfn.IFS($AE$7=$AE$9,Y$3*$AE22*$AB22,$AE$7=$AF$9,Y$3*$AF22*$AB22,$AE$7=$AG$9,Y$3*$AG22*$AB22)</f>
        <v>22144.313212575536</v>
      </c>
      <c r="Z22" s="190" cm="1">
        <f t="array" ref="Z22">_xlfn.IFS($AE$7=$AE$9,Z$3*$AE22*$AB22,$AE$7=$AF$9,Z$3*$AF22*$AB22,$AE$7=$AG$9,Z$3*$AG22*$AB22)</f>
        <v>28957.948047214166</v>
      </c>
      <c r="AA22" s="190"/>
      <c r="AB22" s="188">
        <f>AD22/SUM($AD$22:$AD$26)</f>
        <v>0.16596986807267286</v>
      </c>
      <c r="AC22" s="184" t="str">
        <f>+A22&amp;"-"&amp;B22</f>
        <v>330-3465</v>
      </c>
      <c r="AD22" s="212">
        <v>-235853.71</v>
      </c>
      <c r="AE22" s="224">
        <f>'Input Sheet'!O44/SUM('Input Sheet'!O42:O45)</f>
        <v>7.1428571428571425E-2</v>
      </c>
      <c r="AF22" s="218">
        <f>'GP &amp; SE % Contribution'!D8</f>
        <v>9.7746297390375811E-2</v>
      </c>
      <c r="AG22" s="218">
        <f>'GP &amp; SE % Contribution'!F8</f>
        <v>5.6643077787471838E-2</v>
      </c>
    </row>
    <row r="23" spans="1:33" outlineLevel="1" x14ac:dyDescent="0.2">
      <c r="A23" s="184">
        <v>330</v>
      </c>
      <c r="B23" s="187" t="s">
        <v>176</v>
      </c>
      <c r="C23" s="190"/>
      <c r="D23" s="190"/>
      <c r="E23" s="190"/>
      <c r="F23" s="190"/>
      <c r="G23" s="190" cm="1">
        <f t="array" ref="G23">_xlfn.IFS($AE$7=$AE$9,G$3*$AE23*$AB23,$AE$7=$AF$9,G$3*$AF23*$AB23,$AE$7=$AG$9,G$3*$AG23*$AB23)</f>
        <v>63149.758061596207</v>
      </c>
      <c r="H23" s="190" cm="1">
        <f t="array" ref="H23">_xlfn.IFS($AE$7=$AE$9,H$3*$AE23*$AB23,$AE$7=$AF$9,H$3*$AF23*$AB23,$AE$7=$AG$9,H$3*$AG23*$AB23)</f>
        <v>63781.255642212171</v>
      </c>
      <c r="I23" s="190" cm="1">
        <f t="array" ref="I23">_xlfn.IFS($AE$7=$AE$9,I$3*$AE23*$AB23,$AE$7=$AF$9,I$3*$AF23*$AB23,$AE$7=$AG$9,I$3*$AG23*$AB23)</f>
        <v>64419.06819863429</v>
      </c>
      <c r="J23" s="190" cm="1">
        <f t="array" ref="J23">_xlfn.IFS($AE$7=$AE$9,J$3*$AE23*$AB23,$AE$7=$AF$9,J$3*$AF23*$AB23,$AE$7=$AG$9,J$3*$AG23*$AB23)</f>
        <v>65063.25888062064</v>
      </c>
      <c r="K23" s="190" cm="1">
        <f t="array" ref="K23">_xlfn.IFS($AE$7=$AE$9,K$3*$AE23*$AB23,$AE$7=$AF$9,K$3*$AF23*$AB23,$AE$7=$AG$9,K$3*$AG23*$AB23)</f>
        <v>65713.891469426846</v>
      </c>
      <c r="L23" s="190" cm="1">
        <f t="array" ref="L23">_xlfn.IFS($AE$7=$AE$9,L$3*$AE23*$AB23,$AE$7=$AF$9,L$3*$AF23*$AB23,$AE$7=$AG$9,L$3*$AG23*$AB23)</f>
        <v>42095.785175963334</v>
      </c>
      <c r="M23" s="190" cm="1">
        <f t="array" ref="M23">_xlfn.IFS($AE$7=$AE$9,M$3*$AE23*$AB23,$AE$7=$AF$9,M$3*$AF23*$AB23,$AE$7=$AG$9,M$3*$AG23*$AB23)</f>
        <v>41763.431128327218</v>
      </c>
      <c r="N23" s="190" cm="1">
        <f t="array" ref="N23">_xlfn.IFS($AE$7=$AE$9,N$3*$AE23*$AB23,$AE$7=$AF$9,N$3*$AF23*$AB23,$AE$7=$AG$9,N$3*$AG23*$AB23)</f>
        <v>59758.623165147736</v>
      </c>
      <c r="O23" s="190" cm="1">
        <f t="array" ref="O23">_xlfn.IFS($AE$7=$AE$9,O$3*$AE23*$AB23,$AE$7=$AF$9,O$3*$AF23*$AB23,$AE$7=$AG$9,O$3*$AG23*$AB23)</f>
        <v>48286.80824754935</v>
      </c>
      <c r="P23" s="190" cm="1">
        <f t="array" ref="P23">_xlfn.IFS($AE$7=$AE$9,P$3*$AE23*$AB23,$AE$7=$AF$9,P$3*$AF23*$AB23,$AE$7=$AG$9,P$3*$AG23*$AB23)</f>
        <v>54478.684694244308</v>
      </c>
      <c r="Q23" s="190" cm="1">
        <f t="array" ref="Q23">_xlfn.IFS($AE$7=$AE$9,Q$3*$AE23*$AB23,$AE$7=$AF$9,Q$3*$AF23*$AB23,$AE$7=$AG$9,Q$3*$AG23*$AB23)</f>
        <v>53407.058901192286</v>
      </c>
      <c r="R23" s="190" cm="1">
        <f t="array" ref="R23">_xlfn.IFS($AE$7=$AE$9,R$3*$AE23*$AB23,$AE$7=$AF$9,R$3*$AF23*$AB23,$AE$7=$AG$9,R$3*$AG23*$AB23)</f>
        <v>58527.309554835221</v>
      </c>
      <c r="S23" s="190" cm="1">
        <f t="array" ref="S23">_xlfn.IFS($AE$7=$AE$9,S$3*$AE23*$AB23,$AE$7=$AF$9,S$3*$AF23*$AB23,$AE$7=$AG$9,S$3*$AG23*$AB23)</f>
        <v>68625.581677297683</v>
      </c>
      <c r="T23" s="190" cm="1">
        <f t="array" ref="T23">_xlfn.IFS($AE$7=$AE$9,T$3*$AE23*$AB23,$AE$7=$AF$9,T$3*$AF23*$AB23,$AE$7=$AG$9,T$3*$AG23*$AB23)</f>
        <v>62865.299691949374</v>
      </c>
      <c r="U23" s="190" cm="1">
        <f t="array" ref="U23">_xlfn.IFS($AE$7=$AE$9,U$3*$AE23*$AB23,$AE$7=$AF$9,U$3*$AF23*$AB23,$AE$7=$AG$9,U$3*$AG23*$AB23)</f>
        <v>55184.923711484975</v>
      </c>
      <c r="V23" s="190" cm="1">
        <f t="array" ref="V23">_xlfn.IFS($AE$7=$AE$9,V$3*$AE23*$AB23,$AE$7=$AF$9,V$3*$AF23*$AB23,$AE$7=$AG$9,V$3*$AG23*$AB23)</f>
        <v>52447.011903634237</v>
      </c>
      <c r="W23" s="190" cm="1">
        <f t="array" ref="W23">_xlfn.IFS($AE$7=$AE$9,W$3*$AE23*$AB23,$AE$7=$AF$9,W$3*$AF23*$AB23,$AE$7=$AG$9,W$3*$AG23*$AB23)</f>
        <v>48535.709320990325</v>
      </c>
      <c r="X23" s="190" cm="1">
        <f t="array" ref="X23">_xlfn.IFS($AE$7=$AE$9,X$3*$AE23*$AB23,$AE$7=$AF$9,X$3*$AF23*$AB23,$AE$7=$AG$9,X$3*$AG23*$AB23)</f>
        <v>48535.709320990325</v>
      </c>
      <c r="Y23" s="190" cm="1">
        <f t="array" ref="Y23">_xlfn.IFS($AE$7=$AE$9,Y$3*$AE23*$AB23,$AE$7=$AF$9,Y$3*$AF23*$AB23,$AE$7=$AG$9,Y$3*$AG23*$AB23)</f>
        <v>48535.709320990325</v>
      </c>
      <c r="Z23" s="190" cm="1">
        <f t="array" ref="Z23">_xlfn.IFS($AE$7=$AE$9,Z$3*$AE23*$AB23,$AE$7=$AF$9,Z$3*$AF23*$AB23,$AE$7=$AG$9,Z$3*$AG23*$AB23)</f>
        <v>63469.773727448897</v>
      </c>
      <c r="AA23" s="190"/>
      <c r="AB23" s="188">
        <f t="shared" ref="AB23:AB26" si="11">AD23/SUM($AD$22:$AD$26)</f>
        <v>0.3637712850016836</v>
      </c>
      <c r="AC23" s="184" t="str">
        <f>+A23&amp;"-"&amp;B23</f>
        <v>330-3466</v>
      </c>
      <c r="AD23" s="212">
        <v>-516942.07</v>
      </c>
      <c r="AE23" s="218">
        <f>AE$22</f>
        <v>7.1428571428571425E-2</v>
      </c>
      <c r="AF23" s="218">
        <f t="shared" ref="AF23:AG23" si="12">AF$22</f>
        <v>9.7746297390375811E-2</v>
      </c>
      <c r="AG23" s="218">
        <f t="shared" si="12"/>
        <v>5.6643077787471838E-2</v>
      </c>
    </row>
    <row r="24" spans="1:33" outlineLevel="1" x14ac:dyDescent="0.2">
      <c r="A24" s="184">
        <v>330</v>
      </c>
      <c r="B24" s="187" t="s">
        <v>177</v>
      </c>
      <c r="C24" s="190"/>
      <c r="D24" s="190"/>
      <c r="E24" s="190"/>
      <c r="F24" s="190"/>
      <c r="G24" s="190" cm="1">
        <f t="array" ref="G24">_xlfn.IFS($AE$7=$AE$9,G$3*$AE24*$AB24,$AE$7=$AF$9,G$3*$AF24*$AB24,$AE$7=$AG$9,G$3*$AG24*$AB24)</f>
        <v>49667.093161498415</v>
      </c>
      <c r="H24" s="190" cm="1">
        <f t="array" ref="H24">_xlfn.IFS($AE$7=$AE$9,H$3*$AE24*$AB24,$AE$7=$AF$9,H$3*$AF24*$AB24,$AE$7=$AG$9,H$3*$AG24*$AB24)</f>
        <v>50163.764093113401</v>
      </c>
      <c r="I24" s="190" cm="1">
        <f t="array" ref="I24">_xlfn.IFS($AE$7=$AE$9,I$3*$AE24*$AB24,$AE$7=$AF$9,I$3*$AF24*$AB24,$AE$7=$AG$9,I$3*$AG24*$AB24)</f>
        <v>50665.401734044535</v>
      </c>
      <c r="J24" s="190" cm="1">
        <f t="array" ref="J24">_xlfn.IFS($AE$7=$AE$9,J$3*$AE24*$AB24,$AE$7=$AF$9,J$3*$AF24*$AB24,$AE$7=$AG$9,J$3*$AG24*$AB24)</f>
        <v>51172.055751384985</v>
      </c>
      <c r="K24" s="190" cm="1">
        <f t="array" ref="K24">_xlfn.IFS($AE$7=$AE$9,K$3*$AE24*$AB24,$AE$7=$AF$9,K$3*$AF24*$AB24,$AE$7=$AG$9,K$3*$AG24*$AB24)</f>
        <v>51683.776308898836</v>
      </c>
      <c r="L24" s="190" cm="1">
        <f t="array" ref="L24">_xlfn.IFS($AE$7=$AE$9,L$3*$AE24*$AB24,$AE$7=$AF$9,L$3*$AF24*$AB24,$AE$7=$AG$9,L$3*$AG24*$AB24)</f>
        <v>33108.207350559525</v>
      </c>
      <c r="M24" s="190" cm="1">
        <f t="array" ref="M24">_xlfn.IFS($AE$7=$AE$9,M$3*$AE24*$AB24,$AE$7=$AF$9,M$3*$AF24*$AB24,$AE$7=$AG$9,M$3*$AG24*$AB24)</f>
        <v>32846.811900232649</v>
      </c>
      <c r="N24" s="190" cm="1">
        <f t="array" ref="N24">_xlfn.IFS($AE$7=$AE$9,N$3*$AE24*$AB24,$AE$7=$AF$9,N$3*$AF24*$AB24,$AE$7=$AG$9,N$3*$AG24*$AB24)</f>
        <v>46999.975851867071</v>
      </c>
      <c r="O24" s="190" cm="1">
        <f t="array" ref="O24">_xlfn.IFS($AE$7=$AE$9,O$3*$AE24*$AB24,$AE$7=$AF$9,O$3*$AF24*$AB24,$AE$7=$AG$9,O$3*$AG24*$AB24)</f>
        <v>37977.428216956556</v>
      </c>
      <c r="P24" s="190" cm="1">
        <f t="array" ref="P24">_xlfn.IFS($AE$7=$AE$9,P$3*$AE24*$AB24,$AE$7=$AF$9,P$3*$AF24*$AB24,$AE$7=$AG$9,P$3*$AG24*$AB24)</f>
        <v>42847.320260288208</v>
      </c>
      <c r="Q24" s="190" cm="1">
        <f t="array" ref="Q24">_xlfn.IFS($AE$7=$AE$9,Q$3*$AE24*$AB24,$AE$7=$AF$9,Q$3*$AF24*$AB24,$AE$7=$AG$9,Q$3*$AG24*$AB24)</f>
        <v>42004.489824645621</v>
      </c>
      <c r="R24" s="190" cm="1">
        <f t="array" ref="R24">_xlfn.IFS($AE$7=$AE$9,R$3*$AE24*$AB24,$AE$7=$AF$9,R$3*$AF24*$AB24,$AE$7=$AG$9,R$3*$AG24*$AB24)</f>
        <v>46031.55143233468</v>
      </c>
      <c r="S24" s="190" cm="1">
        <f t="array" ref="S24">_xlfn.IFS($AE$7=$AE$9,S$3*$AE24*$AB24,$AE$7=$AF$9,S$3*$AF24*$AB24,$AE$7=$AG$9,S$3*$AG24*$AB24)</f>
        <v>53973.811825277</v>
      </c>
      <c r="T24" s="190" cm="1">
        <f t="array" ref="T24">_xlfn.IFS($AE$7=$AE$9,T$3*$AE24*$AB24,$AE$7=$AF$9,T$3*$AF24*$AB24,$AE$7=$AG$9,T$3*$AG24*$AB24)</f>
        <v>49443.3675166268</v>
      </c>
      <c r="U24" s="190" cm="1">
        <f t="array" ref="U24">_xlfn.IFS($AE$7=$AE$9,U$3*$AE24*$AB24,$AE$7=$AF$9,U$3*$AF24*$AB24,$AE$7=$AG$9,U$3*$AG24*$AB24)</f>
        <v>43402.775105093213</v>
      </c>
      <c r="V24" s="190" cm="1">
        <f t="array" ref="V24">_xlfn.IFS($AE$7=$AE$9,V$3*$AE24*$AB24,$AE$7=$AF$9,V$3*$AF24*$AB24,$AE$7=$AG$9,V$3*$AG24*$AB24)</f>
        <v>41249.415773203917</v>
      </c>
      <c r="W24" s="190" cm="1">
        <f t="array" ref="W24">_xlfn.IFS($AE$7=$AE$9,W$3*$AE24*$AB24,$AE$7=$AF$9,W$3*$AF24*$AB24,$AE$7=$AG$9,W$3*$AG24*$AB24)</f>
        <v>38173.188156219221</v>
      </c>
      <c r="X24" s="190" cm="1">
        <f t="array" ref="X24">_xlfn.IFS($AE$7=$AE$9,X$3*$AE24*$AB24,$AE$7=$AF$9,X$3*$AF24*$AB24,$AE$7=$AG$9,X$3*$AG24*$AB24)</f>
        <v>38173.188156219221</v>
      </c>
      <c r="Y24" s="190" cm="1">
        <f t="array" ref="Y24">_xlfn.IFS($AE$7=$AE$9,Y$3*$AE24*$AB24,$AE$7=$AF$9,Y$3*$AF24*$AB24,$AE$7=$AG$9,Y$3*$AG24*$AB24)</f>
        <v>38173.188156219221</v>
      </c>
      <c r="Z24" s="190" cm="1">
        <f t="array" ref="Z24">_xlfn.IFS($AE$7=$AE$9,Z$3*$AE24*$AB24,$AE$7=$AF$9,Z$3*$AF24*$AB24,$AE$7=$AG$9,Z$3*$AG24*$AB24)</f>
        <v>49918.784511978985</v>
      </c>
      <c r="AA24" s="190"/>
      <c r="AB24" s="188">
        <f t="shared" si="11"/>
        <v>0.28610501221609791</v>
      </c>
      <c r="AC24" s="184" t="str">
        <f>+A24&amp;"-"&amp;B24</f>
        <v>330-3475</v>
      </c>
      <c r="AD24" s="212">
        <v>-406573.37</v>
      </c>
      <c r="AE24" s="218">
        <f t="shared" ref="AE24:AG26" si="13">AE$22</f>
        <v>7.1428571428571425E-2</v>
      </c>
      <c r="AF24" s="218">
        <f t="shared" si="13"/>
        <v>9.7746297390375811E-2</v>
      </c>
      <c r="AG24" s="218">
        <f t="shared" si="13"/>
        <v>5.6643077787471838E-2</v>
      </c>
    </row>
    <row r="25" spans="1:33" outlineLevel="1" x14ac:dyDescent="0.2">
      <c r="A25" s="184">
        <v>330</v>
      </c>
      <c r="B25" s="187" t="s">
        <v>178</v>
      </c>
      <c r="C25" s="190"/>
      <c r="D25" s="190"/>
      <c r="E25" s="190"/>
      <c r="F25" s="190"/>
      <c r="G25" s="190" cm="1">
        <f t="array" ref="G25">_xlfn.IFS($AE$7=$AE$9,G$3*$AE25*$AB25,$AE$7=$AF$9,G$3*$AF25*$AB25,$AE$7=$AG$9,G$3*$AG25*$AB25)</f>
        <v>26347.151434102598</v>
      </c>
      <c r="H25" s="190" cm="1">
        <f t="array" ref="H25">_xlfn.IFS($AE$7=$AE$9,H$3*$AE25*$AB25,$AE$7=$AF$9,H$3*$AF25*$AB25,$AE$7=$AG$9,H$3*$AG25*$AB25)</f>
        <v>26610.622948443626</v>
      </c>
      <c r="I25" s="190" cm="1">
        <f t="array" ref="I25">_xlfn.IFS($AE$7=$AE$9,I$3*$AE25*$AB25,$AE$7=$AF$9,I$3*$AF25*$AB25,$AE$7=$AG$9,I$3*$AG25*$AB25)</f>
        <v>26876.729177928064</v>
      </c>
      <c r="J25" s="190" cm="1">
        <f t="array" ref="J25">_xlfn.IFS($AE$7=$AE$9,J$3*$AE25*$AB25,$AE$7=$AF$9,J$3*$AF25*$AB25,$AE$7=$AG$9,J$3*$AG25*$AB25)</f>
        <v>27145.496469707348</v>
      </c>
      <c r="K25" s="190" cm="1">
        <f t="array" ref="K25">_xlfn.IFS($AE$7=$AE$9,K$3*$AE25*$AB25,$AE$7=$AF$9,K$3*$AF25*$AB25,$AE$7=$AG$9,K$3*$AG25*$AB25)</f>
        <v>27416.951434404418</v>
      </c>
      <c r="L25" s="190" cm="1">
        <f t="array" ref="L25">_xlfn.IFS($AE$7=$AE$9,L$3*$AE25*$AB25,$AE$7=$AF$9,L$3*$AF25*$AB25,$AE$7=$AG$9,L$3*$AG25*$AB25)</f>
        <v>17563.076420447069</v>
      </c>
      <c r="M25" s="190" cm="1">
        <f t="array" ref="M25">_xlfn.IFS($AE$7=$AE$9,M$3*$AE25*$AB25,$AE$7=$AF$9,M$3*$AF25*$AB25,$AE$7=$AG$9,M$3*$AG25*$AB25)</f>
        <v>17424.412667938872</v>
      </c>
      <c r="N25" s="190" cm="1">
        <f t="array" ref="N25">_xlfn.IFS($AE$7=$AE$9,N$3*$AE25*$AB25,$AE$7=$AF$9,N$3*$AF25*$AB25,$AE$7=$AG$9,N$3*$AG25*$AB25)</f>
        <v>24932.312369112849</v>
      </c>
      <c r="O25" s="190" cm="1">
        <f t="array" ref="O25">_xlfn.IFS($AE$7=$AE$9,O$3*$AE25*$AB25,$AE$7=$AF$9,O$3*$AF25*$AB25,$AE$7=$AG$9,O$3*$AG25*$AB25)</f>
        <v>20146.076378103226</v>
      </c>
      <c r="P25" s="190" cm="1">
        <f t="array" ref="P25">_xlfn.IFS($AE$7=$AE$9,P$3*$AE25*$AB25,$AE$7=$AF$9,P$3*$AF25*$AB25,$AE$7=$AG$9,P$3*$AG25*$AB25)</f>
        <v>22729.432378346337</v>
      </c>
      <c r="Q25" s="190" cm="1">
        <f t="array" ref="Q25">_xlfn.IFS($AE$7=$AE$9,Q$3*$AE25*$AB25,$AE$7=$AF$9,Q$3*$AF25*$AB25,$AE$7=$AG$9,Q$3*$AG25*$AB25)</f>
        <v>22282.331899787223</v>
      </c>
      <c r="R25" s="190" cm="1">
        <f t="array" ref="R25">_xlfn.IFS($AE$7=$AE$9,R$3*$AE25*$AB25,$AE$7=$AF$9,R$3*$AF25*$AB25,$AE$7=$AG$9,R$3*$AG25*$AB25)</f>
        <v>24418.587421471217</v>
      </c>
      <c r="S25" s="190" cm="1">
        <f t="array" ref="S25">_xlfn.IFS($AE$7=$AE$9,S$3*$AE25*$AB25,$AE$7=$AF$9,S$3*$AF25*$AB25,$AE$7=$AG$9,S$3*$AG25*$AB25)</f>
        <v>28631.758033681319</v>
      </c>
      <c r="T25" s="190" cm="1">
        <f t="array" ref="T25">_xlfn.IFS($AE$7=$AE$9,T$3*$AE25*$AB25,$AE$7=$AF$9,T$3*$AF25*$AB25,$AE$7=$AG$9,T$3*$AG25*$AB25)</f>
        <v>26228.470571786824</v>
      </c>
      <c r="U25" s="190" cm="1">
        <f t="array" ref="U25">_xlfn.IFS($AE$7=$AE$9,U$3*$AE25*$AB25,$AE$7=$AF$9,U$3*$AF25*$AB25,$AE$7=$AG$9,U$3*$AG25*$AB25)</f>
        <v>23024.087289260831</v>
      </c>
      <c r="V25" s="190" cm="1">
        <f t="array" ref="V25">_xlfn.IFS($AE$7=$AE$9,V$3*$AE25*$AB25,$AE$7=$AF$9,V$3*$AF25*$AB25,$AE$7=$AG$9,V$3*$AG25*$AB25)</f>
        <v>21881.783989471471</v>
      </c>
      <c r="W25" s="190" cm="1">
        <f t="array" ref="W25">_xlfn.IFS($AE$7=$AE$9,W$3*$AE25*$AB25,$AE$7=$AF$9,W$3*$AF25*$AB25,$AE$7=$AG$9,W$3*$AG25*$AB25)</f>
        <v>20249.92213262953</v>
      </c>
      <c r="X25" s="190" cm="1">
        <f t="array" ref="X25">_xlfn.IFS($AE$7=$AE$9,X$3*$AE25*$AB25,$AE$7=$AF$9,X$3*$AF25*$AB25,$AE$7=$AG$9,X$3*$AG25*$AB25)</f>
        <v>20249.92213262953</v>
      </c>
      <c r="Y25" s="190" cm="1">
        <f t="array" ref="Y25">_xlfn.IFS($AE$7=$AE$9,Y$3*$AE25*$AB25,$AE$7=$AF$9,Y$3*$AF25*$AB25,$AE$7=$AG$9,Y$3*$AG25*$AB25)</f>
        <v>20249.92213262953</v>
      </c>
      <c r="Z25" s="190" cm="1">
        <f t="array" ref="Z25">_xlfn.IFS($AE$7=$AE$9,Z$3*$AE25*$AB25,$AE$7=$AF$9,Z$3*$AF25*$AB25,$AE$7=$AG$9,Z$3*$AG25*$AB25)</f>
        <v>26480.667404207852</v>
      </c>
      <c r="AA25" s="190"/>
      <c r="AB25" s="188">
        <f t="shared" si="11"/>
        <v>0.15177155744553925</v>
      </c>
      <c r="AC25" s="184" t="str">
        <f>+A25&amp;"-"&amp;B25</f>
        <v>330-3500</v>
      </c>
      <c r="AD25" s="212">
        <v>-215677.01</v>
      </c>
      <c r="AE25" s="218">
        <f t="shared" si="13"/>
        <v>7.1428571428571425E-2</v>
      </c>
      <c r="AF25" s="218">
        <f t="shared" si="13"/>
        <v>9.7746297390375811E-2</v>
      </c>
      <c r="AG25" s="218">
        <f t="shared" si="13"/>
        <v>5.6643077787471838E-2</v>
      </c>
    </row>
    <row r="26" spans="1:33" outlineLevel="1" x14ac:dyDescent="0.2">
      <c r="A26" s="184">
        <v>330</v>
      </c>
      <c r="B26" s="187" t="s">
        <v>179</v>
      </c>
      <c r="C26" s="190"/>
      <c r="D26" s="190"/>
      <c r="E26" s="190"/>
      <c r="F26" s="190"/>
      <c r="G26" s="190" cm="1">
        <f t="array" ref="G26">_xlfn.IFS($AE$7=$AE$9,G$3*$AE26*$AB26,$AE$7=$AF$9,G$3*$AF26*$AB26,$AE$7=$AG$9,G$3*$AG26*$AB26)</f>
        <v>5621.4799216383162</v>
      </c>
      <c r="H26" s="190" cm="1">
        <f t="array" ref="H26">_xlfn.IFS($AE$7=$AE$9,H$3*$AE26*$AB26,$AE$7=$AF$9,H$3*$AF26*$AB26,$AE$7=$AG$9,H$3*$AG26*$AB26)</f>
        <v>5677.6947208546999</v>
      </c>
      <c r="I26" s="190" cm="1">
        <f t="array" ref="I26">_xlfn.IFS($AE$7=$AE$9,I$3*$AE26*$AB26,$AE$7=$AF$9,I$3*$AF26*$AB26,$AE$7=$AG$9,I$3*$AG26*$AB26)</f>
        <v>5734.4716680632464</v>
      </c>
      <c r="J26" s="190" cm="1">
        <f t="array" ref="J26">_xlfn.IFS($AE$7=$AE$9,J$3*$AE26*$AB26,$AE$7=$AF$9,J$3*$AF26*$AB26,$AE$7=$AG$9,J$3*$AG26*$AB26)</f>
        <v>5791.81638474388</v>
      </c>
      <c r="K26" s="190" cm="1">
        <f t="array" ref="K26">_xlfn.IFS($AE$7=$AE$9,K$3*$AE26*$AB26,$AE$7=$AF$9,K$3*$AF26*$AB26,$AE$7=$AG$9,K$3*$AG26*$AB26)</f>
        <v>5849.7345485913183</v>
      </c>
      <c r="L26" s="190" cm="1">
        <f t="array" ref="L26">_xlfn.IFS($AE$7=$AE$9,L$3*$AE26*$AB26,$AE$7=$AF$9,L$3*$AF26*$AB26,$AE$7=$AG$9,L$3*$AG26*$AB26)</f>
        <v>3747.2924428539977</v>
      </c>
      <c r="M26" s="190" cm="1">
        <f t="array" ref="M26">_xlfn.IFS($AE$7=$AE$9,M$3*$AE26*$AB26,$AE$7=$AF$9,M$3*$AF26*$AB26,$AE$7=$AG$9,M$3*$AG26*$AB26)</f>
        <v>3717.7068725682129</v>
      </c>
      <c r="N26" s="190" cm="1">
        <f t="array" ref="N26">_xlfn.IFS($AE$7=$AE$9,N$3*$AE26*$AB26,$AE$7=$AF$9,N$3*$AF26*$AB26,$AE$7=$AG$9,N$3*$AG26*$AB26)</f>
        <v>5319.60708289588</v>
      </c>
      <c r="O26" s="190" cm="1">
        <f t="array" ref="O26">_xlfn.IFS($AE$7=$AE$9,O$3*$AE26*$AB26,$AE$7=$AF$9,O$3*$AF26*$AB26,$AE$7=$AG$9,O$3*$AG26*$AB26)</f>
        <v>4298.406381522992</v>
      </c>
      <c r="P26" s="190" cm="1">
        <f t="array" ref="P26">_xlfn.IFS($AE$7=$AE$9,P$3*$AE26*$AB26,$AE$7=$AF$9,P$3*$AF26*$AB26,$AE$7=$AG$9,P$3*$AG26*$AB26)</f>
        <v>4849.5962861368735</v>
      </c>
      <c r="Q26" s="190" cm="1">
        <f t="array" ref="Q26">_xlfn.IFS($AE$7=$AE$9,Q$3*$AE26*$AB26,$AE$7=$AF$9,Q$3*$AF26*$AB26,$AE$7=$AG$9,Q$3*$AG26*$AB26)</f>
        <v>4754.2020508450178</v>
      </c>
      <c r="R26" s="190" cm="1">
        <f t="array" ref="R26">_xlfn.IFS($AE$7=$AE$9,R$3*$AE26*$AB26,$AE$7=$AF$9,R$3*$AF26*$AB26,$AE$7=$AG$9,R$3*$AG26*$AB26)</f>
        <v>5209.9977201670436</v>
      </c>
      <c r="S26" s="190" cm="1">
        <f t="array" ref="S26">_xlfn.IFS($AE$7=$AE$9,S$3*$AE26*$AB26,$AE$7=$AF$9,S$3*$AF26*$AB26,$AE$7=$AG$9,S$3*$AG26*$AB26)</f>
        <v>6108.9280679965941</v>
      </c>
      <c r="T26" s="190" cm="1">
        <f t="array" ref="T26">_xlfn.IFS($AE$7=$AE$9,T$3*$AE26*$AB26,$AE$7=$AF$9,T$3*$AF26*$AB26,$AE$7=$AG$9,T$3*$AG26*$AB26)</f>
        <v>5596.1579400093151</v>
      </c>
      <c r="U26" s="190" cm="1">
        <f t="array" ref="U26">_xlfn.IFS($AE$7=$AE$9,U$3*$AE26*$AB26,$AE$7=$AF$9,U$3*$AF26*$AB26,$AE$7=$AG$9,U$3*$AG26*$AB26)</f>
        <v>4912.4644360262764</v>
      </c>
      <c r="V26" s="190" cm="1">
        <f t="array" ref="V26">_xlfn.IFS($AE$7=$AE$9,V$3*$AE26*$AB26,$AE$7=$AF$9,V$3*$AF26*$AB26,$AE$7=$AG$9,V$3*$AG26*$AB26)</f>
        <v>4668.7403628471375</v>
      </c>
      <c r="W26" s="190" cm="1">
        <f t="array" ref="W26">_xlfn.IFS($AE$7=$AE$9,W$3*$AE26*$AB26,$AE$7=$AF$9,W$3*$AF26*$AB26,$AE$7=$AG$9,W$3*$AG26*$AB26)</f>
        <v>4320.5631154483681</v>
      </c>
      <c r="X26" s="190" cm="1">
        <f t="array" ref="X26">_xlfn.IFS($AE$7=$AE$9,X$3*$AE26*$AB26,$AE$7=$AF$9,X$3*$AF26*$AB26,$AE$7=$AG$9,X$3*$AG26*$AB26)</f>
        <v>4320.5631154483681</v>
      </c>
      <c r="Y26" s="190" cm="1">
        <f t="array" ref="Y26">_xlfn.IFS($AE$7=$AE$9,Y$3*$AE26*$AB26,$AE$7=$AF$9,Y$3*$AF26*$AB26,$AE$7=$AG$9,Y$3*$AG26*$AB26)</f>
        <v>4320.5631154483681</v>
      </c>
      <c r="Z26" s="190" cm="1">
        <f t="array" ref="Z26">_xlfn.IFS($AE$7=$AE$9,Z$3*$AE26*$AB26,$AE$7=$AF$9,Z$3*$AF26*$AB26,$AE$7=$AG$9,Z$3*$AG26*$AB26)</f>
        <v>5649.9671509709433</v>
      </c>
      <c r="AA26" s="190"/>
      <c r="AB26" s="188">
        <f t="shared" si="11"/>
        <v>3.2382277264006436E-2</v>
      </c>
      <c r="AC26" s="184" t="str">
        <f>+A26&amp;"-"&amp;B26</f>
        <v>330-3505</v>
      </c>
      <c r="AD26" s="212">
        <v>-46017.27</v>
      </c>
      <c r="AE26" s="218">
        <f t="shared" si="13"/>
        <v>7.1428571428571425E-2</v>
      </c>
      <c r="AF26" s="218">
        <f t="shared" si="13"/>
        <v>9.7746297390375811E-2</v>
      </c>
      <c r="AG26" s="218">
        <f t="shared" si="13"/>
        <v>5.6643077787471838E-2</v>
      </c>
    </row>
    <row r="27" spans="1:33" outlineLevel="1" x14ac:dyDescent="0.2">
      <c r="Z27" s="184"/>
      <c r="AD27" s="212"/>
      <c r="AE27" s="218"/>
      <c r="AF27" s="218"/>
      <c r="AG27" s="218"/>
    </row>
    <row r="28" spans="1:33" outlineLevel="1" x14ac:dyDescent="0.2">
      <c r="A28" s="184">
        <v>430</v>
      </c>
      <c r="B28" s="187" t="s">
        <v>175</v>
      </c>
      <c r="C28" s="190"/>
      <c r="D28" s="190"/>
      <c r="E28" s="190"/>
      <c r="F28" s="190"/>
      <c r="G28" s="190" cm="1">
        <f t="array" ref="G28">_xlfn.IFS($AE$7=$AE$9,G$3*$AE28*$AB28,$AE$7=$AF$9,G$3*$AF28*$AB28,$AE$7=$AG$9,G$3*$AG28*$AB28)</f>
        <v>28565.654747133543</v>
      </c>
      <c r="H28" s="190" cm="1">
        <f t="array" ref="H28">_xlfn.IFS($AE$7=$AE$9,H$3*$AE28*$AB28,$AE$7=$AF$9,H$3*$AF28*$AB28,$AE$7=$AG$9,H$3*$AG28*$AB28)</f>
        <v>28851.311294604875</v>
      </c>
      <c r="I28" s="190" cm="1">
        <f t="array" ref="I28">_xlfn.IFS($AE$7=$AE$9,I$3*$AE28*$AB28,$AE$7=$AF$9,I$3*$AF28*$AB28,$AE$7=$AG$9,I$3*$AG28*$AB28)</f>
        <v>29139.824407550928</v>
      </c>
      <c r="J28" s="190" cm="1">
        <f t="array" ref="J28">_xlfn.IFS($AE$7=$AE$9,J$3*$AE28*$AB28,$AE$7=$AF$9,J$3*$AF28*$AB28,$AE$7=$AG$9,J$3*$AG28*$AB28)</f>
        <v>29431.222651626438</v>
      </c>
      <c r="K28" s="190" cm="1">
        <f t="array" ref="K28">_xlfn.IFS($AE$7=$AE$9,K$3*$AE28*$AB28,$AE$7=$AF$9,K$3*$AF28*$AB28,$AE$7=$AG$9,K$3*$AG28*$AB28)</f>
        <v>29725.534878142698</v>
      </c>
      <c r="L28" s="190" cm="1">
        <f t="array" ref="L28">_xlfn.IFS($AE$7=$AE$9,L$3*$AE28*$AB28,$AE$7=$AF$9,L$3*$AF28*$AB28,$AE$7=$AG$9,L$3*$AG28*$AB28)</f>
        <v>19041.936225205485</v>
      </c>
      <c r="M28" s="190" cm="1">
        <f t="array" ref="M28">_xlfn.IFS($AE$7=$AE$9,M$3*$AE28*$AB28,$AE$7=$AF$9,M$3*$AF28*$AB28,$AE$7=$AG$9,M$3*$AG28*$AB28)</f>
        <v>18891.596599686647</v>
      </c>
      <c r="N28" s="190" cm="1">
        <f t="array" ref="N28">_xlfn.IFS($AE$7=$AE$9,N$3*$AE28*$AB28,$AE$7=$AF$9,N$3*$AF28*$AB28,$AE$7=$AG$9,N$3*$AG28*$AB28)</f>
        <v>27031.682304065485</v>
      </c>
      <c r="O28" s="190" cm="1">
        <f t="array" ref="O28">_xlfn.IFS($AE$7=$AE$9,O$3*$AE28*$AB28,$AE$7=$AF$9,O$3*$AF28*$AB28,$AE$7=$AG$9,O$3*$AG28*$AB28)</f>
        <v>21842.431951918552</v>
      </c>
      <c r="P28" s="190" cm="1">
        <f t="array" ref="P28">_xlfn.IFS($AE$7=$AE$9,P$3*$AE28*$AB28,$AE$7=$AF$9,P$3*$AF28*$AB28,$AE$7=$AG$9,P$3*$AG28*$AB28)</f>
        <v>24643.313700993069</v>
      </c>
      <c r="Q28" s="190" cm="1">
        <f t="array" ref="Q28">_xlfn.IFS($AE$7=$AE$9,Q$3*$AE28*$AB28,$AE$7=$AF$9,Q$3*$AF28*$AB28,$AE$7=$AG$9,Q$3*$AG28*$AB28)</f>
        <v>24158.566120605057</v>
      </c>
      <c r="R28" s="190" cm="1">
        <f t="array" ref="R28">_xlfn.IFS($AE$7=$AE$9,R$3*$AE28*$AB28,$AE$7=$AF$9,R$3*$AF28*$AB28,$AE$7=$AG$9,R$3*$AG28*$AB28)</f>
        <v>26474.700289291563</v>
      </c>
      <c r="S28" s="190" cm="1">
        <f t="array" ref="S28">_xlfn.IFS($AE$7=$AE$9,S$3*$AE28*$AB28,$AE$7=$AF$9,S$3*$AF28*$AB28,$AE$7=$AG$9,S$3*$AG28*$AB28)</f>
        <v>31042.631566423279</v>
      </c>
      <c r="T28" s="190" cm="1">
        <f t="array" ref="T28">_xlfn.IFS($AE$7=$AE$9,T$3*$AE28*$AB28,$AE$7=$AF$9,T$3*$AF28*$AB28,$AE$7=$AG$9,T$3*$AG28*$AB28)</f>
        <v>28436.980626650959</v>
      </c>
      <c r="U28" s="190" cm="1">
        <f t="array" ref="U28">_xlfn.IFS($AE$7=$AE$9,U$3*$AE28*$AB28,$AE$7=$AF$9,U$3*$AF28*$AB28,$AE$7=$AG$9,U$3*$AG28*$AB28)</f>
        <v>24962.779373621204</v>
      </c>
      <c r="V28" s="190" cm="1">
        <f t="array" ref="V28">_xlfn.IFS($AE$7=$AE$9,V$3*$AE28*$AB28,$AE$7=$AF$9,V$3*$AF28*$AB28,$AE$7=$AG$9,V$3*$AG28*$AB28)</f>
        <v>23724.290963976338</v>
      </c>
      <c r="W28" s="190" cm="1">
        <f t="array" ref="W28">_xlfn.IFS($AE$7=$AE$9,W$3*$AE28*$AB28,$AE$7=$AF$9,W$3*$AF28*$AB28,$AE$7=$AG$9,W$3*$AG28*$AB28)</f>
        <v>21955.021807340814</v>
      </c>
      <c r="X28" s="190" cm="1">
        <f t="array" ref="X28">_xlfn.IFS($AE$7=$AE$9,X$3*$AE28*$AB28,$AE$7=$AF$9,X$3*$AF28*$AB28,$AE$7=$AG$9,X$3*$AG28*$AB28)</f>
        <v>21955.021807340814</v>
      </c>
      <c r="Y28" s="190" cm="1">
        <f t="array" ref="Y28">_xlfn.IFS($AE$7=$AE$9,Y$3*$AE28*$AB28,$AE$7=$AF$9,Y$3*$AF28*$AB28,$AE$7=$AG$9,Y$3*$AG28*$AB28)</f>
        <v>21955.021807340814</v>
      </c>
      <c r="Z28" s="190" cm="1">
        <f t="array" ref="Z28">_xlfn.IFS($AE$7=$AE$9,Z$3*$AE28*$AB28,$AE$7=$AF$9,Z$3*$AF28*$AB28,$AE$7=$AG$9,Z$3*$AG28*$AB28)</f>
        <v>28710.413132676451</v>
      </c>
      <c r="AA28" s="190"/>
      <c r="AB28" s="188">
        <f>AD28/SUM($AD$28:$AD$32)</f>
        <v>0.10652364729141303</v>
      </c>
      <c r="AC28" s="184" t="str">
        <f>+A28&amp;"-"&amp;B28</f>
        <v>430-3465</v>
      </c>
      <c r="AD28" s="212">
        <v>-276641.03000000003</v>
      </c>
      <c r="AE28" s="218">
        <f>'Input Sheet'!O45/SUM('Input Sheet'!O42:O45)</f>
        <v>7.1428571428571425E-2</v>
      </c>
      <c r="AF28" s="218">
        <f>'GP &amp; SE % Contribution'!D10</f>
        <v>0.15099243660256748</v>
      </c>
      <c r="AG28" s="218">
        <f>'GP &amp; SE % Contribution'!F10</f>
        <v>6.9272853134155876E-2</v>
      </c>
    </row>
    <row r="29" spans="1:33" outlineLevel="1" x14ac:dyDescent="0.2">
      <c r="A29" s="184">
        <v>430</v>
      </c>
      <c r="B29" s="187" t="s">
        <v>176</v>
      </c>
      <c r="C29" s="190"/>
      <c r="D29" s="190"/>
      <c r="E29" s="190"/>
      <c r="F29" s="190"/>
      <c r="G29" s="190" cm="1">
        <f t="array" ref="G29">_xlfn.IFS($AE$7=$AE$9,G$3*$AE29*$AB29,$AE$7=$AF$9,G$3*$AF29*$AB29,$AE$7=$AG$9,G$3*$AG29*$AB29)</f>
        <v>4134.0597750976194</v>
      </c>
      <c r="H29" s="190" cm="1">
        <f t="array" ref="H29">_xlfn.IFS($AE$7=$AE$9,H$3*$AE29*$AB29,$AE$7=$AF$9,H$3*$AF29*$AB29,$AE$7=$AG$9,H$3*$AG29*$AB29)</f>
        <v>4175.400372848595</v>
      </c>
      <c r="I29" s="190" cm="1">
        <f t="array" ref="I29">_xlfn.IFS($AE$7=$AE$9,I$3*$AE29*$AB29,$AE$7=$AF$9,I$3*$AF29*$AB29,$AE$7=$AG$9,I$3*$AG29*$AB29)</f>
        <v>4217.1543765770821</v>
      </c>
      <c r="J29" s="190" cm="1">
        <f t="array" ref="J29">_xlfn.IFS($AE$7=$AE$9,J$3*$AE29*$AB29,$AE$7=$AF$9,J$3*$AF29*$AB29,$AE$7=$AG$9,J$3*$AG29*$AB29)</f>
        <v>4259.3259203428524</v>
      </c>
      <c r="K29" s="190" cm="1">
        <f t="array" ref="K29">_xlfn.IFS($AE$7=$AE$9,K$3*$AE29*$AB29,$AE$7=$AF$9,K$3*$AF29*$AB29,$AE$7=$AG$9,K$3*$AG29*$AB29)</f>
        <v>4301.9191795462812</v>
      </c>
      <c r="L29" s="190" cm="1">
        <f t="array" ref="L29">_xlfn.IFS($AE$7=$AE$9,L$3*$AE29*$AB29,$AE$7=$AF$9,L$3*$AF29*$AB29,$AE$7=$AG$9,L$3*$AG29*$AB29)</f>
        <v>2755.7744881200565</v>
      </c>
      <c r="M29" s="190" cm="1">
        <f t="array" ref="M29">_xlfn.IFS($AE$7=$AE$9,M$3*$AE29*$AB29,$AE$7=$AF$9,M$3*$AF29*$AB29,$AE$7=$AG$9,M$3*$AG29*$AB29)</f>
        <v>2734.0171363645172</v>
      </c>
      <c r="N29" s="190" cm="1">
        <f t="array" ref="N29">_xlfn.IFS($AE$7=$AE$9,N$3*$AE29*$AB29,$AE$7=$AF$9,N$3*$AF29*$AB29,$AE$7=$AG$9,N$3*$AG29*$AB29)</f>
        <v>3912.0612307221495</v>
      </c>
      <c r="O29" s="190" cm="1">
        <f t="array" ref="O29">_xlfn.IFS($AE$7=$AE$9,O$3*$AE29*$AB29,$AE$7=$AF$9,O$3*$AF29*$AB29,$AE$7=$AG$9,O$3*$AG29*$AB29)</f>
        <v>3161.0659766793733</v>
      </c>
      <c r="P29" s="190" cm="1">
        <f t="array" ref="P29">_xlfn.IFS($AE$7=$AE$9,P$3*$AE29*$AB29,$AE$7=$AF$9,P$3*$AF29*$AB29,$AE$7=$AG$9,P$3*$AG29*$AB29)</f>
        <v>3566.4133309113267</v>
      </c>
      <c r="Q29" s="190" cm="1">
        <f t="array" ref="Q29">_xlfn.IFS($AE$7=$AE$9,Q$3*$AE29*$AB29,$AE$7=$AF$9,Q$3*$AF29*$AB29,$AE$7=$AG$9,Q$3*$AG29*$AB29)</f>
        <v>3496.2600124980995</v>
      </c>
      <c r="R29" s="190" cm="1">
        <f t="array" ref="R29">_xlfn.IFS($AE$7=$AE$9,R$3*$AE29*$AB29,$AE$7=$AF$9,R$3*$AF29*$AB29,$AE$7=$AG$9,R$3*$AG29*$AB29)</f>
        <v>3831.4540483168253</v>
      </c>
      <c r="S29" s="190" cm="1">
        <f t="array" ref="S29">_xlfn.IFS($AE$7=$AE$9,S$3*$AE29*$AB29,$AE$7=$AF$9,S$3*$AF29*$AB29,$AE$7=$AG$9,S$3*$AG29*$AB29)</f>
        <v>4492.5311745148683</v>
      </c>
      <c r="T29" s="190" cm="1">
        <f t="array" ref="T29">_xlfn.IFS($AE$7=$AE$9,T$3*$AE29*$AB29,$AE$7=$AF$9,T$3*$AF29*$AB29,$AE$7=$AG$9,T$3*$AG29*$AB29)</f>
        <v>4115.4378842188016</v>
      </c>
      <c r="U29" s="190" cm="1">
        <f t="array" ref="U29">_xlfn.IFS($AE$7=$AE$9,U$3*$AE29*$AB29,$AE$7=$AF$9,U$3*$AF29*$AB29,$AE$7=$AG$9,U$3*$AG29*$AB29)</f>
        <v>3612.6468304907125</v>
      </c>
      <c r="V29" s="190" cm="1">
        <f t="array" ref="V29">_xlfn.IFS($AE$7=$AE$9,V$3*$AE29*$AB29,$AE$7=$AF$9,V$3*$AF29*$AB29,$AE$7=$AG$9,V$3*$AG29*$AB29)</f>
        <v>3433.4111307820885</v>
      </c>
      <c r="W29" s="190" cm="1">
        <f t="array" ref="W29">_xlfn.IFS($AE$7=$AE$9,W$3*$AE29*$AB29,$AE$7=$AF$9,W$3*$AF29*$AB29,$AE$7=$AG$9,W$3*$AG29*$AB29)</f>
        <v>3177.3601311983393</v>
      </c>
      <c r="X29" s="190" cm="1">
        <f t="array" ref="X29">_xlfn.IFS($AE$7=$AE$9,X$3*$AE29*$AB29,$AE$7=$AF$9,X$3*$AF29*$AB29,$AE$7=$AG$9,X$3*$AG29*$AB29)</f>
        <v>3177.3601311983393</v>
      </c>
      <c r="Y29" s="190" cm="1">
        <f t="array" ref="Y29">_xlfn.IFS($AE$7=$AE$9,Y$3*$AE29*$AB29,$AE$7=$AF$9,Y$3*$AF29*$AB29,$AE$7=$AG$9,Y$3*$AG29*$AB29)</f>
        <v>3177.3601311983393</v>
      </c>
      <c r="Z29" s="190" cm="1">
        <f t="array" ref="Z29">_xlfn.IFS($AE$7=$AE$9,Z$3*$AE29*$AB29,$AE$7=$AF$9,Z$3*$AF29*$AB29,$AE$7=$AG$9,Z$3*$AG29*$AB29)</f>
        <v>4155.0094023362899</v>
      </c>
      <c r="AA29" s="190"/>
      <c r="AB29" s="188">
        <f t="shared" ref="AB29:AB32" si="14">AD29/SUM($AD$28:$AD$32)</f>
        <v>1.541624476184314E-2</v>
      </c>
      <c r="AC29" s="184" t="str">
        <f>+A29&amp;"-"&amp;B29</f>
        <v>430-3466</v>
      </c>
      <c r="AD29" s="212">
        <v>-40035.86</v>
      </c>
      <c r="AE29" s="218">
        <f>AE$28</f>
        <v>7.1428571428571425E-2</v>
      </c>
      <c r="AF29" s="218">
        <f t="shared" ref="AF29:AG29" si="15">AF$28</f>
        <v>0.15099243660256748</v>
      </c>
      <c r="AG29" s="218">
        <f t="shared" si="15"/>
        <v>6.9272853134155876E-2</v>
      </c>
    </row>
    <row r="30" spans="1:33" outlineLevel="1" x14ac:dyDescent="0.2">
      <c r="A30" s="184">
        <v>430</v>
      </c>
      <c r="B30" s="187" t="s">
        <v>177</v>
      </c>
      <c r="C30" s="190"/>
      <c r="D30" s="190"/>
      <c r="E30" s="190"/>
      <c r="F30" s="190"/>
      <c r="G30" s="190" cm="1">
        <f t="array" ref="G30">_xlfn.IFS($AE$7=$AE$9,G$3*$AE30*$AB30,$AE$7=$AF$9,G$3*$AF30*$AB30,$AE$7=$AG$9,G$3*$AG30*$AB30)</f>
        <v>19153.625622553838</v>
      </c>
      <c r="H30" s="190" cm="1">
        <f t="array" ref="H30">_xlfn.IFS($AE$7=$AE$9,H$3*$AE30*$AB30,$AE$7=$AF$9,H$3*$AF30*$AB30,$AE$7=$AG$9,H$3*$AG30*$AB30)</f>
        <v>19345.161878779378</v>
      </c>
      <c r="I30" s="190" cm="1">
        <f t="array" ref="I30">_xlfn.IFS($AE$7=$AE$9,I$3*$AE30*$AB30,$AE$7=$AF$9,I$3*$AF30*$AB30,$AE$7=$AG$9,I$3*$AG30*$AB30)</f>
        <v>19538.613497567174</v>
      </c>
      <c r="J30" s="190" cm="1">
        <f t="array" ref="J30">_xlfn.IFS($AE$7=$AE$9,J$3*$AE30*$AB30,$AE$7=$AF$9,J$3*$AF30*$AB30,$AE$7=$AG$9,J$3*$AG30*$AB30)</f>
        <v>19733.999632542847</v>
      </c>
      <c r="K30" s="190" cm="1">
        <f t="array" ref="K30">_xlfn.IFS($AE$7=$AE$9,K$3*$AE30*$AB30,$AE$7=$AF$9,K$3*$AF30*$AB30,$AE$7=$AG$9,K$3*$AG30*$AB30)</f>
        <v>19931.339628868271</v>
      </c>
      <c r="L30" s="190" cm="1">
        <f t="array" ref="L30">_xlfn.IFS($AE$7=$AE$9,L$3*$AE30*$AB30,$AE$7=$AF$9,L$3*$AF30*$AB30,$AE$7=$AG$9,L$3*$AG30*$AB30)</f>
        <v>12767.854292670483</v>
      </c>
      <c r="M30" s="190" cm="1">
        <f t="array" ref="M30">_xlfn.IFS($AE$7=$AE$9,M$3*$AE30*$AB30,$AE$7=$AF$9,M$3*$AF30*$AB30,$AE$7=$AG$9,M$3*$AG30*$AB30)</f>
        <v>12667.049710072504</v>
      </c>
      <c r="N30" s="190" cm="1">
        <f t="array" ref="N30">_xlfn.IFS($AE$7=$AE$9,N$3*$AE30*$AB30,$AE$7=$AF$9,N$3*$AF30*$AB30,$AE$7=$AG$9,N$3*$AG30*$AB30)</f>
        <v>18125.078083562523</v>
      </c>
      <c r="O30" s="190" cm="1">
        <f t="array" ref="O30">_xlfn.IFS($AE$7=$AE$9,O$3*$AE30*$AB30,$AE$7=$AF$9,O$3*$AF30*$AB30,$AE$7=$AG$9,O$3*$AG30*$AB30)</f>
        <v>14645.621393822135</v>
      </c>
      <c r="P30" s="190" cm="1">
        <f t="array" ref="P30">_xlfn.IFS($AE$7=$AE$9,P$3*$AE30*$AB30,$AE$7=$AF$9,P$3*$AF30*$AB30,$AE$7=$AG$9,P$3*$AG30*$AB30)</f>
        <v>16523.647327752475</v>
      </c>
      <c r="Q30" s="190" cm="1">
        <f t="array" ref="Q30">_xlfn.IFS($AE$7=$AE$9,Q$3*$AE30*$AB30,$AE$7=$AF$9,Q$3*$AF30*$AB30,$AE$7=$AG$9,Q$3*$AG30*$AB30)</f>
        <v>16198.618065921097</v>
      </c>
      <c r="R30" s="190" cm="1">
        <f t="array" ref="R30">_xlfn.IFS($AE$7=$AE$9,R$3*$AE30*$AB30,$AE$7=$AF$9,R$3*$AF30*$AB30,$AE$7=$AG$9,R$3*$AG30*$AB30)</f>
        <v>17751.61473802006</v>
      </c>
      <c r="S30" s="190" cm="1">
        <f t="array" ref="S30">_xlfn.IFS($AE$7=$AE$9,S$3*$AE30*$AB30,$AE$7=$AF$9,S$3*$AF30*$AB30,$AE$7=$AG$9,S$3*$AG30*$AB30)</f>
        <v>20814.469285770785</v>
      </c>
      <c r="T30" s="190" cm="1">
        <f t="array" ref="T30">_xlfn.IFS($AE$7=$AE$9,T$3*$AE30*$AB30,$AE$7=$AF$9,T$3*$AF30*$AB30,$AE$7=$AG$9,T$3*$AG30*$AB30)</f>
        <v>19067.348029659453</v>
      </c>
      <c r="U30" s="190" cm="1">
        <f t="array" ref="U30">_xlfn.IFS($AE$7=$AE$9,U$3*$AE30*$AB30,$AE$7=$AF$9,U$3*$AF30*$AB30,$AE$7=$AG$9,U$3*$AG30*$AB30)</f>
        <v>16737.853021511015</v>
      </c>
      <c r="V30" s="190" cm="1">
        <f t="array" ref="V30">_xlfn.IFS($AE$7=$AE$9,V$3*$AE30*$AB30,$AE$7=$AF$9,V$3*$AF30*$AB30,$AE$7=$AG$9,V$3*$AG30*$AB30)</f>
        <v>15907.431189902543</v>
      </c>
      <c r="W30" s="190" cm="1">
        <f t="array" ref="W30">_xlfn.IFS($AE$7=$AE$9,W$3*$AE30*$AB30,$AE$7=$AF$9,W$3*$AF30*$AB30,$AE$7=$AG$9,W$3*$AG30*$AB30)</f>
        <v>14721.114287604725</v>
      </c>
      <c r="X30" s="190" cm="1">
        <f t="array" ref="X30">_xlfn.IFS($AE$7=$AE$9,X$3*$AE30*$AB30,$AE$7=$AF$9,X$3*$AF30*$AB30,$AE$7=$AG$9,X$3*$AG30*$AB30)</f>
        <v>14721.114287604725</v>
      </c>
      <c r="Y30" s="190" cm="1">
        <f t="array" ref="Y30">_xlfn.IFS($AE$7=$AE$9,Y$3*$AE30*$AB30,$AE$7=$AF$9,Y$3*$AF30*$AB30,$AE$7=$AG$9,Y$3*$AG30*$AB30)</f>
        <v>14721.114287604725</v>
      </c>
      <c r="Z30" s="190" cm="1">
        <f t="array" ref="Z30">_xlfn.IFS($AE$7=$AE$9,Z$3*$AE30*$AB30,$AE$7=$AF$9,Z$3*$AF30*$AB30,$AE$7=$AG$9,Z$3*$AG30*$AB30)</f>
        <v>19250.687914560025</v>
      </c>
      <c r="AA30" s="190"/>
      <c r="AB30" s="188">
        <f t="shared" si="14"/>
        <v>7.1425426031007905E-2</v>
      </c>
      <c r="AC30" s="184" t="str">
        <f>+A30&amp;"-"&amp;B30</f>
        <v>430-3475</v>
      </c>
      <c r="AD30" s="212">
        <v>-185491.24</v>
      </c>
      <c r="AE30" s="218">
        <f t="shared" ref="AE30:AG32" si="16">AE$28</f>
        <v>7.1428571428571425E-2</v>
      </c>
      <c r="AF30" s="218">
        <f t="shared" si="16"/>
        <v>0.15099243660256748</v>
      </c>
      <c r="AG30" s="218">
        <f t="shared" si="16"/>
        <v>6.9272853134155876E-2</v>
      </c>
    </row>
    <row r="31" spans="1:33" outlineLevel="1" x14ac:dyDescent="0.2">
      <c r="A31" s="184">
        <v>430</v>
      </c>
      <c r="B31" s="187" t="s">
        <v>178</v>
      </c>
      <c r="C31" s="190"/>
      <c r="D31" s="190"/>
      <c r="E31" s="190"/>
      <c r="F31" s="190"/>
      <c r="G31" s="190" cm="1">
        <f t="array" ref="G31">_xlfn.IFS($AE$7=$AE$9,G$3*$AE31*$AB31,$AE$7=$AF$9,G$3*$AF31*$AB31,$AE$7=$AG$9,G$3*$AG31*$AB31)</f>
        <v>8029.116447590699</v>
      </c>
      <c r="H31" s="190" cm="1">
        <f t="array" ref="H31">_xlfn.IFS($AE$7=$AE$9,H$3*$AE31*$AB31,$AE$7=$AF$9,H$3*$AF31*$AB31,$AE$7=$AG$9,H$3*$AG31*$AB31)</f>
        <v>8109.4076120666059</v>
      </c>
      <c r="I31" s="190" cm="1">
        <f t="array" ref="I31">_xlfn.IFS($AE$7=$AE$9,I$3*$AE31*$AB31,$AE$7=$AF$9,I$3*$AF31*$AB31,$AE$7=$AG$9,I$3*$AG31*$AB31)</f>
        <v>8190.5016881872725</v>
      </c>
      <c r="J31" s="190" cm="1">
        <f t="array" ref="J31">_xlfn.IFS($AE$7=$AE$9,J$3*$AE31*$AB31,$AE$7=$AF$9,J$3*$AF31*$AB31,$AE$7=$AG$9,J$3*$AG31*$AB31)</f>
        <v>8272.4067050691465</v>
      </c>
      <c r="K31" s="190" cm="1">
        <f t="array" ref="K31">_xlfn.IFS($AE$7=$AE$9,K$3*$AE31*$AB31,$AE$7=$AF$9,K$3*$AF31*$AB31,$AE$7=$AG$9,K$3*$AG31*$AB31)</f>
        <v>8355.1307721198355</v>
      </c>
      <c r="L31" s="190" cm="1">
        <f t="array" ref="L31">_xlfn.IFS($AE$7=$AE$9,L$3*$AE31*$AB31,$AE$7=$AF$9,L$3*$AF31*$AB31,$AE$7=$AG$9,L$3*$AG31*$AB31)</f>
        <v>5352.2289159191232</v>
      </c>
      <c r="M31" s="190" cm="1">
        <f t="array" ref="M31">_xlfn.IFS($AE$7=$AE$9,M$3*$AE31*$AB31,$AE$7=$AF$9,M$3*$AF31*$AB31,$AE$7=$AG$9,M$3*$AG31*$AB31)</f>
        <v>5309.9720738945571</v>
      </c>
      <c r="N31" s="190" cm="1">
        <f t="array" ref="N31">_xlfn.IFS($AE$7=$AE$9,N$3*$AE31*$AB31,$AE$7=$AF$9,N$3*$AF31*$AB31,$AE$7=$AG$9,N$3*$AG31*$AB31)</f>
        <v>7597.9537985348588</v>
      </c>
      <c r="O31" s="190" cm="1">
        <f t="array" ref="O31">_xlfn.IFS($AE$7=$AE$9,O$3*$AE31*$AB31,$AE$7=$AF$9,O$3*$AF31*$AB31,$AE$7=$AG$9,O$3*$AG31*$AB31)</f>
        <v>6139.3807071104557</v>
      </c>
      <c r="P31" s="190" cm="1">
        <f t="array" ref="P31">_xlfn.IFS($AE$7=$AE$9,P$3*$AE31*$AB31,$AE$7=$AF$9,P$3*$AF31*$AB31,$AE$7=$AG$9,P$3*$AG31*$AB31)</f>
        <v>6926.6409998754043</v>
      </c>
      <c r="Q31" s="190" cm="1">
        <f t="array" ref="Q31">_xlfn.IFS($AE$7=$AE$9,Q$3*$AE31*$AB31,$AE$7=$AF$9,Q$3*$AF31*$AB31,$AE$7=$AG$9,Q$3*$AG31*$AB31)</f>
        <v>6790.3901488069996</v>
      </c>
      <c r="R31" s="190" cm="1">
        <f t="array" ref="R31">_xlfn.IFS($AE$7=$AE$9,R$3*$AE31*$AB31,$AE$7=$AF$9,R$3*$AF31*$AB31,$AE$7=$AG$9,R$3*$AG31*$AB31)</f>
        <v>7441.3995905035426</v>
      </c>
      <c r="S31" s="190" cm="1">
        <f t="array" ref="S31">_xlfn.IFS($AE$7=$AE$9,S$3*$AE31*$AB31,$AE$7=$AF$9,S$3*$AF31*$AB31,$AE$7=$AG$9,S$3*$AG31*$AB31)</f>
        <v>8725.3348782939483</v>
      </c>
      <c r="T31" s="190" cm="1">
        <f t="array" ref="T31">_xlfn.IFS($AE$7=$AE$9,T$3*$AE31*$AB31,$AE$7=$AF$9,T$3*$AF31*$AB31,$AE$7=$AG$9,T$3*$AG31*$AB31)</f>
        <v>7992.9492563853355</v>
      </c>
      <c r="U31" s="190" cm="1">
        <f t="array" ref="U31">_xlfn.IFS($AE$7=$AE$9,U$3*$AE31*$AB31,$AE$7=$AF$9,U$3*$AF31*$AB31,$AE$7=$AG$9,U$3*$AG31*$AB31)</f>
        <v>7016.4350938405205</v>
      </c>
      <c r="V31" s="190" cm="1">
        <f t="array" ref="V31">_xlfn.IFS($AE$7=$AE$9,V$3*$AE31*$AB31,$AE$7=$AF$9,V$3*$AF31*$AB31,$AE$7=$AG$9,V$3*$AG31*$AB31)</f>
        <v>6668.3258784888976</v>
      </c>
      <c r="W31" s="190" cm="1">
        <f t="array" ref="W31">_xlfn.IFS($AE$7=$AE$9,W$3*$AE31*$AB31,$AE$7=$AF$9,W$3*$AF31*$AB31,$AE$7=$AG$9,W$3*$AG31*$AB31)</f>
        <v>6171.0269994151495</v>
      </c>
      <c r="X31" s="190" cm="1">
        <f t="array" ref="X31">_xlfn.IFS($AE$7=$AE$9,X$3*$AE31*$AB31,$AE$7=$AF$9,X$3*$AF31*$AB31,$AE$7=$AG$9,X$3*$AG31*$AB31)</f>
        <v>6171.0269994151495</v>
      </c>
      <c r="Y31" s="190" cm="1">
        <f t="array" ref="Y31">_xlfn.IFS($AE$7=$AE$9,Y$3*$AE31*$AB31,$AE$7=$AF$9,Y$3*$AF31*$AB31,$AE$7=$AG$9,Y$3*$AG31*$AB31)</f>
        <v>6171.0269994151495</v>
      </c>
      <c r="Z31" s="190" cm="1">
        <f t="array" ref="Z31">_xlfn.IFS($AE$7=$AE$9,Z$3*$AE31*$AB31,$AE$7=$AF$9,Z$3*$AF31*$AB31,$AE$7=$AG$9,Z$3*$AG31*$AB31)</f>
        <v>8069.8045376967339</v>
      </c>
      <c r="AA31" s="190"/>
      <c r="AB31" s="188">
        <f t="shared" si="14"/>
        <v>2.9941227536913365E-2</v>
      </c>
      <c r="AC31" s="184" t="str">
        <f>+A31&amp;"-"&amp;B31</f>
        <v>430-3500</v>
      </c>
      <c r="AD31" s="212">
        <v>-77757.119999999995</v>
      </c>
      <c r="AE31" s="218">
        <f t="shared" si="16"/>
        <v>7.1428571428571425E-2</v>
      </c>
      <c r="AF31" s="218">
        <f t="shared" si="16"/>
        <v>0.15099243660256748</v>
      </c>
      <c r="AG31" s="218">
        <f t="shared" si="16"/>
        <v>6.9272853134155876E-2</v>
      </c>
    </row>
    <row r="32" spans="1:33" outlineLevel="1" x14ac:dyDescent="0.2">
      <c r="A32" s="184">
        <v>430</v>
      </c>
      <c r="B32" s="187" t="s">
        <v>179</v>
      </c>
      <c r="C32" s="190"/>
      <c r="D32" s="190"/>
      <c r="E32" s="190"/>
      <c r="F32" s="190"/>
      <c r="G32" s="190" cm="1">
        <f t="array" ref="G32">_xlfn.IFS($AE$7=$AE$9,G$3*$AE32*$AB32,$AE$7=$AF$9,G$3*$AF32*$AB32,$AE$7=$AG$9,G$3*$AG32*$AB32)</f>
        <v>208280.11081378415</v>
      </c>
      <c r="H32" s="190" cm="1">
        <f t="array" ref="H32">_xlfn.IFS($AE$7=$AE$9,H$3*$AE32*$AB32,$AE$7=$AF$9,H$3*$AF32*$AB32,$AE$7=$AG$9,H$3*$AG32*$AB32)</f>
        <v>210362.911921922</v>
      </c>
      <c r="I32" s="190" cm="1">
        <f t="array" ref="I32">_xlfn.IFS($AE$7=$AE$9,I$3*$AE32*$AB32,$AE$7=$AF$9,I$3*$AF32*$AB32,$AE$7=$AG$9,I$3*$AG32*$AB32)</f>
        <v>212466.54104114123</v>
      </c>
      <c r="J32" s="190" cm="1">
        <f t="array" ref="J32">_xlfn.IFS($AE$7=$AE$9,J$3*$AE32*$AB32,$AE$7=$AF$9,J$3*$AF32*$AB32,$AE$7=$AG$9,J$3*$AG32*$AB32)</f>
        <v>214591.20645155266</v>
      </c>
      <c r="K32" s="190" cm="1">
        <f t="array" ref="K32">_xlfn.IFS($AE$7=$AE$9,K$3*$AE32*$AB32,$AE$7=$AF$9,K$3*$AF32*$AB32,$AE$7=$AG$9,K$3*$AG32*$AB32)</f>
        <v>216737.11851606815</v>
      </c>
      <c r="L32" s="190" cm="1">
        <f t="array" ref="L32">_xlfn.IFS($AE$7=$AE$9,L$3*$AE32*$AB32,$AE$7=$AF$9,L$3*$AF32*$AB32,$AE$7=$AG$9,L$3*$AG32*$AB32)</f>
        <v>138840.03787775207</v>
      </c>
      <c r="M32" s="190" cm="1">
        <f t="array" ref="M32">_xlfn.IFS($AE$7=$AE$9,M$3*$AE32*$AB32,$AE$7=$AF$9,M$3*$AF32*$AB32,$AE$7=$AG$9,M$3*$AG32*$AB32)</f>
        <v>137743.8699747248</v>
      </c>
      <c r="N32" s="190" cm="1">
        <f t="array" ref="N32">_xlfn.IFS($AE$7=$AE$9,N$3*$AE32*$AB32,$AE$7=$AF$9,N$3*$AF32*$AB32,$AE$7=$AG$9,N$3*$AG32*$AB32)</f>
        <v>197095.4923180514</v>
      </c>
      <c r="O32" s="190" cm="1">
        <f t="array" ref="O32">_xlfn.IFS($AE$7=$AE$9,O$3*$AE32*$AB32,$AE$7=$AF$9,O$3*$AF32*$AB32,$AE$7=$AG$9,O$3*$AG32*$AB32)</f>
        <v>159259.22887675613</v>
      </c>
      <c r="P32" s="190" cm="1">
        <f t="array" ref="P32">_xlfn.IFS($AE$7=$AE$9,P$3*$AE32*$AB32,$AE$7=$AF$9,P$3*$AF32*$AB32,$AE$7=$AG$9,P$3*$AG32*$AB32)</f>
        <v>179681.23447185225</v>
      </c>
      <c r="Q32" s="190" cm="1">
        <f t="array" ref="Q32">_xlfn.IFS($AE$7=$AE$9,Q$3*$AE32*$AB32,$AE$7=$AF$9,Q$3*$AF32*$AB32,$AE$7=$AG$9,Q$3*$AG32*$AB32)</f>
        <v>176146.80542922512</v>
      </c>
      <c r="R32" s="190" cm="1">
        <f t="array" ref="R32">_xlfn.IFS($AE$7=$AE$9,R$3*$AE32*$AB32,$AE$7=$AF$9,R$3*$AF32*$AB32,$AE$7=$AG$9,R$3*$AG32*$AB32)</f>
        <v>193034.38198169411</v>
      </c>
      <c r="S32" s="190" cm="1">
        <f t="array" ref="S32">_xlfn.IFS($AE$7=$AE$9,S$3*$AE32*$AB32,$AE$7=$AF$9,S$3*$AF32*$AB32,$AE$7=$AG$9,S$3*$AG32*$AB32)</f>
        <v>226340.43573795239</v>
      </c>
      <c r="T32" s="190" cm="1">
        <f t="array" ref="T32">_xlfn.IFS($AE$7=$AE$9,T$3*$AE32*$AB32,$AE$7=$AF$9,T$3*$AF32*$AB32,$AE$7=$AG$9,T$3*$AG32*$AB32)</f>
        <v>207341.91211642476</v>
      </c>
      <c r="U32" s="190" cm="1">
        <f t="array" ref="U32">_xlfn.IFS($AE$7=$AE$9,U$3*$AE32*$AB32,$AE$7=$AF$9,U$3*$AF32*$AB32,$AE$7=$AG$9,U$3*$AG32*$AB32)</f>
        <v>182010.54728772127</v>
      </c>
      <c r="V32" s="190" cm="1">
        <f t="array" ref="V32">_xlfn.IFS($AE$7=$AE$9,V$3*$AE32*$AB32,$AE$7=$AF$9,V$3*$AF32*$AB32,$AE$7=$AG$9,V$3*$AG32*$AB32)</f>
        <v>172980.38482563719</v>
      </c>
      <c r="W32" s="190" cm="1">
        <f t="array" ref="W32">_xlfn.IFS($AE$7=$AE$9,W$3*$AE32*$AB32,$AE$7=$AF$9,W$3*$AF32*$AB32,$AE$7=$AG$9,W$3*$AG32*$AB32)</f>
        <v>160080.1527369456</v>
      </c>
      <c r="X32" s="190" cm="1">
        <f t="array" ref="X32">_xlfn.IFS($AE$7=$AE$9,X$3*$AE32*$AB32,$AE$7=$AF$9,X$3*$AF32*$AB32,$AE$7=$AG$9,X$3*$AG32*$AB32)</f>
        <v>160080.1527369456</v>
      </c>
      <c r="Y32" s="190" cm="1">
        <f t="array" ref="Y32">_xlfn.IFS($AE$7=$AE$9,Y$3*$AE32*$AB32,$AE$7=$AF$9,Y$3*$AF32*$AB32,$AE$7=$AG$9,Y$3*$AG32*$AB32)</f>
        <v>160080.1527369456</v>
      </c>
      <c r="Z32" s="190" cm="1">
        <f t="array" ref="Z32">_xlfn.IFS($AE$7=$AE$9,Z$3*$AE32*$AB32,$AE$7=$AF$9,Z$3*$AF32*$AB32,$AE$7=$AG$9,Z$3*$AG32*$AB32)</f>
        <v>209335.58434831348</v>
      </c>
      <c r="AA32" s="190"/>
      <c r="AB32" s="188">
        <f t="shared" si="14"/>
        <v>0.77669345437882265</v>
      </c>
      <c r="AC32" s="184" t="str">
        <f>+A32&amp;"-"&amp;B32</f>
        <v>430-3505</v>
      </c>
      <c r="AD32" s="212">
        <v>-2017066.47</v>
      </c>
      <c r="AE32" s="218">
        <f t="shared" si="16"/>
        <v>7.1428571428571425E-2</v>
      </c>
      <c r="AF32" s="218">
        <f t="shared" si="16"/>
        <v>0.15099243660256748</v>
      </c>
      <c r="AG32" s="218">
        <f t="shared" si="16"/>
        <v>6.9272853134155876E-2</v>
      </c>
    </row>
    <row r="33" spans="1:33" x14ac:dyDescent="0.2">
      <c r="Z33" s="184"/>
      <c r="AD33" s="212"/>
      <c r="AE33" s="218"/>
      <c r="AF33" s="218"/>
      <c r="AG33" s="218"/>
    </row>
    <row r="34" spans="1:33" x14ac:dyDescent="0.2"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  <c r="AA34" s="213"/>
      <c r="AD34" s="212"/>
      <c r="AE34" s="218"/>
      <c r="AF34" s="218"/>
      <c r="AG34" s="218"/>
    </row>
    <row r="35" spans="1:33" x14ac:dyDescent="0.2">
      <c r="A35" s="184" t="s">
        <v>180</v>
      </c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  <c r="AA35" s="213"/>
      <c r="AD35" s="212"/>
      <c r="AE35" s="218"/>
      <c r="AF35" s="218"/>
      <c r="AG35" s="218"/>
    </row>
    <row r="36" spans="1:33" outlineLevel="1" x14ac:dyDescent="0.2">
      <c r="A36" s="184">
        <v>130</v>
      </c>
      <c r="B36" s="187">
        <v>4465</v>
      </c>
      <c r="G36" s="190" cm="1">
        <f t="array" ref="G36">_xlfn.IFS($AE$7=$AE$9,G$4*$AE36*$AB36,$AE$7=$AF$9,G$4*$AF36*$AB36,$AE$7=$AG$9,G$4*$AG36*$AB36)</f>
        <v>-102456.20819655272</v>
      </c>
      <c r="H36" s="190" cm="1">
        <f t="array" ref="H36">_xlfn.IFS($AE$7=$AE$9,H$4*$AE36*$AB36,$AE$7=$AF$9,H$4*$AF36*$AB36,$AE$7=$AG$9,H$4*$AG36*$AB36)</f>
        <v>-103480.77027851823</v>
      </c>
      <c r="I36" s="190" cm="1">
        <f t="array" ref="I36">_xlfn.IFS($AE$7=$AE$9,I$4*$AE36*$AB36,$AE$7=$AF$9,I$4*$AF36*$AB36,$AE$7=$AG$9,I$4*$AG36*$AB36)</f>
        <v>-104515.57798130342</v>
      </c>
      <c r="J36" s="190" cm="1">
        <f t="array" ref="J36">_xlfn.IFS($AE$7=$AE$9,J$4*$AE36*$AB36,$AE$7=$AF$9,J$4*$AF36*$AB36,$AE$7=$AG$9,J$4*$AG36*$AB36)</f>
        <v>-105560.73376111645</v>
      </c>
      <c r="K36" s="190" cm="1">
        <f t="array" ref="K36">_xlfn.IFS($AE$7=$AE$9,K$4*$AE36*$AB36,$AE$7=$AF$9,K$4*$AF36*$AB36,$AE$7=$AG$9,K$4*$AG36*$AB36)</f>
        <v>-106616.34109872763</v>
      </c>
      <c r="L36" s="190" cm="1">
        <f t="array" ref="L36">_xlfn.IFS($AE$7=$AE$9,L$4*$AE36*$AB36,$AE$7=$AF$9,L$4*$AF36*$AB36,$AE$7=$AG$9,L$4*$AG36*$AB36)</f>
        <v>-67474.7000213875</v>
      </c>
      <c r="M36" s="190" cm="1">
        <f t="array" ref="M36">_xlfn.IFS($AE$7=$AE$9,M$4*$AE36*$AB36,$AE$7=$AF$9,M$4*$AF36*$AB36,$AE$7=$AG$9,M$4*$AG36*$AB36)</f>
        <v>-66941.974724272819</v>
      </c>
      <c r="N36" s="190" cm="1">
        <f t="array" ref="N36">_xlfn.IFS($AE$7=$AE$9,N$4*$AE36*$AB36,$AE$7=$AF$9,N$4*$AF36*$AB36,$AE$7=$AG$9,N$4*$AG36*$AB36)</f>
        <v>-88659.343492066051</v>
      </c>
      <c r="O36" s="190" cm="1">
        <f t="array" ref="O36">_xlfn.IFS($AE$7=$AE$9,O$4*$AE36*$AB36,$AE$7=$AF$9,O$4*$AF36*$AB36,$AE$7=$AG$9,O$4*$AG36*$AB36)</f>
        <v>-79217.843488778759</v>
      </c>
      <c r="P36" s="190" cm="1">
        <f t="array" ref="P36">_xlfn.IFS($AE$7=$AE$9,P$4*$AE36*$AB36,$AE$7=$AF$9,P$4*$AF36*$AB36,$AE$7=$AG$9,P$4*$AG36*$AB36)</f>
        <v>-88281.487014667829</v>
      </c>
      <c r="Q36" s="190" cm="1">
        <f t="array" ref="Q36">_xlfn.IFS($AE$7=$AE$9,Q$4*$AE36*$AB36,$AE$7=$AF$9,Q$4*$AF36*$AB36,$AE$7=$AG$9,Q$4*$AG36*$AB36)</f>
        <v>-85605.37030771884</v>
      </c>
      <c r="R36" s="190" cm="1">
        <f t="array" ref="R36">_xlfn.IFS($AE$7=$AE$9,R$4*$AE36*$AB36,$AE$7=$AF$9,R$4*$AF36*$AB36,$AE$7=$AG$9,R$4*$AG36*$AB36)</f>
        <v>-93812.542960389619</v>
      </c>
      <c r="S36" s="190" cm="1">
        <f t="array" ref="S36">_xlfn.IFS($AE$7=$AE$9,S$4*$AE36*$AB36,$AE$7=$AF$9,S$4*$AF36*$AB36,$AE$7=$AG$9,S$4*$AG36*$AB36)</f>
        <v>-109998.91124760144</v>
      </c>
      <c r="T36" s="190" cm="1">
        <f t="array" ref="T36">_xlfn.IFS($AE$7=$AE$9,T$4*$AE36*$AB36,$AE$7=$AF$9,T$4*$AF36*$AB36,$AE$7=$AG$9,T$4*$AG36*$AB36)</f>
        <v>-100765.8420133468</v>
      </c>
      <c r="U36" s="190" cm="1">
        <f t="array" ref="U36">_xlfn.IFS($AE$7=$AE$9,U$4*$AE36*$AB36,$AE$7=$AF$9,U$4*$AF36*$AB36,$AE$7=$AG$9,U$4*$AG36*$AB36)</f>
        <v>-88455.083034340641</v>
      </c>
      <c r="V36" s="190" cm="1">
        <f t="array" ref="V36">_xlfn.IFS($AE$7=$AE$9,V$4*$AE36*$AB36,$AE$7=$AF$9,V$4*$AF36*$AB36,$AE$7=$AG$9,V$4*$AG36*$AB36)</f>
        <v>-84066.525435343079</v>
      </c>
      <c r="W36" s="190" cm="1">
        <f t="array" ref="W36">_xlfn.IFS($AE$7=$AE$9,W$4*$AE36*$AB36,$AE$7=$AF$9,W$4*$AF36*$AB36,$AE$7=$AG$9,W$4*$AG36*$AB36)</f>
        <v>-77797.157436775102</v>
      </c>
      <c r="X36" s="190" cm="1">
        <f t="array" ref="X36">_xlfn.IFS($AE$7=$AE$9,X$4*$AE36*$AB36,$AE$7=$AF$9,X$4*$AF36*$AB36,$AE$7=$AG$9,X$4*$AG36*$AB36)</f>
        <v>-77797.157436775102</v>
      </c>
      <c r="Y36" s="190" cm="1">
        <f t="array" ref="Y36">_xlfn.IFS($AE$7=$AE$9,Y$4*$AE36*$AB36,$AE$7=$AF$9,Y$4*$AF36*$AB36,$AE$7=$AG$9,Y$4*$AG36*$AB36)</f>
        <v>-77797.157436775102</v>
      </c>
      <c r="Z36" s="190" cm="1">
        <f t="array" ref="Z36">_xlfn.IFS($AE$7=$AE$9,Z$4*$AE36*$AB36,$AE$7=$AF$9,Z$4*$AF36*$AB36,$AE$7=$AG$9,Z$4*$AG36*$AB36)</f>
        <v>-101734.74434039822</v>
      </c>
      <c r="AA36" s="190"/>
      <c r="AB36" s="188">
        <f>AD36/SUM($AD$36:$AD$40)</f>
        <v>0.13975516152009215</v>
      </c>
      <c r="AC36" s="184" t="str">
        <f>+A36&amp;"-"&amp;B36</f>
        <v>130-4465</v>
      </c>
      <c r="AD36" s="212">
        <v>799753.82</v>
      </c>
      <c r="AE36" s="218">
        <f>AE$10</f>
        <v>0.5714285714285714</v>
      </c>
      <c r="AF36" s="218">
        <f t="shared" ref="AF36:AG36" si="17">AF$10</f>
        <v>0.49733539497357082</v>
      </c>
      <c r="AG36" s="218">
        <f t="shared" si="17"/>
        <v>0.58916898424662745</v>
      </c>
    </row>
    <row r="37" spans="1:33" outlineLevel="1" x14ac:dyDescent="0.2">
      <c r="A37" s="184">
        <v>130</v>
      </c>
      <c r="B37" s="187">
        <v>4466</v>
      </c>
      <c r="G37" s="190" cm="1">
        <f t="array" ref="G37">_xlfn.IFS($AE$7=$AE$9,G$4*$AE37*$AB37,$AE$7=$AF$9,G$4*$AF37*$AB37,$AE$7=$AG$9,G$4*$AG37*$AB37)</f>
        <v>-345874.70439872443</v>
      </c>
      <c r="H37" s="190" cm="1">
        <f t="array" ref="H37">_xlfn.IFS($AE$7=$AE$9,H$4*$AE37*$AB37,$AE$7=$AF$9,H$4*$AF37*$AB37,$AE$7=$AG$9,H$4*$AG37*$AB37)</f>
        <v>-349333.45144271164</v>
      </c>
      <c r="I37" s="190" cm="1">
        <f t="array" ref="I37">_xlfn.IFS($AE$7=$AE$9,I$4*$AE37*$AB37,$AE$7=$AF$9,I$4*$AF37*$AB37,$AE$7=$AG$9,I$4*$AG37*$AB37)</f>
        <v>-352826.78595713875</v>
      </c>
      <c r="J37" s="190" cm="1">
        <f t="array" ref="J37">_xlfn.IFS($AE$7=$AE$9,J$4*$AE37*$AB37,$AE$7=$AF$9,J$4*$AF37*$AB37,$AE$7=$AG$9,J$4*$AG37*$AB37)</f>
        <v>-356355.05381671019</v>
      </c>
      <c r="K37" s="190" cm="1">
        <f t="array" ref="K37">_xlfn.IFS($AE$7=$AE$9,K$4*$AE37*$AB37,$AE$7=$AF$9,K$4*$AF37*$AB37,$AE$7=$AG$9,K$4*$AG37*$AB37)</f>
        <v>-359918.60435487726</v>
      </c>
      <c r="L37" s="190" cm="1">
        <f t="array" ref="L37">_xlfn.IFS($AE$7=$AE$9,L$4*$AE37*$AB37,$AE$7=$AF$9,L$4*$AF37*$AB37,$AE$7=$AG$9,L$4*$AG37*$AB37)</f>
        <v>-227783.09226043796</v>
      </c>
      <c r="M37" s="190" cm="1">
        <f t="array" ref="M37">_xlfn.IFS($AE$7=$AE$9,M$4*$AE37*$AB37,$AE$7=$AF$9,M$4*$AF37*$AB37,$AE$7=$AG$9,M$4*$AG37*$AB37)</f>
        <v>-225984.70241263308</v>
      </c>
      <c r="N37" s="190" cm="1">
        <f t="array" ref="N37">_xlfn.IFS($AE$7=$AE$9,N$4*$AE37*$AB37,$AE$7=$AF$9,N$4*$AF37*$AB37,$AE$7=$AG$9,N$4*$AG37*$AB37)</f>
        <v>-299298.83959472046</v>
      </c>
      <c r="O37" s="190" cm="1">
        <f t="array" ref="O37">_xlfn.IFS($AE$7=$AE$9,O$4*$AE37*$AB37,$AE$7=$AF$9,O$4*$AF37*$AB37,$AE$7=$AG$9,O$4*$AG37*$AB37)</f>
        <v>-267425.94404062344</v>
      </c>
      <c r="P37" s="190" cm="1">
        <f t="array" ref="P37">_xlfn.IFS($AE$7=$AE$9,P$4*$AE37*$AB37,$AE$7=$AF$9,P$4*$AF37*$AB37,$AE$7=$AG$9,P$4*$AG37*$AB37)</f>
        <v>-298023.26049877604</v>
      </c>
      <c r="Q37" s="190" cm="1">
        <f t="array" ref="Q37">_xlfn.IFS($AE$7=$AE$9,Q$4*$AE37*$AB37,$AE$7=$AF$9,Q$4*$AF37*$AB37,$AE$7=$AG$9,Q$4*$AG37*$AB37)</f>
        <v>-288989.14640022587</v>
      </c>
      <c r="R37" s="190" cm="1">
        <f t="array" ref="R37">_xlfn.IFS($AE$7=$AE$9,R$4*$AE37*$AB37,$AE$7=$AF$9,R$4*$AF37*$AB37,$AE$7=$AG$9,R$4*$AG37*$AB37)</f>
        <v>-316695.16309904912</v>
      </c>
      <c r="S37" s="190" cm="1">
        <f t="array" ref="S37">_xlfn.IFS($AE$7=$AE$9,S$4*$AE37*$AB37,$AE$7=$AF$9,S$4*$AF37*$AB37,$AE$7=$AG$9,S$4*$AG37*$AB37)</f>
        <v>-371337.5849217283</v>
      </c>
      <c r="T37" s="190" cm="1">
        <f t="array" ref="T37">_xlfn.IFS($AE$7=$AE$9,T$4*$AE37*$AB37,$AE$7=$AF$9,T$4*$AF37*$AB37,$AE$7=$AG$9,T$4*$AG37*$AB37)</f>
        <v>-340168.31613555213</v>
      </c>
      <c r="U37" s="190" cm="1">
        <f t="array" ref="U37">_xlfn.IFS($AE$7=$AE$9,U$4*$AE37*$AB37,$AE$7=$AF$9,U$4*$AF37*$AB37,$AE$7=$AG$9,U$4*$AG37*$AB37)</f>
        <v>-298609.29108731728</v>
      </c>
      <c r="V37" s="190" cm="1">
        <f t="array" ref="V37">_xlfn.IFS($AE$7=$AE$9,V$4*$AE37*$AB37,$AE$7=$AF$9,V$4*$AF37*$AB37,$AE$7=$AG$9,V$4*$AG37*$AB37)</f>
        <v>-283794.2682691965</v>
      </c>
      <c r="W37" s="190" cm="1">
        <f t="array" ref="W37">_xlfn.IFS($AE$7=$AE$9,W$4*$AE37*$AB37,$AE$7=$AF$9,W$4*$AF37*$AB37,$AE$7=$AG$9,W$4*$AG37*$AB37)</f>
        <v>-262629.94995759538</v>
      </c>
      <c r="X37" s="190" cm="1">
        <f t="array" ref="X37">_xlfn.IFS($AE$7=$AE$9,X$4*$AE37*$AB37,$AE$7=$AF$9,X$4*$AF37*$AB37,$AE$7=$AG$9,X$4*$AG37*$AB37)</f>
        <v>-262629.94995759538</v>
      </c>
      <c r="Y37" s="190" cm="1">
        <f t="array" ref="Y37">_xlfn.IFS($AE$7=$AE$9,Y$4*$AE37*$AB37,$AE$7=$AF$9,Y$4*$AF37*$AB37,$AE$7=$AG$9,Y$4*$AG37*$AB37)</f>
        <v>-262629.94995759538</v>
      </c>
      <c r="Z37" s="190" cm="1">
        <f t="array" ref="Z37">_xlfn.IFS($AE$7=$AE$9,Z$4*$AE37*$AB37,$AE$7=$AF$9,Z$4*$AF37*$AB37,$AE$7=$AG$9,Z$4*$AG37*$AB37)</f>
        <v>-343439.1653291632</v>
      </c>
      <c r="AA37" s="190"/>
      <c r="AB37" s="188">
        <f t="shared" ref="AB37:AB40" si="18">AD37/SUM($AD$36:$AD$40)</f>
        <v>0.47178961655721563</v>
      </c>
      <c r="AC37" s="184" t="str">
        <f>+A37&amp;"-"&amp;B37</f>
        <v>130-4466</v>
      </c>
      <c r="AD37" s="212">
        <v>2699832.65</v>
      </c>
      <c r="AE37" s="218">
        <f t="shared" ref="AE37:AG40" si="19">AE$10</f>
        <v>0.5714285714285714</v>
      </c>
      <c r="AF37" s="218">
        <f t="shared" si="19"/>
        <v>0.49733539497357082</v>
      </c>
      <c r="AG37" s="218">
        <f t="shared" si="19"/>
        <v>0.58916898424662745</v>
      </c>
    </row>
    <row r="38" spans="1:33" outlineLevel="1" x14ac:dyDescent="0.2">
      <c r="A38" s="184">
        <v>130</v>
      </c>
      <c r="B38" s="187">
        <v>4475</v>
      </c>
      <c r="G38" s="190" cm="1">
        <f t="array" ref="G38">_xlfn.IFS($AE$7=$AE$9,G$4*$AE38*$AB38,$AE$7=$AF$9,G$4*$AF38*$AB38,$AE$7=$AG$9,G$4*$AG38*$AB38)</f>
        <v>-128267.64203671958</v>
      </c>
      <c r="H38" s="190" cm="1">
        <f t="array" ref="H38">_xlfn.IFS($AE$7=$AE$9,H$4*$AE38*$AB38,$AE$7=$AF$9,H$4*$AF38*$AB38,$AE$7=$AG$9,H$4*$AG38*$AB38)</f>
        <v>-129550.31845708679</v>
      </c>
      <c r="I38" s="190" cm="1">
        <f t="array" ref="I38">_xlfn.IFS($AE$7=$AE$9,I$4*$AE38*$AB38,$AE$7=$AF$9,I$4*$AF38*$AB38,$AE$7=$AG$9,I$4*$AG38*$AB38)</f>
        <v>-130845.82164165765</v>
      </c>
      <c r="J38" s="190" cm="1">
        <f t="array" ref="J38">_xlfn.IFS($AE$7=$AE$9,J$4*$AE38*$AB38,$AE$7=$AF$9,J$4*$AF38*$AB38,$AE$7=$AG$9,J$4*$AG38*$AB38)</f>
        <v>-132154.27985807424</v>
      </c>
      <c r="K38" s="190" cm="1">
        <f t="array" ref="K38">_xlfn.IFS($AE$7=$AE$9,K$4*$AE38*$AB38,$AE$7=$AF$9,K$4*$AF38*$AB38,$AE$7=$AG$9,K$4*$AG38*$AB38)</f>
        <v>-133475.82265665499</v>
      </c>
      <c r="L38" s="190" cm="1">
        <f t="array" ref="L38">_xlfn.IFS($AE$7=$AE$9,L$4*$AE38*$AB38,$AE$7=$AF$9,L$4*$AF38*$AB38,$AE$7=$AG$9,L$4*$AG38*$AB38)</f>
        <v>-84473.364974379088</v>
      </c>
      <c r="M38" s="190" cm="1">
        <f t="array" ref="M38">_xlfn.IFS($AE$7=$AE$9,M$4*$AE38*$AB38,$AE$7=$AF$9,M$4*$AF38*$AB38,$AE$7=$AG$9,M$4*$AG38*$AB38)</f>
        <v>-83806.432058189923</v>
      </c>
      <c r="N38" s="190" cm="1">
        <f t="array" ref="N38">_xlfn.IFS($AE$7=$AE$9,N$4*$AE38*$AB38,$AE$7=$AF$9,N$4*$AF38*$AB38,$AE$7=$AG$9,N$4*$AG38*$AB38)</f>
        <v>-110994.98150892455</v>
      </c>
      <c r="O38" s="190" cm="1">
        <f t="array" ref="O38">_xlfn.IFS($AE$7=$AE$9,O$4*$AE38*$AB38,$AE$7=$AF$9,O$4*$AF38*$AB38,$AE$7=$AG$9,O$4*$AG38*$AB38)</f>
        <v>-99174.917463727063</v>
      </c>
      <c r="P38" s="190" cm="1">
        <f t="array" ref="P38">_xlfn.IFS($AE$7=$AE$9,P$4*$AE38*$AB38,$AE$7=$AF$9,P$4*$AF38*$AB38,$AE$7=$AG$9,P$4*$AG38*$AB38)</f>
        <v>-110521.93297201997</v>
      </c>
      <c r="Q38" s="190" cm="1">
        <f t="array" ref="Q38">_xlfn.IFS($AE$7=$AE$9,Q$4*$AE38*$AB38,$AE$7=$AF$9,Q$4*$AF38*$AB38,$AE$7=$AG$9,Q$4*$AG38*$AB38)</f>
        <v>-107171.63155195466</v>
      </c>
      <c r="R38" s="190" cm="1">
        <f t="array" ref="R38">_xlfn.IFS($AE$7=$AE$9,R$4*$AE38*$AB38,$AE$7=$AF$9,R$4*$AF38*$AB38,$AE$7=$AG$9,R$4*$AG38*$AB38)</f>
        <v>-117446.40847837375</v>
      </c>
      <c r="S38" s="190" cm="1">
        <f t="array" ref="S38">_xlfn.IFS($AE$7=$AE$9,S$4*$AE38*$AB38,$AE$7=$AF$9,S$4*$AF38*$AB38,$AE$7=$AG$9,S$4*$AG38*$AB38)</f>
        <v>-137710.55186103363</v>
      </c>
      <c r="T38" s="190" cm="1">
        <f t="array" ref="T38">_xlfn.IFS($AE$7=$AE$9,T$4*$AE38*$AB38,$AE$7=$AF$9,T$4*$AF38*$AB38,$AE$7=$AG$9,T$4*$AG38*$AB38)</f>
        <v>-126151.42781881214</v>
      </c>
      <c r="U38" s="190" cm="1">
        <f t="array" ref="U38">_xlfn.IFS($AE$7=$AE$9,U$4*$AE38*$AB38,$AE$7=$AF$9,U$4*$AF38*$AB38,$AE$7=$AG$9,U$4*$AG38*$AB38)</f>
        <v>-110739.26242918351</v>
      </c>
      <c r="V38" s="190" cm="1">
        <f t="array" ref="V38">_xlfn.IFS($AE$7=$AE$9,V$4*$AE38*$AB38,$AE$7=$AF$9,V$4*$AF38*$AB38,$AE$7=$AG$9,V$4*$AG38*$AB38)</f>
        <v>-105245.11087825109</v>
      </c>
      <c r="W38" s="190" cm="1">
        <f t="array" ref="W38">_xlfn.IFS($AE$7=$AE$9,W$4*$AE38*$AB38,$AE$7=$AF$9,W$4*$AF38*$AB38,$AE$7=$AG$9,W$4*$AG38*$AB38)</f>
        <v>-97396.322948347603</v>
      </c>
      <c r="X38" s="190" cm="1">
        <f t="array" ref="X38">_xlfn.IFS($AE$7=$AE$9,X$4*$AE38*$AB38,$AE$7=$AF$9,X$4*$AF38*$AB38,$AE$7=$AG$9,X$4*$AG38*$AB38)</f>
        <v>-97396.322948347603</v>
      </c>
      <c r="Y38" s="190" cm="1">
        <f t="array" ref="Y38">_xlfn.IFS($AE$7=$AE$9,Y$4*$AE38*$AB38,$AE$7=$AF$9,Y$4*$AF38*$AB38,$AE$7=$AG$9,Y$4*$AG38*$AB38)</f>
        <v>-97396.322948347603</v>
      </c>
      <c r="Z38" s="190" cm="1">
        <f t="array" ref="Z38">_xlfn.IFS($AE$7=$AE$9,Z$4*$AE38*$AB38,$AE$7=$AF$9,Z$4*$AF38*$AB38,$AE$7=$AG$9,Z$4*$AG38*$AB38)</f>
        <v>-127364.42231706994</v>
      </c>
      <c r="AA38" s="190"/>
      <c r="AB38" s="188">
        <f t="shared" si="18"/>
        <v>0.17496319009047864</v>
      </c>
      <c r="AC38" s="184" t="str">
        <f>+A38&amp;"-"&amp;B38</f>
        <v>130-4475</v>
      </c>
      <c r="AD38" s="212">
        <v>1001233</v>
      </c>
      <c r="AE38" s="218">
        <f t="shared" si="19"/>
        <v>0.5714285714285714</v>
      </c>
      <c r="AF38" s="218">
        <f t="shared" si="19"/>
        <v>0.49733539497357082</v>
      </c>
      <c r="AG38" s="218">
        <f t="shared" si="19"/>
        <v>0.58916898424662745</v>
      </c>
    </row>
    <row r="39" spans="1:33" outlineLevel="1" x14ac:dyDescent="0.2">
      <c r="A39" s="184">
        <v>130</v>
      </c>
      <c r="B39" s="187">
        <v>4500</v>
      </c>
      <c r="G39" s="190" cm="1">
        <f t="array" ref="G39">_xlfn.IFS($AE$7=$AE$9,G$4*$AE39*$AB39,$AE$7=$AF$9,G$4*$AF39*$AB39,$AE$7=$AG$9,G$4*$AG39*$AB39)</f>
        <v>-115705.06562091332</v>
      </c>
      <c r="H39" s="190" cm="1">
        <f t="array" ref="H39">_xlfn.IFS($AE$7=$AE$9,H$4*$AE39*$AB39,$AE$7=$AF$9,H$4*$AF39*$AB39,$AE$7=$AG$9,H$4*$AG39*$AB39)</f>
        <v>-116862.11627712245</v>
      </c>
      <c r="I39" s="190" cm="1">
        <f t="array" ref="I39">_xlfn.IFS($AE$7=$AE$9,I$4*$AE39*$AB39,$AE$7=$AF$9,I$4*$AF39*$AB39,$AE$7=$AG$9,I$4*$AG39*$AB39)</f>
        <v>-118030.73743989367</v>
      </c>
      <c r="J39" s="190" cm="1">
        <f t="array" ref="J39">_xlfn.IFS($AE$7=$AE$9,J$4*$AE39*$AB39,$AE$7=$AF$9,J$4*$AF39*$AB39,$AE$7=$AG$9,J$4*$AG39*$AB39)</f>
        <v>-119211.04481429262</v>
      </c>
      <c r="K39" s="190" cm="1">
        <f t="array" ref="K39">_xlfn.IFS($AE$7=$AE$9,K$4*$AE39*$AB39,$AE$7=$AF$9,K$4*$AF39*$AB39,$AE$7=$AG$9,K$4*$AG39*$AB39)</f>
        <v>-120403.15526243554</v>
      </c>
      <c r="L39" s="190" cm="1">
        <f t="array" ref="L39">_xlfn.IFS($AE$7=$AE$9,L$4*$AE39*$AB39,$AE$7=$AF$9,L$4*$AF39*$AB39,$AE$7=$AG$9,L$4*$AG39*$AB39)</f>
        <v>-76200.014924900999</v>
      </c>
      <c r="M39" s="190" cm="1">
        <f t="array" ref="M39">_xlfn.IFS($AE$7=$AE$9,M$4*$AE39*$AB39,$AE$7=$AF$9,M$4*$AF39*$AB39,$AE$7=$AG$9,M$4*$AG39*$AB39)</f>
        <v>-75598.401644988029</v>
      </c>
      <c r="N39" s="190" cm="1">
        <f t="array" ref="N39">_xlfn.IFS($AE$7=$AE$9,N$4*$AE39*$AB39,$AE$7=$AF$9,N$4*$AF39*$AB39,$AE$7=$AG$9,N$4*$AG39*$AB39)</f>
        <v>-100124.09533033795</v>
      </c>
      <c r="O39" s="190" cm="1">
        <f t="array" ref="O39">_xlfn.IFS($AE$7=$AE$9,O$4*$AE39*$AB39,$AE$7=$AF$9,O$4*$AF39*$AB39,$AE$7=$AG$9,O$4*$AG39*$AB39)</f>
        <v>-89461.692371363664</v>
      </c>
      <c r="P39" s="190" cm="1">
        <f t="array" ref="P39">_xlfn.IFS($AE$7=$AE$9,P$4*$AE39*$AB39,$AE$7=$AF$9,P$4*$AF39*$AB39,$AE$7=$AG$9,P$4*$AG39*$AB39)</f>
        <v>-99697.377327766793</v>
      </c>
      <c r="Q39" s="190" cm="1">
        <f t="array" ref="Q39">_xlfn.IFS($AE$7=$AE$9,Q$4*$AE39*$AB39,$AE$7=$AF$9,Q$4*$AF39*$AB39,$AE$7=$AG$9,Q$4*$AG39*$AB39)</f>
        <v>-96675.205566415447</v>
      </c>
      <c r="R39" s="190" cm="1">
        <f t="array" ref="R39">_xlfn.IFS($AE$7=$AE$9,R$4*$AE39*$AB39,$AE$7=$AF$9,R$4*$AF39*$AB39,$AE$7=$AG$9,R$4*$AG39*$AB39)</f>
        <v>-105943.66735174423</v>
      </c>
      <c r="S39" s="190" cm="1">
        <f t="array" ref="S39">_xlfn.IFS($AE$7=$AE$9,S$4*$AE39*$AB39,$AE$7=$AF$9,S$4*$AF39*$AB39,$AE$7=$AG$9,S$4*$AG39*$AB39)</f>
        <v>-124223.13365058709</v>
      </c>
      <c r="T39" s="190" cm="1">
        <f t="array" ref="T39">_xlfn.IFS($AE$7=$AE$9,T$4*$AE39*$AB39,$AE$7=$AF$9,T$4*$AF39*$AB39,$AE$7=$AG$9,T$4*$AG39*$AB39)</f>
        <v>-113796.11414209221</v>
      </c>
      <c r="U39" s="190" cm="1">
        <f t="array" ref="U39">_xlfn.IFS($AE$7=$AE$9,U$4*$AE39*$AB39,$AE$7=$AF$9,U$4*$AF39*$AB39,$AE$7=$AG$9,U$4*$AG39*$AB39)</f>
        <v>-99893.421464099054</v>
      </c>
      <c r="V39" s="190" cm="1">
        <f t="array" ref="V39">_xlfn.IFS($AE$7=$AE$9,V$4*$AE39*$AB39,$AE$7=$AF$9,V$4*$AF39*$AB39,$AE$7=$AG$9,V$4*$AG39*$AB39)</f>
        <v>-94937.36898166631</v>
      </c>
      <c r="W39" s="190" cm="1">
        <f t="array" ref="W39">_xlfn.IFS($AE$7=$AE$9,W$4*$AE39*$AB39,$AE$7=$AF$9,W$4*$AF39*$AB39,$AE$7=$AG$9,W$4*$AG39*$AB39)</f>
        <v>-87857.294006762357</v>
      </c>
      <c r="X39" s="190" cm="1">
        <f t="array" ref="X39">_xlfn.IFS($AE$7=$AE$9,X$4*$AE39*$AB39,$AE$7=$AF$9,X$4*$AF39*$AB39,$AE$7=$AG$9,X$4*$AG39*$AB39)</f>
        <v>-87857.294006762357</v>
      </c>
      <c r="Y39" s="190" cm="1">
        <f t="array" ref="Y39">_xlfn.IFS($AE$7=$AE$9,Y$4*$AE39*$AB39,$AE$7=$AF$9,Y$4*$AF39*$AB39,$AE$7=$AG$9,Y$4*$AG39*$AB39)</f>
        <v>-87857.294006762357</v>
      </c>
      <c r="Z39" s="190" cm="1">
        <f t="array" ref="Z39">_xlfn.IFS($AE$7=$AE$9,Z$4*$AE39*$AB39,$AE$7=$AF$9,Z$4*$AF39*$AB39,$AE$7=$AG$9,Z$4*$AG39*$AB39)</f>
        <v>-114890.30754730463</v>
      </c>
      <c r="AA39" s="190"/>
      <c r="AB39" s="188">
        <f t="shared" si="18"/>
        <v>0.15782723584228522</v>
      </c>
      <c r="AC39" s="184" t="str">
        <f>+A39&amp;"-"&amp;B39</f>
        <v>130-4500</v>
      </c>
      <c r="AD39" s="212">
        <v>903171.9</v>
      </c>
      <c r="AE39" s="218">
        <f t="shared" si="19"/>
        <v>0.5714285714285714</v>
      </c>
      <c r="AF39" s="218">
        <f t="shared" si="19"/>
        <v>0.49733539497357082</v>
      </c>
      <c r="AG39" s="218">
        <f t="shared" si="19"/>
        <v>0.58916898424662745</v>
      </c>
    </row>
    <row r="40" spans="1:33" outlineLevel="1" x14ac:dyDescent="0.2">
      <c r="A40" s="184">
        <v>130</v>
      </c>
      <c r="B40" s="187">
        <v>4505</v>
      </c>
      <c r="G40" s="190" cm="1">
        <f t="array" ref="G40">_xlfn.IFS($AE$7=$AE$9,G$4*$AE40*$AB40,$AE$7=$AF$9,G$4*$AF40*$AB40,$AE$7=$AG$9,G$4*$AG40*$AB40)</f>
        <v>-40808.538769731218</v>
      </c>
      <c r="H40" s="190" cm="1">
        <f t="array" ref="H40">_xlfn.IFS($AE$7=$AE$9,H$4*$AE40*$AB40,$AE$7=$AF$9,H$4*$AF40*$AB40,$AE$7=$AG$9,H$4*$AG40*$AB40)</f>
        <v>-41216.62415742853</v>
      </c>
      <c r="I40" s="190" cm="1">
        <f t="array" ref="I40">_xlfn.IFS($AE$7=$AE$9,I$4*$AE40*$AB40,$AE$7=$AF$9,I$4*$AF40*$AB40,$AE$7=$AG$9,I$4*$AG40*$AB40)</f>
        <v>-41628.790399002814</v>
      </c>
      <c r="J40" s="190" cm="1">
        <f t="array" ref="J40">_xlfn.IFS($AE$7=$AE$9,J$4*$AE40*$AB40,$AE$7=$AF$9,J$4*$AF40*$AB40,$AE$7=$AG$9,J$4*$AG40*$AB40)</f>
        <v>-42045.078302992843</v>
      </c>
      <c r="K40" s="190" cm="1">
        <f t="array" ref="K40">_xlfn.IFS($AE$7=$AE$9,K$4*$AE40*$AB40,$AE$7=$AF$9,K$4*$AF40*$AB40,$AE$7=$AG$9,K$4*$AG40*$AB40)</f>
        <v>-42465.529086022769</v>
      </c>
      <c r="L40" s="190" cm="1">
        <f t="array" ref="L40">_xlfn.IFS($AE$7=$AE$9,L$4*$AE40*$AB40,$AE$7=$AF$9,L$4*$AF40*$AB40,$AE$7=$AG$9,L$4*$AG40*$AB40)</f>
        <v>-26875.325178112755</v>
      </c>
      <c r="M40" s="190" cm="1">
        <f t="array" ref="M40">_xlfn.IFS($AE$7=$AE$9,M$4*$AE40*$AB40,$AE$7=$AF$9,M$4*$AF40*$AB40,$AE$7=$AG$9,M$4*$AG40*$AB40)</f>
        <v>-26663.139490943704</v>
      </c>
      <c r="N40" s="190" cm="1">
        <f t="array" ref="N40">_xlfn.IFS($AE$7=$AE$9,N$4*$AE40*$AB40,$AE$7=$AF$9,N$4*$AF40*$AB40,$AE$7=$AG$9,N$4*$AG40*$AB40)</f>
        <v>-35313.216445156606</v>
      </c>
      <c r="O40" s="190" cm="1">
        <f t="array" ref="O40">_xlfn.IFS($AE$7=$AE$9,O$4*$AE40*$AB40,$AE$7=$AF$9,O$4*$AF40*$AB40,$AE$7=$AG$9,O$4*$AG40*$AB40)</f>
        <v>-31552.645702684698</v>
      </c>
      <c r="P40" s="190" cm="1">
        <f t="array" ref="P40">_xlfn.IFS($AE$7=$AE$9,P$4*$AE40*$AB40,$AE$7=$AF$9,P$4*$AF40*$AB40,$AE$7=$AG$9,P$4*$AG40*$AB40)</f>
        <v>-35162.715358119327</v>
      </c>
      <c r="Q40" s="190" cm="1">
        <f t="array" ref="Q40">_xlfn.IFS($AE$7=$AE$9,Q$4*$AE40*$AB40,$AE$7=$AF$9,Q$4*$AF40*$AB40,$AE$7=$AG$9,Q$4*$AG40*$AB40)</f>
        <v>-34096.812038933953</v>
      </c>
      <c r="R40" s="190" cm="1">
        <f t="array" ref="R40">_xlfn.IFS($AE$7=$AE$9,R$4*$AE40*$AB40,$AE$7=$AF$9,R$4*$AF40*$AB40,$AE$7=$AG$9,R$4*$AG40*$AB40)</f>
        <v>-37365.747414171296</v>
      </c>
      <c r="S40" s="190" cm="1">
        <f t="array" ref="S40">_xlfn.IFS($AE$7=$AE$9,S$4*$AE40*$AB40,$AE$7=$AF$9,S$4*$AF40*$AB40,$AE$7=$AG$9,S$4*$AG40*$AB40)</f>
        <v>-43812.814404222721</v>
      </c>
      <c r="T40" s="190" cm="1">
        <f t="array" ref="T40">_xlfn.IFS($AE$7=$AE$9,T$4*$AE40*$AB40,$AE$7=$AF$9,T$4*$AF40*$AB40,$AE$7=$AG$9,T$4*$AG40*$AB40)</f>
        <v>-40135.262107080707</v>
      </c>
      <c r="U40" s="190" cm="1">
        <f t="array" ref="U40">_xlfn.IFS($AE$7=$AE$9,U$4*$AE40*$AB40,$AE$7=$AF$9,U$4*$AF40*$AB40,$AE$7=$AG$9,U$4*$AG40*$AB40)</f>
        <v>-35231.859044224693</v>
      </c>
      <c r="V40" s="190" cm="1">
        <f t="array" ref="V40">_xlfn.IFS($AE$7=$AE$9,V$4*$AE40*$AB40,$AE$7=$AF$9,V$4*$AF40*$AB40,$AE$7=$AG$9,V$4*$AG40*$AB40)</f>
        <v>-33483.886656076953</v>
      </c>
      <c r="W40" s="190" cm="1">
        <f t="array" ref="W40">_xlfn.IFS($AE$7=$AE$9,W$4*$AE40*$AB40,$AE$7=$AF$9,W$4*$AF40*$AB40,$AE$7=$AG$9,W$4*$AG40*$AB40)</f>
        <v>-30986.783244437309</v>
      </c>
      <c r="X40" s="190" cm="1">
        <f t="array" ref="X40">_xlfn.IFS($AE$7=$AE$9,X$4*$AE40*$AB40,$AE$7=$AF$9,X$4*$AF40*$AB40,$AE$7=$AG$9,X$4*$AG40*$AB40)</f>
        <v>-30986.783244437309</v>
      </c>
      <c r="Y40" s="190" cm="1">
        <f t="array" ref="Y40">_xlfn.IFS($AE$7=$AE$9,Y$4*$AE40*$AB40,$AE$7=$AF$9,Y$4*$AF40*$AB40,$AE$7=$AG$9,Y$4*$AG40*$AB40)</f>
        <v>-30986.783244437309</v>
      </c>
      <c r="Z40" s="190" cm="1">
        <f t="array" ref="Z40">_xlfn.IFS($AE$7=$AE$9,Z$4*$AE40*$AB40,$AE$7=$AF$9,Z$4*$AF40*$AB40,$AE$7=$AG$9,Z$4*$AG40*$AB40)</f>
        <v>-40521.178088879562</v>
      </c>
      <c r="AA40" s="190"/>
      <c r="AB40" s="188">
        <f t="shared" si="18"/>
        <v>5.5664795989928323E-2</v>
      </c>
      <c r="AC40" s="184" t="str">
        <f>+A40&amp;"-"&amp;B40</f>
        <v>130-4505</v>
      </c>
      <c r="AD40" s="212">
        <v>318543.75</v>
      </c>
      <c r="AE40" s="218">
        <f t="shared" si="19"/>
        <v>0.5714285714285714</v>
      </c>
      <c r="AF40" s="218">
        <f t="shared" si="19"/>
        <v>0.49733539497357082</v>
      </c>
      <c r="AG40" s="218">
        <f t="shared" si="19"/>
        <v>0.58916898424662745</v>
      </c>
    </row>
    <row r="41" spans="1:33" outlineLevel="1" x14ac:dyDescent="0.2">
      <c r="Z41" s="184"/>
      <c r="AB41" s="188"/>
      <c r="AD41" s="212"/>
      <c r="AE41" s="218"/>
      <c r="AF41" s="218"/>
      <c r="AG41" s="218"/>
    </row>
    <row r="42" spans="1:33" outlineLevel="1" x14ac:dyDescent="0.2">
      <c r="A42" s="184">
        <v>230</v>
      </c>
      <c r="B42" s="187">
        <v>4465</v>
      </c>
      <c r="G42" s="190" cm="1">
        <f t="array" ref="G42">_xlfn.IFS($AE$7=$AE$9,G$4*$AE42*$AB42,$AE$7=$AF$9,G$4*$AF42*$AB42,$AE$7=$AG$9,G$4*$AG42*$AB42)</f>
        <v>-112885.10023748434</v>
      </c>
      <c r="H42" s="190" cm="1">
        <f t="array" ref="H42">_xlfn.IFS($AE$7=$AE$9,H$4*$AE42*$AB42,$AE$7=$AF$9,H$4*$AF42*$AB42,$AE$7=$AG$9,H$4*$AG42*$AB42)</f>
        <v>-114013.95123985919</v>
      </c>
      <c r="I42" s="190" cm="1">
        <f t="array" ref="I42">_xlfn.IFS($AE$7=$AE$9,I$4*$AE42*$AB42,$AE$7=$AF$9,I$4*$AF42*$AB42,$AE$7=$AG$9,I$4*$AG42*$AB42)</f>
        <v>-115154.09075225778</v>
      </c>
      <c r="J42" s="190" cm="1">
        <f t="array" ref="J42">_xlfn.IFS($AE$7=$AE$9,J$4*$AE42*$AB42,$AE$7=$AF$9,J$4*$AF42*$AB42,$AE$7=$AG$9,J$4*$AG42*$AB42)</f>
        <v>-116305.63165978037</v>
      </c>
      <c r="K42" s="190" cm="1">
        <f t="array" ref="K42">_xlfn.IFS($AE$7=$AE$9,K$4*$AE42*$AB42,$AE$7=$AF$9,K$4*$AF42*$AB42,$AE$7=$AG$9,K$4*$AG42*$AB42)</f>
        <v>-117468.68797637816</v>
      </c>
      <c r="L42" s="190" cm="1">
        <f t="array" ref="L42">_xlfn.IFS($AE$7=$AE$9,L$4*$AE42*$AB42,$AE$7=$AF$9,L$4*$AF42*$AB42,$AE$7=$AG$9,L$4*$AG42*$AB42)</f>
        <v>-74342.867157412489</v>
      </c>
      <c r="M42" s="190" cm="1">
        <f t="array" ref="M42">_xlfn.IFS($AE$7=$AE$9,M$4*$AE42*$AB42,$AE$7=$AF$9,M$4*$AF42*$AB42,$AE$7=$AG$9,M$4*$AG42*$AB42)</f>
        <v>-73755.916404282252</v>
      </c>
      <c r="N42" s="190" cm="1">
        <f t="array" ref="N42">_xlfn.IFS($AE$7=$AE$9,N$4*$AE42*$AB42,$AE$7=$AF$9,N$4*$AF42*$AB42,$AE$7=$AG$9,N$4*$AG42*$AB42)</f>
        <v>-97683.869560070001</v>
      </c>
      <c r="O42" s="190" cm="1">
        <f t="array" ref="O42">_xlfn.IFS($AE$7=$AE$9,O$4*$AE42*$AB42,$AE$7=$AF$9,O$4*$AF42*$AB42,$AE$7=$AG$9,O$4*$AG42*$AB42)</f>
        <v>-87281.330826461533</v>
      </c>
      <c r="P42" s="190" cm="1">
        <f t="array" ref="P42">_xlfn.IFS($AE$7=$AE$9,P$4*$AE42*$AB42,$AE$7=$AF$9,P$4*$AF42*$AB42,$AE$7=$AG$9,P$4*$AG42*$AB42)</f>
        <v>-97267.55153427842</v>
      </c>
      <c r="Q42" s="190" cm="1">
        <f t="array" ref="Q42">_xlfn.IFS($AE$7=$AE$9,Q$4*$AE42*$AB42,$AE$7=$AF$9,Q$4*$AF42*$AB42,$AE$7=$AG$9,Q$4*$AG42*$AB42)</f>
        <v>-94319.036182904048</v>
      </c>
      <c r="R42" s="190" cm="1">
        <f t="array" ref="R42">_xlfn.IFS($AE$7=$AE$9,R$4*$AE42*$AB42,$AE$7=$AF$9,R$4*$AF42*$AB42,$AE$7=$AG$9,R$4*$AG42*$AB42)</f>
        <v>-103361.6068955127</v>
      </c>
      <c r="S42" s="190" cm="1">
        <f t="array" ref="S42">_xlfn.IFS($AE$7=$AE$9,S$4*$AE42*$AB42,$AE$7=$AF$9,S$4*$AF42*$AB42,$AE$7=$AG$9,S$4*$AG42*$AB42)</f>
        <v>-121195.56580093531</v>
      </c>
      <c r="T42" s="190" cm="1">
        <f t="array" ref="T42">_xlfn.IFS($AE$7=$AE$9,T$4*$AE42*$AB42,$AE$7=$AF$9,T$4*$AF42*$AB42,$AE$7=$AG$9,T$4*$AG42*$AB42)</f>
        <v>-111022.67374925058</v>
      </c>
      <c r="U42" s="190" cm="1">
        <f t="array" ref="U42">_xlfn.IFS($AE$7=$AE$9,U$4*$AE42*$AB42,$AE$7=$AF$9,U$4*$AF42*$AB42,$AE$7=$AG$9,U$4*$AG42*$AB42)</f>
        <v>-97458.817680337626</v>
      </c>
      <c r="V42" s="190" cm="1">
        <f t="array" ref="V42">_xlfn.IFS($AE$7=$AE$9,V$4*$AE42*$AB42,$AE$7=$AF$9,V$4*$AF42*$AB42,$AE$7=$AG$9,V$4*$AG42*$AB42)</f>
        <v>-92623.554174289937</v>
      </c>
      <c r="W42" s="190" cm="1">
        <f t="array" ref="W42">_xlfn.IFS($AE$7=$AE$9,W$4*$AE42*$AB42,$AE$7=$AF$9,W$4*$AF42*$AB42,$AE$7=$AG$9,W$4*$AG42*$AB42)</f>
        <v>-85716.034879936109</v>
      </c>
      <c r="X42" s="190" cm="1">
        <f t="array" ref="X42">_xlfn.IFS($AE$7=$AE$9,X$4*$AE42*$AB42,$AE$7=$AF$9,X$4*$AF42*$AB42,$AE$7=$AG$9,X$4*$AG42*$AB42)</f>
        <v>-85716.034879936109</v>
      </c>
      <c r="Y42" s="190" cm="1">
        <f t="array" ref="Y42">_xlfn.IFS($AE$7=$AE$9,Y$4*$AE42*$AB42,$AE$7=$AF$9,Y$4*$AF42*$AB42,$AE$7=$AG$9,Y$4*$AG42*$AB42)</f>
        <v>-85716.034879936109</v>
      </c>
      <c r="Z42" s="190" cm="1">
        <f t="array" ref="Z42">_xlfn.IFS($AE$7=$AE$9,Z$4*$AE42*$AB42,$AE$7=$AF$9,Z$4*$AF42*$AB42,$AE$7=$AG$9,Z$4*$AG42*$AB42)</f>
        <v>-112090.19945837799</v>
      </c>
      <c r="AA42" s="190"/>
      <c r="AB42" s="188">
        <f>AD42/SUM($AD$42:$AD$46)</f>
        <v>0.30158422302968452</v>
      </c>
      <c r="AC42" s="184" t="str">
        <f>+A42&amp;"-"&amp;B42</f>
        <v>230-4465</v>
      </c>
      <c r="AD42" s="212">
        <v>1034814.05</v>
      </c>
      <c r="AE42" s="218">
        <f>AE$16</f>
        <v>0.2857142857142857</v>
      </c>
      <c r="AF42" s="218">
        <f t="shared" ref="AF42:AG42" si="20">AF$16</f>
        <v>0.25392587103348579</v>
      </c>
      <c r="AG42" s="218">
        <f t="shared" si="20"/>
        <v>0.28491508483174488</v>
      </c>
    </row>
    <row r="43" spans="1:33" outlineLevel="1" x14ac:dyDescent="0.2">
      <c r="A43" s="184">
        <v>230</v>
      </c>
      <c r="B43" s="187">
        <v>4466</v>
      </c>
      <c r="G43" s="190" cm="1">
        <f t="array" ref="G43">_xlfn.IFS($AE$7=$AE$9,G$4*$AE43*$AB43,$AE$7=$AF$9,G$4*$AF43*$AB43,$AE$7=$AG$9,G$4*$AG43*$AB43)</f>
        <v>-153016.60155043396</v>
      </c>
      <c r="H43" s="190" cm="1">
        <f t="array" ref="H43">_xlfn.IFS($AE$7=$AE$9,H$4*$AE43*$AB43,$AE$7=$AF$9,H$4*$AF43*$AB43,$AE$7=$AG$9,H$4*$AG43*$AB43)</f>
        <v>-154546.76756593829</v>
      </c>
      <c r="I43" s="190" cm="1">
        <f t="array" ref="I43">_xlfn.IFS($AE$7=$AE$9,I$4*$AE43*$AB43,$AE$7=$AF$9,I$4*$AF43*$AB43,$AE$7=$AG$9,I$4*$AG43*$AB43)</f>
        <v>-156092.23524159766</v>
      </c>
      <c r="J43" s="190" cm="1">
        <f t="array" ref="J43">_xlfn.IFS($AE$7=$AE$9,J$4*$AE43*$AB43,$AE$7=$AF$9,J$4*$AF43*$AB43,$AE$7=$AG$9,J$4*$AG43*$AB43)</f>
        <v>-157653.15759401367</v>
      </c>
      <c r="K43" s="190" cm="1">
        <f t="array" ref="K43">_xlfn.IFS($AE$7=$AE$9,K$4*$AE43*$AB43,$AE$7=$AF$9,K$4*$AF43*$AB43,$AE$7=$AG$9,K$4*$AG43*$AB43)</f>
        <v>-159229.68916995381</v>
      </c>
      <c r="L43" s="190" cm="1">
        <f t="array" ref="L43">_xlfn.IFS($AE$7=$AE$9,L$4*$AE43*$AB43,$AE$7=$AF$9,L$4*$AF43*$AB43,$AE$7=$AG$9,L$4*$AG43*$AB43)</f>
        <v>-100772.31501775507</v>
      </c>
      <c r="M43" s="190" cm="1">
        <f t="array" ref="M43">_xlfn.IFS($AE$7=$AE$9,M$4*$AE43*$AB43,$AE$7=$AF$9,M$4*$AF43*$AB43,$AE$7=$AG$9,M$4*$AG43*$AB43)</f>
        <v>-99976.698861747675</v>
      </c>
      <c r="N43" s="190" cm="1">
        <f t="array" ref="N43">_xlfn.IFS($AE$7=$AE$9,N$4*$AE43*$AB43,$AE$7=$AF$9,N$4*$AF43*$AB43,$AE$7=$AG$9,N$4*$AG43*$AB43)</f>
        <v>-132411.21915055401</v>
      </c>
      <c r="O43" s="190" cm="1">
        <f t="array" ref="O43">_xlfn.IFS($AE$7=$AE$9,O$4*$AE43*$AB43,$AE$7=$AF$9,O$4*$AF43*$AB43,$AE$7=$AG$9,O$4*$AG43*$AB43)</f>
        <v>-118310.49973616874</v>
      </c>
      <c r="P43" s="190" cm="1">
        <f t="array" ref="P43">_xlfn.IFS($AE$7=$AE$9,P$4*$AE43*$AB43,$AE$7=$AF$9,P$4*$AF43*$AB43,$AE$7=$AG$9,P$4*$AG43*$AB43)</f>
        <v>-131846.89693852782</v>
      </c>
      <c r="Q43" s="190" cm="1">
        <f t="array" ref="Q43">_xlfn.IFS($AE$7=$AE$9,Q$4*$AE43*$AB43,$AE$7=$AF$9,Q$4*$AF43*$AB43,$AE$7=$AG$9,Q$4*$AG43*$AB43)</f>
        <v>-127850.16222564342</v>
      </c>
      <c r="R43" s="190" cm="1">
        <f t="array" ref="R43">_xlfn.IFS($AE$7=$AE$9,R$4*$AE43*$AB43,$AE$7=$AF$9,R$4*$AF43*$AB43,$AE$7=$AG$9,R$4*$AG43*$AB43)</f>
        <v>-140107.43476924705</v>
      </c>
      <c r="S43" s="190" cm="1">
        <f t="array" ref="S43">_xlfn.IFS($AE$7=$AE$9,S$4*$AE43*$AB43,$AE$7=$AF$9,S$4*$AF43*$AB43,$AE$7=$AG$9,S$4*$AG43*$AB43)</f>
        <v>-164281.50006357644</v>
      </c>
      <c r="T43" s="190" cm="1">
        <f t="array" ref="T43">_xlfn.IFS($AE$7=$AE$9,T$4*$AE43*$AB43,$AE$7=$AF$9,T$4*$AF43*$AB43,$AE$7=$AG$9,T$4*$AG43*$AB43)</f>
        <v>-150492.06845202236</v>
      </c>
      <c r="U43" s="190" cm="1">
        <f t="array" ref="U43">_xlfn.IFS($AE$7=$AE$9,U$4*$AE43*$AB43,$AE$7=$AF$9,U$4*$AF43*$AB43,$AE$7=$AG$9,U$4*$AG43*$AB43)</f>
        <v>-132106.15963661694</v>
      </c>
      <c r="V43" s="190" cm="1">
        <f t="array" ref="V43">_xlfn.IFS($AE$7=$AE$9,V$4*$AE43*$AB43,$AE$7=$AF$9,V$4*$AF43*$AB43,$AE$7=$AG$9,V$4*$AG43*$AB43)</f>
        <v>-125551.92362371775</v>
      </c>
      <c r="W43" s="190" cm="1">
        <f t="array" ref="W43">_xlfn.IFS($AE$7=$AE$9,W$4*$AE43*$AB43,$AE$7=$AF$9,W$4*$AF43*$AB43,$AE$7=$AG$9,W$4*$AG43*$AB43)</f>
        <v>-116188.7293195761</v>
      </c>
      <c r="X43" s="190" cm="1">
        <f t="array" ref="X43">_xlfn.IFS($AE$7=$AE$9,X$4*$AE43*$AB43,$AE$7=$AF$9,X$4*$AF43*$AB43,$AE$7=$AG$9,X$4*$AG43*$AB43)</f>
        <v>-116188.7293195761</v>
      </c>
      <c r="Y43" s="190" cm="1">
        <f t="array" ref="Y43">_xlfn.IFS($AE$7=$AE$9,Y$4*$AE43*$AB43,$AE$7=$AF$9,Y$4*$AF43*$AB43,$AE$7=$AG$9,Y$4*$AG43*$AB43)</f>
        <v>-116188.7293195761</v>
      </c>
      <c r="Z43" s="190" cm="1">
        <f t="array" ref="Z43">_xlfn.IFS($AE$7=$AE$9,Z$4*$AE43*$AB43,$AE$7=$AF$9,Z$4*$AF43*$AB43,$AE$7=$AG$9,Z$4*$AG43*$AB43)</f>
        <v>-151939.10757175335</v>
      </c>
      <c r="AA43" s="190"/>
      <c r="AB43" s="188">
        <f t="shared" ref="AB43:AB46" si="21">AD43/SUM($AD$42:$AD$46)</f>
        <v>0.40879968031340647</v>
      </c>
      <c r="AC43" s="184" t="str">
        <f>+A43&amp;"-"&amp;B43</f>
        <v>230-4466</v>
      </c>
      <c r="AD43" s="212">
        <v>1402698.22</v>
      </c>
      <c r="AE43" s="218">
        <f t="shared" ref="AE43:AG46" si="22">AE$16</f>
        <v>0.2857142857142857</v>
      </c>
      <c r="AF43" s="218">
        <f t="shared" si="22"/>
        <v>0.25392587103348579</v>
      </c>
      <c r="AG43" s="218">
        <f t="shared" si="22"/>
        <v>0.28491508483174488</v>
      </c>
    </row>
    <row r="44" spans="1:33" outlineLevel="1" x14ac:dyDescent="0.2">
      <c r="A44" s="184">
        <v>230</v>
      </c>
      <c r="B44" s="187">
        <v>4475</v>
      </c>
      <c r="G44" s="190" cm="1">
        <f t="array" ref="G44">_xlfn.IFS($AE$7=$AE$9,G$4*$AE44*$AB44,$AE$7=$AF$9,G$4*$AF44*$AB44,$AE$7=$AG$9,G$4*$AG44*$AB44)</f>
        <v>-38016.736543857187</v>
      </c>
      <c r="H44" s="190" cm="1">
        <f t="array" ref="H44">_xlfn.IFS($AE$7=$AE$9,H$4*$AE44*$AB44,$AE$7=$AF$9,H$4*$AF44*$AB44,$AE$7=$AG$9,H$4*$AG44*$AB44)</f>
        <v>-38396.903909295761</v>
      </c>
      <c r="I44" s="190" cm="1">
        <f t="array" ref="I44">_xlfn.IFS($AE$7=$AE$9,I$4*$AE44*$AB44,$AE$7=$AF$9,I$4*$AF44*$AB44,$AE$7=$AG$9,I$4*$AG44*$AB44)</f>
        <v>-38780.872948388722</v>
      </c>
      <c r="J44" s="190" cm="1">
        <f t="array" ref="J44">_xlfn.IFS($AE$7=$AE$9,J$4*$AE44*$AB44,$AE$7=$AF$9,J$4*$AF44*$AB44,$AE$7=$AG$9,J$4*$AG44*$AB44)</f>
        <v>-39168.681677872613</v>
      </c>
      <c r="K44" s="190" cm="1">
        <f t="array" ref="K44">_xlfn.IFS($AE$7=$AE$9,K$4*$AE44*$AB44,$AE$7=$AF$9,K$4*$AF44*$AB44,$AE$7=$AG$9,K$4*$AG44*$AB44)</f>
        <v>-39560.368494651339</v>
      </c>
      <c r="L44" s="190" cm="1">
        <f t="array" ref="L44">_xlfn.IFS($AE$7=$AE$9,L$4*$AE44*$AB44,$AE$7=$AF$9,L$4*$AF44*$AB44,$AE$7=$AG$9,L$4*$AG44*$AB44)</f>
        <v>-25036.724852903473</v>
      </c>
      <c r="M44" s="190" cm="1">
        <f t="array" ref="M44">_xlfn.IFS($AE$7=$AE$9,M$4*$AE44*$AB44,$AE$7=$AF$9,M$4*$AF44*$AB44,$AE$7=$AG$9,M$4*$AG44*$AB44)</f>
        <v>-24839.055257013253</v>
      </c>
      <c r="N44" s="190" cm="1">
        <f t="array" ref="N44">_xlfn.IFS($AE$7=$AE$9,N$4*$AE44*$AB44,$AE$7=$AF$9,N$4*$AF44*$AB44,$AE$7=$AG$9,N$4*$AG44*$AB44)</f>
        <v>-32897.361350940773</v>
      </c>
      <c r="O44" s="190" cm="1">
        <f t="array" ref="O44">_xlfn.IFS($AE$7=$AE$9,O$4*$AE44*$AB44,$AE$7=$AF$9,O$4*$AF44*$AB44,$AE$7=$AG$9,O$4*$AG44*$AB44)</f>
        <v>-29394.059554770298</v>
      </c>
      <c r="P44" s="190" cm="1">
        <f t="array" ref="P44">_xlfn.IFS($AE$7=$AE$9,P$4*$AE44*$AB44,$AE$7=$AF$9,P$4*$AF44*$AB44,$AE$7=$AG$9,P$4*$AG44*$AB44)</f>
        <v>-32757.15637551283</v>
      </c>
      <c r="Q44" s="190" cm="1">
        <f t="array" ref="Q44">_xlfn.IFS($AE$7=$AE$9,Q$4*$AE44*$AB44,$AE$7=$AF$9,Q$4*$AF44*$AB44,$AE$7=$AG$9,Q$4*$AG44*$AB44)</f>
        <v>-31764.173855473426</v>
      </c>
      <c r="R44" s="190" cm="1">
        <f t="array" ref="R44">_xlfn.IFS($AE$7=$AE$9,R$4*$AE44*$AB44,$AE$7=$AF$9,R$4*$AF44*$AB44,$AE$7=$AG$9,R$4*$AG44*$AB44)</f>
        <v>-34809.474145212553</v>
      </c>
      <c r="S44" s="190" cm="1">
        <f t="array" ref="S44">_xlfn.IFS($AE$7=$AE$9,S$4*$AE44*$AB44,$AE$7=$AF$9,S$4*$AF44*$AB44,$AE$7=$AG$9,S$4*$AG44*$AB44)</f>
        <v>-40815.483049975846</v>
      </c>
      <c r="T44" s="190" cm="1">
        <f t="array" ref="T44">_xlfn.IFS($AE$7=$AE$9,T$4*$AE44*$AB44,$AE$7=$AF$9,T$4*$AF44*$AB44,$AE$7=$AG$9,T$4*$AG44*$AB44)</f>
        <v>-37389.520224019325</v>
      </c>
      <c r="U44" s="190" cm="1">
        <f t="array" ref="U44">_xlfn.IFS($AE$7=$AE$9,U$4*$AE44*$AB44,$AE$7=$AF$9,U$4*$AF44*$AB44,$AE$7=$AG$9,U$4*$AG44*$AB44)</f>
        <v>-32821.569789410627</v>
      </c>
      <c r="V44" s="190" cm="1">
        <f t="array" ref="V44">_xlfn.IFS($AE$7=$AE$9,V$4*$AE44*$AB44,$AE$7=$AF$9,V$4*$AF44*$AB44,$AE$7=$AG$9,V$4*$AG44*$AB44)</f>
        <v>-31193.180051147341</v>
      </c>
      <c r="W44" s="190" cm="1">
        <f t="array" ref="W44">_xlfn.IFS($AE$7=$AE$9,W$4*$AE44*$AB44,$AE$7=$AF$9,W$4*$AF44*$AB44,$AE$7=$AG$9,W$4*$AG44*$AB44)</f>
        <v>-28866.908996485508</v>
      </c>
      <c r="X44" s="190" cm="1">
        <f t="array" ref="X44">_xlfn.IFS($AE$7=$AE$9,X$4*$AE44*$AB44,$AE$7=$AF$9,X$4*$AF44*$AB44,$AE$7=$AG$9,X$4*$AG44*$AB44)</f>
        <v>-28866.908996485508</v>
      </c>
      <c r="Y44" s="190" cm="1">
        <f t="array" ref="Y44">_xlfn.IFS($AE$7=$AE$9,Y$4*$AE44*$AB44,$AE$7=$AF$9,Y$4*$AF44*$AB44,$AE$7=$AG$9,Y$4*$AG44*$AB44)</f>
        <v>-28866.908996485508</v>
      </c>
      <c r="Z44" s="190" cm="1">
        <f t="array" ref="Z44">_xlfn.IFS($AE$7=$AE$9,Z$4*$AE44*$AB44,$AE$7=$AF$9,Z$4*$AF44*$AB44,$AE$7=$AG$9,Z$4*$AG44*$AB44)</f>
        <v>-37749.034841557965</v>
      </c>
      <c r="AA44" s="190"/>
      <c r="AB44" s="188">
        <f t="shared" si="21"/>
        <v>0.10156564443476716</v>
      </c>
      <c r="AC44" s="184" t="str">
        <f>+A44&amp;"-"&amp;B44</f>
        <v>230-4475</v>
      </c>
      <c r="AD44" s="212">
        <v>348498.19</v>
      </c>
      <c r="AE44" s="218">
        <f t="shared" si="22"/>
        <v>0.2857142857142857</v>
      </c>
      <c r="AF44" s="218">
        <f t="shared" si="22"/>
        <v>0.25392587103348579</v>
      </c>
      <c r="AG44" s="218">
        <f t="shared" si="22"/>
        <v>0.28491508483174488</v>
      </c>
    </row>
    <row r="45" spans="1:33" outlineLevel="1" x14ac:dyDescent="0.2">
      <c r="A45" s="184">
        <v>230</v>
      </c>
      <c r="B45" s="187">
        <v>4500</v>
      </c>
      <c r="G45" s="190" cm="1">
        <f t="array" ref="G45">_xlfn.IFS($AE$7=$AE$9,G$4*$AE45*$AB45,$AE$7=$AF$9,G$4*$AF45*$AB45,$AE$7=$AG$9,G$4*$AG45*$AB45)</f>
        <v>-57811.980624598524</v>
      </c>
      <c r="H45" s="190" cm="1">
        <f t="array" ref="H45">_xlfn.IFS($AE$7=$AE$9,H$4*$AE45*$AB45,$AE$7=$AF$9,H$4*$AF45*$AB45,$AE$7=$AG$9,H$4*$AG45*$AB45)</f>
        <v>-58390.100430844519</v>
      </c>
      <c r="I45" s="190" cm="1">
        <f t="array" ref="I45">_xlfn.IFS($AE$7=$AE$9,I$4*$AE45*$AB45,$AE$7=$AF$9,I$4*$AF45*$AB45,$AE$7=$AG$9,I$4*$AG45*$AB45)</f>
        <v>-58974.001435152961</v>
      </c>
      <c r="J45" s="190" cm="1">
        <f t="array" ref="J45">_xlfn.IFS($AE$7=$AE$9,J$4*$AE45*$AB45,$AE$7=$AF$9,J$4*$AF45*$AB45,$AE$7=$AG$9,J$4*$AG45*$AB45)</f>
        <v>-59563.741449504494</v>
      </c>
      <c r="K45" s="190" cm="1">
        <f t="array" ref="K45">_xlfn.IFS($AE$7=$AE$9,K$4*$AE45*$AB45,$AE$7=$AF$9,K$4*$AF45*$AB45,$AE$7=$AG$9,K$4*$AG45*$AB45)</f>
        <v>-60159.37886399954</v>
      </c>
      <c r="L45" s="190" cm="1">
        <f t="array" ref="L45">_xlfn.IFS($AE$7=$AE$9,L$4*$AE45*$AB45,$AE$7=$AF$9,L$4*$AF45*$AB45,$AE$7=$AG$9,L$4*$AG45*$AB45)</f>
        <v>-38073.300963897098</v>
      </c>
      <c r="M45" s="190" cm="1">
        <f t="array" ref="M45">_xlfn.IFS($AE$7=$AE$9,M$4*$AE45*$AB45,$AE$7=$AF$9,M$4*$AF45*$AB45,$AE$7=$AG$9,M$4*$AG45*$AB45)</f>
        <v>-37772.705176710202</v>
      </c>
      <c r="N45" s="190" cm="1">
        <f t="array" ref="N45">_xlfn.IFS($AE$7=$AE$9,N$4*$AE45*$AB45,$AE$7=$AF$9,N$4*$AF45*$AB45,$AE$7=$AG$9,N$4*$AG45*$AB45)</f>
        <v>-50026.956280872837</v>
      </c>
      <c r="O45" s="190" cm="1">
        <f t="array" ref="O45">_xlfn.IFS($AE$7=$AE$9,O$4*$AE45*$AB45,$AE$7=$AF$9,O$4*$AF45*$AB45,$AE$7=$AG$9,O$4*$AG45*$AB45)</f>
        <v>-44699.491748805987</v>
      </c>
      <c r="P45" s="190" cm="1">
        <f t="array" ref="P45">_xlfn.IFS($AE$7=$AE$9,P$4*$AE45*$AB45,$AE$7=$AF$9,P$4*$AF45*$AB45,$AE$7=$AG$9,P$4*$AG45*$AB45)</f>
        <v>-49813.746835249811</v>
      </c>
      <c r="Q45" s="190" cm="1">
        <f t="array" ref="Q45">_xlfn.IFS($AE$7=$AE$9,Q$4*$AE45*$AB45,$AE$7=$AF$9,Q$4*$AF45*$AB45,$AE$7=$AG$9,Q$4*$AG45*$AB45)</f>
        <v>-48303.720162053978</v>
      </c>
      <c r="R45" s="190" cm="1">
        <f t="array" ref="R45">_xlfn.IFS($AE$7=$AE$9,R$4*$AE45*$AB45,$AE$7=$AF$9,R$4*$AF45*$AB45,$AE$7=$AG$9,R$4*$AG45*$AB45)</f>
        <v>-52934.702654288179</v>
      </c>
      <c r="S45" s="190" cm="1">
        <f t="array" ref="S45">_xlfn.IFS($AE$7=$AE$9,S$4*$AE45*$AB45,$AE$7=$AF$9,S$4*$AF45*$AB45,$AE$7=$AG$9,S$4*$AG45*$AB45)</f>
        <v>-62068.029236194532</v>
      </c>
      <c r="T45" s="190" cm="1">
        <f t="array" ref="T45">_xlfn.IFS($AE$7=$AE$9,T$4*$AE45*$AB45,$AE$7=$AF$9,T$4*$AF45*$AB45,$AE$7=$AG$9,T$4*$AG45*$AB45)</f>
        <v>-56858.173932431055</v>
      </c>
      <c r="U45" s="190" cm="1">
        <f t="array" ref="U45">_xlfn.IFS($AE$7=$AE$9,U$4*$AE45*$AB45,$AE$7=$AF$9,U$4*$AF45*$AB45,$AE$7=$AG$9,U$4*$AG45*$AB45)</f>
        <v>-49911.700194079749</v>
      </c>
      <c r="V45" s="190" cm="1">
        <f t="array" ref="V45">_xlfn.IFS($AE$7=$AE$9,V$4*$AE45*$AB45,$AE$7=$AF$9,V$4*$AF45*$AB45,$AE$7=$AG$9,V$4*$AG45*$AB45)</f>
        <v>-47435.410944760064</v>
      </c>
      <c r="W45" s="190" cm="1">
        <f t="array" ref="W45">_xlfn.IFS($AE$7=$AE$9,W$4*$AE45*$AB45,$AE$7=$AF$9,W$4*$AF45*$AB45,$AE$7=$AG$9,W$4*$AG45*$AB45)</f>
        <v>-43897.85487430339</v>
      </c>
      <c r="X45" s="190" cm="1">
        <f t="array" ref="X45">_xlfn.IFS($AE$7=$AE$9,X$4*$AE45*$AB45,$AE$7=$AF$9,X$4*$AF45*$AB45,$AE$7=$AG$9,X$4*$AG45*$AB45)</f>
        <v>-43897.85487430339</v>
      </c>
      <c r="Y45" s="190" cm="1">
        <f t="array" ref="Y45">_xlfn.IFS($AE$7=$AE$9,Y$4*$AE45*$AB45,$AE$7=$AF$9,Y$4*$AF45*$AB45,$AE$7=$AG$9,Y$4*$AG45*$AB45)</f>
        <v>-43897.85487430339</v>
      </c>
      <c r="Z45" s="190" cm="1">
        <f t="array" ref="Z45">_xlfn.IFS($AE$7=$AE$9,Z$4*$AE45*$AB45,$AE$7=$AF$9,Z$4*$AF45*$AB45,$AE$7=$AG$9,Z$4*$AG45*$AB45)</f>
        <v>-57404.887143319807</v>
      </c>
      <c r="AA45" s="190"/>
      <c r="AB45" s="188">
        <f t="shared" si="21"/>
        <v>0.15445068677617421</v>
      </c>
      <c r="AC45" s="184" t="str">
        <f>+A45&amp;"-"&amp;B45</f>
        <v>230-4500</v>
      </c>
      <c r="AD45" s="212">
        <v>529960.55000000005</v>
      </c>
      <c r="AE45" s="218">
        <f t="shared" si="22"/>
        <v>0.2857142857142857</v>
      </c>
      <c r="AF45" s="218">
        <f t="shared" si="22"/>
        <v>0.25392587103348579</v>
      </c>
      <c r="AG45" s="218">
        <f t="shared" si="22"/>
        <v>0.28491508483174488</v>
      </c>
    </row>
    <row r="46" spans="1:33" outlineLevel="1" x14ac:dyDescent="0.2">
      <c r="A46" s="184">
        <v>230</v>
      </c>
      <c r="B46" s="187">
        <v>4505</v>
      </c>
      <c r="G46" s="190" cm="1">
        <f t="array" ref="G46">_xlfn.IFS($AE$7=$AE$9,G$4*$AE46*$AB46,$AE$7=$AF$9,G$4*$AF46*$AB46,$AE$7=$AG$9,G$4*$AG46*$AB46)</f>
        <v>-12576.629016666773</v>
      </c>
      <c r="H46" s="190" cm="1">
        <f t="array" ref="H46">_xlfn.IFS($AE$7=$AE$9,H$4*$AE46*$AB46,$AE$7=$AF$9,H$4*$AF46*$AB46,$AE$7=$AG$9,H$4*$AG46*$AB46)</f>
        <v>-12702.395306833441</v>
      </c>
      <c r="I46" s="190" cm="1">
        <f t="array" ref="I46">_xlfn.IFS($AE$7=$AE$9,I$4*$AE46*$AB46,$AE$7=$AF$9,I$4*$AF46*$AB46,$AE$7=$AG$9,I$4*$AG46*$AB46)</f>
        <v>-12829.419259901775</v>
      </c>
      <c r="J46" s="190" cm="1">
        <f t="array" ref="J46">_xlfn.IFS($AE$7=$AE$9,J$4*$AE46*$AB46,$AE$7=$AF$9,J$4*$AF46*$AB46,$AE$7=$AG$9,J$4*$AG46*$AB46)</f>
        <v>-12957.713452500795</v>
      </c>
      <c r="K46" s="190" cm="1">
        <f t="array" ref="K46">_xlfn.IFS($AE$7=$AE$9,K$4*$AE46*$AB46,$AE$7=$AF$9,K$4*$AF46*$AB46,$AE$7=$AG$9,K$4*$AG46*$AB46)</f>
        <v>-13087.290587025802</v>
      </c>
      <c r="L46" s="190" cm="1">
        <f t="array" ref="L46">_xlfn.IFS($AE$7=$AE$9,L$4*$AE46*$AB46,$AE$7=$AF$9,L$4*$AF46*$AB46,$AE$7=$AG$9,L$4*$AG46*$AB46)</f>
        <v>-8282.6046865983935</v>
      </c>
      <c r="M46" s="190" cm="1">
        <f t="array" ref="M46">_xlfn.IFS($AE$7=$AE$9,M$4*$AE46*$AB46,$AE$7=$AF$9,M$4*$AF46*$AB46,$AE$7=$AG$9,M$4*$AG46*$AB46)</f>
        <v>-8217.2119832421267</v>
      </c>
      <c r="N46" s="190" cm="1">
        <f t="array" ref="N46">_xlfn.IFS($AE$7=$AE$9,N$4*$AE46*$AB46,$AE$7=$AF$9,N$4*$AF46*$AB46,$AE$7=$AG$9,N$4*$AG46*$AB46)</f>
        <v>-10883.046440893577</v>
      </c>
      <c r="O46" s="190" cm="1">
        <f t="array" ref="O46">_xlfn.IFS($AE$7=$AE$9,O$4*$AE46*$AB46,$AE$7=$AF$9,O$4*$AF46*$AB46,$AE$7=$AG$9,O$4*$AG46*$AB46)</f>
        <v>-9724.0903854986082</v>
      </c>
      <c r="P46" s="190" cm="1">
        <f t="array" ref="P46">_xlfn.IFS($AE$7=$AE$9,P$4*$AE46*$AB46,$AE$7=$AF$9,P$4*$AF46*$AB46,$AE$7=$AG$9,P$4*$AG46*$AB46)</f>
        <v>-10836.664080845025</v>
      </c>
      <c r="Q46" s="190" cm="1">
        <f t="array" ref="Q46">_xlfn.IFS($AE$7=$AE$9,Q$4*$AE46*$AB46,$AE$7=$AF$9,Q$4*$AF46*$AB46,$AE$7=$AG$9,Q$4*$AG46*$AB46)</f>
        <v>-10508.167373607581</v>
      </c>
      <c r="R46" s="190" cm="1">
        <f t="array" ref="R46">_xlfn.IFS($AE$7=$AE$9,R$4*$AE46*$AB46,$AE$7=$AF$9,R$4*$AF46*$AB46,$AE$7=$AG$9,R$4*$AG46*$AB46)</f>
        <v>-11515.608187055977</v>
      </c>
      <c r="S46" s="190" cm="1">
        <f t="array" ref="S46">_xlfn.IFS($AE$7=$AE$9,S$4*$AE46*$AB46,$AE$7=$AF$9,S$4*$AF46*$AB46,$AE$7=$AG$9,S$4*$AG46*$AB46)</f>
        <v>-13502.50534691254</v>
      </c>
      <c r="T46" s="190" cm="1">
        <f t="array" ref="T46">_xlfn.IFS($AE$7=$AE$9,T$4*$AE46*$AB46,$AE$7=$AF$9,T$4*$AF46*$AB46,$AE$7=$AG$9,T$4*$AG46*$AB46)</f>
        <v>-12369.134431783094</v>
      </c>
      <c r="U46" s="190" cm="1">
        <f t="array" ref="U46">_xlfn.IFS($AE$7=$AE$9,U$4*$AE46*$AB46,$AE$7=$AF$9,U$4*$AF46*$AB46,$AE$7=$AG$9,U$4*$AG46*$AB46)</f>
        <v>-10857.973211610499</v>
      </c>
      <c r="V46" s="190" cm="1">
        <f t="array" ref="V46">_xlfn.IFS($AE$7=$AE$9,V$4*$AE46*$AB46,$AE$7=$AF$9,V$4*$AF46*$AB46,$AE$7=$AG$9,V$4*$AG46*$AB46)</f>
        <v>-10319.272221086008</v>
      </c>
      <c r="W46" s="190" cm="1">
        <f t="array" ref="W46">_xlfn.IFS($AE$7=$AE$9,W$4*$AE46*$AB46,$AE$7=$AF$9,W$4*$AF46*$AB46,$AE$7=$AG$9,W$4*$AG46*$AB46)</f>
        <v>-9549.6993774795937</v>
      </c>
      <c r="X46" s="190" cm="1">
        <f t="array" ref="X46">_xlfn.IFS($AE$7=$AE$9,X$4*$AE46*$AB46,$AE$7=$AF$9,X$4*$AF46*$AB46,$AE$7=$AG$9,X$4*$AG46*$AB46)</f>
        <v>-9549.6993774795937</v>
      </c>
      <c r="Y46" s="190" cm="1">
        <f t="array" ref="Y46">_xlfn.IFS($AE$7=$AE$9,Y$4*$AE46*$AB46,$AE$7=$AF$9,Y$4*$AF46*$AB46,$AE$7=$AG$9,Y$4*$AG46*$AB46)</f>
        <v>-9549.6993774795937</v>
      </c>
      <c r="Z46" s="190" cm="1">
        <f t="array" ref="Z46">_xlfn.IFS($AE$7=$AE$9,Z$4*$AE46*$AB46,$AE$7=$AF$9,Z$4*$AF46*$AB46,$AE$7=$AG$9,Z$4*$AG46*$AB46)</f>
        <v>-12488.068416704084</v>
      </c>
      <c r="AA46" s="190"/>
      <c r="AB46" s="188">
        <f t="shared" si="21"/>
        <v>3.3599765445967766E-2</v>
      </c>
      <c r="AC46" s="184" t="str">
        <f>+A46&amp;"-"&amp;B46</f>
        <v>230-4505</v>
      </c>
      <c r="AD46" s="212">
        <v>115289.55</v>
      </c>
      <c r="AE46" s="218">
        <f t="shared" si="22"/>
        <v>0.2857142857142857</v>
      </c>
      <c r="AF46" s="218">
        <f t="shared" si="22"/>
        <v>0.25392587103348579</v>
      </c>
      <c r="AG46" s="218">
        <f t="shared" si="22"/>
        <v>0.28491508483174488</v>
      </c>
    </row>
    <row r="47" spans="1:33" outlineLevel="1" x14ac:dyDescent="0.2">
      <c r="Z47" s="184"/>
      <c r="AB47" s="188"/>
      <c r="AD47" s="212"/>
      <c r="AE47" s="218"/>
      <c r="AF47" s="218"/>
      <c r="AG47" s="218"/>
    </row>
    <row r="48" spans="1:33" outlineLevel="1" x14ac:dyDescent="0.2">
      <c r="A48" s="184">
        <v>330</v>
      </c>
      <c r="B48" s="187">
        <v>4465</v>
      </c>
      <c r="G48" s="190" cm="1">
        <f t="array" ref="G48">_xlfn.IFS($AE$7=$AE$9,G$4*$AE48*$AB48,$AE$7=$AF$9,G$4*$AF48*$AB48,$AE$7=$AG$9,G$4*$AG48*$AB48)</f>
        <v>-24433.260540599094</v>
      </c>
      <c r="H48" s="190" cm="1">
        <f t="array" ref="H48">_xlfn.IFS($AE$7=$AE$9,H$4*$AE48*$AB48,$AE$7=$AF$9,H$4*$AF48*$AB48,$AE$7=$AG$9,H$4*$AG48*$AB48)</f>
        <v>-24677.593146005085</v>
      </c>
      <c r="I48" s="190" cm="1">
        <f t="array" ref="I48">_xlfn.IFS($AE$7=$AE$9,I$4*$AE48*$AB48,$AE$7=$AF$9,I$4*$AF48*$AB48,$AE$7=$AG$9,I$4*$AG48*$AB48)</f>
        <v>-24924.369077465133</v>
      </c>
      <c r="J48" s="190" cm="1">
        <f t="array" ref="J48">_xlfn.IFS($AE$7=$AE$9,J$4*$AE48*$AB48,$AE$7=$AF$9,J$4*$AF48*$AB48,$AE$7=$AG$9,J$4*$AG48*$AB48)</f>
        <v>-25173.612768239793</v>
      </c>
      <c r="K48" s="190" cm="1">
        <f t="array" ref="K48">_xlfn.IFS($AE$7=$AE$9,K$4*$AE48*$AB48,$AE$7=$AF$9,K$4*$AF48*$AB48,$AE$7=$AG$9,K$4*$AG48*$AB48)</f>
        <v>-25425.348895922187</v>
      </c>
      <c r="L48" s="190" cm="1">
        <f t="array" ref="L48">_xlfn.IFS($AE$7=$AE$9,L$4*$AE48*$AB48,$AE$7=$AF$9,L$4*$AF48*$AB48,$AE$7=$AG$9,L$4*$AG48*$AB48)</f>
        <v>-16091.039816333927</v>
      </c>
      <c r="M48" s="190" cm="1">
        <f t="array" ref="M48">_xlfn.IFS($AE$7=$AE$9,M$4*$AE48*$AB48,$AE$7=$AF$9,M$4*$AF48*$AB48,$AE$7=$AG$9,M$4*$AG48*$AB48)</f>
        <v>-15963.998066399157</v>
      </c>
      <c r="N48" s="190" cm="1">
        <f t="array" ref="N48">_xlfn.IFS($AE$7=$AE$9,N$4*$AE48*$AB48,$AE$7=$AF$9,N$4*$AF48*$AB48,$AE$7=$AG$9,N$4*$AG48*$AB48)</f>
        <v>-21143.051036442754</v>
      </c>
      <c r="O48" s="190" cm="1">
        <f t="array" ref="O48">_xlfn.IFS($AE$7=$AE$9,O$4*$AE48*$AB48,$AE$7=$AF$9,O$4*$AF48*$AB48,$AE$7=$AG$9,O$4*$AG48*$AB48)</f>
        <v>-18891.487821924464</v>
      </c>
      <c r="P48" s="190" cm="1">
        <f t="array" ref="P48">_xlfn.IFS($AE$7=$AE$9,P$4*$AE48*$AB48,$AE$7=$AF$9,P$4*$AF48*$AB48,$AE$7=$AG$9,P$4*$AG48*$AB48)</f>
        <v>-21052.9416529146</v>
      </c>
      <c r="Q48" s="190" cm="1">
        <f t="array" ref="Q48">_xlfn.IFS($AE$7=$AE$9,Q$4*$AE48*$AB48,$AE$7=$AF$9,Q$4*$AF48*$AB48,$AE$7=$AG$9,Q$4*$AG48*$AB48)</f>
        <v>-20414.75429571222</v>
      </c>
      <c r="R48" s="190" cm="1">
        <f t="array" ref="R48">_xlfn.IFS($AE$7=$AE$9,R$4*$AE48*$AB48,$AE$7=$AF$9,R$4*$AF48*$AB48,$AE$7=$AG$9,R$4*$AG48*$AB48)</f>
        <v>-22371.9610990295</v>
      </c>
      <c r="S48" s="190" cm="1">
        <f t="array" ref="S48">_xlfn.IFS($AE$7=$AE$9,S$4*$AE48*$AB48,$AE$7=$AF$9,S$4*$AF48*$AB48,$AE$7=$AG$9,S$4*$AG48*$AB48)</f>
        <v>-26232.007850016365</v>
      </c>
      <c r="T48" s="190" cm="1">
        <f t="array" ref="T48">_xlfn.IFS($AE$7=$AE$9,T$4*$AE48*$AB48,$AE$7=$AF$9,T$4*$AF48*$AB48,$AE$7=$AG$9,T$4*$AG48*$AB48)</f>
        <v>-24030.150196284427</v>
      </c>
      <c r="U48" s="190" cm="1">
        <f t="array" ref="U48">_xlfn.IFS($AE$7=$AE$9,U$4*$AE48*$AB48,$AE$7=$AF$9,U$4*$AF48*$AB48,$AE$7=$AG$9,U$4*$AG48*$AB48)</f>
        <v>-21094.339991308498</v>
      </c>
      <c r="V48" s="190" cm="1">
        <f t="array" ref="V48">_xlfn.IFS($AE$7=$AE$9,V$4*$AE48*$AB48,$AE$7=$AF$9,V$4*$AF48*$AB48,$AE$7=$AG$9,V$4*$AG48*$AB48)</f>
        <v>-20047.778020090227</v>
      </c>
      <c r="W48" s="190" cm="1">
        <f t="array" ref="W48">_xlfn.IFS($AE$7=$AE$9,W$4*$AE48*$AB48,$AE$7=$AF$9,W$4*$AF48*$AB48,$AE$7=$AG$9,W$4*$AG48*$AB48)</f>
        <v>-18552.689489778415</v>
      </c>
      <c r="X48" s="190" cm="1">
        <f t="array" ref="X48">_xlfn.IFS($AE$7=$AE$9,X$4*$AE48*$AB48,$AE$7=$AF$9,X$4*$AF48*$AB48,$AE$7=$AG$9,X$4*$AG48*$AB48)</f>
        <v>-18552.689489778415</v>
      </c>
      <c r="Y48" s="190" cm="1">
        <f t="array" ref="Y48">_xlfn.IFS($AE$7=$AE$9,Y$4*$AE48*$AB48,$AE$7=$AF$9,Y$4*$AF48*$AB48,$AE$7=$AG$9,Y$4*$AG48*$AB48)</f>
        <v>-18552.689489778415</v>
      </c>
      <c r="Z48" s="190" cm="1">
        <f t="array" ref="Z48">_xlfn.IFS($AE$7=$AE$9,Z$4*$AE48*$AB48,$AE$7=$AF$9,Z$4*$AF48*$AB48,$AE$7=$AG$9,Z$4*$AG48*$AB48)</f>
        <v>-24261.209332787159</v>
      </c>
      <c r="AA48" s="190"/>
      <c r="AB48" s="188">
        <f>AD48/SUM($AD$48:$AD$52)</f>
        <v>0.16957430931633366</v>
      </c>
      <c r="AC48" s="184" t="str">
        <f>+A48&amp;"-"&amp;B48</f>
        <v>330-4465</v>
      </c>
      <c r="AD48" s="212">
        <v>198549.77</v>
      </c>
      <c r="AE48" s="218">
        <f>AE$22</f>
        <v>7.1428571428571425E-2</v>
      </c>
      <c r="AF48" s="218">
        <f t="shared" ref="AF48:AG48" si="23">AF$22</f>
        <v>9.7746297390375811E-2</v>
      </c>
      <c r="AG48" s="218">
        <f t="shared" si="23"/>
        <v>5.6643077787471838E-2</v>
      </c>
    </row>
    <row r="49" spans="1:33" outlineLevel="1" x14ac:dyDescent="0.2">
      <c r="A49" s="184">
        <v>330</v>
      </c>
      <c r="B49" s="187">
        <v>4466</v>
      </c>
      <c r="G49" s="190" cm="1">
        <f t="array" ref="G49">_xlfn.IFS($AE$7=$AE$9,G$4*$AE49*$AB49,$AE$7=$AF$9,G$4*$AF49*$AB49,$AE$7=$AG$9,G$4*$AG49*$AB49)</f>
        <v>-54342.286302481254</v>
      </c>
      <c r="H49" s="190" cm="1">
        <f t="array" ref="H49">_xlfn.IFS($AE$7=$AE$9,H$4*$AE49*$AB49,$AE$7=$AF$9,H$4*$AF49*$AB49,$AE$7=$AG$9,H$4*$AG49*$AB49)</f>
        <v>-54885.709165506065</v>
      </c>
      <c r="I49" s="190" cm="1">
        <f t="array" ref="I49">_xlfn.IFS($AE$7=$AE$9,I$4*$AE49*$AB49,$AE$7=$AF$9,I$4*$AF49*$AB49,$AE$7=$AG$9,I$4*$AG49*$AB49)</f>
        <v>-55434.566257161125</v>
      </c>
      <c r="J49" s="190" cm="1">
        <f t="array" ref="J49">_xlfn.IFS($AE$7=$AE$9,J$4*$AE49*$AB49,$AE$7=$AF$9,J$4*$AF49*$AB49,$AE$7=$AG$9,J$4*$AG49*$AB49)</f>
        <v>-55988.911919732753</v>
      </c>
      <c r="K49" s="190" cm="1">
        <f t="array" ref="K49">_xlfn.IFS($AE$7=$AE$9,K$4*$AE49*$AB49,$AE$7=$AF$9,K$4*$AF49*$AB49,$AE$7=$AG$9,K$4*$AG49*$AB49)</f>
        <v>-56548.801038930069</v>
      </c>
      <c r="L49" s="190" cm="1">
        <f t="array" ref="L49">_xlfn.IFS($AE$7=$AE$9,L$4*$AE49*$AB49,$AE$7=$AF$9,L$4*$AF49*$AB49,$AE$7=$AG$9,L$4*$AG49*$AB49)</f>
        <v>-35788.2604800482</v>
      </c>
      <c r="M49" s="190" cm="1">
        <f t="array" ref="M49">_xlfn.IFS($AE$7=$AE$9,M$4*$AE49*$AB49,$AE$7=$AF$9,M$4*$AF49*$AB49,$AE$7=$AG$9,M$4*$AG49*$AB49)</f>
        <v>-35505.705512165296</v>
      </c>
      <c r="N49" s="190" cm="1">
        <f t="array" ref="N49">_xlfn.IFS($AE$7=$AE$9,N$4*$AE49*$AB49,$AE$7=$AF$9,N$4*$AF49*$AB49,$AE$7=$AG$9,N$4*$AG49*$AB49)</f>
        <v>-47024.494779204484</v>
      </c>
      <c r="O49" s="190" cm="1">
        <f t="array" ref="O49">_xlfn.IFS($AE$7=$AE$9,O$4*$AE49*$AB49,$AE$7=$AF$9,O$4*$AF49*$AB49,$AE$7=$AG$9,O$4*$AG49*$AB49)</f>
        <v>-42016.768011498687</v>
      </c>
      <c r="P49" s="190" cm="1">
        <f t="array" ref="P49">_xlfn.IFS($AE$7=$AE$9,P$4*$AE49*$AB49,$AE$7=$AF$9,P$4*$AF49*$AB49,$AE$7=$AG$9,P$4*$AG49*$AB49)</f>
        <v>-46824.081497886982</v>
      </c>
      <c r="Q49" s="190" cm="1">
        <f t="array" ref="Q49">_xlfn.IFS($AE$7=$AE$9,Q$4*$AE49*$AB49,$AE$7=$AF$9,Q$4*$AF49*$AB49,$AE$7=$AG$9,Q$4*$AG49*$AB49)</f>
        <v>-45404.681904366123</v>
      </c>
      <c r="R49" s="190" cm="1">
        <f t="array" ref="R49">_xlfn.IFS($AE$7=$AE$9,R$4*$AE49*$AB49,$AE$7=$AF$9,R$4*$AF49*$AB49,$AE$7=$AG$9,R$4*$AG49*$AB49)</f>
        <v>-49757.727306648892</v>
      </c>
      <c r="S49" s="190" cm="1">
        <f t="array" ref="S49">_xlfn.IFS($AE$7=$AE$9,S$4*$AE49*$AB49,$AE$7=$AF$9,S$4*$AF49*$AB49,$AE$7=$AG$9,S$4*$AG49*$AB49)</f>
        <v>-58342.90018337324</v>
      </c>
      <c r="T49" s="190" cm="1">
        <f t="array" ref="T49">_xlfn.IFS($AE$7=$AE$9,T$4*$AE49*$AB49,$AE$7=$AF$9,T$4*$AF49*$AB49,$AE$7=$AG$9,T$4*$AG49*$AB49)</f>
        <v>-53445.724105805137</v>
      </c>
      <c r="U49" s="190" cm="1">
        <f t="array" ref="U49">_xlfn.IFS($AE$7=$AE$9,U$4*$AE49*$AB49,$AE$7=$AF$9,U$4*$AF49*$AB49,$AE$7=$AG$9,U$4*$AG49*$AB49)</f>
        <v>-46916.156002380972</v>
      </c>
      <c r="V49" s="190" cm="1">
        <f t="array" ref="V49">_xlfn.IFS($AE$7=$AE$9,V$4*$AE49*$AB49,$AE$7=$AF$9,V$4*$AF49*$AB49,$AE$7=$AG$9,V$4*$AG49*$AB49)</f>
        <v>-44588.485891438104</v>
      </c>
      <c r="W49" s="190" cm="1">
        <f t="array" ref="W49">_xlfn.IFS($AE$7=$AE$9,W$4*$AE49*$AB49,$AE$7=$AF$9,W$4*$AF49*$AB49,$AE$7=$AG$9,W$4*$AG49*$AB49)</f>
        <v>-41263.24287580543</v>
      </c>
      <c r="X49" s="190" cm="1">
        <f t="array" ref="X49">_xlfn.IFS($AE$7=$AE$9,X$4*$AE49*$AB49,$AE$7=$AF$9,X$4*$AF49*$AB49,$AE$7=$AG$9,X$4*$AG49*$AB49)</f>
        <v>-41263.24287580543</v>
      </c>
      <c r="Y49" s="190" cm="1">
        <f t="array" ref="Y49">_xlfn.IFS($AE$7=$AE$9,Y$4*$AE49*$AB49,$AE$7=$AF$9,Y$4*$AF49*$AB49,$AE$7=$AG$9,Y$4*$AG49*$AB49)</f>
        <v>-41263.24287580543</v>
      </c>
      <c r="Z49" s="190" cm="1">
        <f t="array" ref="Z49">_xlfn.IFS($AE$7=$AE$9,Z$4*$AE49*$AB49,$AE$7=$AF$9,Z$4*$AF49*$AB49,$AE$7=$AG$9,Z$4*$AG49*$AB49)</f>
        <v>-53959.625299130181</v>
      </c>
      <c r="AA49" s="190"/>
      <c r="AB49" s="188">
        <f t="shared" ref="AB49:AB52" si="24">AD49/SUM($AD$48:$AD$52)</f>
        <v>0.37715210588049369</v>
      </c>
      <c r="AC49" s="184" t="str">
        <f>+A49&amp;"-"&amp;B49</f>
        <v>330-4466</v>
      </c>
      <c r="AD49" s="212">
        <v>441596.75</v>
      </c>
      <c r="AE49" s="218">
        <f t="shared" ref="AE49:AG52" si="25">AE$22</f>
        <v>7.1428571428571425E-2</v>
      </c>
      <c r="AF49" s="218">
        <f t="shared" si="25"/>
        <v>9.7746297390375811E-2</v>
      </c>
      <c r="AG49" s="218">
        <f t="shared" si="25"/>
        <v>5.6643077787471838E-2</v>
      </c>
    </row>
    <row r="50" spans="1:33" outlineLevel="1" x14ac:dyDescent="0.2">
      <c r="A50" s="184">
        <v>330</v>
      </c>
      <c r="B50" s="187">
        <v>4475</v>
      </c>
      <c r="G50" s="190" cm="1">
        <f t="array" ref="G50">_xlfn.IFS($AE$7=$AE$9,G$4*$AE50*$AB50,$AE$7=$AF$9,G$4*$AF50*$AB50,$AE$7=$AG$9,G$4*$AG50*$AB50)</f>
        <v>-36198.213378485954</v>
      </c>
      <c r="H50" s="190" cm="1">
        <f t="array" ref="H50">_xlfn.IFS($AE$7=$AE$9,H$4*$AE50*$AB50,$AE$7=$AF$9,H$4*$AF50*$AB50,$AE$7=$AG$9,H$4*$AG50*$AB50)</f>
        <v>-36560.195512270817</v>
      </c>
      <c r="I50" s="190" cm="1">
        <f t="array" ref="I50">_xlfn.IFS($AE$7=$AE$9,I$4*$AE50*$AB50,$AE$7=$AF$9,I$4*$AF50*$AB50,$AE$7=$AG$9,I$4*$AG50*$AB50)</f>
        <v>-36925.797467393524</v>
      </c>
      <c r="J50" s="190" cm="1">
        <f t="array" ref="J50">_xlfn.IFS($AE$7=$AE$9,J$4*$AE50*$AB50,$AE$7=$AF$9,J$4*$AF50*$AB50,$AE$7=$AG$9,J$4*$AG50*$AB50)</f>
        <v>-37295.055442067467</v>
      </c>
      <c r="K50" s="190" cm="1">
        <f t="array" ref="K50">_xlfn.IFS($AE$7=$AE$9,K$4*$AE50*$AB50,$AE$7=$AF$9,K$4*$AF50*$AB50,$AE$7=$AG$9,K$4*$AG50*$AB50)</f>
        <v>-37668.005996488137</v>
      </c>
      <c r="L50" s="190" cm="1">
        <f t="array" ref="L50">_xlfn.IFS($AE$7=$AE$9,L$4*$AE50*$AB50,$AE$7=$AF$9,L$4*$AF50*$AB50,$AE$7=$AG$9,L$4*$AG50*$AB50)</f>
        <v>-23839.098010907026</v>
      </c>
      <c r="M50" s="190" cm="1">
        <f t="array" ref="M50">_xlfn.IFS($AE$7=$AE$9,M$4*$AE50*$AB50,$AE$7=$AF$9,M$4*$AF50*$AB50,$AE$7=$AG$9,M$4*$AG50*$AB50)</f>
        <v>-23650.883901518158</v>
      </c>
      <c r="N50" s="190" cm="1">
        <f t="array" ref="N50">_xlfn.IFS($AE$7=$AE$9,N$4*$AE50*$AB50,$AE$7=$AF$9,N$4*$AF50*$AB50,$AE$7=$AG$9,N$4*$AG50*$AB50)</f>
        <v>-31323.722497767285</v>
      </c>
      <c r="O50" s="190" cm="1">
        <f t="array" ref="O50">_xlfn.IFS($AE$7=$AE$9,O$4*$AE50*$AB50,$AE$7=$AF$9,O$4*$AF50*$AB50,$AE$7=$AG$9,O$4*$AG50*$AB50)</f>
        <v>-27988.000458588125</v>
      </c>
      <c r="P50" s="190" cm="1">
        <f t="array" ref="P50">_xlfn.IFS($AE$7=$AE$9,P$4*$AE50*$AB50,$AE$7=$AF$9,P$4*$AF50*$AB50,$AE$7=$AG$9,P$4*$AG50*$AB50)</f>
        <v>-31190.224199947555</v>
      </c>
      <c r="Q50" s="190" cm="1">
        <f t="array" ref="Q50">_xlfn.IFS($AE$7=$AE$9,Q$4*$AE50*$AB50,$AE$7=$AF$9,Q$4*$AF50*$AB50,$AE$7=$AG$9,Q$4*$AG50*$AB50)</f>
        <v>-30244.740804758527</v>
      </c>
      <c r="R50" s="190" cm="1">
        <f t="array" ref="R50">_xlfn.IFS($AE$7=$AE$9,R$4*$AE50*$AB50,$AE$7=$AF$9,R$4*$AF50*$AB50,$AE$7=$AG$9,R$4*$AG50*$AB50)</f>
        <v>-33144.369750088234</v>
      </c>
      <c r="S50" s="190" cm="1">
        <f t="array" ref="S50">_xlfn.IFS($AE$7=$AE$9,S$4*$AE50*$AB50,$AE$7=$AF$9,S$4*$AF50*$AB50,$AE$7=$AG$9,S$4*$AG50*$AB50)</f>
        <v>-38863.082392266275</v>
      </c>
      <c r="T50" s="190" cm="1">
        <f t="array" ref="T50">_xlfn.IFS($AE$7=$AE$9,T$4*$AE50*$AB50,$AE$7=$AF$9,T$4*$AF50*$AB50,$AE$7=$AG$9,T$4*$AG50*$AB50)</f>
        <v>-35600.999828770357</v>
      </c>
      <c r="U50" s="190" cm="1">
        <f t="array" ref="U50">_xlfn.IFS($AE$7=$AE$9,U$4*$AE50*$AB50,$AE$7=$AF$9,U$4*$AF50*$AB50,$AE$7=$AG$9,U$4*$AG50*$AB50)</f>
        <v>-31251.556410775785</v>
      </c>
      <c r="V50" s="190" cm="1">
        <f t="array" ref="V50">_xlfn.IFS($AE$7=$AE$9,V$4*$AE50*$AB50,$AE$7=$AF$9,V$4*$AF50*$AB50,$AE$7=$AG$9,V$4*$AG50*$AB50)</f>
        <v>-29701.060377509202</v>
      </c>
      <c r="W50" s="190" cm="1">
        <f t="array" ref="W50">_xlfn.IFS($AE$7=$AE$9,W$4*$AE50*$AB50,$AE$7=$AF$9,W$4*$AF50*$AB50,$AE$7=$AG$9,W$4*$AG50*$AB50)</f>
        <v>-27486.066044271232</v>
      </c>
      <c r="X50" s="190" cm="1">
        <f t="array" ref="X50">_xlfn.IFS($AE$7=$AE$9,X$4*$AE50*$AB50,$AE$7=$AF$9,X$4*$AF50*$AB50,$AE$7=$AG$9,X$4*$AG50*$AB50)</f>
        <v>-27486.066044271232</v>
      </c>
      <c r="Y50" s="190" cm="1">
        <f t="array" ref="Y50">_xlfn.IFS($AE$7=$AE$9,Y$4*$AE50*$AB50,$AE$7=$AF$9,Y$4*$AF50*$AB50,$AE$7=$AG$9,Y$4*$AG50*$AB50)</f>
        <v>-27486.066044271232</v>
      </c>
      <c r="Z50" s="190" cm="1">
        <f t="array" ref="Z50">_xlfn.IFS($AE$7=$AE$9,Z$4*$AE50*$AB50,$AE$7=$AF$9,Z$4*$AF50*$AB50,$AE$7=$AG$9,Z$4*$AG50*$AB50)</f>
        <v>-35943.317134816229</v>
      </c>
      <c r="AA50" s="190"/>
      <c r="AB50" s="188">
        <f t="shared" si="24"/>
        <v>0.25122668429546885</v>
      </c>
      <c r="AC50" s="184" t="str">
        <f>+A50&amp;"-"&amp;B50</f>
        <v>330-4475</v>
      </c>
      <c r="AD50" s="212">
        <v>294154.23</v>
      </c>
      <c r="AE50" s="218">
        <f t="shared" si="25"/>
        <v>7.1428571428571425E-2</v>
      </c>
      <c r="AF50" s="218">
        <f t="shared" si="25"/>
        <v>9.7746297390375811E-2</v>
      </c>
      <c r="AG50" s="218">
        <f t="shared" si="25"/>
        <v>5.6643077787471838E-2</v>
      </c>
    </row>
    <row r="51" spans="1:33" outlineLevel="1" x14ac:dyDescent="0.2">
      <c r="A51" s="184">
        <v>330</v>
      </c>
      <c r="B51" s="187">
        <v>4500</v>
      </c>
      <c r="G51" s="190" cm="1">
        <f t="array" ref="G51">_xlfn.IFS($AE$7=$AE$9,G$4*$AE51*$AB51,$AE$7=$AF$9,G$4*$AF51*$AB51,$AE$7=$AG$9,G$4*$AG51*$AB51)</f>
        <v>-24818.611223137046</v>
      </c>
      <c r="H51" s="190" cm="1">
        <f t="array" ref="H51">_xlfn.IFS($AE$7=$AE$9,H$4*$AE51*$AB51,$AE$7=$AF$9,H$4*$AF51*$AB51,$AE$7=$AG$9,H$4*$AG51*$AB51)</f>
        <v>-25066.797335368417</v>
      </c>
      <c r="I51" s="190" cm="1">
        <f t="array" ref="I51">_xlfn.IFS($AE$7=$AE$9,I$4*$AE51*$AB51,$AE$7=$AF$9,I$4*$AF51*$AB51,$AE$7=$AG$9,I$4*$AG51*$AB51)</f>
        <v>-25317.465308722098</v>
      </c>
      <c r="J51" s="190" cm="1">
        <f t="array" ref="J51">_xlfn.IFS($AE$7=$AE$9,J$4*$AE51*$AB51,$AE$7=$AF$9,J$4*$AF51*$AB51,$AE$7=$AG$9,J$4*$AG51*$AB51)</f>
        <v>-25570.639961809327</v>
      </c>
      <c r="K51" s="190" cm="1">
        <f t="array" ref="K51">_xlfn.IFS($AE$7=$AE$9,K$4*$AE51*$AB51,$AE$7=$AF$9,K$4*$AF51*$AB51,$AE$7=$AG$9,K$4*$AG51*$AB51)</f>
        <v>-25826.346361427419</v>
      </c>
      <c r="L51" s="190" cm="1">
        <f t="array" ref="L51">_xlfn.IFS($AE$7=$AE$9,L$4*$AE51*$AB51,$AE$7=$AF$9,L$4*$AF51*$AB51,$AE$7=$AG$9,L$4*$AG51*$AB51)</f>
        <v>-16344.820647822478</v>
      </c>
      <c r="M51" s="190" cm="1">
        <f t="array" ref="M51">_xlfn.IFS($AE$7=$AE$9,M$4*$AE51*$AB51,$AE$7=$AF$9,M$4*$AF51*$AB51,$AE$7=$AG$9,M$4*$AG51*$AB51)</f>
        <v>-16215.775251056913</v>
      </c>
      <c r="N51" s="190" cm="1">
        <f t="array" ref="N51">_xlfn.IFS($AE$7=$AE$9,N$4*$AE51*$AB51,$AE$7=$AF$9,N$4*$AF51*$AB51,$AE$7=$AG$9,N$4*$AG51*$AB51)</f>
        <v>-21476.509975919533</v>
      </c>
      <c r="O51" s="190" cm="1">
        <f t="array" ref="O51">_xlfn.IFS($AE$7=$AE$9,O$4*$AE51*$AB51,$AE$7=$AF$9,O$4*$AF51*$AB51,$AE$7=$AG$9,O$4*$AG51*$AB51)</f>
        <v>-19189.436092653192</v>
      </c>
      <c r="P51" s="190" cm="1">
        <f t="array" ref="P51">_xlfn.IFS($AE$7=$AE$9,P$4*$AE51*$AB51,$AE$7=$AF$9,P$4*$AF51*$AB51,$AE$7=$AG$9,P$4*$AG51*$AB51)</f>
        <v>-21384.979426665748</v>
      </c>
      <c r="Q51" s="190" cm="1">
        <f t="array" ref="Q51">_xlfn.IFS($AE$7=$AE$9,Q$4*$AE51*$AB51,$AE$7=$AF$9,Q$4*$AF51*$AB51,$AE$7=$AG$9,Q$4*$AG51*$AB51)</f>
        <v>-20736.726858016198</v>
      </c>
      <c r="R51" s="190" cm="1">
        <f t="array" ref="R51">_xlfn.IFS($AE$7=$AE$9,R$4*$AE51*$AB51,$AE$7=$AF$9,R$4*$AF51*$AB51,$AE$7=$AG$9,R$4*$AG51*$AB51)</f>
        <v>-22724.8018697035</v>
      </c>
      <c r="S51" s="190" cm="1">
        <f t="array" ref="S51">_xlfn.IFS($AE$7=$AE$9,S$4*$AE51*$AB51,$AE$7=$AF$9,S$4*$AF51*$AB51,$AE$7=$AG$9,S$4*$AG51*$AB51)</f>
        <v>-26645.727587197907</v>
      </c>
      <c r="T51" s="190" cm="1">
        <f t="array" ref="T51">_xlfn.IFS($AE$7=$AE$9,T$4*$AE51*$AB51,$AE$7=$AF$9,T$4*$AF51*$AB51,$AE$7=$AG$9,T$4*$AG51*$AB51)</f>
        <v>-24409.143199049693</v>
      </c>
      <c r="U51" s="190" cm="1">
        <f t="array" ref="U51">_xlfn.IFS($AE$7=$AE$9,U$4*$AE51*$AB51,$AE$7=$AF$9,U$4*$AF51*$AB51,$AE$7=$AG$9,U$4*$AG51*$AB51)</f>
        <v>-21427.030681518732</v>
      </c>
      <c r="V51" s="190" cm="1">
        <f t="array" ref="V51">_xlfn.IFS($AE$7=$AE$9,V$4*$AE51*$AB51,$AE$7=$AF$9,V$4*$AF51*$AB51,$AE$7=$AG$9,V$4*$AG51*$AB51)</f>
        <v>-20363.962793324827</v>
      </c>
      <c r="W51" s="190" cm="1">
        <f t="array" ref="W51">_xlfn.IFS($AE$7=$AE$9,W$4*$AE51*$AB51,$AE$7=$AF$9,W$4*$AF51*$AB51,$AE$7=$AG$9,W$4*$AG51*$AB51)</f>
        <v>-18845.294381619246</v>
      </c>
      <c r="X51" s="190" cm="1">
        <f t="array" ref="X51">_xlfn.IFS($AE$7=$AE$9,X$4*$AE51*$AB51,$AE$7=$AF$9,X$4*$AF51*$AB51,$AE$7=$AG$9,X$4*$AG51*$AB51)</f>
        <v>-18845.294381619246</v>
      </c>
      <c r="Y51" s="190" cm="1">
        <f t="array" ref="Y51">_xlfn.IFS($AE$7=$AE$9,Y$4*$AE51*$AB51,$AE$7=$AF$9,Y$4*$AF51*$AB51,$AE$7=$AG$9,Y$4*$AG51*$AB51)</f>
        <v>-18845.294381619246</v>
      </c>
      <c r="Z51" s="190" cm="1">
        <f t="array" ref="Z51">_xlfn.IFS($AE$7=$AE$9,Z$4*$AE51*$AB51,$AE$7=$AF$9,Z$4*$AF51*$AB51,$AE$7=$AG$9,Z$4*$AG51*$AB51)</f>
        <v>-24643.846499040555</v>
      </c>
      <c r="AA51" s="190"/>
      <c r="AB51" s="188">
        <f t="shared" si="24"/>
        <v>0.17224876104279771</v>
      </c>
      <c r="AC51" s="184" t="str">
        <f>+A51&amp;"-"&amp;B51</f>
        <v>330-4500</v>
      </c>
      <c r="AD51" s="212">
        <v>201681.21</v>
      </c>
      <c r="AE51" s="218">
        <f t="shared" si="25"/>
        <v>7.1428571428571425E-2</v>
      </c>
      <c r="AF51" s="218">
        <f t="shared" si="25"/>
        <v>9.7746297390375811E-2</v>
      </c>
      <c r="AG51" s="218">
        <f t="shared" si="25"/>
        <v>5.6643077787471838E-2</v>
      </c>
    </row>
    <row r="52" spans="1:33" outlineLevel="1" x14ac:dyDescent="0.2">
      <c r="A52" s="184">
        <v>330</v>
      </c>
      <c r="B52" s="187">
        <v>4505</v>
      </c>
      <c r="G52" s="190" cm="1">
        <f t="array" ref="G52">_xlfn.IFS($AE$7=$AE$9,G$4*$AE52*$AB52,$AE$7=$AF$9,G$4*$AF52*$AB52,$AE$7=$AG$9,G$4*$AG52*$AB52)</f>
        <v>-4293.4906125018142</v>
      </c>
      <c r="H52" s="190" cm="1">
        <f t="array" ref="H52">_xlfn.IFS($AE$7=$AE$9,H$4*$AE52*$AB52,$AE$7=$AF$9,H$4*$AF52*$AB52,$AE$7=$AG$9,H$4*$AG52*$AB52)</f>
        <v>-4336.4255186268329</v>
      </c>
      <c r="I52" s="190" cm="1">
        <f t="array" ref="I52">_xlfn.IFS($AE$7=$AE$9,I$4*$AE52*$AB52,$AE$7=$AF$9,I$4*$AF52*$AB52,$AE$7=$AG$9,I$4*$AG52*$AB52)</f>
        <v>-4379.7897738131005</v>
      </c>
      <c r="J52" s="190" cm="1">
        <f t="array" ref="J52">_xlfn.IFS($AE$7=$AE$9,J$4*$AE52*$AB52,$AE$7=$AF$9,J$4*$AF52*$AB52,$AE$7=$AG$9,J$4*$AG52*$AB52)</f>
        <v>-4423.5876715512331</v>
      </c>
      <c r="K52" s="190" cm="1">
        <f t="array" ref="K52">_xlfn.IFS($AE$7=$AE$9,K$4*$AE52*$AB52,$AE$7=$AF$9,K$4*$AF52*$AB52,$AE$7=$AG$9,K$4*$AG52*$AB52)</f>
        <v>-4467.8235482667442</v>
      </c>
      <c r="L52" s="190" cm="1">
        <f t="array" ref="L52">_xlfn.IFS($AE$7=$AE$9,L$4*$AE52*$AB52,$AE$7=$AF$9,L$4*$AF52*$AB52,$AE$7=$AG$9,L$4*$AG52*$AB52)</f>
        <v>-2827.5689313763874</v>
      </c>
      <c r="M52" s="190" cm="1">
        <f t="array" ref="M52">_xlfn.IFS($AE$7=$AE$9,M$4*$AE52*$AB52,$AE$7=$AF$9,M$4*$AF52*$AB52,$AE$7=$AG$9,M$4*$AG52*$AB52)</f>
        <v>-2805.2447491480521</v>
      </c>
      <c r="N52" s="190" cm="1">
        <f t="array" ref="N52">_xlfn.IFS($AE$7=$AE$9,N$4*$AE52*$AB52,$AE$7=$AF$9,N$4*$AF52*$AB52,$AE$7=$AG$9,N$4*$AG52*$AB52)</f>
        <v>-3715.3244853987012</v>
      </c>
      <c r="O52" s="190" cm="1">
        <f t="array" ref="O52">_xlfn.IFS($AE$7=$AE$9,O$4*$AE52*$AB52,$AE$7=$AF$9,O$4*$AF52*$AB52,$AE$7=$AG$9,O$4*$AG52*$AB52)</f>
        <v>-3319.6726030424525</v>
      </c>
      <c r="P52" s="190" cm="1">
        <f t="array" ref="P52">_xlfn.IFS($AE$7=$AE$9,P$4*$AE52*$AB52,$AE$7=$AF$9,P$4*$AF52*$AB52,$AE$7=$AG$9,P$4*$AG52*$AB52)</f>
        <v>-3699.4901766033772</v>
      </c>
      <c r="Q52" s="190" cm="1">
        <f t="array" ref="Q52">_xlfn.IFS($AE$7=$AE$9,Q$4*$AE52*$AB52,$AE$7=$AF$9,Q$4*$AF52*$AB52,$AE$7=$AG$9,Q$4*$AG52*$AB52)</f>
        <v>-3587.3458550293981</v>
      </c>
      <c r="R52" s="190" cm="1">
        <f t="array" ref="R52">_xlfn.IFS($AE$7=$AE$9,R$4*$AE52*$AB52,$AE$7=$AF$9,R$4*$AF52*$AB52,$AE$7=$AG$9,R$4*$AG52*$AB52)</f>
        <v>-3931.2724882679022</v>
      </c>
      <c r="S52" s="190" cm="1">
        <f t="array" ref="S52">_xlfn.IFS($AE$7=$AE$9,S$4*$AE52*$AB52,$AE$7=$AF$9,S$4*$AF52*$AB52,$AE$7=$AG$9,S$4*$AG52*$AB52)</f>
        <v>-4609.5722371549518</v>
      </c>
      <c r="T52" s="190" cm="1">
        <f t="array" ref="T52">_xlfn.IFS($AE$7=$AE$9,T$4*$AE52*$AB52,$AE$7=$AF$9,T$4*$AF52*$AB52,$AE$7=$AG$9,T$4*$AG52*$AB52)</f>
        <v>-4222.6547747616351</v>
      </c>
      <c r="U52" s="190" cm="1">
        <f t="array" ref="U52">_xlfn.IFS($AE$7=$AE$9,U$4*$AE52*$AB52,$AE$7=$AF$9,U$4*$AF52*$AB52,$AE$7=$AG$9,U$4*$AG52*$AB52)</f>
        <v>-3706.7648249038784</v>
      </c>
      <c r="V52" s="190" cm="1">
        <f t="array" ref="V52">_xlfn.IFS($AE$7=$AE$9,V$4*$AE52*$AB52,$AE$7=$AF$9,V$4*$AF52*$AB52,$AE$7=$AG$9,V$4*$AG52*$AB52)</f>
        <v>-3522.8596112971782</v>
      </c>
      <c r="W52" s="190" cm="1">
        <f t="array" ref="W52">_xlfn.IFS($AE$7=$AE$9,W$4*$AE52*$AB52,$AE$7=$AF$9,W$4*$AF52*$AB52,$AE$7=$AG$9,W$4*$AG52*$AB52)</f>
        <v>-3260.137877573321</v>
      </c>
      <c r="X52" s="190" cm="1">
        <f t="array" ref="X52">_xlfn.IFS($AE$7=$AE$9,X$4*$AE52*$AB52,$AE$7=$AF$9,X$4*$AF52*$AB52,$AE$7=$AG$9,X$4*$AG52*$AB52)</f>
        <v>-3260.137877573321</v>
      </c>
      <c r="Y52" s="190" cm="1">
        <f t="array" ref="Y52">_xlfn.IFS($AE$7=$AE$9,Y$4*$AE52*$AB52,$AE$7=$AF$9,Y$4*$AF52*$AB52,$AE$7=$AG$9,Y$4*$AG52*$AB52)</f>
        <v>-3260.137877573321</v>
      </c>
      <c r="Z52" s="190" cm="1">
        <f t="array" ref="Z52">_xlfn.IFS($AE$7=$AE$9,Z$4*$AE52*$AB52,$AE$7=$AF$9,Z$4*$AF52*$AB52,$AE$7=$AG$9,Z$4*$AG52*$AB52)</f>
        <v>-4263.2572245189585</v>
      </c>
      <c r="AA52" s="190"/>
      <c r="AB52" s="188">
        <f t="shared" si="24"/>
        <v>2.9798139464906049E-2</v>
      </c>
      <c r="AC52" s="184" t="str">
        <f>+A52&amp;"-"&amp;B52</f>
        <v>330-4505</v>
      </c>
      <c r="AD52" s="212">
        <v>34889.800000000003</v>
      </c>
      <c r="AE52" s="218">
        <f t="shared" si="25"/>
        <v>7.1428571428571425E-2</v>
      </c>
      <c r="AF52" s="218">
        <f t="shared" si="25"/>
        <v>9.7746297390375811E-2</v>
      </c>
      <c r="AG52" s="218">
        <f t="shared" si="25"/>
        <v>5.6643077787471838E-2</v>
      </c>
    </row>
    <row r="53" spans="1:33" outlineLevel="1" x14ac:dyDescent="0.2">
      <c r="G53" s="190"/>
      <c r="Z53" s="184"/>
      <c r="AB53" s="188"/>
      <c r="AD53" s="212"/>
      <c r="AE53" s="218"/>
      <c r="AF53" s="218"/>
      <c r="AG53" s="218"/>
    </row>
    <row r="54" spans="1:33" outlineLevel="1" x14ac:dyDescent="0.2">
      <c r="A54" s="184">
        <v>430</v>
      </c>
      <c r="B54" s="187">
        <v>4465</v>
      </c>
      <c r="G54" s="190" cm="1">
        <f t="array" ref="G54">_xlfn.IFS($AE$7=$AE$9,G$4*$AE54*$AB54,$AE$7=$AF$9,G$4*$AF54*$AB54,$AE$7=$AG$9,G$4*$AG54*$AB54)</f>
        <v>-22502.610276917821</v>
      </c>
      <c r="H54" s="190" cm="1">
        <f t="array" ref="H54">_xlfn.IFS($AE$7=$AE$9,H$4*$AE54*$AB54,$AE$7=$AF$9,H$4*$AF54*$AB54,$AE$7=$AG$9,H$4*$AG54*$AB54)</f>
        <v>-22727.636379686995</v>
      </c>
      <c r="I54" s="190" cm="1">
        <f t="array" ref="I54">_xlfn.IFS($AE$7=$AE$9,I$4*$AE54*$AB54,$AE$7=$AF$9,I$4*$AF54*$AB54,$AE$7=$AG$9,I$4*$AG54*$AB54)</f>
        <v>-22954.912743483867</v>
      </c>
      <c r="J54" s="190" cm="1">
        <f t="array" ref="J54">_xlfn.IFS($AE$7=$AE$9,J$4*$AE54*$AB54,$AE$7=$AF$9,J$4*$AF54*$AB54,$AE$7=$AG$9,J$4*$AG54*$AB54)</f>
        <v>-23184.461870918709</v>
      </c>
      <c r="K54" s="190" cm="1">
        <f t="array" ref="K54">_xlfn.IFS($AE$7=$AE$9,K$4*$AE54*$AB54,$AE$7=$AF$9,K$4*$AF54*$AB54,$AE$7=$AG$9,K$4*$AG54*$AB54)</f>
        <v>-23416.306489627896</v>
      </c>
      <c r="L54" s="190" cm="1">
        <f t="array" ref="L54">_xlfn.IFS($AE$7=$AE$9,L$4*$AE54*$AB54,$AE$7=$AF$9,L$4*$AF54*$AB54,$AE$7=$AG$9,L$4*$AG54*$AB54)</f>
        <v>-14819.569305360148</v>
      </c>
      <c r="M54" s="190" cm="1">
        <f t="array" ref="M54">_xlfn.IFS($AE$7=$AE$9,M$4*$AE54*$AB54,$AE$7=$AF$9,M$4*$AF54*$AB54,$AE$7=$AG$9,M$4*$AG54*$AB54)</f>
        <v>-14702.566051417452</v>
      </c>
      <c r="N54" s="190" cm="1">
        <f t="array" ref="N54">_xlfn.IFS($AE$7=$AE$9,N$4*$AE54*$AB54,$AE$7=$AF$9,N$4*$AF54*$AB54,$AE$7=$AG$9,N$4*$AG54*$AB54)</f>
        <v>-19472.384242270633</v>
      </c>
      <c r="O54" s="190" cm="1">
        <f t="array" ref="O54">_xlfn.IFS($AE$7=$AE$9,O$4*$AE54*$AB54,$AE$7=$AF$9,O$4*$AF54*$AB54,$AE$7=$AG$9,O$4*$AG54*$AB54)</f>
        <v>-17398.733472412838</v>
      </c>
      <c r="P54" s="190" cm="1">
        <f t="array" ref="P54">_xlfn.IFS($AE$7=$AE$9,P$4*$AE54*$AB54,$AE$7=$AF$9,P$4*$AF54*$AB54,$AE$7=$AG$9,P$4*$AG54*$AB54)</f>
        <v>-19389.395058880309</v>
      </c>
      <c r="Q54" s="190" cm="1">
        <f t="array" ref="Q54">_xlfn.IFS($AE$7=$AE$9,Q$4*$AE54*$AB54,$AE$7=$AF$9,Q$4*$AF54*$AB54,$AE$7=$AG$9,Q$4*$AG54*$AB54)</f>
        <v>-18801.635543161203</v>
      </c>
      <c r="R54" s="190" cm="1">
        <f t="array" ref="R54">_xlfn.IFS($AE$7=$AE$9,R$4*$AE54*$AB54,$AE$7=$AF$9,R$4*$AF54*$AB54,$AE$7=$AG$9,R$4*$AG54*$AB54)</f>
        <v>-20604.189150494898</v>
      </c>
      <c r="S54" s="190" cm="1">
        <f t="array" ref="S54">_xlfn.IFS($AE$7=$AE$9,S$4*$AE54*$AB54,$AE$7=$AF$9,S$4*$AF54*$AB54,$AE$7=$AG$9,S$4*$AG54*$AB54)</f>
        <v>-24159.225431625244</v>
      </c>
      <c r="T54" s="190" cm="1">
        <f t="array" ref="T54">_xlfn.IFS($AE$7=$AE$9,T$4*$AE54*$AB54,$AE$7=$AF$9,T$4*$AF54*$AB54,$AE$7=$AG$9,T$4*$AG54*$AB54)</f>
        <v>-22131.352623374834</v>
      </c>
      <c r="U54" s="190" cm="1">
        <f t="array" ref="U54">_xlfn.IFS($AE$7=$AE$9,U$4*$AE54*$AB54,$AE$7=$AF$9,U$4*$AF54*$AB54,$AE$7=$AG$9,U$4*$AG54*$AB54)</f>
        <v>-19427.52221237429</v>
      </c>
      <c r="V54" s="190" cm="1">
        <f t="array" ref="V54">_xlfn.IFS($AE$7=$AE$9,V$4*$AE54*$AB54,$AE$7=$AF$9,V$4*$AF54*$AB54,$AE$7=$AG$9,V$4*$AG54*$AB54)</f>
        <v>-18463.656741786133</v>
      </c>
      <c r="W54" s="190" cm="1">
        <f t="array" ref="W54">_xlfn.IFS($AE$7=$AE$9,W$4*$AE54*$AB54,$AE$7=$AF$9,W$4*$AF54*$AB54,$AE$7=$AG$9,W$4*$AG54*$AB54)</f>
        <v>-17086.706069517335</v>
      </c>
      <c r="X54" s="190" cm="1">
        <f t="array" ref="X54">_xlfn.IFS($AE$7=$AE$9,X$4*$AE54*$AB54,$AE$7=$AF$9,X$4*$AF54*$AB54,$AE$7=$AG$9,X$4*$AG54*$AB54)</f>
        <v>-17086.706069517335</v>
      </c>
      <c r="Y54" s="190" cm="1">
        <f t="array" ref="Y54">_xlfn.IFS($AE$7=$AE$9,Y$4*$AE54*$AB54,$AE$7=$AF$9,Y$4*$AF54*$AB54,$AE$7=$AG$9,Y$4*$AG54*$AB54)</f>
        <v>-17086.706069517335</v>
      </c>
      <c r="Z54" s="190" cm="1">
        <f t="array" ref="Z54">_xlfn.IFS($AE$7=$AE$9,Z$4*$AE54*$AB54,$AE$7=$AF$9,Z$4*$AF54*$AB54,$AE$7=$AG$9,Z$4*$AG54*$AB54)</f>
        <v>-22344.154090907286</v>
      </c>
      <c r="AA54" s="190"/>
      <c r="AB54" s="188">
        <f>AD54/SUM($AD$54:$AD$58)</f>
        <v>0.1011012793811213</v>
      </c>
      <c r="AC54" s="184" t="str">
        <f>+A54&amp;"-"&amp;B54</f>
        <v>430-4465</v>
      </c>
      <c r="AD54" s="212">
        <v>224611.81</v>
      </c>
      <c r="AE54" s="218">
        <f>AE$28</f>
        <v>7.1428571428571425E-2</v>
      </c>
      <c r="AF54" s="218">
        <f t="shared" ref="AF54:AG54" si="26">AF$28</f>
        <v>0.15099243660256748</v>
      </c>
      <c r="AG54" s="218">
        <f t="shared" si="26"/>
        <v>6.9272853134155876E-2</v>
      </c>
    </row>
    <row r="55" spans="1:33" outlineLevel="1" x14ac:dyDescent="0.2">
      <c r="A55" s="184">
        <v>430</v>
      </c>
      <c r="B55" s="187">
        <v>4466</v>
      </c>
      <c r="G55" s="190" cm="1">
        <f t="array" ref="G55">_xlfn.IFS($AE$7=$AE$9,G$4*$AE55*$AB55,$AE$7=$AF$9,G$4*$AF55*$AB55,$AE$7=$AG$9,G$4*$AG55*$AB55)</f>
        <v>-3469.9023942974663</v>
      </c>
      <c r="H55" s="190" cm="1">
        <f t="array" ref="H55">_xlfn.IFS($AE$7=$AE$9,H$4*$AE55*$AB55,$AE$7=$AF$9,H$4*$AF55*$AB55,$AE$7=$AG$9,H$4*$AG55*$AB55)</f>
        <v>-3504.6014182404406</v>
      </c>
      <c r="I55" s="190" cm="1">
        <f t="array" ref="I55">_xlfn.IFS($AE$7=$AE$9,I$4*$AE55*$AB55,$AE$7=$AF$9,I$4*$AF55*$AB55,$AE$7=$AG$9,I$4*$AG55*$AB55)</f>
        <v>-3539.6474324228448</v>
      </c>
      <c r="J55" s="190" cm="1">
        <f t="array" ref="J55">_xlfn.IFS($AE$7=$AE$9,J$4*$AE55*$AB55,$AE$7=$AF$9,J$4*$AF55*$AB55,$AE$7=$AG$9,J$4*$AG55*$AB55)</f>
        <v>-3575.0439067470738</v>
      </c>
      <c r="K55" s="190" cm="1">
        <f t="array" ref="K55">_xlfn.IFS($AE$7=$AE$9,K$4*$AE55*$AB55,$AE$7=$AF$9,K$4*$AF55*$AB55,$AE$7=$AG$9,K$4*$AG55*$AB55)</f>
        <v>-3610.7943458145446</v>
      </c>
      <c r="L55" s="190" cm="1">
        <f t="array" ref="L55">_xlfn.IFS($AE$7=$AE$9,L$4*$AE55*$AB55,$AE$7=$AF$9,L$4*$AF55*$AB55,$AE$7=$AG$9,L$4*$AG55*$AB55)</f>
        <v>-2285.177514178135</v>
      </c>
      <c r="M55" s="190" cm="1">
        <f t="array" ref="M55">_xlfn.IFS($AE$7=$AE$9,M$4*$AE55*$AB55,$AE$7=$AF$9,M$4*$AF55*$AB55,$AE$7=$AG$9,M$4*$AG55*$AB55)</f>
        <v>-2267.1356129942174</v>
      </c>
      <c r="N55" s="190" cm="1">
        <f t="array" ref="N55">_xlfn.IFS($AE$7=$AE$9,N$4*$AE55*$AB55,$AE$7=$AF$9,N$4*$AF55*$AB55,$AE$7=$AG$9,N$4*$AG55*$AB55)</f>
        <v>-3002.6415546218932</v>
      </c>
      <c r="O55" s="190" cm="1">
        <f t="array" ref="O55">_xlfn.IFS($AE$7=$AE$9,O$4*$AE55*$AB55,$AE$7=$AF$9,O$4*$AF55*$AB55,$AE$7=$AG$9,O$4*$AG55*$AB55)</f>
        <v>-2682.8846160836551</v>
      </c>
      <c r="P55" s="190" cm="1">
        <f t="array" ref="P55">_xlfn.IFS($AE$7=$AE$9,P$4*$AE55*$AB55,$AE$7=$AF$9,P$4*$AF55*$AB55,$AE$7=$AG$9,P$4*$AG55*$AB55)</f>
        <v>-2989.8446229502706</v>
      </c>
      <c r="Q55" s="190" cm="1">
        <f t="array" ref="Q55">_xlfn.IFS($AE$7=$AE$9,Q$4*$AE55*$AB55,$AE$7=$AF$9,Q$4*$AF55*$AB55,$AE$7=$AG$9,Q$4*$AG55*$AB55)</f>
        <v>-2899.2121085100748</v>
      </c>
      <c r="R55" s="190" cm="1">
        <f t="array" ref="R55">_xlfn.IFS($AE$7=$AE$9,R$4*$AE55*$AB55,$AE$7=$AF$9,R$4*$AF55*$AB55,$AE$7=$AG$9,R$4*$AG55*$AB55)</f>
        <v>-3177.1658659171658</v>
      </c>
      <c r="S55" s="190" cm="1">
        <f t="array" ref="S55">_xlfn.IFS($AE$7=$AE$9,S$4*$AE55*$AB55,$AE$7=$AF$9,S$4*$AF55*$AB55,$AE$7=$AG$9,S$4*$AG55*$AB55)</f>
        <v>-3725.3524430255952</v>
      </c>
      <c r="T55" s="190" cm="1">
        <f t="array" ref="T55">_xlfn.IFS($AE$7=$AE$9,T$4*$AE55*$AB55,$AE$7=$AF$9,T$4*$AF55*$AB55,$AE$7=$AG$9,T$4*$AG55*$AB55)</f>
        <v>-3412.6544659426181</v>
      </c>
      <c r="U55" s="190" cm="1">
        <f t="array" ref="U55">_xlfn.IFS($AE$7=$AE$9,U$4*$AE55*$AB55,$AE$7=$AF$9,U$4*$AF55*$AB55,$AE$7=$AG$9,U$4*$AG55*$AB55)</f>
        <v>-2995.7238298319817</v>
      </c>
      <c r="V55" s="190" cm="1">
        <f t="array" ref="V55">_xlfn.IFS($AE$7=$AE$9,V$4*$AE55*$AB55,$AE$7=$AF$9,V$4*$AF55*$AB55,$AE$7=$AG$9,V$4*$AG55*$AB55)</f>
        <v>-2847.0957789962449</v>
      </c>
      <c r="W55" s="190" cm="1">
        <f t="array" ref="W55">_xlfn.IFS($AE$7=$AE$9,W$4*$AE55*$AB55,$AE$7=$AF$9,W$4*$AF55*$AB55,$AE$7=$AG$9,W$4*$AG55*$AB55)</f>
        <v>-2634.7699920880505</v>
      </c>
      <c r="X55" s="190" cm="1">
        <f t="array" ref="X55">_xlfn.IFS($AE$7=$AE$9,X$4*$AE55*$AB55,$AE$7=$AF$9,X$4*$AF55*$AB55,$AE$7=$AG$9,X$4*$AG55*$AB55)</f>
        <v>-2634.7699920880505</v>
      </c>
      <c r="Y55" s="190" cm="1">
        <f t="array" ref="Y55">_xlfn.IFS($AE$7=$AE$9,Y$4*$AE55*$AB55,$AE$7=$AF$9,Y$4*$AF55*$AB55,$AE$7=$AG$9,Y$4*$AG55*$AB55)</f>
        <v>-2634.7699920880505</v>
      </c>
      <c r="Z55" s="190" cm="1">
        <f t="array" ref="Z55">_xlfn.IFS($AE$7=$AE$9,Z$4*$AE55*$AB55,$AE$7=$AF$9,Z$4*$AF55*$AB55,$AE$7=$AG$9,Z$4*$AG55*$AB55)</f>
        <v>-3445.4684511920664</v>
      </c>
      <c r="AA55" s="190"/>
      <c r="AB55" s="188">
        <f t="shared" ref="AB55:AB58" si="27">AD55/SUM($AD$54:$AD$58)</f>
        <v>1.5589816784541516E-2</v>
      </c>
      <c r="AC55" s="184" t="str">
        <f>+A55&amp;"-"&amp;B55</f>
        <v>430-4466</v>
      </c>
      <c r="AD55" s="212">
        <v>34635.14</v>
      </c>
      <c r="AE55" s="218">
        <f t="shared" ref="AE55:AG58" si="28">AE$28</f>
        <v>7.1428571428571425E-2</v>
      </c>
      <c r="AF55" s="218">
        <f t="shared" si="28"/>
        <v>0.15099243660256748</v>
      </c>
      <c r="AG55" s="218">
        <f t="shared" si="28"/>
        <v>6.9272853134155876E-2</v>
      </c>
    </row>
    <row r="56" spans="1:33" outlineLevel="1" x14ac:dyDescent="0.2">
      <c r="A56" s="184">
        <v>430</v>
      </c>
      <c r="B56" s="187">
        <v>4475</v>
      </c>
      <c r="G56" s="190" cm="1">
        <f t="array" ref="G56">_xlfn.IFS($AE$7=$AE$9,G$4*$AE56*$AB56,$AE$7=$AF$9,G$4*$AF56*$AB56,$AE$7=$AG$9,G$4*$AG56*$AB56)</f>
        <v>-12412.827102152136</v>
      </c>
      <c r="H56" s="190" cm="1">
        <f t="array" ref="H56">_xlfn.IFS($AE$7=$AE$9,H$4*$AE56*$AB56,$AE$7=$AF$9,H$4*$AF56*$AB56,$AE$7=$AG$9,H$4*$AG56*$AB56)</f>
        <v>-12536.955373173656</v>
      </c>
      <c r="I56" s="190" cm="1">
        <f t="array" ref="I56">_xlfn.IFS($AE$7=$AE$9,I$4*$AE56*$AB56,$AE$7=$AF$9,I$4*$AF56*$AB56,$AE$7=$AG$9,I$4*$AG56*$AB56)</f>
        <v>-12662.324926905392</v>
      </c>
      <c r="J56" s="190" cm="1">
        <f t="array" ref="J56">_xlfn.IFS($AE$7=$AE$9,J$4*$AE56*$AB56,$AE$7=$AF$9,J$4*$AF56*$AB56,$AE$7=$AG$9,J$4*$AG56*$AB56)</f>
        <v>-12788.948176174448</v>
      </c>
      <c r="K56" s="190" cm="1">
        <f t="array" ref="K56">_xlfn.IFS($AE$7=$AE$9,K$4*$AE56*$AB56,$AE$7=$AF$9,K$4*$AF56*$AB56,$AE$7=$AG$9,K$4*$AG56*$AB56)</f>
        <v>-12916.837657936192</v>
      </c>
      <c r="L56" s="190" cm="1">
        <f t="array" ref="L56">_xlfn.IFS($AE$7=$AE$9,L$4*$AE56*$AB56,$AE$7=$AF$9,L$4*$AF56*$AB56,$AE$7=$AG$9,L$4*$AG56*$AB56)</f>
        <v>-8174.7294759171527</v>
      </c>
      <c r="M56" s="190" cm="1">
        <f t="array" ref="M56">_xlfn.IFS($AE$7=$AE$9,M$4*$AE56*$AB56,$AE$7=$AF$9,M$4*$AF56*$AB56,$AE$7=$AG$9,M$4*$AG56*$AB56)</f>
        <v>-8110.1884673982595</v>
      </c>
      <c r="N56" s="190" cm="1">
        <f t="array" ref="N56">_xlfn.IFS($AE$7=$AE$9,N$4*$AE56*$AB56,$AE$7=$AF$9,N$4*$AF56*$AB56,$AE$7=$AG$9,N$4*$AG56*$AB56)</f>
        <v>-10741.302270781882</v>
      </c>
      <c r="O56" s="190" cm="1">
        <f t="array" ref="O56">_xlfn.IFS($AE$7=$AE$9,O$4*$AE56*$AB56,$AE$7=$AF$9,O$4*$AF56*$AB56,$AE$7=$AG$9,O$4*$AG56*$AB56)</f>
        <v>-9597.440818277757</v>
      </c>
      <c r="P56" s="190" cm="1">
        <f t="array" ref="P56">_xlfn.IFS($AE$7=$AE$9,P$4*$AE56*$AB56,$AE$7=$AF$9,P$4*$AF56*$AB56,$AE$7=$AG$9,P$4*$AG56*$AB56)</f>
        <v>-10695.524008967093</v>
      </c>
      <c r="Q56" s="190" cm="1">
        <f t="array" ref="Q56">_xlfn.IFS($AE$7=$AE$9,Q$4*$AE56*$AB56,$AE$7=$AF$9,Q$4*$AF56*$AB56,$AE$7=$AG$9,Q$4*$AG56*$AB56)</f>
        <v>-10371.305744664236</v>
      </c>
      <c r="R56" s="190" cm="1">
        <f t="array" ref="R56">_xlfn.IFS($AE$7=$AE$9,R$4*$AE56*$AB56,$AE$7=$AF$9,R$4*$AF56*$AB56,$AE$7=$AG$9,R$4*$AG56*$AB56)</f>
        <v>-11365.625336695959</v>
      </c>
      <c r="S56" s="190" cm="1">
        <f t="array" ref="S56">_xlfn.IFS($AE$7=$AE$9,S$4*$AE56*$AB56,$AE$7=$AF$9,S$4*$AF56*$AB56,$AE$7=$AG$9,S$4*$AG56*$AB56)</f>
        <v>-13326.644532091859</v>
      </c>
      <c r="T56" s="190" cm="1">
        <f t="array" ref="T56">_xlfn.IFS($AE$7=$AE$9,T$4*$AE56*$AB56,$AE$7=$AF$9,T$4*$AF56*$AB56,$AE$7=$AG$9,T$4*$AG56*$AB56)</f>
        <v>-12208.034991056171</v>
      </c>
      <c r="U56" s="190" cm="1">
        <f t="array" ref="U56">_xlfn.IFS($AE$7=$AE$9,U$4*$AE56*$AB56,$AE$7=$AF$9,U$4*$AF56*$AB56,$AE$7=$AG$9,U$4*$AG56*$AB56)</f>
        <v>-10716.555603008585</v>
      </c>
      <c r="V56" s="190" cm="1">
        <f t="array" ref="V56">_xlfn.IFS($AE$7=$AE$9,V$4*$AE56*$AB56,$AE$7=$AF$9,V$4*$AF56*$AB56,$AE$7=$AG$9,V$4*$AG56*$AB56)</f>
        <v>-10184.870821158287</v>
      </c>
      <c r="W56" s="190" cm="1">
        <f t="array" ref="W56">_xlfn.IFS($AE$7=$AE$9,W$4*$AE56*$AB56,$AE$7=$AF$9,W$4*$AF56*$AB56,$AE$7=$AG$9,W$4*$AG56*$AB56)</f>
        <v>-9425.3211328007201</v>
      </c>
      <c r="X56" s="190" cm="1">
        <f t="array" ref="X56">_xlfn.IFS($AE$7=$AE$9,X$4*$AE56*$AB56,$AE$7=$AF$9,X$4*$AF56*$AB56,$AE$7=$AG$9,X$4*$AG56*$AB56)</f>
        <v>-9425.3211328007201</v>
      </c>
      <c r="Y56" s="190" cm="1">
        <f t="array" ref="Y56">_xlfn.IFS($AE$7=$AE$9,Y$4*$AE56*$AB56,$AE$7=$AF$9,Y$4*$AF56*$AB56,$AE$7=$AG$9,Y$4*$AG56*$AB56)</f>
        <v>-9425.3211328007201</v>
      </c>
      <c r="Z56" s="190" cm="1">
        <f t="array" ref="Z56">_xlfn.IFS($AE$7=$AE$9,Z$4*$AE56*$AB56,$AE$7=$AF$9,Z$4*$AF56*$AB56,$AE$7=$AG$9,Z$4*$AG56*$AB56)</f>
        <v>-12325.41994289325</v>
      </c>
      <c r="AA56" s="190"/>
      <c r="AB56" s="188">
        <f t="shared" si="27"/>
        <v>5.5769205675286135E-2</v>
      </c>
      <c r="AC56" s="184" t="str">
        <f>+A56&amp;"-"&amp;B56</f>
        <v>430-4475</v>
      </c>
      <c r="AD56" s="212">
        <v>123899.74</v>
      </c>
      <c r="AE56" s="218">
        <f t="shared" si="28"/>
        <v>7.1428571428571425E-2</v>
      </c>
      <c r="AF56" s="218">
        <f t="shared" si="28"/>
        <v>0.15099243660256748</v>
      </c>
      <c r="AG56" s="218">
        <f t="shared" si="28"/>
        <v>6.9272853134155876E-2</v>
      </c>
    </row>
    <row r="57" spans="1:33" outlineLevel="1" x14ac:dyDescent="0.2">
      <c r="A57" s="184">
        <v>430</v>
      </c>
      <c r="B57" s="187">
        <v>4500</v>
      </c>
      <c r="G57" s="190" cm="1">
        <f t="array" ref="G57">_xlfn.IFS($AE$7=$AE$9,G$4*$AE57*$AB57,$AE$7=$AF$9,G$4*$AF57*$AB57,$AE$7=$AG$9,G$4*$AG57*$AB57)</f>
        <v>-7199.3706721264389</v>
      </c>
      <c r="H57" s="190" cm="1">
        <f t="array" ref="H57">_xlfn.IFS($AE$7=$AE$9,H$4*$AE57*$AB57,$AE$7=$AF$9,H$4*$AF57*$AB57,$AE$7=$AG$9,H$4*$AG57*$AB57)</f>
        <v>-7271.364378847702</v>
      </c>
      <c r="I57" s="190" cm="1">
        <f t="array" ref="I57">_xlfn.IFS($AE$7=$AE$9,I$4*$AE57*$AB57,$AE$7=$AF$9,I$4*$AF57*$AB57,$AE$7=$AG$9,I$4*$AG57*$AB57)</f>
        <v>-7344.0780226361785</v>
      </c>
      <c r="J57" s="190" cm="1">
        <f t="array" ref="J57">_xlfn.IFS($AE$7=$AE$9,J$4*$AE57*$AB57,$AE$7=$AF$9,J$4*$AF57*$AB57,$AE$7=$AG$9,J$4*$AG57*$AB57)</f>
        <v>-7417.5188028625416</v>
      </c>
      <c r="K57" s="190" cm="1">
        <f t="array" ref="K57">_xlfn.IFS($AE$7=$AE$9,K$4*$AE57*$AB57,$AE$7=$AF$9,K$4*$AF57*$AB57,$AE$7=$AG$9,K$4*$AG57*$AB57)</f>
        <v>-7491.6939908911672</v>
      </c>
      <c r="L57" s="190" cm="1">
        <f t="array" ref="L57">_xlfn.IFS($AE$7=$AE$9,L$4*$AE57*$AB57,$AE$7=$AF$9,L$4*$AF57*$AB57,$AE$7=$AG$9,L$4*$AG57*$AB57)</f>
        <v>-4741.2976235914512</v>
      </c>
      <c r="M57" s="190" cm="1">
        <f t="array" ref="M57">_xlfn.IFS($AE$7=$AE$9,M$4*$AE57*$AB57,$AE$7=$AF$9,M$4*$AF57*$AB57,$AE$7=$AG$9,M$4*$AG57*$AB57)</f>
        <v>-4703.8641976638619</v>
      </c>
      <c r="N57" s="190" cm="1">
        <f t="array" ref="N57">_xlfn.IFS($AE$7=$AE$9,N$4*$AE57*$AB57,$AE$7=$AF$9,N$4*$AF57*$AB57,$AE$7=$AG$9,N$4*$AG57*$AB57)</f>
        <v>-6229.8955678923949</v>
      </c>
      <c r="O57" s="190" cm="1">
        <f t="array" ref="O57">_xlfn.IFS($AE$7=$AE$9,O$4*$AE57*$AB57,$AE$7=$AF$9,O$4*$AF57*$AB57,$AE$7=$AG$9,O$4*$AG57*$AB57)</f>
        <v>-5566.4622882403855</v>
      </c>
      <c r="P57" s="190" cm="1">
        <f t="array" ref="P57">_xlfn.IFS($AE$7=$AE$9,P$4*$AE57*$AB57,$AE$7=$AF$9,P$4*$AF57*$AB57,$AE$7=$AG$9,P$4*$AG57*$AB57)</f>
        <v>-6203.344430684243</v>
      </c>
      <c r="Q57" s="190" cm="1">
        <f t="array" ref="Q57">_xlfn.IFS($AE$7=$AE$9,Q$4*$AE57*$AB57,$AE$7=$AF$9,Q$4*$AF57*$AB57,$AE$7=$AG$9,Q$4*$AG57*$AB57)</f>
        <v>-6015.2996408728204</v>
      </c>
      <c r="R57" s="190" cm="1">
        <f t="array" ref="R57">_xlfn.IFS($AE$7=$AE$9,R$4*$AE57*$AB57,$AE$7=$AF$9,R$4*$AF57*$AB57,$AE$7=$AG$9,R$4*$AG57*$AB57)</f>
        <v>-6591.9994732867253</v>
      </c>
      <c r="S57" s="190" cm="1">
        <f t="array" ref="S57">_xlfn.IFS($AE$7=$AE$9,S$4*$AE57*$AB57,$AE$7=$AF$9,S$4*$AF57*$AB57,$AE$7=$AG$9,S$4*$AG57*$AB57)</f>
        <v>-7729.3796983252605</v>
      </c>
      <c r="T57" s="190" cm="1">
        <f t="array" ref="T57">_xlfn.IFS($AE$7=$AE$9,T$4*$AE57*$AB57,$AE$7=$AF$9,T$4*$AF57*$AB57,$AE$7=$AG$9,T$4*$AG57*$AB57)</f>
        <v>-7080.5923868596174</v>
      </c>
      <c r="U57" s="190" cm="1">
        <f t="array" ref="U57">_xlfn.IFS($AE$7=$AE$9,U$4*$AE57*$AB57,$AE$7=$AF$9,U$4*$AF57*$AB57,$AE$7=$AG$9,U$4*$AG57*$AB57)</f>
        <v>-6215.5426382387595</v>
      </c>
      <c r="V57" s="190" cm="1">
        <f t="array" ref="V57">_xlfn.IFS($AE$7=$AE$9,V$4*$AE57*$AB57,$AE$7=$AF$9,V$4*$AF57*$AB57,$AE$7=$AG$9,V$4*$AG57*$AB57)</f>
        <v>-5907.1684222952126</v>
      </c>
      <c r="W57" s="190" cm="1">
        <f t="array" ref="W57">_xlfn.IFS($AE$7=$AE$9,W$4*$AE57*$AB57,$AE$7=$AF$9,W$4*$AF57*$AB57,$AE$7=$AG$9,W$4*$AG57*$AB57)</f>
        <v>-5466.6338280901455</v>
      </c>
      <c r="X57" s="190" cm="1">
        <f t="array" ref="X57">_xlfn.IFS($AE$7=$AE$9,X$4*$AE57*$AB57,$AE$7=$AF$9,X$4*$AF57*$AB57,$AE$7=$AG$9,X$4*$AG57*$AB57)</f>
        <v>-5466.6338280901455</v>
      </c>
      <c r="Y57" s="190" cm="1">
        <f t="array" ref="Y57">_xlfn.IFS($AE$7=$AE$9,Y$4*$AE57*$AB57,$AE$7=$AF$9,Y$4*$AF57*$AB57,$AE$7=$AG$9,Y$4*$AG57*$AB57)</f>
        <v>-5466.6338280901455</v>
      </c>
      <c r="Z57" s="190" cm="1">
        <f t="array" ref="Z57">_xlfn.IFS($AE$7=$AE$9,Z$4*$AE57*$AB57,$AE$7=$AF$9,Z$4*$AF57*$AB57,$AE$7=$AG$9,Z$4*$AG57*$AB57)</f>
        <v>-7148.6750059640372</v>
      </c>
      <c r="AA57" s="190"/>
      <c r="AB57" s="188">
        <f t="shared" si="27"/>
        <v>3.2345829071995187E-2</v>
      </c>
      <c r="AC57" s="184" t="str">
        <f>+A57&amp;"-"&amp;B57</f>
        <v>430-4500</v>
      </c>
      <c r="AD57" s="212">
        <v>71861.16</v>
      </c>
      <c r="AE57" s="218">
        <f t="shared" si="28"/>
        <v>7.1428571428571425E-2</v>
      </c>
      <c r="AF57" s="218">
        <f t="shared" si="28"/>
        <v>0.15099243660256748</v>
      </c>
      <c r="AG57" s="218">
        <f t="shared" si="28"/>
        <v>6.9272853134155876E-2</v>
      </c>
    </row>
    <row r="58" spans="1:33" outlineLevel="1" x14ac:dyDescent="0.2">
      <c r="A58" s="184">
        <v>430</v>
      </c>
      <c r="B58" s="187">
        <v>4505</v>
      </c>
      <c r="G58" s="190" cm="1">
        <f t="array" ref="G58">_xlfn.IFS($AE$7=$AE$9,G$4*$AE58*$AB58,$AE$7=$AF$9,G$4*$AF58*$AB58,$AE$7=$AG$9,G$4*$AG58*$AB58)</f>
        <v>-176990.22050161884</v>
      </c>
      <c r="H58" s="190" cm="1">
        <f t="array" ref="H58">_xlfn.IFS($AE$7=$AE$9,H$4*$AE58*$AB58,$AE$7=$AF$9,H$4*$AF58*$AB58,$AE$7=$AG$9,H$4*$AG58*$AB58)</f>
        <v>-178760.12270663501</v>
      </c>
      <c r="I58" s="190" cm="1">
        <f t="array" ref="I58">_xlfn.IFS($AE$7=$AE$9,I$4*$AE58*$AB58,$AE$7=$AF$9,I$4*$AF58*$AB58,$AE$7=$AG$9,I$4*$AG58*$AB58)</f>
        <v>-180547.72393370135</v>
      </c>
      <c r="J58" s="190" cm="1">
        <f t="array" ref="J58">_xlfn.IFS($AE$7=$AE$9,J$4*$AE58*$AB58,$AE$7=$AF$9,J$4*$AF58*$AB58,$AE$7=$AG$9,J$4*$AG58*$AB58)</f>
        <v>-182353.2011730384</v>
      </c>
      <c r="K58" s="190" cm="1">
        <f t="array" ref="K58">_xlfn.IFS($AE$7=$AE$9,K$4*$AE58*$AB58,$AE$7=$AF$9,K$4*$AF58*$AB58,$AE$7=$AG$9,K$4*$AG58*$AB58)</f>
        <v>-184176.73318476876</v>
      </c>
      <c r="L58" s="190" cm="1">
        <f t="array" ref="L58">_xlfn.IFS($AE$7=$AE$9,L$4*$AE58*$AB58,$AE$7=$AF$9,L$4*$AF58*$AB58,$AE$7=$AG$9,L$4*$AG58*$AB58)</f>
        <v>-116560.64815668022</v>
      </c>
      <c r="M58" s="190" cm="1">
        <f t="array" ref="M58">_xlfn.IFS($AE$7=$AE$9,M$4*$AE58*$AB58,$AE$7=$AF$9,M$4*$AF58*$AB58,$AE$7=$AG$9,M$4*$AG58*$AB58)</f>
        <v>-115640.38017621548</v>
      </c>
      <c r="N58" s="190" cm="1">
        <f t="array" ref="N58">_xlfn.IFS($AE$7=$AE$9,N$4*$AE58*$AB58,$AE$7=$AF$9,N$4*$AF58*$AB58,$AE$7=$AG$9,N$4*$AG58*$AB58)</f>
        <v>-153156.52443516356</v>
      </c>
      <c r="O58" s="190" cm="1">
        <f t="array" ref="O58">_xlfn.IFS($AE$7=$AE$9,O$4*$AE58*$AB58,$AE$7=$AF$9,O$4*$AF58*$AB58,$AE$7=$AG$9,O$4*$AG58*$AB58)</f>
        <v>-136846.59849839564</v>
      </c>
      <c r="P58" s="190" cm="1">
        <f t="array" ref="P58">_xlfn.IFS($AE$7=$AE$9,P$4*$AE58*$AB58,$AE$7=$AF$9,P$4*$AF58*$AB58,$AE$7=$AG$9,P$4*$AG58*$AB58)</f>
        <v>-152503.78798873589</v>
      </c>
      <c r="Q58" s="190" cm="1">
        <f t="array" ref="Q58">_xlfn.IFS($AE$7=$AE$9,Q$4*$AE58*$AB58,$AE$7=$AF$9,Q$4*$AF58*$AB58,$AE$7=$AG$9,Q$4*$AG58*$AB58)</f>
        <v>-147880.87157997789</v>
      </c>
      <c r="R58" s="190" cm="1">
        <f t="array" ref="R58">_xlfn.IFS($AE$7=$AE$9,R$4*$AE58*$AB58,$AE$7=$AF$9,R$4*$AF58*$AB58,$AE$7=$AG$9,R$4*$AG58*$AB58)</f>
        <v>-162058.53170482264</v>
      </c>
      <c r="S58" s="190" cm="1">
        <f t="array" ref="S58">_xlfn.IFS($AE$7=$AE$9,S$4*$AE58*$AB58,$AE$7=$AF$9,S$4*$AF58*$AB58,$AE$7=$AG$9,S$4*$AG58*$AB58)</f>
        <v>-190020.02806215532</v>
      </c>
      <c r="T58" s="190" cm="1">
        <f t="array" ref="T58">_xlfn.IFS($AE$7=$AE$9,T$4*$AE58*$AB58,$AE$7=$AF$9,T$4*$AF58*$AB58,$AE$7=$AG$9,T$4*$AG58*$AB58)</f>
        <v>-174070.16042170499</v>
      </c>
      <c r="U58" s="190" cm="1">
        <f t="array" ref="U58">_xlfn.IFS($AE$7=$AE$9,U$4*$AE58*$AB58,$AE$7=$AF$9,U$4*$AF58*$AB58,$AE$7=$AG$9,U$4*$AG58*$AB58)</f>
        <v>-152803.67023443789</v>
      </c>
      <c r="V58" s="190" cm="1">
        <f t="array" ref="V58">_xlfn.IFS($AE$7=$AE$9,V$4*$AE58*$AB58,$AE$7=$AF$9,V$4*$AF58*$AB58,$AE$7=$AG$9,V$4*$AG58*$AB58)</f>
        <v>-145222.5603065695</v>
      </c>
      <c r="W58" s="190" cm="1">
        <f t="array" ref="W58">_xlfn.IFS($AE$7=$AE$9,W$4*$AE58*$AB58,$AE$7=$AF$9,W$4*$AF58*$AB58,$AE$7=$AG$9,W$4*$AG58*$AB58)</f>
        <v>-134392.40326675752</v>
      </c>
      <c r="X58" s="190" cm="1">
        <f t="array" ref="X58">_xlfn.IFS($AE$7=$AE$9,X$4*$AE58*$AB58,$AE$7=$AF$9,X$4*$AF58*$AB58,$AE$7=$AG$9,X$4*$AG58*$AB58)</f>
        <v>-134392.40326675752</v>
      </c>
      <c r="Y58" s="190" cm="1">
        <f t="array" ref="Y58">_xlfn.IFS($AE$7=$AE$9,Y$4*$AE58*$AB58,$AE$7=$AF$9,Y$4*$AF58*$AB58,$AE$7=$AG$9,Y$4*$AG58*$AB58)</f>
        <v>-134392.40326675752</v>
      </c>
      <c r="Z58" s="190" cm="1">
        <f t="array" ref="Z58">_xlfn.IFS($AE$7=$AE$9,Z$4*$AE58*$AB58,$AE$7=$AF$9,Z$4*$AF58*$AB58,$AE$7=$AG$9,Z$4*$AG58*$AB58)</f>
        <v>-175743.91196422139</v>
      </c>
      <c r="AA58" s="190"/>
      <c r="AB58" s="188">
        <f t="shared" si="27"/>
        <v>0.79519386908705592</v>
      </c>
      <c r="AC58" s="184" t="str">
        <f>+A58&amp;"-"&amp;B58</f>
        <v>430-4505</v>
      </c>
      <c r="AD58" s="212">
        <v>1766643.66</v>
      </c>
      <c r="AE58" s="218">
        <f t="shared" si="28"/>
        <v>7.1428571428571425E-2</v>
      </c>
      <c r="AF58" s="218">
        <f t="shared" si="28"/>
        <v>0.15099243660256748</v>
      </c>
      <c r="AG58" s="218">
        <f t="shared" si="28"/>
        <v>6.9272853134155876E-2</v>
      </c>
    </row>
    <row r="59" spans="1:33" x14ac:dyDescent="0.2">
      <c r="Z59" s="184"/>
      <c r="AE59" s="218"/>
      <c r="AF59" s="218"/>
      <c r="AG59" s="218"/>
    </row>
    <row r="60" spans="1:33" x14ac:dyDescent="0.2"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  <c r="AA60" s="213"/>
      <c r="AE60" s="218"/>
      <c r="AF60" s="218"/>
      <c r="AG60" s="218"/>
    </row>
    <row r="61" spans="1:33" x14ac:dyDescent="0.2">
      <c r="A61" s="184" t="s">
        <v>165</v>
      </c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  <c r="AA61" s="213"/>
      <c r="AE61" s="218"/>
      <c r="AF61" s="218"/>
      <c r="AG61" s="218"/>
    </row>
    <row r="62" spans="1:33" x14ac:dyDescent="0.2">
      <c r="A62" s="184">
        <v>130</v>
      </c>
      <c r="B62" s="187">
        <v>7020</v>
      </c>
      <c r="G62" s="190" cm="1">
        <f t="array" ref="G62">_xlfn.IFS($AE$7=$AE$9,G$6*$AE62*$AB62,$AE$7=$AF$9,G$6*$AF62*$AB62,$AE$7=$AG$9,G$6*$AG62*$AB62)</f>
        <v>-61828.736303114332</v>
      </c>
      <c r="H62" s="190" cm="1">
        <f t="array" ref="H62">_xlfn.IFS($AE$7=$AE$9,H$6*$AE62*$AB62,$AE$7=$AF$9,H$6*$AF62*$AB62,$AE$7=$AG$9,H$6*$AG62*$AB62)</f>
        <v>-62447.023666145476</v>
      </c>
      <c r="I62" s="190" cm="1">
        <f t="array" ref="I62">_xlfn.IFS($AE$7=$AE$9,I$6*$AE62*$AB62,$AE$7=$AF$9,I$6*$AF62*$AB62,$AE$7=$AG$9,I$6*$AG62*$AB62)</f>
        <v>-63071.493902806935</v>
      </c>
      <c r="J62" s="190" cm="1">
        <f t="array" ref="J62">_xlfn.IFS($AE$7=$AE$9,J$6*$AE62*$AB62,$AE$7=$AF$9,J$6*$AF62*$AB62,$AE$7=$AG$9,J$6*$AG62*$AB62)</f>
        <v>-63702.208841835003</v>
      </c>
      <c r="K62" s="190" cm="1">
        <f t="array" ref="K62">_xlfn.IFS($AE$7=$AE$9,K$6*$AE62*$AB62,$AE$7=$AF$9,K$6*$AF62*$AB62,$AE$7=$AG$9,K$6*$AG62*$AB62)</f>
        <v>-64339.230930253354</v>
      </c>
      <c r="L62" s="190" cm="1">
        <f t="array" ref="L62">_xlfn.IFS($AE$7=$AE$9,L$6*$AE62*$AB62,$AE$7=$AF$9,L$6*$AF62*$AB62,$AE$7=$AG$9,L$6*$AG62*$AB62)</f>
        <v>-58878.841141368088</v>
      </c>
      <c r="M62" s="190" cm="1">
        <f t="array" ref="M62">_xlfn.IFS($AE$7=$AE$9,M$6*$AE62*$AB62,$AE$7=$AF$9,M$6*$AF62*$AB62,$AE$7=$AG$9,M$6*$AG62*$AB62)</f>
        <v>-58413.981747686295</v>
      </c>
      <c r="N62" s="190" cm="1">
        <f t="array" ref="N62">_xlfn.IFS($AE$7=$AE$9,N$6*$AE62*$AB62,$AE$7=$AF$9,N$6*$AF62*$AB62,$AE$7=$AG$9,N$6*$AG62*$AB62)</f>
        <v>-77732.774739270477</v>
      </c>
      <c r="O62" s="190" cm="1">
        <f t="array" ref="O62">_xlfn.IFS($AE$7=$AE$9,O$6*$AE62*$AB62,$AE$7=$AF$9,O$6*$AF62*$AB62,$AE$7=$AG$9,O$6*$AG62*$AB62)</f>
        <v>-65008.532542774941</v>
      </c>
      <c r="P62" s="190" cm="1">
        <f t="array" ref="P62">_xlfn.IFS($AE$7=$AE$9,P$6*$AE62*$AB62,$AE$7=$AF$9,P$6*$AF62*$AB62,$AE$7=$AG$9,P$6*$AG62*$AB62)</f>
        <v>-58009.343641830004</v>
      </c>
      <c r="Q62" s="190" cm="1">
        <f t="array" ref="Q62">_xlfn.IFS($AE$7=$AE$9,Q$6*$AE62*$AB62,$AE$7=$AF$9,Q$6*$AF62*$AB62,$AE$7=$AG$9,Q$6*$AG62*$AB62)</f>
        <v>-65008.532542774941</v>
      </c>
      <c r="R62" s="190" cm="1">
        <f t="array" ref="R62">_xlfn.IFS($AE$7=$AE$9,R$6*$AE62*$AB62,$AE$7=$AF$9,R$6*$AF62*$AB62,$AE$7=$AG$9,R$6*$AG62*$AB62)</f>
        <v>-65008.532542774934</v>
      </c>
      <c r="S62" s="190" cm="1">
        <f t="array" ref="S62">_xlfn.IFS($AE$7=$AE$9,S$6*$AE62*$AB62,$AE$7=$AF$9,S$6*$AF62*$AB62,$AE$7=$AG$9,S$6*$AG62*$AB62)</f>
        <v>-65008.532542774941</v>
      </c>
      <c r="T62" s="190" cm="1">
        <f t="array" ref="T62">_xlfn.IFS($AE$7=$AE$9,T$6*$AE62*$AB62,$AE$7=$AF$9,T$6*$AF62*$AB62,$AE$7=$AG$9,T$6*$AG62*$AB62)</f>
        <v>-65008.532542774934</v>
      </c>
      <c r="U62" s="190" cm="1">
        <f t="array" ref="U62">_xlfn.IFS($AE$7=$AE$9,U$6*$AE62*$AB62,$AE$7=$AF$9,U$6*$AF62*$AB62,$AE$7=$AG$9,U$6*$AG62*$AB62)</f>
        <v>-65008.532542774941</v>
      </c>
      <c r="V62" s="190" cm="1">
        <f t="array" ref="V62">_xlfn.IFS($AE$7=$AE$9,V$6*$AE62*$AB62,$AE$7=$AF$9,V$6*$AF62*$AB62,$AE$7=$AG$9,V$6*$AG62*$AB62)</f>
        <v>-65008.532542774941</v>
      </c>
      <c r="W62" s="190" cm="1">
        <f t="array" ref="W62">_xlfn.IFS($AE$7=$AE$9,W$6*$AE62*$AB62,$AE$7=$AF$9,W$6*$AF62*$AB62,$AE$7=$AG$9,W$6*$AG62*$AB62)</f>
        <v>-65008.532542774941</v>
      </c>
      <c r="X62" s="190" cm="1">
        <f t="array" ref="X62">_xlfn.IFS($AE$7=$AE$9,X$6*$AE62*$AB62,$AE$7=$AF$9,X$6*$AF62*$AB62,$AE$7=$AG$9,X$6*$AG62*$AB62)</f>
        <v>-65008.532542774941</v>
      </c>
      <c r="Y62" s="190" cm="1">
        <f t="array" ref="Y62">_xlfn.IFS($AE$7=$AE$9,Y$6*$AE62*$AB62,$AE$7=$AF$9,Y$6*$AF62*$AB62,$AE$7=$AG$9,Y$6*$AG62*$AB62)</f>
        <v>-65008.532542774941</v>
      </c>
      <c r="Z62" s="190" cm="1">
        <f t="array" ref="Z62">_xlfn.IFS($AE$7=$AE$9,Z$6*$AE62*$AB62,$AE$7=$AF$9,Z$6*$AF62*$AB62,$AE$7=$AG$9,Z$6*$AG62*$AB62)</f>
        <v>-65008.532542774941</v>
      </c>
      <c r="AA62" s="190"/>
      <c r="AB62" s="188">
        <f>AD62/SUM($AD$62)</f>
        <v>1</v>
      </c>
      <c r="AC62" s="184" t="str">
        <f>+A62&amp;"-"&amp;B62</f>
        <v>130-7020</v>
      </c>
      <c r="AD62" s="212">
        <v>48507.21</v>
      </c>
      <c r="AE62" s="218">
        <f t="shared" ref="AE62:AG62" si="29">AE$10</f>
        <v>0.5714285714285714</v>
      </c>
      <c r="AF62" s="218">
        <f t="shared" si="29"/>
        <v>0.49733539497357082</v>
      </c>
      <c r="AG62" s="218">
        <f t="shared" si="29"/>
        <v>0.58916898424662745</v>
      </c>
    </row>
    <row r="63" spans="1:33" x14ac:dyDescent="0.2">
      <c r="A63" s="184">
        <v>230</v>
      </c>
      <c r="B63" s="187">
        <v>7020</v>
      </c>
      <c r="G63" s="190" cm="1">
        <f t="array" ref="G63">_xlfn.IFS($AE$7=$AE$9,G$6*$AE63*$AB63,$AE$7=$AF$9,G$6*$AF63*$AB63,$AE$7=$AG$9,G$6*$AG63*$AB63)</f>
        <v>-31568.064286882956</v>
      </c>
      <c r="H63" s="190" cm="1">
        <f t="array" ref="H63">_xlfn.IFS($AE$7=$AE$9,H$6*$AE63*$AB63,$AE$7=$AF$9,H$6*$AF63*$AB63,$AE$7=$AG$9,H$6*$AG63*$AB63)</f>
        <v>-31883.744929751785</v>
      </c>
      <c r="I63" s="190" cm="1">
        <f t="array" ref="I63">_xlfn.IFS($AE$7=$AE$9,I$6*$AE63*$AB63,$AE$7=$AF$9,I$6*$AF63*$AB63,$AE$7=$AG$9,I$6*$AG63*$AB63)</f>
        <v>-32202.582379049309</v>
      </c>
      <c r="J63" s="190" cm="1">
        <f t="array" ref="J63">_xlfn.IFS($AE$7=$AE$9,J$6*$AE63*$AB63,$AE$7=$AF$9,J$6*$AF63*$AB63,$AE$7=$AG$9,J$6*$AG63*$AB63)</f>
        <v>-32524.608202839801</v>
      </c>
      <c r="K63" s="190" cm="1">
        <f t="array" ref="K63">_xlfn.IFS($AE$7=$AE$9,K$6*$AE63*$AB63,$AE$7=$AF$9,K$6*$AF63*$AB63,$AE$7=$AG$9,K$6*$AG63*$AB63)</f>
        <v>-32849.854284868197</v>
      </c>
      <c r="L63" s="190" cm="1">
        <f t="array" ref="L63">_xlfn.IFS($AE$7=$AE$9,L$6*$AE63*$AB63,$AE$7=$AF$9,L$6*$AF63*$AB63,$AE$7=$AG$9,L$6*$AG63*$AB63)</f>
        <v>-30061.928375434938</v>
      </c>
      <c r="M63" s="190" cm="1">
        <f t="array" ref="M63">_xlfn.IFS($AE$7=$AE$9,M$6*$AE63*$AB63,$AE$7=$AF$9,M$6*$AF63*$AB63,$AE$7=$AG$9,M$6*$AG63*$AB63)</f>
        <v>-29824.583863779939</v>
      </c>
      <c r="N63" s="190" cm="1">
        <f t="array" ref="N63">_xlfn.IFS($AE$7=$AE$9,N$6*$AE63*$AB63,$AE$7=$AF$9,N$6*$AF63*$AB63,$AE$7=$AG$9,N$6*$AG63*$AB63)</f>
        <v>-39688.231991949666</v>
      </c>
      <c r="O63" s="190" cm="1">
        <f t="array" ref="O63">_xlfn.IFS($AE$7=$AE$9,O$6*$AE63*$AB63,$AE$7=$AF$9,O$6*$AF63*$AB63,$AE$7=$AG$9,O$6*$AG63*$AB63)</f>
        <v>-33191.581410388178</v>
      </c>
      <c r="P63" s="190" cm="1">
        <f t="array" ref="P63">_xlfn.IFS($AE$7=$AE$9,P$6*$AE63*$AB63,$AE$7=$AF$9,P$6*$AF63*$AB63,$AE$7=$AG$9,P$6*$AG63*$AB63)</f>
        <v>-29617.98669711667</v>
      </c>
      <c r="Q63" s="190" cm="1">
        <f t="array" ref="Q63">_xlfn.IFS($AE$7=$AE$9,Q$6*$AE63*$AB63,$AE$7=$AF$9,Q$6*$AF63*$AB63,$AE$7=$AG$9,Q$6*$AG63*$AB63)</f>
        <v>-33191.581410388178</v>
      </c>
      <c r="R63" s="190" cm="1">
        <f t="array" ref="R63">_xlfn.IFS($AE$7=$AE$9,R$6*$AE63*$AB63,$AE$7=$AF$9,R$6*$AF63*$AB63,$AE$7=$AG$9,R$6*$AG63*$AB63)</f>
        <v>-33191.581410388171</v>
      </c>
      <c r="S63" s="190" cm="1">
        <f t="array" ref="S63">_xlfn.IFS($AE$7=$AE$9,S$6*$AE63*$AB63,$AE$7=$AF$9,S$6*$AF63*$AB63,$AE$7=$AG$9,S$6*$AG63*$AB63)</f>
        <v>-33191.581410388178</v>
      </c>
      <c r="T63" s="190" cm="1">
        <f t="array" ref="T63">_xlfn.IFS($AE$7=$AE$9,T$6*$AE63*$AB63,$AE$7=$AF$9,T$6*$AF63*$AB63,$AE$7=$AG$9,T$6*$AG63*$AB63)</f>
        <v>-33191.581410388171</v>
      </c>
      <c r="U63" s="190" cm="1">
        <f t="array" ref="U63">_xlfn.IFS($AE$7=$AE$9,U$6*$AE63*$AB63,$AE$7=$AF$9,U$6*$AF63*$AB63,$AE$7=$AG$9,U$6*$AG63*$AB63)</f>
        <v>-33191.581410388178</v>
      </c>
      <c r="V63" s="190" cm="1">
        <f t="array" ref="V63">_xlfn.IFS($AE$7=$AE$9,V$6*$AE63*$AB63,$AE$7=$AF$9,V$6*$AF63*$AB63,$AE$7=$AG$9,V$6*$AG63*$AB63)</f>
        <v>-33191.581410388178</v>
      </c>
      <c r="W63" s="190" cm="1">
        <f t="array" ref="W63">_xlfn.IFS($AE$7=$AE$9,W$6*$AE63*$AB63,$AE$7=$AF$9,W$6*$AF63*$AB63,$AE$7=$AG$9,W$6*$AG63*$AB63)</f>
        <v>-33191.581410388178</v>
      </c>
      <c r="X63" s="190" cm="1">
        <f t="array" ref="X63">_xlfn.IFS($AE$7=$AE$9,X$6*$AE63*$AB63,$AE$7=$AF$9,X$6*$AF63*$AB63,$AE$7=$AG$9,X$6*$AG63*$AB63)</f>
        <v>-33191.581410388178</v>
      </c>
      <c r="Y63" s="190" cm="1">
        <f t="array" ref="Y63">_xlfn.IFS($AE$7=$AE$9,Y$6*$AE63*$AB63,$AE$7=$AF$9,Y$6*$AF63*$AB63,$AE$7=$AG$9,Y$6*$AG63*$AB63)</f>
        <v>-33191.581410388178</v>
      </c>
      <c r="Z63" s="190" cm="1">
        <f t="array" ref="Z63">_xlfn.IFS($AE$7=$AE$9,Z$6*$AE63*$AB63,$AE$7=$AF$9,Z$6*$AF63*$AB63,$AE$7=$AG$9,Z$6*$AG63*$AB63)</f>
        <v>-33191.581410388178</v>
      </c>
      <c r="AA63" s="190"/>
      <c r="AB63" s="188">
        <f>AD63/SUM($AD$63)</f>
        <v>1</v>
      </c>
      <c r="AC63" s="184" t="str">
        <f>+A63&amp;"-"&amp;B63</f>
        <v>230-7020</v>
      </c>
      <c r="AD63" s="212">
        <v>8096.17</v>
      </c>
      <c r="AE63" s="218">
        <f t="shared" ref="AE63:AG63" si="30">AE$16</f>
        <v>0.2857142857142857</v>
      </c>
      <c r="AF63" s="218">
        <f t="shared" si="30"/>
        <v>0.25392587103348579</v>
      </c>
      <c r="AG63" s="218">
        <f t="shared" si="30"/>
        <v>0.28491508483174488</v>
      </c>
    </row>
    <row r="64" spans="1:33" x14ac:dyDescent="0.2">
      <c r="A64" s="184">
        <v>330</v>
      </c>
      <c r="B64" s="187">
        <v>7020</v>
      </c>
      <c r="G64" s="190" cm="1">
        <f t="array" ref="G64">_xlfn.IFS($AE$7=$AE$9,G$6*$AE64*$AB64,$AE$7=$AF$9,G$6*$AF64*$AB64,$AE$7=$AG$9,G$6*$AG64*$AB64)</f>
        <v>-12151.819691571522</v>
      </c>
      <c r="H64" s="190" cm="1">
        <f t="array" ref="H64">_xlfn.IFS($AE$7=$AE$9,H$6*$AE64*$AB64,$AE$7=$AF$9,H$6*$AF64*$AB64,$AE$7=$AG$9,H$6*$AG64*$AB64)</f>
        <v>-12273.337888487236</v>
      </c>
      <c r="I64" s="190" cm="1">
        <f t="array" ref="I64">_xlfn.IFS($AE$7=$AE$9,I$6*$AE64*$AB64,$AE$7=$AF$9,I$6*$AF64*$AB64,$AE$7=$AG$9,I$6*$AG64*$AB64)</f>
        <v>-12396.07126737211</v>
      </c>
      <c r="J64" s="190" cm="1">
        <f t="array" ref="J64">_xlfn.IFS($AE$7=$AE$9,J$6*$AE64*$AB64,$AE$7=$AF$9,J$6*$AF64*$AB64,$AE$7=$AG$9,J$6*$AG64*$AB64)</f>
        <v>-12520.031980045831</v>
      </c>
      <c r="K64" s="190" cm="1">
        <f t="array" ref="K64">_xlfn.IFS($AE$7=$AE$9,K$6*$AE64*$AB64,$AE$7=$AF$9,K$6*$AF64*$AB64,$AE$7=$AG$9,K$6*$AG64*$AB64)</f>
        <v>-12645.23229984629</v>
      </c>
      <c r="L64" s="190" cm="1">
        <f t="array" ref="L64">_xlfn.IFS($AE$7=$AE$9,L$6*$AE64*$AB64,$AE$7=$AF$9,L$6*$AF64*$AB64,$AE$7=$AG$9,L$6*$AG64*$AB64)</f>
        <v>-11572.047303230247</v>
      </c>
      <c r="M64" s="190" cm="1">
        <f t="array" ref="M64">_xlfn.IFS($AE$7=$AE$9,M$6*$AE64*$AB64,$AE$7=$AF$9,M$6*$AF64*$AB64,$AE$7=$AG$9,M$6*$AG64*$AB64)</f>
        <v>-11480.683839059462</v>
      </c>
      <c r="N64" s="190" cm="1">
        <f t="array" ref="N64">_xlfn.IFS($AE$7=$AE$9,N$6*$AE64*$AB64,$AE$7=$AF$9,N$6*$AF64*$AB64,$AE$7=$AG$9,N$6*$AG64*$AB64)</f>
        <v>-15277.599369430762</v>
      </c>
      <c r="O64" s="190" cm="1">
        <f t="array" ref="O64">_xlfn.IFS($AE$7=$AE$9,O$6*$AE64*$AB64,$AE$7=$AF$9,O$6*$AF64*$AB64,$AE$7=$AG$9,O$6*$AG64*$AB64)</f>
        <v>-12776.776837240155</v>
      </c>
      <c r="P64" s="190" cm="1">
        <f t="array" ref="P64">_xlfn.IFS($AE$7=$AE$9,P$6*$AE64*$AB64,$AE$7=$AF$9,P$6*$AF64*$AB64,$AE$7=$AG$9,P$6*$AG64*$AB64)</f>
        <v>-11401.156266660138</v>
      </c>
      <c r="Q64" s="190" cm="1">
        <f t="array" ref="Q64">_xlfn.IFS($AE$7=$AE$9,Q$6*$AE64*$AB64,$AE$7=$AF$9,Q$6*$AF64*$AB64,$AE$7=$AG$9,Q$6*$AG64*$AB64)</f>
        <v>-12776.776837240155</v>
      </c>
      <c r="R64" s="190" cm="1">
        <f t="array" ref="R64">_xlfn.IFS($AE$7=$AE$9,R$6*$AE64*$AB64,$AE$7=$AF$9,R$6*$AF64*$AB64,$AE$7=$AG$9,R$6*$AG64*$AB64)</f>
        <v>-12776.776837240153</v>
      </c>
      <c r="S64" s="190" cm="1">
        <f t="array" ref="S64">_xlfn.IFS($AE$7=$AE$9,S$6*$AE64*$AB64,$AE$7=$AF$9,S$6*$AF64*$AB64,$AE$7=$AG$9,S$6*$AG64*$AB64)</f>
        <v>-12776.776837240155</v>
      </c>
      <c r="T64" s="190" cm="1">
        <f t="array" ref="T64">_xlfn.IFS($AE$7=$AE$9,T$6*$AE64*$AB64,$AE$7=$AF$9,T$6*$AF64*$AB64,$AE$7=$AG$9,T$6*$AG64*$AB64)</f>
        <v>-12776.776837240153</v>
      </c>
      <c r="U64" s="190" cm="1">
        <f t="array" ref="U64">_xlfn.IFS($AE$7=$AE$9,U$6*$AE64*$AB64,$AE$7=$AF$9,U$6*$AF64*$AB64,$AE$7=$AG$9,U$6*$AG64*$AB64)</f>
        <v>-12776.776837240155</v>
      </c>
      <c r="V64" s="190" cm="1">
        <f t="array" ref="V64">_xlfn.IFS($AE$7=$AE$9,V$6*$AE64*$AB64,$AE$7=$AF$9,V$6*$AF64*$AB64,$AE$7=$AG$9,V$6*$AG64*$AB64)</f>
        <v>-12776.776837240155</v>
      </c>
      <c r="W64" s="190" cm="1">
        <f t="array" ref="W64">_xlfn.IFS($AE$7=$AE$9,W$6*$AE64*$AB64,$AE$7=$AF$9,W$6*$AF64*$AB64,$AE$7=$AG$9,W$6*$AG64*$AB64)</f>
        <v>-12776.776837240155</v>
      </c>
      <c r="X64" s="190" cm="1">
        <f t="array" ref="X64">_xlfn.IFS($AE$7=$AE$9,X$6*$AE64*$AB64,$AE$7=$AF$9,X$6*$AF64*$AB64,$AE$7=$AG$9,X$6*$AG64*$AB64)</f>
        <v>-12776.776837240155</v>
      </c>
      <c r="Y64" s="190" cm="1">
        <f t="array" ref="Y64">_xlfn.IFS($AE$7=$AE$9,Y$6*$AE64*$AB64,$AE$7=$AF$9,Y$6*$AF64*$AB64,$AE$7=$AG$9,Y$6*$AG64*$AB64)</f>
        <v>-12776.776837240155</v>
      </c>
      <c r="Z64" s="190" cm="1">
        <f t="array" ref="Z64">_xlfn.IFS($AE$7=$AE$9,Z$6*$AE64*$AB64,$AE$7=$AF$9,Z$6*$AF64*$AB64,$AE$7=$AG$9,Z$6*$AG64*$AB64)</f>
        <v>-12776.776837240155</v>
      </c>
      <c r="AA64" s="190"/>
      <c r="AB64" s="188">
        <f>AD64/SUM($AD$64)</f>
        <v>1</v>
      </c>
      <c r="AC64" s="184" t="str">
        <f>+A64&amp;"-"&amp;B64</f>
        <v>330-7020</v>
      </c>
      <c r="AD64" s="212">
        <v>3529.73</v>
      </c>
      <c r="AE64" s="218">
        <f t="shared" ref="AE64:AG64" si="31">AE$22</f>
        <v>7.1428571428571425E-2</v>
      </c>
      <c r="AF64" s="218">
        <f t="shared" si="31"/>
        <v>9.7746297390375811E-2</v>
      </c>
      <c r="AG64" s="218">
        <f t="shared" si="31"/>
        <v>5.6643077787471838E-2</v>
      </c>
    </row>
    <row r="65" spans="1:33" x14ac:dyDescent="0.2">
      <c r="A65" s="184">
        <v>430</v>
      </c>
      <c r="B65" s="187">
        <v>7020</v>
      </c>
      <c r="G65" s="190" cm="1">
        <f t="array" ref="G65">_xlfn.IFS($AE$7=$AE$9,G$6*$AE65*$AB65,$AE$7=$AF$9,G$6*$AF65*$AB65,$AE$7=$AG$9,G$6*$AG65*$AB65)</f>
        <v>-18771.379718431192</v>
      </c>
      <c r="H65" s="190" cm="1">
        <f t="array" ref="H65">_xlfn.IFS($AE$7=$AE$9,H$6*$AE65*$AB65,$AE$7=$AF$9,H$6*$AF65*$AB65,$AE$7=$AG$9,H$6*$AG65*$AB65)</f>
        <v>-18959.093515615503</v>
      </c>
      <c r="I65" s="190" cm="1">
        <f t="array" ref="I65">_xlfn.IFS($AE$7=$AE$9,I$6*$AE65*$AB65,$AE$7=$AF$9,I$6*$AF65*$AB65,$AE$7=$AG$9,I$6*$AG65*$AB65)</f>
        <v>-19148.68445077166</v>
      </c>
      <c r="J65" s="190" cm="1">
        <f t="array" ref="J65">_xlfn.IFS($AE$7=$AE$9,J$6*$AE65*$AB65,$AE$7=$AF$9,J$6*$AF65*$AB65,$AE$7=$AG$9,J$6*$AG65*$AB65)</f>
        <v>-19340.171295279375</v>
      </c>
      <c r="K65" s="190" cm="1">
        <f t="array" ref="K65">_xlfn.IFS($AE$7=$AE$9,K$6*$AE65*$AB65,$AE$7=$AF$9,K$6*$AF65*$AB65,$AE$7=$AG$9,K$6*$AG65*$AB65)</f>
        <v>-19533.573008232168</v>
      </c>
      <c r="L65" s="190" cm="1">
        <f t="array" ref="L65">_xlfn.IFS($AE$7=$AE$9,L$6*$AE65*$AB65,$AE$7=$AF$9,L$6*$AF65*$AB65,$AE$7=$AG$9,L$6*$AG65*$AB65)</f>
        <v>-17875.783179966722</v>
      </c>
      <c r="M65" s="190" cm="1">
        <f t="array" ref="M65">_xlfn.IFS($AE$7=$AE$9,M$6*$AE65*$AB65,$AE$7=$AF$9,M$6*$AF65*$AB65,$AE$7=$AG$9,M$6*$AG65*$AB65)</f>
        <v>-17734.6505494743</v>
      </c>
      <c r="N65" s="190" cm="1">
        <f t="array" ref="N65">_xlfn.IFS($AE$7=$AE$9,N$6*$AE65*$AB65,$AE$7=$AF$9,N$6*$AF65*$AB65,$AE$7=$AG$9,N$6*$AG65*$AB65)</f>
        <v>-23599.890899349084</v>
      </c>
      <c r="O65" s="190" cm="1">
        <f t="array" ref="O65">_xlfn.IFS($AE$7=$AE$9,O$6*$AE65*$AB65,$AE$7=$AF$9,O$6*$AF65*$AB65,$AE$7=$AG$9,O$6*$AG65*$AB65)</f>
        <v>-19736.774876263367</v>
      </c>
      <c r="P65" s="190" cm="1">
        <f t="array" ref="P65">_xlfn.IFS($AE$7=$AE$9,P$6*$AE65*$AB65,$AE$7=$AF$9,P$6*$AF65*$AB65,$AE$7=$AG$9,P$6*$AG65*$AB65)</f>
        <v>-17611.801272782996</v>
      </c>
      <c r="Q65" s="190" cm="1">
        <f t="array" ref="Q65">_xlfn.IFS($AE$7=$AE$9,Q$6*$AE65*$AB65,$AE$7=$AF$9,Q$6*$AF65*$AB65,$AE$7=$AG$9,Q$6*$AG65*$AB65)</f>
        <v>-19736.774876263367</v>
      </c>
      <c r="R65" s="190" cm="1">
        <f t="array" ref="R65">_xlfn.IFS($AE$7=$AE$9,R$6*$AE65*$AB65,$AE$7=$AF$9,R$6*$AF65*$AB65,$AE$7=$AG$9,R$6*$AG65*$AB65)</f>
        <v>-19736.774876263364</v>
      </c>
      <c r="S65" s="190" cm="1">
        <f t="array" ref="S65">_xlfn.IFS($AE$7=$AE$9,S$6*$AE65*$AB65,$AE$7=$AF$9,S$6*$AF65*$AB65,$AE$7=$AG$9,S$6*$AG65*$AB65)</f>
        <v>-19736.774876263367</v>
      </c>
      <c r="T65" s="190" cm="1">
        <f t="array" ref="T65">_xlfn.IFS($AE$7=$AE$9,T$6*$AE65*$AB65,$AE$7=$AF$9,T$6*$AF65*$AB65,$AE$7=$AG$9,T$6*$AG65*$AB65)</f>
        <v>-19736.774876263364</v>
      </c>
      <c r="U65" s="190" cm="1">
        <f t="array" ref="U65">_xlfn.IFS($AE$7=$AE$9,U$6*$AE65*$AB65,$AE$7=$AF$9,U$6*$AF65*$AB65,$AE$7=$AG$9,U$6*$AG65*$AB65)</f>
        <v>-19736.774876263367</v>
      </c>
      <c r="V65" s="190" cm="1">
        <f t="array" ref="V65">_xlfn.IFS($AE$7=$AE$9,V$6*$AE65*$AB65,$AE$7=$AF$9,V$6*$AF65*$AB65,$AE$7=$AG$9,V$6*$AG65*$AB65)</f>
        <v>-19736.774876263367</v>
      </c>
      <c r="W65" s="190" cm="1">
        <f t="array" ref="W65">_xlfn.IFS($AE$7=$AE$9,W$6*$AE65*$AB65,$AE$7=$AF$9,W$6*$AF65*$AB65,$AE$7=$AG$9,W$6*$AG65*$AB65)</f>
        <v>-19736.774876263367</v>
      </c>
      <c r="X65" s="190" cm="1">
        <f t="array" ref="X65">_xlfn.IFS($AE$7=$AE$9,X$6*$AE65*$AB65,$AE$7=$AF$9,X$6*$AF65*$AB65,$AE$7=$AG$9,X$6*$AG65*$AB65)</f>
        <v>-19736.774876263367</v>
      </c>
      <c r="Y65" s="190" cm="1">
        <f t="array" ref="Y65">_xlfn.IFS($AE$7=$AE$9,Y$6*$AE65*$AB65,$AE$7=$AF$9,Y$6*$AF65*$AB65,$AE$7=$AG$9,Y$6*$AG65*$AB65)</f>
        <v>-19736.774876263367</v>
      </c>
      <c r="Z65" s="190" cm="1">
        <f t="array" ref="Z65">_xlfn.IFS($AE$7=$AE$9,Z$6*$AE65*$AB65,$AE$7=$AF$9,Z$6*$AF65*$AB65,$AE$7=$AG$9,Z$6*$AG65*$AB65)</f>
        <v>-19736.774876263367</v>
      </c>
      <c r="AA65" s="190"/>
      <c r="AB65" s="188">
        <f>AD65/SUM($AD$65)</f>
        <v>1</v>
      </c>
      <c r="AC65" s="184" t="str">
        <f>+A65&amp;"-"&amp;B65</f>
        <v>430-7020</v>
      </c>
      <c r="AD65" s="212">
        <v>778.63</v>
      </c>
      <c r="AE65" s="218">
        <f t="shared" ref="AE65:AG65" si="32">AE$28</f>
        <v>7.1428571428571425E-2</v>
      </c>
      <c r="AF65" s="218">
        <f t="shared" si="32"/>
        <v>0.15099243660256748</v>
      </c>
      <c r="AG65" s="218">
        <f t="shared" si="32"/>
        <v>6.9272853134155876E-2</v>
      </c>
    </row>
    <row r="66" spans="1:33" x14ac:dyDescent="0.2">
      <c r="Z66" s="184"/>
    </row>
    <row r="67" spans="1:33" x14ac:dyDescent="0.2">
      <c r="G67" s="213">
        <f>SUM(G10:G65)</f>
        <v>177599.99999999988</v>
      </c>
      <c r="H67" s="213">
        <f t="shared" ref="H67:N67" si="33">SUM(H10:H65)</f>
        <v>179375.99999999948</v>
      </c>
      <c r="I67" s="213">
        <f>SUM(I10:I65)</f>
        <v>181169.75999999957</v>
      </c>
      <c r="J67" s="213">
        <f t="shared" si="33"/>
        <v>182981.45760000055</v>
      </c>
      <c r="K67" s="213">
        <f t="shared" si="33"/>
        <v>184811.27217599942</v>
      </c>
      <c r="L67" s="213">
        <f t="shared" si="33"/>
        <v>94710.880000000165</v>
      </c>
      <c r="M67" s="213">
        <f t="shared" si="33"/>
        <v>93963.119999999981</v>
      </c>
      <c r="N67" s="213">
        <f t="shared" si="33"/>
        <v>248751.72300000003</v>
      </c>
      <c r="O67" s="213">
        <f t="shared" ref="O67:Z67" si="34">SUM(O10:O65)</f>
        <v>87546.334333333303</v>
      </c>
      <c r="P67" s="213">
        <f t="shared" si="34"/>
        <v>145355.31012161015</v>
      </c>
      <c r="Q67" s="213">
        <f t="shared" si="34"/>
        <v>139646.33433333325</v>
      </c>
      <c r="R67" s="213">
        <f t="shared" si="34"/>
        <v>165566.33433333362</v>
      </c>
      <c r="S67" s="213">
        <f t="shared" si="34"/>
        <v>216686.33433333316</v>
      </c>
      <c r="T67" s="213">
        <f t="shared" si="34"/>
        <v>187526.33433333351</v>
      </c>
      <c r="U67" s="213">
        <f t="shared" si="34"/>
        <v>148646.33433333301</v>
      </c>
      <c r="V67" s="213">
        <f t="shared" si="34"/>
        <v>134786.33433333313</v>
      </c>
      <c r="W67" s="213">
        <f t="shared" si="34"/>
        <v>114986.33433333362</v>
      </c>
      <c r="X67" s="213">
        <f t="shared" si="34"/>
        <v>114986.33433333362</v>
      </c>
      <c r="Y67" s="213">
        <f t="shared" si="34"/>
        <v>114986.33433333362</v>
      </c>
      <c r="Z67" s="213">
        <f t="shared" si="34"/>
        <v>190586.33433333319</v>
      </c>
      <c r="AA67" s="213"/>
    </row>
    <row r="68" spans="1:33" x14ac:dyDescent="0.2">
      <c r="G68" s="213">
        <f>G67-G7</f>
        <v>0</v>
      </c>
      <c r="H68" s="213">
        <f t="shared" ref="H68:N68" si="35">H67-H7</f>
        <v>-5.2386894822120667E-10</v>
      </c>
      <c r="I68" s="213">
        <f t="shared" si="35"/>
        <v>-4.6566128730773926E-10</v>
      </c>
      <c r="J68" s="213">
        <f t="shared" si="35"/>
        <v>5.2386894822120667E-10</v>
      </c>
      <c r="K68" s="213">
        <f t="shared" si="35"/>
        <v>-5.8207660913467407E-10</v>
      </c>
      <c r="L68" s="213">
        <f t="shared" si="35"/>
        <v>1.6007106751203537E-10</v>
      </c>
      <c r="M68" s="213">
        <f t="shared" si="35"/>
        <v>0</v>
      </c>
      <c r="N68" s="213">
        <f t="shared" si="35"/>
        <v>0</v>
      </c>
      <c r="O68" s="213">
        <f t="shared" ref="O68:Z68" si="36">O67-O7</f>
        <v>0</v>
      </c>
      <c r="P68" s="213">
        <f t="shared" si="36"/>
        <v>0</v>
      </c>
      <c r="Q68" s="213">
        <f t="shared" si="36"/>
        <v>0</v>
      </c>
      <c r="R68" s="213">
        <f t="shared" si="36"/>
        <v>2.6193447411060333E-10</v>
      </c>
      <c r="S68" s="213">
        <f t="shared" si="36"/>
        <v>0</v>
      </c>
      <c r="T68" s="213">
        <f t="shared" si="36"/>
        <v>0</v>
      </c>
      <c r="U68" s="213">
        <f t="shared" si="36"/>
        <v>-3.4924596548080444E-10</v>
      </c>
      <c r="V68" s="213">
        <f t="shared" si="36"/>
        <v>-2.3283064365386963E-10</v>
      </c>
      <c r="W68" s="213">
        <f t="shared" si="36"/>
        <v>2.7648638933897018E-10</v>
      </c>
      <c r="X68" s="213">
        <f t="shared" si="36"/>
        <v>2.7648638933897018E-10</v>
      </c>
      <c r="Y68" s="213">
        <f t="shared" si="36"/>
        <v>2.7648638933897018E-10</v>
      </c>
      <c r="Z68" s="213">
        <f t="shared" si="36"/>
        <v>0</v>
      </c>
      <c r="AA68" s="213"/>
    </row>
    <row r="69" spans="1:33" x14ac:dyDescent="0.2">
      <c r="AA69" s="213"/>
    </row>
    <row r="70" spans="1:33" x14ac:dyDescent="0.2">
      <c r="AA70" s="213"/>
    </row>
    <row r="71" spans="1:33" x14ac:dyDescent="0.2">
      <c r="AA71" s="213"/>
    </row>
    <row r="72" spans="1:33" x14ac:dyDescent="0.2">
      <c r="AA72" s="213"/>
    </row>
    <row r="73" spans="1:33" x14ac:dyDescent="0.2">
      <c r="AA73" s="213"/>
    </row>
    <row r="82" spans="27:27" x14ac:dyDescent="0.2">
      <c r="AA82" s="213"/>
    </row>
    <row r="83" spans="27:27" x14ac:dyDescent="0.2">
      <c r="AA83" s="213"/>
    </row>
    <row r="84" spans="27:27" x14ac:dyDescent="0.2">
      <c r="AA84" s="213"/>
    </row>
    <row r="85" spans="27:27" x14ac:dyDescent="0.2">
      <c r="AA85" s="213"/>
    </row>
    <row r="86" spans="27:27" x14ac:dyDescent="0.2">
      <c r="AA86" s="213"/>
    </row>
  </sheetData>
  <mergeCells count="1">
    <mergeCell ref="AE8:AG8"/>
  </mergeCell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55E3E-9A39-4774-9996-68BB18631BB9}">
  <sheetPr>
    <tabColor rgb="FFFFFF00"/>
  </sheetPr>
  <dimension ref="A1:AH105"/>
  <sheetViews>
    <sheetView workbookViewId="0"/>
  </sheetViews>
  <sheetFormatPr defaultColWidth="9.140625" defaultRowHeight="11.25" outlineLevelCol="1" x14ac:dyDescent="0.2"/>
  <cols>
    <col min="1" max="2" width="9.140625" style="184"/>
    <col min="3" max="6" width="9.140625" style="184" hidden="1" customWidth="1" outlineLevel="1"/>
    <col min="7" max="7" width="9.5703125" style="184" hidden="1" customWidth="1" outlineLevel="1"/>
    <col min="8" max="8" width="9.140625" style="184" hidden="1" customWidth="1" outlineLevel="1"/>
    <col min="9" max="14" width="0" style="184" hidden="1" customWidth="1" outlineLevel="1"/>
    <col min="15" max="15" width="9.140625" style="184" collapsed="1"/>
    <col min="16" max="25" width="9.140625" style="184"/>
    <col min="26" max="26" width="9.5703125" style="212" bestFit="1" customWidth="1"/>
    <col min="27" max="27" width="9.140625" style="184"/>
    <col min="28" max="28" width="12.140625" style="188" bestFit="1" customWidth="1"/>
    <col min="29" max="29" width="9.140625" style="184" customWidth="1" outlineLevel="1"/>
    <col min="30" max="30" width="8.7109375" style="212" customWidth="1" outlineLevel="1"/>
    <col min="31" max="31" width="11.7109375" style="184" bestFit="1" customWidth="1"/>
    <col min="32" max="33" width="16.28515625" style="184" bestFit="1" customWidth="1"/>
    <col min="34" max="16384" width="9.140625" style="184"/>
  </cols>
  <sheetData>
    <row r="1" spans="1:30" s="181" customFormat="1" x14ac:dyDescent="0.2">
      <c r="B1" s="182"/>
      <c r="C1" s="183">
        <v>44652</v>
      </c>
      <c r="D1" s="183">
        <v>44682</v>
      </c>
      <c r="E1" s="183">
        <v>44713</v>
      </c>
      <c r="F1" s="183">
        <v>44743</v>
      </c>
      <c r="G1" s="183">
        <v>44774</v>
      </c>
      <c r="H1" s="183">
        <v>44805</v>
      </c>
      <c r="I1" s="183">
        <v>44835</v>
      </c>
      <c r="J1" s="183">
        <v>44866</v>
      </c>
      <c r="K1" s="183">
        <v>44896</v>
      </c>
      <c r="L1" s="183">
        <v>44927</v>
      </c>
      <c r="M1" s="183">
        <v>44958</v>
      </c>
      <c r="N1" s="183">
        <v>44986</v>
      </c>
      <c r="O1" s="183">
        <v>45017</v>
      </c>
      <c r="P1" s="183">
        <v>45047</v>
      </c>
      <c r="Q1" s="183">
        <v>45078</v>
      </c>
      <c r="R1" s="183">
        <v>45108</v>
      </c>
      <c r="S1" s="183">
        <v>45139</v>
      </c>
      <c r="T1" s="183">
        <v>45170</v>
      </c>
      <c r="U1" s="183">
        <v>45200</v>
      </c>
      <c r="V1" s="183">
        <v>45231</v>
      </c>
      <c r="W1" s="183">
        <v>45261</v>
      </c>
      <c r="X1" s="183">
        <v>45292</v>
      </c>
      <c r="Y1" s="183">
        <v>45323</v>
      </c>
      <c r="Z1" s="183">
        <v>45352</v>
      </c>
      <c r="AB1" s="191"/>
      <c r="AD1" s="217"/>
    </row>
    <row r="3" spans="1:30" x14ac:dyDescent="0.2">
      <c r="A3" s="184" t="s">
        <v>181</v>
      </c>
      <c r="C3" s="190"/>
      <c r="D3" s="190"/>
      <c r="E3" s="190"/>
      <c r="F3" s="190"/>
      <c r="G3" s="190">
        <f>+[1]Service!F4</f>
        <v>598975</v>
      </c>
      <c r="H3" s="190">
        <f>+[1]Service!G4</f>
        <v>504400</v>
      </c>
      <c r="I3" s="190">
        <f>+[1]Service!H4</f>
        <v>630500</v>
      </c>
      <c r="J3" s="190">
        <f>+[1]Service!I4</f>
        <v>630500</v>
      </c>
      <c r="K3" s="190">
        <f>+[1]Service!J4</f>
        <v>472875</v>
      </c>
      <c r="L3" s="190">
        <f>+[1]Service!K4</f>
        <v>493021</v>
      </c>
      <c r="M3" s="190">
        <f>+[1]Service!L4</f>
        <v>489898</v>
      </c>
      <c r="N3" s="190">
        <f>+[1]Service!M4</f>
        <v>655488</v>
      </c>
      <c r="O3" s="190">
        <f>+[1]Service!Q4</f>
        <v>450000.13500000001</v>
      </c>
      <c r="P3" s="190">
        <f>+[1]Service!R4</f>
        <v>551000</v>
      </c>
      <c r="Q3" s="190">
        <f>+[1]Service!S4</f>
        <v>600000</v>
      </c>
      <c r="R3" s="190">
        <f>+[1]Service!T4</f>
        <v>620000</v>
      </c>
      <c r="S3" s="190">
        <f>+[1]Service!U4</f>
        <v>576000</v>
      </c>
      <c r="T3" s="190">
        <f>+[1]Service!V4</f>
        <v>576000</v>
      </c>
      <c r="U3" s="190">
        <f>+[1]Service!W4</f>
        <v>640000</v>
      </c>
      <c r="V3" s="190">
        <f>+[1]Service!X4</f>
        <v>640000</v>
      </c>
      <c r="W3" s="190">
        <f>+[1]Service!Y4</f>
        <v>576000</v>
      </c>
      <c r="X3" s="190">
        <f>+[1]Service!Z4</f>
        <v>576000</v>
      </c>
      <c r="Y3" s="190">
        <f>+[1]Service!AA4</f>
        <v>576032</v>
      </c>
      <c r="Z3" s="190">
        <f>+[1]Service!AB4</f>
        <v>704000</v>
      </c>
    </row>
    <row r="4" spans="1:30" x14ac:dyDescent="0.2">
      <c r="A4" s="184" t="s">
        <v>182</v>
      </c>
      <c r="C4" s="190"/>
      <c r="D4" s="190"/>
      <c r="E4" s="190"/>
      <c r="F4" s="190"/>
      <c r="G4" s="190">
        <f>G5-G3</f>
        <v>-209641.25</v>
      </c>
      <c r="H4" s="190">
        <f t="shared" ref="H4:N4" si="0">H5-H3</f>
        <v>-171496</v>
      </c>
      <c r="I4" s="190">
        <f t="shared" si="0"/>
        <v>-206804</v>
      </c>
      <c r="J4" s="190">
        <f t="shared" si="0"/>
        <v>-206804</v>
      </c>
      <c r="K4" s="190">
        <f t="shared" si="0"/>
        <v>-155103</v>
      </c>
      <c r="L4" s="190">
        <f t="shared" si="0"/>
        <v>-133115.66999999998</v>
      </c>
      <c r="M4" s="190">
        <f t="shared" si="0"/>
        <v>-146969.40000000002</v>
      </c>
      <c r="N4" s="190">
        <f t="shared" si="0"/>
        <v>-201234.81600000005</v>
      </c>
      <c r="O4" s="190">
        <f t="shared" ref="O4:Z4" si="1">O5-O3</f>
        <v>-131550.03946500004</v>
      </c>
      <c r="P4" s="190">
        <f t="shared" si="1"/>
        <v>-161075.66666666674</v>
      </c>
      <c r="Q4" s="190">
        <f t="shared" si="1"/>
        <v>-175400.00000000006</v>
      </c>
      <c r="R4" s="190">
        <f t="shared" si="1"/>
        <v>-181246.66666666674</v>
      </c>
      <c r="S4" s="190">
        <f t="shared" si="1"/>
        <v>-168384.00000000006</v>
      </c>
      <c r="T4" s="190">
        <f t="shared" si="1"/>
        <v>-168384.00000000006</v>
      </c>
      <c r="U4" s="190">
        <f t="shared" si="1"/>
        <v>-187093.33333333343</v>
      </c>
      <c r="V4" s="190">
        <f t="shared" si="1"/>
        <v>-187093.33333333343</v>
      </c>
      <c r="W4" s="190">
        <f t="shared" si="1"/>
        <v>-168384.00000000006</v>
      </c>
      <c r="X4" s="190">
        <f t="shared" si="1"/>
        <v>-168384.00000000006</v>
      </c>
      <c r="Y4" s="190">
        <f t="shared" si="1"/>
        <v>-168393.35466666671</v>
      </c>
      <c r="Z4" s="190">
        <f t="shared" si="1"/>
        <v>-205802.66666666674</v>
      </c>
    </row>
    <row r="5" spans="1:30" x14ac:dyDescent="0.2">
      <c r="A5" s="184" t="s">
        <v>183</v>
      </c>
      <c r="C5" s="190"/>
      <c r="D5" s="190"/>
      <c r="E5" s="190"/>
      <c r="F5" s="190"/>
      <c r="G5" s="190">
        <f>+G3*[1]Service!F$8</f>
        <v>389333.75</v>
      </c>
      <c r="H5" s="190">
        <f>+H3*[1]Service!G$8</f>
        <v>332904</v>
      </c>
      <c r="I5" s="190">
        <f>+I3*[1]Service!H$8</f>
        <v>423696</v>
      </c>
      <c r="J5" s="190">
        <f>+J3*[1]Service!I$8</f>
        <v>423696</v>
      </c>
      <c r="K5" s="190">
        <f>+K3*[1]Service!J$8</f>
        <v>317772</v>
      </c>
      <c r="L5" s="190">
        <f>+L3*[1]Service!K$8</f>
        <v>359905.33</v>
      </c>
      <c r="M5" s="190">
        <f>+M3*[1]Service!L$8</f>
        <v>342928.6</v>
      </c>
      <c r="N5" s="190">
        <f>+N3*[1]Service!M$8</f>
        <v>454253.18399999995</v>
      </c>
      <c r="O5" s="190">
        <f>+O3*[1]Service!Q$8</f>
        <v>318450.09553499997</v>
      </c>
      <c r="P5" s="190">
        <f>+P3*[1]Service!R$8</f>
        <v>389924.33333333326</v>
      </c>
      <c r="Q5" s="190">
        <f>+Q3*[1]Service!S$8</f>
        <v>424599.99999999994</v>
      </c>
      <c r="R5" s="190">
        <f>+R3*[1]Service!T$8</f>
        <v>438753.33333333326</v>
      </c>
      <c r="S5" s="190">
        <f>+S3*[1]Service!U$8</f>
        <v>407615.99999999994</v>
      </c>
      <c r="T5" s="190">
        <f>+T3*[1]Service!V$8</f>
        <v>407615.99999999994</v>
      </c>
      <c r="U5" s="190">
        <f>+U3*[1]Service!W$8</f>
        <v>452906.66666666657</v>
      </c>
      <c r="V5" s="190">
        <f>+V3*[1]Service!X$8</f>
        <v>452906.66666666657</v>
      </c>
      <c r="W5" s="190">
        <f>+W3*[1]Service!Y$8</f>
        <v>407615.99999999994</v>
      </c>
      <c r="X5" s="190">
        <f>+X3*[1]Service!Z$8</f>
        <v>407615.99999999994</v>
      </c>
      <c r="Y5" s="190">
        <f>+Y3*[1]Service!AA$8</f>
        <v>407638.64533333329</v>
      </c>
      <c r="Z5" s="190">
        <f>+Z3*[1]Service!AB$8</f>
        <v>498197.33333333326</v>
      </c>
    </row>
    <row r="6" spans="1:30" x14ac:dyDescent="0.2">
      <c r="C6" s="190"/>
      <c r="D6" s="190"/>
      <c r="E6" s="190"/>
      <c r="F6" s="190"/>
      <c r="G6" s="188">
        <f>+G5/G3</f>
        <v>0.65</v>
      </c>
      <c r="H6" s="188">
        <f t="shared" ref="H6:N6" si="2">+H5/H3</f>
        <v>0.66</v>
      </c>
      <c r="I6" s="188">
        <f t="shared" si="2"/>
        <v>0.67200000000000004</v>
      </c>
      <c r="J6" s="188">
        <f t="shared" si="2"/>
        <v>0.67200000000000004</v>
      </c>
      <c r="K6" s="188">
        <f t="shared" si="2"/>
        <v>0.67200000000000004</v>
      </c>
      <c r="L6" s="188">
        <f t="shared" si="2"/>
        <v>0.73</v>
      </c>
      <c r="M6" s="188">
        <f t="shared" si="2"/>
        <v>0.7</v>
      </c>
      <c r="N6" s="188">
        <f t="shared" si="2"/>
        <v>0.69299999999999995</v>
      </c>
      <c r="O6" s="188">
        <f t="shared" ref="O6:Z6" si="3">+O5/O3</f>
        <v>0.70766666666666656</v>
      </c>
      <c r="P6" s="188">
        <f t="shared" si="3"/>
        <v>0.70766666666666656</v>
      </c>
      <c r="Q6" s="188">
        <f t="shared" si="3"/>
        <v>0.70766666666666656</v>
      </c>
      <c r="R6" s="188">
        <f t="shared" si="3"/>
        <v>0.70766666666666656</v>
      </c>
      <c r="S6" s="188">
        <f t="shared" si="3"/>
        <v>0.70766666666666656</v>
      </c>
      <c r="T6" s="188">
        <f t="shared" si="3"/>
        <v>0.70766666666666656</v>
      </c>
      <c r="U6" s="188">
        <f t="shared" si="3"/>
        <v>0.70766666666666656</v>
      </c>
      <c r="V6" s="188">
        <f t="shared" si="3"/>
        <v>0.70766666666666656</v>
      </c>
      <c r="W6" s="188">
        <f t="shared" si="3"/>
        <v>0.70766666666666656</v>
      </c>
      <c r="X6" s="188">
        <f t="shared" si="3"/>
        <v>0.70766666666666656</v>
      </c>
      <c r="Y6" s="188">
        <f t="shared" si="3"/>
        <v>0.70766666666666656</v>
      </c>
      <c r="Z6" s="188">
        <f t="shared" si="3"/>
        <v>0.70766666666666656</v>
      </c>
    </row>
    <row r="7" spans="1:30" x14ac:dyDescent="0.2"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</row>
    <row r="8" spans="1:30" x14ac:dyDescent="0.2">
      <c r="A8" s="184" t="s">
        <v>184</v>
      </c>
      <c r="G8" s="190">
        <f>+[1]Service!F5</f>
        <v>256500</v>
      </c>
      <c r="H8" s="190">
        <f>+[1]Service!G5</f>
        <v>216000</v>
      </c>
      <c r="I8" s="190">
        <f>+[1]Service!H5</f>
        <v>270000</v>
      </c>
      <c r="J8" s="190">
        <f>+[1]Service!I5</f>
        <v>270000</v>
      </c>
      <c r="K8" s="190">
        <f>+[1]Service!J5</f>
        <v>202500</v>
      </c>
      <c r="L8" s="190">
        <f>+[1]Service!K5</f>
        <v>227528</v>
      </c>
      <c r="M8" s="190">
        <f>+[1]Service!L5</f>
        <v>236009</v>
      </c>
      <c r="N8" s="190">
        <f>+[1]Service!M5</f>
        <v>295799</v>
      </c>
      <c r="O8" s="190">
        <f>+[1]Service!Q5</f>
        <v>186923.133</v>
      </c>
      <c r="P8" s="190">
        <f>+[1]Service!R5</f>
        <v>270000</v>
      </c>
      <c r="Q8" s="190">
        <f>+[1]Service!S5</f>
        <v>270000</v>
      </c>
      <c r="R8" s="190">
        <f>+[1]Service!T5</f>
        <v>270000</v>
      </c>
      <c r="S8" s="190">
        <f>+[1]Service!U5</f>
        <v>243000</v>
      </c>
      <c r="T8" s="190">
        <f>+[1]Service!V5</f>
        <v>243000</v>
      </c>
      <c r="U8" s="190">
        <f>+[1]Service!W5</f>
        <v>270000</v>
      </c>
      <c r="V8" s="190">
        <f>+[1]Service!X5</f>
        <v>270000</v>
      </c>
      <c r="W8" s="190">
        <f>+[1]Service!Y5</f>
        <v>229500</v>
      </c>
      <c r="X8" s="190">
        <f>+[1]Service!Z5</f>
        <v>229500</v>
      </c>
      <c r="Y8" s="190">
        <f>+[1]Service!AA5</f>
        <v>256500</v>
      </c>
      <c r="Z8" s="190">
        <f>+[1]Service!AB5</f>
        <v>270000</v>
      </c>
    </row>
    <row r="9" spans="1:30" x14ac:dyDescent="0.2">
      <c r="A9" s="184" t="s">
        <v>185</v>
      </c>
      <c r="G9" s="190">
        <f>G10-G8</f>
        <v>-123994</v>
      </c>
      <c r="H9" s="190">
        <f t="shared" ref="H9:N9" si="4">H10-H8</f>
        <v>-100815.20000000001</v>
      </c>
      <c r="I9" s="190">
        <f t="shared" si="4"/>
        <v>-126381</v>
      </c>
      <c r="J9" s="190">
        <f t="shared" si="4"/>
        <v>-126381</v>
      </c>
      <c r="K9" s="190">
        <f t="shared" si="4"/>
        <v>-94785.75</v>
      </c>
      <c r="L9" s="190">
        <f t="shared" si="4"/>
        <v>-148618.989</v>
      </c>
      <c r="M9" s="190">
        <f t="shared" si="4"/>
        <v>-131052.98099999997</v>
      </c>
      <c r="N9" s="190">
        <f t="shared" si="4"/>
        <v>-154546.52199999994</v>
      </c>
      <c r="O9" s="190">
        <f t="shared" ref="O9:Z9" si="5">O10-O8</f>
        <v>-112179.26442299996</v>
      </c>
      <c r="P9" s="190">
        <f t="shared" si="5"/>
        <v>-153093.66666666663</v>
      </c>
      <c r="Q9" s="190">
        <f t="shared" si="5"/>
        <v>-157519.99999999994</v>
      </c>
      <c r="R9" s="190">
        <f t="shared" si="5"/>
        <v>-159326.66666666663</v>
      </c>
      <c r="S9" s="190">
        <f t="shared" si="5"/>
        <v>-145020</v>
      </c>
      <c r="T9" s="190">
        <f t="shared" si="5"/>
        <v>-145020</v>
      </c>
      <c r="U9" s="190">
        <f t="shared" si="5"/>
        <v>-161133.33333333331</v>
      </c>
      <c r="V9" s="190">
        <f t="shared" si="5"/>
        <v>-161133.33333333331</v>
      </c>
      <c r="W9" s="190">
        <f t="shared" si="5"/>
        <v>-139854</v>
      </c>
      <c r="X9" s="190">
        <f t="shared" si="5"/>
        <v>-139854</v>
      </c>
      <c r="Y9" s="190">
        <f t="shared" si="5"/>
        <v>-150188.89066666667</v>
      </c>
      <c r="Z9" s="190">
        <f t="shared" si="5"/>
        <v>-166914.66666666663</v>
      </c>
    </row>
    <row r="10" spans="1:30" x14ac:dyDescent="0.2">
      <c r="A10" s="184" t="s">
        <v>186</v>
      </c>
      <c r="G10" s="190">
        <f>+G14-G5</f>
        <v>132506</v>
      </c>
      <c r="H10" s="190">
        <f t="shared" ref="H10:N10" si="6">+H14-H5</f>
        <v>115184.79999999999</v>
      </c>
      <c r="I10" s="190">
        <f t="shared" si="6"/>
        <v>143619</v>
      </c>
      <c r="J10" s="190">
        <f t="shared" si="6"/>
        <v>143619</v>
      </c>
      <c r="K10" s="190">
        <f t="shared" si="6"/>
        <v>107714.25</v>
      </c>
      <c r="L10" s="190">
        <f t="shared" si="6"/>
        <v>78909.010999999999</v>
      </c>
      <c r="M10" s="190">
        <f t="shared" si="6"/>
        <v>104956.01900000003</v>
      </c>
      <c r="N10" s="190">
        <f t="shared" si="6"/>
        <v>141252.47800000006</v>
      </c>
      <c r="O10" s="190">
        <f t="shared" ref="O10:Z10" si="7">+O14-O5</f>
        <v>74743.868577000045</v>
      </c>
      <c r="P10" s="190">
        <f t="shared" si="7"/>
        <v>116906.33333333337</v>
      </c>
      <c r="Q10" s="190">
        <f t="shared" si="7"/>
        <v>112480.00000000006</v>
      </c>
      <c r="R10" s="190">
        <f t="shared" si="7"/>
        <v>110673.33333333337</v>
      </c>
      <c r="S10" s="190">
        <f t="shared" si="7"/>
        <v>97980</v>
      </c>
      <c r="T10" s="190">
        <f t="shared" si="7"/>
        <v>97980</v>
      </c>
      <c r="U10" s="190">
        <f t="shared" si="7"/>
        <v>108866.66666666669</v>
      </c>
      <c r="V10" s="190">
        <f t="shared" si="7"/>
        <v>108866.66666666669</v>
      </c>
      <c r="W10" s="190">
        <f t="shared" si="7"/>
        <v>89646</v>
      </c>
      <c r="X10" s="190">
        <f t="shared" si="7"/>
        <v>89646</v>
      </c>
      <c r="Y10" s="190">
        <f t="shared" si="7"/>
        <v>106311.10933333333</v>
      </c>
      <c r="Z10" s="190">
        <f t="shared" si="7"/>
        <v>103085.33333333337</v>
      </c>
    </row>
    <row r="11" spans="1:30" x14ac:dyDescent="0.2">
      <c r="G11" s="188">
        <f>+G10/G8</f>
        <v>0.5165925925925926</v>
      </c>
      <c r="H11" s="188">
        <f t="shared" ref="H11:N11" si="8">+H10/H8</f>
        <v>0.53326296296296294</v>
      </c>
      <c r="I11" s="188">
        <f t="shared" si="8"/>
        <v>0.53192222222222219</v>
      </c>
      <c r="J11" s="188">
        <f t="shared" si="8"/>
        <v>0.53192222222222219</v>
      </c>
      <c r="K11" s="188">
        <f t="shared" si="8"/>
        <v>0.53192222222222219</v>
      </c>
      <c r="L11" s="188">
        <f t="shared" si="8"/>
        <v>0.34681011128300693</v>
      </c>
      <c r="M11" s="188">
        <f t="shared" si="8"/>
        <v>0.44471193471435422</v>
      </c>
      <c r="N11" s="188">
        <f t="shared" si="8"/>
        <v>0.47752858528933517</v>
      </c>
      <c r="O11" s="188">
        <f t="shared" ref="O11:Z11" si="9">+O10/O8</f>
        <v>0.39986419753086444</v>
      </c>
      <c r="P11" s="188">
        <f t="shared" si="9"/>
        <v>0.43298641975308655</v>
      </c>
      <c r="Q11" s="188">
        <f t="shared" si="9"/>
        <v>0.41659259259259279</v>
      </c>
      <c r="R11" s="188">
        <f t="shared" si="9"/>
        <v>0.4099012345679014</v>
      </c>
      <c r="S11" s="188">
        <f t="shared" si="9"/>
        <v>0.40320987654320989</v>
      </c>
      <c r="T11" s="188">
        <f t="shared" si="9"/>
        <v>0.40320987654320989</v>
      </c>
      <c r="U11" s="188">
        <f t="shared" si="9"/>
        <v>0.40320987654320994</v>
      </c>
      <c r="V11" s="188">
        <f t="shared" si="9"/>
        <v>0.40320987654320994</v>
      </c>
      <c r="W11" s="188">
        <f t="shared" si="9"/>
        <v>0.39061437908496732</v>
      </c>
      <c r="X11" s="188">
        <f t="shared" si="9"/>
        <v>0.39061437908496732</v>
      </c>
      <c r="Y11" s="188">
        <f t="shared" si="9"/>
        <v>0.41446826250812213</v>
      </c>
      <c r="Z11" s="188">
        <f t="shared" si="9"/>
        <v>0.38179753086419765</v>
      </c>
    </row>
    <row r="12" spans="1:30" x14ac:dyDescent="0.2"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</row>
    <row r="13" spans="1:30" x14ac:dyDescent="0.2">
      <c r="A13" s="184" t="s">
        <v>187</v>
      </c>
      <c r="G13" s="190">
        <f>+G3+G8</f>
        <v>855475</v>
      </c>
      <c r="H13" s="190">
        <f t="shared" ref="H13:N13" si="10">+H3+H8</f>
        <v>720400</v>
      </c>
      <c r="I13" s="190">
        <f t="shared" si="10"/>
        <v>900500</v>
      </c>
      <c r="J13" s="190">
        <f t="shared" si="10"/>
        <v>900500</v>
      </c>
      <c r="K13" s="190">
        <f t="shared" si="10"/>
        <v>675375</v>
      </c>
      <c r="L13" s="190">
        <f t="shared" si="10"/>
        <v>720549</v>
      </c>
      <c r="M13" s="190">
        <f t="shared" si="10"/>
        <v>725907</v>
      </c>
      <c r="N13" s="190">
        <f t="shared" si="10"/>
        <v>951287</v>
      </c>
      <c r="O13" s="190">
        <f t="shared" ref="O13:Z13" si="11">+O3+O8</f>
        <v>636923.26800000004</v>
      </c>
      <c r="P13" s="190">
        <f t="shared" si="11"/>
        <v>821000</v>
      </c>
      <c r="Q13" s="190">
        <f t="shared" si="11"/>
        <v>870000</v>
      </c>
      <c r="R13" s="190">
        <f t="shared" si="11"/>
        <v>890000</v>
      </c>
      <c r="S13" s="190">
        <f t="shared" si="11"/>
        <v>819000</v>
      </c>
      <c r="T13" s="190">
        <f t="shared" si="11"/>
        <v>819000</v>
      </c>
      <c r="U13" s="190">
        <f t="shared" si="11"/>
        <v>910000</v>
      </c>
      <c r="V13" s="190">
        <f t="shared" si="11"/>
        <v>910000</v>
      </c>
      <c r="W13" s="190">
        <f t="shared" si="11"/>
        <v>805500</v>
      </c>
      <c r="X13" s="190">
        <f t="shared" si="11"/>
        <v>805500</v>
      </c>
      <c r="Y13" s="190">
        <f t="shared" si="11"/>
        <v>832532</v>
      </c>
      <c r="Z13" s="190">
        <f t="shared" si="11"/>
        <v>974000</v>
      </c>
    </row>
    <row r="14" spans="1:30" x14ac:dyDescent="0.2">
      <c r="A14" s="184" t="s">
        <v>164</v>
      </c>
      <c r="G14" s="190">
        <f>+G13*[1]Service!F$9</f>
        <v>521839.75</v>
      </c>
      <c r="H14" s="190">
        <f>+H13*[1]Service!G$9</f>
        <v>448088.8</v>
      </c>
      <c r="I14" s="190">
        <f>+I13*[1]Service!H$9</f>
        <v>567315</v>
      </c>
      <c r="J14" s="190">
        <f>+J13*[1]Service!I$9</f>
        <v>567315</v>
      </c>
      <c r="K14" s="190">
        <f>+K13*[1]Service!J$9</f>
        <v>425486.25</v>
      </c>
      <c r="L14" s="190">
        <f>+L13*[1]Service!K$9</f>
        <v>438814.34100000001</v>
      </c>
      <c r="M14" s="190">
        <f>+M13*[1]Service!L$9</f>
        <v>447884.61900000001</v>
      </c>
      <c r="N14" s="190">
        <f>+N13*[1]Service!M$9</f>
        <v>595505.66200000001</v>
      </c>
      <c r="O14" s="190">
        <f>+O13*[1]Service!Q$9</f>
        <v>393193.96411200002</v>
      </c>
      <c r="P14" s="190">
        <f>+P13*[1]Service!R$9</f>
        <v>506830.66666666663</v>
      </c>
      <c r="Q14" s="190">
        <f>+Q13*[1]Service!S$9</f>
        <v>537080</v>
      </c>
      <c r="R14" s="190">
        <f>+R13*[1]Service!T$9</f>
        <v>549426.66666666663</v>
      </c>
      <c r="S14" s="190">
        <f>+S13*[1]Service!U$9</f>
        <v>505595.99999999994</v>
      </c>
      <c r="T14" s="190">
        <f>+T13*[1]Service!V$9</f>
        <v>505595.99999999994</v>
      </c>
      <c r="U14" s="190">
        <f>+U13*[1]Service!W$9</f>
        <v>561773.33333333326</v>
      </c>
      <c r="V14" s="190">
        <f>+V13*[1]Service!X$9</f>
        <v>561773.33333333326</v>
      </c>
      <c r="W14" s="190">
        <f>+W13*[1]Service!Y$9</f>
        <v>497261.99999999994</v>
      </c>
      <c r="X14" s="190">
        <f>+X13*[1]Service!Z$9</f>
        <v>497261.99999999994</v>
      </c>
      <c r="Y14" s="190">
        <f>+Y13*[1]Service!AA$9</f>
        <v>513949.75466666662</v>
      </c>
      <c r="Z14" s="190">
        <f>+Z13*[1]Service!AB$9</f>
        <v>601282.66666666663</v>
      </c>
    </row>
    <row r="15" spans="1:30" x14ac:dyDescent="0.2">
      <c r="G15" s="188">
        <f>+G14/G13</f>
        <v>0.61</v>
      </c>
      <c r="H15" s="188">
        <f t="shared" ref="H15:N15" si="12">+H14/H13</f>
        <v>0.622</v>
      </c>
      <c r="I15" s="188">
        <f t="shared" si="12"/>
        <v>0.63</v>
      </c>
      <c r="J15" s="188">
        <f t="shared" si="12"/>
        <v>0.63</v>
      </c>
      <c r="K15" s="188">
        <f t="shared" si="12"/>
        <v>0.63</v>
      </c>
      <c r="L15" s="188">
        <f t="shared" si="12"/>
        <v>0.60899999999999999</v>
      </c>
      <c r="M15" s="188">
        <f t="shared" si="12"/>
        <v>0.61699999999999999</v>
      </c>
      <c r="N15" s="188">
        <f t="shared" si="12"/>
        <v>0.626</v>
      </c>
      <c r="O15" s="188">
        <f t="shared" ref="O15:Z15" si="13">+O14/O13</f>
        <v>0.61733333333333329</v>
      </c>
      <c r="P15" s="188">
        <f t="shared" si="13"/>
        <v>0.61733333333333329</v>
      </c>
      <c r="Q15" s="188">
        <f t="shared" si="13"/>
        <v>0.61733333333333329</v>
      </c>
      <c r="R15" s="188">
        <f t="shared" si="13"/>
        <v>0.61733333333333329</v>
      </c>
      <c r="S15" s="188">
        <f t="shared" si="13"/>
        <v>0.61733333333333329</v>
      </c>
      <c r="T15" s="188">
        <f t="shared" si="13"/>
        <v>0.61733333333333329</v>
      </c>
      <c r="U15" s="188">
        <f t="shared" si="13"/>
        <v>0.61733333333333329</v>
      </c>
      <c r="V15" s="188">
        <f t="shared" si="13"/>
        <v>0.61733333333333329</v>
      </c>
      <c r="W15" s="188">
        <f t="shared" si="13"/>
        <v>0.61733333333333329</v>
      </c>
      <c r="X15" s="188">
        <f t="shared" si="13"/>
        <v>0.61733333333333329</v>
      </c>
      <c r="Y15" s="188">
        <f t="shared" si="13"/>
        <v>0.61733333333333329</v>
      </c>
      <c r="Z15" s="188">
        <f t="shared" si="13"/>
        <v>0.61733333333333329</v>
      </c>
    </row>
    <row r="16" spans="1:30" x14ac:dyDescent="0.2">
      <c r="G16" s="188"/>
      <c r="H16" s="188"/>
      <c r="I16" s="188"/>
      <c r="J16" s="188"/>
      <c r="K16" s="188"/>
      <c r="L16" s="188"/>
      <c r="M16" s="188"/>
      <c r="N16" s="188"/>
      <c r="O16" s="188"/>
      <c r="P16" s="188"/>
      <c r="Q16" s="188"/>
      <c r="R16" s="188"/>
      <c r="S16" s="188"/>
      <c r="T16" s="188"/>
      <c r="U16" s="188"/>
      <c r="V16" s="188"/>
      <c r="W16" s="188"/>
      <c r="X16" s="188"/>
      <c r="Y16" s="188"/>
      <c r="Z16" s="188"/>
    </row>
    <row r="17" spans="1:34" x14ac:dyDescent="0.2">
      <c r="A17" s="184" t="s">
        <v>154</v>
      </c>
      <c r="G17" s="190">
        <f>-[1]Service!F$17</f>
        <v>-350744.75</v>
      </c>
      <c r="H17" s="190">
        <f>-[1]Service!G$17</f>
        <v>-290364</v>
      </c>
      <c r="I17" s="190">
        <f>-[1]Service!H$17</f>
        <v>-359205</v>
      </c>
      <c r="J17" s="190">
        <f>-[1]Service!I$17</f>
        <v>-354205</v>
      </c>
      <c r="K17" s="190">
        <f>-[1]Service!J$17</f>
        <v>-256903.75</v>
      </c>
      <c r="L17" s="190">
        <f>-[1]Service!K$17</f>
        <v>-265882.58100000001</v>
      </c>
      <c r="M17" s="190">
        <f>-[1]Service!L$17</f>
        <v>-267133.77600000001</v>
      </c>
      <c r="N17" s="190">
        <f>-[1]Service!M$17</f>
        <v>-350073.61599999998</v>
      </c>
      <c r="O17" s="190">
        <f>-[1]Service!Q$17</f>
        <v>-248400.07452000002</v>
      </c>
      <c r="P17" s="190">
        <f>-[1]Service!R$17</f>
        <v>-307875</v>
      </c>
      <c r="Q17" s="190">
        <f>-[1]Service!S$17</f>
        <v>-326250</v>
      </c>
      <c r="R17" s="190">
        <f>-[1]Service!T$17</f>
        <v>-333750</v>
      </c>
      <c r="S17" s="190">
        <f>-[1]Service!U$17</f>
        <v>-307125</v>
      </c>
      <c r="T17" s="190">
        <f>-[1]Service!V$17</f>
        <v>-307125</v>
      </c>
      <c r="U17" s="190">
        <f>-[1]Service!W$17</f>
        <v>-341250</v>
      </c>
      <c r="V17" s="190">
        <f>-[1]Service!X$17</f>
        <v>-341250</v>
      </c>
      <c r="W17" s="190">
        <f>-[1]Service!Y$17</f>
        <v>-302062.5</v>
      </c>
      <c r="X17" s="190">
        <f>-[1]Service!Z$17</f>
        <v>-302062.5</v>
      </c>
      <c r="Y17" s="190">
        <f>-[1]Service!AA$17</f>
        <v>-312199.5</v>
      </c>
      <c r="Z17" s="190">
        <f>-[1]Service!AB$17</f>
        <v>-365250</v>
      </c>
      <c r="AB17" s="219"/>
      <c r="AC17" s="220"/>
      <c r="AD17" s="221"/>
      <c r="AE17" s="223" t="s">
        <v>166</v>
      </c>
      <c r="AF17" s="223" t="s">
        <v>154</v>
      </c>
    </row>
    <row r="18" spans="1:34" x14ac:dyDescent="0.2">
      <c r="A18" s="184" t="s">
        <v>188</v>
      </c>
      <c r="G18" s="190"/>
      <c r="H18" s="190"/>
      <c r="I18" s="190"/>
      <c r="J18" s="190"/>
      <c r="K18" s="190"/>
      <c r="L18" s="190"/>
      <c r="M18" s="190"/>
      <c r="N18" s="190"/>
      <c r="O18" s="190">
        <f>-[2]Service!E$18</f>
        <v>0</v>
      </c>
      <c r="P18" s="190">
        <f>-[2]Service!F$18</f>
        <v>-14521.813333333334</v>
      </c>
      <c r="Q18" s="190">
        <f>-[2]Service!G$18</f>
        <v>-14521.813333333334</v>
      </c>
      <c r="R18" s="190">
        <f>-[2]Service!H$18</f>
        <v>-14521.813333333334</v>
      </c>
      <c r="S18" s="190">
        <f>-[2]Service!I$18</f>
        <v>-14521.813333333334</v>
      </c>
      <c r="T18" s="190">
        <f>-[2]Service!J$18</f>
        <v>-14521.813333333334</v>
      </c>
      <c r="U18" s="190">
        <f>-[2]Service!K$18</f>
        <v>-17849.813333333335</v>
      </c>
      <c r="V18" s="190">
        <f>-[2]Service!L$18</f>
        <v>-17849.813333333335</v>
      </c>
      <c r="W18" s="190">
        <f>-[2]Service!M$18</f>
        <v>-17849.813333333335</v>
      </c>
      <c r="X18" s="190">
        <f>-[2]Service!N$18</f>
        <v>-17849.813333333335</v>
      </c>
      <c r="Y18" s="190">
        <f>-[2]Service!O$18</f>
        <v>-17849.813333333335</v>
      </c>
      <c r="Z18" s="190">
        <f>-[2]Service!P$18</f>
        <v>-17849.813333333335</v>
      </c>
      <c r="AB18" s="219"/>
      <c r="AC18" s="220"/>
      <c r="AD18" s="221"/>
      <c r="AE18" s="223"/>
      <c r="AF18" s="223"/>
    </row>
    <row r="19" spans="1:34" x14ac:dyDescent="0.2">
      <c r="A19" s="184" t="s">
        <v>19</v>
      </c>
      <c r="G19" s="214">
        <f>G14+G17</f>
        <v>171095</v>
      </c>
      <c r="H19" s="214">
        <f t="shared" ref="H19:N19" si="14">H14+H17</f>
        <v>157724.79999999999</v>
      </c>
      <c r="I19" s="214">
        <f t="shared" si="14"/>
        <v>208110</v>
      </c>
      <c r="J19" s="214">
        <f t="shared" si="14"/>
        <v>213110</v>
      </c>
      <c r="K19" s="214">
        <f t="shared" si="14"/>
        <v>168582.5</v>
      </c>
      <c r="L19" s="214">
        <f t="shared" si="14"/>
        <v>172931.76</v>
      </c>
      <c r="M19" s="214">
        <f t="shared" si="14"/>
        <v>180750.84299999999</v>
      </c>
      <c r="N19" s="214">
        <f t="shared" si="14"/>
        <v>245432.04600000003</v>
      </c>
      <c r="O19" s="214">
        <f>O14+O17+O18</f>
        <v>144793.88959199999</v>
      </c>
      <c r="P19" s="214">
        <f t="shared" ref="P19:Z19" si="15">P14+P17+P18</f>
        <v>184433.8533333333</v>
      </c>
      <c r="Q19" s="214">
        <f t="shared" si="15"/>
        <v>196308.18666666668</v>
      </c>
      <c r="R19" s="214">
        <f t="shared" si="15"/>
        <v>201154.8533333333</v>
      </c>
      <c r="S19" s="214">
        <f t="shared" si="15"/>
        <v>183949.18666666662</v>
      </c>
      <c r="T19" s="214">
        <f t="shared" si="15"/>
        <v>183949.18666666662</v>
      </c>
      <c r="U19" s="214">
        <f t="shared" si="15"/>
        <v>202673.51999999993</v>
      </c>
      <c r="V19" s="214">
        <f t="shared" si="15"/>
        <v>202673.51999999993</v>
      </c>
      <c r="W19" s="214">
        <f t="shared" si="15"/>
        <v>177349.68666666662</v>
      </c>
      <c r="X19" s="214">
        <f t="shared" si="15"/>
        <v>177349.68666666662</v>
      </c>
      <c r="Y19" s="214">
        <f t="shared" si="15"/>
        <v>183900.44133333329</v>
      </c>
      <c r="Z19" s="214">
        <f t="shared" si="15"/>
        <v>218182.8533333333</v>
      </c>
      <c r="AB19" s="222" t="s">
        <v>167</v>
      </c>
      <c r="AC19" s="220"/>
      <c r="AD19" s="221"/>
      <c r="AE19" s="220" t="str">
        <f>AF21</f>
        <v>GP Contribution</v>
      </c>
      <c r="AF19" s="233" t="str">
        <f>AG21</f>
        <v>Expenses Contribution</v>
      </c>
    </row>
    <row r="20" spans="1:34" x14ac:dyDescent="0.2">
      <c r="G20" s="190"/>
      <c r="H20" s="190"/>
      <c r="I20" s="190"/>
      <c r="J20" s="190"/>
      <c r="K20" s="190"/>
      <c r="L20" s="190"/>
      <c r="M20" s="190"/>
      <c r="N20" s="190"/>
      <c r="O20" s="190"/>
      <c r="P20" s="190"/>
      <c r="Q20" s="190"/>
      <c r="R20" s="190"/>
      <c r="S20" s="190"/>
      <c r="T20" s="190"/>
      <c r="U20" s="190"/>
      <c r="V20" s="190"/>
      <c r="W20" s="190"/>
      <c r="X20" s="190"/>
      <c r="Y20" s="190"/>
      <c r="Z20" s="190"/>
      <c r="AE20" s="325" t="s">
        <v>168</v>
      </c>
      <c r="AF20" s="325"/>
      <c r="AG20" s="325"/>
    </row>
    <row r="21" spans="1:34" x14ac:dyDescent="0.2">
      <c r="A21" s="184" t="s">
        <v>189</v>
      </c>
      <c r="Z21" s="184"/>
      <c r="AB21" s="181" t="s">
        <v>170</v>
      </c>
      <c r="AC21" s="184" t="s">
        <v>171</v>
      </c>
      <c r="AD21" s="212" t="s">
        <v>156</v>
      </c>
      <c r="AE21" s="181" t="s">
        <v>172</v>
      </c>
      <c r="AF21" s="181" t="s">
        <v>173</v>
      </c>
      <c r="AG21" s="181" t="s">
        <v>174</v>
      </c>
    </row>
    <row r="22" spans="1:34" x14ac:dyDescent="0.2">
      <c r="A22" s="184">
        <v>140</v>
      </c>
      <c r="B22" s="184" t="s">
        <v>190</v>
      </c>
      <c r="C22" s="190"/>
      <c r="D22" s="190"/>
      <c r="E22" s="190"/>
      <c r="F22" s="190"/>
      <c r="G22" s="190" cm="1">
        <f t="array" ref="G22">_xlfn.IFS($AE$19=$AE$21,+G$3*$AE22*$AB22,$AE$19=$AF$21,+G$3*$AF22*$AB22,$AE$19=$AG$21,+G$3*$AG22*$AB22)</f>
        <v>207078.17425690283</v>
      </c>
      <c r="H22" s="190" cm="1">
        <f t="array" ref="H22">_xlfn.IFS($AE$19=$AE$21,+H$3*$AE22*$AB22,$AE$19=$AF$21,+H$3*$AF22*$AB22,$AE$19=$AG$21,+H$3*$AG22*$AB22)</f>
        <v>174381.62042686556</v>
      </c>
      <c r="I22" s="190" cm="1">
        <f t="array" ref="I22">_xlfn.IFS($AE$19=$AE$21,+I$3*$AE22*$AB22,$AE$19=$AF$21,+I$3*$AF22*$AB22,$AE$19=$AG$21,+I$3*$AG22*$AB22)</f>
        <v>217977.02553358194</v>
      </c>
      <c r="J22" s="190" cm="1">
        <f t="array" ref="J22">_xlfn.IFS($AE$19=$AE$21,+J$3*$AE22*$AB22,$AE$19=$AF$21,+J$3*$AF22*$AB22,$AE$19=$AG$21,+J$3*$AG22*$AB22)</f>
        <v>217977.02553358194</v>
      </c>
      <c r="K22" s="190" cm="1">
        <f t="array" ref="K22">_xlfn.IFS($AE$19=$AE$21,+K$3*$AE22*$AB22,$AE$19=$AF$21,+K$3*$AF22*$AB22,$AE$19=$AG$21,+K$3*$AG22*$AB22)</f>
        <v>163482.76915018645</v>
      </c>
      <c r="L22" s="190" cm="1">
        <f t="array" ref="L22">_xlfn.IFS($AE$19=$AE$21,+L$3*$AE22*$AB22,$AE$19=$AF$21,+L$3*$AF22*$AB22,$AE$19=$AG$21,+L$3*$AG22*$AB22)</f>
        <v>170447.66234035225</v>
      </c>
      <c r="M22" s="190" cm="1">
        <f t="array" ref="M22">_xlfn.IFS($AE$19=$AE$21,+M$3*$AE22*$AB22,$AE$19=$AF$21,+M$3*$AF22*$AB22,$AE$19=$AG$21,+M$3*$AG22*$AB22)</f>
        <v>169367.97597914466</v>
      </c>
      <c r="N22" s="190" cm="1">
        <f t="array" ref="N22">_xlfn.IFS($AE$19=$AE$21,+N$3*$AE22*$AB22,$AE$19=$AF$21,+N$3*$AF22*$AB22,$AE$19=$AG$21,+N$3*$AG22*$AB22)</f>
        <v>226615.89930683037</v>
      </c>
      <c r="O22" s="190" cm="1">
        <f t="array" ref="O22">_xlfn.IFS($AE$19=$AE$21,+O$3*$AE22*$AB22,$AE$19=$AF$21,+O$3*$AF22*$AB22,$AE$19=$AG$21,+O$3*$AG22*$AB22)</f>
        <v>155574.45030453659</v>
      </c>
      <c r="P22" s="190" cm="1">
        <f t="array" ref="P22">_xlfn.IFS($AE$19=$AE$21,+P$3*$AE22*$AB22,$AE$19=$AF$21,+P$3*$AF22*$AB22,$AE$19=$AG$21,+P$3*$AG22*$AB22)</f>
        <v>190492.21422522384</v>
      </c>
      <c r="Q22" s="190" cm="1">
        <f t="array" ref="Q22">_xlfn.IFS($AE$19=$AE$21,+Q$3*$AE22*$AB22,$AE$19=$AF$21,+Q$3*$AF22*$AB22,$AE$19=$AG$21,+Q$3*$AG22*$AB22)</f>
        <v>207432.53817628731</v>
      </c>
      <c r="R22" s="190" cm="1">
        <f t="array" ref="R22">_xlfn.IFS($AE$19=$AE$21,+R$3*$AE22*$AB22,$AE$19=$AF$21,+R$3*$AF22*$AB22,$AE$19=$AG$21,+R$3*$AG22*$AB22)</f>
        <v>214346.95611549687</v>
      </c>
      <c r="S22" s="190" cm="1">
        <f t="array" ref="S22">_xlfn.IFS($AE$19=$AE$21,+S$3*$AE22*$AB22,$AE$19=$AF$21,+S$3*$AF22*$AB22,$AE$19=$AG$21,+S$3*$AG22*$AB22)</f>
        <v>199135.23664923583</v>
      </c>
      <c r="T22" s="190" cm="1">
        <f t="array" ref="T22">_xlfn.IFS($AE$19=$AE$21,+T$3*$AE22*$AB22,$AE$19=$AF$21,+T$3*$AF22*$AB22,$AE$19=$AG$21,+T$3*$AG22*$AB22)</f>
        <v>199135.23664923583</v>
      </c>
      <c r="U22" s="190" cm="1">
        <f t="array" ref="U22">_xlfn.IFS($AE$19=$AE$21,+U$3*$AE22*$AB22,$AE$19=$AF$21,+U$3*$AF22*$AB22,$AE$19=$AG$21,+U$3*$AG22*$AB22)</f>
        <v>221261.37405470648</v>
      </c>
      <c r="V22" s="190" cm="1">
        <f t="array" ref="V22">_xlfn.IFS($AE$19=$AE$21,+V$3*$AE22*$AB22,$AE$19=$AF$21,+V$3*$AF22*$AB22,$AE$19=$AG$21,+V$3*$AG22*$AB22)</f>
        <v>221261.37405470648</v>
      </c>
      <c r="W22" s="190" cm="1">
        <f t="array" ref="W22">_xlfn.IFS($AE$19=$AE$21,+W$3*$AE22*$AB22,$AE$19=$AF$21,+W$3*$AF22*$AB22,$AE$19=$AG$21,+W$3*$AG22*$AB22)</f>
        <v>199135.23664923583</v>
      </c>
      <c r="X22" s="190" cm="1">
        <f t="array" ref="X22">_xlfn.IFS($AE$19=$AE$21,+X$3*$AE22*$AB22,$AE$19=$AF$21,+X$3*$AF22*$AB22,$AE$19=$AG$21,+X$3*$AG22*$AB22)</f>
        <v>199135.23664923583</v>
      </c>
      <c r="Y22" s="190" cm="1">
        <f t="array" ref="Y22">_xlfn.IFS($AE$19=$AE$21,+Y$3*$AE22*$AB22,$AE$19=$AF$21,+Y$3*$AF22*$AB22,$AE$19=$AG$21,+Y$3*$AG22*$AB22)</f>
        <v>199146.29971793856</v>
      </c>
      <c r="Z22" s="190" cm="1">
        <f t="array" ref="Z22">_xlfn.IFS($AE$19=$AE$21,+Z$3*$AE22*$AB22,$AE$19=$AF$21,+Z$3*$AF22*$AB22,$AE$19=$AG$21,+Z$3*$AG22*$AB22)</f>
        <v>243387.51146017713</v>
      </c>
      <c r="AB22" s="188">
        <f>AD22/SUM($AD$22:$AD$24)</f>
        <v>0.81796385602427679</v>
      </c>
      <c r="AC22" s="184" t="str">
        <f>+A22&amp;"-"&amp;B22</f>
        <v>140-3300</v>
      </c>
      <c r="AD22" s="212">
        <v>-2121162.9300000002</v>
      </c>
      <c r="AE22" s="218">
        <f>'Input Sheet'!O$90/SUM('Input Sheet'!O$90:O$94)</f>
        <v>0.42276422764227645</v>
      </c>
      <c r="AF22" s="218">
        <f>'GP &amp; SE % Contribution'!K4</f>
        <v>0.42266035890737208</v>
      </c>
      <c r="AG22" s="218">
        <f>'GP &amp; SE % Contribution'!M4</f>
        <v>0.390405884099157</v>
      </c>
    </row>
    <row r="23" spans="1:34" x14ac:dyDescent="0.2">
      <c r="A23" s="184">
        <v>140</v>
      </c>
      <c r="B23" s="192" t="s">
        <v>191</v>
      </c>
      <c r="G23" s="190" cm="1">
        <f t="array" ref="G23">_xlfn.IFS($AE$19=$AE$21,+G$3*$AE23*$AB23,$AE$19=$AF$21,+G$3*$AF23*$AB23,$AE$19=$AG$21,+G$3*$AG23*$AB23)</f>
        <v>26346.86855078919</v>
      </c>
      <c r="H23" s="190" cm="1">
        <f t="array" ref="H23">_xlfn.IFS($AE$19=$AE$21,+H$3*$AE23*$AB23,$AE$19=$AF$21,+H$3*$AF23*$AB23,$AE$19=$AG$21,+H$3*$AG23*$AB23)</f>
        <v>22186.836674348793</v>
      </c>
      <c r="I23" s="190" cm="1">
        <f t="array" ref="I23">_xlfn.IFS($AE$19=$AE$21,+I$3*$AE23*$AB23,$AE$19=$AF$21,+I$3*$AF23*$AB23,$AE$19=$AG$21,+I$3*$AG23*$AB23)</f>
        <v>27733.54584293599</v>
      </c>
      <c r="J23" s="190" cm="1">
        <f t="array" ref="J23">_xlfn.IFS($AE$19=$AE$21,+J$3*$AE23*$AB23,$AE$19=$AF$21,+J$3*$AF23*$AB23,$AE$19=$AG$21,+J$3*$AG23*$AB23)</f>
        <v>27733.54584293599</v>
      </c>
      <c r="K23" s="190" cm="1">
        <f t="array" ref="K23">_xlfn.IFS($AE$19=$AE$21,+K$3*$AE23*$AB23,$AE$19=$AF$21,+K$3*$AF23*$AB23,$AE$19=$AG$21,+K$3*$AG23*$AB23)</f>
        <v>20800.159382201993</v>
      </c>
      <c r="L23" s="190" cm="1">
        <f t="array" ref="L23">_xlfn.IFS($AE$19=$AE$21,+L$3*$AE23*$AB23,$AE$19=$AF$21,+L$3*$AF23*$AB23,$AE$19=$AG$21,+L$3*$AG23*$AB23)</f>
        <v>21686.3132514356</v>
      </c>
      <c r="M23" s="190" cm="1">
        <f t="array" ref="M23">_xlfn.IFS($AE$19=$AE$21,+M$3*$AE23*$AB23,$AE$19=$AF$21,+M$3*$AF23*$AB23,$AE$19=$AG$21,+M$3*$AG23*$AB23)</f>
        <v>21548.943126665592</v>
      </c>
      <c r="N23" s="190" cm="1">
        <f t="array" ref="N23">_xlfn.IFS($AE$19=$AE$21,+N$3*$AE23*$AB23,$AE$19=$AF$21,+N$3*$AF23*$AB23,$AE$19=$AG$21,+N$3*$AG23*$AB23)</f>
        <v>28832.682787461421</v>
      </c>
      <c r="O23" s="190" cm="1">
        <f t="array" ref="O23">_xlfn.IFS($AE$19=$AE$21,+O$3*$AE23*$AB23,$AE$19=$AF$21,+O$3*$AF23*$AB23,$AE$19=$AG$21,+O$3*$AG23*$AB23)</f>
        <v>19793.972043378089</v>
      </c>
      <c r="P23" s="190" cm="1">
        <f t="array" ref="P23">_xlfn.IFS($AE$19=$AE$21,+P$3*$AE23*$AB23,$AE$19=$AF$21,+P$3*$AF23*$AB23,$AE$19=$AG$21,+P$3*$AG23*$AB23)</f>
        <v>24236.611831019396</v>
      </c>
      <c r="Q23" s="190" cm="1">
        <f t="array" ref="Q23">_xlfn.IFS($AE$19=$AE$21,+Q$3*$AE23*$AB23,$AE$19=$AF$21,+Q$3*$AF23*$AB23,$AE$19=$AG$21,+Q$3*$AG23*$AB23)</f>
        <v>26391.954806917674</v>
      </c>
      <c r="R23" s="190" cm="1">
        <f t="array" ref="R23">_xlfn.IFS($AE$19=$AE$21,+R$3*$AE23*$AB23,$AE$19=$AF$21,+R$3*$AF23*$AB23,$AE$19=$AG$21,+R$3*$AG23*$AB23)</f>
        <v>27271.68663381493</v>
      </c>
      <c r="S23" s="190" cm="1">
        <f t="array" ref="S23">_xlfn.IFS($AE$19=$AE$21,+S$3*$AE23*$AB23,$AE$19=$AF$21,+S$3*$AF23*$AB23,$AE$19=$AG$21,+S$3*$AG23*$AB23)</f>
        <v>25336.276614640967</v>
      </c>
      <c r="T23" s="190" cm="1">
        <f t="array" ref="T23">_xlfn.IFS($AE$19=$AE$21,+T$3*$AE23*$AB23,$AE$19=$AF$21,+T$3*$AF23*$AB23,$AE$19=$AG$21,+T$3*$AG23*$AB23)</f>
        <v>25336.276614640967</v>
      </c>
      <c r="U23" s="190" cm="1">
        <f t="array" ref="U23">_xlfn.IFS($AE$19=$AE$21,+U$3*$AE23*$AB23,$AE$19=$AF$21,+U$3*$AF23*$AB23,$AE$19=$AG$21,+U$3*$AG23*$AB23)</f>
        <v>28151.41846071219</v>
      </c>
      <c r="V23" s="190" cm="1">
        <f t="array" ref="V23">_xlfn.IFS($AE$19=$AE$21,+V$3*$AE23*$AB23,$AE$19=$AF$21,+V$3*$AF23*$AB23,$AE$19=$AG$21,+V$3*$AG23*$AB23)</f>
        <v>28151.41846071219</v>
      </c>
      <c r="W23" s="190" cm="1">
        <f t="array" ref="W23">_xlfn.IFS($AE$19=$AE$21,+W$3*$AE23*$AB23,$AE$19=$AF$21,+W$3*$AF23*$AB23,$AE$19=$AG$21,+W$3*$AG23*$AB23)</f>
        <v>25336.276614640967</v>
      </c>
      <c r="X23" s="190" cm="1">
        <f t="array" ref="X23">_xlfn.IFS($AE$19=$AE$21,+X$3*$AE23*$AB23,$AE$19=$AF$21,+X$3*$AF23*$AB23,$AE$19=$AG$21,+X$3*$AG23*$AB23)</f>
        <v>25336.276614640967</v>
      </c>
      <c r="Y23" s="190" cm="1">
        <f t="array" ref="Y23">_xlfn.IFS($AE$19=$AE$21,+Y$3*$AE23*$AB23,$AE$19=$AF$21,+Y$3*$AF23*$AB23,$AE$19=$AG$21,+Y$3*$AG23*$AB23)</f>
        <v>25337.684185564005</v>
      </c>
      <c r="Z23" s="190" cm="1">
        <f t="array" ref="Z23">_xlfn.IFS($AE$19=$AE$21,+Z$3*$AE23*$AB23,$AE$19=$AF$21,+Z$3*$AF23*$AB23,$AE$19=$AG$21,+Z$3*$AG23*$AB23)</f>
        <v>30966.560306783405</v>
      </c>
      <c r="AB23" s="188">
        <f t="shared" ref="AB23:AB24" si="16">AD23/SUM($AD$22:$AD$24)</f>
        <v>0.10407077554794451</v>
      </c>
      <c r="AC23" s="184" t="str">
        <f>+A23&amp;"-"&amp;B23</f>
        <v>140-3320</v>
      </c>
      <c r="AD23" s="212">
        <v>-269878.76</v>
      </c>
      <c r="AE23" s="218">
        <f>AE$22</f>
        <v>0.42276422764227645</v>
      </c>
      <c r="AF23" s="218">
        <f t="shared" ref="AF23:AG24" si="17">AF$22</f>
        <v>0.42266035890737208</v>
      </c>
      <c r="AG23" s="218">
        <f t="shared" si="17"/>
        <v>0.390405884099157</v>
      </c>
    </row>
    <row r="24" spans="1:34" x14ac:dyDescent="0.2">
      <c r="A24" s="184">
        <v>140</v>
      </c>
      <c r="B24" s="192" t="s">
        <v>192</v>
      </c>
      <c r="G24" s="190" cm="1">
        <f t="array" ref="G24">_xlfn.IFS($AE$19=$AE$21,+G$3*$AE24*$AB24,$AE$19=$AF$21,+G$3*$AF24*$AB24,$AE$19=$AG$21,+G$3*$AG24*$AB24)</f>
        <v>19737.945668851171</v>
      </c>
      <c r="H24" s="190" cm="1">
        <f t="array" ref="H24">_xlfn.IFS($AE$19=$AE$21,+H$3*$AE24*$AB24,$AE$19=$AF$21,+H$3*$AF24*$AB24,$AE$19=$AG$21,+H$3*$AG24*$AB24)</f>
        <v>16621.427931664144</v>
      </c>
      <c r="I24" s="190" cm="1">
        <f t="array" ref="I24">_xlfn.IFS($AE$19=$AE$21,+I$3*$AE24*$AB24,$AE$19=$AF$21,+I$3*$AF24*$AB24,$AE$19=$AG$21,+I$3*$AG24*$AB24)</f>
        <v>20776.784914580181</v>
      </c>
      <c r="J24" s="190" cm="1">
        <f t="array" ref="J24">_xlfn.IFS($AE$19=$AE$21,+J$3*$AE24*$AB24,$AE$19=$AF$21,+J$3*$AF24*$AB24,$AE$19=$AG$21,+J$3*$AG24*$AB24)</f>
        <v>20776.784914580181</v>
      </c>
      <c r="K24" s="190" cm="1">
        <f t="array" ref="K24">_xlfn.IFS($AE$19=$AE$21,+K$3*$AE24*$AB24,$AE$19=$AF$21,+K$3*$AF24*$AB24,$AE$19=$AG$21,+K$3*$AG24*$AB24)</f>
        <v>15582.588685935136</v>
      </c>
      <c r="L24" s="190" cm="1">
        <f t="array" ref="L24">_xlfn.IFS($AE$19=$AE$21,+L$3*$AE24*$AB24,$AE$19=$AF$21,+L$3*$AF24*$AB24,$AE$19=$AG$21,+L$3*$AG24*$AB24)</f>
        <v>16246.45721708364</v>
      </c>
      <c r="M24" s="190" cm="1">
        <f t="array" ref="M24">_xlfn.IFS($AE$19=$AE$21,+M$3*$AE24*$AB24,$AE$19=$AF$21,+M$3*$AF24*$AB24,$AE$19=$AG$21,+M$3*$AG24*$AB24)</f>
        <v>16143.545402193498</v>
      </c>
      <c r="N24" s="190" cm="1">
        <f t="array" ref="N24">_xlfn.IFS($AE$19=$AE$21,+N$3*$AE24*$AB24,$AE$19=$AF$21,+N$3*$AF24*$AB24,$AE$19=$AG$21,+N$3*$AG24*$AB24)</f>
        <v>21600.211245183717</v>
      </c>
      <c r="O24" s="190" cm="1">
        <f t="array" ref="O24">_xlfn.IFS($AE$19=$AE$21,+O$3*$AE24*$AB24,$AE$19=$AF$21,+O$3*$AF24*$AB24,$AE$19=$AG$21,+O$3*$AG24*$AB24)</f>
        <v>14828.796219551221</v>
      </c>
      <c r="P24" s="190" cm="1">
        <f t="array" ref="P24">_xlfn.IFS($AE$19=$AE$21,+P$3*$AE24*$AB24,$AE$19=$AF$21,+P$3*$AF24*$AB24,$AE$19=$AG$21,+P$3*$AG24*$AB24)</f>
        <v>18157.031701718763</v>
      </c>
      <c r="Q24" s="190" cm="1">
        <f t="array" ref="Q24">_xlfn.IFS($AE$19=$AE$21,+Q$3*$AE24*$AB24,$AE$19=$AF$21,+Q$3*$AF24*$AB24,$AE$19=$AG$21,+Q$3*$AG24*$AB24)</f>
        <v>19771.722361218253</v>
      </c>
      <c r="R24" s="190" cm="1">
        <f t="array" ref="R24">_xlfn.IFS($AE$19=$AE$21,+R$3*$AE24*$AB24,$AE$19=$AF$21,+R$3*$AF24*$AB24,$AE$19=$AG$21,+R$3*$AG24*$AB24)</f>
        <v>20430.779773258859</v>
      </c>
      <c r="S24" s="190" cm="1">
        <f t="array" ref="S24">_xlfn.IFS($AE$19=$AE$21,+S$3*$AE24*$AB24,$AE$19=$AF$21,+S$3*$AF24*$AB24,$AE$19=$AG$21,+S$3*$AG24*$AB24)</f>
        <v>18980.853466769524</v>
      </c>
      <c r="T24" s="190" cm="1">
        <f t="array" ref="T24">_xlfn.IFS($AE$19=$AE$21,+T$3*$AE24*$AB24,$AE$19=$AF$21,+T$3*$AF24*$AB24,$AE$19=$AG$21,+T$3*$AG24*$AB24)</f>
        <v>18980.853466769524</v>
      </c>
      <c r="U24" s="190" cm="1">
        <f t="array" ref="U24">_xlfn.IFS($AE$19=$AE$21,+U$3*$AE24*$AB24,$AE$19=$AF$21,+U$3*$AF24*$AB24,$AE$19=$AG$21,+U$3*$AG24*$AB24)</f>
        <v>21089.837185299471</v>
      </c>
      <c r="V24" s="190" cm="1">
        <f t="array" ref="V24">_xlfn.IFS($AE$19=$AE$21,+V$3*$AE24*$AB24,$AE$19=$AF$21,+V$3*$AF24*$AB24,$AE$19=$AG$21,+V$3*$AG24*$AB24)</f>
        <v>21089.837185299471</v>
      </c>
      <c r="W24" s="190" cm="1">
        <f t="array" ref="W24">_xlfn.IFS($AE$19=$AE$21,+W$3*$AE24*$AB24,$AE$19=$AF$21,+W$3*$AF24*$AB24,$AE$19=$AG$21,+W$3*$AG24*$AB24)</f>
        <v>18980.853466769524</v>
      </c>
      <c r="X24" s="190" cm="1">
        <f t="array" ref="X24">_xlfn.IFS($AE$19=$AE$21,+X$3*$AE24*$AB24,$AE$19=$AF$21,+X$3*$AF24*$AB24,$AE$19=$AG$21,+X$3*$AG24*$AB24)</f>
        <v>18980.853466769524</v>
      </c>
      <c r="Y24" s="190" cm="1">
        <f t="array" ref="Y24">_xlfn.IFS($AE$19=$AE$21,+Y$3*$AE24*$AB24,$AE$19=$AF$21,+Y$3*$AF24*$AB24,$AE$19=$AG$21,+Y$3*$AG24*$AB24)</f>
        <v>18981.907958628788</v>
      </c>
      <c r="Z24" s="190" cm="1">
        <f t="array" ref="Z24">_xlfn.IFS($AE$19=$AE$21,+Z$3*$AE24*$AB24,$AE$19=$AF$21,+Z$3*$AF24*$AB24,$AE$19=$AG$21,+Z$3*$AG24*$AB24)</f>
        <v>23198.820903829419</v>
      </c>
      <c r="AB24" s="188">
        <f t="shared" si="16"/>
        <v>7.7965368427778653E-2</v>
      </c>
      <c r="AC24" s="184" t="str">
        <f>+A24&amp;"-"&amp;B24</f>
        <v>140-3340</v>
      </c>
      <c r="AD24" s="212">
        <v>-202181.61</v>
      </c>
      <c r="AE24" s="218">
        <f>AE$22</f>
        <v>0.42276422764227645</v>
      </c>
      <c r="AF24" s="218">
        <f t="shared" si="17"/>
        <v>0.42266035890737208</v>
      </c>
      <c r="AG24" s="218">
        <f t="shared" si="17"/>
        <v>0.390405884099157</v>
      </c>
    </row>
    <row r="25" spans="1:34" x14ac:dyDescent="0.2">
      <c r="Z25" s="184"/>
      <c r="AA25" s="213"/>
      <c r="AE25" s="218"/>
      <c r="AF25" s="218"/>
      <c r="AG25" s="218"/>
      <c r="AH25" s="216"/>
    </row>
    <row r="26" spans="1:34" x14ac:dyDescent="0.2">
      <c r="A26" s="184">
        <v>147</v>
      </c>
      <c r="B26" s="184" t="s">
        <v>190</v>
      </c>
      <c r="C26" s="190"/>
      <c r="D26" s="190"/>
      <c r="E26" s="190"/>
      <c r="F26" s="190"/>
      <c r="G26" s="190" cm="1">
        <f t="array" ref="G26">_xlfn.IFS($AE$19=$AE$21,+G$3*$AE26*$AB26,$AE$19=$AF$21,+G$3*$AF26*$AB26,$AE$19=$AG$21,+G$3*$AG26*$AB26)</f>
        <v>124.08793011506249</v>
      </c>
      <c r="H26" s="190" cm="1">
        <f t="array" ref="H26">_xlfn.IFS($AE$19=$AE$21,+H$3*$AE26*$AB26,$AE$19=$AF$21,+H$3*$AF26*$AB26,$AE$19=$AG$21,+H$3*$AG26*$AB26)</f>
        <v>104.49509904426316</v>
      </c>
      <c r="I26" s="190" cm="1">
        <f t="array" ref="I26">_xlfn.IFS($AE$19=$AE$21,+I$3*$AE26*$AB26,$AE$19=$AF$21,+I$3*$AF26*$AB26,$AE$19=$AG$21,+I$3*$AG26*$AB26)</f>
        <v>130.61887380532895</v>
      </c>
      <c r="J26" s="190" cm="1">
        <f t="array" ref="J26">_xlfn.IFS($AE$19=$AE$21,+J$3*$AE26*$AB26,$AE$19=$AF$21,+J$3*$AF26*$AB26,$AE$19=$AG$21,+J$3*$AG26*$AB26)</f>
        <v>130.61887380532895</v>
      </c>
      <c r="K26" s="190" cm="1">
        <f t="array" ref="K26">_xlfn.IFS($AE$19=$AE$21,+K$3*$AE26*$AB26,$AE$19=$AF$21,+K$3*$AF26*$AB26,$AE$19=$AG$21,+K$3*$AG26*$AB26)</f>
        <v>97.964155353996716</v>
      </c>
      <c r="L26" s="190" cm="1">
        <f t="array" ref="L26">_xlfn.IFS($AE$19=$AE$21,+L$3*$AE26*$AB26,$AE$19=$AF$21,+L$3*$AF26*$AB26,$AE$19=$AG$21,+L$3*$AG26*$AB26)</f>
        <v>102.13774430194621</v>
      </c>
      <c r="M26" s="190" cm="1">
        <f t="array" ref="M26">_xlfn.IFS($AE$19=$AE$21,+M$3*$AE26*$AB26,$AE$19=$AF$21,+M$3*$AF26*$AB26,$AE$19=$AG$21,+M$3*$AG26*$AB26)</f>
        <v>101.49076136317692</v>
      </c>
      <c r="N26" s="190" cm="1">
        <f t="array" ref="N26">_xlfn.IFS($AE$19=$AE$21,+N$3*$AE26*$AB26,$AE$19=$AF$21,+N$3*$AF26*$AB26,$AE$19=$AG$21,+N$3*$AG26*$AB26)</f>
        <v>135.79556598399282</v>
      </c>
      <c r="O26" s="190" cm="1">
        <f t="array" ref="O26">_xlfn.IFS($AE$19=$AE$21,+O$3*$AE26*$AB26,$AE$19=$AF$21,+O$3*$AF26*$AB26,$AE$19=$AG$21,+O$3*$AG26*$AB26)</f>
        <v>93.225235283022982</v>
      </c>
      <c r="P26" s="190" cm="1">
        <f t="array" ref="P26">_xlfn.IFS($AE$19=$AE$21,+P$3*$AE26*$AB26,$AE$19=$AF$21,+P$3*$AF26*$AB26,$AE$19=$AG$21,+P$3*$AG26*$AB26)</f>
        <v>114.14908717959754</v>
      </c>
      <c r="Q26" s="190" cm="1">
        <f t="array" ref="Q26">_xlfn.IFS($AE$19=$AE$21,+Q$3*$AE26*$AB26,$AE$19=$AF$21,+Q$3*$AF26*$AB26,$AE$19=$AG$21,+Q$3*$AG26*$AB26)</f>
        <v>124.3002764206144</v>
      </c>
      <c r="R26" s="190" cm="1">
        <f t="array" ref="R26">_xlfn.IFS($AE$19=$AE$21,+R$3*$AE26*$AB26,$AE$19=$AF$21,+R$3*$AF26*$AB26,$AE$19=$AG$21,+R$3*$AG26*$AB26)</f>
        <v>128.44361896796821</v>
      </c>
      <c r="S26" s="190" cm="1">
        <f t="array" ref="S26">_xlfn.IFS($AE$19=$AE$21,+S$3*$AE26*$AB26,$AE$19=$AF$21,+S$3*$AF26*$AB26,$AE$19=$AG$21,+S$3*$AG26*$AB26)</f>
        <v>119.32826536378981</v>
      </c>
      <c r="T26" s="190" cm="1">
        <f t="array" ref="T26">_xlfn.IFS($AE$19=$AE$21,+T$3*$AE26*$AB26,$AE$19=$AF$21,+T$3*$AF26*$AB26,$AE$19=$AG$21,+T$3*$AG26*$AB26)</f>
        <v>119.32826536378981</v>
      </c>
      <c r="U26" s="190" cm="1">
        <f t="array" ref="U26">_xlfn.IFS($AE$19=$AE$21,+U$3*$AE26*$AB26,$AE$19=$AF$21,+U$3*$AF26*$AB26,$AE$19=$AG$21,+U$3*$AG26*$AB26)</f>
        <v>132.586961515322</v>
      </c>
      <c r="V26" s="190" cm="1">
        <f t="array" ref="V26">_xlfn.IFS($AE$19=$AE$21,+V$3*$AE26*$AB26,$AE$19=$AF$21,+V$3*$AF26*$AB26,$AE$19=$AG$21,+V$3*$AG26*$AB26)</f>
        <v>132.586961515322</v>
      </c>
      <c r="W26" s="190" cm="1">
        <f t="array" ref="W26">_xlfn.IFS($AE$19=$AE$21,+W$3*$AE26*$AB26,$AE$19=$AF$21,+W$3*$AF26*$AB26,$AE$19=$AG$21,+W$3*$AG26*$AB26)</f>
        <v>119.32826536378981</v>
      </c>
      <c r="X26" s="190" cm="1">
        <f t="array" ref="X26">_xlfn.IFS($AE$19=$AE$21,+X$3*$AE26*$AB26,$AE$19=$AF$21,+X$3*$AF26*$AB26,$AE$19=$AG$21,+X$3*$AG26*$AB26)</f>
        <v>119.32826536378981</v>
      </c>
      <c r="Y26" s="190" cm="1">
        <f t="array" ref="Y26">_xlfn.IFS($AE$19=$AE$21,+Y$3*$AE26*$AB26,$AE$19=$AF$21,+Y$3*$AF26*$AB26,$AE$19=$AG$21,+Y$3*$AG26*$AB26)</f>
        <v>119.33489471186557</v>
      </c>
      <c r="Z26" s="190" cm="1">
        <f t="array" ref="Z26">_xlfn.IFS($AE$19=$AE$21,+Z$3*$AE26*$AB26,$AE$19=$AF$21,+Z$3*$AF26*$AB26,$AE$19=$AG$21,+Z$3*$AG26*$AB26)</f>
        <v>145.84565766685421</v>
      </c>
      <c r="AB26" s="188">
        <f>AD26/SUM($AD$26:$AD$28)</f>
        <v>0.38793555805123392</v>
      </c>
      <c r="AC26" s="184" t="str">
        <f>+A26&amp;"-"&amp;B26</f>
        <v>147-3300</v>
      </c>
      <c r="AD26" s="212">
        <v>-174970.02</v>
      </c>
      <c r="AE26" s="218">
        <f>'Input Sheet'!O$91/SUM('Input Sheet'!O$90:O$94)</f>
        <v>0</v>
      </c>
      <c r="AF26" s="218">
        <f>'GP &amp; SE % Contribution'!K6</f>
        <v>5.3402459008496063E-4</v>
      </c>
      <c r="AG26" s="218">
        <f>'GP &amp; SE % Contribution'!M6</f>
        <v>2.6153936145675424E-3</v>
      </c>
    </row>
    <row r="27" spans="1:34" x14ac:dyDescent="0.2">
      <c r="A27" s="184">
        <v>147</v>
      </c>
      <c r="B27" s="192" t="s">
        <v>191</v>
      </c>
      <c r="G27" s="190" cm="1">
        <f t="array" ref="G27">_xlfn.IFS($AE$19=$AE$21,+G$3*$AE27*$AB27,$AE$19=$AF$21,+G$3*$AF27*$AB27,$AE$19=$AG$21,+G$3*$AG27*$AB27)</f>
        <v>11.064490471294704</v>
      </c>
      <c r="H27" s="190" cm="1">
        <f t="array" ref="H27">_xlfn.IFS($AE$19=$AE$21,+H$3*$AE27*$AB27,$AE$19=$AF$21,+H$3*$AF27*$AB27,$AE$19=$AG$21,+H$3*$AG27*$AB27)</f>
        <v>9.3174656600376462</v>
      </c>
      <c r="I27" s="190" cm="1">
        <f t="array" ref="I27">_xlfn.IFS($AE$19=$AE$21,+I$3*$AE27*$AB27,$AE$19=$AF$21,+I$3*$AF27*$AB27,$AE$19=$AG$21,+I$3*$AG27*$AB27)</f>
        <v>11.646832075047058</v>
      </c>
      <c r="J27" s="190" cm="1">
        <f t="array" ref="J27">_xlfn.IFS($AE$19=$AE$21,+J$3*$AE27*$AB27,$AE$19=$AF$21,+J$3*$AF27*$AB27,$AE$19=$AG$21,+J$3*$AG27*$AB27)</f>
        <v>11.646832075047058</v>
      </c>
      <c r="K27" s="190" cm="1">
        <f t="array" ref="K27">_xlfn.IFS($AE$19=$AE$21,+K$3*$AE27*$AB27,$AE$19=$AF$21,+K$3*$AF27*$AB27,$AE$19=$AG$21,+K$3*$AG27*$AB27)</f>
        <v>8.7351240562852936</v>
      </c>
      <c r="L27" s="190" cm="1">
        <f t="array" ref="L27">_xlfn.IFS($AE$19=$AE$21,+L$3*$AE27*$AB27,$AE$19=$AF$21,+L$3*$AF27*$AB27,$AE$19=$AG$21,+L$3*$AG27*$AB27)</f>
        <v>9.1072685114540466</v>
      </c>
      <c r="M27" s="190" cm="1">
        <f t="array" ref="M27">_xlfn.IFS($AE$19=$AE$21,+M$3*$AE27*$AB27,$AE$19=$AF$21,+M$3*$AF27*$AB27,$AE$19=$AG$21,+M$3*$AG27*$AB27)</f>
        <v>9.0495792861243523</v>
      </c>
      <c r="N27" s="190" cm="1">
        <f t="array" ref="N27">_xlfn.IFS($AE$19=$AE$21,+N$3*$AE27*$AB27,$AE$19=$AF$21,+N$3*$AF27*$AB27,$AE$19=$AG$21,+N$3*$AG27*$AB27)</f>
        <v>12.10841976718231</v>
      </c>
      <c r="O27" s="190" cm="1">
        <f t="array" ref="O27">_xlfn.IFS($AE$19=$AE$21,+O$3*$AE27*$AB27,$AE$19=$AF$21,+O$3*$AF27*$AB27,$AE$19=$AG$21,+O$3*$AG27*$AB27)</f>
        <v>8.3125709850808978</v>
      </c>
      <c r="P27" s="190" cm="1">
        <f t="array" ref="P27">_xlfn.IFS($AE$19=$AE$21,+P$3*$AE27*$AB27,$AE$19=$AF$21,+P$3*$AF27*$AB27,$AE$19=$AG$21,+P$3*$AG27*$AB27)</f>
        <v>10.178278308248895</v>
      </c>
      <c r="Q27" s="190" cm="1">
        <f t="array" ref="Q27">_xlfn.IFS($AE$19=$AE$21,+Q$3*$AE27*$AB27,$AE$19=$AF$21,+Q$3*$AF27*$AB27,$AE$19=$AG$21,+Q$3*$AG27*$AB27)</f>
        <v>11.083424655080469</v>
      </c>
      <c r="R27" s="190" cm="1">
        <f t="array" ref="R27">_xlfn.IFS($AE$19=$AE$21,+R$3*$AE27*$AB27,$AE$19=$AF$21,+R$3*$AF27*$AB27,$AE$19=$AG$21,+R$3*$AG27*$AB27)</f>
        <v>11.45287214358315</v>
      </c>
      <c r="S27" s="190" cm="1">
        <f t="array" ref="S27">_xlfn.IFS($AE$19=$AE$21,+S$3*$AE27*$AB27,$AE$19=$AF$21,+S$3*$AF27*$AB27,$AE$19=$AG$21,+S$3*$AG27*$AB27)</f>
        <v>10.64008766887725</v>
      </c>
      <c r="T27" s="190" cm="1">
        <f t="array" ref="T27">_xlfn.IFS($AE$19=$AE$21,+T$3*$AE27*$AB27,$AE$19=$AF$21,+T$3*$AF27*$AB27,$AE$19=$AG$21,+T$3*$AG27*$AB27)</f>
        <v>10.64008766887725</v>
      </c>
      <c r="U27" s="190" cm="1">
        <f t="array" ref="U27">_xlfn.IFS($AE$19=$AE$21,+U$3*$AE27*$AB27,$AE$19=$AF$21,+U$3*$AF27*$AB27,$AE$19=$AG$21,+U$3*$AG27*$AB27)</f>
        <v>11.822319632085831</v>
      </c>
      <c r="V27" s="190" cm="1">
        <f t="array" ref="V27">_xlfn.IFS($AE$19=$AE$21,+V$3*$AE27*$AB27,$AE$19=$AF$21,+V$3*$AF27*$AB27,$AE$19=$AG$21,+V$3*$AG27*$AB27)</f>
        <v>11.822319632085831</v>
      </c>
      <c r="W27" s="190" cm="1">
        <f t="array" ref="W27">_xlfn.IFS($AE$19=$AE$21,+W$3*$AE27*$AB27,$AE$19=$AF$21,+W$3*$AF27*$AB27,$AE$19=$AG$21,+W$3*$AG27*$AB27)</f>
        <v>10.64008766887725</v>
      </c>
      <c r="X27" s="190" cm="1">
        <f t="array" ref="X27">_xlfn.IFS($AE$19=$AE$21,+X$3*$AE27*$AB27,$AE$19=$AF$21,+X$3*$AF27*$AB27,$AE$19=$AG$21,+X$3*$AG27*$AB27)</f>
        <v>10.64008766887725</v>
      </c>
      <c r="Y27" s="190" cm="1">
        <f t="array" ref="Y27">_xlfn.IFS($AE$19=$AE$21,+Y$3*$AE27*$AB27,$AE$19=$AF$21,+Y$3*$AF27*$AB27,$AE$19=$AG$21,+Y$3*$AG27*$AB27)</f>
        <v>10.640678784858853</v>
      </c>
      <c r="Z27" s="190" cm="1">
        <f t="array" ref="Z27">_xlfn.IFS($AE$19=$AE$21,+Z$3*$AE27*$AB27,$AE$19=$AF$21,+Z$3*$AF27*$AB27,$AE$19=$AG$21,+Z$3*$AG27*$AB27)</f>
        <v>13.004551595294416</v>
      </c>
      <c r="AB27" s="188">
        <f t="shared" ref="AB27:AB28" si="18">AD27/SUM($AD$26:$AD$28)</f>
        <v>3.459086860062989E-2</v>
      </c>
      <c r="AC27" s="184" t="str">
        <f>+A27&amp;"-"&amp;B27</f>
        <v>147-3320</v>
      </c>
      <c r="AD27" s="212">
        <v>-15601.47</v>
      </c>
      <c r="AE27" s="218">
        <f>AE$26</f>
        <v>0</v>
      </c>
      <c r="AF27" s="218">
        <f t="shared" ref="AF27:AG28" si="19">AF$26</f>
        <v>5.3402459008496063E-4</v>
      </c>
      <c r="AG27" s="218">
        <f t="shared" si="19"/>
        <v>2.6153936145675424E-3</v>
      </c>
    </row>
    <row r="28" spans="1:34" x14ac:dyDescent="0.2">
      <c r="A28" s="184">
        <v>147</v>
      </c>
      <c r="B28" s="192" t="s">
        <v>192</v>
      </c>
      <c r="G28" s="190" cm="1">
        <f t="array" ref="G28">_xlfn.IFS($AE$19=$AE$21,+G$3*$AE28*$AB28,$AE$19=$AF$21,+G$3*$AF28*$AB28,$AE$19=$AG$21,+G$3*$AG28*$AB28)</f>
        <v>184.71495825978212</v>
      </c>
      <c r="H28" s="190" cm="1">
        <f t="array" ref="H28">_xlfn.IFS($AE$19=$AE$21,+H$3*$AE28*$AB28,$AE$19=$AF$21,+H$3*$AF28*$AB28,$AE$19=$AG$21,+H$3*$AG28*$AB28)</f>
        <v>155.54943853455336</v>
      </c>
      <c r="I28" s="190" cm="1">
        <f t="array" ref="I28">_xlfn.IFS($AE$19=$AE$21,+I$3*$AE28*$AB28,$AE$19=$AF$21,+I$3*$AF28*$AB28,$AE$19=$AG$21,+I$3*$AG28*$AB28)</f>
        <v>194.4367981681917</v>
      </c>
      <c r="J28" s="190" cm="1">
        <f t="array" ref="J28">_xlfn.IFS($AE$19=$AE$21,+J$3*$AE28*$AB28,$AE$19=$AF$21,+J$3*$AF28*$AB28,$AE$19=$AG$21,+J$3*$AG28*$AB28)</f>
        <v>194.4367981681917</v>
      </c>
      <c r="K28" s="190" cm="1">
        <f t="array" ref="K28">_xlfn.IFS($AE$19=$AE$21,+K$3*$AE28*$AB28,$AE$19=$AF$21,+K$3*$AF28*$AB28,$AE$19=$AG$21,+K$3*$AG28*$AB28)</f>
        <v>145.82759862614378</v>
      </c>
      <c r="L28" s="190" cm="1">
        <f t="array" ref="L28">_xlfn.IFS($AE$19=$AE$21,+L$3*$AE28*$AB28,$AE$19=$AF$21,+L$3*$AF28*$AB28,$AE$19=$AG$21,+L$3*$AG28*$AB28)</f>
        <v>152.04032461487716</v>
      </c>
      <c r="M28" s="190" cm="1">
        <f t="array" ref="M28">_xlfn.IFS($AE$19=$AE$21,+M$3*$AE28*$AB28,$AE$19=$AF$21,+M$3*$AF28*$AB28,$AE$19=$AG$21,+M$3*$AG28*$AB28)</f>
        <v>151.07723798414082</v>
      </c>
      <c r="N28" s="190" cm="1">
        <f t="array" ref="N28">_xlfn.IFS($AE$19=$AE$21,+N$3*$AE28*$AB28,$AE$19=$AF$21,+N$3*$AF28*$AB28,$AE$19=$AG$21,+N$3*$AG28*$AB28)</f>
        <v>202.14272475443562</v>
      </c>
      <c r="O28" s="190" cm="1">
        <f t="array" ref="O28">_xlfn.IFS($AE$19=$AE$21,+O$3*$AE28*$AB28,$AE$19=$AF$21,+O$3*$AF28*$AB28,$AE$19=$AG$21,+O$3*$AG28*$AB28)</f>
        <v>138.77333136344811</v>
      </c>
      <c r="P28" s="190" cm="1">
        <f t="array" ref="P28">_xlfn.IFS($AE$19=$AE$21,+P$3*$AE28*$AB28,$AE$19=$AF$21,+P$3*$AF28*$AB28,$AE$19=$AG$21,+P$3*$AG28*$AB28)</f>
        <v>169.92018364896688</v>
      </c>
      <c r="Q28" s="190" cm="1">
        <f t="array" ref="Q28">_xlfn.IFS($AE$19=$AE$21,+Q$3*$AE28*$AB28,$AE$19=$AF$21,+Q$3*$AF28*$AB28,$AE$19=$AG$21,+Q$3*$AG28*$AB28)</f>
        <v>185.03105297528157</v>
      </c>
      <c r="R28" s="190" cm="1">
        <f t="array" ref="R28">_xlfn.IFS($AE$19=$AE$21,+R$3*$AE28*$AB28,$AE$19=$AF$21,+R$3*$AF28*$AB28,$AE$19=$AG$21,+R$3*$AG28*$AB28)</f>
        <v>191.19875474112428</v>
      </c>
      <c r="S28" s="190" cm="1">
        <f t="array" ref="S28">_xlfn.IFS($AE$19=$AE$21,+S$3*$AE28*$AB28,$AE$19=$AF$21,+S$3*$AF28*$AB28,$AE$19=$AG$21,+S$3*$AG28*$AB28)</f>
        <v>177.6298108562703</v>
      </c>
      <c r="T28" s="190" cm="1">
        <f t="array" ref="T28">_xlfn.IFS($AE$19=$AE$21,+T$3*$AE28*$AB28,$AE$19=$AF$21,+T$3*$AF28*$AB28,$AE$19=$AG$21,+T$3*$AG28*$AB28)</f>
        <v>177.6298108562703</v>
      </c>
      <c r="U28" s="190" cm="1">
        <f t="array" ref="U28">_xlfn.IFS($AE$19=$AE$21,+U$3*$AE28*$AB28,$AE$19=$AF$21,+U$3*$AF28*$AB28,$AE$19=$AG$21,+U$3*$AG28*$AB28)</f>
        <v>197.36645650696698</v>
      </c>
      <c r="V28" s="190" cm="1">
        <f t="array" ref="V28">_xlfn.IFS($AE$19=$AE$21,+V$3*$AE28*$AB28,$AE$19=$AF$21,+V$3*$AF28*$AB28,$AE$19=$AG$21,+V$3*$AG28*$AB28)</f>
        <v>197.36645650696698</v>
      </c>
      <c r="W28" s="190" cm="1">
        <f t="array" ref="W28">_xlfn.IFS($AE$19=$AE$21,+W$3*$AE28*$AB28,$AE$19=$AF$21,+W$3*$AF28*$AB28,$AE$19=$AG$21,+W$3*$AG28*$AB28)</f>
        <v>177.6298108562703</v>
      </c>
      <c r="X28" s="190" cm="1">
        <f t="array" ref="X28">_xlfn.IFS($AE$19=$AE$21,+X$3*$AE28*$AB28,$AE$19=$AF$21,+X$3*$AF28*$AB28,$AE$19=$AG$21,+X$3*$AG28*$AB28)</f>
        <v>177.6298108562703</v>
      </c>
      <c r="Y28" s="190" cm="1">
        <f t="array" ref="Y28">_xlfn.IFS($AE$19=$AE$21,+Y$3*$AE28*$AB28,$AE$19=$AF$21,+Y$3*$AF28*$AB28,$AE$19=$AG$21,+Y$3*$AG28*$AB28)</f>
        <v>177.63967917909565</v>
      </c>
      <c r="Z28" s="190" cm="1">
        <f t="array" ref="Z28">_xlfn.IFS($AE$19=$AE$21,+Z$3*$AE28*$AB28,$AE$19=$AF$21,+Z$3*$AF28*$AB28,$AE$19=$AG$21,+Z$3*$AG28*$AB28)</f>
        <v>217.1031021576637</v>
      </c>
      <c r="AB28" s="188">
        <f t="shared" si="18"/>
        <v>0.57747357334813632</v>
      </c>
      <c r="AC28" s="184" t="str">
        <f>+A28&amp;"-"&amp;B28</f>
        <v>147-3340</v>
      </c>
      <c r="AD28" s="212">
        <v>-260457.08</v>
      </c>
      <c r="AE28" s="218">
        <f>AE$26</f>
        <v>0</v>
      </c>
      <c r="AF28" s="218">
        <f t="shared" si="19"/>
        <v>5.3402459008496063E-4</v>
      </c>
      <c r="AG28" s="218">
        <f t="shared" si="19"/>
        <v>2.6153936145675424E-3</v>
      </c>
    </row>
    <row r="29" spans="1:34" x14ac:dyDescent="0.2">
      <c r="Z29" s="184"/>
      <c r="AA29" s="213"/>
      <c r="AE29" s="218"/>
      <c r="AF29" s="218"/>
      <c r="AG29" s="218"/>
    </row>
    <row r="30" spans="1:34" x14ac:dyDescent="0.2">
      <c r="A30" s="184">
        <v>240</v>
      </c>
      <c r="B30" s="184" t="s">
        <v>190</v>
      </c>
      <c r="C30" s="190"/>
      <c r="D30" s="190"/>
      <c r="E30" s="190"/>
      <c r="F30" s="190"/>
      <c r="G30" s="190" cm="1">
        <f t="array" ref="G30">_xlfn.IFS($AE$19=$AE$21,+G$3*$AE30*$AB30,$AE$19=$AF$21,+G$3*$AF30*$AB30,$AE$19=$AG$21,+G$3*$AG30*$AB30)</f>
        <v>116277.39759587469</v>
      </c>
      <c r="H30" s="190" cm="1">
        <f t="array" ref="H30">_xlfn.IFS($AE$19=$AE$21,+H$3*$AE30*$AB30,$AE$19=$AF$21,+H$3*$AF30*$AB30,$AE$19=$AG$21,+H$3*$AG30*$AB30)</f>
        <v>97917.808501789201</v>
      </c>
      <c r="I30" s="190" cm="1">
        <f t="array" ref="I30">_xlfn.IFS($AE$19=$AE$21,+I$3*$AE30*$AB30,$AE$19=$AF$21,+I$3*$AF30*$AB30,$AE$19=$AG$21,+I$3*$AG30*$AB30)</f>
        <v>122397.26062723651</v>
      </c>
      <c r="J30" s="190" cm="1">
        <f t="array" ref="J30">_xlfn.IFS($AE$19=$AE$21,+J$3*$AE30*$AB30,$AE$19=$AF$21,+J$3*$AF30*$AB30,$AE$19=$AG$21,+J$3*$AG30*$AB30)</f>
        <v>122397.26062723651</v>
      </c>
      <c r="K30" s="190" cm="1">
        <f t="array" ref="K30">_xlfn.IFS($AE$19=$AE$21,+K$3*$AE30*$AB30,$AE$19=$AF$21,+K$3*$AF30*$AB30,$AE$19=$AG$21,+K$3*$AG30*$AB30)</f>
        <v>91797.945470427381</v>
      </c>
      <c r="L30" s="190" cm="1">
        <f t="array" ref="L30">_xlfn.IFS($AE$19=$AE$21,+L$3*$AE30*$AB30,$AE$19=$AF$21,+L$3*$AF30*$AB30,$AE$19=$AG$21,+L$3*$AG30*$AB30)</f>
        <v>95708.833991595195</v>
      </c>
      <c r="M30" s="190" cm="1">
        <f t="array" ref="M30">_xlfn.IFS($AE$19=$AE$21,+M$3*$AE30*$AB30,$AE$19=$AF$21,+M$3*$AF30*$AB30,$AE$19=$AG$21,+M$3*$AG30*$AB30)</f>
        <v>95102.574443714373</v>
      </c>
      <c r="N30" s="190" cm="1">
        <f t="array" ref="N30">_xlfn.IFS($AE$19=$AE$21,+N$3*$AE30*$AB30,$AE$19=$AF$21,+N$3*$AF30*$AB30,$AE$19=$AG$21,+N$3*$AG30*$AB30)</f>
        <v>127248.11351947027</v>
      </c>
      <c r="O30" s="190" cm="1">
        <f t="array" ref="O30">_xlfn.IFS($AE$19=$AE$21,+O$3*$AE30*$AB30,$AE$19=$AF$21,+O$3*$AF30*$AB30,$AE$19=$AG$21,+O$3*$AG30*$AB30)</f>
        <v>87357.309763499783</v>
      </c>
      <c r="P30" s="190" cm="1">
        <f t="array" ref="P30">_xlfn.IFS($AE$19=$AE$21,+P$3*$AE30*$AB30,$AE$19=$AF$21,+P$3*$AF30*$AB30,$AE$19=$AG$21,+P$3*$AG30*$AB30)</f>
        <v>106964.14053228758</v>
      </c>
      <c r="Q30" s="190" cm="1">
        <f t="array" ref="Q30">_xlfn.IFS($AE$19=$AE$21,+Q$3*$AE30*$AB30,$AE$19=$AF$21,+Q$3*$AF30*$AB30,$AE$19=$AG$21,+Q$3*$AG30*$AB30)</f>
        <v>116476.37807508629</v>
      </c>
      <c r="R30" s="190" cm="1">
        <f t="array" ref="R30">_xlfn.IFS($AE$19=$AE$21,+R$3*$AE30*$AB30,$AE$19=$AF$21,+R$3*$AF30*$AB30,$AE$19=$AG$21,+R$3*$AG30*$AB30)</f>
        <v>120358.92401092249</v>
      </c>
      <c r="S30" s="190" cm="1">
        <f t="array" ref="S30">_xlfn.IFS($AE$19=$AE$21,+S$3*$AE30*$AB30,$AE$19=$AF$21,+S$3*$AF30*$AB30,$AE$19=$AG$21,+S$3*$AG30*$AB30)</f>
        <v>111817.32295208285</v>
      </c>
      <c r="T30" s="190" cm="1">
        <f t="array" ref="T30">_xlfn.IFS($AE$19=$AE$21,+T$3*$AE30*$AB30,$AE$19=$AF$21,+T$3*$AF30*$AB30,$AE$19=$AG$21,+T$3*$AG30*$AB30)</f>
        <v>111817.32295208285</v>
      </c>
      <c r="U30" s="190" cm="1">
        <f t="array" ref="U30">_xlfn.IFS($AE$19=$AE$21,+U$3*$AE30*$AB30,$AE$19=$AF$21,+U$3*$AF30*$AB30,$AE$19=$AG$21,+U$3*$AG30*$AB30)</f>
        <v>124241.46994675872</v>
      </c>
      <c r="V30" s="190" cm="1">
        <f t="array" ref="V30">_xlfn.IFS($AE$19=$AE$21,+V$3*$AE30*$AB30,$AE$19=$AF$21,+V$3*$AF30*$AB30,$AE$19=$AG$21,+V$3*$AG30*$AB30)</f>
        <v>124241.46994675872</v>
      </c>
      <c r="W30" s="190" cm="1">
        <f t="array" ref="W30">_xlfn.IFS($AE$19=$AE$21,+W$3*$AE30*$AB30,$AE$19=$AF$21,+W$3*$AF30*$AB30,$AE$19=$AG$21,+W$3*$AG30*$AB30)</f>
        <v>111817.32295208285</v>
      </c>
      <c r="X30" s="190" cm="1">
        <f t="array" ref="X30">_xlfn.IFS($AE$19=$AE$21,+X$3*$AE30*$AB30,$AE$19=$AF$21,+X$3*$AF30*$AB30,$AE$19=$AG$21,+X$3*$AG30*$AB30)</f>
        <v>111817.32295208285</v>
      </c>
      <c r="Y30" s="190" cm="1">
        <f t="array" ref="Y30">_xlfn.IFS($AE$19=$AE$21,+Y$3*$AE30*$AB30,$AE$19=$AF$21,+Y$3*$AF30*$AB30,$AE$19=$AG$21,+Y$3*$AG30*$AB30)</f>
        <v>111823.53502558019</v>
      </c>
      <c r="Z30" s="190" cm="1">
        <f t="array" ref="Z30">_xlfn.IFS($AE$19=$AE$21,+Z$3*$AE30*$AB30,$AE$19=$AF$21,+Z$3*$AF30*$AB30,$AE$19=$AG$21,+Z$3*$AG30*$AB30)</f>
        <v>136665.61694143459</v>
      </c>
      <c r="AB30" s="188">
        <f>AD30/SUM($AD$30:$AD$32)</f>
        <v>0.80219078514512188</v>
      </c>
      <c r="AC30" s="184" t="str">
        <f>+A30&amp;"-"&amp;B30</f>
        <v>240-3300</v>
      </c>
      <c r="AD30" s="212">
        <v>-1054986.8999999999</v>
      </c>
      <c r="AE30" s="218">
        <f>'Input Sheet'!O$92/SUM('Input Sheet'!O$90:O$94)</f>
        <v>0.21951219512195122</v>
      </c>
      <c r="AF30" s="218">
        <f>'GP &amp; SE % Contribution'!K8</f>
        <v>0.24199641829180513</v>
      </c>
      <c r="AG30" s="218">
        <f>'GP &amp; SE % Contribution'!M8</f>
        <v>0.22009982389945629</v>
      </c>
    </row>
    <row r="31" spans="1:34" x14ac:dyDescent="0.2">
      <c r="A31" s="184">
        <v>240</v>
      </c>
      <c r="B31" s="192" t="s">
        <v>191</v>
      </c>
      <c r="G31" s="190" cm="1">
        <f t="array" ref="G31">_xlfn.IFS($AE$19=$AE$21,+G$3*$AE31*$AB31,$AE$19=$AF$21,+G$3*$AF31*$AB31,$AE$19=$AG$21,+G$3*$AG31*$AB31)</f>
        <v>14575.831622965336</v>
      </c>
      <c r="H31" s="190" cm="1">
        <f t="array" ref="H31">_xlfn.IFS($AE$19=$AE$21,+H$3*$AE31*$AB31,$AE$19=$AF$21,+H$3*$AF31*$AB31,$AE$19=$AG$21,+H$3*$AG31*$AB31)</f>
        <v>12274.384524602387</v>
      </c>
      <c r="I31" s="190" cm="1">
        <f t="array" ref="I31">_xlfn.IFS($AE$19=$AE$21,+I$3*$AE31*$AB31,$AE$19=$AF$21,+I$3*$AF31*$AB31,$AE$19=$AG$21,+I$3*$AG31*$AB31)</f>
        <v>15342.980655752985</v>
      </c>
      <c r="J31" s="190" cm="1">
        <f t="array" ref="J31">_xlfn.IFS($AE$19=$AE$21,+J$3*$AE31*$AB31,$AE$19=$AF$21,+J$3*$AF31*$AB31,$AE$19=$AG$21,+J$3*$AG31*$AB31)</f>
        <v>15342.980655752985</v>
      </c>
      <c r="K31" s="190" cm="1">
        <f t="array" ref="K31">_xlfn.IFS($AE$19=$AE$21,+K$3*$AE31*$AB31,$AE$19=$AF$21,+K$3*$AF31*$AB31,$AE$19=$AG$21,+K$3*$AG31*$AB31)</f>
        <v>11507.235491814739</v>
      </c>
      <c r="L31" s="190" cm="1">
        <f t="array" ref="L31">_xlfn.IFS($AE$19=$AE$21,+L$3*$AE31*$AB31,$AE$19=$AF$21,+L$3*$AF31*$AB31,$AE$19=$AG$21,+L$3*$AG31*$AB31)</f>
        <v>11997.480834068187</v>
      </c>
      <c r="M31" s="190" cm="1">
        <f t="array" ref="M31">_xlfn.IFS($AE$19=$AE$21,+M$3*$AE31*$AB31,$AE$19=$AF$21,+M$3*$AF31*$AB31,$AE$19=$AG$21,+M$3*$AG31*$AB31)</f>
        <v>11921.483802207891</v>
      </c>
      <c r="N31" s="190" cm="1">
        <f t="array" ref="N31">_xlfn.IFS($AE$19=$AE$21,+N$3*$AE31*$AB31,$AE$19=$AF$21,+N$3*$AF31*$AB31,$AE$19=$AG$21,+N$3*$AG31*$AB31)</f>
        <v>15951.054249132771</v>
      </c>
      <c r="O31" s="190" cm="1">
        <f t="array" ref="O31">_xlfn.IFS($AE$19=$AE$21,+O$3*$AE31*$AB31,$AE$19=$AF$21,+O$3*$AF31*$AB31,$AE$19=$AG$21,+O$3*$AG31*$AB31)</f>
        <v>10950.584244871105</v>
      </c>
      <c r="P31" s="190" cm="1">
        <f t="array" ref="P31">_xlfn.IFS($AE$19=$AE$21,+P$3*$AE31*$AB31,$AE$19=$AF$21,+P$3*$AF31*$AB31,$AE$19=$AG$21,+P$3*$AG31*$AB31)</f>
        <v>13408.378019539881</v>
      </c>
      <c r="Q31" s="190" cm="1">
        <f t="array" ref="Q31">_xlfn.IFS($AE$19=$AE$21,+Q$3*$AE31*$AB31,$AE$19=$AF$21,+Q$3*$AF31*$AB31,$AE$19=$AG$21,+Q$3*$AG31*$AB31)</f>
        <v>14600.77461292909</v>
      </c>
      <c r="R31" s="190" cm="1">
        <f t="array" ref="R31">_xlfn.IFS($AE$19=$AE$21,+R$3*$AE31*$AB31,$AE$19=$AF$21,+R$3*$AF31*$AB31,$AE$19=$AG$21,+R$3*$AG31*$AB31)</f>
        <v>15087.467100026724</v>
      </c>
      <c r="S31" s="190" cm="1">
        <f t="array" ref="S31">_xlfn.IFS($AE$19=$AE$21,+S$3*$AE31*$AB31,$AE$19=$AF$21,+S$3*$AF31*$AB31,$AE$19=$AG$21,+S$3*$AG31*$AB31)</f>
        <v>14016.743628411927</v>
      </c>
      <c r="T31" s="190" cm="1">
        <f t="array" ref="T31">_xlfn.IFS($AE$19=$AE$21,+T$3*$AE31*$AB31,$AE$19=$AF$21,+T$3*$AF31*$AB31,$AE$19=$AG$21,+T$3*$AG31*$AB31)</f>
        <v>14016.743628411927</v>
      </c>
      <c r="U31" s="190" cm="1">
        <f t="array" ref="U31">_xlfn.IFS($AE$19=$AE$21,+U$3*$AE31*$AB31,$AE$19=$AF$21,+U$3*$AF31*$AB31,$AE$19=$AG$21,+U$3*$AG31*$AB31)</f>
        <v>15574.159587124363</v>
      </c>
      <c r="V31" s="190" cm="1">
        <f t="array" ref="V31">_xlfn.IFS($AE$19=$AE$21,+V$3*$AE31*$AB31,$AE$19=$AF$21,+V$3*$AF31*$AB31,$AE$19=$AG$21,+V$3*$AG31*$AB31)</f>
        <v>15574.159587124363</v>
      </c>
      <c r="W31" s="190" cm="1">
        <f t="array" ref="W31">_xlfn.IFS($AE$19=$AE$21,+W$3*$AE31*$AB31,$AE$19=$AF$21,+W$3*$AF31*$AB31,$AE$19=$AG$21,+W$3*$AG31*$AB31)</f>
        <v>14016.743628411927</v>
      </c>
      <c r="X31" s="190" cm="1">
        <f t="array" ref="X31">_xlfn.IFS($AE$19=$AE$21,+X$3*$AE31*$AB31,$AE$19=$AF$21,+X$3*$AF31*$AB31,$AE$19=$AG$21,+X$3*$AG31*$AB31)</f>
        <v>14016.743628411927</v>
      </c>
      <c r="Y31" s="190" cm="1">
        <f t="array" ref="Y31">_xlfn.IFS($AE$19=$AE$21,+Y$3*$AE31*$AB31,$AE$19=$AF$21,+Y$3*$AF31*$AB31,$AE$19=$AG$21,+Y$3*$AG31*$AB31)</f>
        <v>14017.522336391283</v>
      </c>
      <c r="Z31" s="190" cm="1">
        <f t="array" ref="Z31">_xlfn.IFS($AE$19=$AE$21,+Z$3*$AE31*$AB31,$AE$19=$AF$21,+Z$3*$AF31*$AB31,$AE$19=$AG$21,+Z$3*$AG31*$AB31)</f>
        <v>17131.5755458368</v>
      </c>
      <c r="AB31" s="188">
        <f t="shared" ref="AB31:AB32" si="20">AD31/SUM($AD$30:$AD$32)</f>
        <v>0.1005577872873248</v>
      </c>
      <c r="AC31" s="184" t="str">
        <f>+A31&amp;"-"&amp;B31</f>
        <v>240-3320</v>
      </c>
      <c r="AD31" s="212">
        <v>-132246.78</v>
      </c>
      <c r="AE31" s="218">
        <f>AE$30</f>
        <v>0.21951219512195122</v>
      </c>
      <c r="AF31" s="218">
        <f t="shared" ref="AF31:AG32" si="21">AF$30</f>
        <v>0.24199641829180513</v>
      </c>
      <c r="AG31" s="218">
        <f t="shared" si="21"/>
        <v>0.22009982389945629</v>
      </c>
    </row>
    <row r="32" spans="1:34" x14ac:dyDescent="0.2">
      <c r="A32" s="184">
        <v>240</v>
      </c>
      <c r="B32" s="192" t="s">
        <v>192</v>
      </c>
      <c r="G32" s="190" cm="1">
        <f t="array" ref="G32">_xlfn.IFS($AE$19=$AE$21,+G$3*$AE32*$AB32,$AE$19=$AF$21,+G$3*$AF32*$AB32,$AE$19=$AG$21,+G$3*$AG32*$AB32)</f>
        <v>14096.575427493959</v>
      </c>
      <c r="H32" s="190" cm="1">
        <f t="array" ref="H32">_xlfn.IFS($AE$19=$AE$21,+H$3*$AE32*$AB32,$AE$19=$AF$21,+H$3*$AF32*$AB32,$AE$19=$AG$21,+H$3*$AG32*$AB32)</f>
        <v>11870.800359994912</v>
      </c>
      <c r="I32" s="190" cm="1">
        <f t="array" ref="I32">_xlfn.IFS($AE$19=$AE$21,+I$3*$AE32*$AB32,$AE$19=$AF$21,+I$3*$AF32*$AB32,$AE$19=$AG$21,+I$3*$AG32*$AB32)</f>
        <v>14838.50044999364</v>
      </c>
      <c r="J32" s="190" cm="1">
        <f t="array" ref="J32">_xlfn.IFS($AE$19=$AE$21,+J$3*$AE32*$AB32,$AE$19=$AF$21,+J$3*$AF32*$AB32,$AE$19=$AG$21,+J$3*$AG32*$AB32)</f>
        <v>14838.50044999364</v>
      </c>
      <c r="K32" s="190" cm="1">
        <f t="array" ref="K32">_xlfn.IFS($AE$19=$AE$21,+K$3*$AE32*$AB32,$AE$19=$AF$21,+K$3*$AF32*$AB32,$AE$19=$AG$21,+K$3*$AG32*$AB32)</f>
        <v>11128.87533749523</v>
      </c>
      <c r="L32" s="190" cm="1">
        <f t="array" ref="L32">_xlfn.IFS($AE$19=$AE$21,+L$3*$AE32*$AB32,$AE$19=$AF$21,+L$3*$AF32*$AB32,$AE$19=$AG$21,+L$3*$AG32*$AB32)</f>
        <v>11603.001316980673</v>
      </c>
      <c r="M32" s="190" cm="1">
        <f t="array" ref="M32">_xlfn.IFS($AE$19=$AE$21,+M$3*$AE32*$AB32,$AE$19=$AF$21,+M$3*$AF32*$AB32,$AE$19=$AG$21,+M$3*$AG32*$AB32)</f>
        <v>11529.503082396486</v>
      </c>
      <c r="N32" s="190" cm="1">
        <f t="array" ref="N32">_xlfn.IFS($AE$19=$AE$21,+N$3*$AE32*$AB32,$AE$19=$AF$21,+N$3*$AF32*$AB32,$AE$19=$AG$21,+N$3*$AG32*$AB32)</f>
        <v>15426.580464655721</v>
      </c>
      <c r="O32" s="190" cm="1">
        <f t="array" ref="O32">_xlfn.IFS($AE$19=$AE$21,+O$3*$AE32*$AB32,$AE$19=$AF$21,+O$3*$AF32*$AB32,$AE$19=$AG$21,+O$3*$AG32*$AB32)</f>
        <v>10590.526892457889</v>
      </c>
      <c r="P32" s="190" cm="1">
        <f t="array" ref="P32">_xlfn.IFS($AE$19=$AE$21,+P$3*$AE32*$AB32,$AE$19=$AF$21,+P$3*$AF32*$AB32,$AE$19=$AG$21,+P$3*$AG32*$AB32)</f>
        <v>12967.507926957171</v>
      </c>
      <c r="Q32" s="190" cm="1">
        <f t="array" ref="Q32">_xlfn.IFS($AE$19=$AE$21,+Q$3*$AE32*$AB32,$AE$19=$AF$21,+Q$3*$AF32*$AB32,$AE$19=$AG$21,+Q$3*$AG32*$AB32)</f>
        <v>14120.698287067698</v>
      </c>
      <c r="R32" s="190" cm="1">
        <f t="array" ref="R32">_xlfn.IFS($AE$19=$AE$21,+R$3*$AE32*$AB32,$AE$19=$AF$21,+R$3*$AF32*$AB32,$AE$19=$AG$21,+R$3*$AG32*$AB32)</f>
        <v>14591.388229969954</v>
      </c>
      <c r="S32" s="190" cm="1">
        <f t="array" ref="S32">_xlfn.IFS($AE$19=$AE$21,+S$3*$AE32*$AB32,$AE$19=$AF$21,+S$3*$AF32*$AB32,$AE$19=$AG$21,+S$3*$AG32*$AB32)</f>
        <v>13555.870355584992</v>
      </c>
      <c r="T32" s="190" cm="1">
        <f t="array" ref="T32">_xlfn.IFS($AE$19=$AE$21,+T$3*$AE32*$AB32,$AE$19=$AF$21,+T$3*$AF32*$AB32,$AE$19=$AG$21,+T$3*$AG32*$AB32)</f>
        <v>13555.870355584992</v>
      </c>
      <c r="U32" s="190" cm="1">
        <f t="array" ref="U32">_xlfn.IFS($AE$19=$AE$21,+U$3*$AE32*$AB32,$AE$19=$AF$21,+U$3*$AF32*$AB32,$AE$19=$AG$21,+U$3*$AG32*$AB32)</f>
        <v>15062.078172872214</v>
      </c>
      <c r="V32" s="190" cm="1">
        <f t="array" ref="V32">_xlfn.IFS($AE$19=$AE$21,+V$3*$AE32*$AB32,$AE$19=$AF$21,+V$3*$AF32*$AB32,$AE$19=$AG$21,+V$3*$AG32*$AB32)</f>
        <v>15062.078172872214</v>
      </c>
      <c r="W32" s="190" cm="1">
        <f t="array" ref="W32">_xlfn.IFS($AE$19=$AE$21,+W$3*$AE32*$AB32,$AE$19=$AF$21,+W$3*$AF32*$AB32,$AE$19=$AG$21,+W$3*$AG32*$AB32)</f>
        <v>13555.870355584992</v>
      </c>
      <c r="X32" s="190" cm="1">
        <f t="array" ref="X32">_xlfn.IFS($AE$19=$AE$21,+X$3*$AE32*$AB32,$AE$19=$AF$21,+X$3*$AF32*$AB32,$AE$19=$AG$21,+X$3*$AG32*$AB32)</f>
        <v>13555.870355584992</v>
      </c>
      <c r="Y32" s="190" cm="1">
        <f t="array" ref="Y32">_xlfn.IFS($AE$19=$AE$21,+Y$3*$AE32*$AB32,$AE$19=$AF$21,+Y$3*$AF32*$AB32,$AE$19=$AG$21,+Y$3*$AG32*$AB32)</f>
        <v>13556.623459493636</v>
      </c>
      <c r="Z32" s="190" cm="1">
        <f t="array" ref="Z32">_xlfn.IFS($AE$19=$AE$21,+Z$3*$AE32*$AB32,$AE$19=$AF$21,+Z$3*$AF32*$AB32,$AE$19=$AG$21,+Z$3*$AG32*$AB32)</f>
        <v>16568.285990159435</v>
      </c>
      <c r="AB32" s="188">
        <f t="shared" si="20"/>
        <v>9.7251427567553367E-2</v>
      </c>
      <c r="AC32" s="184" t="str">
        <f>+A32&amp;"-"&amp;B32</f>
        <v>240-3340</v>
      </c>
      <c r="AD32" s="212">
        <v>-127898.48</v>
      </c>
      <c r="AE32" s="218">
        <f>AE$30</f>
        <v>0.21951219512195122</v>
      </c>
      <c r="AF32" s="218">
        <f t="shared" si="21"/>
        <v>0.24199641829180513</v>
      </c>
      <c r="AG32" s="218">
        <f t="shared" si="21"/>
        <v>0.22009982389945629</v>
      </c>
    </row>
    <row r="33" spans="1:33" x14ac:dyDescent="0.2">
      <c r="Z33" s="184"/>
      <c r="AA33" s="213"/>
      <c r="AE33" s="218"/>
      <c r="AF33" s="218"/>
      <c r="AG33" s="218"/>
    </row>
    <row r="34" spans="1:33" x14ac:dyDescent="0.2">
      <c r="A34" s="184">
        <v>340</v>
      </c>
      <c r="B34" s="184" t="s">
        <v>190</v>
      </c>
      <c r="C34" s="190"/>
      <c r="D34" s="190"/>
      <c r="E34" s="190"/>
      <c r="F34" s="190"/>
      <c r="G34" s="190" cm="1">
        <f t="array" ref="G34">_xlfn.IFS($AE$19=$AE$21,+G$3*$AE34*$AB34,$AE$19=$AF$21,+G$3*$AF34*$AB34,$AE$19=$AG$21,+G$3*$AG34*$AB34)</f>
        <v>89870.040842831295</v>
      </c>
      <c r="H34" s="190" cm="1">
        <f t="array" ref="H34">_xlfn.IFS($AE$19=$AE$21,+H$3*$AE34*$AB34,$AE$19=$AF$21,+H$3*$AF34*$AB34,$AE$19=$AG$21,+H$3*$AG34*$AB34)</f>
        <v>75680.0343939632</v>
      </c>
      <c r="I34" s="190" cm="1">
        <f t="array" ref="I34">_xlfn.IFS($AE$19=$AE$21,+I$3*$AE34*$AB34,$AE$19=$AF$21,+I$3*$AF34*$AB34,$AE$19=$AG$21,+I$3*$AG34*$AB34)</f>
        <v>94600.042992454008</v>
      </c>
      <c r="J34" s="190" cm="1">
        <f t="array" ref="J34">_xlfn.IFS($AE$19=$AE$21,+J$3*$AE34*$AB34,$AE$19=$AF$21,+J$3*$AF34*$AB34,$AE$19=$AG$21,+J$3*$AG34*$AB34)</f>
        <v>94600.042992454008</v>
      </c>
      <c r="K34" s="190" cm="1">
        <f t="array" ref="K34">_xlfn.IFS($AE$19=$AE$21,+K$3*$AE34*$AB34,$AE$19=$AF$21,+K$3*$AF34*$AB34,$AE$19=$AG$21,+K$3*$AG34*$AB34)</f>
        <v>70950.032244340502</v>
      </c>
      <c r="L34" s="190" cm="1">
        <f t="array" ref="L34">_xlfn.IFS($AE$19=$AE$21,+L$3*$AE34*$AB34,$AE$19=$AF$21,+L$3*$AF34*$AB34,$AE$19=$AG$21,+L$3*$AG34*$AB34)</f>
        <v>73972.732428521267</v>
      </c>
      <c r="M34" s="190" cm="1">
        <f t="array" ref="M34">_xlfn.IFS($AE$19=$AE$21,+M$3*$AE34*$AB34,$AE$19=$AF$21,+M$3*$AF34*$AB34,$AE$19=$AG$21,+M$3*$AG34*$AB34)</f>
        <v>73504.158385277129</v>
      </c>
      <c r="N34" s="190" cm="1">
        <f t="array" ref="N34">_xlfn.IFS($AE$19=$AE$21,+N$3*$AE34*$AB34,$AE$19=$AF$21,+N$3*$AF34*$AB34,$AE$19=$AG$21,+N$3*$AG34*$AB34)</f>
        <v>98349.2354972842</v>
      </c>
      <c r="O34" s="190" cm="1">
        <f t="array" ref="O34">_xlfn.IFS($AE$19=$AE$21,+O$3*$AE34*$AB34,$AE$19=$AF$21,+O$3*$AF34*$AB34,$AE$19=$AG$21,+O$3*$AG34*$AB34)</f>
        <v>67517.893921665498</v>
      </c>
      <c r="P34" s="190" cm="1">
        <f t="array" ref="P34">_xlfn.IFS($AE$19=$AE$21,+P$3*$AE34*$AB34,$AE$19=$AF$21,+P$3*$AF34*$AB34,$AE$19=$AG$21,+P$3*$AG34*$AB34)</f>
        <v>82671.885311407052</v>
      </c>
      <c r="Q34" s="190" cm="1">
        <f t="array" ref="Q34">_xlfn.IFS($AE$19=$AE$21,+Q$3*$AE34*$AB34,$AE$19=$AF$21,+Q$3*$AF34*$AB34,$AE$19=$AG$21,+Q$3*$AG34*$AB34)</f>
        <v>90023.831555071214</v>
      </c>
      <c r="R34" s="190" cm="1">
        <f t="array" ref="R34">_xlfn.IFS($AE$19=$AE$21,+R$3*$AE34*$AB34,$AE$19=$AF$21,+R$3*$AF34*$AB34,$AE$19=$AG$21,+R$3*$AG34*$AB34)</f>
        <v>93024.62594024025</v>
      </c>
      <c r="S34" s="190" cm="1">
        <f t="array" ref="S34">_xlfn.IFS($AE$19=$AE$21,+S$3*$AE34*$AB34,$AE$19=$AF$21,+S$3*$AF34*$AB34,$AE$19=$AG$21,+S$3*$AG34*$AB34)</f>
        <v>86422.878292868365</v>
      </c>
      <c r="T34" s="190" cm="1">
        <f t="array" ref="T34">_xlfn.IFS($AE$19=$AE$21,+T$3*$AE34*$AB34,$AE$19=$AF$21,+T$3*$AF34*$AB34,$AE$19=$AG$21,+T$3*$AG34*$AB34)</f>
        <v>86422.878292868365</v>
      </c>
      <c r="U34" s="190" cm="1">
        <f t="array" ref="U34">_xlfn.IFS($AE$19=$AE$21,+U$3*$AE34*$AB34,$AE$19=$AF$21,+U$3*$AF34*$AB34,$AE$19=$AG$21,+U$3*$AG34*$AB34)</f>
        <v>96025.420325409286</v>
      </c>
      <c r="V34" s="190" cm="1">
        <f t="array" ref="V34">_xlfn.IFS($AE$19=$AE$21,+V$3*$AE34*$AB34,$AE$19=$AF$21,+V$3*$AF34*$AB34,$AE$19=$AG$21,+V$3*$AG34*$AB34)</f>
        <v>96025.420325409286</v>
      </c>
      <c r="W34" s="190" cm="1">
        <f t="array" ref="W34">_xlfn.IFS($AE$19=$AE$21,+W$3*$AE34*$AB34,$AE$19=$AF$21,+W$3*$AF34*$AB34,$AE$19=$AG$21,+W$3*$AG34*$AB34)</f>
        <v>86422.878292868365</v>
      </c>
      <c r="X34" s="190" cm="1">
        <f t="array" ref="X34">_xlfn.IFS($AE$19=$AE$21,+X$3*$AE34*$AB34,$AE$19=$AF$21,+X$3*$AF34*$AB34,$AE$19=$AG$21,+X$3*$AG34*$AB34)</f>
        <v>86422.878292868365</v>
      </c>
      <c r="Y34" s="190" cm="1">
        <f t="array" ref="Y34">_xlfn.IFS($AE$19=$AE$21,+Y$3*$AE34*$AB34,$AE$19=$AF$21,+Y$3*$AF34*$AB34,$AE$19=$AG$21,+Y$3*$AG34*$AB34)</f>
        <v>86427.679563884638</v>
      </c>
      <c r="Z34" s="190" cm="1">
        <f t="array" ref="Z34">_xlfn.IFS($AE$19=$AE$21,+Z$3*$AE34*$AB34,$AE$19=$AF$21,+Z$3*$AF34*$AB34,$AE$19=$AG$21,+Z$3*$AG34*$AB34)</f>
        <v>105627.96235795022</v>
      </c>
      <c r="AB34" s="188">
        <f>AD34/SUM($AD$34:$AD$36)</f>
        <v>0.85704691592842097</v>
      </c>
      <c r="AC34" s="184" t="str">
        <f>+A34&amp;"-"&amp;B34</f>
        <v>340-3300</v>
      </c>
      <c r="AD34" s="212">
        <v>-765944.56</v>
      </c>
      <c r="AE34" s="218">
        <f>'Input Sheet'!O$93/SUM('Input Sheet'!O$90:O$94)</f>
        <v>0.17886178861788618</v>
      </c>
      <c r="AF34" s="218">
        <f>'GP &amp; SE % Contribution'!K10</f>
        <v>0.17506593451295152</v>
      </c>
      <c r="AG34" s="218">
        <f>'GP &amp; SE % Contribution'!M10</f>
        <v>0.182774024004416</v>
      </c>
    </row>
    <row r="35" spans="1:33" x14ac:dyDescent="0.2">
      <c r="A35" s="184">
        <v>340</v>
      </c>
      <c r="B35" s="192" t="s">
        <v>191</v>
      </c>
      <c r="G35" s="190" cm="1">
        <f t="array" ref="G35">_xlfn.IFS($AE$19=$AE$21,+G$3*$AE35*$AB35,$AE$19=$AF$21,+G$3*$AF35*$AB35,$AE$19=$AG$21,+G$3*$AG35*$AB35)</f>
        <v>7119.3992660903141</v>
      </c>
      <c r="H35" s="190" cm="1">
        <f t="array" ref="H35">_xlfn.IFS($AE$19=$AE$21,+H$3*$AE35*$AB35,$AE$19=$AF$21,+H$3*$AF35*$AB35,$AE$19=$AG$21,+H$3*$AG35*$AB35)</f>
        <v>5995.2835924971068</v>
      </c>
      <c r="I35" s="190" cm="1">
        <f t="array" ref="I35">_xlfn.IFS($AE$19=$AE$21,+I$3*$AE35*$AB35,$AE$19=$AF$21,+I$3*$AF35*$AB35,$AE$19=$AG$21,+I$3*$AG35*$AB35)</f>
        <v>7494.1044906213838</v>
      </c>
      <c r="J35" s="190" cm="1">
        <f t="array" ref="J35">_xlfn.IFS($AE$19=$AE$21,+J$3*$AE35*$AB35,$AE$19=$AF$21,+J$3*$AF35*$AB35,$AE$19=$AG$21,+J$3*$AG35*$AB35)</f>
        <v>7494.1044906213838</v>
      </c>
      <c r="K35" s="190" cm="1">
        <f t="array" ref="K35">_xlfn.IFS($AE$19=$AE$21,+K$3*$AE35*$AB35,$AE$19=$AF$21,+K$3*$AF35*$AB35,$AE$19=$AG$21,+K$3*$AG35*$AB35)</f>
        <v>5620.5783679660381</v>
      </c>
      <c r="L35" s="190" cm="1">
        <f t="array" ref="L35">_xlfn.IFS($AE$19=$AE$21,+L$3*$AE35*$AB35,$AE$19=$AF$21,+L$3*$AF35*$AB35,$AE$19=$AG$21,+L$3*$AG35*$AB35)</f>
        <v>5860.0331325466213</v>
      </c>
      <c r="M35" s="190" cm="1">
        <f t="array" ref="M35">_xlfn.IFS($AE$19=$AE$21,+M$3*$AE35*$AB35,$AE$19=$AF$21,+M$3*$AF35*$AB35,$AE$19=$AG$21,+M$3*$AG35*$AB35)</f>
        <v>5822.9132462274929</v>
      </c>
      <c r="N35" s="190" cm="1">
        <f t="array" ref="N35">_xlfn.IFS($AE$19=$AE$21,+N$3*$AE35*$AB35,$AE$19=$AF$21,+N$3*$AF35*$AB35,$AE$19=$AG$21,+N$3*$AG35*$AB35)</f>
        <v>7791.1111250569857</v>
      </c>
      <c r="O35" s="190" cm="1">
        <f t="array" ref="O35">_xlfn.IFS($AE$19=$AE$21,+O$3*$AE35*$AB35,$AE$19=$AF$21,+O$3*$AF35*$AB35,$AE$19=$AG$21,+O$3*$AG35*$AB35)</f>
        <v>5348.688394105835</v>
      </c>
      <c r="P35" s="190" cm="1">
        <f t="array" ref="P35">_xlfn.IFS($AE$19=$AE$21,+P$3*$AE35*$AB35,$AE$19=$AF$21,+P$3*$AF35*$AB35,$AE$19=$AG$21,+P$3*$AG35*$AB35)</f>
        <v>6549.1698244764184</v>
      </c>
      <c r="Q35" s="190" cm="1">
        <f t="array" ref="Q35">_xlfn.IFS($AE$19=$AE$21,+Q$3*$AE35*$AB35,$AE$19=$AF$21,+Q$3*$AF35*$AB35,$AE$19=$AG$21,+Q$3*$AG35*$AB35)</f>
        <v>7131.5823859997308</v>
      </c>
      <c r="R35" s="190" cm="1">
        <f t="array" ref="R35">_xlfn.IFS($AE$19=$AE$21,+R$3*$AE35*$AB35,$AE$19=$AF$21,+R$3*$AF35*$AB35,$AE$19=$AG$21,+R$3*$AG35*$AB35)</f>
        <v>7369.3017988663878</v>
      </c>
      <c r="S35" s="190" cm="1">
        <f t="array" ref="S35">_xlfn.IFS($AE$19=$AE$21,+S$3*$AE35*$AB35,$AE$19=$AF$21,+S$3*$AF35*$AB35,$AE$19=$AG$21,+S$3*$AG35*$AB35)</f>
        <v>6846.3190905597412</v>
      </c>
      <c r="T35" s="190" cm="1">
        <f t="array" ref="T35">_xlfn.IFS($AE$19=$AE$21,+T$3*$AE35*$AB35,$AE$19=$AF$21,+T$3*$AF35*$AB35,$AE$19=$AG$21,+T$3*$AG35*$AB35)</f>
        <v>6846.3190905597412</v>
      </c>
      <c r="U35" s="190" cm="1">
        <f t="array" ref="U35">_xlfn.IFS($AE$19=$AE$21,+U$3*$AE35*$AB35,$AE$19=$AF$21,+U$3*$AF35*$AB35,$AE$19=$AG$21,+U$3*$AG35*$AB35)</f>
        <v>7607.0212117330457</v>
      </c>
      <c r="V35" s="190" cm="1">
        <f t="array" ref="V35">_xlfn.IFS($AE$19=$AE$21,+V$3*$AE35*$AB35,$AE$19=$AF$21,+V$3*$AF35*$AB35,$AE$19=$AG$21,+V$3*$AG35*$AB35)</f>
        <v>7607.0212117330457</v>
      </c>
      <c r="W35" s="190" cm="1">
        <f t="array" ref="W35">_xlfn.IFS($AE$19=$AE$21,+W$3*$AE35*$AB35,$AE$19=$AF$21,+W$3*$AF35*$AB35,$AE$19=$AG$21,+W$3*$AG35*$AB35)</f>
        <v>6846.3190905597412</v>
      </c>
      <c r="X35" s="190" cm="1">
        <f t="array" ref="X35">_xlfn.IFS($AE$19=$AE$21,+X$3*$AE35*$AB35,$AE$19=$AF$21,+X$3*$AF35*$AB35,$AE$19=$AG$21,+X$3*$AG35*$AB35)</f>
        <v>6846.3190905597412</v>
      </c>
      <c r="Y35" s="190" cm="1">
        <f t="array" ref="Y35">_xlfn.IFS($AE$19=$AE$21,+Y$3*$AE35*$AB35,$AE$19=$AF$21,+Y$3*$AF35*$AB35,$AE$19=$AG$21,+Y$3*$AG35*$AB35)</f>
        <v>6846.6994416203279</v>
      </c>
      <c r="Z35" s="190" cm="1">
        <f t="array" ref="Z35">_xlfn.IFS($AE$19=$AE$21,+Z$3*$AE35*$AB35,$AE$19=$AF$21,+Z$3*$AF35*$AB35,$AE$19=$AG$21,+Z$3*$AG35*$AB35)</f>
        <v>8367.7233329063511</v>
      </c>
      <c r="AB35" s="188">
        <f t="shared" ref="AB35:AB36" si="22">AD35/SUM($AD$34:$AD$36)</f>
        <v>6.7894251822324406E-2</v>
      </c>
      <c r="AC35" s="184" t="str">
        <f>+A35&amp;"-"&amp;B35</f>
        <v>340-3320</v>
      </c>
      <c r="AD35" s="212">
        <v>-60677.23</v>
      </c>
      <c r="AE35" s="218">
        <f>AE$34</f>
        <v>0.17886178861788618</v>
      </c>
      <c r="AF35" s="218">
        <f t="shared" ref="AF35:AG36" si="23">AF$34</f>
        <v>0.17506593451295152</v>
      </c>
      <c r="AG35" s="218">
        <f t="shared" si="23"/>
        <v>0.182774024004416</v>
      </c>
    </row>
    <row r="36" spans="1:33" x14ac:dyDescent="0.2">
      <c r="A36" s="184">
        <v>340</v>
      </c>
      <c r="B36" s="192" t="s">
        <v>192</v>
      </c>
      <c r="G36" s="190" cm="1">
        <f t="array" ref="G36">_xlfn.IFS($AE$19=$AE$21,+G$3*$AE36*$AB36,$AE$19=$AF$21,+G$3*$AF36*$AB36,$AE$19=$AG$21,+G$3*$AG36*$AB36)</f>
        <v>7870.6780159735281</v>
      </c>
      <c r="H36" s="190" cm="1">
        <f t="array" ref="H36">_xlfn.IFS($AE$19=$AE$21,+H$3*$AE36*$AB36,$AE$19=$AF$21,+H$3*$AF36*$AB36,$AE$19=$AG$21,+H$3*$AG36*$AB36)</f>
        <v>6627.9393818724448</v>
      </c>
      <c r="I36" s="190" cm="1">
        <f t="array" ref="I36">_xlfn.IFS($AE$19=$AE$21,+I$3*$AE36*$AB36,$AE$19=$AF$21,+I$3*$AF36*$AB36,$AE$19=$AG$21,+I$3*$AG36*$AB36)</f>
        <v>8284.9242273405562</v>
      </c>
      <c r="J36" s="190" cm="1">
        <f t="array" ref="J36">_xlfn.IFS($AE$19=$AE$21,+J$3*$AE36*$AB36,$AE$19=$AF$21,+J$3*$AF36*$AB36,$AE$19=$AG$21,+J$3*$AG36*$AB36)</f>
        <v>8284.9242273405562</v>
      </c>
      <c r="K36" s="190" cm="1">
        <f t="array" ref="K36">_xlfn.IFS($AE$19=$AE$21,+K$3*$AE36*$AB36,$AE$19=$AF$21,+K$3*$AF36*$AB36,$AE$19=$AG$21,+K$3*$AG36*$AB36)</f>
        <v>6213.6931705054176</v>
      </c>
      <c r="L36" s="190" cm="1">
        <f t="array" ref="L36">_xlfn.IFS($AE$19=$AE$21,+L$3*$AE36*$AB36,$AE$19=$AF$21,+L$3*$AF36*$AB36,$AE$19=$AG$21,+L$3*$AG36*$AB36)</f>
        <v>6478.4165384419794</v>
      </c>
      <c r="M36" s="190" cm="1">
        <f t="array" ref="M36">_xlfn.IFS($AE$19=$AE$21,+M$3*$AE36*$AB36,$AE$19=$AF$21,+M$3*$AF36*$AB36,$AE$19=$AG$21,+M$3*$AG36*$AB36)</f>
        <v>6437.3795545213061</v>
      </c>
      <c r="N36" s="190" cm="1">
        <f t="array" ref="N36">_xlfn.IFS($AE$19=$AE$21,+N$3*$AE36*$AB36,$AE$19=$AF$21,+N$3*$AF36*$AB36,$AE$19=$AG$21,+N$3*$AG36*$AB36)</f>
        <v>8613.2726596843877</v>
      </c>
      <c r="O36" s="190" cm="1">
        <f t="array" ref="O36">_xlfn.IFS($AE$19=$AE$21,+O$3*$AE36*$AB36,$AE$19=$AF$21,+O$3*$AF36*$AB36,$AE$19=$AG$21,+O$3*$AG36*$AB36)</f>
        <v>5913.1118489580031</v>
      </c>
      <c r="P36" s="190" cm="1">
        <f t="array" ref="P36">_xlfn.IFS($AE$19=$AE$21,+P$3*$AE36*$AB36,$AE$19=$AF$21,+P$3*$AF36*$AB36,$AE$19=$AG$21,+P$3*$AG36*$AB36)</f>
        <v>7240.2747807528094</v>
      </c>
      <c r="Q36" s="190" cm="1">
        <f t="array" ref="Q36">_xlfn.IFS($AE$19=$AE$21,+Q$3*$AE36*$AB36,$AE$19=$AF$21,+Q$3*$AF36*$AB36,$AE$19=$AG$21,+Q$3*$AG36*$AB36)</f>
        <v>7884.1467666999743</v>
      </c>
      <c r="R36" s="190" cm="1">
        <f t="array" ref="R36">_xlfn.IFS($AE$19=$AE$21,+R$3*$AE36*$AB36,$AE$19=$AF$21,+R$3*$AF36*$AB36,$AE$19=$AG$21,+R$3*$AG36*$AB36)</f>
        <v>8146.9516589233062</v>
      </c>
      <c r="S36" s="190" cm="1">
        <f t="array" ref="S36">_xlfn.IFS($AE$19=$AE$21,+S$3*$AE36*$AB36,$AE$19=$AF$21,+S$3*$AF36*$AB36,$AE$19=$AG$21,+S$3*$AG36*$AB36)</f>
        <v>7568.7808960319753</v>
      </c>
      <c r="T36" s="190" cm="1">
        <f t="array" ref="T36">_xlfn.IFS($AE$19=$AE$21,+T$3*$AE36*$AB36,$AE$19=$AF$21,+T$3*$AF36*$AB36,$AE$19=$AG$21,+T$3*$AG36*$AB36)</f>
        <v>7568.7808960319753</v>
      </c>
      <c r="U36" s="190" cm="1">
        <f t="array" ref="U36">_xlfn.IFS($AE$19=$AE$21,+U$3*$AE36*$AB36,$AE$19=$AF$21,+U$3*$AF36*$AB36,$AE$19=$AG$21,+U$3*$AG36*$AB36)</f>
        <v>8409.75655114664</v>
      </c>
      <c r="V36" s="190" cm="1">
        <f t="array" ref="V36">_xlfn.IFS($AE$19=$AE$21,+V$3*$AE36*$AB36,$AE$19=$AF$21,+V$3*$AF36*$AB36,$AE$19=$AG$21,+V$3*$AG36*$AB36)</f>
        <v>8409.75655114664</v>
      </c>
      <c r="W36" s="190" cm="1">
        <f t="array" ref="W36">_xlfn.IFS($AE$19=$AE$21,+W$3*$AE36*$AB36,$AE$19=$AF$21,+W$3*$AF36*$AB36,$AE$19=$AG$21,+W$3*$AG36*$AB36)</f>
        <v>7568.7808960319753</v>
      </c>
      <c r="X36" s="190" cm="1">
        <f t="array" ref="X36">_xlfn.IFS($AE$19=$AE$21,+X$3*$AE36*$AB36,$AE$19=$AF$21,+X$3*$AF36*$AB36,$AE$19=$AG$21,+X$3*$AG36*$AB36)</f>
        <v>7568.7808960319753</v>
      </c>
      <c r="Y36" s="190" cm="1">
        <f t="array" ref="Y36">_xlfn.IFS($AE$19=$AE$21,+Y$3*$AE36*$AB36,$AE$19=$AF$21,+Y$3*$AF36*$AB36,$AE$19=$AG$21,+Y$3*$AG36*$AB36)</f>
        <v>7569.2013838595321</v>
      </c>
      <c r="Z36" s="190" cm="1">
        <f t="array" ref="Z36">_xlfn.IFS($AE$19=$AE$21,+Z$3*$AE36*$AB36,$AE$19=$AF$21,+Z$3*$AF36*$AB36,$AE$19=$AG$21,+Z$3*$AG36*$AB36)</f>
        <v>9250.7322062613039</v>
      </c>
      <c r="AB36" s="188">
        <f t="shared" si="22"/>
        <v>7.5058832249254623E-2</v>
      </c>
      <c r="AC36" s="184" t="str">
        <f>+A36&amp;"-"&amp;B36</f>
        <v>340-3340</v>
      </c>
      <c r="AD36" s="212">
        <v>-67080.23</v>
      </c>
      <c r="AE36" s="218">
        <f>AE$34</f>
        <v>0.17886178861788618</v>
      </c>
      <c r="AF36" s="218">
        <f t="shared" si="23"/>
        <v>0.17506593451295152</v>
      </c>
      <c r="AG36" s="218">
        <f t="shared" si="23"/>
        <v>0.182774024004416</v>
      </c>
    </row>
    <row r="37" spans="1:33" x14ac:dyDescent="0.2">
      <c r="Z37" s="184"/>
      <c r="AA37" s="213"/>
      <c r="AE37" s="218"/>
      <c r="AF37" s="218"/>
      <c r="AG37" s="218"/>
    </row>
    <row r="38" spans="1:33" x14ac:dyDescent="0.2">
      <c r="A38" s="184">
        <v>440</v>
      </c>
      <c r="B38" s="184" t="s">
        <v>190</v>
      </c>
      <c r="C38" s="190"/>
      <c r="D38" s="190"/>
      <c r="E38" s="190"/>
      <c r="F38" s="190"/>
      <c r="G38" s="190" cm="1">
        <f t="array" ref="G38">_xlfn.IFS($AE$19=$AE$21,+G$3*$AE38*$AB38,$AE$19=$AF$21,+G$3*$AF38*$AB38,$AE$19=$AG$21,+G$3*$AG38*$AB38)</f>
        <v>31159.115070149706</v>
      </c>
      <c r="H38" s="190" cm="1">
        <f t="array" ref="H38">_xlfn.IFS($AE$19=$AE$21,+H$3*$AE38*$AB38,$AE$19=$AF$21,+H$3*$AF38*$AB38,$AE$19=$AG$21,+H$3*$AG38*$AB38)</f>
        <v>26239.254795915542</v>
      </c>
      <c r="I38" s="190" cm="1">
        <f t="array" ref="I38">_xlfn.IFS($AE$19=$AE$21,+I$3*$AE38*$AB38,$AE$19=$AF$21,+I$3*$AF38*$AB38,$AE$19=$AG$21,+I$3*$AG38*$AB38)</f>
        <v>32799.068494894425</v>
      </c>
      <c r="J38" s="190" cm="1">
        <f t="array" ref="J38">_xlfn.IFS($AE$19=$AE$21,+J$3*$AE38*$AB38,$AE$19=$AF$21,+J$3*$AF38*$AB38,$AE$19=$AG$21,+J$3*$AG38*$AB38)</f>
        <v>32799.068494894425</v>
      </c>
      <c r="K38" s="190" cm="1">
        <f t="array" ref="K38">_xlfn.IFS($AE$19=$AE$21,+K$3*$AE38*$AB38,$AE$19=$AF$21,+K$3*$AF38*$AB38,$AE$19=$AG$21,+K$3*$AG38*$AB38)</f>
        <v>24599.301371170823</v>
      </c>
      <c r="L38" s="190" cm="1">
        <f t="array" ref="L38">_xlfn.IFS($AE$19=$AE$21,+L$3*$AE38*$AB38,$AE$19=$AF$21,+L$3*$AF38*$AB38,$AE$19=$AG$21,+L$3*$AG38*$AB38)</f>
        <v>25647.310941191667</v>
      </c>
      <c r="M38" s="190" cm="1">
        <f t="array" ref="M38">_xlfn.IFS($AE$19=$AE$21,+M$3*$AE38*$AB38,$AE$19=$AF$21,+M$3*$AF38*$AB38,$AE$19=$AG$21,+M$3*$AG38*$AB38)</f>
        <v>25484.850210169374</v>
      </c>
      <c r="N38" s="190" cm="1">
        <f t="array" ref="N38">_xlfn.IFS($AE$19=$AE$21,+N$3*$AE38*$AB38,$AE$19=$AF$21,+N$3*$AF38*$AB38,$AE$19=$AG$21,+N$3*$AG38*$AB38)</f>
        <v>34098.962425981532</v>
      </c>
      <c r="O38" s="190" cm="1">
        <f t="array" ref="O38">_xlfn.IFS($AE$19=$AE$21,+O$3*$AE38*$AB38,$AE$19=$AF$21,+O$3*$AF38*$AB38,$AE$19=$AG$21,+O$3*$AG38*$AB38)</f>
        <v>23409.334259439715</v>
      </c>
      <c r="P38" s="190" cm="1">
        <f t="array" ref="P38">_xlfn.IFS($AE$19=$AE$21,+P$3*$AE38*$AB38,$AE$19=$AF$21,+P$3*$AF38*$AB38,$AE$19=$AG$21,+P$3*$AG38*$AB38)</f>
        <v>28663.420683087756</v>
      </c>
      <c r="Q38" s="190" cm="1">
        <f t="array" ref="Q38">_xlfn.IFS($AE$19=$AE$21,+Q$3*$AE38*$AB38,$AE$19=$AF$21,+Q$3*$AF38*$AB38,$AE$19=$AG$21,+Q$3*$AG38*$AB38)</f>
        <v>31212.436315522056</v>
      </c>
      <c r="R38" s="190" cm="1">
        <f t="array" ref="R38">_xlfn.IFS($AE$19=$AE$21,+R$3*$AE38*$AB38,$AE$19=$AF$21,+R$3*$AF38*$AB38,$AE$19=$AG$21,+R$3*$AG38*$AB38)</f>
        <v>32252.850859372793</v>
      </c>
      <c r="S38" s="190" cm="1">
        <f t="array" ref="S38">_xlfn.IFS($AE$19=$AE$21,+S$3*$AE38*$AB38,$AE$19=$AF$21,+S$3*$AF38*$AB38,$AE$19=$AG$21,+S$3*$AG38*$AB38)</f>
        <v>29963.938862901177</v>
      </c>
      <c r="T38" s="190" cm="1">
        <f t="array" ref="T38">_xlfn.IFS($AE$19=$AE$21,+T$3*$AE38*$AB38,$AE$19=$AF$21,+T$3*$AF38*$AB38,$AE$19=$AG$21,+T$3*$AG38*$AB38)</f>
        <v>29963.938862901177</v>
      </c>
      <c r="U38" s="190" cm="1">
        <f t="array" ref="U38">_xlfn.IFS($AE$19=$AE$21,+U$3*$AE38*$AB38,$AE$19=$AF$21,+U$3*$AF38*$AB38,$AE$19=$AG$21,+U$3*$AG38*$AB38)</f>
        <v>33293.26540322353</v>
      </c>
      <c r="V38" s="190" cm="1">
        <f t="array" ref="V38">_xlfn.IFS($AE$19=$AE$21,+V$3*$AE38*$AB38,$AE$19=$AF$21,+V$3*$AF38*$AB38,$AE$19=$AG$21,+V$3*$AG38*$AB38)</f>
        <v>33293.26540322353</v>
      </c>
      <c r="W38" s="190" cm="1">
        <f t="array" ref="W38">_xlfn.IFS($AE$19=$AE$21,+W$3*$AE38*$AB38,$AE$19=$AF$21,+W$3*$AF38*$AB38,$AE$19=$AG$21,+W$3*$AG38*$AB38)</f>
        <v>29963.938862901177</v>
      </c>
      <c r="X38" s="190" cm="1">
        <f t="array" ref="X38">_xlfn.IFS($AE$19=$AE$21,+X$3*$AE38*$AB38,$AE$19=$AF$21,+X$3*$AF38*$AB38,$AE$19=$AG$21,+X$3*$AG38*$AB38)</f>
        <v>29963.938862901177</v>
      </c>
      <c r="Y38" s="190" cm="1">
        <f t="array" ref="Y38">_xlfn.IFS($AE$19=$AE$21,+Y$3*$AE38*$AB38,$AE$19=$AF$21,+Y$3*$AF38*$AB38,$AE$19=$AG$21,+Y$3*$AG38*$AB38)</f>
        <v>29965.603526171337</v>
      </c>
      <c r="Z38" s="190" cm="1">
        <f t="array" ref="Z38">_xlfn.IFS($AE$19=$AE$21,+Z$3*$AE38*$AB38,$AE$19=$AF$21,+Z$3*$AF38*$AB38,$AE$19=$AG$21,+Z$3*$AG38*$AB38)</f>
        <v>36622.591943545878</v>
      </c>
      <c r="AB38" s="188">
        <f>AD38/SUM($AD$38:$AD$40)</f>
        <v>0.32565208690710917</v>
      </c>
      <c r="AC38" s="184" t="str">
        <f>+A38&amp;"-"&amp;B38</f>
        <v>440-3300</v>
      </c>
      <c r="AD38" s="212">
        <v>-344555.79</v>
      </c>
      <c r="AE38" s="218">
        <f>'Input Sheet'!O$94/SUM('Input Sheet'!O$90:O$94)</f>
        <v>0.17886178861788618</v>
      </c>
      <c r="AF38" s="218">
        <f>'GP &amp; SE % Contribution'!K12</f>
        <v>0.1597432636977863</v>
      </c>
      <c r="AG38" s="218">
        <f>'GP &amp; SE % Contribution'!M12</f>
        <v>0.20410487438240318</v>
      </c>
    </row>
    <row r="39" spans="1:33" x14ac:dyDescent="0.2">
      <c r="A39" s="184">
        <v>440</v>
      </c>
      <c r="B39" s="192" t="s">
        <v>191</v>
      </c>
      <c r="G39" s="190" cm="1">
        <f t="array" ref="G39">_xlfn.IFS($AE$19=$AE$21,+G$3*$AE39*$AB39,$AE$19=$AF$21,+G$3*$AF39*$AB39,$AE$19=$AG$21,+G$3*$AG39*$AB39)</f>
        <v>2410.6720805771001</v>
      </c>
      <c r="H39" s="190" cm="1">
        <f t="array" ref="H39">_xlfn.IFS($AE$19=$AE$21,+H$3*$AE39*$AB39,$AE$19=$AF$21,+H$3*$AF39*$AB39,$AE$19=$AG$21,+H$3*$AG39*$AB39)</f>
        <v>2030.0396468017684</v>
      </c>
      <c r="I39" s="190" cm="1">
        <f t="array" ref="I39">_xlfn.IFS($AE$19=$AE$21,+I$3*$AE39*$AB39,$AE$19=$AF$21,+I$3*$AF39*$AB39,$AE$19=$AG$21,+I$3*$AG39*$AB39)</f>
        <v>2537.5495585022109</v>
      </c>
      <c r="J39" s="190" cm="1">
        <f t="array" ref="J39">_xlfn.IFS($AE$19=$AE$21,+J$3*$AE39*$AB39,$AE$19=$AF$21,+J$3*$AF39*$AB39,$AE$19=$AG$21,+J$3*$AG39*$AB39)</f>
        <v>2537.5495585022109</v>
      </c>
      <c r="K39" s="190" cm="1">
        <f t="array" ref="K39">_xlfn.IFS($AE$19=$AE$21,+K$3*$AE39*$AB39,$AE$19=$AF$21,+K$3*$AF39*$AB39,$AE$19=$AG$21,+K$3*$AG39*$AB39)</f>
        <v>1903.1621688766581</v>
      </c>
      <c r="L39" s="190" cm="1">
        <f t="array" ref="L39">_xlfn.IFS($AE$19=$AE$21,+L$3*$AE39*$AB39,$AE$19=$AF$21,+L$3*$AF39*$AB39,$AE$19=$AG$21,+L$3*$AG39*$AB39)</f>
        <v>1984.2430148807589</v>
      </c>
      <c r="M39" s="190" cm="1">
        <f t="array" ref="M39">_xlfn.IFS($AE$19=$AE$21,+M$3*$AE39*$AB39,$AE$19=$AF$21,+M$3*$AF39*$AB39,$AE$19=$AG$21,+M$3*$AG39*$AB39)</f>
        <v>1971.673994625085</v>
      </c>
      <c r="N39" s="190" cm="1">
        <f t="array" ref="N39">_xlfn.IFS($AE$19=$AE$21,+N$3*$AE39*$AB39,$AE$19=$AF$21,+N$3*$AF39*$AB39,$AE$19=$AG$21,+N$3*$AG39*$AB39)</f>
        <v>2638.1178191966646</v>
      </c>
      <c r="O39" s="190" cm="1">
        <f t="array" ref="O39">_xlfn.IFS($AE$19=$AE$21,+O$3*$AE39*$AB39,$AE$19=$AF$21,+O$3*$AF39*$AB39,$AE$19=$AG$21,+O$3*$AG39*$AB39)</f>
        <v>1811.0985628789615</v>
      </c>
      <c r="P39" s="190" cm="1">
        <f t="array" ref="P39">_xlfn.IFS($AE$19=$AE$21,+P$3*$AE39*$AB39,$AE$19=$AF$21,+P$3*$AF39*$AB39,$AE$19=$AG$21,+P$3*$AG39*$AB39)</f>
        <v>2217.5889083817892</v>
      </c>
      <c r="Q39" s="190" cm="1">
        <f t="array" ref="Q39">_xlfn.IFS($AE$19=$AE$21,+Q$3*$AE39*$AB39,$AE$19=$AF$21,+Q$3*$AF39*$AB39,$AE$19=$AG$21,+Q$3*$AG39*$AB39)</f>
        <v>2414.7973593994075</v>
      </c>
      <c r="R39" s="190" cm="1">
        <f t="array" ref="R39">_xlfn.IFS($AE$19=$AE$21,+R$3*$AE39*$AB39,$AE$19=$AF$21,+R$3*$AF39*$AB39,$AE$19=$AG$21,+R$3*$AG39*$AB39)</f>
        <v>2495.2906047127212</v>
      </c>
      <c r="S39" s="190" cm="1">
        <f t="array" ref="S39">_xlfn.IFS($AE$19=$AE$21,+S$3*$AE39*$AB39,$AE$19=$AF$21,+S$3*$AF39*$AB39,$AE$19=$AG$21,+S$3*$AG39*$AB39)</f>
        <v>2318.2054650234313</v>
      </c>
      <c r="T39" s="190" cm="1">
        <f t="array" ref="T39">_xlfn.IFS($AE$19=$AE$21,+T$3*$AE39*$AB39,$AE$19=$AF$21,+T$3*$AF39*$AB39,$AE$19=$AG$21,+T$3*$AG39*$AB39)</f>
        <v>2318.2054650234313</v>
      </c>
      <c r="U39" s="190" cm="1">
        <f t="array" ref="U39">_xlfn.IFS($AE$19=$AE$21,+U$3*$AE39*$AB39,$AE$19=$AF$21,+U$3*$AF39*$AB39,$AE$19=$AG$21,+U$3*$AG39*$AB39)</f>
        <v>2575.7838500260345</v>
      </c>
      <c r="V39" s="190" cm="1">
        <f t="array" ref="V39">_xlfn.IFS($AE$19=$AE$21,+V$3*$AE39*$AB39,$AE$19=$AF$21,+V$3*$AF39*$AB39,$AE$19=$AG$21,+V$3*$AG39*$AB39)</f>
        <v>2575.7838500260345</v>
      </c>
      <c r="W39" s="190" cm="1">
        <f t="array" ref="W39">_xlfn.IFS($AE$19=$AE$21,+W$3*$AE39*$AB39,$AE$19=$AF$21,+W$3*$AF39*$AB39,$AE$19=$AG$21,+W$3*$AG39*$AB39)</f>
        <v>2318.2054650234313</v>
      </c>
      <c r="X39" s="190" cm="1">
        <f t="array" ref="X39">_xlfn.IFS($AE$19=$AE$21,+X$3*$AE39*$AB39,$AE$19=$AF$21,+X$3*$AF39*$AB39,$AE$19=$AG$21,+X$3*$AG39*$AB39)</f>
        <v>2318.2054650234313</v>
      </c>
      <c r="Y39" s="190" cm="1">
        <f t="array" ref="Y39">_xlfn.IFS($AE$19=$AE$21,+Y$3*$AE39*$AB39,$AE$19=$AF$21,+Y$3*$AF39*$AB39,$AE$19=$AG$21,+Y$3*$AG39*$AB39)</f>
        <v>2318.3342542159326</v>
      </c>
      <c r="Z39" s="190" cm="1">
        <f t="array" ref="Z39">_xlfn.IFS($AE$19=$AE$21,+Z$3*$AE39*$AB39,$AE$19=$AF$21,+Z$3*$AF39*$AB39,$AE$19=$AG$21,+Z$3*$AG39*$AB39)</f>
        <v>2833.3622350286382</v>
      </c>
      <c r="AB39" s="188">
        <f t="shared" ref="AB39:AB40" si="24">AD39/SUM($AD$38:$AD$40)</f>
        <v>2.5194566409259187E-2</v>
      </c>
      <c r="AC39" s="184" t="str">
        <f>+A39&amp;"-"&amp;B39</f>
        <v>440-3320</v>
      </c>
      <c r="AD39" s="212">
        <v>-26657.08</v>
      </c>
      <c r="AE39" s="218">
        <f>AE$38</f>
        <v>0.17886178861788618</v>
      </c>
      <c r="AF39" s="218">
        <f t="shared" ref="AF39:AG40" si="25">AF$38</f>
        <v>0.1597432636977863</v>
      </c>
      <c r="AG39" s="218">
        <f t="shared" si="25"/>
        <v>0.20410487438240318</v>
      </c>
    </row>
    <row r="40" spans="1:33" x14ac:dyDescent="0.2">
      <c r="A40" s="184">
        <v>440</v>
      </c>
      <c r="B40" s="192" t="s">
        <v>192</v>
      </c>
      <c r="G40" s="190" cm="1">
        <f t="array" ref="G40">_xlfn.IFS($AE$19=$AE$21,+G$3*$AE40*$AB40,$AE$19=$AF$21,+G$3*$AF40*$AB40,$AE$19=$AG$21,+G$3*$AG40*$AB40)</f>
        <v>62112.434222654745</v>
      </c>
      <c r="H40" s="190" cm="1">
        <f t="array" ref="H40">_xlfn.IFS($AE$19=$AE$21,+H$3*$AE40*$AB40,$AE$19=$AF$21,+H$3*$AF40*$AB40,$AE$19=$AG$21,+H$3*$AG40*$AB40)</f>
        <v>52305.207766446096</v>
      </c>
      <c r="I40" s="190" cm="1">
        <f t="array" ref="I40">_xlfn.IFS($AE$19=$AE$21,+I$3*$AE40*$AB40,$AE$19=$AF$21,+I$3*$AF40*$AB40,$AE$19=$AG$21,+I$3*$AG40*$AB40)</f>
        <v>65381.509708057623</v>
      </c>
      <c r="J40" s="190" cm="1">
        <f t="array" ref="J40">_xlfn.IFS($AE$19=$AE$21,+J$3*$AE40*$AB40,$AE$19=$AF$21,+J$3*$AF40*$AB40,$AE$19=$AG$21,+J$3*$AG40*$AB40)</f>
        <v>65381.509708057623</v>
      </c>
      <c r="K40" s="190" cm="1">
        <f t="array" ref="K40">_xlfn.IFS($AE$19=$AE$21,+K$3*$AE40*$AB40,$AE$19=$AF$21,+K$3*$AF40*$AB40,$AE$19=$AG$21,+K$3*$AG40*$AB40)</f>
        <v>49036.132281043218</v>
      </c>
      <c r="L40" s="190" cm="1">
        <f t="array" ref="L40">_xlfn.IFS($AE$19=$AE$21,+L$3*$AE40*$AB40,$AE$19=$AF$21,+L$3*$AF40*$AB40,$AE$19=$AG$21,+L$3*$AG40*$AB40)</f>
        <v>51125.229655473879</v>
      </c>
      <c r="M40" s="190" cm="1">
        <f t="array" ref="M40">_xlfn.IFS($AE$19=$AE$21,+M$3*$AE40*$AB40,$AE$19=$AF$21,+M$3*$AF40*$AB40,$AE$19=$AG$21,+M$3*$AG40*$AB40)</f>
        <v>50801.381194223657</v>
      </c>
      <c r="N40" s="190" cm="1">
        <f t="array" ref="N40">_xlfn.IFS($AE$19=$AE$21,+N$3*$AE40*$AB40,$AE$19=$AF$21,+N$3*$AF40*$AB40,$AE$19=$AG$21,+N$3*$AG40*$AB40)</f>
        <v>67972.712189556347</v>
      </c>
      <c r="O40" s="190" cm="1">
        <f t="array" ref="O40">_xlfn.IFS($AE$19=$AE$21,+O$3*$AE40*$AB40,$AE$19=$AF$21,+O$3*$AF40*$AB40,$AE$19=$AG$21,+O$3*$AG40*$AB40)</f>
        <v>46664.057407025757</v>
      </c>
      <c r="P40" s="190" cm="1">
        <f t="array" ref="P40">_xlfn.IFS($AE$19=$AE$21,+P$3*$AE40*$AB40,$AE$19=$AF$21,+P$3*$AF40*$AB40,$AE$19=$AG$21,+P$3*$AG40*$AB40)</f>
        <v>57137.528706010708</v>
      </c>
      <c r="Q40" s="190" cm="1">
        <f t="array" ref="Q40">_xlfn.IFS($AE$19=$AE$21,+Q$3*$AE40*$AB40,$AE$19=$AF$21,+Q$3*$AF40*$AB40,$AE$19=$AG$21,+Q$3*$AG40*$AB40)</f>
        <v>62218.724543750315</v>
      </c>
      <c r="R40" s="190" cm="1">
        <f t="array" ref="R40">_xlfn.IFS($AE$19=$AE$21,+R$3*$AE40*$AB40,$AE$19=$AF$21,+R$3*$AF40*$AB40,$AE$19=$AG$21,+R$3*$AG40*$AB40)</f>
        <v>64292.682028541996</v>
      </c>
      <c r="S40" s="190" cm="1">
        <f t="array" ref="S40">_xlfn.IFS($AE$19=$AE$21,+S$3*$AE40*$AB40,$AE$19=$AF$21,+S$3*$AF40*$AB40,$AE$19=$AG$21,+S$3*$AG40*$AB40)</f>
        <v>59729.975562000305</v>
      </c>
      <c r="T40" s="190" cm="1">
        <f t="array" ref="T40">_xlfn.IFS($AE$19=$AE$21,+T$3*$AE40*$AB40,$AE$19=$AF$21,+T$3*$AF40*$AB40,$AE$19=$AG$21,+T$3*$AG40*$AB40)</f>
        <v>59729.975562000305</v>
      </c>
      <c r="U40" s="190" cm="1">
        <f t="array" ref="U40">_xlfn.IFS($AE$19=$AE$21,+U$3*$AE40*$AB40,$AE$19=$AF$21,+U$3*$AF40*$AB40,$AE$19=$AG$21,+U$3*$AG40*$AB40)</f>
        <v>66366.639513333677</v>
      </c>
      <c r="V40" s="190" cm="1">
        <f t="array" ref="V40">_xlfn.IFS($AE$19=$AE$21,+V$3*$AE40*$AB40,$AE$19=$AF$21,+V$3*$AF40*$AB40,$AE$19=$AG$21,+V$3*$AG40*$AB40)</f>
        <v>66366.639513333677</v>
      </c>
      <c r="W40" s="190" cm="1">
        <f t="array" ref="W40">_xlfn.IFS($AE$19=$AE$21,+W$3*$AE40*$AB40,$AE$19=$AF$21,+W$3*$AF40*$AB40,$AE$19=$AG$21,+W$3*$AG40*$AB40)</f>
        <v>59729.975562000305</v>
      </c>
      <c r="X40" s="190" cm="1">
        <f t="array" ref="X40">_xlfn.IFS($AE$19=$AE$21,+X$3*$AE40*$AB40,$AE$19=$AF$21,+X$3*$AF40*$AB40,$AE$19=$AG$21,+X$3*$AG40*$AB40)</f>
        <v>59729.975562000305</v>
      </c>
      <c r="Y40" s="190" cm="1">
        <f t="array" ref="Y40">_xlfn.IFS($AE$19=$AE$21,+Y$3*$AE40*$AB40,$AE$19=$AF$21,+Y$3*$AF40*$AB40,$AE$19=$AG$21,+Y$3*$AG40*$AB40)</f>
        <v>59733.293893975977</v>
      </c>
      <c r="Z40" s="190" cm="1">
        <f t="array" ref="Z40">_xlfn.IFS($AE$19=$AE$21,+Z$3*$AE40*$AB40,$AE$19=$AF$21,+Z$3*$AF40*$AB40,$AE$19=$AG$21,+Z$3*$AG40*$AB40)</f>
        <v>73003.303464667042</v>
      </c>
      <c r="AB40" s="188">
        <f t="shared" si="24"/>
        <v>0.64915334668363167</v>
      </c>
      <c r="AC40" s="184" t="str">
        <f>+A40&amp;"-"&amp;B40</f>
        <v>440-3340</v>
      </c>
      <c r="AD40" s="212">
        <v>-686835.9</v>
      </c>
      <c r="AE40" s="218">
        <f>AE$38</f>
        <v>0.17886178861788618</v>
      </c>
      <c r="AF40" s="218">
        <f t="shared" si="25"/>
        <v>0.1597432636977863</v>
      </c>
      <c r="AG40" s="218">
        <f t="shared" si="25"/>
        <v>0.20410487438240318</v>
      </c>
    </row>
    <row r="41" spans="1:33" x14ac:dyDescent="0.2">
      <c r="C41" s="190"/>
      <c r="D41" s="190"/>
      <c r="E41" s="190"/>
      <c r="F41" s="190"/>
      <c r="G41" s="190"/>
      <c r="H41" s="190"/>
      <c r="I41" s="190"/>
      <c r="J41" s="190"/>
      <c r="K41" s="190"/>
      <c r="L41" s="190"/>
      <c r="M41" s="190"/>
      <c r="N41" s="190"/>
      <c r="O41" s="190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213"/>
      <c r="AE41" s="218"/>
      <c r="AF41" s="218"/>
      <c r="AG41" s="218"/>
    </row>
    <row r="42" spans="1:33" x14ac:dyDescent="0.2">
      <c r="A42" s="184" t="s">
        <v>193</v>
      </c>
      <c r="B42" s="192"/>
      <c r="G42" s="190"/>
      <c r="H42" s="190"/>
      <c r="I42" s="190"/>
      <c r="J42" s="190"/>
      <c r="K42" s="190"/>
      <c r="L42" s="190"/>
      <c r="M42" s="190"/>
      <c r="N42" s="190"/>
      <c r="O42" s="190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E42" s="218"/>
      <c r="AF42" s="218"/>
      <c r="AG42" s="218"/>
    </row>
    <row r="43" spans="1:33" x14ac:dyDescent="0.2">
      <c r="A43" s="184">
        <v>140</v>
      </c>
      <c r="B43" s="185">
        <v>4300</v>
      </c>
      <c r="G43" s="190" cm="1">
        <f t="array" ref="G43">_xlfn.IFS($AE$19=$AE$21,+G$4*$AE43*$AB43,$AE$19=$AF$21,+G$4*$AF43*$AB43,$AE$19=$AG$21,+G$4*$AG43*$AB43)</f>
        <v>-69447.324903425251</v>
      </c>
      <c r="H43" s="190" cm="1">
        <f t="array" ref="H43">_xlfn.IFS($AE$19=$AE$21,+H$4*$AE43*$AB43,$AE$19=$AF$21,+H$4*$AF43*$AB43,$AE$19=$AG$21,+H$4*$AG43*$AB43)</f>
        <v>-56811.044733027571</v>
      </c>
      <c r="I43" s="190" cm="1">
        <f t="array" ref="I43">_xlfn.IFS($AE$19=$AE$21,+I$4*$AE43*$AB43,$AE$19=$AF$21,+I$4*$AF43*$AB43,$AE$19=$AG$21,+I$4*$AG43*$AB43)</f>
        <v>-68507.436295709733</v>
      </c>
      <c r="J43" s="190" cm="1">
        <f t="array" ref="J43">_xlfn.IFS($AE$19=$AE$21,+J$4*$AE43*$AB43,$AE$19=$AF$21,+J$4*$AF43*$AB43,$AE$19=$AG$21,+J$4*$AG43*$AB43)</f>
        <v>-68507.436295709733</v>
      </c>
      <c r="K43" s="190" cm="1">
        <f t="array" ref="K43">_xlfn.IFS($AE$19=$AE$21,+K$4*$AE43*$AB43,$AE$19=$AF$21,+K$4*$AF43*$AB43,$AE$19=$AG$21,+K$4*$AG43*$AB43)</f>
        <v>-51380.577221782296</v>
      </c>
      <c r="L43" s="190" cm="1">
        <f t="array" ref="L43">_xlfn.IFS($AE$19=$AE$21,+L$4*$AE43*$AB43,$AE$19=$AF$21,+L$4*$AF43*$AB43,$AE$19=$AG$21,+L$4*$AG43*$AB43)</f>
        <v>-44096.89020756715</v>
      </c>
      <c r="M43" s="190" cm="1">
        <f t="array" ref="M43">_xlfn.IFS($AE$19=$AE$21,+M$4*$AE43*$AB43,$AE$19=$AF$21,+M$4*$AF43*$AB43,$AE$19=$AG$21,+M$4*$AG43*$AB43)</f>
        <v>-48686.180189545084</v>
      </c>
      <c r="N43" s="190" cm="1">
        <f t="array" ref="N43">_xlfn.IFS($AE$19=$AE$21,+N$4*$AE43*$AB43,$AE$19=$AF$21,+N$4*$AF43*$AB43,$AE$19=$AG$21,+N$4*$AG43*$AB43)</f>
        <v>-66662.546844349592</v>
      </c>
      <c r="O43" s="190" cm="1">
        <f t="array" ref="O43">_xlfn.IFS($AE$19=$AE$21,+O$4*$AE43*$AB43,$AE$19=$AF$21,+O$4*$AF43*$AB43,$AE$19=$AG$21,+O$4*$AG43*$AB43)</f>
        <v>-43578.247753170108</v>
      </c>
      <c r="P43" s="190" cm="1">
        <f t="array" ref="P43">_xlfn.IFS($AE$19=$AE$21,+P$4*$AE43*$AB43,$AE$19=$AF$21,+P$4*$AF43*$AB43,$AE$19=$AG$21,+P$4*$AG43*$AB43)</f>
        <v>-53359.127352254531</v>
      </c>
      <c r="Q43" s="190" cm="1">
        <f t="array" ref="Q43">_xlfn.IFS($AE$19=$AE$21,+Q$4*$AE43*$AB43,$AE$19=$AF$21,+Q$4*$AF43*$AB43,$AE$19=$AG$21,+Q$4*$AG43*$AB43)</f>
        <v>-58104.312906266277</v>
      </c>
      <c r="R43" s="190" cm="1">
        <f t="array" ref="R43">_xlfn.IFS($AE$19=$AE$21,+R$4*$AE43*$AB43,$AE$19=$AF$21,+R$4*$AF43*$AB43,$AE$19=$AG$21,+R$4*$AG43*$AB43)</f>
        <v>-60041.123336475161</v>
      </c>
      <c r="S43" s="190" cm="1">
        <f t="array" ref="S43">_xlfn.IFS($AE$19=$AE$21,+S$4*$AE43*$AB43,$AE$19=$AF$21,+S$4*$AF43*$AB43,$AE$19=$AG$21,+S$4*$AG43*$AB43)</f>
        <v>-55780.140390015622</v>
      </c>
      <c r="T43" s="190" cm="1">
        <f t="array" ref="T43">_xlfn.IFS($AE$19=$AE$21,+T$4*$AE43*$AB43,$AE$19=$AF$21,+T$4*$AF43*$AB43,$AE$19=$AG$21,+T$4*$AG43*$AB43)</f>
        <v>-55780.140390015622</v>
      </c>
      <c r="U43" s="190" cm="1">
        <f t="array" ref="U43">_xlfn.IFS($AE$19=$AE$21,+U$4*$AE43*$AB43,$AE$19=$AF$21,+U$4*$AF43*$AB43,$AE$19=$AG$21,+U$4*$AG43*$AB43)</f>
        <v>-61977.933766684037</v>
      </c>
      <c r="V43" s="190" cm="1">
        <f t="array" ref="V43">_xlfn.IFS($AE$19=$AE$21,+V$4*$AE43*$AB43,$AE$19=$AF$21,+V$4*$AF43*$AB43,$AE$19=$AG$21,+V$4*$AG43*$AB43)</f>
        <v>-61977.933766684037</v>
      </c>
      <c r="W43" s="190" cm="1">
        <f t="array" ref="W43">_xlfn.IFS($AE$19=$AE$21,+W$4*$AE43*$AB43,$AE$19=$AF$21,+W$4*$AF43*$AB43,$AE$19=$AG$21,+W$4*$AG43*$AB43)</f>
        <v>-55780.140390015622</v>
      </c>
      <c r="X43" s="190" cm="1">
        <f t="array" ref="X43">_xlfn.IFS($AE$19=$AE$21,+X$4*$AE43*$AB43,$AE$19=$AF$21,+X$4*$AF43*$AB43,$AE$19=$AG$21,+X$4*$AG43*$AB43)</f>
        <v>-55780.140390015622</v>
      </c>
      <c r="Y43" s="190" cm="1">
        <f t="array" ref="Y43">_xlfn.IFS($AE$19=$AE$21,+Y$4*$AE43*$AB43,$AE$19=$AF$21,+Y$4*$AF43*$AB43,$AE$19=$AG$21,+Y$4*$AG43*$AB43)</f>
        <v>-55783.239286703953</v>
      </c>
      <c r="Z43" s="190" cm="1">
        <f t="array" ref="Z43">_xlfn.IFS($AE$19=$AE$21,+Z$4*$AE43*$AB43,$AE$19=$AF$21,+Z$4*$AF43*$AB43,$AE$19=$AG$21,+Z$4*$AG43*$AB43)</f>
        <v>-68175.727143352429</v>
      </c>
      <c r="AB43" s="188">
        <f>AD43/SUM($AD$43:$AD$45)</f>
        <v>0.78376752261275118</v>
      </c>
      <c r="AC43" s="184" t="str">
        <f>+A43&amp;"-"&amp;B43</f>
        <v>140-4300</v>
      </c>
      <c r="AD43" s="212">
        <v>412294.40000000002</v>
      </c>
      <c r="AE43" s="218">
        <f>AE$22</f>
        <v>0.42276422764227645</v>
      </c>
      <c r="AF43" s="218">
        <f t="shared" ref="AF43:AG43" si="26">AF$22</f>
        <v>0.42266035890737208</v>
      </c>
      <c r="AG43" s="218">
        <f t="shared" si="26"/>
        <v>0.390405884099157</v>
      </c>
    </row>
    <row r="44" spans="1:33" x14ac:dyDescent="0.2">
      <c r="A44" s="184">
        <v>140</v>
      </c>
      <c r="B44" s="185">
        <v>4320</v>
      </c>
      <c r="G44" s="190" cm="1">
        <f t="array" ref="G44">_xlfn.IFS($AE$19=$AE$21,+G$4*$AE44*$AB44,$AE$19=$AF$21,+G$4*$AF44*$AB44,$AE$19=$AG$21,+G$4*$AG44*$AB44)</f>
        <v>-9592.2864321024426</v>
      </c>
      <c r="H44" s="190" cm="1">
        <f t="array" ref="H44">_xlfn.IFS($AE$19=$AE$21,+H$4*$AE44*$AB44,$AE$19=$AF$21,+H$4*$AF44*$AB44,$AE$19=$AG$21,+H$4*$AG44*$AB44)</f>
        <v>-7846.9230361860573</v>
      </c>
      <c r="I44" s="190" cm="1">
        <f t="array" ref="I44">_xlfn.IFS($AE$19=$AE$21,+I$4*$AE44*$AB44,$AE$19=$AF$21,+I$4*$AF44*$AB44,$AE$19=$AG$21,+I$4*$AG44*$AB44)</f>
        <v>-9462.4660142243647</v>
      </c>
      <c r="J44" s="190" cm="1">
        <f t="array" ref="J44">_xlfn.IFS($AE$19=$AE$21,+J$4*$AE44*$AB44,$AE$19=$AF$21,+J$4*$AF44*$AB44,$AE$19=$AG$21,+J$4*$AG44*$AB44)</f>
        <v>-9462.4660142243647</v>
      </c>
      <c r="K44" s="190" cm="1">
        <f t="array" ref="K44">_xlfn.IFS($AE$19=$AE$21,+K$4*$AE44*$AB44,$AE$19=$AF$21,+K$4*$AF44*$AB44,$AE$19=$AG$21,+K$4*$AG44*$AB44)</f>
        <v>-7096.8495106682731</v>
      </c>
      <c r="L44" s="190" cm="1">
        <f t="array" ref="L44">_xlfn.IFS($AE$19=$AE$21,+L$4*$AE44*$AB44,$AE$19=$AF$21,+L$4*$AF44*$AB44,$AE$19=$AG$21,+L$4*$AG44*$AB44)</f>
        <v>-6090.803385503692</v>
      </c>
      <c r="M44" s="190" cm="1">
        <f t="array" ref="M44">_xlfn.IFS($AE$19=$AE$21,+M$4*$AE44*$AB44,$AE$19=$AF$21,+M$4*$AF44*$AB44,$AE$19=$AG$21,+M$4*$AG44*$AB44)</f>
        <v>-6724.6907827263803</v>
      </c>
      <c r="N44" s="190" cm="1">
        <f t="array" ref="N44">_xlfn.IFS($AE$19=$AE$21,+N$4*$AE44*$AB44,$AE$19=$AF$21,+N$4*$AF44*$AB44,$AE$19=$AG$21,+N$4*$AG44*$AB44)</f>
        <v>-9207.6439879242844</v>
      </c>
      <c r="O44" s="190" cm="1">
        <f t="array" ref="O44">_xlfn.IFS($AE$19=$AE$21,+O$4*$AE44*$AB44,$AE$19=$AF$21,+O$4*$AF44*$AB44,$AE$19=$AG$21,+O$4*$AG44*$AB44)</f>
        <v>-6019.1668323989707</v>
      </c>
      <c r="P44" s="190" cm="1">
        <f t="array" ref="P44">_xlfn.IFS($AE$19=$AE$21,+P$4*$AE44*$AB44,$AE$19=$AF$21,+P$4*$AF44*$AB44,$AE$19=$AG$21,+P$4*$AG44*$AB44)</f>
        <v>-7370.1331770752322</v>
      </c>
      <c r="Q44" s="190" cm="1">
        <f t="array" ref="Q44">_xlfn.IFS($AE$19=$AE$21,+Q$4*$AE44*$AB44,$AE$19=$AF$21,+Q$4*$AF44*$AB44,$AE$19=$AG$21,+Q$4*$AG44*$AB44)</f>
        <v>-8025.5533688659507</v>
      </c>
      <c r="R44" s="190" cm="1">
        <f t="array" ref="R44">_xlfn.IFS($AE$19=$AE$21,+R$4*$AE44*$AB44,$AE$19=$AF$21,+R$4*$AF44*$AB44,$AE$19=$AG$21,+R$4*$AG44*$AB44)</f>
        <v>-8293.0718144948169</v>
      </c>
      <c r="S44" s="190" cm="1">
        <f t="array" ref="S44">_xlfn.IFS($AE$19=$AE$21,+S$4*$AE44*$AB44,$AE$19=$AF$21,+S$4*$AF44*$AB44,$AE$19=$AG$21,+S$4*$AG44*$AB44)</f>
        <v>-7704.5312341113122</v>
      </c>
      <c r="T44" s="190" cm="1">
        <f t="array" ref="T44">_xlfn.IFS($AE$19=$AE$21,+T$4*$AE44*$AB44,$AE$19=$AF$21,+T$4*$AF44*$AB44,$AE$19=$AG$21,+T$4*$AG44*$AB44)</f>
        <v>-7704.5312341113122</v>
      </c>
      <c r="U44" s="190" cm="1">
        <f t="array" ref="U44">_xlfn.IFS($AE$19=$AE$21,+U$4*$AE44*$AB44,$AE$19=$AF$21,+U$4*$AF44*$AB44,$AE$19=$AG$21,+U$4*$AG44*$AB44)</f>
        <v>-8560.590260123683</v>
      </c>
      <c r="V44" s="190" cm="1">
        <f t="array" ref="V44">_xlfn.IFS($AE$19=$AE$21,+V$4*$AE44*$AB44,$AE$19=$AF$21,+V$4*$AF44*$AB44,$AE$19=$AG$21,+V$4*$AG44*$AB44)</f>
        <v>-8560.590260123683</v>
      </c>
      <c r="W44" s="190" cm="1">
        <f t="array" ref="W44">_xlfn.IFS($AE$19=$AE$21,+W$4*$AE44*$AB44,$AE$19=$AF$21,+W$4*$AF44*$AB44,$AE$19=$AG$21,+W$4*$AG44*$AB44)</f>
        <v>-7704.5312341113122</v>
      </c>
      <c r="X44" s="190" cm="1">
        <f t="array" ref="X44">_xlfn.IFS($AE$19=$AE$21,+X$4*$AE44*$AB44,$AE$19=$AF$21,+X$4*$AF44*$AB44,$AE$19=$AG$21,+X$4*$AG44*$AB44)</f>
        <v>-7704.5312341113122</v>
      </c>
      <c r="Y44" s="190" cm="1">
        <f t="array" ref="Y44">_xlfn.IFS($AE$19=$AE$21,+Y$4*$AE44*$AB44,$AE$19=$AF$21,+Y$4*$AF44*$AB44,$AE$19=$AG$21,+Y$4*$AG44*$AB44)</f>
        <v>-7704.9592636243187</v>
      </c>
      <c r="Z44" s="190" cm="1">
        <f t="array" ref="Z44">_xlfn.IFS($AE$19=$AE$21,+Z$4*$AE44*$AB44,$AE$19=$AF$21,+Z$4*$AF44*$AB44,$AE$19=$AG$21,+Z$4*$AG44*$AB44)</f>
        <v>-9416.6492861360493</v>
      </c>
      <c r="AB44" s="188">
        <f t="shared" ref="AB44:AB45" si="27">AD44/SUM($AD$43:$AD$45)</f>
        <v>0.1082564747243422</v>
      </c>
      <c r="AC44" s="184" t="str">
        <f>+A44&amp;"-"&amp;B44</f>
        <v>140-4320</v>
      </c>
      <c r="AD44" s="212">
        <v>56947.42</v>
      </c>
      <c r="AE44" s="218">
        <f t="shared" ref="AE44:AG45" si="28">AE$22</f>
        <v>0.42276422764227645</v>
      </c>
      <c r="AF44" s="218">
        <f t="shared" si="28"/>
        <v>0.42266035890737208</v>
      </c>
      <c r="AG44" s="218">
        <f t="shared" si="28"/>
        <v>0.390405884099157</v>
      </c>
    </row>
    <row r="45" spans="1:33" x14ac:dyDescent="0.2">
      <c r="A45" s="184">
        <v>140</v>
      </c>
      <c r="B45" s="185">
        <v>4340</v>
      </c>
      <c r="C45" s="190"/>
      <c r="D45" s="190"/>
      <c r="E45" s="190"/>
      <c r="F45" s="190"/>
      <c r="G45" s="190" cm="1">
        <f t="array" ref="G45">_xlfn.IFS($AE$19=$AE$21,+G$4*$AE45*$AB45,$AE$19=$AF$21,+G$4*$AF45*$AB45,$AE$19=$AG$21,+G$4*$AG45*$AB45)</f>
        <v>-9567.434631262433</v>
      </c>
      <c r="H45" s="190" cm="1">
        <f t="array" ref="H45">_xlfn.IFS($AE$19=$AE$21,+H$4*$AE45*$AB45,$AE$19=$AF$21,+H$4*$AF45*$AB45,$AE$19=$AG$21,+H$4*$AG45*$AB45)</f>
        <v>-7826.5931419650569</v>
      </c>
      <c r="I45" s="190" cm="1">
        <f t="array" ref="I45">_xlfn.IFS($AE$19=$AE$21,+I$4*$AE45*$AB45,$AE$19=$AF$21,+I$4*$AF45*$AB45,$AE$19=$AG$21,+I$4*$AG45*$AB45)</f>
        <v>-9437.9505535460994</v>
      </c>
      <c r="J45" s="190" cm="1">
        <f t="array" ref="J45">_xlfn.IFS($AE$19=$AE$21,+J$4*$AE45*$AB45,$AE$19=$AF$21,+J$4*$AF45*$AB45,$AE$19=$AG$21,+J$4*$AG45*$AB45)</f>
        <v>-9437.9505535460994</v>
      </c>
      <c r="K45" s="190" cm="1">
        <f t="array" ref="K45">_xlfn.IFS($AE$19=$AE$21,+K$4*$AE45*$AB45,$AE$19=$AF$21,+K$4*$AF45*$AB45,$AE$19=$AG$21,+K$4*$AG45*$AB45)</f>
        <v>-7078.4629151595745</v>
      </c>
      <c r="L45" s="190" cm="1">
        <f t="array" ref="L45">_xlfn.IFS($AE$19=$AE$21,+L$4*$AE45*$AB45,$AE$19=$AF$21,+L$4*$AF45*$AB45,$AE$19=$AG$21,+L$4*$AG45*$AB45)</f>
        <v>-6075.0232653244602</v>
      </c>
      <c r="M45" s="190" cm="1">
        <f t="array" ref="M45">_xlfn.IFS($AE$19=$AE$21,+M$4*$AE45*$AB45,$AE$19=$AF$21,+M$4*$AF45*$AB45,$AE$19=$AG$21,+M$4*$AG45*$AB45)</f>
        <v>-6707.2683801296789</v>
      </c>
      <c r="N45" s="190" cm="1">
        <f t="array" ref="N45">_xlfn.IFS($AE$19=$AE$21,+N$4*$AE45*$AB45,$AE$19=$AF$21,+N$4*$AF45*$AB45,$AE$19=$AG$21,+N$4*$AG45*$AB45)</f>
        <v>-9183.7887229451462</v>
      </c>
      <c r="O45" s="190" cm="1">
        <f t="array" ref="O45">_xlfn.IFS($AE$19=$AE$21,+O$4*$AE45*$AB45,$AE$19=$AF$21,+O$4*$AF45*$AB45,$AE$19=$AG$21,+O$4*$AG45*$AB45)</f>
        <v>-6003.5723089868097</v>
      </c>
      <c r="P45" s="190" cm="1">
        <f t="array" ref="P45">_xlfn.IFS($AE$19=$AE$21,+P$4*$AE45*$AB45,$AE$19=$AF$21,+P$4*$AF45*$AB45,$AE$19=$AG$21,+P$4*$AG45*$AB45)</f>
        <v>-7351.0385552478401</v>
      </c>
      <c r="Q45" s="190" cm="1">
        <f t="array" ref="Q45">_xlfn.IFS($AE$19=$AE$21,+Q$4*$AE45*$AB45,$AE$19=$AF$21,+Q$4*$AF45*$AB45,$AE$19=$AG$21,+Q$4*$AG45*$AB45)</f>
        <v>-8004.7606772208783</v>
      </c>
      <c r="R45" s="190" cm="1">
        <f t="array" ref="R45">_xlfn.IFS($AE$19=$AE$21,+R$4*$AE45*$AB45,$AE$19=$AF$21,+R$4*$AF45*$AB45,$AE$19=$AG$21,+R$4*$AG45*$AB45)</f>
        <v>-8271.586033128242</v>
      </c>
      <c r="S45" s="190" cm="1">
        <f t="array" ref="S45">_xlfn.IFS($AE$19=$AE$21,+S$4*$AE45*$AB45,$AE$19=$AF$21,+S$4*$AF45*$AB45,$AE$19=$AG$21,+S$4*$AG45*$AB45)</f>
        <v>-7684.570250132042</v>
      </c>
      <c r="T45" s="190" cm="1">
        <f t="array" ref="T45">_xlfn.IFS($AE$19=$AE$21,+T$4*$AE45*$AB45,$AE$19=$AF$21,+T$4*$AF45*$AB45,$AE$19=$AG$21,+T$4*$AG45*$AB45)</f>
        <v>-7684.570250132042</v>
      </c>
      <c r="U45" s="190" cm="1">
        <f t="array" ref="U45">_xlfn.IFS($AE$19=$AE$21,+U$4*$AE45*$AB45,$AE$19=$AF$21,+U$4*$AF45*$AB45,$AE$19=$AG$21,+U$4*$AG45*$AB45)</f>
        <v>-8538.4113890356039</v>
      </c>
      <c r="V45" s="190" cm="1">
        <f t="array" ref="V45">_xlfn.IFS($AE$19=$AE$21,+V$4*$AE45*$AB45,$AE$19=$AF$21,+V$4*$AF45*$AB45,$AE$19=$AG$21,+V$4*$AG45*$AB45)</f>
        <v>-8538.4113890356039</v>
      </c>
      <c r="W45" s="190" cm="1">
        <f t="array" ref="W45">_xlfn.IFS($AE$19=$AE$21,+W$4*$AE45*$AB45,$AE$19=$AF$21,+W$4*$AF45*$AB45,$AE$19=$AG$21,+W$4*$AG45*$AB45)</f>
        <v>-7684.570250132042</v>
      </c>
      <c r="X45" s="190" cm="1">
        <f t="array" ref="X45">_xlfn.IFS($AE$19=$AE$21,+X$4*$AE45*$AB45,$AE$19=$AF$21,+X$4*$AF45*$AB45,$AE$19=$AG$21,+X$4*$AG45*$AB45)</f>
        <v>-7684.570250132042</v>
      </c>
      <c r="Y45" s="190" cm="1">
        <f t="array" ref="Y45">_xlfn.IFS($AE$19=$AE$21,+Y$4*$AE45*$AB45,$AE$19=$AF$21,+Y$4*$AF45*$AB45,$AE$19=$AG$21,+Y$4*$AG45*$AB45)</f>
        <v>-7684.9971707014938</v>
      </c>
      <c r="Z45" s="190" cm="1">
        <f t="array" ref="Z45">_xlfn.IFS($AE$19=$AE$21,+Z$4*$AE45*$AB45,$AE$19=$AF$21,+Z$4*$AF45*$AB45,$AE$19=$AG$21,+Z$4*$AG45*$AB45)</f>
        <v>-9392.252527939163</v>
      </c>
      <c r="AB45" s="188">
        <f t="shared" si="27"/>
        <v>0.10797600266290677</v>
      </c>
      <c r="AC45" s="184" t="str">
        <f>+A45&amp;"-"&amp;B45</f>
        <v>140-4340</v>
      </c>
      <c r="AD45" s="212">
        <v>56799.88</v>
      </c>
      <c r="AE45" s="218">
        <f t="shared" si="28"/>
        <v>0.42276422764227645</v>
      </c>
      <c r="AF45" s="218">
        <f t="shared" si="28"/>
        <v>0.42266035890737208</v>
      </c>
      <c r="AG45" s="218">
        <f t="shared" si="28"/>
        <v>0.390405884099157</v>
      </c>
    </row>
    <row r="46" spans="1:33" x14ac:dyDescent="0.2">
      <c r="B46" s="192"/>
      <c r="G46" s="190"/>
      <c r="H46" s="190"/>
      <c r="I46" s="190"/>
      <c r="J46" s="190"/>
      <c r="K46" s="190"/>
      <c r="L46" s="190"/>
      <c r="M46" s="190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213"/>
      <c r="AE46" s="218"/>
      <c r="AF46" s="218"/>
      <c r="AG46" s="218"/>
    </row>
    <row r="47" spans="1:33" x14ac:dyDescent="0.2">
      <c r="A47" s="184">
        <v>147</v>
      </c>
      <c r="B47" s="185">
        <v>4300</v>
      </c>
      <c r="G47" s="190" cm="1">
        <f t="array" ref="G47">_xlfn.IFS($AE$19=$AE$21,+G$4*$AE47*$AB47,$AE$19=$AF$21,+G$4*$AF47*$AB47,$AE$19=$AG$21,+G$4*$AG47*$AB47)</f>
        <v>-44.108155146256671</v>
      </c>
      <c r="H47" s="190" cm="1">
        <f t="array" ref="H47">_xlfn.IFS($AE$19=$AE$21,+H$4*$AE47*$AB47,$AE$19=$AF$21,+H$4*$AF47*$AB47,$AE$19=$AG$21,+H$4*$AG47*$AB47)</f>
        <v>-36.082460751223508</v>
      </c>
      <c r="I47" s="190" cm="1">
        <f t="array" ref="I47">_xlfn.IFS($AE$19=$AE$21,+I$4*$AE47*$AB47,$AE$19=$AF$21,+I$4*$AF47*$AB47,$AE$19=$AG$21,+I$4*$AG47*$AB47)</f>
        <v>-43.51120267059305</v>
      </c>
      <c r="J47" s="190" cm="1">
        <f t="array" ref="J47">_xlfn.IFS($AE$19=$AE$21,+J$4*$AE47*$AB47,$AE$19=$AF$21,+J$4*$AF47*$AB47,$AE$19=$AG$21,+J$4*$AG47*$AB47)</f>
        <v>-43.51120267059305</v>
      </c>
      <c r="K47" s="190" cm="1">
        <f t="array" ref="K47">_xlfn.IFS($AE$19=$AE$21,+K$4*$AE47*$AB47,$AE$19=$AF$21,+K$4*$AF47*$AB47,$AE$19=$AG$21,+K$4*$AG47*$AB47)</f>
        <v>-32.633402002944784</v>
      </c>
      <c r="L47" s="190" cm="1">
        <f t="array" ref="L47">_xlfn.IFS($AE$19=$AE$21,+L$4*$AE47*$AB47,$AE$19=$AF$21,+L$4*$AF47*$AB47,$AE$19=$AG$21,+L$4*$AG47*$AB47)</f>
        <v>-28.007305932195617</v>
      </c>
      <c r="M47" s="190" cm="1">
        <f t="array" ref="M47">_xlfn.IFS($AE$19=$AE$21,+M$4*$AE47*$AB47,$AE$19=$AF$21,+M$4*$AF47*$AB47,$AE$19=$AG$21,+M$4*$AG47*$AB47)</f>
        <v>-30.922106679636073</v>
      </c>
      <c r="N47" s="190" cm="1">
        <f t="array" ref="N47">_xlfn.IFS($AE$19=$AE$21,+N$4*$AE47*$AB47,$AE$19=$AF$21,+N$4*$AF47*$AB47,$AE$19=$AG$21,+N$4*$AG47*$AB47)</f>
        <v>-42.339456022879169</v>
      </c>
      <c r="O47" s="190" cm="1">
        <f t="array" ref="O47">_xlfn.IFS($AE$19=$AE$21,+O$4*$AE47*$AB47,$AE$19=$AF$21,+O$4*$AF47*$AB47,$AE$19=$AG$21,+O$4*$AG47*$AB47)</f>
        <v>-27.677899984942897</v>
      </c>
      <c r="P47" s="190" cm="1">
        <f t="array" ref="P47">_xlfn.IFS($AE$19=$AE$21,+P$4*$AE47*$AB47,$AE$19=$AF$21,+P$4*$AF47*$AB47,$AE$19=$AG$21,+P$4*$AG47*$AB47)</f>
        <v>-33.8900407034401</v>
      </c>
      <c r="Q47" s="190" cm="1">
        <f t="array" ref="Q47">_xlfn.IFS($AE$19=$AE$21,+Q$4*$AE47*$AB47,$AE$19=$AF$21,+Q$4*$AF47*$AB47,$AE$19=$AG$21,+Q$4*$AG47*$AB47)</f>
        <v>-36.903855575433859</v>
      </c>
      <c r="R47" s="190" cm="1">
        <f t="array" ref="R47">_xlfn.IFS($AE$19=$AE$21,+R$4*$AE47*$AB47,$AE$19=$AF$21,+R$4*$AF47*$AB47,$AE$19=$AG$21,+R$4*$AG47*$AB47)</f>
        <v>-38.133984094614988</v>
      </c>
      <c r="S47" s="190" cm="1">
        <f t="array" ref="S47">_xlfn.IFS($AE$19=$AE$21,+S$4*$AE47*$AB47,$AE$19=$AF$21,+S$4*$AF47*$AB47,$AE$19=$AG$21,+S$4*$AG47*$AB47)</f>
        <v>-35.427701352416499</v>
      </c>
      <c r="T47" s="190" cm="1">
        <f t="array" ref="T47">_xlfn.IFS($AE$19=$AE$21,+T$4*$AE47*$AB47,$AE$19=$AF$21,+T$4*$AF47*$AB47,$AE$19=$AG$21,+T$4*$AG47*$AB47)</f>
        <v>-35.427701352416499</v>
      </c>
      <c r="U47" s="190" cm="1">
        <f t="array" ref="U47">_xlfn.IFS($AE$19=$AE$21,+U$4*$AE47*$AB47,$AE$19=$AF$21,+U$4*$AF47*$AB47,$AE$19=$AG$21,+U$4*$AG47*$AB47)</f>
        <v>-39.364112613796124</v>
      </c>
      <c r="V47" s="190" cm="1">
        <f t="array" ref="V47">_xlfn.IFS($AE$19=$AE$21,+V$4*$AE47*$AB47,$AE$19=$AF$21,+V$4*$AF47*$AB47,$AE$19=$AG$21,+V$4*$AG47*$AB47)</f>
        <v>-39.364112613796124</v>
      </c>
      <c r="W47" s="190" cm="1">
        <f t="array" ref="W47">_xlfn.IFS($AE$19=$AE$21,+W$4*$AE47*$AB47,$AE$19=$AF$21,+W$4*$AF47*$AB47,$AE$19=$AG$21,+W$4*$AG47*$AB47)</f>
        <v>-35.427701352416499</v>
      </c>
      <c r="X47" s="190" cm="1">
        <f t="array" ref="X47">_xlfn.IFS($AE$19=$AE$21,+X$4*$AE47*$AB47,$AE$19=$AF$21,+X$4*$AF47*$AB47,$AE$19=$AG$21,+X$4*$AG47*$AB47)</f>
        <v>-35.427701352416499</v>
      </c>
      <c r="Y47" s="190" cm="1">
        <f t="array" ref="Y47">_xlfn.IFS($AE$19=$AE$21,+Y$4*$AE47*$AB47,$AE$19=$AF$21,+Y$4*$AF47*$AB47,$AE$19=$AG$21,+Y$4*$AG47*$AB47)</f>
        <v>-35.429669558047188</v>
      </c>
      <c r="Z47" s="190" cm="1">
        <f t="array" ref="Z47">_xlfn.IFS($AE$19=$AE$21,+Z$4*$AE47*$AB47,$AE$19=$AF$21,+Z$4*$AF47*$AB47,$AE$19=$AG$21,+Z$4*$AG47*$AB47)</f>
        <v>-43.300523875175728</v>
      </c>
      <c r="AB47" s="188">
        <f>AD47/SUM($AD$47:$AD$49)</f>
        <v>0.39398609783992755</v>
      </c>
      <c r="AC47" s="184" t="str">
        <f>+A47&amp;"-"&amp;B47</f>
        <v>147-4300</v>
      </c>
      <c r="AD47" s="212">
        <v>45223.71</v>
      </c>
      <c r="AE47" s="218">
        <f>AE$26</f>
        <v>0</v>
      </c>
      <c r="AF47" s="218">
        <f t="shared" ref="AF47:AG49" si="29">AF$26</f>
        <v>5.3402459008496063E-4</v>
      </c>
      <c r="AG47" s="218">
        <f t="shared" si="29"/>
        <v>2.6153936145675424E-3</v>
      </c>
    </row>
    <row r="48" spans="1:33" x14ac:dyDescent="0.2">
      <c r="A48" s="184">
        <v>147</v>
      </c>
      <c r="B48" s="185">
        <v>4320</v>
      </c>
      <c r="G48" s="190" cm="1">
        <f t="array" ref="G48">_xlfn.IFS($AE$19=$AE$21,+G$4*$AE48*$AB48,$AE$19=$AF$21,+G$4*$AF48*$AB48,$AE$19=$AG$21,+G$4*$AG48*$AB48)</f>
        <v>-6.3278306120560268</v>
      </c>
      <c r="H48" s="190" cm="1">
        <f t="array" ref="H48">_xlfn.IFS($AE$19=$AE$21,+H$4*$AE48*$AB48,$AE$19=$AF$21,+H$4*$AF48*$AB48,$AE$19=$AG$21,+H$4*$AG48*$AB48)</f>
        <v>-5.1764509067044795</v>
      </c>
      <c r="I48" s="190" cm="1">
        <f t="array" ref="I48">_xlfn.IFS($AE$19=$AE$21,+I$4*$AE48*$AB48,$AE$19=$AF$21,+I$4*$AF48*$AB48,$AE$19=$AG$21,+I$4*$AG48*$AB48)</f>
        <v>-6.2421907992612846</v>
      </c>
      <c r="J48" s="190" cm="1">
        <f t="array" ref="J48">_xlfn.IFS($AE$19=$AE$21,+J$4*$AE48*$AB48,$AE$19=$AF$21,+J$4*$AF48*$AB48,$AE$19=$AG$21,+J$4*$AG48*$AB48)</f>
        <v>-6.2421907992612846</v>
      </c>
      <c r="K48" s="190" cm="1">
        <f t="array" ref="K48">_xlfn.IFS($AE$19=$AE$21,+K$4*$AE48*$AB48,$AE$19=$AF$21,+K$4*$AF48*$AB48,$AE$19=$AG$21,+K$4*$AG48*$AB48)</f>
        <v>-4.6816430994459628</v>
      </c>
      <c r="L48" s="190" cm="1">
        <f t="array" ref="L48">_xlfn.IFS($AE$19=$AE$21,+L$4*$AE48*$AB48,$AE$19=$AF$21,+L$4*$AF48*$AB48,$AE$19=$AG$21,+L$4*$AG48*$AB48)</f>
        <v>-4.0179755251905247</v>
      </c>
      <c r="M48" s="190" cm="1">
        <f t="array" ref="M48">_xlfn.IFS($AE$19=$AE$21,+M$4*$AE48*$AB48,$AE$19=$AF$21,+M$4*$AF48*$AB48,$AE$19=$AG$21,+M$4*$AG48*$AB48)</f>
        <v>-4.4361377751540179</v>
      </c>
      <c r="N48" s="190" cm="1">
        <f t="array" ref="N48">_xlfn.IFS($AE$19=$AE$21,+N$4*$AE48*$AB48,$AE$19=$AF$21,+N$4*$AF48*$AB48,$AE$19=$AG$21,+N$4*$AG48*$AB48)</f>
        <v>-6.0740900414220125</v>
      </c>
      <c r="O48" s="190" cm="1">
        <f t="array" ref="O48">_xlfn.IFS($AE$19=$AE$21,+O$4*$AE48*$AB48,$AE$19=$AF$21,+O$4*$AF48*$AB48,$AE$19=$AG$21,+O$4*$AG48*$AB48)</f>
        <v>-3.9707183903158647</v>
      </c>
      <c r="P48" s="190" cm="1">
        <f t="array" ref="P48">_xlfn.IFS($AE$19=$AE$21,+P$4*$AE48*$AB48,$AE$19=$AF$21,+P$4*$AF48*$AB48,$AE$19=$AG$21,+P$4*$AG48*$AB48)</f>
        <v>-4.8619226148988641</v>
      </c>
      <c r="Q48" s="190" cm="1">
        <f t="array" ref="Q48">_xlfn.IFS($AE$19=$AE$21,+Q$4*$AE48*$AB48,$AE$19=$AF$21,+Q$4*$AF48*$AB48,$AE$19=$AG$21,+Q$4*$AG48*$AB48)</f>
        <v>-5.2942895988009404</v>
      </c>
      <c r="R48" s="190" cm="1">
        <f t="array" ref="R48">_xlfn.IFS($AE$19=$AE$21,+R$4*$AE48*$AB48,$AE$19=$AF$21,+R$4*$AF48*$AB48,$AE$19=$AG$21,+R$4*$AG48*$AB48)</f>
        <v>-5.4707659187609714</v>
      </c>
      <c r="S48" s="190" cm="1">
        <f t="array" ref="S48">_xlfn.IFS($AE$19=$AE$21,+S$4*$AE48*$AB48,$AE$19=$AF$21,+S$4*$AF48*$AB48,$AE$19=$AG$21,+S$4*$AG48*$AB48)</f>
        <v>-5.082518014848902</v>
      </c>
      <c r="T48" s="190" cm="1">
        <f t="array" ref="T48">_xlfn.IFS($AE$19=$AE$21,+T$4*$AE48*$AB48,$AE$19=$AF$21,+T$4*$AF48*$AB48,$AE$19=$AG$21,+T$4*$AG48*$AB48)</f>
        <v>-5.082518014848902</v>
      </c>
      <c r="U48" s="190" cm="1">
        <f t="array" ref="U48">_xlfn.IFS($AE$19=$AE$21,+U$4*$AE48*$AB48,$AE$19=$AF$21,+U$4*$AF48*$AB48,$AE$19=$AG$21,+U$4*$AG48*$AB48)</f>
        <v>-5.6472422387210042</v>
      </c>
      <c r="V48" s="190" cm="1">
        <f t="array" ref="V48">_xlfn.IFS($AE$19=$AE$21,+V$4*$AE48*$AB48,$AE$19=$AF$21,+V$4*$AF48*$AB48,$AE$19=$AG$21,+V$4*$AG48*$AB48)</f>
        <v>-5.6472422387210042</v>
      </c>
      <c r="W48" s="190" cm="1">
        <f t="array" ref="W48">_xlfn.IFS($AE$19=$AE$21,+W$4*$AE48*$AB48,$AE$19=$AF$21,+W$4*$AF48*$AB48,$AE$19=$AG$21,+W$4*$AG48*$AB48)</f>
        <v>-5.082518014848902</v>
      </c>
      <c r="X48" s="190" cm="1">
        <f t="array" ref="X48">_xlfn.IFS($AE$19=$AE$21,+X$4*$AE48*$AB48,$AE$19=$AF$21,+X$4*$AF48*$AB48,$AE$19=$AG$21,+X$4*$AG48*$AB48)</f>
        <v>-5.082518014848902</v>
      </c>
      <c r="Y48" s="190" cm="1">
        <f t="array" ref="Y48">_xlfn.IFS($AE$19=$AE$21,+Y$4*$AE48*$AB48,$AE$19=$AF$21,+Y$4*$AF48*$AB48,$AE$19=$AG$21,+Y$4*$AG48*$AB48)</f>
        <v>-5.0828003769608383</v>
      </c>
      <c r="Z48" s="190" cm="1">
        <f t="array" ref="Z48">_xlfn.IFS($AE$19=$AE$21,+Z$4*$AE48*$AB48,$AE$19=$AF$21,+Z$4*$AF48*$AB48,$AE$19=$AG$21,+Z$4*$AG48*$AB48)</f>
        <v>-6.2119664625931028</v>
      </c>
      <c r="AB48" s="188">
        <f t="shared" ref="AB48:AB49" si="30">AD48/SUM($AD$47:$AD$49)</f>
        <v>5.6521912611608618E-2</v>
      </c>
      <c r="AC48" s="184" t="str">
        <f>+A48&amp;"-"&amp;B48</f>
        <v>147-4320</v>
      </c>
      <c r="AD48" s="212">
        <v>6487.87</v>
      </c>
      <c r="AE48" s="218">
        <f>AE$26</f>
        <v>0</v>
      </c>
      <c r="AF48" s="218">
        <f t="shared" si="29"/>
        <v>5.3402459008496063E-4</v>
      </c>
      <c r="AG48" s="218">
        <f t="shared" si="29"/>
        <v>2.6153936145675424E-3</v>
      </c>
    </row>
    <row r="49" spans="1:33" x14ac:dyDescent="0.2">
      <c r="A49" s="184">
        <v>147</v>
      </c>
      <c r="B49" s="185">
        <v>4340</v>
      </c>
      <c r="C49" s="190"/>
      <c r="D49" s="190"/>
      <c r="E49" s="190"/>
      <c r="F49" s="190"/>
      <c r="G49" s="190" cm="1">
        <f t="array" ref="G49">_xlfn.IFS($AE$19=$AE$21,+G$4*$AE49*$AB49,$AE$19=$AF$21,+G$4*$AF49*$AB49,$AE$19=$AG$21,+G$4*$AG49*$AB49)</f>
        <v>-61.517596837836045</v>
      </c>
      <c r="H49" s="190" cm="1">
        <f t="array" ref="H49">_xlfn.IFS($AE$19=$AE$21,+H$4*$AE49*$AB49,$AE$19=$AF$21,+H$4*$AF49*$AB49,$AE$19=$AG$21,+H$4*$AG49*$AB49)</f>
        <v>-50.324169443282422</v>
      </c>
      <c r="I49" s="190" cm="1">
        <f t="array" ref="I49">_xlfn.IFS($AE$19=$AE$21,+I$4*$AE49*$AB49,$AE$19=$AF$21,+I$4*$AF49*$AB49,$AE$19=$AG$21,+I$4*$AG49*$AB49)</f>
        <v>-60.685027858075863</v>
      </c>
      <c r="J49" s="190" cm="1">
        <f t="array" ref="J49">_xlfn.IFS($AE$19=$AE$21,+J$4*$AE49*$AB49,$AE$19=$AF$21,+J$4*$AF49*$AB49,$AE$19=$AG$21,+J$4*$AG49*$AB49)</f>
        <v>-60.685027858075863</v>
      </c>
      <c r="K49" s="190" cm="1">
        <f t="array" ref="K49">_xlfn.IFS($AE$19=$AE$21,+K$4*$AE49*$AB49,$AE$19=$AF$21,+K$4*$AF49*$AB49,$AE$19=$AG$21,+K$4*$AG49*$AB49)</f>
        <v>-45.513770893556895</v>
      </c>
      <c r="L49" s="190" cm="1">
        <f t="array" ref="L49">_xlfn.IFS($AE$19=$AE$21,+L$4*$AE49*$AB49,$AE$19=$AF$21,+L$4*$AF49*$AB49,$AE$19=$AG$21,+L$4*$AG49*$AB49)</f>
        <v>-39.061759648248739</v>
      </c>
      <c r="M49" s="190" cm="1">
        <f t="array" ref="M49">_xlfn.IFS($AE$19=$AE$21,+M$4*$AE49*$AB49,$AE$19=$AF$21,+M$4*$AF49*$AB49,$AE$19=$AG$21,+M$4*$AG49*$AB49)</f>
        <v>-43.127029135242523</v>
      </c>
      <c r="N49" s="190" cm="1">
        <f t="array" ref="N49">_xlfn.IFS($AE$19=$AE$21,+N$4*$AE49*$AB49,$AE$19=$AF$21,+N$4*$AF49*$AB49,$AE$19=$AG$21,+N$4*$AG49*$AB49)</f>
        <v>-59.050794060921326</v>
      </c>
      <c r="O49" s="190" cm="1">
        <f t="array" ref="O49">_xlfn.IFS($AE$19=$AE$21,+O$4*$AE49*$AB49,$AE$19=$AF$21,+O$4*$AF49*$AB49,$AE$19=$AG$21,+O$4*$AG49*$AB49)</f>
        <v>-38.602337525698275</v>
      </c>
      <c r="P49" s="190" cm="1">
        <f t="array" ref="P49">_xlfn.IFS($AE$19=$AE$21,+P$4*$AE49*$AB49,$AE$19=$AF$21,+P$4*$AF49*$AB49,$AE$19=$AG$21,+P$4*$AG49*$AB49)</f>
        <v>-47.266403545989505</v>
      </c>
      <c r="Q49" s="190" cm="1">
        <f t="array" ref="Q49">_xlfn.IFS($AE$19=$AE$21,+Q$4*$AE49*$AB49,$AE$19=$AF$21,+Q$4*$AF49*$AB49,$AE$19=$AG$21,+Q$4*$AG49*$AB49)</f>
        <v>-51.469767926667323</v>
      </c>
      <c r="R49" s="190" cm="1">
        <f t="array" ref="R49">_xlfn.IFS($AE$19=$AE$21,+R$4*$AE49*$AB49,$AE$19=$AF$21,+R$4*$AF49*$AB49,$AE$19=$AG$21,+R$4*$AG49*$AB49)</f>
        <v>-53.185426857556237</v>
      </c>
      <c r="S49" s="190" cm="1">
        <f t="array" ref="S49">_xlfn.IFS($AE$19=$AE$21,+S$4*$AE49*$AB49,$AE$19=$AF$21,+S$4*$AF49*$AB49,$AE$19=$AG$21,+S$4*$AG49*$AB49)</f>
        <v>-49.410977209600631</v>
      </c>
      <c r="T49" s="190" cm="1">
        <f t="array" ref="T49">_xlfn.IFS($AE$19=$AE$21,+T$4*$AE49*$AB49,$AE$19=$AF$21,+T$4*$AF49*$AB49,$AE$19=$AG$21,+T$4*$AG49*$AB49)</f>
        <v>-49.410977209600631</v>
      </c>
      <c r="U49" s="190" cm="1">
        <f t="array" ref="U49">_xlfn.IFS($AE$19=$AE$21,+U$4*$AE49*$AB49,$AE$19=$AF$21,+U$4*$AF49*$AB49,$AE$19=$AG$21,+U$4*$AG49*$AB49)</f>
        <v>-54.901085788445158</v>
      </c>
      <c r="V49" s="190" cm="1">
        <f t="array" ref="V49">_xlfn.IFS($AE$19=$AE$21,+V$4*$AE49*$AB49,$AE$19=$AF$21,+V$4*$AF49*$AB49,$AE$19=$AG$21,+V$4*$AG49*$AB49)</f>
        <v>-54.901085788445158</v>
      </c>
      <c r="W49" s="190" cm="1">
        <f t="array" ref="W49">_xlfn.IFS($AE$19=$AE$21,+W$4*$AE49*$AB49,$AE$19=$AF$21,+W$4*$AF49*$AB49,$AE$19=$AG$21,+W$4*$AG49*$AB49)</f>
        <v>-49.410977209600631</v>
      </c>
      <c r="X49" s="190" cm="1">
        <f t="array" ref="X49">_xlfn.IFS($AE$19=$AE$21,+X$4*$AE49*$AB49,$AE$19=$AF$21,+X$4*$AF49*$AB49,$AE$19=$AG$21,+X$4*$AG49*$AB49)</f>
        <v>-49.410977209600631</v>
      </c>
      <c r="Y49" s="190" cm="1">
        <f t="array" ref="Y49">_xlfn.IFS($AE$19=$AE$21,+Y$4*$AE49*$AB49,$AE$19=$AF$21,+Y$4*$AF49*$AB49,$AE$19=$AG$21,+Y$4*$AG49*$AB49)</f>
        <v>-49.413722263890051</v>
      </c>
      <c r="Z49" s="190" cm="1">
        <f t="array" ref="Z49">_xlfn.IFS($AE$19=$AE$21,+Z$4*$AE49*$AB49,$AE$19=$AF$21,+Z$4*$AF49*$AB49,$AE$19=$AG$21,+Z$4*$AG49*$AB49)</f>
        <v>-60.391194367289664</v>
      </c>
      <c r="AB49" s="188">
        <f t="shared" si="30"/>
        <v>0.54949198954846379</v>
      </c>
      <c r="AC49" s="184" t="str">
        <f>+A49&amp;"-"&amp;B49</f>
        <v>147-4340</v>
      </c>
      <c r="AD49" s="212">
        <v>63073.46</v>
      </c>
      <c r="AE49" s="218">
        <f>AE$26</f>
        <v>0</v>
      </c>
      <c r="AF49" s="218">
        <f t="shared" si="29"/>
        <v>5.3402459008496063E-4</v>
      </c>
      <c r="AG49" s="218">
        <f t="shared" si="29"/>
        <v>2.6153936145675424E-3</v>
      </c>
    </row>
    <row r="50" spans="1:33" x14ac:dyDescent="0.2">
      <c r="B50" s="192"/>
      <c r="G50" s="190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213"/>
      <c r="AE50" s="218"/>
      <c r="AF50" s="218"/>
      <c r="AG50" s="218"/>
    </row>
    <row r="51" spans="1:33" x14ac:dyDescent="0.2">
      <c r="A51" s="184">
        <v>240</v>
      </c>
      <c r="B51" s="185">
        <v>4300</v>
      </c>
      <c r="G51" s="190" cm="1">
        <f t="array" ref="G51">_xlfn.IFS($AE$19=$AE$21,+G$4*$AE51*$AB51,$AE$19=$AF$21,+G$4*$AF51*$AB51,$AE$19=$AG$21,+G$4*$AG51*$AB51)</f>
        <v>-36330.606457009206</v>
      </c>
      <c r="H51" s="190" cm="1">
        <f t="array" ref="H51">_xlfn.IFS($AE$19=$AE$21,+H$4*$AE51*$AB51,$AE$19=$AF$21,+H$4*$AF51*$AB51,$AE$19=$AG$21,+H$4*$AG51*$AB51)</f>
        <v>-29720.075056560912</v>
      </c>
      <c r="I51" s="190" cm="1">
        <f t="array" ref="I51">_xlfn.IFS($AE$19=$AE$21,+I$4*$AE51*$AB51,$AE$19=$AF$21,+I$4*$AF51*$AB51,$AE$19=$AG$21,+I$4*$AG51*$AB51)</f>
        <v>-35838.91403879405</v>
      </c>
      <c r="J51" s="190" cm="1">
        <f t="array" ref="J51">_xlfn.IFS($AE$19=$AE$21,+J$4*$AE51*$AB51,$AE$19=$AF$21,+J$4*$AF51*$AB51,$AE$19=$AG$21,+J$4*$AG51*$AB51)</f>
        <v>-35838.91403879405</v>
      </c>
      <c r="K51" s="190" cm="1">
        <f t="array" ref="K51">_xlfn.IFS($AE$19=$AE$21,+K$4*$AE51*$AB51,$AE$19=$AF$21,+K$4*$AF51*$AB51,$AE$19=$AG$21,+K$4*$AG51*$AB51)</f>
        <v>-26879.185529095532</v>
      </c>
      <c r="L51" s="190" cm="1">
        <f t="array" ref="L51">_xlfn.IFS($AE$19=$AE$21,+L$4*$AE51*$AB51,$AE$19=$AF$21,+L$4*$AF51*$AB51,$AE$19=$AG$21,+L$4*$AG51*$AB51)</f>
        <v>-23068.804541239409</v>
      </c>
      <c r="M51" s="190" cm="1">
        <f t="array" ref="M51">_xlfn.IFS($AE$19=$AE$21,+M$4*$AE51*$AB51,$AE$19=$AF$21,+M$4*$AF51*$AB51,$AE$19=$AG$21,+M$4*$AG51*$AB51)</f>
        <v>-25469.641268704367</v>
      </c>
      <c r="N51" s="190" cm="1">
        <f t="array" ref="N51">_xlfn.IFS($AE$19=$AE$21,+N$4*$AE51*$AB51,$AE$19=$AF$21,+N$4*$AF51*$AB51,$AE$19=$AG$21,+N$4*$AG51*$AB51)</f>
        <v>-34873.780353554757</v>
      </c>
      <c r="O51" s="190" cm="1">
        <f t="array" ref="O51">_xlfn.IFS($AE$19=$AE$21,+O$4*$AE51*$AB51,$AE$19=$AF$21,+O$4*$AF51*$AB51,$AE$19=$AG$21,+O$4*$AG51*$AB51)</f>
        <v>-22797.482428705927</v>
      </c>
      <c r="P51" s="190" cm="1">
        <f t="array" ref="P51">_xlfn.IFS($AE$19=$AE$21,+P$4*$AE51*$AB51,$AE$19=$AF$21,+P$4*$AF51*$AB51,$AE$19=$AG$21,+P$4*$AG51*$AB51)</f>
        <v>-27914.242332876118</v>
      </c>
      <c r="Q51" s="190" cm="1">
        <f t="array" ref="Q51">_xlfn.IFS($AE$19=$AE$21,+Q$4*$AE51*$AB51,$AE$19=$AF$21,+Q$4*$AF51*$AB51,$AE$19=$AG$21,+Q$4*$AG51*$AB51)</f>
        <v>-30396.634119284336</v>
      </c>
      <c r="R51" s="190" cm="1">
        <f t="array" ref="R51">_xlfn.IFS($AE$19=$AE$21,+R$4*$AE51*$AB51,$AE$19=$AF$21,+R$4*$AF51*$AB51,$AE$19=$AG$21,+R$4*$AG51*$AB51)</f>
        <v>-31409.855256593815</v>
      </c>
      <c r="S51" s="190" cm="1">
        <f t="array" ref="S51">_xlfn.IFS($AE$19=$AE$21,+S$4*$AE51*$AB51,$AE$19=$AF$21,+S$4*$AF51*$AB51,$AE$19=$AG$21,+S$4*$AG51*$AB51)</f>
        <v>-29180.768754512959</v>
      </c>
      <c r="T51" s="190" cm="1">
        <f t="array" ref="T51">_xlfn.IFS($AE$19=$AE$21,+T$4*$AE51*$AB51,$AE$19=$AF$21,+T$4*$AF51*$AB51,$AE$19=$AG$21,+T$4*$AG51*$AB51)</f>
        <v>-29180.768754512959</v>
      </c>
      <c r="U51" s="190" cm="1">
        <f t="array" ref="U51">_xlfn.IFS($AE$19=$AE$21,+U$4*$AE51*$AB51,$AE$19=$AF$21,+U$4*$AF51*$AB51,$AE$19=$AG$21,+U$4*$AG51*$AB51)</f>
        <v>-32423.076393903295</v>
      </c>
      <c r="V51" s="190" cm="1">
        <f t="array" ref="V51">_xlfn.IFS($AE$19=$AE$21,+V$4*$AE51*$AB51,$AE$19=$AF$21,+V$4*$AF51*$AB51,$AE$19=$AG$21,+V$4*$AG51*$AB51)</f>
        <v>-32423.076393903295</v>
      </c>
      <c r="W51" s="190" cm="1">
        <f t="array" ref="W51">_xlfn.IFS($AE$19=$AE$21,+W$4*$AE51*$AB51,$AE$19=$AF$21,+W$4*$AF51*$AB51,$AE$19=$AG$21,+W$4*$AG51*$AB51)</f>
        <v>-29180.768754512959</v>
      </c>
      <c r="X51" s="190" cm="1">
        <f t="array" ref="X51">_xlfn.IFS($AE$19=$AE$21,+X$4*$AE51*$AB51,$AE$19=$AF$21,+X$4*$AF51*$AB51,$AE$19=$AG$21,+X$4*$AG51*$AB51)</f>
        <v>-29180.768754512959</v>
      </c>
      <c r="Y51" s="190" cm="1">
        <f t="array" ref="Y51">_xlfn.IFS($AE$19=$AE$21,+Y$4*$AE51*$AB51,$AE$19=$AF$21,+Y$4*$AF51*$AB51,$AE$19=$AG$21,+Y$4*$AG51*$AB51)</f>
        <v>-29182.389908332654</v>
      </c>
      <c r="Z51" s="190" cm="1">
        <f t="array" ref="Z51">_xlfn.IFS($AE$19=$AE$21,+Z$4*$AE51*$AB51,$AE$19=$AF$21,+Z$4*$AF51*$AB51,$AE$19=$AG$21,+Z$4*$AG51*$AB51)</f>
        <v>-35665.384033293623</v>
      </c>
      <c r="AB51" s="188">
        <f>AD51/SUM($AD$51:$AD$53)</f>
        <v>0.71612192225839844</v>
      </c>
      <c r="AC51" s="184" t="str">
        <f>+A51&amp;"-"&amp;B51</f>
        <v>240-4300</v>
      </c>
      <c r="AD51" s="212">
        <v>186254.74</v>
      </c>
      <c r="AE51" s="218">
        <f>AE$30</f>
        <v>0.21951219512195122</v>
      </c>
      <c r="AF51" s="218">
        <f t="shared" ref="AF51:AG53" si="31">AF$30</f>
        <v>0.24199641829180513</v>
      </c>
      <c r="AG51" s="218">
        <f t="shared" si="31"/>
        <v>0.22009982389945629</v>
      </c>
    </row>
    <row r="52" spans="1:33" x14ac:dyDescent="0.2">
      <c r="A52" s="184">
        <v>240</v>
      </c>
      <c r="B52" s="185">
        <v>4320</v>
      </c>
      <c r="G52" s="190" cm="1">
        <f t="array" ref="G52">_xlfn.IFS($AE$19=$AE$21,+G$4*$AE52*$AB52,$AE$19=$AF$21,+G$4*$AF52*$AB52,$AE$19=$AG$21,+G$4*$AG52*$AB52)</f>
        <v>-5997.6940019410404</v>
      </c>
      <c r="H52" s="190" cm="1">
        <f t="array" ref="H52">_xlfn.IFS($AE$19=$AE$21,+H$4*$AE52*$AB52,$AE$19=$AF$21,+H$4*$AF52*$AB52,$AE$19=$AG$21,+H$4*$AG52*$AB52)</f>
        <v>-4906.3842662495117</v>
      </c>
      <c r="I52" s="190" cm="1">
        <f t="array" ref="I52">_xlfn.IFS($AE$19=$AE$21,+I$4*$AE52*$AB52,$AE$19=$AF$21,+I$4*$AF52*$AB52,$AE$19=$AG$21,+I$4*$AG52*$AB52)</f>
        <v>-5916.5222034185299</v>
      </c>
      <c r="J52" s="190" cm="1">
        <f t="array" ref="J52">_xlfn.IFS($AE$19=$AE$21,+J$4*$AE52*$AB52,$AE$19=$AF$21,+J$4*$AF52*$AB52,$AE$19=$AG$21,+J$4*$AG52*$AB52)</f>
        <v>-5916.5222034185299</v>
      </c>
      <c r="K52" s="190" cm="1">
        <f t="array" ref="K52">_xlfn.IFS($AE$19=$AE$21,+K$4*$AE52*$AB52,$AE$19=$AF$21,+K$4*$AF52*$AB52,$AE$19=$AG$21,+K$4*$AG52*$AB52)</f>
        <v>-4437.391652563897</v>
      </c>
      <c r="L52" s="190" cm="1">
        <f t="array" ref="L52">_xlfn.IFS($AE$19=$AE$21,+L$4*$AE52*$AB52,$AE$19=$AF$21,+L$4*$AF52*$AB52,$AE$19=$AG$21,+L$4*$AG52*$AB52)</f>
        <v>-3808.3490511689024</v>
      </c>
      <c r="M52" s="190" cm="1">
        <f t="array" ref="M52">_xlfn.IFS($AE$19=$AE$21,+M$4*$AE52*$AB52,$AE$19=$AF$21,+M$4*$AF52*$AB52,$AE$19=$AG$21,+M$4*$AG52*$AB52)</f>
        <v>-4204.694872067751</v>
      </c>
      <c r="N52" s="190" cm="1">
        <f t="array" ref="N52">_xlfn.IFS($AE$19=$AE$21,+N$4*$AE52*$AB52,$AE$19=$AF$21,+N$4*$AF52*$AB52,$AE$19=$AG$21,+N$4*$AG52*$AB52)</f>
        <v>-5757.1916257173107</v>
      </c>
      <c r="O52" s="190" cm="1">
        <f t="array" ref="O52">_xlfn.IFS($AE$19=$AE$21,+O$4*$AE52*$AB52,$AE$19=$AF$21,+O$4*$AF52*$AB52,$AE$19=$AG$21,+O$4*$AG52*$AB52)</f>
        <v>-3763.5574232377348</v>
      </c>
      <c r="P52" s="190" cm="1">
        <f t="array" ref="P52">_xlfn.IFS($AE$19=$AE$21,+P$4*$AE52*$AB52,$AE$19=$AF$21,+P$4*$AF52*$AB52,$AE$19=$AG$21,+P$4*$AG52*$AB52)</f>
        <v>-4608.2655957514153</v>
      </c>
      <c r="Q52" s="190" cm="1">
        <f t="array" ref="Q52">_xlfn.IFS($AE$19=$AE$21,+Q$4*$AE52*$AB52,$AE$19=$AF$21,+Q$4*$AF52*$AB52,$AE$19=$AG$21,+Q$4*$AG52*$AB52)</f>
        <v>-5018.0750588944629</v>
      </c>
      <c r="R52" s="190" cm="1">
        <f t="array" ref="R52">_xlfn.IFS($AE$19=$AE$21,+R$4*$AE52*$AB52,$AE$19=$AF$21,+R$4*$AF52*$AB52,$AE$19=$AG$21,+R$4*$AG52*$AB52)</f>
        <v>-5185.3442275242787</v>
      </c>
      <c r="S52" s="190" cm="1">
        <f t="array" ref="S52">_xlfn.IFS($AE$19=$AE$21,+S$4*$AE52*$AB52,$AE$19=$AF$21,+S$4*$AF52*$AB52,$AE$19=$AG$21,+S$4*$AG52*$AB52)</f>
        <v>-4817.3520565386834</v>
      </c>
      <c r="T52" s="190" cm="1">
        <f t="array" ref="T52">_xlfn.IFS($AE$19=$AE$21,+T$4*$AE52*$AB52,$AE$19=$AF$21,+T$4*$AF52*$AB52,$AE$19=$AG$21,+T$4*$AG52*$AB52)</f>
        <v>-4817.3520565386834</v>
      </c>
      <c r="U52" s="190" cm="1">
        <f t="array" ref="U52">_xlfn.IFS($AE$19=$AE$21,+U$4*$AE52*$AB52,$AE$19=$AF$21,+U$4*$AF52*$AB52,$AE$19=$AG$21,+U$4*$AG52*$AB52)</f>
        <v>-5352.6133961540936</v>
      </c>
      <c r="V52" s="190" cm="1">
        <f t="array" ref="V52">_xlfn.IFS($AE$19=$AE$21,+V$4*$AE52*$AB52,$AE$19=$AF$21,+V$4*$AF52*$AB52,$AE$19=$AG$21,+V$4*$AG52*$AB52)</f>
        <v>-5352.6133961540936</v>
      </c>
      <c r="W52" s="190" cm="1">
        <f t="array" ref="W52">_xlfn.IFS($AE$19=$AE$21,+W$4*$AE52*$AB52,$AE$19=$AF$21,+W$4*$AF52*$AB52,$AE$19=$AG$21,+W$4*$AG52*$AB52)</f>
        <v>-4817.3520565386834</v>
      </c>
      <c r="X52" s="190" cm="1">
        <f t="array" ref="X52">_xlfn.IFS($AE$19=$AE$21,+X$4*$AE52*$AB52,$AE$19=$AF$21,+X$4*$AF52*$AB52,$AE$19=$AG$21,+X$4*$AG52*$AB52)</f>
        <v>-4817.3520565386834</v>
      </c>
      <c r="Y52" s="190" cm="1">
        <f t="array" ref="Y52">_xlfn.IFS($AE$19=$AE$21,+Y$4*$AE52*$AB52,$AE$19=$AF$21,+Y$4*$AF52*$AB52,$AE$19=$AG$21,+Y$4*$AG52*$AB52)</f>
        <v>-4817.6196872084911</v>
      </c>
      <c r="Z52" s="190" cm="1">
        <f t="array" ref="Z52">_xlfn.IFS($AE$19=$AE$21,+Z$4*$AE52*$AB52,$AE$19=$AF$21,+Z$4*$AF52*$AB52,$AE$19=$AG$21,+Z$4*$AG52*$AB52)</f>
        <v>-5887.8747357695029</v>
      </c>
      <c r="AB52" s="188">
        <f t="shared" ref="AB52:AB53" si="32">AD52/SUM($AD$51:$AD$53)</f>
        <v>0.11822208811378211</v>
      </c>
      <c r="AC52" s="184" t="str">
        <f>+A52&amp;"-"&amp;B52</f>
        <v>240-4320</v>
      </c>
      <c r="AD52" s="212">
        <v>30748.15</v>
      </c>
      <c r="AE52" s="218">
        <f>AE$30</f>
        <v>0.21951219512195122</v>
      </c>
      <c r="AF52" s="218">
        <f t="shared" si="31"/>
        <v>0.24199641829180513</v>
      </c>
      <c r="AG52" s="218">
        <f t="shared" si="31"/>
        <v>0.22009982389945629</v>
      </c>
    </row>
    <row r="53" spans="1:33" x14ac:dyDescent="0.2">
      <c r="A53" s="184">
        <v>240</v>
      </c>
      <c r="B53" s="185">
        <v>4340</v>
      </c>
      <c r="C53" s="190"/>
      <c r="D53" s="190"/>
      <c r="E53" s="190"/>
      <c r="F53" s="190"/>
      <c r="G53" s="190" cm="1">
        <f t="array" ref="G53">_xlfn.IFS($AE$19=$AE$21,+G$4*$AE53*$AB53,$AE$19=$AF$21,+G$4*$AF53*$AB53,$AE$19=$AG$21,+G$4*$AG53*$AB53)</f>
        <v>-8404.131167266647</v>
      </c>
      <c r="H53" s="190" cm="1">
        <f t="array" ref="H53">_xlfn.IFS($AE$19=$AE$21,+H$4*$AE53*$AB53,$AE$19=$AF$21,+H$4*$AF53*$AB53,$AE$19=$AG$21,+H$4*$AG53*$AB53)</f>
        <v>-6874.9584285609862</v>
      </c>
      <c r="I53" s="190" cm="1">
        <f t="array" ref="I53">_xlfn.IFS($AE$19=$AE$21,+I$4*$AE53*$AB53,$AE$19=$AF$21,+I$4*$AF53*$AB53,$AE$19=$AG$21,+I$4*$AG53*$AB53)</f>
        <v>-8290.3910462058957</v>
      </c>
      <c r="J53" s="190" cm="1">
        <f t="array" ref="J53">_xlfn.IFS($AE$19=$AE$21,+J$4*$AE53*$AB53,$AE$19=$AF$21,+J$4*$AF53*$AB53,$AE$19=$AG$21,+J$4*$AG53*$AB53)</f>
        <v>-8290.3910462058957</v>
      </c>
      <c r="K53" s="190" cm="1">
        <f t="array" ref="K53">_xlfn.IFS($AE$19=$AE$21,+K$4*$AE53*$AB53,$AE$19=$AF$21,+K$4*$AF53*$AB53,$AE$19=$AG$21,+K$4*$AG53*$AB53)</f>
        <v>-6217.7932846544209</v>
      </c>
      <c r="L53" s="190" cm="1">
        <f t="array" ref="L53">_xlfn.IFS($AE$19=$AE$21,+L$4*$AE53*$AB53,$AE$19=$AF$21,+L$4*$AF53*$AB53,$AE$19=$AG$21,+L$4*$AG53*$AB53)</f>
        <v>-5336.3617661055814</v>
      </c>
      <c r="M53" s="190" cm="1">
        <f t="array" ref="M53">_xlfn.IFS($AE$19=$AE$21,+M$4*$AE53*$AB53,$AE$19=$AF$21,+M$4*$AF53*$AB53,$AE$19=$AG$21,+M$4*$AG53*$AB53)</f>
        <v>-5891.73225772351</v>
      </c>
      <c r="N53" s="190" cm="1">
        <f t="array" ref="N53">_xlfn.IFS($AE$19=$AE$21,+N$4*$AE53*$AB53,$AE$19=$AF$21,+N$4*$AF53*$AB53,$AE$19=$AG$21,+N$4*$AG53*$AB53)</f>
        <v>-8067.1327283383844</v>
      </c>
      <c r="O53" s="190" cm="1">
        <f t="array" ref="O53">_xlfn.IFS($AE$19=$AE$21,+O$4*$AE53*$AB53,$AE$19=$AF$21,+O$4*$AF53*$AB53,$AE$19=$AG$21,+O$4*$AG53*$AB53)</f>
        <v>-5273.5985247319613</v>
      </c>
      <c r="P53" s="190" cm="1">
        <f t="array" ref="P53">_xlfn.IFS($AE$19=$AE$21,+P$4*$AE53*$AB53,$AE$19=$AF$21,+P$4*$AF53*$AB53,$AE$19=$AG$21,+P$4*$AG53*$AB53)</f>
        <v>-6457.2264786705255</v>
      </c>
      <c r="Q53" s="190" cm="1">
        <f t="array" ref="Q53">_xlfn.IFS($AE$19=$AE$21,+Q$4*$AE53*$AB53,$AE$19=$AF$21,+Q$4*$AF53*$AB53,$AE$19=$AG$21,+Q$4*$AG53*$AB53)</f>
        <v>-7031.4625902038388</v>
      </c>
      <c r="R53" s="190" cm="1">
        <f t="array" ref="R53">_xlfn.IFS($AE$19=$AE$21,+R$4*$AE53*$AB53,$AE$19=$AF$21,+R$4*$AF53*$AB53,$AE$19=$AG$21,+R$4*$AG53*$AB53)</f>
        <v>-7265.8446765439667</v>
      </c>
      <c r="S53" s="190" cm="1">
        <f t="array" ref="S53">_xlfn.IFS($AE$19=$AE$21,+S$4*$AE53*$AB53,$AE$19=$AF$21,+S$4*$AF53*$AB53,$AE$19=$AG$21,+S$4*$AG53*$AB53)</f>
        <v>-6750.2040865956842</v>
      </c>
      <c r="T53" s="190" cm="1">
        <f t="array" ref="T53">_xlfn.IFS($AE$19=$AE$21,+T$4*$AE53*$AB53,$AE$19=$AF$21,+T$4*$AF53*$AB53,$AE$19=$AG$21,+T$4*$AG53*$AB53)</f>
        <v>-6750.2040865956842</v>
      </c>
      <c r="U53" s="190" cm="1">
        <f t="array" ref="U53">_xlfn.IFS($AE$19=$AE$21,+U$4*$AE53*$AB53,$AE$19=$AF$21,+U$4*$AF53*$AB53,$AE$19=$AG$21,+U$4*$AG53*$AB53)</f>
        <v>-7500.2267628840955</v>
      </c>
      <c r="V53" s="190" cm="1">
        <f t="array" ref="V53">_xlfn.IFS($AE$19=$AE$21,+V$4*$AE53*$AB53,$AE$19=$AF$21,+V$4*$AF53*$AB53,$AE$19=$AG$21,+V$4*$AG53*$AB53)</f>
        <v>-7500.2267628840955</v>
      </c>
      <c r="W53" s="190" cm="1">
        <f t="array" ref="W53">_xlfn.IFS($AE$19=$AE$21,+W$4*$AE53*$AB53,$AE$19=$AF$21,+W$4*$AF53*$AB53,$AE$19=$AG$21,+W$4*$AG53*$AB53)</f>
        <v>-6750.2040865956842</v>
      </c>
      <c r="X53" s="190" cm="1">
        <f t="array" ref="X53">_xlfn.IFS($AE$19=$AE$21,+X$4*$AE53*$AB53,$AE$19=$AF$21,+X$4*$AF53*$AB53,$AE$19=$AG$21,+X$4*$AG53*$AB53)</f>
        <v>-6750.2040865956842</v>
      </c>
      <c r="Y53" s="190" cm="1">
        <f t="array" ref="Y53">_xlfn.IFS($AE$19=$AE$21,+Y$4*$AE53*$AB53,$AE$19=$AF$21,+Y$4*$AF53*$AB53,$AE$19=$AG$21,+Y$4*$AG53*$AB53)</f>
        <v>-6750.5790979338281</v>
      </c>
      <c r="Z53" s="190" cm="1">
        <f t="array" ref="Z53">_xlfn.IFS($AE$19=$AE$21,+Z$4*$AE53*$AB53,$AE$19=$AF$21,+Z$4*$AF53*$AB53,$AE$19=$AG$21,+Z$4*$AG53*$AB53)</f>
        <v>-8250.2494391725031</v>
      </c>
      <c r="AB53" s="188">
        <f t="shared" si="32"/>
        <v>0.16565598962781949</v>
      </c>
      <c r="AC53" s="184" t="str">
        <f>+A53&amp;"-"&amp;B53</f>
        <v>240-4340</v>
      </c>
      <c r="AD53" s="212">
        <v>43085.14</v>
      </c>
      <c r="AE53" s="218">
        <f>AE$30</f>
        <v>0.21951219512195122</v>
      </c>
      <c r="AF53" s="218">
        <f t="shared" si="31"/>
        <v>0.24199641829180513</v>
      </c>
      <c r="AG53" s="218">
        <f t="shared" si="31"/>
        <v>0.22009982389945629</v>
      </c>
    </row>
    <row r="54" spans="1:33" x14ac:dyDescent="0.2">
      <c r="B54" s="192"/>
      <c r="G54" s="190"/>
      <c r="H54" s="190"/>
      <c r="I54" s="190"/>
      <c r="J54" s="190"/>
      <c r="K54" s="190"/>
      <c r="L54" s="190"/>
      <c r="M54" s="190"/>
      <c r="N54" s="190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213"/>
      <c r="AE54" s="218"/>
      <c r="AF54" s="218"/>
      <c r="AG54" s="218"/>
    </row>
    <row r="55" spans="1:33" x14ac:dyDescent="0.2">
      <c r="A55" s="184">
        <v>340</v>
      </c>
      <c r="B55" s="185">
        <v>4300</v>
      </c>
      <c r="G55" s="190" cm="1">
        <f t="array" ref="G55">_xlfn.IFS($AE$19=$AE$21,+G$4*$AE55*$AB55,$AE$19=$AF$21,+G$4*$AF55*$AB55,$AE$19=$AG$21,+G$4*$AG55*$AB55)</f>
        <v>-29970.332569974249</v>
      </c>
      <c r="H55" s="190" cm="1">
        <f t="array" ref="H55">_xlfn.IFS($AE$19=$AE$21,+H$4*$AE55*$AB55,$AE$19=$AF$21,+H$4*$AF55*$AB55,$AE$19=$AG$21,+H$4*$AG55*$AB55)</f>
        <v>-24517.084087317282</v>
      </c>
      <c r="I55" s="190" cm="1">
        <f t="array" ref="I55">_xlfn.IFS($AE$19=$AE$21,+I$4*$AE55*$AB55,$AE$19=$AF$21,+I$4*$AF55*$AB55,$AE$19=$AG$21,+I$4*$AG55*$AB55)</f>
        <v>-29564.719046470836</v>
      </c>
      <c r="J55" s="190" cm="1">
        <f t="array" ref="J55">_xlfn.IFS($AE$19=$AE$21,+J$4*$AE55*$AB55,$AE$19=$AF$21,+J$4*$AF55*$AB55,$AE$19=$AG$21,+J$4*$AG55*$AB55)</f>
        <v>-29564.719046470836</v>
      </c>
      <c r="K55" s="190" cm="1">
        <f t="array" ref="K55">_xlfn.IFS($AE$19=$AE$21,+K$4*$AE55*$AB55,$AE$19=$AF$21,+K$4*$AF55*$AB55,$AE$19=$AG$21,+K$4*$AG55*$AB55)</f>
        <v>-22173.53928485313</v>
      </c>
      <c r="L55" s="190" cm="1">
        <f t="array" ref="L55">_xlfn.IFS($AE$19=$AE$21,+L$4*$AE55*$AB55,$AE$19=$AF$21,+L$4*$AF55*$AB55,$AE$19=$AG$21,+L$4*$AG55*$AB55)</f>
        <v>-19030.228546027771</v>
      </c>
      <c r="M55" s="190" cm="1">
        <f t="array" ref="M55">_xlfn.IFS($AE$19=$AE$21,+M$4*$AE55*$AB55,$AE$19=$AF$21,+M$4*$AF55*$AB55,$AE$19=$AG$21,+M$4*$AG55*$AB55)</f>
        <v>-21010.759073462756</v>
      </c>
      <c r="N55" s="190" cm="1">
        <f t="array" ref="N55">_xlfn.IFS($AE$19=$AE$21,+N$4*$AE55*$AB55,$AE$19=$AF$21,+N$4*$AF55*$AB55,$AE$19=$AG$21,+N$4*$AG55*$AB55)</f>
        <v>-28768.547984605022</v>
      </c>
      <c r="O55" s="190" cm="1">
        <f t="array" ref="O55">_xlfn.IFS($AE$19=$AE$21,+O$4*$AE55*$AB55,$AE$19=$AF$21,+O$4*$AF55*$AB55,$AE$19=$AG$21,+O$4*$AG55*$AB55)</f>
        <v>-18806.405859339651</v>
      </c>
      <c r="P55" s="190" cm="1">
        <f t="array" ref="P55">_xlfn.IFS($AE$19=$AE$21,+P$4*$AE55*$AB55,$AE$19=$AF$21,+P$4*$AF55*$AB55,$AE$19=$AG$21,+P$4*$AG55*$AB55)</f>
        <v>-23027.392266218209</v>
      </c>
      <c r="Q55" s="190" cm="1">
        <f t="array" ref="Q55">_xlfn.IFS($AE$19=$AE$21,+Q$4*$AE55*$AB55,$AE$19=$AF$21,+Q$4*$AF55*$AB55,$AE$19=$AG$21,+Q$4*$AG55*$AB55)</f>
        <v>-25075.200289892782</v>
      </c>
      <c r="R55" s="190" cm="1">
        <f t="array" ref="R55">_xlfn.IFS($AE$19=$AE$21,+R$4*$AE55*$AB55,$AE$19=$AF$21,+R$4*$AF55*$AB55,$AE$19=$AG$21,+R$4*$AG55*$AB55)</f>
        <v>-25911.04029955588</v>
      </c>
      <c r="S55" s="190" cm="1">
        <f t="array" ref="S55">_xlfn.IFS($AE$19=$AE$21,+S$4*$AE55*$AB55,$AE$19=$AF$21,+S$4*$AF55*$AB55,$AE$19=$AG$21,+S$4*$AG55*$AB55)</f>
        <v>-24072.192278297072</v>
      </c>
      <c r="T55" s="190" cm="1">
        <f t="array" ref="T55">_xlfn.IFS($AE$19=$AE$21,+T$4*$AE55*$AB55,$AE$19=$AF$21,+T$4*$AF55*$AB55,$AE$19=$AG$21,+T$4*$AG55*$AB55)</f>
        <v>-24072.192278297072</v>
      </c>
      <c r="U55" s="190" cm="1">
        <f t="array" ref="U55">_xlfn.IFS($AE$19=$AE$21,+U$4*$AE55*$AB55,$AE$19=$AF$21,+U$4*$AF55*$AB55,$AE$19=$AG$21,+U$4*$AG55*$AB55)</f>
        <v>-26746.880309218974</v>
      </c>
      <c r="V55" s="190" cm="1">
        <f t="array" ref="V55">_xlfn.IFS($AE$19=$AE$21,+V$4*$AE55*$AB55,$AE$19=$AF$21,+V$4*$AF55*$AB55,$AE$19=$AG$21,+V$4*$AG55*$AB55)</f>
        <v>-26746.880309218974</v>
      </c>
      <c r="W55" s="190" cm="1">
        <f t="array" ref="W55">_xlfn.IFS($AE$19=$AE$21,+W$4*$AE55*$AB55,$AE$19=$AF$21,+W$4*$AF55*$AB55,$AE$19=$AG$21,+W$4*$AG55*$AB55)</f>
        <v>-24072.192278297072</v>
      </c>
      <c r="X55" s="190" cm="1">
        <f t="array" ref="X55">_xlfn.IFS($AE$19=$AE$21,+X$4*$AE55*$AB55,$AE$19=$AF$21,+X$4*$AF55*$AB55,$AE$19=$AG$21,+X$4*$AG55*$AB55)</f>
        <v>-24072.192278297072</v>
      </c>
      <c r="Y55" s="190" cm="1">
        <f t="array" ref="Y55">_xlfn.IFS($AE$19=$AE$21,+Y$4*$AE55*$AB55,$AE$19=$AF$21,+Y$4*$AF55*$AB55,$AE$19=$AG$21,+Y$4*$AG55*$AB55)</f>
        <v>-24073.52962231253</v>
      </c>
      <c r="Z55" s="190" cm="1">
        <f t="array" ref="Z55">_xlfn.IFS($AE$19=$AE$21,+Z$4*$AE55*$AB55,$AE$19=$AF$21,+Z$4*$AF55*$AB55,$AE$19=$AG$21,+Z$4*$AG55*$AB55)</f>
        <v>-29421.568340140868</v>
      </c>
      <c r="AB55" s="188">
        <f>AD55/SUM($AD$55:$AD$57)</f>
        <v>0.81660714444845084</v>
      </c>
      <c r="AC55" s="184" t="str">
        <f>+A55&amp;"-"&amp;B55</f>
        <v>340-4300</v>
      </c>
      <c r="AD55" s="212">
        <v>170444.84</v>
      </c>
      <c r="AE55" s="218">
        <f>AE$34</f>
        <v>0.17886178861788618</v>
      </c>
      <c r="AF55" s="218">
        <f t="shared" ref="AF55:AG57" si="33">AF$34</f>
        <v>0.17506593451295152</v>
      </c>
      <c r="AG55" s="218">
        <f t="shared" si="33"/>
        <v>0.182774024004416</v>
      </c>
    </row>
    <row r="56" spans="1:33" x14ac:dyDescent="0.2">
      <c r="A56" s="184">
        <v>340</v>
      </c>
      <c r="B56" s="185">
        <v>4320</v>
      </c>
      <c r="G56" s="190" cm="1">
        <f t="array" ref="G56">_xlfn.IFS($AE$19=$AE$21,+G$4*$AE56*$AB56,$AE$19=$AF$21,+G$4*$AF56*$AB56,$AE$19=$AG$21,+G$4*$AG56*$AB56)</f>
        <v>-3225.8373420728258</v>
      </c>
      <c r="H56" s="190" cm="1">
        <f t="array" ref="H56">_xlfn.IFS($AE$19=$AE$21,+H$4*$AE56*$AB56,$AE$19=$AF$21,+H$4*$AF56*$AB56,$AE$19=$AG$21,+H$4*$AG56*$AB56)</f>
        <v>-2638.8804723122062</v>
      </c>
      <c r="I56" s="190" cm="1">
        <f t="array" ref="I56">_xlfn.IFS($AE$19=$AE$21,+I$4*$AE56*$AB56,$AE$19=$AF$21,+I$4*$AF56*$AB56,$AE$19=$AG$21,+I$4*$AG56*$AB56)</f>
        <v>-3182.179393082366</v>
      </c>
      <c r="J56" s="190" cm="1">
        <f t="array" ref="J56">_xlfn.IFS($AE$19=$AE$21,+J$4*$AE56*$AB56,$AE$19=$AF$21,+J$4*$AF56*$AB56,$AE$19=$AG$21,+J$4*$AG56*$AB56)</f>
        <v>-3182.179393082366</v>
      </c>
      <c r="K56" s="190" cm="1">
        <f t="array" ref="K56">_xlfn.IFS($AE$19=$AE$21,+K$4*$AE56*$AB56,$AE$19=$AF$21,+K$4*$AF56*$AB56,$AE$19=$AG$21,+K$4*$AG56*$AB56)</f>
        <v>-2386.634544811775</v>
      </c>
      <c r="L56" s="190" cm="1">
        <f t="array" ref="L56">_xlfn.IFS($AE$19=$AE$21,+L$4*$AE56*$AB56,$AE$19=$AF$21,+L$4*$AF56*$AB56,$AE$19=$AG$21,+L$4*$AG56*$AB56)</f>
        <v>-2048.306328554344</v>
      </c>
      <c r="M56" s="190" cm="1">
        <f t="array" ref="M56">_xlfn.IFS($AE$19=$AE$21,+M$4*$AE56*$AB56,$AE$19=$AF$21,+M$4*$AF56*$AB56,$AE$19=$AG$21,+M$4*$AG56*$AB56)</f>
        <v>-2261.479449593236</v>
      </c>
      <c r="N56" s="190" cm="1">
        <f t="array" ref="N56">_xlfn.IFS($AE$19=$AE$21,+N$4*$AE56*$AB56,$AE$19=$AF$21,+N$4*$AF56*$AB56,$AE$19=$AG$21,+N$4*$AG56*$AB56)</f>
        <v>-3096.4840363142002</v>
      </c>
      <c r="O56" s="190" cm="1">
        <f t="array" ref="O56">_xlfn.IFS($AE$19=$AE$21,+O$4*$AE56*$AB56,$AE$19=$AF$21,+O$4*$AF56*$AB56,$AE$19=$AG$21,+O$4*$AG56*$AB56)</f>
        <v>-2024.2153185852071</v>
      </c>
      <c r="P56" s="190" cm="1">
        <f t="array" ref="P56">_xlfn.IFS($AE$19=$AE$21,+P$4*$AE56*$AB56,$AE$19=$AF$21,+P$4*$AF56*$AB56,$AE$19=$AG$21,+P$4*$AG56*$AB56)</f>
        <v>-2478.5384576394613</v>
      </c>
      <c r="Q56" s="190" cm="1">
        <f t="array" ref="Q56">_xlfn.IFS($AE$19=$AE$21,+Q$4*$AE56*$AB56,$AE$19=$AF$21,+Q$4*$AF56*$AB56,$AE$19=$AG$21,+Q$4*$AG56*$AB56)</f>
        <v>-2698.952948427725</v>
      </c>
      <c r="R56" s="190" cm="1">
        <f t="array" ref="R56">_xlfn.IFS($AE$19=$AE$21,+R$4*$AE56*$AB56,$AE$19=$AF$21,+R$4*$AF56*$AB56,$AE$19=$AG$21,+R$4*$AG56*$AB56)</f>
        <v>-2788.9180467086499</v>
      </c>
      <c r="S56" s="190" cm="1">
        <f t="array" ref="S56">_xlfn.IFS($AE$19=$AE$21,+S$4*$AE56*$AB56,$AE$19=$AF$21,+S$4*$AF56*$AB56,$AE$19=$AG$21,+S$4*$AG56*$AB56)</f>
        <v>-2590.9948304906161</v>
      </c>
      <c r="T56" s="190" cm="1">
        <f t="array" ref="T56">_xlfn.IFS($AE$19=$AE$21,+T$4*$AE56*$AB56,$AE$19=$AF$21,+T$4*$AF56*$AB56,$AE$19=$AG$21,+T$4*$AG56*$AB56)</f>
        <v>-2590.9948304906161</v>
      </c>
      <c r="U56" s="190" cm="1">
        <f t="array" ref="U56">_xlfn.IFS($AE$19=$AE$21,+U$4*$AE56*$AB56,$AE$19=$AF$21,+U$4*$AF56*$AB56,$AE$19=$AG$21,+U$4*$AG56*$AB56)</f>
        <v>-2878.8831449895742</v>
      </c>
      <c r="V56" s="190" cm="1">
        <f t="array" ref="V56">_xlfn.IFS($AE$19=$AE$21,+V$4*$AE56*$AB56,$AE$19=$AF$21,+V$4*$AF56*$AB56,$AE$19=$AG$21,+V$4*$AG56*$AB56)</f>
        <v>-2878.8831449895742</v>
      </c>
      <c r="W56" s="190" cm="1">
        <f t="array" ref="W56">_xlfn.IFS($AE$19=$AE$21,+W$4*$AE56*$AB56,$AE$19=$AF$21,+W$4*$AF56*$AB56,$AE$19=$AG$21,+W$4*$AG56*$AB56)</f>
        <v>-2590.9948304906161</v>
      </c>
      <c r="X56" s="190" cm="1">
        <f t="array" ref="X56">_xlfn.IFS($AE$19=$AE$21,+X$4*$AE56*$AB56,$AE$19=$AF$21,+X$4*$AF56*$AB56,$AE$19=$AG$21,+X$4*$AG56*$AB56)</f>
        <v>-2590.9948304906161</v>
      </c>
      <c r="Y56" s="190" cm="1">
        <f t="array" ref="Y56">_xlfn.IFS($AE$19=$AE$21,+Y$4*$AE56*$AB56,$AE$19=$AF$21,+Y$4*$AF56*$AB56,$AE$19=$AG$21,+Y$4*$AG56*$AB56)</f>
        <v>-2591.1387746478654</v>
      </c>
      <c r="Z56" s="190" cm="1">
        <f t="array" ref="Z56">_xlfn.IFS($AE$19=$AE$21,+Z$4*$AE56*$AB56,$AE$19=$AF$21,+Z$4*$AF56*$AB56,$AE$19=$AG$21,+Z$4*$AG56*$AB56)</f>
        <v>-3166.771459488531</v>
      </c>
      <c r="AB56" s="188">
        <f t="shared" ref="AB56:AB57" si="34">AD56/SUM($AD$55:$AD$57)</f>
        <v>8.7894981285739332E-2</v>
      </c>
      <c r="AC56" s="184" t="str">
        <f>+A56&amp;"-"&amp;B56</f>
        <v>340-4320</v>
      </c>
      <c r="AD56" s="212">
        <v>18345.72</v>
      </c>
      <c r="AE56" s="218">
        <f>AE$34</f>
        <v>0.17886178861788618</v>
      </c>
      <c r="AF56" s="218">
        <f t="shared" si="33"/>
        <v>0.17506593451295152</v>
      </c>
      <c r="AG56" s="218">
        <f t="shared" si="33"/>
        <v>0.182774024004416</v>
      </c>
    </row>
    <row r="57" spans="1:33" x14ac:dyDescent="0.2">
      <c r="A57" s="184">
        <v>340</v>
      </c>
      <c r="B57" s="185">
        <v>4340</v>
      </c>
      <c r="C57" s="190"/>
      <c r="D57" s="190"/>
      <c r="E57" s="190"/>
      <c r="F57" s="190"/>
      <c r="G57" s="190" cm="1">
        <f t="array" ref="G57">_xlfn.IFS($AE$19=$AE$21,+G$4*$AE57*$AB57,$AE$19=$AF$21,+G$4*$AF57*$AB57,$AE$19=$AG$21,+G$4*$AG57*$AB57)</f>
        <v>-3504.8714316662217</v>
      </c>
      <c r="H57" s="190" cm="1">
        <f t="array" ref="H57">_xlfn.IFS($AE$19=$AE$21,+H$4*$AE57*$AB57,$AE$19=$AF$21,+H$4*$AF57*$AB57,$AE$19=$AG$21,+H$4*$AG57*$AB57)</f>
        <v>-2867.1429456036458</v>
      </c>
      <c r="I57" s="190" cm="1">
        <f t="array" ref="I57">_xlfn.IFS($AE$19=$AE$21,+I$4*$AE57*$AB57,$AE$19=$AF$21,+I$4*$AF57*$AB57,$AE$19=$AG$21,+I$4*$AG57*$AB57)</f>
        <v>-3457.4370814632198</v>
      </c>
      <c r="J57" s="190" cm="1">
        <f t="array" ref="J57">_xlfn.IFS($AE$19=$AE$21,+J$4*$AE57*$AB57,$AE$19=$AF$21,+J$4*$AF57*$AB57,$AE$19=$AG$21,+J$4*$AG57*$AB57)</f>
        <v>-3457.4370814632198</v>
      </c>
      <c r="K57" s="190" cm="1">
        <f t="array" ref="K57">_xlfn.IFS($AE$19=$AE$21,+K$4*$AE57*$AB57,$AE$19=$AF$21,+K$4*$AF57*$AB57,$AE$19=$AG$21,+K$4*$AG57*$AB57)</f>
        <v>-2593.0778110974152</v>
      </c>
      <c r="L57" s="190" cm="1">
        <f t="array" ref="L57">_xlfn.IFS($AE$19=$AE$21,+L$4*$AE57*$AB57,$AE$19=$AF$21,+L$4*$AF57*$AB57,$AE$19=$AG$21,+L$4*$AG57*$AB57)</f>
        <v>-2225.484292285551</v>
      </c>
      <c r="M57" s="190" cm="1">
        <f t="array" ref="M57">_xlfn.IFS($AE$19=$AE$21,+M$4*$AE57*$AB57,$AE$19=$AF$21,+M$4*$AF57*$AB57,$AE$19=$AG$21,+M$4*$AG57*$AB57)</f>
        <v>-2457.0968327517876</v>
      </c>
      <c r="N57" s="190" cm="1">
        <f t="array" ref="N57">_xlfn.IFS($AE$19=$AE$21,+N$4*$AE57*$AB57,$AE$19=$AF$21,+N$4*$AF57*$AB57,$AE$19=$AG$21,+N$4*$AG57*$AB57)</f>
        <v>-3364.3290986626389</v>
      </c>
      <c r="O57" s="190" cm="1">
        <f t="array" ref="O57">_xlfn.IFS($AE$19=$AE$21,+O$4*$AE57*$AB57,$AE$19=$AF$21,+O$4*$AF57*$AB57,$AE$19=$AG$21,+O$4*$AG57*$AB57)</f>
        <v>-2199.3094162310263</v>
      </c>
      <c r="P57" s="190" cm="1">
        <f t="array" ref="P57">_xlfn.IFS($AE$19=$AE$21,+P$4*$AE57*$AB57,$AE$19=$AF$21,+P$4*$AF57*$AB57,$AE$19=$AG$21,+P$4*$AG57*$AB57)</f>
        <v>-2692.9313884390185</v>
      </c>
      <c r="Q57" s="190" cm="1">
        <f t="array" ref="Q57">_xlfn.IFS($AE$19=$AE$21,+Q$4*$AE57*$AB57,$AE$19=$AF$21,+Q$4*$AF57*$AB57,$AE$19=$AG$21,+Q$4*$AG57*$AB57)</f>
        <v>-2932.4116752511995</v>
      </c>
      <c r="R57" s="190" cm="1">
        <f t="array" ref="R57">_xlfn.IFS($AE$19=$AE$21,+R$4*$AE57*$AB57,$AE$19=$AF$21,+R$4*$AF57*$AB57,$AE$19=$AG$21,+R$4*$AG57*$AB57)</f>
        <v>-3030.1587310929062</v>
      </c>
      <c r="S57" s="190" cm="1">
        <f t="array" ref="S57">_xlfn.IFS($AE$19=$AE$21,+S$4*$AE57*$AB57,$AE$19=$AF$21,+S$4*$AF57*$AB57,$AE$19=$AG$21,+S$4*$AG57*$AB57)</f>
        <v>-2815.1152082411513</v>
      </c>
      <c r="T57" s="190" cm="1">
        <f t="array" ref="T57">_xlfn.IFS($AE$19=$AE$21,+T$4*$AE57*$AB57,$AE$19=$AF$21,+T$4*$AF57*$AB57,$AE$19=$AG$21,+T$4*$AG57*$AB57)</f>
        <v>-2815.1152082411513</v>
      </c>
      <c r="U57" s="190" cm="1">
        <f t="array" ref="U57">_xlfn.IFS($AE$19=$AE$21,+U$4*$AE57*$AB57,$AE$19=$AF$21,+U$4*$AF57*$AB57,$AE$19=$AG$21,+U$4*$AG57*$AB57)</f>
        <v>-3127.9057869346134</v>
      </c>
      <c r="V57" s="190" cm="1">
        <f t="array" ref="V57">_xlfn.IFS($AE$19=$AE$21,+V$4*$AE57*$AB57,$AE$19=$AF$21,+V$4*$AF57*$AB57,$AE$19=$AG$21,+V$4*$AG57*$AB57)</f>
        <v>-3127.9057869346134</v>
      </c>
      <c r="W57" s="190" cm="1">
        <f t="array" ref="W57">_xlfn.IFS($AE$19=$AE$21,+W$4*$AE57*$AB57,$AE$19=$AF$21,+W$4*$AF57*$AB57,$AE$19=$AG$21,+W$4*$AG57*$AB57)</f>
        <v>-2815.1152082411513</v>
      </c>
      <c r="X57" s="190" cm="1">
        <f t="array" ref="X57">_xlfn.IFS($AE$19=$AE$21,+X$4*$AE57*$AB57,$AE$19=$AF$21,+X$4*$AF57*$AB57,$AE$19=$AG$21,+X$4*$AG57*$AB57)</f>
        <v>-2815.1152082411513</v>
      </c>
      <c r="Y57" s="190" cm="1">
        <f t="array" ref="Y57">_xlfn.IFS($AE$19=$AE$21,+Y$4*$AE57*$AB57,$AE$19=$AF$21,+Y$4*$AF57*$AB57,$AE$19=$AG$21,+Y$4*$AG57*$AB57)</f>
        <v>-2815.2716035304979</v>
      </c>
      <c r="Z57" s="190" cm="1">
        <f t="array" ref="Z57">_xlfn.IFS($AE$19=$AE$21,+Z$4*$AE57*$AB57,$AE$19=$AF$21,+Z$4*$AF57*$AB57,$AE$19=$AG$21,+Z$4*$AG57*$AB57)</f>
        <v>-3440.6963656280741</v>
      </c>
      <c r="AB57" s="188">
        <f t="shared" si="34"/>
        <v>9.5497874265809857E-2</v>
      </c>
      <c r="AC57" s="184" t="str">
        <f>+A57&amp;"-"&amp;B57</f>
        <v>340-4340</v>
      </c>
      <c r="AD57" s="212">
        <v>19932.62</v>
      </c>
      <c r="AE57" s="218">
        <f>AE$34</f>
        <v>0.17886178861788618</v>
      </c>
      <c r="AF57" s="218">
        <f t="shared" si="33"/>
        <v>0.17506593451295152</v>
      </c>
      <c r="AG57" s="218">
        <f t="shared" si="33"/>
        <v>0.182774024004416</v>
      </c>
    </row>
    <row r="58" spans="1:33" x14ac:dyDescent="0.2">
      <c r="B58" s="192"/>
      <c r="G58" s="190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213"/>
      <c r="AE58" s="218"/>
      <c r="AF58" s="218"/>
      <c r="AG58" s="218"/>
    </row>
    <row r="59" spans="1:33" x14ac:dyDescent="0.2">
      <c r="A59" s="184">
        <v>440</v>
      </c>
      <c r="B59" s="185">
        <v>4300</v>
      </c>
      <c r="G59" s="190" cm="1">
        <f t="array" ref="G59">_xlfn.IFS($AE$19=$AE$21,+G$4*$AE59*$AB59,$AE$19=$AF$21,+G$4*$AF59*$AB59,$AE$19=$AG$21,+G$4*$AG59*$AB59)</f>
        <v>-11509.53684644675</v>
      </c>
      <c r="H59" s="190" cm="1">
        <f t="array" ref="H59">_xlfn.IFS($AE$19=$AE$21,+H$4*$AE59*$AB59,$AE$19=$AF$21,+H$4*$AF59*$AB59,$AE$19=$AG$21,+H$4*$AG59*$AB59)</f>
        <v>-9415.3203676195953</v>
      </c>
      <c r="I59" s="190" cm="1">
        <f t="array" ref="I59">_xlfn.IFS($AE$19=$AE$21,+I$4*$AE59*$AB59,$AE$19=$AF$21,+I$4*$AF59*$AB59,$AE$19=$AG$21,+I$4*$AG59*$AB59)</f>
        <v>-11353.768678600101</v>
      </c>
      <c r="J59" s="190" cm="1">
        <f t="array" ref="J59">_xlfn.IFS($AE$19=$AE$21,+J$4*$AE59*$AB59,$AE$19=$AF$21,+J$4*$AF59*$AB59,$AE$19=$AG$21,+J$4*$AG59*$AB59)</f>
        <v>-11353.768678600101</v>
      </c>
      <c r="K59" s="190" cm="1">
        <f t="array" ref="K59">_xlfn.IFS($AE$19=$AE$21,+K$4*$AE59*$AB59,$AE$19=$AF$21,+K$4*$AF59*$AB59,$AE$19=$AG$21,+K$4*$AG59*$AB59)</f>
        <v>-8515.3265089500765</v>
      </c>
      <c r="L59" s="190" cm="1">
        <f t="array" ref="L59">_xlfn.IFS($AE$19=$AE$21,+L$4*$AE59*$AB59,$AE$19=$AF$21,+L$4*$AF59*$AB59,$AE$19=$AG$21,+L$4*$AG59*$AB59)</f>
        <v>-7308.1977363922706</v>
      </c>
      <c r="M59" s="190" cm="1">
        <f t="array" ref="M59">_xlfn.IFS($AE$19=$AE$21,+M$4*$AE59*$AB59,$AE$19=$AF$21,+M$4*$AF59*$AB59,$AE$19=$AG$21,+M$4*$AG59*$AB59)</f>
        <v>-8068.7828592901978</v>
      </c>
      <c r="N59" s="190" cm="1">
        <f t="array" ref="N59">_xlfn.IFS($AE$19=$AE$21,+N$4*$AE59*$AB59,$AE$19=$AF$21,+N$4*$AF59*$AB59,$AE$19=$AG$21,+N$4*$AG59*$AB59)</f>
        <v>-11048.014307966263</v>
      </c>
      <c r="O59" s="190" cm="1">
        <f t="array" ref="O59">_xlfn.IFS($AE$19=$AE$21,+O$4*$AE59*$AB59,$AE$19=$AF$21,+O$4*$AF59*$AB59,$AE$19=$AG$21,+O$4*$AG59*$AB59)</f>
        <v>-7222.2428857581308</v>
      </c>
      <c r="P59" s="190" cm="1">
        <f t="array" ref="P59">_xlfn.IFS($AE$19=$AE$21,+P$4*$AE59*$AB59,$AE$19=$AF$21,+P$4*$AF59*$AB59,$AE$19=$AG$21,+P$4*$AG59*$AB59)</f>
        <v>-8843.2325249252008</v>
      </c>
      <c r="Q59" s="190" cm="1">
        <f t="array" ref="Q59">_xlfn.IFS($AE$19=$AE$21,+Q$4*$AE59*$AB59,$AE$19=$AF$21,+Q$4*$AF59*$AB59,$AE$19=$AG$21,+Q$4*$AG59*$AB59)</f>
        <v>-9629.6542921145556</v>
      </c>
      <c r="R59" s="190" cm="1">
        <f t="array" ref="R59">_xlfn.IFS($AE$19=$AE$21,+R$4*$AE59*$AB59,$AE$19=$AF$21,+R$4*$AF59*$AB59,$AE$19=$AG$21,+R$4*$AG59*$AB59)</f>
        <v>-9950.6427685183753</v>
      </c>
      <c r="S59" s="190" cm="1">
        <f t="array" ref="S59">_xlfn.IFS($AE$19=$AE$21,+S$4*$AE59*$AB59,$AE$19=$AF$21,+S$4*$AF59*$AB59,$AE$19=$AG$21,+S$4*$AG59*$AB59)</f>
        <v>-9244.4681204299723</v>
      </c>
      <c r="T59" s="190" cm="1">
        <f t="array" ref="T59">_xlfn.IFS($AE$19=$AE$21,+T$4*$AE59*$AB59,$AE$19=$AF$21,+T$4*$AF59*$AB59,$AE$19=$AG$21,+T$4*$AG59*$AB59)</f>
        <v>-9244.4681204299723</v>
      </c>
      <c r="U59" s="190" cm="1">
        <f t="array" ref="U59">_xlfn.IFS($AE$19=$AE$21,+U$4*$AE59*$AB59,$AE$19=$AF$21,+U$4*$AF59*$AB59,$AE$19=$AG$21,+U$4*$AG59*$AB59)</f>
        <v>-10271.631244922193</v>
      </c>
      <c r="V59" s="190" cm="1">
        <f t="array" ref="V59">_xlfn.IFS($AE$19=$AE$21,+V$4*$AE59*$AB59,$AE$19=$AF$21,+V$4*$AF59*$AB59,$AE$19=$AG$21,+V$4*$AG59*$AB59)</f>
        <v>-10271.631244922193</v>
      </c>
      <c r="W59" s="190" cm="1">
        <f t="array" ref="W59">_xlfn.IFS($AE$19=$AE$21,+W$4*$AE59*$AB59,$AE$19=$AF$21,+W$4*$AF59*$AB59,$AE$19=$AG$21,+W$4*$AG59*$AB59)</f>
        <v>-9244.4681204299723</v>
      </c>
      <c r="X59" s="190" cm="1">
        <f t="array" ref="X59">_xlfn.IFS($AE$19=$AE$21,+X$4*$AE59*$AB59,$AE$19=$AF$21,+X$4*$AF59*$AB59,$AE$19=$AG$21,+X$4*$AG59*$AB59)</f>
        <v>-9244.4681204299723</v>
      </c>
      <c r="Y59" s="190" cm="1">
        <f t="array" ref="Y59">_xlfn.IFS($AE$19=$AE$21,+Y$4*$AE59*$AB59,$AE$19=$AF$21,+Y$4*$AF59*$AB59,$AE$19=$AG$21,+Y$4*$AG59*$AB59)</f>
        <v>-9244.9817019922193</v>
      </c>
      <c r="Z59" s="190" cm="1">
        <f t="array" ref="Z59">_xlfn.IFS($AE$19=$AE$21,+Z$4*$AE59*$AB59,$AE$19=$AF$21,+Z$4*$AF59*$AB59,$AE$19=$AG$21,+Z$4*$AG59*$AB59)</f>
        <v>-11298.794369414411</v>
      </c>
      <c r="AB59" s="188">
        <f>AD59/SUM($AD$59:$AD$61)</f>
        <v>0.34368339820960903</v>
      </c>
      <c r="AC59" s="184" t="str">
        <f>+A59&amp;"-"&amp;B59</f>
        <v>440-4300</v>
      </c>
      <c r="AD59" s="212">
        <v>85637.95</v>
      </c>
      <c r="AE59" s="218">
        <f>AE$38</f>
        <v>0.17886178861788618</v>
      </c>
      <c r="AF59" s="218">
        <f t="shared" ref="AF59:AG61" si="35">AF$38</f>
        <v>0.1597432636977863</v>
      </c>
      <c r="AG59" s="218">
        <f t="shared" si="35"/>
        <v>0.20410487438240318</v>
      </c>
    </row>
    <row r="60" spans="1:33" x14ac:dyDescent="0.2">
      <c r="A60" s="184">
        <v>440</v>
      </c>
      <c r="B60" s="185">
        <v>4320</v>
      </c>
      <c r="G60" s="190" cm="1">
        <f t="array" ref="G60">_xlfn.IFS($AE$19=$AE$21,+G$4*$AE60*$AB60,$AE$19=$AF$21,+G$4*$AF60*$AB60,$AE$19=$AG$21,+G$4*$AG60*$AB60)</f>
        <v>-929.76678201456264</v>
      </c>
      <c r="H60" s="190" cm="1">
        <f t="array" ref="H60">_xlfn.IFS($AE$19=$AE$21,+H$4*$AE60*$AB60,$AE$19=$AF$21,+H$4*$AF60*$AB60,$AE$19=$AG$21,+H$4*$AG60*$AB60)</f>
        <v>-760.5911720540181</v>
      </c>
      <c r="I60" s="190" cm="1">
        <f t="array" ref="I60">_xlfn.IFS($AE$19=$AE$21,+I$4*$AE60*$AB60,$AE$19=$AF$21,+I$4*$AF60*$AB60,$AE$19=$AG$21,+I$4*$AG60*$AB60)</f>
        <v>-917.18347218278655</v>
      </c>
      <c r="J60" s="190" cm="1">
        <f t="array" ref="J60">_xlfn.IFS($AE$19=$AE$21,+J$4*$AE60*$AB60,$AE$19=$AF$21,+J$4*$AF60*$AB60,$AE$19=$AG$21,+J$4*$AG60*$AB60)</f>
        <v>-917.18347218278655</v>
      </c>
      <c r="K60" s="190" cm="1">
        <f t="array" ref="K60">_xlfn.IFS($AE$19=$AE$21,+K$4*$AE60*$AB60,$AE$19=$AF$21,+K$4*$AF60*$AB60,$AE$19=$AG$21,+K$4*$AG60*$AB60)</f>
        <v>-687.88760413708985</v>
      </c>
      <c r="L60" s="190" cm="1">
        <f t="array" ref="L60">_xlfn.IFS($AE$19=$AE$21,+L$4*$AE60*$AB60,$AE$19=$AF$21,+L$4*$AF60*$AB60,$AE$19=$AG$21,+L$4*$AG60*$AB60)</f>
        <v>-590.37297350408107</v>
      </c>
      <c r="M60" s="190" cm="1">
        <f t="array" ref="M60">_xlfn.IFS($AE$19=$AE$21,+M$4*$AE60*$AB60,$AE$19=$AF$21,+M$4*$AF60*$AB60,$AE$19=$AG$21,+M$4*$AG60*$AB60)</f>
        <v>-651.81478403039034</v>
      </c>
      <c r="N60" s="190" cm="1">
        <f t="array" ref="N60">_xlfn.IFS($AE$19=$AE$21,+N$4*$AE60*$AB60,$AE$19=$AF$21,+N$4*$AF60*$AB60,$AE$19=$AG$21,+N$4*$AG60*$AB60)</f>
        <v>-892.48393291688853</v>
      </c>
      <c r="O60" s="190" cm="1">
        <f t="array" ref="O60">_xlfn.IFS($AE$19=$AE$21,+O$4*$AE60*$AB60,$AE$19=$AF$21,+O$4*$AF60*$AB60,$AE$19=$AG$21,+O$4*$AG60*$AB60)</f>
        <v>-583.42934354408681</v>
      </c>
      <c r="P60" s="190" cm="1">
        <f t="array" ref="P60">_xlfn.IFS($AE$19=$AE$21,+P$4*$AE60*$AB60,$AE$19=$AF$21,+P$4*$AF60*$AB60,$AE$19=$AG$21,+P$4*$AG60*$AB60)</f>
        <v>-714.37660411544516</v>
      </c>
      <c r="Q60" s="190" cm="1">
        <f t="array" ref="Q60">_xlfn.IFS($AE$19=$AE$21,+Q$4*$AE60*$AB60,$AE$19=$AF$21,+Q$4*$AF60*$AB60,$AE$19=$AG$21,+Q$4*$AG60*$AB60)</f>
        <v>-777.90555802044844</v>
      </c>
      <c r="R60" s="190" cm="1">
        <f t="array" ref="R60">_xlfn.IFS($AE$19=$AE$21,+R$4*$AE60*$AB60,$AE$19=$AF$21,+R$4*$AF60*$AB60,$AE$19=$AG$21,+R$4*$AG60*$AB60)</f>
        <v>-803.83574328779684</v>
      </c>
      <c r="S60" s="190" cm="1">
        <f t="array" ref="S60">_xlfn.IFS($AE$19=$AE$21,+S$4*$AE60*$AB60,$AE$19=$AF$21,+S$4*$AF60*$AB60,$AE$19=$AG$21,+S$4*$AG60*$AB60)</f>
        <v>-746.78933569963044</v>
      </c>
      <c r="T60" s="190" cm="1">
        <f t="array" ref="T60">_xlfn.IFS($AE$19=$AE$21,+T$4*$AE60*$AB60,$AE$19=$AF$21,+T$4*$AF60*$AB60,$AE$19=$AG$21,+T$4*$AG60*$AB60)</f>
        <v>-746.78933569963044</v>
      </c>
      <c r="U60" s="190" cm="1">
        <f t="array" ref="U60">_xlfn.IFS($AE$19=$AE$21,+U$4*$AE60*$AB60,$AE$19=$AF$21,+U$4*$AF60*$AB60,$AE$19=$AG$21,+U$4*$AG60*$AB60)</f>
        <v>-829.76592855514514</v>
      </c>
      <c r="V60" s="190" cm="1">
        <f t="array" ref="V60">_xlfn.IFS($AE$19=$AE$21,+V$4*$AE60*$AB60,$AE$19=$AF$21,+V$4*$AF60*$AB60,$AE$19=$AG$21,+V$4*$AG60*$AB60)</f>
        <v>-829.76592855514514</v>
      </c>
      <c r="W60" s="190" cm="1">
        <f t="array" ref="W60">_xlfn.IFS($AE$19=$AE$21,+W$4*$AE60*$AB60,$AE$19=$AF$21,+W$4*$AF60*$AB60,$AE$19=$AG$21,+W$4*$AG60*$AB60)</f>
        <v>-746.78933569963044</v>
      </c>
      <c r="X60" s="190" cm="1">
        <f t="array" ref="X60">_xlfn.IFS($AE$19=$AE$21,+X$4*$AE60*$AB60,$AE$19=$AF$21,+X$4*$AF60*$AB60,$AE$19=$AG$21,+X$4*$AG60*$AB60)</f>
        <v>-746.78933569963044</v>
      </c>
      <c r="Y60" s="190" cm="1">
        <f t="array" ref="Y60">_xlfn.IFS($AE$19=$AE$21,+Y$4*$AE60*$AB60,$AE$19=$AF$21,+Y$4*$AF60*$AB60,$AE$19=$AG$21,+Y$4*$AG60*$AB60)</f>
        <v>-746.83082399605826</v>
      </c>
      <c r="Z60" s="190" cm="1">
        <f t="array" ref="Z60">_xlfn.IFS($AE$19=$AE$21,+Z$4*$AE60*$AB60,$AE$19=$AF$21,+Z$4*$AF60*$AB60,$AE$19=$AG$21,+Z$4*$AG60*$AB60)</f>
        <v>-912.74252141065949</v>
      </c>
      <c r="AB60" s="188">
        <f t="shared" ref="AB60:AB61" si="36">AD60/SUM($AD$59:$AD$61)</f>
        <v>2.7763533098538927E-2</v>
      </c>
      <c r="AC60" s="184" t="str">
        <f>+A60&amp;"-"&amp;B60</f>
        <v>440-4320</v>
      </c>
      <c r="AD60" s="212">
        <v>6918.03</v>
      </c>
      <c r="AE60" s="218">
        <f>AE$38</f>
        <v>0.17886178861788618</v>
      </c>
      <c r="AF60" s="218">
        <f t="shared" si="35"/>
        <v>0.1597432636977863</v>
      </c>
      <c r="AG60" s="218">
        <f t="shared" si="35"/>
        <v>0.20410487438240318</v>
      </c>
    </row>
    <row r="61" spans="1:33" x14ac:dyDescent="0.2">
      <c r="A61" s="184">
        <v>440</v>
      </c>
      <c r="B61" s="185">
        <v>4340</v>
      </c>
      <c r="G61" s="190" cm="1">
        <f t="array" ref="G61">_xlfn.IFS($AE$19=$AE$21,+G$4*$AE61*$AB61,$AE$19=$AF$21,+G$4*$AF61*$AB61,$AE$19=$AG$21,+G$4*$AG61*$AB61)</f>
        <v>-21049.473852222236</v>
      </c>
      <c r="H61" s="190" cm="1">
        <f t="array" ref="H61">_xlfn.IFS($AE$19=$AE$21,+H$4*$AE61*$AB61,$AE$19=$AF$21,+H$4*$AF61*$AB61,$AE$19=$AG$21,+H$4*$AG61*$AB61)</f>
        <v>-17219.419211441946</v>
      </c>
      <c r="I61" s="190" cm="1">
        <f t="array" ref="I61">_xlfn.IFS($AE$19=$AE$21,+I$4*$AE61*$AB61,$AE$19=$AF$21,+I$4*$AF61*$AB61,$AE$19=$AG$21,+I$4*$AG61*$AB61)</f>
        <v>-20764.59375497411</v>
      </c>
      <c r="J61" s="190" cm="1">
        <f t="array" ref="J61">_xlfn.IFS($AE$19=$AE$21,+J$4*$AE61*$AB61,$AE$19=$AF$21,+J$4*$AF61*$AB61,$AE$19=$AG$21,+J$4*$AG61*$AB61)</f>
        <v>-20764.59375497411</v>
      </c>
      <c r="K61" s="190" cm="1">
        <f t="array" ref="K61">_xlfn.IFS($AE$19=$AE$21,+K$4*$AE61*$AB61,$AE$19=$AF$21,+K$4*$AF61*$AB61,$AE$19=$AG$21,+K$4*$AG61*$AB61)</f>
        <v>-15573.445316230584</v>
      </c>
      <c r="L61" s="190" cm="1">
        <f t="array" ref="L61">_xlfn.IFS($AE$19=$AE$21,+L$4*$AE61*$AB61,$AE$19=$AF$21,+L$4*$AF61*$AB61,$AE$19=$AG$21,+L$4*$AG61*$AB61)</f>
        <v>-13365.760865221149</v>
      </c>
      <c r="M61" s="190" cm="1">
        <f t="array" ref="M61">_xlfn.IFS($AE$19=$AE$21,+M$4*$AE61*$AB61,$AE$19=$AF$21,+M$4*$AF61*$AB61,$AE$19=$AG$21,+M$4*$AG61*$AB61)</f>
        <v>-14756.773976384851</v>
      </c>
      <c r="N61" s="190" cm="1">
        <f t="array" ref="N61">_xlfn.IFS($AE$19=$AE$21,+N$4*$AE61*$AB61,$AE$19=$AF$21,+N$4*$AF61*$AB61,$AE$19=$AG$21,+N$4*$AG61*$AB61)</f>
        <v>-20205.408036580364</v>
      </c>
      <c r="O61" s="190" cm="1">
        <f t="array" ref="O61">_xlfn.IFS($AE$19=$AE$21,+O$4*$AE61*$AB61,$AE$19=$AF$21,+O$4*$AF61*$AB61,$AE$19=$AG$21,+O$4*$AG61*$AB61)</f>
        <v>-13208.560414409478</v>
      </c>
      <c r="P61" s="190" cm="1">
        <f t="array" ref="P61">_xlfn.IFS($AE$19=$AE$21,+P$4*$AE61*$AB61,$AE$19=$AF$21,+P$4*$AF61*$AB61,$AE$19=$AG$21,+P$4*$AG61*$AB61)</f>
        <v>-16173.143566589428</v>
      </c>
      <c r="Q61" s="190" cm="1">
        <f t="array" ref="Q61">_xlfn.IFS($AE$19=$AE$21,+Q$4*$AE61*$AB61,$AE$19=$AF$21,+Q$4*$AF61*$AB61,$AE$19=$AG$21,+Q$4*$AG61*$AB61)</f>
        <v>-17611.408602456726</v>
      </c>
      <c r="R61" s="190" cm="1">
        <f t="array" ref="R61">_xlfn.IFS($AE$19=$AE$21,+R$4*$AE61*$AB61,$AE$19=$AF$21,+R$4*$AF61*$AB61,$AE$19=$AG$21,+R$4*$AG61*$AB61)</f>
        <v>-18198.455555871951</v>
      </c>
      <c r="S61" s="190" cm="1">
        <f t="array" ref="S61">_xlfn.IFS($AE$19=$AE$21,+S$4*$AE61*$AB61,$AE$19=$AF$21,+S$4*$AF61*$AB61,$AE$19=$AG$21,+S$4*$AG61*$AB61)</f>
        <v>-16906.952258358455</v>
      </c>
      <c r="T61" s="190" cm="1">
        <f t="array" ref="T61">_xlfn.IFS($AE$19=$AE$21,+T$4*$AE61*$AB61,$AE$19=$AF$21,+T$4*$AF61*$AB61,$AE$19=$AG$21,+T$4*$AG61*$AB61)</f>
        <v>-16906.952258358455</v>
      </c>
      <c r="U61" s="190" cm="1">
        <f t="array" ref="U61">_xlfn.IFS($AE$19=$AE$21,+U$4*$AE61*$AB61,$AE$19=$AF$21,+U$4*$AF61*$AB61,$AE$19=$AG$21,+U$4*$AG61*$AB61)</f>
        <v>-18785.502509287177</v>
      </c>
      <c r="V61" s="190" cm="1">
        <f t="array" ref="V61">_xlfn.IFS($AE$19=$AE$21,+V$4*$AE61*$AB61,$AE$19=$AF$21,+V$4*$AF61*$AB61,$AE$19=$AG$21,+V$4*$AG61*$AB61)</f>
        <v>-18785.502509287177</v>
      </c>
      <c r="W61" s="190" cm="1">
        <f t="array" ref="W61">_xlfn.IFS($AE$19=$AE$21,+W$4*$AE61*$AB61,$AE$19=$AF$21,+W$4*$AF61*$AB61,$AE$19=$AG$21,+W$4*$AG61*$AB61)</f>
        <v>-16906.952258358455</v>
      </c>
      <c r="X61" s="190" cm="1">
        <f t="array" ref="X61">_xlfn.IFS($AE$19=$AE$21,+X$4*$AE61*$AB61,$AE$19=$AF$21,+X$4*$AF61*$AB61,$AE$19=$AG$21,+X$4*$AG61*$AB61)</f>
        <v>-16906.952258358455</v>
      </c>
      <c r="Y61" s="190" cm="1">
        <f t="array" ref="Y61">_xlfn.IFS($AE$19=$AE$21,+Y$4*$AE61*$AB61,$AE$19=$AF$21,+Y$4*$AF61*$AB61,$AE$19=$AG$21,+Y$4*$AG61*$AB61)</f>
        <v>-16907.891533483918</v>
      </c>
      <c r="Z61" s="190" cm="1">
        <f t="array" ref="Z61">_xlfn.IFS($AE$19=$AE$21,+Z$4*$AE61*$AB61,$AE$19=$AF$21,+Z$4*$AF61*$AB61,$AE$19=$AG$21,+Z$4*$AG61*$AB61)</f>
        <v>-20664.052760215891</v>
      </c>
      <c r="AB61" s="188">
        <f t="shared" si="36"/>
        <v>0.62855306869185212</v>
      </c>
      <c r="AC61" s="184" t="str">
        <f>+A61&amp;"-"&amp;B61</f>
        <v>440-4340</v>
      </c>
      <c r="AD61" s="212">
        <v>156620.88</v>
      </c>
      <c r="AE61" s="218">
        <f>AE$38</f>
        <v>0.17886178861788618</v>
      </c>
      <c r="AF61" s="218">
        <f t="shared" si="35"/>
        <v>0.1597432636977863</v>
      </c>
      <c r="AG61" s="218">
        <f t="shared" si="35"/>
        <v>0.20410487438240318</v>
      </c>
    </row>
    <row r="62" spans="1:33" x14ac:dyDescent="0.2">
      <c r="B62" s="185"/>
      <c r="G62" s="190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213"/>
      <c r="AE62" s="218"/>
      <c r="AF62" s="218"/>
      <c r="AG62" s="218"/>
    </row>
    <row r="63" spans="1:33" x14ac:dyDescent="0.2">
      <c r="A63" s="184" t="s">
        <v>194</v>
      </c>
      <c r="Z63" s="184"/>
      <c r="AE63" s="218"/>
      <c r="AF63" s="218"/>
      <c r="AG63" s="218"/>
    </row>
    <row r="64" spans="1:33" x14ac:dyDescent="0.2">
      <c r="A64" s="184">
        <v>140</v>
      </c>
      <c r="B64" s="192" t="s">
        <v>195</v>
      </c>
      <c r="C64" s="190"/>
      <c r="D64" s="190"/>
      <c r="E64" s="190"/>
      <c r="F64" s="190"/>
      <c r="G64" s="190" cm="1">
        <f t="array" ref="G64">_xlfn.IFS($AE$19=$AE$21,+G$8*$AE64*$AB64,$AE$19=$AF$21,+G$8*$AF64*$AB64,$AE$19=$AG$21,+G$8*$AG64*$AB64)</f>
        <v>106405.35398708747</v>
      </c>
      <c r="H64" s="190" cm="1">
        <f t="array" ref="H64">_xlfn.IFS($AE$19=$AE$21,+H$8*$AE64*$AB64,$AE$19=$AF$21,+H$8*$AF64*$AB64,$AE$19=$AG$21,+H$8*$AG64*$AB64)</f>
        <v>89604.508620705223</v>
      </c>
      <c r="I64" s="190" cm="1">
        <f t="array" ref="I64">_xlfn.IFS($AE$19=$AE$21,+I$8*$AE64*$AB64,$AE$19=$AF$21,+I$8*$AF64*$AB64,$AE$19=$AG$21,+I$8*$AG64*$AB64)</f>
        <v>112005.63577588154</v>
      </c>
      <c r="J64" s="190" cm="1">
        <f t="array" ref="J64">_xlfn.IFS($AE$19=$AE$21,+J$8*$AE64*$AB64,$AE$19=$AF$21,+J$8*$AF64*$AB64,$AE$19=$AG$21,+J$8*$AG64*$AB64)</f>
        <v>112005.63577588154</v>
      </c>
      <c r="K64" s="190" cm="1">
        <f t="array" ref="K64">_xlfn.IFS($AE$19=$AE$21,+K$8*$AE64*$AB64,$AE$19=$AF$21,+K$8*$AF64*$AB64,$AE$19=$AG$21,+K$8*$AG64*$AB64)</f>
        <v>84004.226831911161</v>
      </c>
      <c r="L64" s="190" cm="1">
        <f t="array" ref="L64">_xlfn.IFS($AE$19=$AE$21,+L$8*$AE64*$AB64,$AE$19=$AF$21,+L$8*$AF64*$AB64,$AE$19=$AG$21,+L$8*$AG64*$AB64)</f>
        <v>94386.73443264731</v>
      </c>
      <c r="M64" s="190" cm="1">
        <f t="array" ref="M64">_xlfn.IFS($AE$19=$AE$21,+M$8*$AE64*$AB64,$AE$19=$AF$21,+M$8*$AF64*$AB64,$AE$19=$AG$21,+M$8*$AG64*$AB64)</f>
        <v>97904.955903074166</v>
      </c>
      <c r="N64" s="190" cm="1">
        <f t="array" ref="N64">_xlfn.IFS($AE$19=$AE$21,+N$8*$AE64*$AB64,$AE$19=$AF$21,+N$8*$AF64*$AB64,$AE$19=$AG$21,+N$8*$AG64*$AB64)</f>
        <v>122707.98169211105</v>
      </c>
      <c r="O64" s="190" cm="1">
        <f t="array" ref="O64">_xlfn.IFS($AE$19=$AE$21,+O$8*$AE64*$AB64,$AE$19=$AF$21,+O$8*$AF64*$AB64,$AE$19=$AG$21,+O$8*$AG64*$AB64)</f>
        <v>77542.386492165417</v>
      </c>
      <c r="P64" s="190" cm="1">
        <f t="array" ref="P64">_xlfn.IFS($AE$19=$AE$21,+P$8*$AE64*$AB64,$AE$19=$AF$21,+P$8*$AF64*$AB64,$AE$19=$AG$21,+P$8*$AG64*$AB64)</f>
        <v>112005.63577588154</v>
      </c>
      <c r="Q64" s="190" cm="1">
        <f t="array" ref="Q64">_xlfn.IFS($AE$19=$AE$21,+Q$8*$AE64*$AB64,$AE$19=$AF$21,+Q$8*$AF64*$AB64,$AE$19=$AG$21,+Q$8*$AG64*$AB64)</f>
        <v>112005.63577588154</v>
      </c>
      <c r="R64" s="190" cm="1">
        <f t="array" ref="R64">_xlfn.IFS($AE$19=$AE$21,+R$8*$AE64*$AB64,$AE$19=$AF$21,+R$8*$AF64*$AB64,$AE$19=$AG$21,+R$8*$AG64*$AB64)</f>
        <v>112005.63577588154</v>
      </c>
      <c r="S64" s="190" cm="1">
        <f t="array" ref="S64">_xlfn.IFS($AE$19=$AE$21,+S$8*$AE64*$AB64,$AE$19=$AF$21,+S$8*$AF64*$AB64,$AE$19=$AG$21,+S$8*$AG64*$AB64)</f>
        <v>100805.07219829339</v>
      </c>
      <c r="T64" s="190" cm="1">
        <f t="array" ref="T64">_xlfn.IFS($AE$19=$AE$21,+T$8*$AE64*$AB64,$AE$19=$AF$21,+T$8*$AF64*$AB64,$AE$19=$AG$21,+T$8*$AG64*$AB64)</f>
        <v>100805.07219829339</v>
      </c>
      <c r="U64" s="190" cm="1">
        <f t="array" ref="U64">_xlfn.IFS($AE$19=$AE$21,+U$8*$AE64*$AB64,$AE$19=$AF$21,+U$8*$AF64*$AB64,$AE$19=$AG$21,+U$8*$AG64*$AB64)</f>
        <v>112005.63577588154</v>
      </c>
      <c r="V64" s="190" cm="1">
        <f t="array" ref="V64">_xlfn.IFS($AE$19=$AE$21,+V$8*$AE64*$AB64,$AE$19=$AF$21,+V$8*$AF64*$AB64,$AE$19=$AG$21,+V$8*$AG64*$AB64)</f>
        <v>112005.63577588154</v>
      </c>
      <c r="W64" s="190" cm="1">
        <f t="array" ref="W64">_xlfn.IFS($AE$19=$AE$21,+W$8*$AE64*$AB64,$AE$19=$AF$21,+W$8*$AF64*$AB64,$AE$19=$AG$21,+W$8*$AG64*$AB64)</f>
        <v>95204.790409499314</v>
      </c>
      <c r="X64" s="190" cm="1">
        <f t="array" ref="X64">_xlfn.IFS($AE$19=$AE$21,+X$8*$AE64*$AB64,$AE$19=$AF$21,+X$8*$AF64*$AB64,$AE$19=$AG$21,+X$8*$AG64*$AB64)</f>
        <v>95204.790409499314</v>
      </c>
      <c r="Y64" s="190" cm="1">
        <f t="array" ref="Y64">_xlfn.IFS($AE$19=$AE$21,+Y$8*$AE64*$AB64,$AE$19=$AF$21,+Y$8*$AF64*$AB64,$AE$19=$AG$21,+Y$8*$AG64*$AB64)</f>
        <v>106405.35398708747</v>
      </c>
      <c r="Z64" s="190" cm="1">
        <f t="array" ref="Z64">_xlfn.IFS($AE$19=$AE$21,+Z$8*$AE64*$AB64,$AE$19=$AF$21,+Z$8*$AF64*$AB64,$AE$19=$AG$21,+Z$8*$AG64*$AB64)</f>
        <v>112005.63577588154</v>
      </c>
      <c r="AB64" s="188">
        <f>AD64/(AD64+AD70)</f>
        <v>0.98148709552800439</v>
      </c>
      <c r="AC64" s="184" t="str">
        <f>+A64&amp;"-"&amp;B64</f>
        <v>140-3390</v>
      </c>
      <c r="AD64" s="212">
        <v>-636856.03</v>
      </c>
      <c r="AE64" s="218">
        <f>AE$22</f>
        <v>0.42276422764227645</v>
      </c>
      <c r="AF64" s="218">
        <f t="shared" ref="AF64:AG64" si="37">AF$22</f>
        <v>0.42266035890737208</v>
      </c>
      <c r="AG64" s="218">
        <f t="shared" si="37"/>
        <v>0.390405884099157</v>
      </c>
    </row>
    <row r="65" spans="1:33" x14ac:dyDescent="0.2">
      <c r="A65" s="184">
        <v>147</v>
      </c>
      <c r="B65" s="192" t="s">
        <v>195</v>
      </c>
      <c r="C65" s="190"/>
      <c r="D65" s="190"/>
      <c r="E65" s="190"/>
      <c r="F65" s="190"/>
      <c r="G65" s="190" cm="1">
        <f t="array" ref="G65">_xlfn.IFS($AE$19=$AE$21,+G$8*$AE65*$AB65,$AE$19=$AF$21,+G$8*$AF65*$AB65,$AE$19=$AG$21,+G$8*$AG65*$AB65)</f>
        <v>132.82713991202513</v>
      </c>
      <c r="H65" s="190" cm="1">
        <f t="array" ref="H65">_xlfn.IFS($AE$19=$AE$21,+H$8*$AE65*$AB65,$AE$19=$AF$21,+H$8*$AF65*$AB65,$AE$19=$AG$21,+H$8*$AG65*$AB65)</f>
        <v>111.85443361012642</v>
      </c>
      <c r="I65" s="190" cm="1">
        <f t="array" ref="I65">_xlfn.IFS($AE$19=$AE$21,+I$8*$AE65*$AB65,$AE$19=$AF$21,+I$8*$AF65*$AB65,$AE$19=$AG$21,+I$8*$AG65*$AB65)</f>
        <v>139.81804201265803</v>
      </c>
      <c r="J65" s="190" cm="1">
        <f t="array" ref="J65">_xlfn.IFS($AE$19=$AE$21,+J$8*$AE65*$AB65,$AE$19=$AF$21,+J$8*$AF65*$AB65,$AE$19=$AG$21,+J$8*$AG65*$AB65)</f>
        <v>139.81804201265803</v>
      </c>
      <c r="K65" s="190" cm="1">
        <f t="array" ref="K65">_xlfn.IFS($AE$19=$AE$21,+K$8*$AE65*$AB65,$AE$19=$AF$21,+K$8*$AF65*$AB65,$AE$19=$AG$21,+K$8*$AG65*$AB65)</f>
        <v>104.86353150949353</v>
      </c>
      <c r="L65" s="190" cm="1">
        <f t="array" ref="L65">_xlfn.IFS($AE$19=$AE$21,+L$8*$AE65*$AB65,$AE$19=$AF$21,+L$8*$AF65*$AB65,$AE$19=$AG$21,+L$8*$AG65*$AB65)</f>
        <v>117.82414615946688</v>
      </c>
      <c r="M65" s="190" cm="1">
        <f t="array" ref="M65">_xlfn.IFS($AE$19=$AE$21,+M$8*$AE65*$AB65,$AE$19=$AF$21,+M$8*$AF65*$AB65,$AE$19=$AG$21,+M$8*$AG65*$AB65)</f>
        <v>122.21598621246447</v>
      </c>
      <c r="N65" s="190" cm="1">
        <f t="array" ref="N65">_xlfn.IFS($AE$19=$AE$21,+N$8*$AE65*$AB65,$AE$19=$AF$21,+N$8*$AF65*$AB65,$AE$19=$AG$21,+N$8*$AG65*$AB65)</f>
        <v>153.17791484926752</v>
      </c>
      <c r="O65" s="190" cm="1">
        <f t="array" ref="O65">_xlfn.IFS($AE$19=$AE$21,+O$8*$AE65*$AB65,$AE$19=$AF$21,+O$8*$AF65*$AB65,$AE$19=$AG$21,+O$8*$AG65*$AB65)</f>
        <v>96.797135047895054</v>
      </c>
      <c r="P65" s="190" cm="1">
        <f t="array" ref="P65">_xlfn.IFS($AE$19=$AE$21,+P$8*$AE65*$AB65,$AE$19=$AF$21,+P$8*$AF65*$AB65,$AE$19=$AG$21,+P$8*$AG65*$AB65)</f>
        <v>139.81804201265803</v>
      </c>
      <c r="Q65" s="190" cm="1">
        <f t="array" ref="Q65">_xlfn.IFS($AE$19=$AE$21,+Q$8*$AE65*$AB65,$AE$19=$AF$21,+Q$8*$AF65*$AB65,$AE$19=$AG$21,+Q$8*$AG65*$AB65)</f>
        <v>139.81804201265803</v>
      </c>
      <c r="R65" s="190" cm="1">
        <f t="array" ref="R65">_xlfn.IFS($AE$19=$AE$21,+R$8*$AE65*$AB65,$AE$19=$AF$21,+R$8*$AF65*$AB65,$AE$19=$AG$21,+R$8*$AG65*$AB65)</f>
        <v>139.81804201265803</v>
      </c>
      <c r="S65" s="190" cm="1">
        <f t="array" ref="S65">_xlfn.IFS($AE$19=$AE$21,+S$8*$AE65*$AB65,$AE$19=$AF$21,+S$8*$AF65*$AB65,$AE$19=$AG$21,+S$8*$AG65*$AB65)</f>
        <v>125.83623781139222</v>
      </c>
      <c r="T65" s="190" cm="1">
        <f t="array" ref="T65">_xlfn.IFS($AE$19=$AE$21,+T$8*$AE65*$AB65,$AE$19=$AF$21,+T$8*$AF65*$AB65,$AE$19=$AG$21,+T$8*$AG65*$AB65)</f>
        <v>125.83623781139222</v>
      </c>
      <c r="U65" s="190" cm="1">
        <f t="array" ref="U65">_xlfn.IFS($AE$19=$AE$21,+U$8*$AE65*$AB65,$AE$19=$AF$21,+U$8*$AF65*$AB65,$AE$19=$AG$21,+U$8*$AG65*$AB65)</f>
        <v>139.81804201265803</v>
      </c>
      <c r="V65" s="190" cm="1">
        <f t="array" ref="V65">_xlfn.IFS($AE$19=$AE$21,+V$8*$AE65*$AB65,$AE$19=$AF$21,+V$8*$AF65*$AB65,$AE$19=$AG$21,+V$8*$AG65*$AB65)</f>
        <v>139.81804201265803</v>
      </c>
      <c r="W65" s="190" cm="1">
        <f t="array" ref="W65">_xlfn.IFS($AE$19=$AE$21,+W$8*$AE65*$AB65,$AE$19=$AF$21,+W$8*$AF65*$AB65,$AE$19=$AG$21,+W$8*$AG65*$AB65)</f>
        <v>118.84533571075933</v>
      </c>
      <c r="X65" s="190" cm="1">
        <f t="array" ref="X65">_xlfn.IFS($AE$19=$AE$21,+X$8*$AE65*$AB65,$AE$19=$AF$21,+X$8*$AF65*$AB65,$AE$19=$AG$21,+X$8*$AG65*$AB65)</f>
        <v>118.84533571075933</v>
      </c>
      <c r="Y65" s="190" cm="1">
        <f t="array" ref="Y65">_xlfn.IFS($AE$19=$AE$21,+Y$8*$AE65*$AB65,$AE$19=$AF$21,+Y$8*$AF65*$AB65,$AE$19=$AG$21,+Y$8*$AG65*$AB65)</f>
        <v>132.82713991202513</v>
      </c>
      <c r="Z65" s="190" cm="1">
        <f t="array" ref="Z65">_xlfn.IFS($AE$19=$AE$21,+Z$8*$AE65*$AB65,$AE$19=$AF$21,+Z$8*$AF65*$AB65,$AE$19=$AG$21,+Z$8*$AG65*$AB65)</f>
        <v>139.81804201265803</v>
      </c>
      <c r="AB65" s="188">
        <f t="shared" ref="AB65:AB68" si="38">AD65/(AD65+AD71)</f>
        <v>0.96970178838486654</v>
      </c>
      <c r="AC65" s="184" t="str">
        <f>+A65&amp;"-"&amp;B65</f>
        <v>147-3390</v>
      </c>
      <c r="AD65" s="212">
        <v>-146415.69</v>
      </c>
      <c r="AE65" s="218">
        <f>AE$26</f>
        <v>0</v>
      </c>
      <c r="AF65" s="218">
        <f t="shared" ref="AF65:AG65" si="39">AF$26</f>
        <v>5.3402459008496063E-4</v>
      </c>
      <c r="AG65" s="218">
        <f t="shared" si="39"/>
        <v>2.6153936145675424E-3</v>
      </c>
    </row>
    <row r="66" spans="1:33" x14ac:dyDescent="0.2">
      <c r="A66" s="184">
        <v>240</v>
      </c>
      <c r="B66" s="192" t="s">
        <v>195</v>
      </c>
      <c r="C66" s="190"/>
      <c r="D66" s="190"/>
      <c r="E66" s="190"/>
      <c r="F66" s="190"/>
      <c r="G66" s="190" cm="1">
        <f t="array" ref="G66">_xlfn.IFS($AE$19=$AE$21,+G$8*$AE66*$AB66,$AE$19=$AF$21,+G$8*$AF66*$AB66,$AE$19=$AG$21,+G$8*$AG66*$AB66)</f>
        <v>52332.536382266342</v>
      </c>
      <c r="H66" s="190" cm="1">
        <f t="array" ref="H66">_xlfn.IFS($AE$19=$AE$21,+H$8*$AE66*$AB66,$AE$19=$AF$21,+H$8*$AF66*$AB66,$AE$19=$AG$21,+H$8*$AG66*$AB66)</f>
        <v>44069.504321908498</v>
      </c>
      <c r="I66" s="190" cm="1">
        <f t="array" ref="I66">_xlfn.IFS($AE$19=$AE$21,+I$8*$AE66*$AB66,$AE$19=$AF$21,+I$8*$AF66*$AB66,$AE$19=$AG$21,+I$8*$AG66*$AB66)</f>
        <v>55086.880402385628</v>
      </c>
      <c r="J66" s="190" cm="1">
        <f t="array" ref="J66">_xlfn.IFS($AE$19=$AE$21,+J$8*$AE66*$AB66,$AE$19=$AF$21,+J$8*$AF66*$AB66,$AE$19=$AG$21,+J$8*$AG66*$AB66)</f>
        <v>55086.880402385628</v>
      </c>
      <c r="K66" s="190" cm="1">
        <f t="array" ref="K66">_xlfn.IFS($AE$19=$AE$21,+K$8*$AE66*$AB66,$AE$19=$AF$21,+K$8*$AF66*$AB66,$AE$19=$AG$21,+K$8*$AG66*$AB66)</f>
        <v>41315.160301789219</v>
      </c>
      <c r="L66" s="190" cm="1">
        <f t="array" ref="L66">_xlfn.IFS($AE$19=$AE$21,+L$8*$AE66*$AB66,$AE$19=$AF$21,+L$8*$AF66*$AB66,$AE$19=$AG$21,+L$8*$AG66*$AB66)</f>
        <v>46421.510089607393</v>
      </c>
      <c r="M66" s="190" cm="1">
        <f t="array" ref="M66">_xlfn.IFS($AE$19=$AE$21,+M$8*$AE66*$AB66,$AE$19=$AF$21,+M$8*$AF66*$AB66,$AE$19=$AG$21,+M$8*$AG66*$AB66)</f>
        <v>48151.85021069122</v>
      </c>
      <c r="N66" s="190" cm="1">
        <f t="array" ref="N66">_xlfn.IFS($AE$19=$AE$21,+N$8*$AE66*$AB66,$AE$19=$AF$21,+N$8*$AF66*$AB66,$AE$19=$AG$21,+N$8*$AG66*$AB66)</f>
        <v>60350.533837575051</v>
      </c>
      <c r="O66" s="190" cm="1">
        <f t="array" ref="O66">_xlfn.IFS($AE$19=$AE$21,+O$8*$AE66*$AB66,$AE$19=$AF$21,+O$8*$AF66*$AB66,$AE$19=$AG$21,+O$8*$AG66*$AB66)</f>
        <v>38137.082488926746</v>
      </c>
      <c r="P66" s="190" cm="1">
        <f t="array" ref="P66">_xlfn.IFS($AE$19=$AE$21,+P$8*$AE66*$AB66,$AE$19=$AF$21,+P$8*$AF66*$AB66,$AE$19=$AG$21,+P$8*$AG66*$AB66)</f>
        <v>55086.880402385628</v>
      </c>
      <c r="Q66" s="190" cm="1">
        <f t="array" ref="Q66">_xlfn.IFS($AE$19=$AE$21,+Q$8*$AE66*$AB66,$AE$19=$AF$21,+Q$8*$AF66*$AB66,$AE$19=$AG$21,+Q$8*$AG66*$AB66)</f>
        <v>55086.880402385628</v>
      </c>
      <c r="R66" s="190" cm="1">
        <f t="array" ref="R66">_xlfn.IFS($AE$19=$AE$21,+R$8*$AE66*$AB66,$AE$19=$AF$21,+R$8*$AF66*$AB66,$AE$19=$AG$21,+R$8*$AG66*$AB66)</f>
        <v>55086.880402385628</v>
      </c>
      <c r="S66" s="190" cm="1">
        <f t="array" ref="S66">_xlfn.IFS($AE$19=$AE$21,+S$8*$AE66*$AB66,$AE$19=$AF$21,+S$8*$AF66*$AB66,$AE$19=$AG$21,+S$8*$AG66*$AB66)</f>
        <v>49578.192362147063</v>
      </c>
      <c r="T66" s="190" cm="1">
        <f t="array" ref="T66">_xlfn.IFS($AE$19=$AE$21,+T$8*$AE66*$AB66,$AE$19=$AF$21,+T$8*$AF66*$AB66,$AE$19=$AG$21,+T$8*$AG66*$AB66)</f>
        <v>49578.192362147063</v>
      </c>
      <c r="U66" s="190" cm="1">
        <f t="array" ref="U66">_xlfn.IFS($AE$19=$AE$21,+U$8*$AE66*$AB66,$AE$19=$AF$21,+U$8*$AF66*$AB66,$AE$19=$AG$21,+U$8*$AG66*$AB66)</f>
        <v>55086.880402385628</v>
      </c>
      <c r="V66" s="190" cm="1">
        <f t="array" ref="V66">_xlfn.IFS($AE$19=$AE$21,+V$8*$AE66*$AB66,$AE$19=$AF$21,+V$8*$AF66*$AB66,$AE$19=$AG$21,+V$8*$AG66*$AB66)</f>
        <v>55086.880402385628</v>
      </c>
      <c r="W66" s="190" cm="1">
        <f t="array" ref="W66">_xlfn.IFS($AE$19=$AE$21,+W$8*$AE66*$AB66,$AE$19=$AF$21,+W$8*$AF66*$AB66,$AE$19=$AG$21,+W$8*$AG66*$AB66)</f>
        <v>46823.848342027784</v>
      </c>
      <c r="X66" s="190" cm="1">
        <f t="array" ref="X66">_xlfn.IFS($AE$19=$AE$21,+X$8*$AE66*$AB66,$AE$19=$AF$21,+X$8*$AF66*$AB66,$AE$19=$AG$21,+X$8*$AG66*$AB66)</f>
        <v>46823.848342027784</v>
      </c>
      <c r="Y66" s="190" cm="1">
        <f t="array" ref="Y66">_xlfn.IFS($AE$19=$AE$21,+Y$8*$AE66*$AB66,$AE$19=$AF$21,+Y$8*$AF66*$AB66,$AE$19=$AG$21,+Y$8*$AG66*$AB66)</f>
        <v>52332.536382266342</v>
      </c>
      <c r="Z66" s="190" cm="1">
        <f t="array" ref="Z66">_xlfn.IFS($AE$19=$AE$21,+Z$8*$AE66*$AB66,$AE$19=$AF$21,+Z$8*$AF66*$AB66,$AE$19=$AG$21,+Z$8*$AG66*$AB66)</f>
        <v>55086.880402385628</v>
      </c>
      <c r="AB66" s="188">
        <f t="shared" si="38"/>
        <v>0.84309298630106067</v>
      </c>
      <c r="AC66" s="184" t="str">
        <f>+A66&amp;"-"&amp;B66</f>
        <v>240-3390</v>
      </c>
      <c r="AD66" s="212">
        <v>-171822.73</v>
      </c>
      <c r="AE66" s="218">
        <f>AE$30</f>
        <v>0.21951219512195122</v>
      </c>
      <c r="AF66" s="218">
        <f t="shared" ref="AF66:AG66" si="40">AF$30</f>
        <v>0.24199641829180513</v>
      </c>
      <c r="AG66" s="218">
        <f t="shared" si="40"/>
        <v>0.22009982389945629</v>
      </c>
    </row>
    <row r="67" spans="1:33" x14ac:dyDescent="0.2">
      <c r="A67" s="184">
        <v>340</v>
      </c>
      <c r="B67" s="192" t="s">
        <v>195</v>
      </c>
      <c r="C67" s="190"/>
      <c r="D67" s="190"/>
      <c r="E67" s="190"/>
      <c r="F67" s="190"/>
      <c r="G67" s="190" cm="1">
        <f t="array" ref="G67">_xlfn.IFS($AE$19=$AE$21,+G$8*$AE67*$AB67,$AE$19=$AF$21,+G$8*$AF67*$AB67,$AE$19=$AG$21,+G$8*$AG67*$AB67)</f>
        <v>42048.081436286942</v>
      </c>
      <c r="H67" s="190" cm="1">
        <f t="array" ref="H67">_xlfn.IFS($AE$19=$AE$21,+H$8*$AE67*$AB67,$AE$19=$AF$21,+H$8*$AF67*$AB67,$AE$19=$AG$21,+H$8*$AG67*$AB67)</f>
        <v>35408.910683189009</v>
      </c>
      <c r="I67" s="190" cm="1">
        <f t="array" ref="I67">_xlfn.IFS($AE$19=$AE$21,+I$8*$AE67*$AB67,$AE$19=$AF$21,+I$8*$AF67*$AB67,$AE$19=$AG$21,+I$8*$AG67*$AB67)</f>
        <v>44261.138353986258</v>
      </c>
      <c r="J67" s="190" cm="1">
        <f t="array" ref="J67">_xlfn.IFS($AE$19=$AE$21,+J$8*$AE67*$AB67,$AE$19=$AF$21,+J$8*$AF67*$AB67,$AE$19=$AG$21,+J$8*$AG67*$AB67)</f>
        <v>44261.138353986258</v>
      </c>
      <c r="K67" s="190" cm="1">
        <f t="array" ref="K67">_xlfn.IFS($AE$19=$AE$21,+K$8*$AE67*$AB67,$AE$19=$AF$21,+K$8*$AF67*$AB67,$AE$19=$AG$21,+K$8*$AG67*$AB67)</f>
        <v>33195.853765489694</v>
      </c>
      <c r="L67" s="190" cm="1">
        <f t="array" ref="L67">_xlfn.IFS($AE$19=$AE$21,+L$8*$AE67*$AB67,$AE$19=$AF$21,+L$8*$AF67*$AB67,$AE$19=$AG$21,+L$8*$AG67*$AB67)</f>
        <v>37298.697360762162</v>
      </c>
      <c r="M67" s="190" cm="1">
        <f t="array" ref="M67">_xlfn.IFS($AE$19=$AE$21,+M$8*$AE67*$AB67,$AE$19=$AF$21,+M$8*$AF67*$AB67,$AE$19=$AG$21,+M$8*$AG67*$AB67)</f>
        <v>38688.988895503491</v>
      </c>
      <c r="N67" s="190" cm="1">
        <f t="array" ref="N67">_xlfn.IFS($AE$19=$AE$21,+N$8*$AE67*$AB67,$AE$19=$AF$21,+N$8*$AF67*$AB67,$AE$19=$AG$21,+N$8*$AG67*$AB67)</f>
        <v>48490.372088780663</v>
      </c>
      <c r="O67" s="190" cm="1">
        <f t="array" ref="O67">_xlfn.IFS($AE$19=$AE$21,+O$8*$AE67*$AB67,$AE$19=$AF$21,+O$8*$AF67*$AB67,$AE$19=$AG$21,+O$8*$AG67*$AB67)</f>
        <v>30642.33574545768</v>
      </c>
      <c r="P67" s="190" cm="1">
        <f t="array" ref="P67">_xlfn.IFS($AE$19=$AE$21,+P$8*$AE67*$AB67,$AE$19=$AF$21,+P$8*$AF67*$AB67,$AE$19=$AG$21,+P$8*$AG67*$AB67)</f>
        <v>44261.138353986258</v>
      </c>
      <c r="Q67" s="190" cm="1">
        <f t="array" ref="Q67">_xlfn.IFS($AE$19=$AE$21,+Q$8*$AE67*$AB67,$AE$19=$AF$21,+Q$8*$AF67*$AB67,$AE$19=$AG$21,+Q$8*$AG67*$AB67)</f>
        <v>44261.138353986258</v>
      </c>
      <c r="R67" s="190" cm="1">
        <f t="array" ref="R67">_xlfn.IFS($AE$19=$AE$21,+R$8*$AE67*$AB67,$AE$19=$AF$21,+R$8*$AF67*$AB67,$AE$19=$AG$21,+R$8*$AG67*$AB67)</f>
        <v>44261.138353986258</v>
      </c>
      <c r="S67" s="190" cm="1">
        <f t="array" ref="S67">_xlfn.IFS($AE$19=$AE$21,+S$8*$AE67*$AB67,$AE$19=$AF$21,+S$8*$AF67*$AB67,$AE$19=$AG$21,+S$8*$AG67*$AB67)</f>
        <v>39835.024518587634</v>
      </c>
      <c r="T67" s="190" cm="1">
        <f t="array" ref="T67">_xlfn.IFS($AE$19=$AE$21,+T$8*$AE67*$AB67,$AE$19=$AF$21,+T$8*$AF67*$AB67,$AE$19=$AG$21,+T$8*$AG67*$AB67)</f>
        <v>39835.024518587634</v>
      </c>
      <c r="U67" s="190" cm="1">
        <f t="array" ref="U67">_xlfn.IFS($AE$19=$AE$21,+U$8*$AE67*$AB67,$AE$19=$AF$21,+U$8*$AF67*$AB67,$AE$19=$AG$21,+U$8*$AG67*$AB67)</f>
        <v>44261.138353986258</v>
      </c>
      <c r="V67" s="190" cm="1">
        <f t="array" ref="V67">_xlfn.IFS($AE$19=$AE$21,+V$8*$AE67*$AB67,$AE$19=$AF$21,+V$8*$AF67*$AB67,$AE$19=$AG$21,+V$8*$AG67*$AB67)</f>
        <v>44261.138353986258</v>
      </c>
      <c r="W67" s="190" cm="1">
        <f t="array" ref="W67">_xlfn.IFS($AE$19=$AE$21,+W$8*$AE67*$AB67,$AE$19=$AF$21,+W$8*$AF67*$AB67,$AE$19=$AG$21,+W$8*$AG67*$AB67)</f>
        <v>37621.967600888318</v>
      </c>
      <c r="X67" s="190" cm="1">
        <f t="array" ref="X67">_xlfn.IFS($AE$19=$AE$21,+X$8*$AE67*$AB67,$AE$19=$AF$21,+X$8*$AF67*$AB67,$AE$19=$AG$21,+X$8*$AG67*$AB67)</f>
        <v>37621.967600888318</v>
      </c>
      <c r="Y67" s="190" cm="1">
        <f t="array" ref="Y67">_xlfn.IFS($AE$19=$AE$21,+Y$8*$AE67*$AB67,$AE$19=$AF$21,+Y$8*$AF67*$AB67,$AE$19=$AG$21,+Y$8*$AG67*$AB67)</f>
        <v>42048.081436286942</v>
      </c>
      <c r="Z67" s="190" cm="1">
        <f t="array" ref="Z67">_xlfn.IFS($AE$19=$AE$21,+Z$8*$AE67*$AB67,$AE$19=$AF$21,+Z$8*$AF67*$AB67,$AE$19=$AG$21,+Z$8*$AG67*$AB67)</f>
        <v>44261.138353986258</v>
      </c>
      <c r="AB67" s="188">
        <f t="shared" si="38"/>
        <v>0.93639086614919509</v>
      </c>
      <c r="AC67" s="184" t="str">
        <f>+A67&amp;"-"&amp;B67</f>
        <v>340-3390</v>
      </c>
      <c r="AD67" s="212">
        <v>-201547.74</v>
      </c>
      <c r="AE67" s="218">
        <f>AE$34</f>
        <v>0.17886178861788618</v>
      </c>
      <c r="AF67" s="218">
        <f t="shared" ref="AF67:AG67" si="41">AF$34</f>
        <v>0.17506593451295152</v>
      </c>
      <c r="AG67" s="218">
        <f t="shared" si="41"/>
        <v>0.182774024004416</v>
      </c>
    </row>
    <row r="68" spans="1:33" x14ac:dyDescent="0.2">
      <c r="A68" s="184">
        <v>440</v>
      </c>
      <c r="B68" s="192" t="s">
        <v>195</v>
      </c>
      <c r="C68" s="190"/>
      <c r="D68" s="190"/>
      <c r="E68" s="190"/>
      <c r="F68" s="190"/>
      <c r="G68" s="190" cm="1">
        <f t="array" ref="G68">_xlfn.IFS($AE$19=$AE$21,+G$8*$AE68*$AB68,$AE$19=$AF$21,+G$8*$AF68*$AB68,$AE$19=$AG$21,+G$8*$AG68*$AB68)</f>
        <v>37824.025834574772</v>
      </c>
      <c r="H68" s="190" cm="1">
        <f t="array" ref="H68">_xlfn.IFS($AE$19=$AE$21,+H$8*$AE68*$AB68,$AE$19=$AF$21,+H$8*$AF68*$AB68,$AE$19=$AG$21,+H$8*$AG68*$AB68)</f>
        <v>31851.811229115599</v>
      </c>
      <c r="I68" s="190" cm="1">
        <f t="array" ref="I68">_xlfn.IFS($AE$19=$AE$21,+I$8*$AE68*$AB68,$AE$19=$AF$21,+I$8*$AF68*$AB68,$AE$19=$AG$21,+I$8*$AG68*$AB68)</f>
        <v>39814.764036394496</v>
      </c>
      <c r="J68" s="190" cm="1">
        <f t="array" ref="J68">_xlfn.IFS($AE$19=$AE$21,+J$8*$AE68*$AB68,$AE$19=$AF$21,+J$8*$AF68*$AB68,$AE$19=$AG$21,+J$8*$AG68*$AB68)</f>
        <v>39814.764036394496</v>
      </c>
      <c r="K68" s="190" cm="1">
        <f t="array" ref="K68">_xlfn.IFS($AE$19=$AE$21,+K$8*$AE68*$AB68,$AE$19=$AF$21,+K$8*$AF68*$AB68,$AE$19=$AG$21,+K$8*$AG68*$AB68)</f>
        <v>29861.073027295872</v>
      </c>
      <c r="L68" s="190" cm="1">
        <f t="array" ref="L68">_xlfn.IFS($AE$19=$AE$21,+L$8*$AE68*$AB68,$AE$19=$AF$21,+L$8*$AF68*$AB68,$AE$19=$AG$21,+L$8*$AG68*$AB68)</f>
        <v>33551.75419138062</v>
      </c>
      <c r="M68" s="190" cm="1">
        <f t="array" ref="M68">_xlfn.IFS($AE$19=$AE$21,+M$8*$AE68*$AB68,$AE$19=$AF$21,+M$8*$AF68*$AB68,$AE$19=$AG$21,+M$8*$AG68*$AB68)</f>
        <v>34802.380168390475</v>
      </c>
      <c r="N68" s="190" cm="1">
        <f t="array" ref="N68">_xlfn.IFS($AE$19=$AE$21,+N$8*$AE68*$AB68,$AE$19=$AF$21,+N$8*$AF68*$AB68,$AE$19=$AG$21,+N$8*$AG68*$AB68)</f>
        <v>43619.138471116501</v>
      </c>
      <c r="O68" s="190" cm="1">
        <f t="array" ref="O68">_xlfn.IFS($AE$19=$AE$21,+O$8*$AE68*$AB68,$AE$19=$AF$21,+O$8*$AF68*$AB68,$AE$19=$AG$21,+O$8*$AG68*$AB68)</f>
        <v>27564.075679031797</v>
      </c>
      <c r="P68" s="190" cm="1">
        <f t="array" ref="P68">_xlfn.IFS($AE$19=$AE$21,+P$8*$AE68*$AB68,$AE$19=$AF$21,+P$8*$AF68*$AB68,$AE$19=$AG$21,+P$8*$AG68*$AB68)</f>
        <v>39814.764036394496</v>
      </c>
      <c r="Q68" s="190" cm="1">
        <f t="array" ref="Q68">_xlfn.IFS($AE$19=$AE$21,+Q$8*$AE68*$AB68,$AE$19=$AF$21,+Q$8*$AF68*$AB68,$AE$19=$AG$21,+Q$8*$AG68*$AB68)</f>
        <v>39814.764036394496</v>
      </c>
      <c r="R68" s="190" cm="1">
        <f t="array" ref="R68">_xlfn.IFS($AE$19=$AE$21,+R$8*$AE68*$AB68,$AE$19=$AF$21,+R$8*$AF68*$AB68,$AE$19=$AG$21,+R$8*$AG68*$AB68)</f>
        <v>39814.764036394496</v>
      </c>
      <c r="S68" s="190" cm="1">
        <f t="array" ref="S68">_xlfn.IFS($AE$19=$AE$21,+S$8*$AE68*$AB68,$AE$19=$AF$21,+S$8*$AF68*$AB68,$AE$19=$AG$21,+S$8*$AG68*$AB68)</f>
        <v>35833.287632755048</v>
      </c>
      <c r="T68" s="190" cm="1">
        <f t="array" ref="T68">_xlfn.IFS($AE$19=$AE$21,+T$8*$AE68*$AB68,$AE$19=$AF$21,+T$8*$AF68*$AB68,$AE$19=$AG$21,+T$8*$AG68*$AB68)</f>
        <v>35833.287632755048</v>
      </c>
      <c r="U68" s="190" cm="1">
        <f t="array" ref="U68">_xlfn.IFS($AE$19=$AE$21,+U$8*$AE68*$AB68,$AE$19=$AF$21,+U$8*$AF68*$AB68,$AE$19=$AG$21,+U$8*$AG68*$AB68)</f>
        <v>39814.764036394496</v>
      </c>
      <c r="V68" s="190" cm="1">
        <f t="array" ref="V68">_xlfn.IFS($AE$19=$AE$21,+V$8*$AE68*$AB68,$AE$19=$AF$21,+V$8*$AF68*$AB68,$AE$19=$AG$21,+V$8*$AG68*$AB68)</f>
        <v>39814.764036394496</v>
      </c>
      <c r="W68" s="190" cm="1">
        <f t="array" ref="W68">_xlfn.IFS($AE$19=$AE$21,+W$8*$AE68*$AB68,$AE$19=$AF$21,+W$8*$AF68*$AB68,$AE$19=$AG$21,+W$8*$AG68*$AB68)</f>
        <v>33842.549430935323</v>
      </c>
      <c r="X68" s="190" cm="1">
        <f t="array" ref="X68">_xlfn.IFS($AE$19=$AE$21,+X$8*$AE68*$AB68,$AE$19=$AF$21,+X$8*$AF68*$AB68,$AE$19=$AG$21,+X$8*$AG68*$AB68)</f>
        <v>33842.549430935323</v>
      </c>
      <c r="Y68" s="190" cm="1">
        <f t="array" ref="Y68">_xlfn.IFS($AE$19=$AE$21,+Y$8*$AE68*$AB68,$AE$19=$AF$21,+Y$8*$AF68*$AB68,$AE$19=$AG$21,+Y$8*$AG68*$AB68)</f>
        <v>37824.025834574772</v>
      </c>
      <c r="Z68" s="190" cm="1">
        <f t="array" ref="Z68">_xlfn.IFS($AE$19=$AE$21,+Z$8*$AE68*$AB68,$AE$19=$AF$21,+Z$8*$AF68*$AB68,$AE$19=$AG$21,+Z$8*$AG68*$AB68)</f>
        <v>39814.764036394496</v>
      </c>
      <c r="AB68" s="188">
        <f t="shared" si="38"/>
        <v>0.92311929536298087</v>
      </c>
      <c r="AC68" s="184" t="str">
        <f>+A68&amp;"-"&amp;B68</f>
        <v>440-3390</v>
      </c>
      <c r="AD68" s="212">
        <v>-72530.36</v>
      </c>
      <c r="AE68" s="218">
        <f>AE$38</f>
        <v>0.17886178861788618</v>
      </c>
      <c r="AF68" s="218">
        <f t="shared" ref="AF68:AG68" si="42">AF$38</f>
        <v>0.1597432636977863</v>
      </c>
      <c r="AG68" s="218">
        <f t="shared" si="42"/>
        <v>0.20410487438240318</v>
      </c>
    </row>
    <row r="69" spans="1:33" x14ac:dyDescent="0.2">
      <c r="G69" s="190"/>
      <c r="H69" s="190"/>
      <c r="I69" s="190"/>
      <c r="J69" s="190"/>
      <c r="K69" s="190"/>
      <c r="L69" s="190"/>
      <c r="M69" s="190"/>
      <c r="N69" s="190"/>
      <c r="O69" s="190"/>
      <c r="P69" s="190"/>
      <c r="Q69" s="190"/>
      <c r="R69" s="190"/>
      <c r="S69" s="190"/>
      <c r="T69" s="190"/>
      <c r="U69" s="190"/>
      <c r="V69" s="190"/>
      <c r="W69" s="190"/>
      <c r="X69" s="190"/>
      <c r="Y69" s="190"/>
      <c r="Z69" s="190"/>
      <c r="AE69" s="218"/>
      <c r="AF69" s="218"/>
      <c r="AG69" s="218"/>
    </row>
    <row r="70" spans="1:33" x14ac:dyDescent="0.2">
      <c r="A70" s="184">
        <v>140</v>
      </c>
      <c r="B70" s="192" t="s">
        <v>196</v>
      </c>
      <c r="C70" s="190"/>
      <c r="D70" s="190"/>
      <c r="E70" s="190"/>
      <c r="F70" s="190"/>
      <c r="G70" s="190" cm="1">
        <f t="array" ref="G70">_xlfn.IFS($AE$19=$AE$21,+G$8*$AE70*$AB70,$AE$19=$AF$21,+G$8*$AF70*$AB70,$AE$19=$AG$21,+G$8*$AG70*$AB70)</f>
        <v>2007.0280726534832</v>
      </c>
      <c r="H70" s="190" cm="1">
        <f t="array" ref="H70">_xlfn.IFS($AE$19=$AE$21,+H$8*$AE70*$AB70,$AE$19=$AF$21,+H$8*$AF70*$AB70,$AE$19=$AG$21,+H$8*$AG70*$AB70)</f>
        <v>1690.1289032871437</v>
      </c>
      <c r="I70" s="190" cm="1">
        <f t="array" ref="I70">_xlfn.IFS($AE$19=$AE$21,+I$8*$AE70*$AB70,$AE$19=$AF$21,+I$8*$AF70*$AB70,$AE$19=$AG$21,+I$8*$AG70*$AB70)</f>
        <v>2112.6611291089298</v>
      </c>
      <c r="J70" s="190" cm="1">
        <f t="array" ref="J70">_xlfn.IFS($AE$19=$AE$21,+J$8*$AE70*$AB70,$AE$19=$AF$21,+J$8*$AF70*$AB70,$AE$19=$AG$21,+J$8*$AG70*$AB70)</f>
        <v>2112.6611291089298</v>
      </c>
      <c r="K70" s="190" cm="1">
        <f t="array" ref="K70">_xlfn.IFS($AE$19=$AE$21,+K$8*$AE70*$AB70,$AE$19=$AF$21,+K$8*$AF70*$AB70,$AE$19=$AG$21,+K$8*$AG70*$AB70)</f>
        <v>1584.4958468316975</v>
      </c>
      <c r="L70" s="190" cm="1">
        <f t="array" ref="L70">_xlfn.IFS($AE$19=$AE$21,+L$8*$AE70*$AB70,$AE$19=$AF$21,+L$8*$AF70*$AB70,$AE$19=$AG$21,+L$8*$AG70*$AB70)</f>
        <v>1780.3317088292465</v>
      </c>
      <c r="M70" s="190" cm="1">
        <f t="array" ref="M70">_xlfn.IFS($AE$19=$AE$21,+M$8*$AE70*$AB70,$AE$19=$AF$21,+M$8*$AF70*$AB70,$AE$19=$AG$21,+M$8*$AG70*$AB70)</f>
        <v>1846.6927422958126</v>
      </c>
      <c r="N70" s="190" cm="1">
        <f t="array" ref="N70">_xlfn.IFS($AE$19=$AE$21,+N$8*$AE70*$AB70,$AE$19=$AF$21,+N$8*$AF70*$AB70,$AE$19=$AG$21,+N$8*$AG70*$AB70)</f>
        <v>2314.529812330712</v>
      </c>
      <c r="O70" s="190" cm="1">
        <f t="array" ref="O70">_xlfn.IFS($AE$19=$AE$21,+O$8*$AE70*$AB70,$AE$19=$AF$21,+O$8*$AF70*$AB70,$AE$19=$AG$21,+O$8*$AG70*$AB70)</f>
        <v>1462.6119897050319</v>
      </c>
      <c r="P70" s="190" cm="1">
        <f t="array" ref="P70">_xlfn.IFS($AE$19=$AE$21,+P$8*$AE70*$AB70,$AE$19=$AF$21,+P$8*$AF70*$AB70,$AE$19=$AG$21,+P$8*$AG70*$AB70)</f>
        <v>2112.6611291089298</v>
      </c>
      <c r="Q70" s="190" cm="1">
        <f t="array" ref="Q70">_xlfn.IFS($AE$19=$AE$21,+Q$8*$AE70*$AB70,$AE$19=$AF$21,+Q$8*$AF70*$AB70,$AE$19=$AG$21,+Q$8*$AG70*$AB70)</f>
        <v>2112.6611291089298</v>
      </c>
      <c r="R70" s="190" cm="1">
        <f t="array" ref="R70">_xlfn.IFS($AE$19=$AE$21,+R$8*$AE70*$AB70,$AE$19=$AF$21,+R$8*$AF70*$AB70,$AE$19=$AG$21,+R$8*$AG70*$AB70)</f>
        <v>2112.6611291089298</v>
      </c>
      <c r="S70" s="190" cm="1">
        <f t="array" ref="S70">_xlfn.IFS($AE$19=$AE$21,+S$8*$AE70*$AB70,$AE$19=$AF$21,+S$8*$AF70*$AB70,$AE$19=$AG$21,+S$8*$AG70*$AB70)</f>
        <v>1901.395016198037</v>
      </c>
      <c r="T70" s="190" cm="1">
        <f t="array" ref="T70">_xlfn.IFS($AE$19=$AE$21,+T$8*$AE70*$AB70,$AE$19=$AF$21,+T$8*$AF70*$AB70,$AE$19=$AG$21,+T$8*$AG70*$AB70)</f>
        <v>1901.395016198037</v>
      </c>
      <c r="U70" s="190" cm="1">
        <f t="array" ref="U70">_xlfn.IFS($AE$19=$AE$21,+U$8*$AE70*$AB70,$AE$19=$AF$21,+U$8*$AF70*$AB70,$AE$19=$AG$21,+U$8*$AG70*$AB70)</f>
        <v>2112.6611291089298</v>
      </c>
      <c r="V70" s="190" cm="1">
        <f t="array" ref="V70">_xlfn.IFS($AE$19=$AE$21,+V$8*$AE70*$AB70,$AE$19=$AF$21,+V$8*$AF70*$AB70,$AE$19=$AG$21,+V$8*$AG70*$AB70)</f>
        <v>2112.6611291089298</v>
      </c>
      <c r="W70" s="190" cm="1">
        <f t="array" ref="W70">_xlfn.IFS($AE$19=$AE$21,+W$8*$AE70*$AB70,$AE$19=$AF$21,+W$8*$AF70*$AB70,$AE$19=$AG$21,+W$8*$AG70*$AB70)</f>
        <v>1795.7619597425903</v>
      </c>
      <c r="X70" s="190" cm="1">
        <f t="array" ref="X70">_xlfn.IFS($AE$19=$AE$21,+X$8*$AE70*$AB70,$AE$19=$AF$21,+X$8*$AF70*$AB70,$AE$19=$AG$21,+X$8*$AG70*$AB70)</f>
        <v>1795.7619597425903</v>
      </c>
      <c r="Y70" s="190" cm="1">
        <f t="array" ref="Y70">_xlfn.IFS($AE$19=$AE$21,+Y$8*$AE70*$AB70,$AE$19=$AF$21,+Y$8*$AF70*$AB70,$AE$19=$AG$21,+Y$8*$AG70*$AB70)</f>
        <v>2007.0280726534832</v>
      </c>
      <c r="Z70" s="190" cm="1">
        <f t="array" ref="Z70">_xlfn.IFS($AE$19=$AE$21,+Z$8*$AE70*$AB70,$AE$19=$AF$21,+Z$8*$AF70*$AB70,$AE$19=$AG$21,+Z$8*$AG70*$AB70)</f>
        <v>2112.6611291089298</v>
      </c>
      <c r="AA70" s="213"/>
      <c r="AB70" s="188">
        <f>AD70/(AD64+AD70)</f>
        <v>1.8512904471995689E-2</v>
      </c>
      <c r="AC70" s="184" t="str">
        <f>+A70&amp;"-"&amp;B70</f>
        <v>140-3430</v>
      </c>
      <c r="AD70" s="212">
        <v>-12012.44</v>
      </c>
      <c r="AE70" s="218">
        <f>AE$22</f>
        <v>0.42276422764227645</v>
      </c>
      <c r="AF70" s="218">
        <f t="shared" ref="AF70:AG70" si="43">AF$22</f>
        <v>0.42266035890737208</v>
      </c>
      <c r="AG70" s="218">
        <f t="shared" si="43"/>
        <v>0.390405884099157</v>
      </c>
    </row>
    <row r="71" spans="1:33" x14ac:dyDescent="0.2">
      <c r="A71" s="184">
        <v>147</v>
      </c>
      <c r="B71" s="192" t="s">
        <v>196</v>
      </c>
      <c r="C71" s="190"/>
      <c r="D71" s="190"/>
      <c r="E71" s="190"/>
      <c r="F71" s="190"/>
      <c r="G71" s="190" cm="1">
        <f t="array" ref="G71">_xlfn.IFS($AE$19=$AE$21,+G$8*$AE71*$AB71,$AE$19=$AF$21,+G$8*$AF71*$AB71,$AE$19=$AG$21,+G$8*$AG71*$AB71)</f>
        <v>4.1501674447672778</v>
      </c>
      <c r="H71" s="190" cm="1">
        <f t="array" ref="H71">_xlfn.IFS($AE$19=$AE$21,+H$8*$AE71*$AB71,$AE$19=$AF$21,+H$8*$AF71*$AB71,$AE$19=$AG$21,+H$8*$AG71*$AB71)</f>
        <v>3.4948778482250757</v>
      </c>
      <c r="I71" s="190" cm="1">
        <f t="array" ref="I71">_xlfn.IFS($AE$19=$AE$21,+I$8*$AE71*$AB71,$AE$19=$AF$21,+I$8*$AF71*$AB71,$AE$19=$AG$21,+I$8*$AG71*$AB71)</f>
        <v>4.368597310281344</v>
      </c>
      <c r="J71" s="190" cm="1">
        <f t="array" ref="J71">_xlfn.IFS($AE$19=$AE$21,+J$8*$AE71*$AB71,$AE$19=$AF$21,+J$8*$AF71*$AB71,$AE$19=$AG$21,+J$8*$AG71*$AB71)</f>
        <v>4.368597310281344</v>
      </c>
      <c r="K71" s="190" cm="1">
        <f t="array" ref="K71">_xlfn.IFS($AE$19=$AE$21,+K$8*$AE71*$AB71,$AE$19=$AF$21,+K$8*$AF71*$AB71,$AE$19=$AG$21,+K$8*$AG71*$AB71)</f>
        <v>3.2764479827110087</v>
      </c>
      <c r="L71" s="190" cm="1">
        <f t="array" ref="L71">_xlfn.IFS($AE$19=$AE$21,+L$8*$AE71*$AB71,$AE$19=$AF$21,+L$8*$AF71*$AB71,$AE$19=$AG$21,+L$8*$AG71*$AB71)</f>
        <v>3.681400773384051</v>
      </c>
      <c r="M71" s="190" cm="1">
        <f t="array" ref="M71">_xlfn.IFS($AE$19=$AE$21,+M$8*$AE71*$AB71,$AE$19=$AF$21,+M$8*$AF71*$AB71,$AE$19=$AG$21,+M$8*$AG71*$AB71)</f>
        <v>3.8186232688969994</v>
      </c>
      <c r="N71" s="190" cm="1">
        <f t="array" ref="N71">_xlfn.IFS($AE$19=$AE$21,+N$8*$AE71*$AB71,$AE$19=$AF$21,+N$8*$AF71*$AB71,$AE$19=$AG$21,+N$8*$AG71*$AB71)</f>
        <v>4.7860248732737452</v>
      </c>
      <c r="O71" s="190" cm="1">
        <f t="array" ref="O71">_xlfn.IFS($AE$19=$AE$21,+O$8*$AE71*$AB71,$AE$19=$AF$21,+O$8*$AF71*$AB71,$AE$19=$AG$21,+O$8*$AG71*$AB71)</f>
        <v>3.0244144298265261</v>
      </c>
      <c r="P71" s="190" cm="1">
        <f t="array" ref="P71">_xlfn.IFS($AE$19=$AE$21,+P$8*$AE71*$AB71,$AE$19=$AF$21,+P$8*$AF71*$AB71,$AE$19=$AG$21,+P$8*$AG71*$AB71)</f>
        <v>4.368597310281344</v>
      </c>
      <c r="Q71" s="190" cm="1">
        <f t="array" ref="Q71">_xlfn.IFS($AE$19=$AE$21,+Q$8*$AE71*$AB71,$AE$19=$AF$21,+Q$8*$AF71*$AB71,$AE$19=$AG$21,+Q$8*$AG71*$AB71)</f>
        <v>4.368597310281344</v>
      </c>
      <c r="R71" s="190" cm="1">
        <f t="array" ref="R71">_xlfn.IFS($AE$19=$AE$21,+R$8*$AE71*$AB71,$AE$19=$AF$21,+R$8*$AF71*$AB71,$AE$19=$AG$21,+R$8*$AG71*$AB71)</f>
        <v>4.368597310281344</v>
      </c>
      <c r="S71" s="190" cm="1">
        <f t="array" ref="S71">_xlfn.IFS($AE$19=$AE$21,+S$8*$AE71*$AB71,$AE$19=$AF$21,+S$8*$AF71*$AB71,$AE$19=$AG$21,+S$8*$AG71*$AB71)</f>
        <v>3.9317375792532099</v>
      </c>
      <c r="T71" s="190" cm="1">
        <f t="array" ref="T71">_xlfn.IFS($AE$19=$AE$21,+T$8*$AE71*$AB71,$AE$19=$AF$21,+T$8*$AF71*$AB71,$AE$19=$AG$21,+T$8*$AG71*$AB71)</f>
        <v>3.9317375792532099</v>
      </c>
      <c r="U71" s="190" cm="1">
        <f t="array" ref="U71">_xlfn.IFS($AE$19=$AE$21,+U$8*$AE71*$AB71,$AE$19=$AF$21,+U$8*$AF71*$AB71,$AE$19=$AG$21,+U$8*$AG71*$AB71)</f>
        <v>4.368597310281344</v>
      </c>
      <c r="V71" s="190" cm="1">
        <f t="array" ref="V71">_xlfn.IFS($AE$19=$AE$21,+V$8*$AE71*$AB71,$AE$19=$AF$21,+V$8*$AF71*$AB71,$AE$19=$AG$21,+V$8*$AG71*$AB71)</f>
        <v>4.368597310281344</v>
      </c>
      <c r="W71" s="190" cm="1">
        <f t="array" ref="W71">_xlfn.IFS($AE$19=$AE$21,+W$8*$AE71*$AB71,$AE$19=$AF$21,+W$8*$AF71*$AB71,$AE$19=$AG$21,+W$8*$AG71*$AB71)</f>
        <v>3.7133077137391428</v>
      </c>
      <c r="X71" s="190" cm="1">
        <f t="array" ref="X71">_xlfn.IFS($AE$19=$AE$21,+X$8*$AE71*$AB71,$AE$19=$AF$21,+X$8*$AF71*$AB71,$AE$19=$AG$21,+X$8*$AG71*$AB71)</f>
        <v>3.7133077137391428</v>
      </c>
      <c r="Y71" s="190" cm="1">
        <f t="array" ref="Y71">_xlfn.IFS($AE$19=$AE$21,+Y$8*$AE71*$AB71,$AE$19=$AF$21,+Y$8*$AF71*$AB71,$AE$19=$AG$21,+Y$8*$AG71*$AB71)</f>
        <v>4.1501674447672778</v>
      </c>
      <c r="Z71" s="190" cm="1">
        <f t="array" ref="Z71">_xlfn.IFS($AE$19=$AE$21,+Z$8*$AE71*$AB71,$AE$19=$AF$21,+Z$8*$AF71*$AB71,$AE$19=$AG$21,+Z$8*$AG71*$AB71)</f>
        <v>4.368597310281344</v>
      </c>
      <c r="AA71" s="213"/>
      <c r="AB71" s="188">
        <f t="shared" ref="AB71:AB74" si="44">AD71/(AD65+AD71)</f>
        <v>3.0298211615133488E-2</v>
      </c>
      <c r="AC71" s="184" t="str">
        <f>+A71&amp;"-"&amp;B71</f>
        <v>147-3430</v>
      </c>
      <c r="AD71" s="212">
        <v>-4574.74</v>
      </c>
      <c r="AE71" s="218">
        <f>AE$26</f>
        <v>0</v>
      </c>
      <c r="AF71" s="218">
        <f t="shared" ref="AF71:AG71" si="45">AF$26</f>
        <v>5.3402459008496063E-4</v>
      </c>
      <c r="AG71" s="218">
        <f t="shared" si="45"/>
        <v>2.6153936145675424E-3</v>
      </c>
    </row>
    <row r="72" spans="1:33" x14ac:dyDescent="0.2">
      <c r="A72" s="184">
        <v>240</v>
      </c>
      <c r="B72" s="192" t="s">
        <v>196</v>
      </c>
      <c r="C72" s="190"/>
      <c r="D72" s="190"/>
      <c r="E72" s="190"/>
      <c r="F72" s="190"/>
      <c r="G72" s="190" cm="1">
        <f t="array" ref="G72">_xlfn.IFS($AE$19=$AE$21,+G$8*$AE72*$AB72,$AE$19=$AF$21,+G$8*$AF72*$AB72,$AE$19=$AG$21,+G$8*$AG72*$AB72)</f>
        <v>9739.544909581673</v>
      </c>
      <c r="H72" s="190" cm="1">
        <f t="array" ref="H72">_xlfn.IFS($AE$19=$AE$21,+H$8*$AE72*$AB72,$AE$19=$AF$21,+H$8*$AF72*$AB72,$AE$19=$AG$21,+H$8*$AG72*$AB72)</f>
        <v>8201.7220291214089</v>
      </c>
      <c r="I72" s="190" cm="1">
        <f t="array" ref="I72">_xlfn.IFS($AE$19=$AE$21,+I$8*$AE72*$AB72,$AE$19=$AF$21,+I$8*$AF72*$AB72,$AE$19=$AG$21,+I$8*$AG72*$AB72)</f>
        <v>10252.152536401762</v>
      </c>
      <c r="J72" s="190" cm="1">
        <f t="array" ref="J72">_xlfn.IFS($AE$19=$AE$21,+J$8*$AE72*$AB72,$AE$19=$AF$21,+J$8*$AF72*$AB72,$AE$19=$AG$21,+J$8*$AG72*$AB72)</f>
        <v>10252.152536401762</v>
      </c>
      <c r="K72" s="190" cm="1">
        <f t="array" ref="K72">_xlfn.IFS($AE$19=$AE$21,+K$8*$AE72*$AB72,$AE$19=$AF$21,+K$8*$AF72*$AB72,$AE$19=$AG$21,+K$8*$AG72*$AB72)</f>
        <v>7689.1144023013203</v>
      </c>
      <c r="L72" s="190" cm="1">
        <f t="array" ref="L72">_xlfn.IFS($AE$19=$AE$21,+L$8*$AE72*$AB72,$AE$19=$AF$21,+L$8*$AF72*$AB72,$AE$19=$AG$21,+L$8*$AG72*$AB72)</f>
        <v>8639.4509714904434</v>
      </c>
      <c r="M72" s="190" cm="1">
        <f t="array" ref="M72">_xlfn.IFS($AE$19=$AE$21,+M$8*$AE72*$AB72,$AE$19=$AF$21,+M$8*$AF72*$AB72,$AE$19=$AG$21,+M$8*$AG72*$AB72)</f>
        <v>8961.4824739394189</v>
      </c>
      <c r="N72" s="190" cm="1">
        <f t="array" ref="N72">_xlfn.IFS($AE$19=$AE$21,+N$8*$AE72*$AB72,$AE$19=$AF$21,+N$8*$AF72*$AB72,$AE$19=$AG$21,+N$8*$AG72*$AB72)</f>
        <v>11231.764696722608</v>
      </c>
      <c r="O72" s="190" cm="1">
        <f t="array" ref="O72">_xlfn.IFS($AE$19=$AE$21,+O$8*$AE72*$AB72,$AE$19=$AF$21,+O$8*$AF72*$AB72,$AE$19=$AG$21,+O$8*$AG72*$AB72)</f>
        <v>7097.6461929559755</v>
      </c>
      <c r="P72" s="190" cm="1">
        <f t="array" ref="P72">_xlfn.IFS($AE$19=$AE$21,+P$8*$AE72*$AB72,$AE$19=$AF$21,+P$8*$AF72*$AB72,$AE$19=$AG$21,+P$8*$AG72*$AB72)</f>
        <v>10252.152536401762</v>
      </c>
      <c r="Q72" s="190" cm="1">
        <f t="array" ref="Q72">_xlfn.IFS($AE$19=$AE$21,+Q$8*$AE72*$AB72,$AE$19=$AF$21,+Q$8*$AF72*$AB72,$AE$19=$AG$21,+Q$8*$AG72*$AB72)</f>
        <v>10252.152536401762</v>
      </c>
      <c r="R72" s="190" cm="1">
        <f t="array" ref="R72">_xlfn.IFS($AE$19=$AE$21,+R$8*$AE72*$AB72,$AE$19=$AF$21,+R$8*$AF72*$AB72,$AE$19=$AG$21,+R$8*$AG72*$AB72)</f>
        <v>10252.152536401762</v>
      </c>
      <c r="S72" s="190" cm="1">
        <f t="array" ref="S72">_xlfn.IFS($AE$19=$AE$21,+S$8*$AE72*$AB72,$AE$19=$AF$21,+S$8*$AF72*$AB72,$AE$19=$AG$21,+S$8*$AG72*$AB72)</f>
        <v>9226.9372827615844</v>
      </c>
      <c r="T72" s="190" cm="1">
        <f t="array" ref="T72">_xlfn.IFS($AE$19=$AE$21,+T$8*$AE72*$AB72,$AE$19=$AF$21,+T$8*$AF72*$AB72,$AE$19=$AG$21,+T$8*$AG72*$AB72)</f>
        <v>9226.9372827615844</v>
      </c>
      <c r="U72" s="190" cm="1">
        <f t="array" ref="U72">_xlfn.IFS($AE$19=$AE$21,+U$8*$AE72*$AB72,$AE$19=$AF$21,+U$8*$AF72*$AB72,$AE$19=$AG$21,+U$8*$AG72*$AB72)</f>
        <v>10252.152536401762</v>
      </c>
      <c r="V72" s="190" cm="1">
        <f t="array" ref="V72">_xlfn.IFS($AE$19=$AE$21,+V$8*$AE72*$AB72,$AE$19=$AF$21,+V$8*$AF72*$AB72,$AE$19=$AG$21,+V$8*$AG72*$AB72)</f>
        <v>10252.152536401762</v>
      </c>
      <c r="W72" s="190" cm="1">
        <f t="array" ref="W72">_xlfn.IFS($AE$19=$AE$21,+W$8*$AE72*$AB72,$AE$19=$AF$21,+W$8*$AF72*$AB72,$AE$19=$AG$21,+W$8*$AG72*$AB72)</f>
        <v>8714.3296559414975</v>
      </c>
      <c r="X72" s="190" cm="1">
        <f t="array" ref="X72">_xlfn.IFS($AE$19=$AE$21,+X$8*$AE72*$AB72,$AE$19=$AF$21,+X$8*$AF72*$AB72,$AE$19=$AG$21,+X$8*$AG72*$AB72)</f>
        <v>8714.3296559414975</v>
      </c>
      <c r="Y72" s="190" cm="1">
        <f t="array" ref="Y72">_xlfn.IFS($AE$19=$AE$21,+Y$8*$AE72*$AB72,$AE$19=$AF$21,+Y$8*$AF72*$AB72,$AE$19=$AG$21,+Y$8*$AG72*$AB72)</f>
        <v>9739.544909581673</v>
      </c>
      <c r="Z72" s="190" cm="1">
        <f t="array" ref="Z72">_xlfn.IFS($AE$19=$AE$21,+Z$8*$AE72*$AB72,$AE$19=$AF$21,+Z$8*$AF72*$AB72,$AE$19=$AG$21,+Z$8*$AG72*$AB72)</f>
        <v>10252.152536401762</v>
      </c>
      <c r="AA72" s="213"/>
      <c r="AB72" s="188">
        <f t="shared" si="44"/>
        <v>0.15690701369893933</v>
      </c>
      <c r="AC72" s="184" t="str">
        <f>+A72&amp;"-"&amp;B72</f>
        <v>240-3430</v>
      </c>
      <c r="AD72" s="212">
        <v>-31977.72</v>
      </c>
      <c r="AE72" s="218">
        <f>AE$30</f>
        <v>0.21951219512195122</v>
      </c>
      <c r="AF72" s="218">
        <f t="shared" ref="AF72:AG72" si="46">AF$30</f>
        <v>0.24199641829180513</v>
      </c>
      <c r="AG72" s="218">
        <f t="shared" si="46"/>
        <v>0.22009982389945629</v>
      </c>
    </row>
    <row r="73" spans="1:33" x14ac:dyDescent="0.2">
      <c r="A73" s="184">
        <v>340</v>
      </c>
      <c r="B73" s="192" t="s">
        <v>196</v>
      </c>
      <c r="C73" s="190"/>
      <c r="D73" s="190"/>
      <c r="E73" s="190"/>
      <c r="F73" s="190"/>
      <c r="G73" s="190" cm="1">
        <f t="array" ref="G73">_xlfn.IFS($AE$19=$AE$21,+G$8*$AE73*$AB73,$AE$19=$AF$21,+G$8*$AF73*$AB73,$AE$19=$AG$21,+G$8*$AG73*$AB73)</f>
        <v>2856.3307662851212</v>
      </c>
      <c r="H73" s="190" cm="1">
        <f t="array" ref="H73">_xlfn.IFS($AE$19=$AE$21,+H$8*$AE73*$AB73,$AE$19=$AF$21,+H$8*$AF73*$AB73,$AE$19=$AG$21,+H$8*$AG73*$AB73)</f>
        <v>2405.3311716085236</v>
      </c>
      <c r="I73" s="190" cm="1">
        <f t="array" ref="I73">_xlfn.IFS($AE$19=$AE$21,+I$8*$AE73*$AB73,$AE$19=$AF$21,+I$8*$AF73*$AB73,$AE$19=$AG$21,+I$8*$AG73*$AB73)</f>
        <v>3006.6639645106543</v>
      </c>
      <c r="J73" s="190" cm="1">
        <f t="array" ref="J73">_xlfn.IFS($AE$19=$AE$21,+J$8*$AE73*$AB73,$AE$19=$AF$21,+J$8*$AF73*$AB73,$AE$19=$AG$21,+J$8*$AG73*$AB73)</f>
        <v>3006.6639645106543</v>
      </c>
      <c r="K73" s="190" cm="1">
        <f t="array" ref="K73">_xlfn.IFS($AE$19=$AE$21,+K$8*$AE73*$AB73,$AE$19=$AF$21,+K$8*$AF73*$AB73,$AE$19=$AG$21,+K$8*$AG73*$AB73)</f>
        <v>2254.9979733829905</v>
      </c>
      <c r="L73" s="190" cm="1">
        <f t="array" ref="L73">_xlfn.IFS($AE$19=$AE$21,+L$8*$AE73*$AB73,$AE$19=$AF$21,+L$8*$AF73*$AB73,$AE$19=$AG$21,+L$8*$AG73*$AB73)</f>
        <v>2533.7045871006671</v>
      </c>
      <c r="M73" s="190" cm="1">
        <f t="array" ref="M73">_xlfn.IFS($AE$19=$AE$21,+M$8*$AE73*$AB73,$AE$19=$AF$21,+M$8*$AF73*$AB73,$AE$19=$AG$21,+M$8*$AG73*$AB73)</f>
        <v>2628.1472429636851</v>
      </c>
      <c r="N73" s="190" cm="1">
        <f t="array" ref="N73">_xlfn.IFS($AE$19=$AE$21,+N$8*$AE73*$AB73,$AE$19=$AF$21,+N$8*$AF73*$AB73,$AE$19=$AG$21,+N$8*$AG73*$AB73)</f>
        <v>3293.9562742158773</v>
      </c>
      <c r="O73" s="190" cm="1">
        <f t="array" ref="O73">_xlfn.IFS($AE$19=$AE$21,+O$8*$AE73*$AB73,$AE$19=$AF$21,+O$8*$AF73*$AB73,$AE$19=$AG$21,+O$8*$AG73*$AB73)</f>
        <v>2081.5372152760456</v>
      </c>
      <c r="P73" s="190" cm="1">
        <f t="array" ref="P73">_xlfn.IFS($AE$19=$AE$21,+P$8*$AE73*$AB73,$AE$19=$AF$21,+P$8*$AF73*$AB73,$AE$19=$AG$21,+P$8*$AG73*$AB73)</f>
        <v>3006.6639645106543</v>
      </c>
      <c r="Q73" s="190" cm="1">
        <f t="array" ref="Q73">_xlfn.IFS($AE$19=$AE$21,+Q$8*$AE73*$AB73,$AE$19=$AF$21,+Q$8*$AF73*$AB73,$AE$19=$AG$21,+Q$8*$AG73*$AB73)</f>
        <v>3006.6639645106543</v>
      </c>
      <c r="R73" s="190" cm="1">
        <f t="array" ref="R73">_xlfn.IFS($AE$19=$AE$21,+R$8*$AE73*$AB73,$AE$19=$AF$21,+R$8*$AF73*$AB73,$AE$19=$AG$21,+R$8*$AG73*$AB73)</f>
        <v>3006.6639645106543</v>
      </c>
      <c r="S73" s="190" cm="1">
        <f t="array" ref="S73">_xlfn.IFS($AE$19=$AE$21,+S$8*$AE73*$AB73,$AE$19=$AF$21,+S$8*$AF73*$AB73,$AE$19=$AG$21,+S$8*$AG73*$AB73)</f>
        <v>2705.997568059589</v>
      </c>
      <c r="T73" s="190" cm="1">
        <f t="array" ref="T73">_xlfn.IFS($AE$19=$AE$21,+T$8*$AE73*$AB73,$AE$19=$AF$21,+T$8*$AF73*$AB73,$AE$19=$AG$21,+T$8*$AG73*$AB73)</f>
        <v>2705.997568059589</v>
      </c>
      <c r="U73" s="190" cm="1">
        <f t="array" ref="U73">_xlfn.IFS($AE$19=$AE$21,+U$8*$AE73*$AB73,$AE$19=$AF$21,+U$8*$AF73*$AB73,$AE$19=$AG$21,+U$8*$AG73*$AB73)</f>
        <v>3006.6639645106543</v>
      </c>
      <c r="V73" s="190" cm="1">
        <f t="array" ref="V73">_xlfn.IFS($AE$19=$AE$21,+V$8*$AE73*$AB73,$AE$19=$AF$21,+V$8*$AF73*$AB73,$AE$19=$AG$21,+V$8*$AG73*$AB73)</f>
        <v>3006.6639645106543</v>
      </c>
      <c r="W73" s="190" cm="1">
        <f t="array" ref="W73">_xlfn.IFS($AE$19=$AE$21,+W$8*$AE73*$AB73,$AE$19=$AF$21,+W$8*$AF73*$AB73,$AE$19=$AG$21,+W$8*$AG73*$AB73)</f>
        <v>2555.6643698340558</v>
      </c>
      <c r="X73" s="190" cm="1">
        <f t="array" ref="X73">_xlfn.IFS($AE$19=$AE$21,+X$8*$AE73*$AB73,$AE$19=$AF$21,+X$8*$AF73*$AB73,$AE$19=$AG$21,+X$8*$AG73*$AB73)</f>
        <v>2555.6643698340558</v>
      </c>
      <c r="Y73" s="190" cm="1">
        <f t="array" ref="Y73">_xlfn.IFS($AE$19=$AE$21,+Y$8*$AE73*$AB73,$AE$19=$AF$21,+Y$8*$AF73*$AB73,$AE$19=$AG$21,+Y$8*$AG73*$AB73)</f>
        <v>2856.3307662851212</v>
      </c>
      <c r="Z73" s="190" cm="1">
        <f t="array" ref="Z73">_xlfn.IFS($AE$19=$AE$21,+Z$8*$AE73*$AB73,$AE$19=$AF$21,+Z$8*$AF73*$AB73,$AE$19=$AG$21,+Z$8*$AG73*$AB73)</f>
        <v>3006.6639645106543</v>
      </c>
      <c r="AA73" s="213"/>
      <c r="AB73" s="188">
        <f t="shared" si="44"/>
        <v>6.3609133850804855E-2</v>
      </c>
      <c r="AC73" s="184" t="str">
        <f>+A73&amp;"-"&amp;B73</f>
        <v>340-3430</v>
      </c>
      <c r="AD73" s="212">
        <v>-13691.16</v>
      </c>
      <c r="AE73" s="218">
        <f>AE$34</f>
        <v>0.17886178861788618</v>
      </c>
      <c r="AF73" s="218">
        <f t="shared" ref="AF73:AG73" si="47">AF$34</f>
        <v>0.17506593451295152</v>
      </c>
      <c r="AG73" s="218">
        <f t="shared" si="47"/>
        <v>0.182774024004416</v>
      </c>
    </row>
    <row r="74" spans="1:33" x14ac:dyDescent="0.2">
      <c r="A74" s="184">
        <v>440</v>
      </c>
      <c r="B74" s="192" t="s">
        <v>196</v>
      </c>
      <c r="C74" s="190"/>
      <c r="D74" s="190"/>
      <c r="E74" s="190"/>
      <c r="F74" s="190"/>
      <c r="G74" s="190" cm="1">
        <f t="array" ref="G74">_xlfn.IFS($AE$19=$AE$21,+G$8*$AE74*$AB74,$AE$19=$AF$21,+G$8*$AF74*$AB74,$AE$19=$AG$21,+G$8*$AG74*$AB74)</f>
        <v>3150.1213039074123</v>
      </c>
      <c r="H74" s="190" cm="1">
        <f t="array" ref="H74">_xlfn.IFS($AE$19=$AE$21,+H$8*$AE74*$AB74,$AE$19=$AF$21,+H$8*$AF74*$AB74,$AE$19=$AG$21,+H$8*$AG74*$AB74)</f>
        <v>2652.7337296062419</v>
      </c>
      <c r="I74" s="190" cm="1">
        <f t="array" ref="I74">_xlfn.IFS($AE$19=$AE$21,+I$8*$AE74*$AB74,$AE$19=$AF$21,+I$8*$AF74*$AB74,$AE$19=$AG$21,+I$8*$AG74*$AB74)</f>
        <v>3315.9171620078027</v>
      </c>
      <c r="J74" s="190" cm="1">
        <f t="array" ref="J74">_xlfn.IFS($AE$19=$AE$21,+J$8*$AE74*$AB74,$AE$19=$AF$21,+J$8*$AF74*$AB74,$AE$19=$AG$21,+J$8*$AG74*$AB74)</f>
        <v>3315.9171620078027</v>
      </c>
      <c r="K74" s="190" cm="1">
        <f t="array" ref="K74">_xlfn.IFS($AE$19=$AE$21,+K$8*$AE74*$AB74,$AE$19=$AF$21,+K$8*$AF74*$AB74,$AE$19=$AG$21,+K$8*$AG74*$AB74)</f>
        <v>2486.9378715058519</v>
      </c>
      <c r="L74" s="190" cm="1">
        <f t="array" ref="L74">_xlfn.IFS($AE$19=$AE$21,+L$8*$AE74*$AB74,$AE$19=$AF$21,+L$8*$AF74*$AB74,$AE$19=$AG$21,+L$8*$AG74*$AB74)</f>
        <v>2794.3111112493011</v>
      </c>
      <c r="M74" s="190" cm="1">
        <f t="array" ref="M74">_xlfn.IFS($AE$19=$AE$21,+M$8*$AE74*$AB74,$AE$19=$AF$21,+M$8*$AF74*$AB74,$AE$19=$AG$21,+M$8*$AG74*$AB74)</f>
        <v>2898.4677536603685</v>
      </c>
      <c r="N74" s="190" cm="1">
        <f t="array" ref="N74">_xlfn.IFS($AE$19=$AE$21,+N$8*$AE74*$AB74,$AE$19=$AF$21,+N$8*$AF74*$AB74,$AE$19=$AG$21,+N$8*$AG74*$AB74)</f>
        <v>3632.7591874249847</v>
      </c>
      <c r="O74" s="190" cm="1">
        <f t="array" ref="O74">_xlfn.IFS($AE$19=$AE$21,+O$8*$AE74*$AB74,$AE$19=$AF$21,+O$8*$AF74*$AB74,$AE$19=$AG$21,+O$8*$AG74*$AB74)</f>
        <v>2295.6356470035817</v>
      </c>
      <c r="P74" s="190" cm="1">
        <f t="array" ref="P74">_xlfn.IFS($AE$19=$AE$21,+P$8*$AE74*$AB74,$AE$19=$AF$21,+P$8*$AF74*$AB74,$AE$19=$AG$21,+P$8*$AG74*$AB74)</f>
        <v>3315.9171620078027</v>
      </c>
      <c r="Q74" s="190" cm="1">
        <f t="array" ref="Q74">_xlfn.IFS($AE$19=$AE$21,+Q$8*$AE74*$AB74,$AE$19=$AF$21,+Q$8*$AF74*$AB74,$AE$19=$AG$21,+Q$8*$AG74*$AB74)</f>
        <v>3315.9171620078027</v>
      </c>
      <c r="R74" s="190" cm="1">
        <f t="array" ref="R74">_xlfn.IFS($AE$19=$AE$21,+R$8*$AE74*$AB74,$AE$19=$AF$21,+R$8*$AF74*$AB74,$AE$19=$AG$21,+R$8*$AG74*$AB74)</f>
        <v>3315.9171620078027</v>
      </c>
      <c r="S74" s="190" cm="1">
        <f t="array" ref="S74">_xlfn.IFS($AE$19=$AE$21,+S$8*$AE74*$AB74,$AE$19=$AF$21,+S$8*$AF74*$AB74,$AE$19=$AG$21,+S$8*$AG74*$AB74)</f>
        <v>2984.3254458070223</v>
      </c>
      <c r="T74" s="190" cm="1">
        <f t="array" ref="T74">_xlfn.IFS($AE$19=$AE$21,+T$8*$AE74*$AB74,$AE$19=$AF$21,+T$8*$AF74*$AB74,$AE$19=$AG$21,+T$8*$AG74*$AB74)</f>
        <v>2984.3254458070223</v>
      </c>
      <c r="U74" s="190" cm="1">
        <f t="array" ref="U74">_xlfn.IFS($AE$19=$AE$21,+U$8*$AE74*$AB74,$AE$19=$AF$21,+U$8*$AF74*$AB74,$AE$19=$AG$21,+U$8*$AG74*$AB74)</f>
        <v>3315.9171620078027</v>
      </c>
      <c r="V74" s="190" cm="1">
        <f t="array" ref="V74">_xlfn.IFS($AE$19=$AE$21,+V$8*$AE74*$AB74,$AE$19=$AF$21,+V$8*$AF74*$AB74,$AE$19=$AG$21,+V$8*$AG74*$AB74)</f>
        <v>3315.9171620078027</v>
      </c>
      <c r="W74" s="190" cm="1">
        <f t="array" ref="W74">_xlfn.IFS($AE$19=$AE$21,+W$8*$AE74*$AB74,$AE$19=$AF$21,+W$8*$AF74*$AB74,$AE$19=$AG$21,+W$8*$AG74*$AB74)</f>
        <v>2818.5295877066319</v>
      </c>
      <c r="X74" s="190" cm="1">
        <f t="array" ref="X74">_xlfn.IFS($AE$19=$AE$21,+X$8*$AE74*$AB74,$AE$19=$AF$21,+X$8*$AF74*$AB74,$AE$19=$AG$21,+X$8*$AG74*$AB74)</f>
        <v>2818.5295877066319</v>
      </c>
      <c r="Y74" s="190" cm="1">
        <f t="array" ref="Y74">_xlfn.IFS($AE$19=$AE$21,+Y$8*$AE74*$AB74,$AE$19=$AF$21,+Y$8*$AF74*$AB74,$AE$19=$AG$21,+Y$8*$AG74*$AB74)</f>
        <v>3150.1213039074123</v>
      </c>
      <c r="Z74" s="190" cm="1">
        <f t="array" ref="Z74">_xlfn.IFS($AE$19=$AE$21,+Z$8*$AE74*$AB74,$AE$19=$AF$21,+Z$8*$AF74*$AB74,$AE$19=$AG$21,+Z$8*$AG74*$AB74)</f>
        <v>3315.9171620078027</v>
      </c>
      <c r="AA74" s="213"/>
      <c r="AB74" s="188">
        <f t="shared" si="44"/>
        <v>7.6880704637019154E-2</v>
      </c>
      <c r="AC74" s="184" t="str">
        <f>+A74&amp;"-"&amp;B74</f>
        <v>440-3430</v>
      </c>
      <c r="AD74" s="212">
        <v>-6040.59</v>
      </c>
      <c r="AE74" s="218">
        <f>AE$38</f>
        <v>0.17886178861788618</v>
      </c>
      <c r="AF74" s="218">
        <f t="shared" ref="AF74:AG74" si="48">AF$38</f>
        <v>0.1597432636977863</v>
      </c>
      <c r="AG74" s="218">
        <f t="shared" si="48"/>
        <v>0.20410487438240318</v>
      </c>
    </row>
    <row r="75" spans="1:33" x14ac:dyDescent="0.2">
      <c r="Z75" s="184"/>
      <c r="AE75" s="218"/>
      <c r="AF75" s="218"/>
      <c r="AG75" s="218"/>
    </row>
    <row r="76" spans="1:33" x14ac:dyDescent="0.2">
      <c r="A76" s="184" t="s">
        <v>197</v>
      </c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  <c r="AE76" s="218"/>
      <c r="AF76" s="218"/>
      <c r="AG76" s="218"/>
    </row>
    <row r="77" spans="1:33" x14ac:dyDescent="0.2">
      <c r="A77" s="184">
        <v>140</v>
      </c>
      <c r="B77" s="185">
        <v>4390</v>
      </c>
      <c r="G77" s="190" cm="1">
        <f t="array" ref="G77">_xlfn.IFS($AE$19=$AE$21,+G$9*$AE77*$AB77,$AE$19=$AF$21,+G$9*$AF77*$AB77,$AE$19=$AG$21,+G$9*$AG77*$AB77)</f>
        <v>-52376.718993520917</v>
      </c>
      <c r="H77" s="190" cm="1">
        <f t="array" ref="H77">_xlfn.IFS($AE$19=$AE$21,+H$9*$AE77*$AB77,$AE$19=$AF$21,+H$9*$AF77*$AB77,$AE$19=$AG$21,+H$9*$AG77*$AB77)</f>
        <v>-42585.684796648318</v>
      </c>
      <c r="I77" s="190" cm="1">
        <f t="array" ref="I77">_xlfn.IFS($AE$19=$AE$21,+I$9*$AE77*$AB77,$AE$19=$AF$21,+I$9*$AF77*$AB77,$AE$19=$AG$21,+I$9*$AG77*$AB77)</f>
        <v>-53385.019622886328</v>
      </c>
      <c r="J77" s="190" cm="1">
        <f t="array" ref="J77">_xlfn.IFS($AE$19=$AE$21,+J$9*$AE77*$AB77,$AE$19=$AF$21,+J$9*$AF77*$AB77,$AE$19=$AG$21,+J$9*$AG77*$AB77)</f>
        <v>-53385.019622886328</v>
      </c>
      <c r="K77" s="190" cm="1">
        <f t="array" ref="K77">_xlfn.IFS($AE$19=$AE$21,+K$9*$AE77*$AB77,$AE$19=$AF$21,+K$9*$AF77*$AB77,$AE$19=$AG$21,+K$9*$AG77*$AB77)</f>
        <v>-40038.764717164748</v>
      </c>
      <c r="L77" s="190" cm="1">
        <f t="array" ref="L77">_xlfn.IFS($AE$19=$AE$21,+L$9*$AE77*$AB77,$AE$19=$AF$21,+L$9*$AF77*$AB77,$AE$19=$AG$21,+L$9*$AG77*$AB77)</f>
        <v>-62778.642708148596</v>
      </c>
      <c r="M77" s="190" cm="1">
        <f t="array" ref="M77">_xlfn.IFS($AE$19=$AE$21,+M$9*$AE77*$AB77,$AE$19=$AF$21,+M$9*$AF77*$AB77,$AE$19=$AG$21,+M$9*$AG77*$AB77)</f>
        <v>-55358.526695648456</v>
      </c>
      <c r="N77" s="190" cm="1">
        <f t="array" ref="N77">_xlfn.IFS($AE$19=$AE$21,+N$9*$AE77*$AB77,$AE$19=$AF$21,+N$9*$AF77*$AB77,$AE$19=$AG$21,+N$9*$AG77*$AB77)</f>
        <v>-65282.511687823571</v>
      </c>
      <c r="O77" s="190" cm="1">
        <f t="array" ref="O77">_xlfn.IFS($AE$19=$AE$21,+O$9*$AE77*$AB77,$AE$19=$AF$21,+O$9*$AF77*$AB77,$AE$19=$AG$21,+O$9*$AG77*$AB77)</f>
        <v>-47386.01714263067</v>
      </c>
      <c r="P77" s="190" cm="1">
        <f t="array" ref="P77">_xlfn.IFS($AE$19=$AE$21,+P$9*$AE77*$AB77,$AE$19=$AF$21,+P$9*$AF77*$AB77,$AE$19=$AG$21,+P$9*$AG77*$AB77)</f>
        <v>-64668.806221976534</v>
      </c>
      <c r="Q77" s="190" cm="1">
        <f t="array" ref="Q77">_xlfn.IFS($AE$19=$AE$21,+Q$9*$AE77*$AB77,$AE$19=$AF$21,+Q$9*$AF77*$AB77,$AE$19=$AG$21,+Q$9*$AG77*$AB77)</f>
        <v>-66538.548444758722</v>
      </c>
      <c r="R77" s="190" cm="1">
        <f t="array" ref="R77">_xlfn.IFS($AE$19=$AE$21,+R$9*$AE77*$AB77,$AE$19=$AF$21,+R$9*$AF77*$AB77,$AE$19=$AG$21,+R$9*$AG77*$AB77)</f>
        <v>-67301.708535690239</v>
      </c>
      <c r="S77" s="190" cm="1">
        <f t="array" ref="S77">_xlfn.IFS($AE$19=$AE$21,+S$9*$AE77*$AB77,$AE$19=$AF$21,+S$9*$AF77*$AB77,$AE$19=$AG$21,+S$9*$AG77*$AB77)</f>
        <v>-61258.38176395958</v>
      </c>
      <c r="T77" s="190" cm="1">
        <f t="array" ref="T77">_xlfn.IFS($AE$19=$AE$21,+T$9*$AE77*$AB77,$AE$19=$AF$21,+T$9*$AF77*$AB77,$AE$19=$AG$21,+T$9*$AG77*$AB77)</f>
        <v>-61258.38176395958</v>
      </c>
      <c r="U77" s="190" cm="1">
        <f t="array" ref="U77">_xlfn.IFS($AE$19=$AE$21,+U$9*$AE77*$AB77,$AE$19=$AF$21,+U$9*$AF77*$AB77,$AE$19=$AG$21,+U$9*$AG77*$AB77)</f>
        <v>-68064.868626621741</v>
      </c>
      <c r="V77" s="190" cm="1">
        <f t="array" ref="V77">_xlfn.IFS($AE$19=$AE$21,+V$9*$AE77*$AB77,$AE$19=$AF$21,+V$9*$AF77*$AB77,$AE$19=$AG$21,+V$9*$AG77*$AB77)</f>
        <v>-68064.868626621741</v>
      </c>
      <c r="W77" s="190" cm="1">
        <f t="array" ref="W77">_xlfn.IFS($AE$19=$AE$21,+W$9*$AE77*$AB77,$AE$19=$AF$21,+W$9*$AF77*$AB77,$AE$19=$AG$21,+W$9*$AG77*$AB77)</f>
        <v>-59076.194478118894</v>
      </c>
      <c r="X77" s="190" cm="1">
        <f t="array" ref="X77">_xlfn.IFS($AE$19=$AE$21,+X$9*$AE77*$AB77,$AE$19=$AF$21,+X$9*$AF77*$AB77,$AE$19=$AG$21,+X$9*$AG77*$AB77)</f>
        <v>-59076.194478118894</v>
      </c>
      <c r="Y77" s="190" cm="1">
        <f t="array" ref="Y77">_xlfn.IFS($AE$19=$AE$21,+Y$9*$AE77*$AB77,$AE$19=$AF$21,+Y$9*$AF77*$AB77,$AE$19=$AG$21,+Y$9*$AG77*$AB77)</f>
        <v>-63441.790105945751</v>
      </c>
      <c r="Z77" s="190" cm="1">
        <f t="array" ref="Z77">_xlfn.IFS($AE$19=$AE$21,+Z$9*$AE77*$AB77,$AE$19=$AF$21,+Z$9*$AF77*$AB77,$AE$19=$AG$21,+Z$9*$AG77*$AB77)</f>
        <v>-70506.980917602559</v>
      </c>
      <c r="AB77" s="188">
        <f>AD77/(AD77+AD83)</f>
        <v>0.99941554858828596</v>
      </c>
      <c r="AC77" s="184" t="str">
        <f>+A77&amp;"-"&amp;B77</f>
        <v>140-4390</v>
      </c>
      <c r="AD77" s="212">
        <v>547201.99</v>
      </c>
      <c r="AE77" s="218">
        <f>AE$22</f>
        <v>0.42276422764227645</v>
      </c>
      <c r="AF77" s="218">
        <f t="shared" ref="AF77:AG77" si="49">AF$22</f>
        <v>0.42266035890737208</v>
      </c>
      <c r="AG77" s="218">
        <f t="shared" si="49"/>
        <v>0.390405884099157</v>
      </c>
    </row>
    <row r="78" spans="1:33" x14ac:dyDescent="0.2">
      <c r="A78" s="184">
        <v>147</v>
      </c>
      <c r="B78" s="185">
        <v>4390</v>
      </c>
      <c r="G78" s="190" cm="1">
        <f t="array" ref="G78">_xlfn.IFS($AE$19=$AE$21,+G$9*$AE78*$AB78,$AE$19=$AF$21,+G$9*$AF78*$AB78,$AE$19=$AG$21,+G$9*$AG78*$AB78)</f>
        <v>-66.215845022994614</v>
      </c>
      <c r="H78" s="190" cm="1">
        <f t="array" ref="H78">_xlfn.IFS($AE$19=$AE$21,+H$9*$AE78*$AB78,$AE$19=$AF$21,+H$9*$AF78*$AB78,$AE$19=$AG$21,+H$9*$AG78*$AB78)</f>
        <v>-53.837795854333329</v>
      </c>
      <c r="I78" s="190" cm="1">
        <f t="array" ref="I78">_xlfn.IFS($AE$19=$AE$21,+I$9*$AE78*$AB78,$AE$19=$AF$21,+I$9*$AF78*$AB78,$AE$19=$AG$21,+I$9*$AG78*$AB78)</f>
        <v>-67.490561719527406</v>
      </c>
      <c r="J78" s="190" cm="1">
        <f t="array" ref="J78">_xlfn.IFS($AE$19=$AE$21,+J$9*$AE78*$AB78,$AE$19=$AF$21,+J$9*$AF78*$AB78,$AE$19=$AG$21,+J$9*$AG78*$AB78)</f>
        <v>-67.490561719527406</v>
      </c>
      <c r="K78" s="190" cm="1">
        <f t="array" ref="K78">_xlfn.IFS($AE$19=$AE$21,+K$9*$AE78*$AB78,$AE$19=$AF$21,+K$9*$AF78*$AB78,$AE$19=$AG$21,+K$9*$AG78*$AB78)</f>
        <v>-50.617921289645558</v>
      </c>
      <c r="L78" s="190" cm="1">
        <f t="array" ref="L78">_xlfn.IFS($AE$19=$AE$21,+L$9*$AE78*$AB78,$AE$19=$AF$21,+L$9*$AF78*$AB78,$AE$19=$AG$21,+L$9*$AG78*$AB78)</f>
        <v>-79.366194679566277</v>
      </c>
      <c r="M78" s="190" cm="1">
        <f t="array" ref="M78">_xlfn.IFS($AE$19=$AE$21,+M$9*$AE78*$AB78,$AE$19=$AF$21,+M$9*$AF78*$AB78,$AE$19=$AG$21,+M$9*$AG78*$AB78)</f>
        <v>-69.985514457937114</v>
      </c>
      <c r="N78" s="190" cm="1">
        <f t="array" ref="N78">_xlfn.IFS($AE$19=$AE$21,+N$9*$AE78*$AB78,$AE$19=$AF$21,+N$9*$AF78*$AB78,$AE$19=$AG$21,+N$9*$AG78*$AB78)</f>
        <v>-82.531643060106319</v>
      </c>
      <c r="O78" s="190" cm="1">
        <f t="array" ref="O78">_xlfn.IFS($AE$19=$AE$21,+O$9*$AE78*$AB78,$AE$19=$AF$21,+O$9*$AF78*$AB78,$AE$19=$AG$21,+O$9*$AG78*$AB78)</f>
        <v>-59.906485699524957</v>
      </c>
      <c r="P78" s="190" cm="1">
        <f t="array" ref="P78">_xlfn.IFS($AE$19=$AE$21,+P$9*$AE78*$AB78,$AE$19=$AF$21,+P$9*$AF78*$AB78,$AE$19=$AG$21,+P$9*$AG78*$AB78)</f>
        <v>-81.755782586270243</v>
      </c>
      <c r="Q78" s="190" cm="1">
        <f t="array" ref="Q78">_xlfn.IFS($AE$19=$AE$21,+Q$9*$AE78*$AB78,$AE$19=$AF$21,+Q$9*$AF78*$AB78,$AE$19=$AG$21,+Q$9*$AG78*$AB78)</f>
        <v>-84.119553430182961</v>
      </c>
      <c r="R78" s="190" cm="1">
        <f t="array" ref="R78">_xlfn.IFS($AE$19=$AE$21,+R$9*$AE78*$AB78,$AE$19=$AF$21,+R$9*$AF78*$AB78,$AE$19=$AG$21,+R$9*$AG78*$AB78)</f>
        <v>-85.084357856269804</v>
      </c>
      <c r="S78" s="190" cm="1">
        <f t="array" ref="S78">_xlfn.IFS($AE$19=$AE$21,+S$9*$AE78*$AB78,$AE$19=$AF$21,+S$9*$AF78*$AB78,$AE$19=$AG$21,+S$9*$AG78*$AB78)</f>
        <v>-77.444246054120995</v>
      </c>
      <c r="T78" s="190" cm="1">
        <f t="array" ref="T78">_xlfn.IFS($AE$19=$AE$21,+T$9*$AE78*$AB78,$AE$19=$AF$21,+T$9*$AF78*$AB78,$AE$19=$AG$21,+T$9*$AG78*$AB78)</f>
        <v>-77.444246054120995</v>
      </c>
      <c r="U78" s="190" cm="1">
        <f t="array" ref="U78">_xlfn.IFS($AE$19=$AE$21,+U$9*$AE78*$AB78,$AE$19=$AF$21,+U$9*$AF78*$AB78,$AE$19=$AG$21,+U$9*$AG78*$AB78)</f>
        <v>-86.049162282356647</v>
      </c>
      <c r="V78" s="190" cm="1">
        <f t="array" ref="V78">_xlfn.IFS($AE$19=$AE$21,+V$9*$AE78*$AB78,$AE$19=$AF$21,+V$9*$AF78*$AB78,$AE$19=$AG$21,+V$9*$AG78*$AB78)</f>
        <v>-86.049162282356647</v>
      </c>
      <c r="W78" s="190" cm="1">
        <f t="array" ref="W78">_xlfn.IFS($AE$19=$AE$21,+W$9*$AE78*$AB78,$AE$19=$AF$21,+W$9*$AF78*$AB78,$AE$19=$AG$21,+W$9*$AG78*$AB78)</f>
        <v>-74.685475021742079</v>
      </c>
      <c r="X78" s="190" cm="1">
        <f t="array" ref="X78">_xlfn.IFS($AE$19=$AE$21,+X$9*$AE78*$AB78,$AE$19=$AF$21,+X$9*$AF78*$AB78,$AE$19=$AG$21,+X$9*$AG78*$AB78)</f>
        <v>-74.685475021742079</v>
      </c>
      <c r="Y78" s="190" cm="1">
        <f t="array" ref="Y78">_xlfn.IFS($AE$19=$AE$21,+Y$9*$AE78*$AB78,$AE$19=$AF$21,+Y$9*$AF78*$AB78,$AE$19=$AG$21,+Y$9*$AG78*$AB78)</f>
        <v>-80.204560773581633</v>
      </c>
      <c r="Z78" s="190" cm="1">
        <f t="array" ref="Z78">_xlfn.IFS($AE$19=$AE$21,+Z$9*$AE78*$AB78,$AE$19=$AF$21,+Z$9*$AF78*$AB78,$AE$19=$AG$21,+Z$9*$AG78*$AB78)</f>
        <v>-89.136536445834494</v>
      </c>
      <c r="AB78" s="188">
        <f t="shared" ref="AB78:AB81" si="50">AD78/(AD78+AD84)</f>
        <v>1</v>
      </c>
      <c r="AC78" s="184" t="str">
        <f>+A78&amp;"-"&amp;B78</f>
        <v>147-4390</v>
      </c>
      <c r="AD78" s="212">
        <v>115256.76</v>
      </c>
      <c r="AE78" s="218">
        <f>AE$26</f>
        <v>0</v>
      </c>
      <c r="AF78" s="218">
        <f t="shared" ref="AF78:AG78" si="51">AF$26</f>
        <v>5.3402459008496063E-4</v>
      </c>
      <c r="AG78" s="218">
        <f t="shared" si="51"/>
        <v>2.6153936145675424E-3</v>
      </c>
    </row>
    <row r="79" spans="1:33" x14ac:dyDescent="0.2">
      <c r="A79" s="184">
        <v>240</v>
      </c>
      <c r="B79" s="185">
        <v>4390</v>
      </c>
      <c r="G79" s="190" cm="1">
        <f t="array" ref="G79">_xlfn.IFS($AE$19=$AE$21,+G$9*$AE79*$AB79,$AE$19=$AF$21,+G$9*$AF79*$AB79,$AE$19=$AG$21,+G$9*$AG79*$AB79)</f>
        <v>-30006.103889674087</v>
      </c>
      <c r="H79" s="190" cm="1">
        <f t="array" ref="H79">_xlfn.IFS($AE$19=$AE$21,+H$9*$AE79*$AB79,$AE$19=$AF$21,+H$9*$AF79*$AB79,$AE$19=$AG$21,+H$9*$AG79*$AB79)</f>
        <v>-24396.917309371995</v>
      </c>
      <c r="I79" s="190" cm="1">
        <f t="array" ref="I79">_xlfn.IFS($AE$19=$AE$21,+I$9*$AE79*$AB79,$AE$19=$AF$21,+I$9*$AF79*$AB79,$AE$19=$AG$21,+I$9*$AG79*$AB79)</f>
        <v>-30583.749340136623</v>
      </c>
      <c r="J79" s="190" cm="1">
        <f t="array" ref="J79">_xlfn.IFS($AE$19=$AE$21,+J$9*$AE79*$AB79,$AE$19=$AF$21,+J$9*$AF79*$AB79,$AE$19=$AG$21,+J$9*$AG79*$AB79)</f>
        <v>-30583.749340136623</v>
      </c>
      <c r="K79" s="190" cm="1">
        <f t="array" ref="K79">_xlfn.IFS($AE$19=$AE$21,+K$9*$AE79*$AB79,$AE$19=$AF$21,+K$9*$AF79*$AB79,$AE$19=$AG$21,+K$9*$AG79*$AB79)</f>
        <v>-22937.812005102467</v>
      </c>
      <c r="L79" s="190" cm="1">
        <f t="array" ref="L79">_xlfn.IFS($AE$19=$AE$21,+L$9*$AE79*$AB79,$AE$19=$AF$21,+L$9*$AF79*$AB79,$AE$19=$AG$21,+L$9*$AG79*$AB79)</f>
        <v>-35965.263028149187</v>
      </c>
      <c r="M79" s="190" cm="1">
        <f t="array" ref="M79">_xlfn.IFS($AE$19=$AE$21,+M$9*$AE79*$AB79,$AE$19=$AF$21,+M$9*$AF79*$AB79,$AE$19=$AG$21,+M$9*$AG79*$AB79)</f>
        <v>-31714.352008463982</v>
      </c>
      <c r="N79" s="190" cm="1">
        <f t="array" ref="N79">_xlfn.IFS($AE$19=$AE$21,+N$9*$AE79*$AB79,$AE$19=$AF$21,+N$9*$AF79*$AB79,$AE$19=$AG$21,+N$9*$AG79*$AB79)</f>
        <v>-37399.704783455651</v>
      </c>
      <c r="O79" s="190" cm="1">
        <f t="array" ref="O79">_xlfn.IFS($AE$19=$AE$21,+O$9*$AE79*$AB79,$AE$19=$AF$21,+O$9*$AF79*$AB79,$AE$19=$AG$21,+O$9*$AG79*$AB79)</f>
        <v>-27146.98019697531</v>
      </c>
      <c r="P79" s="190" cm="1">
        <f t="array" ref="P79">_xlfn.IFS($AE$19=$AE$21,+P$9*$AE79*$AB79,$AE$19=$AF$21,+P$9*$AF79*$AB79,$AE$19=$AG$21,+P$9*$AG79*$AB79)</f>
        <v>-37048.118996492842</v>
      </c>
      <c r="Q79" s="190" cm="1">
        <f t="array" ref="Q79">_xlfn.IFS($AE$19=$AE$21,+Q$9*$AE79*$AB79,$AE$19=$AF$21,+Q$9*$AF79*$AB79,$AE$19=$AG$21,+Q$9*$AG79*$AB79)</f>
        <v>-38119.275809325132</v>
      </c>
      <c r="R79" s="190" cm="1">
        <f t="array" ref="R79">_xlfn.IFS($AE$19=$AE$21,+R$9*$AE79*$AB79,$AE$19=$AF$21,+R$9*$AF79*$AB79,$AE$19=$AG$21,+R$9*$AG79*$AB79)</f>
        <v>-38556.482671705664</v>
      </c>
      <c r="S79" s="190" cm="1">
        <f t="array" ref="S79">_xlfn.IFS($AE$19=$AE$21,+S$9*$AE79*$AB79,$AE$19=$AF$21,+S$9*$AF79*$AB79,$AE$19=$AG$21,+S$9*$AG79*$AB79)</f>
        <v>-35094.32058067758</v>
      </c>
      <c r="T79" s="190" cm="1">
        <f t="array" ref="T79">_xlfn.IFS($AE$19=$AE$21,+T$9*$AE79*$AB79,$AE$19=$AF$21,+T$9*$AF79*$AB79,$AE$19=$AG$21,+T$9*$AG79*$AB79)</f>
        <v>-35094.32058067758</v>
      </c>
      <c r="U79" s="190" cm="1">
        <f t="array" ref="U79">_xlfn.IFS($AE$19=$AE$21,+U$9*$AE79*$AB79,$AE$19=$AF$21,+U$9*$AF79*$AB79,$AE$19=$AG$21,+U$9*$AG79*$AB79)</f>
        <v>-38993.689534086196</v>
      </c>
      <c r="V79" s="190" cm="1">
        <f t="array" ref="V79">_xlfn.IFS($AE$19=$AE$21,+V$9*$AE79*$AB79,$AE$19=$AF$21,+V$9*$AF79*$AB79,$AE$19=$AG$21,+V$9*$AG79*$AB79)</f>
        <v>-38993.689534086196</v>
      </c>
      <c r="W79" s="190" cm="1">
        <f t="array" ref="W79">_xlfn.IFS($AE$19=$AE$21,+W$9*$AE79*$AB79,$AE$19=$AF$21,+W$9*$AF79*$AB79,$AE$19=$AG$21,+W$9*$AG79*$AB79)</f>
        <v>-33844.167083782115</v>
      </c>
      <c r="X79" s="190" cm="1">
        <f t="array" ref="X79">_xlfn.IFS($AE$19=$AE$21,+X$9*$AE79*$AB79,$AE$19=$AF$21,+X$9*$AF79*$AB79,$AE$19=$AG$21,+X$9*$AG79*$AB79)</f>
        <v>-33844.167083782115</v>
      </c>
      <c r="Y79" s="190" cm="1">
        <f t="array" ref="Y79">_xlfn.IFS($AE$19=$AE$21,+Y$9*$AE79*$AB79,$AE$19=$AF$21,+Y$9*$AF79*$AB79,$AE$19=$AG$21,+Y$9*$AG79*$AB79)</f>
        <v>-36345.173608552854</v>
      </c>
      <c r="Z79" s="190" cm="1">
        <f t="array" ref="Z79">_xlfn.IFS($AE$19=$AE$21,+Z$9*$AE79*$AB79,$AE$19=$AF$21,+Z$9*$AF79*$AB79,$AE$19=$AG$21,+Z$9*$AG79*$AB79)</f>
        <v>-40392.75149370388</v>
      </c>
      <c r="AB79" s="188">
        <f t="shared" si="50"/>
        <v>1</v>
      </c>
      <c r="AC79" s="184" t="str">
        <f>+A79&amp;"-"&amp;B79</f>
        <v>240-4390</v>
      </c>
      <c r="AD79" s="212">
        <v>142049.78</v>
      </c>
      <c r="AE79" s="218">
        <f>AE$30</f>
        <v>0.21951219512195122</v>
      </c>
      <c r="AF79" s="218">
        <f t="shared" ref="AF79:AG79" si="52">AF$30</f>
        <v>0.24199641829180513</v>
      </c>
      <c r="AG79" s="218">
        <f t="shared" si="52"/>
        <v>0.22009982389945629</v>
      </c>
    </row>
    <row r="80" spans="1:33" x14ac:dyDescent="0.2">
      <c r="A80" s="184">
        <v>340</v>
      </c>
      <c r="B80" s="185">
        <v>4390</v>
      </c>
      <c r="G80" s="190" cm="1">
        <f t="array" ref="G80">_xlfn.IFS($AE$19=$AE$21,+G$9*$AE80*$AB80,$AE$19=$AF$21,+G$9*$AF80*$AB80,$AE$19=$AG$21,+G$9*$AG80*$AB80)</f>
        <v>-21659.975173496019</v>
      </c>
      <c r="H80" s="190" cm="1">
        <f t="array" ref="H80">_xlfn.IFS($AE$19=$AE$21,+H$9*$AE80*$AB80,$AE$19=$AF$21,+H$9*$AF80*$AB80,$AE$19=$AG$21,+H$9*$AG80*$AB80)</f>
        <v>-17610.970926908049</v>
      </c>
      <c r="I80" s="190" cm="1">
        <f t="array" ref="I80">_xlfn.IFS($AE$19=$AE$21,+I$9*$AE80*$AB80,$AE$19=$AF$21,+I$9*$AF80*$AB80,$AE$19=$AG$21,+I$9*$AG80*$AB80)</f>
        <v>-22076.949871780897</v>
      </c>
      <c r="J80" s="190" cm="1">
        <f t="array" ref="J80">_xlfn.IFS($AE$19=$AE$21,+J$9*$AE80*$AB80,$AE$19=$AF$21,+J$9*$AF80*$AB80,$AE$19=$AG$21,+J$9*$AG80*$AB80)</f>
        <v>-22076.949871780897</v>
      </c>
      <c r="K80" s="190" cm="1">
        <f t="array" ref="K80">_xlfn.IFS($AE$19=$AE$21,+K$9*$AE80*$AB80,$AE$19=$AF$21,+K$9*$AF80*$AB80,$AE$19=$AG$21,+K$9*$AG80*$AB80)</f>
        <v>-16557.712403835671</v>
      </c>
      <c r="L80" s="190" cm="1">
        <f t="array" ref="L80">_xlfn.IFS($AE$19=$AE$21,+L$9*$AE80*$AB80,$AE$19=$AF$21,+L$9*$AF80*$AB80,$AE$19=$AG$21,+L$9*$AG80*$AB80)</f>
        <v>-25961.607916915964</v>
      </c>
      <c r="M80" s="190" cm="1">
        <f t="array" ref="M80">_xlfn.IFS($AE$19=$AE$21,+M$9*$AE80*$AB80,$AE$19=$AF$21,+M$9*$AF80*$AB80,$AE$19=$AG$21,+M$9*$AG80*$AB80)</f>
        <v>-22893.078010812176</v>
      </c>
      <c r="N80" s="190" cm="1">
        <f t="array" ref="N80">_xlfn.IFS($AE$19=$AE$21,+N$9*$AE80*$AB80,$AE$19=$AF$21,+N$9*$AF80*$AB80,$AE$19=$AG$21,+N$9*$AG80*$AB80)</f>
        <v>-26997.063000388363</v>
      </c>
      <c r="O80" s="190" cm="1">
        <f t="array" ref="O80">_xlfn.IFS($AE$19=$AE$21,+O$9*$AE80*$AB80,$AE$19=$AF$21,+O$9*$AF80*$AB80,$AE$19=$AG$21,+O$9*$AG80*$AB80)</f>
        <v>-19596.110153581823</v>
      </c>
      <c r="P80" s="190" cm="1">
        <f t="array" ref="P80">_xlfn.IFS($AE$19=$AE$21,+P$9*$AE80*$AB80,$AE$19=$AF$21,+P$9*$AF80*$AB80,$AE$19=$AG$21,+P$9*$AG80*$AB80)</f>
        <v>-26743.269990640467</v>
      </c>
      <c r="Q80" s="190" cm="1">
        <f t="array" ref="Q80">_xlfn.IFS($AE$19=$AE$21,+Q$9*$AE80*$AB80,$AE$19=$AF$21,+Q$9*$AF80*$AB80,$AE$19=$AG$21,+Q$9*$AG80*$AB80)</f>
        <v>-27516.487002025031</v>
      </c>
      <c r="R80" s="190" cm="1">
        <f t="array" ref="R80">_xlfn.IFS($AE$19=$AE$21,+R$9*$AE80*$AB80,$AE$19=$AF$21,+R$9*$AF80*$AB80,$AE$19=$AG$21,+R$9*$AG80*$AB80)</f>
        <v>-27832.085782181999</v>
      </c>
      <c r="S80" s="190" cm="1">
        <f t="array" ref="S80">_xlfn.IFS($AE$19=$AE$21,+S$9*$AE80*$AB80,$AE$19=$AF$21,+S$9*$AF80*$AB80,$AE$19=$AG$21,+S$9*$AG80*$AB80)</f>
        <v>-25332.916106105076</v>
      </c>
      <c r="T80" s="190" cm="1">
        <f t="array" ref="T80">_xlfn.IFS($AE$19=$AE$21,+T$9*$AE80*$AB80,$AE$19=$AF$21,+T$9*$AF80*$AB80,$AE$19=$AG$21,+T$9*$AG80*$AB80)</f>
        <v>-25332.916106105076</v>
      </c>
      <c r="U80" s="190" cm="1">
        <f t="array" ref="U80">_xlfn.IFS($AE$19=$AE$21,+U$9*$AE80*$AB80,$AE$19=$AF$21,+U$9*$AF80*$AB80,$AE$19=$AG$21,+U$9*$AG80*$AB80)</f>
        <v>-28147.684562338967</v>
      </c>
      <c r="V80" s="190" cm="1">
        <f t="array" ref="V80">_xlfn.IFS($AE$19=$AE$21,+V$9*$AE80*$AB80,$AE$19=$AF$21,+V$9*$AF80*$AB80,$AE$19=$AG$21,+V$9*$AG80*$AB80)</f>
        <v>-28147.684562338967</v>
      </c>
      <c r="W80" s="190" cm="1">
        <f t="array" ref="W80">_xlfn.IFS($AE$19=$AE$21,+W$9*$AE80*$AB80,$AE$19=$AF$21,+W$9*$AF80*$AB80,$AE$19=$AG$21,+W$9*$AG80*$AB80)</f>
        <v>-24430.489926239272</v>
      </c>
      <c r="X80" s="190" cm="1">
        <f t="array" ref="X80">_xlfn.IFS($AE$19=$AE$21,+X$9*$AE80*$AB80,$AE$19=$AF$21,+X$9*$AF80*$AB80,$AE$19=$AG$21,+X$9*$AG80*$AB80)</f>
        <v>-24430.489926239272</v>
      </c>
      <c r="Y80" s="190" cm="1">
        <f t="array" ref="Y80">_xlfn.IFS($AE$19=$AE$21,+Y$9*$AE80*$AB80,$AE$19=$AF$21,+Y$9*$AF80*$AB80,$AE$19=$AG$21,+Y$9*$AG80*$AB80)</f>
        <v>-26235.847244019133</v>
      </c>
      <c r="Z80" s="190" cm="1">
        <f t="array" ref="Z80">_xlfn.IFS($AE$19=$AE$21,+Z$9*$AE80*$AB80,$AE$19=$AF$21,+Z$9*$AF80*$AB80,$AE$19=$AG$21,+Z$9*$AG80*$AB80)</f>
        <v>-29157.600658841257</v>
      </c>
      <c r="AB80" s="188">
        <f t="shared" si="50"/>
        <v>0.99782788787314802</v>
      </c>
      <c r="AC80" s="184" t="str">
        <f>+A80&amp;"-"&amp;B80</f>
        <v>340-4390</v>
      </c>
      <c r="AD80" s="212">
        <v>164991.42000000001</v>
      </c>
      <c r="AE80" s="218">
        <f>AE$34</f>
        <v>0.17886178861788618</v>
      </c>
      <c r="AF80" s="218">
        <f t="shared" ref="AF80:AG80" si="53">AF$34</f>
        <v>0.17506593451295152</v>
      </c>
      <c r="AG80" s="218">
        <f t="shared" si="53"/>
        <v>0.182774024004416</v>
      </c>
    </row>
    <row r="81" spans="1:33" x14ac:dyDescent="0.2">
      <c r="A81" s="184">
        <v>440</v>
      </c>
      <c r="B81" s="185">
        <v>4390</v>
      </c>
      <c r="G81" s="190" cm="1">
        <f t="array" ref="G81">_xlfn.IFS($AE$19=$AE$21,+G$9*$AE81*$AB81,$AE$19=$AF$21,+G$9*$AF81*$AB81,$AE$19=$AG$21,+G$9*$AG81*$AB81)</f>
        <v>-19807.206238943316</v>
      </c>
      <c r="H81" s="190" cm="1">
        <f t="array" ref="H81">_xlfn.IFS($AE$19=$AE$21,+H$9*$AE81*$AB81,$AE$19=$AF$21,+H$9*$AF81*$AB81,$AE$19=$AG$21,+H$9*$AG81*$AB81)</f>
        <v>-16104.549078345068</v>
      </c>
      <c r="I81" s="190" cm="1">
        <f t="array" ref="I81">_xlfn.IFS($AE$19=$AE$21,+I$9*$AE81*$AB81,$AE$19=$AF$21,+I$9*$AF81*$AB81,$AE$19=$AG$21,+I$9*$AG81*$AB81)</f>
        <v>-20188.513409389929</v>
      </c>
      <c r="J81" s="190" cm="1">
        <f t="array" ref="J81">_xlfn.IFS($AE$19=$AE$21,+J$9*$AE81*$AB81,$AE$19=$AF$21,+J$9*$AF81*$AB81,$AE$19=$AG$21,+J$9*$AG81*$AB81)</f>
        <v>-20188.513409389929</v>
      </c>
      <c r="K81" s="190" cm="1">
        <f t="array" ref="K81">_xlfn.IFS($AE$19=$AE$21,+K$9*$AE81*$AB81,$AE$19=$AF$21,+K$9*$AF81*$AB81,$AE$19=$AG$21,+K$9*$AG81*$AB81)</f>
        <v>-15141.385057042447</v>
      </c>
      <c r="L81" s="190" cm="1">
        <f t="array" ref="L81">_xlfn.IFS($AE$19=$AE$21,+L$9*$AE81*$AB81,$AE$19=$AF$21,+L$9*$AF81*$AB81,$AE$19=$AG$21,+L$9*$AG81*$AB81)</f>
        <v>-23740.882350325403</v>
      </c>
      <c r="M81" s="190" cm="1">
        <f t="array" ref="M81">_xlfn.IFS($AE$19=$AE$21,+M$9*$AE81*$AB81,$AE$19=$AF$21,+M$9*$AF81*$AB81,$AE$19=$AG$21,+M$9*$AG81*$AB81)</f>
        <v>-20934.830902263973</v>
      </c>
      <c r="N81" s="190" cm="1">
        <f t="array" ref="N81">_xlfn.IFS($AE$19=$AE$21,+N$9*$AE81*$AB81,$AE$19=$AF$21,+N$9*$AF81*$AB81,$AE$19=$AG$21,+N$9*$AG81*$AB81)</f>
        <v>-24687.765817421721</v>
      </c>
      <c r="O81" s="190" cm="1">
        <f t="array" ref="O81">_xlfn.IFS($AE$19=$AE$21,+O$9*$AE81*$AB81,$AE$19=$AF$21,+O$9*$AF81*$AB81,$AE$19=$AG$21,+O$9*$AG81*$AB81)</f>
        <v>-17919.88181814698</v>
      </c>
      <c r="P81" s="190" cm="1">
        <f t="array" ref="P81">_xlfn.IFS($AE$19=$AE$21,+P$9*$AE81*$AB81,$AE$19=$AF$21,+P$9*$AF81*$AB81,$AE$19=$AG$21,+P$9*$AG81*$AB81)</f>
        <v>-24455.681964794323</v>
      </c>
      <c r="Q81" s="190" cm="1">
        <f t="array" ref="Q81">_xlfn.IFS($AE$19=$AE$21,+Q$9*$AE81*$AB81,$AE$19=$AF$21,+Q$9*$AF81*$AB81,$AE$19=$AG$21,+Q$9*$AG81*$AB81)</f>
        <v>-25162.758897675289</v>
      </c>
      <c r="R81" s="190" cm="1">
        <f t="array" ref="R81">_xlfn.IFS($AE$19=$AE$21,+R$9*$AE81*$AB81,$AE$19=$AF$21,+R$9*$AF81*$AB81,$AE$19=$AG$21,+R$9*$AG81*$AB81)</f>
        <v>-25451.361727422624</v>
      </c>
      <c r="S81" s="190" cm="1">
        <f t="array" ref="S81">_xlfn.IFS($AE$19=$AE$21,+S$9*$AE81*$AB81,$AE$19=$AF$21,+S$9*$AF81*$AB81,$AE$19=$AG$21,+S$9*$AG81*$AB81)</f>
        <v>-23165.968101452971</v>
      </c>
      <c r="T81" s="190" cm="1">
        <f t="array" ref="T81">_xlfn.IFS($AE$19=$AE$21,+T$9*$AE81*$AB81,$AE$19=$AF$21,+T$9*$AF81*$AB81,$AE$19=$AG$21,+T$9*$AG81*$AB81)</f>
        <v>-23165.968101452971</v>
      </c>
      <c r="U81" s="190" cm="1">
        <f t="array" ref="U81">_xlfn.IFS($AE$19=$AE$21,+U$9*$AE81*$AB81,$AE$19=$AF$21,+U$9*$AF81*$AB81,$AE$19=$AG$21,+U$9*$AG81*$AB81)</f>
        <v>-25739.964557169962</v>
      </c>
      <c r="V81" s="190" cm="1">
        <f t="array" ref="V81">_xlfn.IFS($AE$19=$AE$21,+V$9*$AE81*$AB81,$AE$19=$AF$21,+V$9*$AF81*$AB81,$AE$19=$AG$21,+V$9*$AG81*$AB81)</f>
        <v>-25739.964557169962</v>
      </c>
      <c r="W81" s="190" cm="1">
        <f t="array" ref="W81">_xlfn.IFS($AE$19=$AE$21,+W$9*$AE81*$AB81,$AE$19=$AF$21,+W$9*$AF81*$AB81,$AE$19=$AG$21,+W$9*$AG81*$AB81)</f>
        <v>-22340.734401190206</v>
      </c>
      <c r="X81" s="190" cm="1">
        <f t="array" ref="X81">_xlfn.IFS($AE$19=$AE$21,+X$9*$AE81*$AB81,$AE$19=$AF$21,+X$9*$AF81*$AB81,$AE$19=$AG$21,+X$9*$AG81*$AB81)</f>
        <v>-22340.734401190206</v>
      </c>
      <c r="Y81" s="190" cm="1">
        <f t="array" ref="Y81">_xlfn.IFS($AE$19=$AE$21,+Y$9*$AE81*$AB81,$AE$19=$AF$21,+Y$9*$AF81*$AB81,$AE$19=$AG$21,+Y$9*$AG81*$AB81)</f>
        <v>-23991.663566243329</v>
      </c>
      <c r="Z81" s="190" cm="1">
        <f t="array" ref="Z81">_xlfn.IFS($AE$19=$AE$21,+Z$9*$AE81*$AB81,$AE$19=$AF$21,+Z$9*$AF81*$AB81,$AE$19=$AG$21,+Z$9*$AG81*$AB81)</f>
        <v>-26663.493612361428</v>
      </c>
      <c r="AB81" s="188">
        <f t="shared" si="50"/>
        <v>1</v>
      </c>
      <c r="AC81" s="184" t="str">
        <f>+A81&amp;"-"&amp;B81</f>
        <v>440-4390</v>
      </c>
      <c r="AD81" s="212">
        <v>59266.559999999998</v>
      </c>
      <c r="AE81" s="218">
        <f>AE$38</f>
        <v>0.17886178861788618</v>
      </c>
      <c r="AF81" s="218">
        <f t="shared" ref="AF81:AG81" si="54">AF$38</f>
        <v>0.1597432636977863</v>
      </c>
      <c r="AG81" s="218">
        <f t="shared" si="54"/>
        <v>0.20410487438240318</v>
      </c>
    </row>
    <row r="82" spans="1:33" x14ac:dyDescent="0.2">
      <c r="Z82" s="184"/>
      <c r="AE82" s="218"/>
      <c r="AF82" s="218"/>
      <c r="AG82" s="218"/>
    </row>
    <row r="83" spans="1:33" x14ac:dyDescent="0.2">
      <c r="A83" s="184">
        <v>140</v>
      </c>
      <c r="B83" s="185">
        <v>4430</v>
      </c>
      <c r="G83" s="190" cm="1">
        <f t="array" ref="G83">_xlfn.IFS($AE$19=$AE$21,+G$9*$AE83*$AB83,$AE$19=$AF$21,+G$9*$AF83*$AB83,$AE$19=$AG$21,+G$9*$AG83*$AB83)</f>
        <v>-30.629548839774309</v>
      </c>
      <c r="H83" s="190" cm="1">
        <f t="array" ref="H83">_xlfn.IFS($AE$19=$AE$21,+H$9*$AE83*$AB83,$AE$19=$AF$21,+H$9*$AF83*$AB83,$AE$19=$AG$21,+H$9*$AG83*$AB83)</f>
        <v>-24.903818670190621</v>
      </c>
      <c r="I83" s="190" cm="1">
        <f t="array" ref="I83">_xlfn.IFS($AE$19=$AE$21,+I$9*$AE83*$AB83,$AE$19=$AF$21,+I$9*$AF83*$AB83,$AE$19=$AG$21,+I$9*$AG83*$AB83)</f>
        <v>-31.219196186263183</v>
      </c>
      <c r="J83" s="190" cm="1">
        <f t="array" ref="J83">_xlfn.IFS($AE$19=$AE$21,+J$9*$AE83*$AB83,$AE$19=$AF$21,+J$9*$AF83*$AB83,$AE$19=$AG$21,+J$9*$AG83*$AB83)</f>
        <v>-31.219196186263183</v>
      </c>
      <c r="K83" s="190" cm="1">
        <f t="array" ref="K83">_xlfn.IFS($AE$19=$AE$21,+K$9*$AE83*$AB83,$AE$19=$AF$21,+K$9*$AF83*$AB83,$AE$19=$AG$21,+K$9*$AG83*$AB83)</f>
        <v>-23.414397139697389</v>
      </c>
      <c r="L83" s="190" cm="1">
        <f t="array" ref="L83">_xlfn.IFS($AE$19=$AE$21,+L$9*$AE83*$AB83,$AE$19=$AF$21,+L$9*$AF83*$AB83,$AE$19=$AG$21,+L$9*$AG83*$AB83)</f>
        <v>-36.712523042190597</v>
      </c>
      <c r="M83" s="190" cm="1">
        <f t="array" ref="M83">_xlfn.IFS($AE$19=$AE$21,+M$9*$AE83*$AB83,$AE$19=$AF$21,+M$9*$AF83*$AB83,$AE$19=$AG$21,+M$9*$AG83*$AB83)</f>
        <v>-32.373289692545718</v>
      </c>
      <c r="N83" s="190" cm="1">
        <f t="array" ref="N83">_xlfn.IFS($AE$19=$AE$21,+N$9*$AE83*$AB83,$AE$19=$AF$21,+N$9*$AF83*$AB83,$AE$19=$AG$21,+N$9*$AG83*$AB83)</f>
        <v>-38.176768582481841</v>
      </c>
      <c r="O83" s="190" cm="1">
        <f t="array" ref="O83">_xlfn.IFS($AE$19=$AE$21,+O$9*$AE83*$AB83,$AE$19=$AF$21,+O$9*$AF83*$AB83,$AE$19=$AG$21,+O$9*$AG83*$AB83)</f>
        <v>-27.711020359487023</v>
      </c>
      <c r="P83" s="190" cm="1">
        <f t="array" ref="P83">_xlfn.IFS($AE$19=$AE$21,+P$9*$AE83*$AB83,$AE$19=$AF$21,+P$9*$AF83*$AB83,$AE$19=$AG$21,+P$9*$AG83*$AB83)</f>
        <v>-37.817877802367803</v>
      </c>
      <c r="Q83" s="190" cm="1">
        <f t="array" ref="Q83">_xlfn.IFS($AE$19=$AE$21,+Q$9*$AE83*$AB83,$AE$19=$AF$21,+Q$9*$AF83*$AB83,$AE$19=$AG$21,+Q$9*$AG83*$AB83)</f>
        <v>-38.911290330509928</v>
      </c>
      <c r="R83" s="190" cm="1">
        <f t="array" ref="R83">_xlfn.IFS($AE$19=$AE$21,+R$9*$AE83*$AB83,$AE$19=$AF$21,+R$9*$AF83*$AB83,$AE$19=$AG$21,+R$9*$AG83*$AB83)</f>
        <v>-39.357581158323043</v>
      </c>
      <c r="S83" s="190" cm="1">
        <f t="array" ref="S83">_xlfn.IFS($AE$19=$AE$21,+S$9*$AE83*$AB83,$AE$19=$AF$21,+S$9*$AF83*$AB83,$AE$19=$AG$21,+S$9*$AG83*$AB83)</f>
        <v>-35.823484787522546</v>
      </c>
      <c r="T83" s="190" cm="1">
        <f t="array" ref="T83">_xlfn.IFS($AE$19=$AE$21,+T$9*$AE83*$AB83,$AE$19=$AF$21,+T$9*$AF83*$AB83,$AE$19=$AG$21,+T$9*$AG83*$AB83)</f>
        <v>-35.823484787522546</v>
      </c>
      <c r="U83" s="190" cm="1">
        <f t="array" ref="U83">_xlfn.IFS($AE$19=$AE$21,+U$9*$AE83*$AB83,$AE$19=$AF$21,+U$9*$AF83*$AB83,$AE$19=$AG$21,+U$9*$AG83*$AB83)</f>
        <v>-39.803871986136159</v>
      </c>
      <c r="V83" s="190" cm="1">
        <f t="array" ref="V83">_xlfn.IFS($AE$19=$AE$21,+V$9*$AE83*$AB83,$AE$19=$AF$21,+V$9*$AF83*$AB83,$AE$19=$AG$21,+V$9*$AG83*$AB83)</f>
        <v>-39.803871986136159</v>
      </c>
      <c r="W83" s="190" cm="1">
        <f t="array" ref="W83">_xlfn.IFS($AE$19=$AE$21,+W$9*$AE83*$AB83,$AE$19=$AF$21,+W$9*$AF83*$AB83,$AE$19=$AG$21,+W$9*$AG83*$AB83)</f>
        <v>-34.547356512716718</v>
      </c>
      <c r="X83" s="190" cm="1">
        <f t="array" ref="X83">_xlfn.IFS($AE$19=$AE$21,+X$9*$AE83*$AB83,$AE$19=$AF$21,+X$9*$AF83*$AB83,$AE$19=$AG$21,+X$9*$AG83*$AB83)</f>
        <v>-34.547356512716718</v>
      </c>
      <c r="Y83" s="190" cm="1">
        <f t="array" ref="Y83">_xlfn.IFS($AE$19=$AE$21,+Y$9*$AE83*$AB83,$AE$19=$AF$21,+Y$9*$AF83*$AB83,$AE$19=$AG$21,+Y$9*$AG83*$AB83)</f>
        <v>-37.100327127652882</v>
      </c>
      <c r="Z83" s="190" cm="1">
        <f t="array" ref="Z83">_xlfn.IFS($AE$19=$AE$21,+Z$9*$AE83*$AB83,$AE$19=$AF$21,+Z$9*$AF83*$AB83,$AE$19=$AG$21,+Z$9*$AG83*$AB83)</f>
        <v>-41.232002635138109</v>
      </c>
      <c r="AA83" s="213"/>
      <c r="AB83" s="188">
        <f>AD83/(AD77+AD83)</f>
        <v>5.8445141171407564E-4</v>
      </c>
      <c r="AC83" s="184" t="str">
        <f>+A83&amp;"-"&amp;B83</f>
        <v>140-4430</v>
      </c>
      <c r="AD83" s="212">
        <v>320</v>
      </c>
      <c r="AE83" s="218">
        <f>AE$22</f>
        <v>0.42276422764227645</v>
      </c>
      <c r="AF83" s="218">
        <f>AF$22</f>
        <v>0.42266035890737208</v>
      </c>
      <c r="AG83" s="218">
        <f>AG$22</f>
        <v>0.390405884099157</v>
      </c>
    </row>
    <row r="84" spans="1:33" x14ac:dyDescent="0.2">
      <c r="A84" s="184">
        <v>147</v>
      </c>
      <c r="B84" s="185">
        <v>4430</v>
      </c>
      <c r="G84" s="190" cm="1">
        <f t="array" ref="G84">_xlfn.IFS($AE$19=$AE$21,+G$9*$AE84*$AB84,$AE$19=$AF$21,+G$9*$AF84*$AB84,$AE$19=$AG$21,+G$9*$AG84*$AB84)</f>
        <v>0</v>
      </c>
      <c r="H84" s="190" cm="1">
        <f t="array" ref="H84">_xlfn.IFS($AE$19=$AE$21,+H$9*$AE84*$AB84,$AE$19=$AF$21,+H$9*$AF84*$AB84,$AE$19=$AG$21,+H$9*$AG84*$AB84)</f>
        <v>0</v>
      </c>
      <c r="I84" s="190" cm="1">
        <f t="array" ref="I84">_xlfn.IFS($AE$19=$AE$21,+I$9*$AE84*$AB84,$AE$19=$AF$21,+I$9*$AF84*$AB84,$AE$19=$AG$21,+I$9*$AG84*$AB84)</f>
        <v>0</v>
      </c>
      <c r="J84" s="190" cm="1">
        <f t="array" ref="J84">_xlfn.IFS($AE$19=$AE$21,+J$9*$AE84*$AB84,$AE$19=$AF$21,+J$9*$AF84*$AB84,$AE$19=$AG$21,+J$9*$AG84*$AB84)</f>
        <v>0</v>
      </c>
      <c r="K84" s="190" cm="1">
        <f t="array" ref="K84">_xlfn.IFS($AE$19=$AE$21,+K$9*$AE84*$AB84,$AE$19=$AF$21,+K$9*$AF84*$AB84,$AE$19=$AG$21,+K$9*$AG84*$AB84)</f>
        <v>0</v>
      </c>
      <c r="L84" s="190" cm="1">
        <f t="array" ref="L84">_xlfn.IFS($AE$19=$AE$21,+L$9*$AE84*$AB84,$AE$19=$AF$21,+L$9*$AF84*$AB84,$AE$19=$AG$21,+L$9*$AG84*$AB84)</f>
        <v>0</v>
      </c>
      <c r="M84" s="190" cm="1">
        <f t="array" ref="M84">_xlfn.IFS($AE$19=$AE$21,+M$9*$AE84*$AB84,$AE$19=$AF$21,+M$9*$AF84*$AB84,$AE$19=$AG$21,+M$9*$AG84*$AB84)</f>
        <v>0</v>
      </c>
      <c r="N84" s="190" cm="1">
        <f t="array" ref="N84">_xlfn.IFS($AE$19=$AE$21,+N$9*$AE84*$AB84,$AE$19=$AF$21,+N$9*$AF84*$AB84,$AE$19=$AG$21,+N$9*$AG84*$AB84)</f>
        <v>0</v>
      </c>
      <c r="O84" s="190" cm="1">
        <f t="array" ref="O84">_xlfn.IFS($AE$19=$AE$21,+O$9*$AE84*$AB84,$AE$19=$AF$21,+O$9*$AF84*$AB84,$AE$19=$AG$21,+O$9*$AG84*$AB84)</f>
        <v>0</v>
      </c>
      <c r="P84" s="190" cm="1">
        <f t="array" ref="P84">_xlfn.IFS($AE$19=$AE$21,+P$9*$AE84*$AB84,$AE$19=$AF$21,+P$9*$AF84*$AB84,$AE$19=$AG$21,+P$9*$AG84*$AB84)</f>
        <v>0</v>
      </c>
      <c r="Q84" s="190" cm="1">
        <f t="array" ref="Q84">_xlfn.IFS($AE$19=$AE$21,+Q$9*$AE84*$AB84,$AE$19=$AF$21,+Q$9*$AF84*$AB84,$AE$19=$AG$21,+Q$9*$AG84*$AB84)</f>
        <v>0</v>
      </c>
      <c r="R84" s="190" cm="1">
        <f t="array" ref="R84">_xlfn.IFS($AE$19=$AE$21,+R$9*$AE84*$AB84,$AE$19=$AF$21,+R$9*$AF84*$AB84,$AE$19=$AG$21,+R$9*$AG84*$AB84)</f>
        <v>0</v>
      </c>
      <c r="S84" s="190" cm="1">
        <f t="array" ref="S84">_xlfn.IFS($AE$19=$AE$21,+S$9*$AE84*$AB84,$AE$19=$AF$21,+S$9*$AF84*$AB84,$AE$19=$AG$21,+S$9*$AG84*$AB84)</f>
        <v>0</v>
      </c>
      <c r="T84" s="190" cm="1">
        <f t="array" ref="T84">_xlfn.IFS($AE$19=$AE$21,+T$9*$AE84*$AB84,$AE$19=$AF$21,+T$9*$AF84*$AB84,$AE$19=$AG$21,+T$9*$AG84*$AB84)</f>
        <v>0</v>
      </c>
      <c r="U84" s="190" cm="1">
        <f t="array" ref="U84">_xlfn.IFS($AE$19=$AE$21,+U$9*$AE84*$AB84,$AE$19=$AF$21,+U$9*$AF84*$AB84,$AE$19=$AG$21,+U$9*$AG84*$AB84)</f>
        <v>0</v>
      </c>
      <c r="V84" s="190" cm="1">
        <f t="array" ref="V84">_xlfn.IFS($AE$19=$AE$21,+V$9*$AE84*$AB84,$AE$19=$AF$21,+V$9*$AF84*$AB84,$AE$19=$AG$21,+V$9*$AG84*$AB84)</f>
        <v>0</v>
      </c>
      <c r="W84" s="190" cm="1">
        <f t="array" ref="W84">_xlfn.IFS($AE$19=$AE$21,+W$9*$AE84*$AB84,$AE$19=$AF$21,+W$9*$AF84*$AB84,$AE$19=$AG$21,+W$9*$AG84*$AB84)</f>
        <v>0</v>
      </c>
      <c r="X84" s="190" cm="1">
        <f t="array" ref="X84">_xlfn.IFS($AE$19=$AE$21,+X$9*$AE84*$AB84,$AE$19=$AF$21,+X$9*$AF84*$AB84,$AE$19=$AG$21,+X$9*$AG84*$AB84)</f>
        <v>0</v>
      </c>
      <c r="Y84" s="190" cm="1">
        <f t="array" ref="Y84">_xlfn.IFS($AE$19=$AE$21,+Y$9*$AE84*$AB84,$AE$19=$AF$21,+Y$9*$AF84*$AB84,$AE$19=$AG$21,+Y$9*$AG84*$AB84)</f>
        <v>0</v>
      </c>
      <c r="Z84" s="190" cm="1">
        <f t="array" ref="Z84">_xlfn.IFS($AE$19=$AE$21,+Z$9*$AE84*$AB84,$AE$19=$AF$21,+Z$9*$AF84*$AB84,$AE$19=$AG$21,+Z$9*$AG84*$AB84)</f>
        <v>0</v>
      </c>
      <c r="AA84" s="213"/>
      <c r="AB84" s="188">
        <f t="shared" ref="AB84:AB87" si="55">AD84/(AD78+AD84)</f>
        <v>0</v>
      </c>
      <c r="AC84" s="184" t="str">
        <f>+A84&amp;"-"&amp;B84</f>
        <v>147-4430</v>
      </c>
      <c r="AD84" s="212">
        <v>0</v>
      </c>
      <c r="AE84" s="218">
        <f>AE$26</f>
        <v>0</v>
      </c>
      <c r="AF84" s="218">
        <f>AF$26</f>
        <v>5.3402459008496063E-4</v>
      </c>
      <c r="AG84" s="218">
        <f>AG$26</f>
        <v>2.6153936145675424E-3</v>
      </c>
    </row>
    <row r="85" spans="1:33" x14ac:dyDescent="0.2">
      <c r="A85" s="184">
        <v>240</v>
      </c>
      <c r="B85" s="185">
        <v>4430</v>
      </c>
      <c r="G85" s="190" cm="1">
        <f t="array" ref="G85">_xlfn.IFS($AE$19=$AE$21,+G$9*$AE85*$AB85,$AE$19=$AF$21,+G$9*$AF85*$AB85,$AE$19=$AG$21,+G$9*$AG85*$AB85)</f>
        <v>0</v>
      </c>
      <c r="H85" s="190" cm="1">
        <f t="array" ref="H85">_xlfn.IFS($AE$19=$AE$21,+H$9*$AE85*$AB85,$AE$19=$AF$21,+H$9*$AF85*$AB85,$AE$19=$AG$21,+H$9*$AG85*$AB85)</f>
        <v>0</v>
      </c>
      <c r="I85" s="190" cm="1">
        <f t="array" ref="I85">_xlfn.IFS($AE$19=$AE$21,+I$9*$AE85*$AB85,$AE$19=$AF$21,+I$9*$AF85*$AB85,$AE$19=$AG$21,+I$9*$AG85*$AB85)</f>
        <v>0</v>
      </c>
      <c r="J85" s="190" cm="1">
        <f t="array" ref="J85">_xlfn.IFS($AE$19=$AE$21,+J$9*$AE85*$AB85,$AE$19=$AF$21,+J$9*$AF85*$AB85,$AE$19=$AG$21,+J$9*$AG85*$AB85)</f>
        <v>0</v>
      </c>
      <c r="K85" s="190" cm="1">
        <f t="array" ref="K85">_xlfn.IFS($AE$19=$AE$21,+K$9*$AE85*$AB85,$AE$19=$AF$21,+K$9*$AF85*$AB85,$AE$19=$AG$21,+K$9*$AG85*$AB85)</f>
        <v>0</v>
      </c>
      <c r="L85" s="190" cm="1">
        <f t="array" ref="L85">_xlfn.IFS($AE$19=$AE$21,+L$9*$AE85*$AB85,$AE$19=$AF$21,+L$9*$AF85*$AB85,$AE$19=$AG$21,+L$9*$AG85*$AB85)</f>
        <v>0</v>
      </c>
      <c r="M85" s="190" cm="1">
        <f t="array" ref="M85">_xlfn.IFS($AE$19=$AE$21,+M$9*$AE85*$AB85,$AE$19=$AF$21,+M$9*$AF85*$AB85,$AE$19=$AG$21,+M$9*$AG85*$AB85)</f>
        <v>0</v>
      </c>
      <c r="N85" s="190" cm="1">
        <f t="array" ref="N85">_xlfn.IFS($AE$19=$AE$21,+N$9*$AE85*$AB85,$AE$19=$AF$21,+N$9*$AF85*$AB85,$AE$19=$AG$21,+N$9*$AG85*$AB85)</f>
        <v>0</v>
      </c>
      <c r="O85" s="190" cm="1">
        <f t="array" ref="O85">_xlfn.IFS($AE$19=$AE$21,+O$9*$AE85*$AB85,$AE$19=$AF$21,+O$9*$AF85*$AB85,$AE$19=$AG$21,+O$9*$AG85*$AB85)</f>
        <v>0</v>
      </c>
      <c r="P85" s="190" cm="1">
        <f t="array" ref="P85">_xlfn.IFS($AE$19=$AE$21,+P$9*$AE85*$AB85,$AE$19=$AF$21,+P$9*$AF85*$AB85,$AE$19=$AG$21,+P$9*$AG85*$AB85)</f>
        <v>0</v>
      </c>
      <c r="Q85" s="190" cm="1">
        <f t="array" ref="Q85">_xlfn.IFS($AE$19=$AE$21,+Q$9*$AE85*$AB85,$AE$19=$AF$21,+Q$9*$AF85*$AB85,$AE$19=$AG$21,+Q$9*$AG85*$AB85)</f>
        <v>0</v>
      </c>
      <c r="R85" s="190" cm="1">
        <f t="array" ref="R85">_xlfn.IFS($AE$19=$AE$21,+R$9*$AE85*$AB85,$AE$19=$AF$21,+R$9*$AF85*$AB85,$AE$19=$AG$21,+R$9*$AG85*$AB85)</f>
        <v>0</v>
      </c>
      <c r="S85" s="190" cm="1">
        <f t="array" ref="S85">_xlfn.IFS($AE$19=$AE$21,+S$9*$AE85*$AB85,$AE$19=$AF$21,+S$9*$AF85*$AB85,$AE$19=$AG$21,+S$9*$AG85*$AB85)</f>
        <v>0</v>
      </c>
      <c r="T85" s="190" cm="1">
        <f t="array" ref="T85">_xlfn.IFS($AE$19=$AE$21,+T$9*$AE85*$AB85,$AE$19=$AF$21,+T$9*$AF85*$AB85,$AE$19=$AG$21,+T$9*$AG85*$AB85)</f>
        <v>0</v>
      </c>
      <c r="U85" s="190" cm="1">
        <f t="array" ref="U85">_xlfn.IFS($AE$19=$AE$21,+U$9*$AE85*$AB85,$AE$19=$AF$21,+U$9*$AF85*$AB85,$AE$19=$AG$21,+U$9*$AG85*$AB85)</f>
        <v>0</v>
      </c>
      <c r="V85" s="190" cm="1">
        <f t="array" ref="V85">_xlfn.IFS($AE$19=$AE$21,+V$9*$AE85*$AB85,$AE$19=$AF$21,+V$9*$AF85*$AB85,$AE$19=$AG$21,+V$9*$AG85*$AB85)</f>
        <v>0</v>
      </c>
      <c r="W85" s="190" cm="1">
        <f t="array" ref="W85">_xlfn.IFS($AE$19=$AE$21,+W$9*$AE85*$AB85,$AE$19=$AF$21,+W$9*$AF85*$AB85,$AE$19=$AG$21,+W$9*$AG85*$AB85)</f>
        <v>0</v>
      </c>
      <c r="X85" s="190" cm="1">
        <f t="array" ref="X85">_xlfn.IFS($AE$19=$AE$21,+X$9*$AE85*$AB85,$AE$19=$AF$21,+X$9*$AF85*$AB85,$AE$19=$AG$21,+X$9*$AG85*$AB85)</f>
        <v>0</v>
      </c>
      <c r="Y85" s="190" cm="1">
        <f t="array" ref="Y85">_xlfn.IFS($AE$19=$AE$21,+Y$9*$AE85*$AB85,$AE$19=$AF$21,+Y$9*$AF85*$AB85,$AE$19=$AG$21,+Y$9*$AG85*$AB85)</f>
        <v>0</v>
      </c>
      <c r="Z85" s="190" cm="1">
        <f t="array" ref="Z85">_xlfn.IFS($AE$19=$AE$21,+Z$9*$AE85*$AB85,$AE$19=$AF$21,+Z$9*$AF85*$AB85,$AE$19=$AG$21,+Z$9*$AG85*$AB85)</f>
        <v>0</v>
      </c>
      <c r="AA85" s="213"/>
      <c r="AB85" s="188">
        <f t="shared" si="55"/>
        <v>0</v>
      </c>
      <c r="AC85" s="184" t="str">
        <f>+A85&amp;"-"&amp;B85</f>
        <v>240-4430</v>
      </c>
      <c r="AD85" s="212">
        <v>0</v>
      </c>
      <c r="AE85" s="218">
        <f>AE$30</f>
        <v>0.21951219512195122</v>
      </c>
      <c r="AF85" s="218">
        <f>AF$30</f>
        <v>0.24199641829180513</v>
      </c>
      <c r="AG85" s="218">
        <f>AG$30</f>
        <v>0.22009982389945629</v>
      </c>
    </row>
    <row r="86" spans="1:33" x14ac:dyDescent="0.2">
      <c r="A86" s="184">
        <v>340</v>
      </c>
      <c r="B86" s="185">
        <v>4430</v>
      </c>
      <c r="G86" s="190" cm="1">
        <f t="array" ref="G86">_xlfn.IFS($AE$19=$AE$21,+G$9*$AE86*$AB86,$AE$19=$AF$21,+G$9*$AF86*$AB86,$AE$19=$AG$21,+G$9*$AG86*$AB86)</f>
        <v>-47.150310502890576</v>
      </c>
      <c r="H86" s="190" cm="1">
        <f t="array" ref="H86">_xlfn.IFS($AE$19=$AE$21,+H$9*$AE86*$AB86,$AE$19=$AF$21,+H$9*$AF86*$AB86,$AE$19=$AG$21,+H$9*$AG86*$AB86)</f>
        <v>-38.336274202066349</v>
      </c>
      <c r="I86" s="190" cm="1">
        <f t="array" ref="I86">_xlfn.IFS($AE$19=$AE$21,+I$9*$AE86*$AB86,$AE$19=$AF$21,+I$9*$AF86*$AB86,$AE$19=$AG$21,+I$9*$AG86*$AB86)</f>
        <v>-48.057997900429164</v>
      </c>
      <c r="J86" s="190" cm="1">
        <f t="array" ref="J86">_xlfn.IFS($AE$19=$AE$21,+J$9*$AE86*$AB86,$AE$19=$AF$21,+J$9*$AF86*$AB86,$AE$19=$AG$21,+J$9*$AG86*$AB86)</f>
        <v>-48.057997900429164</v>
      </c>
      <c r="K86" s="190" cm="1">
        <f t="array" ref="K86">_xlfn.IFS($AE$19=$AE$21,+K$9*$AE86*$AB86,$AE$19=$AF$21,+K$9*$AF86*$AB86,$AE$19=$AG$21,+K$9*$AG86*$AB86)</f>
        <v>-36.043498425321872</v>
      </c>
      <c r="L86" s="190" cm="1">
        <f t="array" ref="L86">_xlfn.IFS($AE$19=$AE$21,+L$9*$AE86*$AB86,$AE$19=$AF$21,+L$9*$AF86*$AB86,$AE$19=$AG$21,+L$9*$AG86*$AB86)</f>
        <v>-56.514278739097684</v>
      </c>
      <c r="M86" s="190" cm="1">
        <f t="array" ref="M86">_xlfn.IFS($AE$19=$AE$21,+M$9*$AE86*$AB86,$AE$19=$AF$21,+M$9*$AF86*$AB86,$AE$19=$AG$21,+M$9*$AG86*$AB86)</f>
        <v>-49.834578660898252</v>
      </c>
      <c r="N86" s="190" cm="1">
        <f t="array" ref="N86">_xlfn.IFS($AE$19=$AE$21,+N$9*$AE86*$AB86,$AE$19=$AF$21,+N$9*$AF86*$AB86,$AE$19=$AG$21,+N$9*$AG86*$AB86)</f>
        <v>-58.768299268043663</v>
      </c>
      <c r="O86" s="190" cm="1">
        <f t="array" ref="O86">_xlfn.IFS($AE$19=$AE$21,+O$9*$AE86*$AB86,$AE$19=$AF$21,+O$9*$AF86*$AB86,$AE$19=$AG$21,+O$9*$AG86*$AB86)</f>
        <v>-42.657605606160892</v>
      </c>
      <c r="P86" s="190" cm="1">
        <f t="array" ref="P86">_xlfn.IFS($AE$19=$AE$21,+P$9*$AE86*$AB86,$AE$19=$AF$21,+P$9*$AF86*$AB86,$AE$19=$AG$21,+P$9*$AG86*$AB86)</f>
        <v>-58.215832373819381</v>
      </c>
      <c r="Q86" s="190" cm="1">
        <f t="array" ref="Q86">_xlfn.IFS($AE$19=$AE$21,+Q$9*$AE86*$AB86,$AE$19=$AF$21,+Q$9*$AF86*$AB86,$AE$19=$AG$21,+Q$9*$AG86*$AB86)</f>
        <v>-59.89900245508106</v>
      </c>
      <c r="R86" s="190" cm="1">
        <f t="array" ref="R86">_xlfn.IFS($AE$19=$AE$21,+R$9*$AE86*$AB86,$AE$19=$AF$21,+R$9*$AF86*$AB86,$AE$19=$AG$21,+R$9*$AG86*$AB86)</f>
        <v>-60.586010651514407</v>
      </c>
      <c r="S86" s="190" cm="1">
        <f t="array" ref="S86">_xlfn.IFS($AE$19=$AE$21,+S$9*$AE86*$AB86,$AE$19=$AF$21,+S$9*$AF86*$AB86,$AE$19=$AG$21,+S$9*$AG86*$AB86)</f>
        <v>-55.145716963152985</v>
      </c>
      <c r="T86" s="190" cm="1">
        <f t="array" ref="T86">_xlfn.IFS($AE$19=$AE$21,+T$9*$AE86*$AB86,$AE$19=$AF$21,+T$9*$AF86*$AB86,$AE$19=$AG$21,+T$9*$AG86*$AB86)</f>
        <v>-55.145716963152985</v>
      </c>
      <c r="U86" s="190" cm="1">
        <f t="array" ref="U86">_xlfn.IFS($AE$19=$AE$21,+U$9*$AE86*$AB86,$AE$19=$AF$21,+U$9*$AF86*$AB86,$AE$19=$AG$21,+U$9*$AG86*$AB86)</f>
        <v>-61.273018847947753</v>
      </c>
      <c r="V86" s="190" cm="1">
        <f t="array" ref="V86">_xlfn.IFS($AE$19=$AE$21,+V$9*$AE86*$AB86,$AE$19=$AF$21,+V$9*$AF86*$AB86,$AE$19=$AG$21,+V$9*$AG86*$AB86)</f>
        <v>-61.273018847947753</v>
      </c>
      <c r="W86" s="190" cm="1">
        <f t="array" ref="W86">_xlfn.IFS($AE$19=$AE$21,+W$9*$AE86*$AB86,$AE$19=$AF$21,+W$9*$AF86*$AB86,$AE$19=$AG$21,+W$9*$AG86*$AB86)</f>
        <v>-53.181279135048939</v>
      </c>
      <c r="X86" s="190" cm="1">
        <f t="array" ref="X86">_xlfn.IFS($AE$19=$AE$21,+X$9*$AE86*$AB86,$AE$19=$AF$21,+X$9*$AF86*$AB86,$AE$19=$AG$21,+X$9*$AG86*$AB86)</f>
        <v>-53.181279135048939</v>
      </c>
      <c r="Y86" s="190" cm="1">
        <f t="array" ref="Y86">_xlfn.IFS($AE$19=$AE$21,+Y$9*$AE86*$AB86,$AE$19=$AF$21,+Y$9*$AF86*$AB86,$AE$19=$AG$21,+Y$9*$AG86*$AB86)</f>
        <v>-57.111254004371325</v>
      </c>
      <c r="Z86" s="190" cm="1">
        <f t="array" ref="Z86">_xlfn.IFS($AE$19=$AE$21,+Z$9*$AE86*$AB86,$AE$19=$AF$21,+Z$9*$AF86*$AB86,$AE$19=$AG$21,+Z$9*$AG86*$AB86)</f>
        <v>-63.471445076534437</v>
      </c>
      <c r="AA86" s="213"/>
      <c r="AB86" s="188">
        <f t="shared" si="55"/>
        <v>2.1721121268519286E-3</v>
      </c>
      <c r="AC86" s="184" t="str">
        <f>+A86&amp;"-"&amp;B86</f>
        <v>340-4430</v>
      </c>
      <c r="AD86" s="212">
        <v>359.16</v>
      </c>
      <c r="AE86" s="218">
        <f>AE$34</f>
        <v>0.17886178861788618</v>
      </c>
      <c r="AF86" s="218">
        <f>AF$34</f>
        <v>0.17506593451295152</v>
      </c>
      <c r="AG86" s="218">
        <f>AG$34</f>
        <v>0.182774024004416</v>
      </c>
    </row>
    <row r="87" spans="1:33" x14ac:dyDescent="0.2">
      <c r="A87" s="184">
        <v>440</v>
      </c>
      <c r="B87" s="185">
        <v>4430</v>
      </c>
      <c r="G87" s="190" cm="1">
        <f t="array" ref="G87">_xlfn.IFS($AE$19=$AE$21,+G$9*$AE87*$AB87,$AE$19=$AF$21,+G$9*$AF87*$AB87,$AE$19=$AG$21,+G$9*$AG87*$AB87)</f>
        <v>0</v>
      </c>
      <c r="H87" s="190" cm="1">
        <f t="array" ref="H87">_xlfn.IFS($AE$19=$AE$21,+H$9*$AE87*$AB87,$AE$19=$AF$21,+H$9*$AF87*$AB87,$AE$19=$AG$21,+H$9*$AG87*$AB87)</f>
        <v>0</v>
      </c>
      <c r="I87" s="190" cm="1">
        <f t="array" ref="I87">_xlfn.IFS($AE$19=$AE$21,+I$9*$AE87*$AB87,$AE$19=$AF$21,+I$9*$AF87*$AB87,$AE$19=$AG$21,+I$9*$AG87*$AB87)</f>
        <v>0</v>
      </c>
      <c r="J87" s="190" cm="1">
        <f t="array" ref="J87">_xlfn.IFS($AE$19=$AE$21,+J$9*$AE87*$AB87,$AE$19=$AF$21,+J$9*$AF87*$AB87,$AE$19=$AG$21,+J$9*$AG87*$AB87)</f>
        <v>0</v>
      </c>
      <c r="K87" s="190" cm="1">
        <f t="array" ref="K87">_xlfn.IFS($AE$19=$AE$21,+K$9*$AE87*$AB87,$AE$19=$AF$21,+K$9*$AF87*$AB87,$AE$19=$AG$21,+K$9*$AG87*$AB87)</f>
        <v>0</v>
      </c>
      <c r="L87" s="190" cm="1">
        <f t="array" ref="L87">_xlfn.IFS($AE$19=$AE$21,+L$9*$AE87*$AB87,$AE$19=$AF$21,+L$9*$AF87*$AB87,$AE$19=$AG$21,+L$9*$AG87*$AB87)</f>
        <v>0</v>
      </c>
      <c r="M87" s="190" cm="1">
        <f t="array" ref="M87">_xlfn.IFS($AE$19=$AE$21,+M$9*$AE87*$AB87,$AE$19=$AF$21,+M$9*$AF87*$AB87,$AE$19=$AG$21,+M$9*$AG87*$AB87)</f>
        <v>0</v>
      </c>
      <c r="N87" s="190" cm="1">
        <f t="array" ref="N87">_xlfn.IFS($AE$19=$AE$21,+N$9*$AE87*$AB87,$AE$19=$AF$21,+N$9*$AF87*$AB87,$AE$19=$AG$21,+N$9*$AG87*$AB87)</f>
        <v>0</v>
      </c>
      <c r="O87" s="190" cm="1">
        <f t="array" ref="O87">_xlfn.IFS($AE$19=$AE$21,+O$9*$AE87*$AB87,$AE$19=$AF$21,+O$9*$AF87*$AB87,$AE$19=$AG$21,+O$9*$AG87*$AB87)</f>
        <v>0</v>
      </c>
      <c r="P87" s="190" cm="1">
        <f t="array" ref="P87">_xlfn.IFS($AE$19=$AE$21,+P$9*$AE87*$AB87,$AE$19=$AF$21,+P$9*$AF87*$AB87,$AE$19=$AG$21,+P$9*$AG87*$AB87)</f>
        <v>0</v>
      </c>
      <c r="Q87" s="190" cm="1">
        <f t="array" ref="Q87">_xlfn.IFS($AE$19=$AE$21,+Q$9*$AE87*$AB87,$AE$19=$AF$21,+Q$9*$AF87*$AB87,$AE$19=$AG$21,+Q$9*$AG87*$AB87)</f>
        <v>0</v>
      </c>
      <c r="R87" s="190" cm="1">
        <f t="array" ref="R87">_xlfn.IFS($AE$19=$AE$21,+R$9*$AE87*$AB87,$AE$19=$AF$21,+R$9*$AF87*$AB87,$AE$19=$AG$21,+R$9*$AG87*$AB87)</f>
        <v>0</v>
      </c>
      <c r="S87" s="190" cm="1">
        <f t="array" ref="S87">_xlfn.IFS($AE$19=$AE$21,+S$9*$AE87*$AB87,$AE$19=$AF$21,+S$9*$AF87*$AB87,$AE$19=$AG$21,+S$9*$AG87*$AB87)</f>
        <v>0</v>
      </c>
      <c r="T87" s="190" cm="1">
        <f t="array" ref="T87">_xlfn.IFS($AE$19=$AE$21,+T$9*$AE87*$AB87,$AE$19=$AF$21,+T$9*$AF87*$AB87,$AE$19=$AG$21,+T$9*$AG87*$AB87)</f>
        <v>0</v>
      </c>
      <c r="U87" s="190" cm="1">
        <f t="array" ref="U87">_xlfn.IFS($AE$19=$AE$21,+U$9*$AE87*$AB87,$AE$19=$AF$21,+U$9*$AF87*$AB87,$AE$19=$AG$21,+U$9*$AG87*$AB87)</f>
        <v>0</v>
      </c>
      <c r="V87" s="190" cm="1">
        <f t="array" ref="V87">_xlfn.IFS($AE$19=$AE$21,+V$9*$AE87*$AB87,$AE$19=$AF$21,+V$9*$AF87*$AB87,$AE$19=$AG$21,+V$9*$AG87*$AB87)</f>
        <v>0</v>
      </c>
      <c r="W87" s="190" cm="1">
        <f t="array" ref="W87">_xlfn.IFS($AE$19=$AE$21,+W$9*$AE87*$AB87,$AE$19=$AF$21,+W$9*$AF87*$AB87,$AE$19=$AG$21,+W$9*$AG87*$AB87)</f>
        <v>0</v>
      </c>
      <c r="X87" s="190" cm="1">
        <f t="array" ref="X87">_xlfn.IFS($AE$19=$AE$21,+X$9*$AE87*$AB87,$AE$19=$AF$21,+X$9*$AF87*$AB87,$AE$19=$AG$21,+X$9*$AG87*$AB87)</f>
        <v>0</v>
      </c>
      <c r="Y87" s="190" cm="1">
        <f t="array" ref="Y87">_xlfn.IFS($AE$19=$AE$21,+Y$9*$AE87*$AB87,$AE$19=$AF$21,+Y$9*$AF87*$AB87,$AE$19=$AG$21,+Y$9*$AG87*$AB87)</f>
        <v>0</v>
      </c>
      <c r="Z87" s="190" cm="1">
        <f t="array" ref="Z87">_xlfn.IFS($AE$19=$AE$21,+Z$9*$AE87*$AB87,$AE$19=$AF$21,+Z$9*$AF87*$AB87,$AE$19=$AG$21,+Z$9*$AG87*$AB87)</f>
        <v>0</v>
      </c>
      <c r="AA87" s="213"/>
      <c r="AB87" s="188">
        <f t="shared" si="55"/>
        <v>0</v>
      </c>
      <c r="AC87" s="184" t="str">
        <f>+A87&amp;"-"&amp;B87</f>
        <v>440-4430</v>
      </c>
      <c r="AD87" s="212">
        <v>0</v>
      </c>
      <c r="AE87" s="218">
        <f>AE$38</f>
        <v>0.17886178861788618</v>
      </c>
      <c r="AF87" s="218">
        <f>AF$38</f>
        <v>0.1597432636977863</v>
      </c>
      <c r="AG87" s="218">
        <f>AG$38</f>
        <v>0.20410487438240318</v>
      </c>
    </row>
    <row r="88" spans="1:33" x14ac:dyDescent="0.2">
      <c r="Z88" s="184"/>
      <c r="AE88" s="218"/>
      <c r="AF88" s="218"/>
      <c r="AG88" s="218"/>
    </row>
    <row r="89" spans="1:33" x14ac:dyDescent="0.2">
      <c r="A89" s="184" t="s">
        <v>154</v>
      </c>
      <c r="Z89" s="184"/>
      <c r="AE89" s="218"/>
      <c r="AF89" s="218"/>
      <c r="AG89" s="218"/>
    </row>
    <row r="90" spans="1:33" x14ac:dyDescent="0.2">
      <c r="A90" s="184">
        <v>140</v>
      </c>
      <c r="B90" s="185">
        <v>7020</v>
      </c>
      <c r="G90" s="190" cm="1">
        <f t="array" ref="G90">_xlfn.IFS($AF$19=$AE$21,+G$17*$AE90*$AB90,$AF$19=$AF$21,+G$17*$AF90*$AB90,$AF$19=$AG$21,+G$17*$AG90*$AB90)</f>
        <v>-47525.737093378229</v>
      </c>
      <c r="H90" s="190" cm="1">
        <f t="array" ref="H90">_xlfn.IFS($AF$19=$AE$21,+H$17*$AE90*$AB90,$AF$19=$AF$21,+H$17*$AF90*$AB90,$AF$19=$AG$21,+H$17*$AG90*$AB90)</f>
        <v>-39344.1758583177</v>
      </c>
      <c r="I90" s="190" cm="1">
        <f t="array" ref="I90">_xlfn.IFS($AF$19=$AE$21,+I$17*$AE90*$AB90,$AF$19=$AF$21,+I$17*$AF90*$AB90,$AF$19=$AG$21,+I$17*$AG90*$AB90)</f>
        <v>-48672.096710291255</v>
      </c>
      <c r="J90" s="190" cm="1">
        <f t="array" ref="J90">_xlfn.IFS($AF$19=$AE$21,+J$17*$AE90*$AB90,$AF$19=$AF$21,+J$17*$AF90*$AB90,$AF$19=$AG$21,+J$17*$AG90*$AB90)</f>
        <v>-47994.599226816761</v>
      </c>
      <c r="K90" s="190" cm="1">
        <f t="array" ref="K90">_xlfn.IFS($AF$19=$AE$21,+K$17*$AE90*$AB90,$AF$19=$AF$21,+K$17*$AF90*$AB90,$AF$19=$AG$21,+K$17*$AG90*$AB90)</f>
        <v>-34810.3288240322</v>
      </c>
      <c r="L90" s="190" cm="1">
        <f t="array" ref="L90">_xlfn.IFS($AF$19=$AE$21,+L$17*$AE90*$AB90,$AF$19=$AF$21,+L$17*$AF90*$AB90,$AF$19=$AG$21,+L$17*$AG90*$AB90)</f>
        <v>-36026.955905440758</v>
      </c>
      <c r="M90" s="190" cm="1">
        <f t="array" ref="M90">_xlfn.IFS($AF$19=$AE$21,+M$17*$AE90*$AB90,$AF$19=$AF$21,+M$17*$AF90*$AB90,$AF$19=$AG$21,+M$17*$AG90*$AB90)</f>
        <v>-36196.49219820794</v>
      </c>
      <c r="N90" s="190" cm="1">
        <f t="array" ref="N90">_xlfn.IFS($AF$19=$AE$21,+N$17*$AE90*$AB90,$AF$19=$AF$21,+N$17*$AF90*$AB90,$AF$19=$AG$21,+N$17*$AG90*$AB90)</f>
        <v>-47434.798774163391</v>
      </c>
      <c r="O90" s="190" cm="1">
        <f t="array" ref="O90">_xlfn.IFS($AF$19=$AE$21,+O$17*$AE90*$AB90,$AF$19=$AF$21,+O$17*$AF90*$AB90,$AF$19=$AG$21,+O$17*$AG90*$AB90)</f>
        <v>-33658.085076435447</v>
      </c>
      <c r="P90" s="190" cm="1">
        <f t="array" ref="P90">_xlfn.IFS($AF$19=$AE$21,+P$17*$AE90*$AB90,$AF$19=$AF$21,+P$17*$AF90*$AB90,$AF$19=$AG$21,+P$17*$AG90*$AB90)</f>
        <v>-41716.907544942078</v>
      </c>
      <c r="Q90" s="190" cm="1">
        <f t="array" ref="Q90">_xlfn.IFS($AF$19=$AE$21,+Q$17*$AE90*$AB90,$AF$19=$AF$21,+Q$17*$AF90*$AB90,$AF$19=$AG$21,+Q$17*$AG90*$AB90)</f>
        <v>-44206.710796710853</v>
      </c>
      <c r="R90" s="190" cm="1">
        <f t="array" ref="R90">_xlfn.IFS($AF$19=$AE$21,+R$17*$AE90*$AB90,$AF$19=$AF$21,+R$17*$AF90*$AB90,$AF$19=$AG$21,+R$17*$AG90*$AB90)</f>
        <v>-45222.957021922593</v>
      </c>
      <c r="S90" s="190" cm="1">
        <f t="array" ref="S90">_xlfn.IFS($AF$19=$AE$21,+S$17*$AE90*$AB90,$AF$19=$AF$21,+S$17*$AF90*$AB90,$AF$19=$AG$21,+S$17*$AG90*$AB90)</f>
        <v>-41615.282922420905</v>
      </c>
      <c r="T90" s="190" cm="1">
        <f t="array" ref="T90">_xlfn.IFS($AF$19=$AE$21,+T$17*$AE90*$AB90,$AF$19=$AF$21,+T$17*$AF90*$AB90,$AF$19=$AG$21,+T$17*$AG90*$AB90)</f>
        <v>-41615.282922420905</v>
      </c>
      <c r="U90" s="190" cm="1">
        <f t="array" ref="U90">_xlfn.IFS($AF$19=$AE$21,+U$17*$AE90*$AB90,$AF$19=$AF$21,+U$17*$AF90*$AB90,$AF$19=$AG$21,+U$17*$AG90*$AB90)</f>
        <v>-46239.203247134341</v>
      </c>
      <c r="V90" s="190" cm="1">
        <f t="array" ref="V90">_xlfn.IFS($AF$19=$AE$21,+V$17*$AE90*$AB90,$AF$19=$AF$21,+V$17*$AF90*$AB90,$AF$19=$AG$21,+V$17*$AG90*$AB90)</f>
        <v>-46239.203247134341</v>
      </c>
      <c r="W90" s="190" cm="1">
        <f t="array" ref="W90">_xlfn.IFS($AF$19=$AE$21,+W$17*$AE90*$AB90,$AF$19=$AF$21,+W$17*$AF90*$AB90,$AF$19=$AG$21,+W$17*$AG90*$AB90)</f>
        <v>-40929.316720402974</v>
      </c>
      <c r="X90" s="190" cm="1">
        <f t="array" ref="X90">_xlfn.IFS($AF$19=$AE$21,+X$17*$AE90*$AB90,$AF$19=$AF$21,+X$17*$AF90*$AB90,$AF$19=$AG$21,+X$17*$AG90*$AB90)</f>
        <v>-40929.316720402974</v>
      </c>
      <c r="Y90" s="190" cm="1">
        <f t="array" ref="Y90">_xlfn.IFS($AF$19=$AE$21,+Y$17*$AE90*$AB90,$AF$19=$AF$21,+Y$17*$AF90*$AB90,$AF$19=$AG$21,+Y$17*$AG90*$AB90)</f>
        <v>-42302.87511839917</v>
      </c>
      <c r="Z90" s="190" cm="1">
        <f t="array" ref="Z90">_xlfn.IFS($AF$19=$AE$21,+Z$17*$AE90*$AB90,$AF$19=$AF$21,+Z$17*$AF90*$AB90,$AF$19=$AG$21,+Z$17*$AG90*$AB90)</f>
        <v>-49491.191167811921</v>
      </c>
      <c r="AB90" s="188">
        <f>AD90/(AD90+AD95)</f>
        <v>0.34707339774746943</v>
      </c>
      <c r="AC90" s="184" t="str">
        <f t="shared" ref="AC90:AC99" si="56">+A90&amp;"-"&amp;B90</f>
        <v>140-7020</v>
      </c>
      <c r="AD90" s="212">
        <v>45000.44</v>
      </c>
      <c r="AE90" s="218">
        <f>AE$22</f>
        <v>0.42276422764227645</v>
      </c>
      <c r="AF90" s="218">
        <f t="shared" ref="AF90:AG90" si="57">AF$22</f>
        <v>0.42266035890737208</v>
      </c>
      <c r="AG90" s="218">
        <f t="shared" si="57"/>
        <v>0.390405884099157</v>
      </c>
    </row>
    <row r="91" spans="1:33" x14ac:dyDescent="0.2">
      <c r="A91" s="184">
        <v>147</v>
      </c>
      <c r="B91" s="185">
        <v>7020</v>
      </c>
      <c r="G91" s="190" cm="1">
        <f t="array" ref="G91">_xlfn.IFS($AF$19=$AE$21,+G$17*$AE91*$AB91,$AF$19=$AF$21,+G$17*$AF91*$AB91,$AF$19=$AG$21,+G$17*$AG91*$AB91)</f>
        <v>-423.22799546877098</v>
      </c>
      <c r="H91" s="190" cm="1">
        <f t="array" ref="H91">_xlfn.IFS($AF$19=$AE$21,+H$17*$AE91*$AB91,$AF$19=$AF$21,+H$17*$AF91*$AB91,$AF$19=$AG$21,+H$17*$AG91*$AB91)</f>
        <v>-350.36924622904326</v>
      </c>
      <c r="I91" s="190" cm="1">
        <f t="array" ref="I91">_xlfn.IFS($AF$19=$AE$21,+I$17*$AE91*$AB91,$AF$19=$AF$21,+I$17*$AF91*$AB91,$AF$19=$AG$21,+I$17*$AG91*$AB91)</f>
        <v>-433.4366005830733</v>
      </c>
      <c r="J91" s="190" cm="1">
        <f t="array" ref="J91">_xlfn.IFS($AF$19=$AE$21,+J$17*$AE91*$AB91,$AF$19=$AF$21,+J$17*$AF91*$AB91,$AF$19=$AG$21,+J$17*$AG91*$AB91)</f>
        <v>-427.40332431209885</v>
      </c>
      <c r="K91" s="190" cm="1">
        <f t="array" ref="K91">_xlfn.IFS($AF$19=$AE$21,+K$17*$AE91*$AB91,$AF$19=$AF$21,+K$17*$AF91*$AB91,$AF$19=$AG$21,+K$17*$AG91*$AB91)</f>
        <v>-309.99425975986895</v>
      </c>
      <c r="L91" s="190" cm="1">
        <f t="array" ref="L91">_xlfn.IFS($AF$19=$AE$21,+L$17*$AE91*$AB91,$AF$19=$AF$21,+L$17*$AF91*$AB91,$AF$19=$AG$21,+L$17*$AG91*$AB91)</f>
        <v>-320.82861336254683</v>
      </c>
      <c r="M91" s="190" cm="1">
        <f t="array" ref="M91">_xlfn.IFS($AF$19=$AE$21,+M$17*$AE91*$AB91,$AF$19=$AF$21,+M$17*$AF91*$AB91,$AF$19=$AG$21,+M$17*$AG91*$AB91)</f>
        <v>-322.33837438331921</v>
      </c>
      <c r="N91" s="190" cm="1">
        <f t="array" ref="N91">_xlfn.IFS($AF$19=$AE$21,+N$17*$AE91*$AB91,$AF$19=$AF$21,+N$17*$AF91*$AB91,$AF$19=$AG$21,+N$17*$AG91*$AB91)</f>
        <v>-422.41816810140216</v>
      </c>
      <c r="O91" s="190" cm="1">
        <f t="array" ref="O91">_xlfn.IFS($AF$19=$AE$21,+O$17*$AE91*$AB91,$AF$19=$AF$21,+O$17*$AF91*$AB91,$AF$19=$AG$21,+O$17*$AG91*$AB91)</f>
        <v>-299.73325506195874</v>
      </c>
      <c r="P91" s="190" cm="1">
        <f t="array" ref="P91">_xlfn.IFS($AF$19=$AE$21,+P$17*$AE91*$AB91,$AF$19=$AF$21,+P$17*$AF91*$AB91,$AF$19=$AG$21,+P$17*$AG91*$AB91)</f>
        <v>-371.49898638524991</v>
      </c>
      <c r="Q91" s="190" cm="1">
        <f t="array" ref="Q91">_xlfn.IFS($AF$19=$AE$21,+Q$17*$AE91*$AB91,$AF$19=$AF$21,+Q$17*$AF91*$AB91,$AF$19=$AG$21,+Q$17*$AG91*$AB91)</f>
        <v>-393.67127668108088</v>
      </c>
      <c r="R91" s="190" cm="1">
        <f t="array" ref="R91">_xlfn.IFS($AF$19=$AE$21,+R$17*$AE91*$AB91,$AF$19=$AF$21,+R$17*$AF91*$AB91,$AF$19=$AG$21,+R$17*$AG91*$AB91)</f>
        <v>-402.72119108754254</v>
      </c>
      <c r="S91" s="190" cm="1">
        <f t="array" ref="S91">_xlfn.IFS($AF$19=$AE$21,+S$17*$AE91*$AB91,$AF$19=$AF$21,+S$17*$AF91*$AB91,$AF$19=$AG$21,+S$17*$AG91*$AB91)</f>
        <v>-370.59399494460371</v>
      </c>
      <c r="T91" s="190" cm="1">
        <f t="array" ref="T91">_xlfn.IFS($AF$19=$AE$21,+T$17*$AE91*$AB91,$AF$19=$AF$21,+T$17*$AF91*$AB91,$AF$19=$AG$21,+T$17*$AG91*$AB91)</f>
        <v>-370.59399494460371</v>
      </c>
      <c r="U91" s="190" cm="1">
        <f t="array" ref="U91">_xlfn.IFS($AF$19=$AE$21,+U$17*$AE91*$AB91,$AF$19=$AF$21,+U$17*$AF91*$AB91,$AF$19=$AG$21,+U$17*$AG91*$AB91)</f>
        <v>-411.77110549400419</v>
      </c>
      <c r="V91" s="190" cm="1">
        <f t="array" ref="V91">_xlfn.IFS($AF$19=$AE$21,+V$17*$AE91*$AB91,$AF$19=$AF$21,+V$17*$AF91*$AB91,$AF$19=$AG$21,+V$17*$AG91*$AB91)</f>
        <v>-411.77110549400419</v>
      </c>
      <c r="W91" s="190" cm="1">
        <f t="array" ref="W91">_xlfn.IFS($AF$19=$AE$21,+W$17*$AE91*$AB91,$AF$19=$AF$21,+W$17*$AF91*$AB91,$AF$19=$AG$21,+W$17*$AG91*$AB91)</f>
        <v>-364.48530272024215</v>
      </c>
      <c r="X91" s="190" cm="1">
        <f t="array" ref="X91">_xlfn.IFS($AF$19=$AE$21,+X$17*$AE91*$AB91,$AF$19=$AF$21,+X$17*$AF91*$AB91,$AF$19=$AG$21,+X$17*$AG91*$AB91)</f>
        <v>-364.48530272024215</v>
      </c>
      <c r="Y91" s="190" cm="1">
        <f t="array" ref="Y91">_xlfn.IFS($AF$19=$AE$21,+Y$17*$AE91*$AB91,$AF$19=$AF$21,+Y$17*$AF91*$AB91,$AF$19=$AG$21,+Y$17*$AG91*$AB91)</f>
        <v>-376.71716703201565</v>
      </c>
      <c r="Z91" s="190" cm="1">
        <f t="array" ref="Z91">_xlfn.IFS($AF$19=$AE$21,+Z$17*$AE91*$AB91,$AF$19=$AF$21,+Z$17*$AF91*$AB91,$AF$19=$AG$21,+Z$17*$AG91*$AB91)</f>
        <v>-440.73083159468138</v>
      </c>
      <c r="AB91" s="188">
        <f t="shared" ref="AB91:AB94" si="58">AD91/(AD91+AD96)</f>
        <v>0.46136659792771018</v>
      </c>
      <c r="AC91" s="184" t="str">
        <f t="shared" si="56"/>
        <v>147-7020</v>
      </c>
      <c r="AD91" s="212">
        <v>14587.12</v>
      </c>
      <c r="AE91" s="218">
        <f>AE$26</f>
        <v>0</v>
      </c>
      <c r="AF91" s="218">
        <f t="shared" ref="AF91:AG91" si="59">AF$26</f>
        <v>5.3402459008496063E-4</v>
      </c>
      <c r="AG91" s="218">
        <f t="shared" si="59"/>
        <v>2.6153936145675424E-3</v>
      </c>
    </row>
    <row r="92" spans="1:33" x14ac:dyDescent="0.2">
      <c r="A92" s="184">
        <v>240</v>
      </c>
      <c r="B92" s="185">
        <v>7020</v>
      </c>
      <c r="G92" s="190" cm="1">
        <f t="array" ref="G92">_xlfn.IFS($AF$19=$AE$21,+G$17*$AE92*$AB92,$AF$19=$AF$21,+G$17*$AF92*$AB92,$AF$19=$AG$21,+G$17*$AG92*$AB92)</f>
        <v>-24693.368667878196</v>
      </c>
      <c r="H92" s="190" cm="1">
        <f t="array" ref="H92">_xlfn.IFS($AF$19=$AE$21,+H$17*$AE92*$AB92,$AF$19=$AF$21,+H$17*$AF92*$AB92,$AF$19=$AG$21,+H$17*$AG92*$AB92)</f>
        <v>-20442.402344952516</v>
      </c>
      <c r="I92" s="190" cm="1">
        <f t="array" ref="I92">_xlfn.IFS($AF$19=$AE$21,+I$17*$AE92*$AB92,$AF$19=$AF$21,+I$17*$AF92*$AB92,$AF$19=$AG$21,+I$17*$AG92*$AB92)</f>
        <v>-25288.992899666173</v>
      </c>
      <c r="J92" s="190" cm="1">
        <f t="array" ref="J92">_xlfn.IFS($AF$19=$AE$21,+J$17*$AE92*$AB92,$AF$19=$AF$21,+J$17*$AF92*$AB92,$AF$19=$AG$21,+J$17*$AG92*$AB92)</f>
        <v>-24936.979524300212</v>
      </c>
      <c r="K92" s="190" cm="1">
        <f t="array" ref="K92">_xlfn.IFS($AF$19=$AE$21,+K$17*$AE92*$AB92,$AF$19=$AF$21,+K$17*$AF92*$AB92,$AF$19=$AG$21,+K$17*$AG92*$AB92)</f>
        <v>-18086.711236334722</v>
      </c>
      <c r="L92" s="190" cm="1">
        <f t="array" ref="L92">_xlfn.IFS($AF$19=$AE$21,+L$17*$AE92*$AB92,$AF$19=$AF$21,+L$17*$AF92*$AB92,$AF$19=$AG$21,+L$17*$AG92*$AB92)</f>
        <v>-18718.844957764832</v>
      </c>
      <c r="M92" s="190" cm="1">
        <f t="array" ref="M92">_xlfn.IFS($AF$19=$AE$21,+M$17*$AE92*$AB92,$AF$19=$AF$21,+M$17*$AF92*$AB92,$AF$19=$AG$21,+M$17*$AG92*$AB92)</f>
        <v>-18806.932432803038</v>
      </c>
      <c r="N92" s="190" cm="1">
        <f t="array" ref="N92">_xlfn.IFS($AF$19=$AE$21,+N$17*$AE92*$AB92,$AF$19=$AF$21,+N$17*$AF92*$AB92,$AF$19=$AG$21,+N$17*$AG92*$AB92)</f>
        <v>-24646.119038945621</v>
      </c>
      <c r="O92" s="190" cm="1">
        <f t="array" ref="O92">_xlfn.IFS($AF$19=$AE$21,+O$17*$AE92*$AB92,$AF$19=$AF$21,+O$17*$AF92*$AB92,$AF$19=$AG$21,+O$17*$AG92*$AB92)</f>
        <v>-17488.029734588406</v>
      </c>
      <c r="P92" s="190" cm="1">
        <f t="array" ref="P92">_xlfn.IFS($AF$19=$AE$21,+P$17*$AE92*$AB92,$AF$19=$AF$21,+P$17*$AF92*$AB92,$AF$19=$AG$21,+P$17*$AG92*$AB92)</f>
        <v>-21675.223588159195</v>
      </c>
      <c r="Q92" s="190" cm="1">
        <f t="array" ref="Q92">_xlfn.IFS($AF$19=$AE$21,+Q$17*$AE92*$AB92,$AF$19=$AF$21,+Q$17*$AF92*$AB92,$AF$19=$AG$21,+Q$17*$AG92*$AB92)</f>
        <v>-22968.872742629108</v>
      </c>
      <c r="R92" s="190" cm="1">
        <f t="array" ref="R92">_xlfn.IFS($AF$19=$AE$21,+R$17*$AE92*$AB92,$AF$19=$AF$21,+R$17*$AF92*$AB92,$AF$19=$AG$21,+R$17*$AG92*$AB92)</f>
        <v>-23496.892805678057</v>
      </c>
      <c r="S92" s="190" cm="1">
        <f t="array" ref="S92">_xlfn.IFS($AF$19=$AE$21,+S$17*$AE92*$AB92,$AF$19=$AF$21,+S$17*$AF92*$AB92,$AF$19=$AG$21,+S$17*$AG92*$AB92)</f>
        <v>-21622.421581854302</v>
      </c>
      <c r="T92" s="190" cm="1">
        <f t="array" ref="T92">_xlfn.IFS($AF$19=$AE$21,+T$17*$AE92*$AB92,$AF$19=$AF$21,+T$17*$AF92*$AB92,$AF$19=$AG$21,+T$17*$AG92*$AB92)</f>
        <v>-21622.421581854302</v>
      </c>
      <c r="U92" s="190" cm="1">
        <f t="array" ref="U92">_xlfn.IFS($AF$19=$AE$21,+U$17*$AE92*$AB92,$AF$19=$AF$21,+U$17*$AF92*$AB92,$AF$19=$AG$21,+U$17*$AG92*$AB92)</f>
        <v>-24024.912868727002</v>
      </c>
      <c r="V92" s="190" cm="1">
        <f t="array" ref="V92">_xlfn.IFS($AF$19=$AE$21,+V$17*$AE92*$AB92,$AF$19=$AF$21,+V$17*$AF92*$AB92,$AF$19=$AG$21,+V$17*$AG92*$AB92)</f>
        <v>-24024.912868727002</v>
      </c>
      <c r="W92" s="190" cm="1">
        <f t="array" ref="W92">_xlfn.IFS($AF$19=$AE$21,+W$17*$AE92*$AB92,$AF$19=$AF$21,+W$17*$AF92*$AB92,$AF$19=$AG$21,+W$17*$AG92*$AB92)</f>
        <v>-21266.008039296259</v>
      </c>
      <c r="X92" s="190" cm="1">
        <f t="array" ref="X92">_xlfn.IFS($AF$19=$AE$21,+X$17*$AE92*$AB92,$AF$19=$AF$21,+X$17*$AF92*$AB92,$AF$19=$AG$21,+X$17*$AG92*$AB92)</f>
        <v>-21266.008039296259</v>
      </c>
      <c r="Y92" s="190" cm="1">
        <f t="array" ref="Y92">_xlfn.IFS($AF$19=$AE$21,+Y$17*$AE92*$AB92,$AF$19=$AF$21,+Y$17*$AF92*$AB92,$AF$19=$AG$21,+Y$17*$AG92*$AB92)</f>
        <v>-21979.679956513217</v>
      </c>
      <c r="Z92" s="190" cm="1">
        <f t="array" ref="Z92">_xlfn.IFS($AF$19=$AE$21,+Z$17*$AE92*$AB92,$AF$19=$AF$21,+Z$17*$AF92*$AB92,$AF$19=$AG$21,+Z$17*$AG92*$AB92)</f>
        <v>-25714.577070483625</v>
      </c>
      <c r="AB92" s="188">
        <f t="shared" si="58"/>
        <v>0.31986702136278533</v>
      </c>
      <c r="AC92" s="184" t="str">
        <f t="shared" si="56"/>
        <v>240-7020</v>
      </c>
      <c r="AD92" s="212">
        <v>30597.67</v>
      </c>
      <c r="AE92" s="218">
        <f>AE$30</f>
        <v>0.21951219512195122</v>
      </c>
      <c r="AF92" s="218">
        <f t="shared" ref="AF92:AG92" si="60">AF$30</f>
        <v>0.24199641829180513</v>
      </c>
      <c r="AG92" s="218">
        <f t="shared" si="60"/>
        <v>0.22009982389945629</v>
      </c>
    </row>
    <row r="93" spans="1:33" x14ac:dyDescent="0.2">
      <c r="A93" s="184">
        <v>340</v>
      </c>
      <c r="B93" s="185">
        <v>7020</v>
      </c>
      <c r="G93" s="190" cm="1">
        <f t="array" ref="G93">_xlfn.IFS($AF$19=$AE$21,+G$17*$AE93*$AB93,$AF$19=$AF$21,+G$17*$AF93*$AB93,$AF$19=$AG$21,+G$17*$AG93*$AB93)</f>
        <v>-14250.969495244015</v>
      </c>
      <c r="H93" s="190" cm="1">
        <f t="array" ref="H93">_xlfn.IFS($AF$19=$AE$21,+H$17*$AE93*$AB93,$AF$19=$AF$21,+H$17*$AF93*$AB93,$AF$19=$AG$21,+H$17*$AG93*$AB93)</f>
        <v>-11797.663419101877</v>
      </c>
      <c r="I93" s="190" cm="1">
        <f t="array" ref="I93">_xlfn.IFS($AF$19=$AE$21,+I$17*$AE93*$AB93,$AF$19=$AF$21,+I$17*$AF93*$AB93,$AF$19=$AG$21,+I$17*$AG93*$AB93)</f>
        <v>-14594.714525418061</v>
      </c>
      <c r="J93" s="190" cm="1">
        <f t="array" ref="J93">_xlfn.IFS($AF$19=$AE$21,+J$17*$AE93*$AB93,$AF$19=$AF$21,+J$17*$AF93*$AB93,$AF$19=$AG$21,+J$17*$AG93*$AB93)</f>
        <v>-14391.561527472346</v>
      </c>
      <c r="K93" s="190" cm="1">
        <f t="array" ref="K93">_xlfn.IFS($AF$19=$AE$21,+K$17*$AE93*$AB93,$AF$19=$AF$21,+K$17*$AF93*$AB93,$AF$19=$AG$21,+K$17*$AG93*$AB93)</f>
        <v>-10438.15339919926</v>
      </c>
      <c r="L93" s="190" cm="1">
        <f t="array" ref="L93">_xlfn.IFS($AF$19=$AE$21,+L$17*$AE93*$AB93,$AF$19=$AF$21,+L$17*$AF93*$AB93,$AF$19=$AG$21,+L$17*$AG93*$AB93)</f>
        <v>-10802.968686338843</v>
      </c>
      <c r="M93" s="190" cm="1">
        <f t="array" ref="M93">_xlfn.IFS($AF$19=$AE$21,+M$17*$AE93*$AB93,$AF$19=$AF$21,+M$17*$AF93*$AB93,$AF$19=$AG$21,+M$17*$AG93*$AB93)</f>
        <v>-10853.805489391782</v>
      </c>
      <c r="N93" s="190" cm="1">
        <f t="array" ref="N93">_xlfn.IFS($AF$19=$AE$21,+N$17*$AE93*$AB93,$AF$19=$AF$21,+N$17*$AF93*$AB93,$AF$19=$AG$21,+N$17*$AG93*$AB93)</f>
        <v>-14223.700918419356</v>
      </c>
      <c r="O93" s="190" cm="1">
        <f t="array" ref="O93">_xlfn.IFS($AF$19=$AE$21,+O$17*$AE93*$AB93,$AF$19=$AF$21,+O$17*$AF93*$AB93,$AF$19=$AG$21,+O$17*$AG93*$AB93)</f>
        <v>-10092.643965735369</v>
      </c>
      <c r="P93" s="190" cm="1">
        <f t="array" ref="P93">_xlfn.IFS($AF$19=$AE$21,+P$17*$AE93*$AB93,$AF$19=$AF$21,+P$17*$AF93*$AB93,$AF$19=$AG$21,+P$17*$AG93*$AB93)</f>
        <v>-12509.145848507358</v>
      </c>
      <c r="Q93" s="190" cm="1">
        <f t="array" ref="Q93">_xlfn.IFS($AF$19=$AE$21,+Q$17*$AE93*$AB93,$AF$19=$AF$21,+Q$17*$AF93*$AB93,$AF$19=$AG$21,+Q$17*$AG93*$AB93)</f>
        <v>-13255.733115957859</v>
      </c>
      <c r="R93" s="190" cm="1">
        <f t="array" ref="R93">_xlfn.IFS($AF$19=$AE$21,+R$17*$AE93*$AB93,$AF$19=$AF$21,+R$17*$AF93*$AB93,$AF$19=$AG$21,+R$17*$AG93*$AB93)</f>
        <v>-13560.462612876428</v>
      </c>
      <c r="S93" s="190" cm="1">
        <f t="array" ref="S93">_xlfn.IFS($AF$19=$AE$21,+S$17*$AE93*$AB93,$AF$19=$AF$21,+S$17*$AF93*$AB93,$AF$19=$AG$21,+S$17*$AG93*$AB93)</f>
        <v>-12478.672898815501</v>
      </c>
      <c r="T93" s="190" cm="1">
        <f t="array" ref="T93">_xlfn.IFS($AF$19=$AE$21,+T$17*$AE93*$AB93,$AF$19=$AF$21,+T$17*$AF93*$AB93,$AF$19=$AG$21,+T$17*$AG93*$AB93)</f>
        <v>-12478.672898815501</v>
      </c>
      <c r="U93" s="190" cm="1">
        <f t="array" ref="U93">_xlfn.IFS($AF$19=$AE$21,+U$17*$AE93*$AB93,$AF$19=$AF$21,+U$17*$AF93*$AB93,$AF$19=$AG$21,+U$17*$AG93*$AB93)</f>
        <v>-13865.192109795002</v>
      </c>
      <c r="V93" s="190" cm="1">
        <f t="array" ref="V93">_xlfn.IFS($AF$19=$AE$21,+V$17*$AE93*$AB93,$AF$19=$AF$21,+V$17*$AF93*$AB93,$AF$19=$AG$21,+V$17*$AG93*$AB93)</f>
        <v>-13865.192109795002</v>
      </c>
      <c r="W93" s="190" cm="1">
        <f t="array" ref="W93">_xlfn.IFS($AF$19=$AE$21,+W$17*$AE93*$AB93,$AF$19=$AF$21,+W$17*$AF93*$AB93,$AF$19=$AG$21,+W$17*$AG93*$AB93)</f>
        <v>-12272.980488395464</v>
      </c>
      <c r="X93" s="190" cm="1">
        <f t="array" ref="X93">_xlfn.IFS($AF$19=$AE$21,+X$17*$AE93*$AB93,$AF$19=$AF$21,+X$17*$AF93*$AB93,$AF$19=$AG$21,+X$17*$AG93*$AB93)</f>
        <v>-12272.980488395464</v>
      </c>
      <c r="Y93" s="190" cm="1">
        <f t="array" ref="Y93">_xlfn.IFS($AF$19=$AE$21,+Y$17*$AE93*$AB93,$AF$19=$AF$21,+Y$17*$AF93*$AB93,$AF$19=$AG$21,+Y$17*$AG93*$AB93)</f>
        <v>-12684.852876430605</v>
      </c>
      <c r="Z93" s="190" cm="1">
        <f t="array" ref="Z93">_xlfn.IFS($AF$19=$AE$21,+Z$17*$AE93*$AB93,$AF$19=$AF$21,+Z$17*$AF93*$AB93,$AF$19=$AG$21,+Z$17*$AG93*$AB93)</f>
        <v>-14840.32649993443</v>
      </c>
      <c r="AB93" s="188">
        <f t="shared" si="58"/>
        <v>0.22229963918812218</v>
      </c>
      <c r="AC93" s="184" t="str">
        <f t="shared" si="56"/>
        <v>340-7020</v>
      </c>
      <c r="AD93" s="212">
        <v>23274.77</v>
      </c>
      <c r="AE93" s="218">
        <f>AE$34</f>
        <v>0.17886178861788618</v>
      </c>
      <c r="AF93" s="218">
        <f t="shared" ref="AF93:AG93" si="61">AF$34</f>
        <v>0.17506593451295152</v>
      </c>
      <c r="AG93" s="218">
        <f t="shared" si="61"/>
        <v>0.182774024004416</v>
      </c>
    </row>
    <row r="94" spans="1:33" x14ac:dyDescent="0.2">
      <c r="A94" s="184">
        <v>440</v>
      </c>
      <c r="B94" s="185">
        <v>7020</v>
      </c>
      <c r="G94" s="190" cm="1">
        <f t="array" ref="G94">_xlfn.IFS($AF$19=$AE$21,+G$17*$AE94*$AB94,$AF$19=$AF$21,+G$17*$AF94*$AB94,$AF$19=$AG$21,+G$17*$AG94*$AB94)</f>
        <v>-16301.269488346981</v>
      </c>
      <c r="H94" s="190" cm="1">
        <f t="array" ref="H94">_xlfn.IFS($AF$19=$AE$21,+H$17*$AE94*$AB94,$AF$19=$AF$21,+H$17*$AF94*$AB94,$AF$19=$AG$21,+H$17*$AG94*$AB94)</f>
        <v>-13495.004027043549</v>
      </c>
      <c r="I94" s="190" cm="1">
        <f t="array" ref="I94">_xlfn.IFS($AF$19=$AE$21,+I$17*$AE94*$AB94,$AF$19=$AF$21,+I$17*$AF94*$AB94,$AF$19=$AG$21,+I$17*$AG94*$AB94)</f>
        <v>-16694.46942986795</v>
      </c>
      <c r="J94" s="190" cm="1">
        <f t="array" ref="J94">_xlfn.IFS($AF$19=$AE$21,+J$17*$AE94*$AB94,$AF$19=$AF$21,+J$17*$AF94*$AB94,$AF$19=$AG$21,+J$17*$AG94*$AB94)</f>
        <v>-16462.088624619308</v>
      </c>
      <c r="K94" s="190" cm="1">
        <f t="array" ref="K94">_xlfn.IFS($AF$19=$AE$21,+K$17*$AE94*$AB94,$AF$19=$AF$21,+K$17*$AF94*$AB94,$AF$19=$AG$21,+K$17*$AG94*$AB94)</f>
        <v>-11939.900059279351</v>
      </c>
      <c r="L94" s="190" cm="1">
        <f t="array" ref="L94">_xlfn.IFS($AF$19=$AE$21,+L$17*$AE94*$AB94,$AF$19=$AF$21,+L$17*$AF94*$AB94,$AF$19=$AG$21,+L$17*$AG94*$AB94)</f>
        <v>-12357.20165487365</v>
      </c>
      <c r="M94" s="190" cm="1">
        <f t="array" ref="M94">_xlfn.IFS($AF$19=$AE$21,+M$17*$AE94*$AB94,$AF$19=$AF$21,+M$17*$AF94*$AB94,$AF$19=$AG$21,+M$17*$AG94*$AB94)</f>
        <v>-12415.352395198266</v>
      </c>
      <c r="N94" s="190" cm="1">
        <f t="array" ref="N94">_xlfn.IFS($AF$19=$AE$21,+N$17*$AE94*$AB94,$AF$19=$AF$21,+N$17*$AF94*$AB94,$AF$19=$AG$21,+N$17*$AG94*$AB94)</f>
        <v>-16270.077756477031</v>
      </c>
      <c r="O94" s="190" cm="1">
        <f t="array" ref="O94">_xlfn.IFS($AF$19=$AE$21,+O$17*$AE94*$AB94,$AF$19=$AF$21,+O$17*$AF94*$AB94,$AF$19=$AG$21,+O$17*$AG94*$AB94)</f>
        <v>-11544.681868156238</v>
      </c>
      <c r="P94" s="190" cm="1">
        <f t="array" ref="P94">_xlfn.IFS($AF$19=$AE$21,+P$17*$AE94*$AB94,$AF$19=$AF$21,+P$17*$AF94*$AB94,$AF$19=$AG$21,+P$17*$AG94*$AB94)</f>
        <v>-14308.848083185354</v>
      </c>
      <c r="Q94" s="190" cm="1">
        <f t="array" ref="Q94">_xlfn.IFS($AF$19=$AE$21,+Q$17*$AE94*$AB94,$AF$19=$AF$21,+Q$17*$AF94*$AB94,$AF$19=$AG$21,+Q$17*$AG94*$AB94)</f>
        <v>-15162.84754247413</v>
      </c>
      <c r="R94" s="190" cm="1">
        <f t="array" ref="R94">_xlfn.IFS($AF$19=$AE$21,+R$17*$AE94*$AB94,$AF$19=$AF$21,+R$17*$AF94*$AB94,$AF$19=$AG$21,+R$17*$AG94*$AB94)</f>
        <v>-15511.418750347097</v>
      </c>
      <c r="S94" s="190" cm="1">
        <f t="array" ref="S94">_xlfn.IFS($AF$19=$AE$21,+S$17*$AE94*$AB94,$AF$19=$AF$21,+S$17*$AF94*$AB94,$AF$19=$AG$21,+S$17*$AG94*$AB94)</f>
        <v>-14273.990962398058</v>
      </c>
      <c r="T94" s="190" cm="1">
        <f t="array" ref="T94">_xlfn.IFS($AF$19=$AE$21,+T$17*$AE94*$AB94,$AF$19=$AF$21,+T$17*$AF94*$AB94,$AF$19=$AG$21,+T$17*$AG94*$AB94)</f>
        <v>-14273.990962398058</v>
      </c>
      <c r="U94" s="190" cm="1">
        <f t="array" ref="U94">_xlfn.IFS($AF$19=$AE$21,+U$17*$AE94*$AB94,$AF$19=$AF$21,+U$17*$AF94*$AB94,$AF$19=$AG$21,+U$17*$AG94*$AB94)</f>
        <v>-15859.989958220065</v>
      </c>
      <c r="V94" s="190" cm="1">
        <f t="array" ref="V94">_xlfn.IFS($AF$19=$AE$21,+V$17*$AE94*$AB94,$AF$19=$AF$21,+V$17*$AF94*$AB94,$AF$19=$AG$21,+V$17*$AG94*$AB94)</f>
        <v>-15859.989958220065</v>
      </c>
      <c r="W94" s="190" cm="1">
        <f t="array" ref="W94">_xlfn.IFS($AF$19=$AE$21,+W$17*$AE94*$AB94,$AF$19=$AF$21,+W$17*$AF94*$AB94,$AF$19=$AG$21,+W$17*$AG94*$AB94)</f>
        <v>-14038.705397083804</v>
      </c>
      <c r="X94" s="190" cm="1">
        <f t="array" ref="X94">_xlfn.IFS($AF$19=$AE$21,+X$17*$AE94*$AB94,$AF$19=$AF$21,+X$17*$AF94*$AB94,$AF$19=$AG$21,+X$17*$AG94*$AB94)</f>
        <v>-14038.705397083804</v>
      </c>
      <c r="Y94" s="190" cm="1">
        <f t="array" ref="Y94">_xlfn.IFS($AF$19=$AE$21,+Y$17*$AE94*$AB94,$AF$19=$AF$21,+Y$17*$AF94*$AB94,$AF$19=$AG$21,+Y$17*$AG94*$AB94)</f>
        <v>-14509.834241644909</v>
      </c>
      <c r="Z94" s="190" cm="1">
        <f t="array" ref="Z94">_xlfn.IFS($AF$19=$AE$21,+Z$17*$AE94*$AB94,$AF$19=$AF$21,+Z$17*$AF94*$AB94,$AF$19=$AG$21,+Z$17*$AG94*$AB94)</f>
        <v>-16975.417823413565</v>
      </c>
      <c r="AB94" s="188">
        <f t="shared" si="58"/>
        <v>0.2277072568225546</v>
      </c>
      <c r="AC94" s="184" t="str">
        <f t="shared" si="56"/>
        <v>440-7020</v>
      </c>
      <c r="AD94" s="212">
        <v>22830.87</v>
      </c>
      <c r="AE94" s="218">
        <f>AE$38</f>
        <v>0.17886178861788618</v>
      </c>
      <c r="AF94" s="218">
        <f t="shared" ref="AF94:AG94" si="62">AF$38</f>
        <v>0.1597432636977863</v>
      </c>
      <c r="AG94" s="218">
        <f t="shared" si="62"/>
        <v>0.20410487438240318</v>
      </c>
    </row>
    <row r="95" spans="1:33" x14ac:dyDescent="0.2">
      <c r="A95" s="184">
        <v>140</v>
      </c>
      <c r="B95" s="185">
        <v>7060</v>
      </c>
      <c r="G95" s="190" cm="1">
        <f t="array" ref="G95">_xlfn.IFS($AF$19=$AE$21,+G$17*$AE95*$AB95,$AF$19=$AF$21,+G$17*$AF95*$AB95,$AF$19=$AG$21,+G$17*$AG95*$AB95)</f>
        <v>-89407.07712350956</v>
      </c>
      <c r="H95" s="190" cm="1">
        <f t="array" ref="H95">_xlfn.IFS($AF$19=$AE$21,+H$17*$AE95*$AB95,$AF$19=$AF$21,+H$17*$AF95*$AB95,$AF$19=$AG$21,+H$17*$AG95*$AB95)</f>
        <v>-74015.638272249926</v>
      </c>
      <c r="I95" s="190" cm="1">
        <f t="array" ref="I95">_xlfn.IFS($AF$19=$AE$21,+I$17*$AE95*$AB95,$AF$19=$AF$21,+I$17*$AF95*$AB95,$AF$19=$AG$21,+I$17*$AG95*$AB95)</f>
        <v>-91563.648887546442</v>
      </c>
      <c r="J95" s="190" cm="1">
        <f t="array" ref="J95">_xlfn.IFS($AF$19=$AE$21,+J$17*$AE95*$AB95,$AF$19=$AF$21,+J$17*$AF95*$AB95,$AF$19=$AG$21,+J$17*$AG95*$AB95)</f>
        <v>-90289.11695052516</v>
      </c>
      <c r="K95" s="190" cm="1">
        <f t="array" ref="K95">_xlfn.IFS($AF$19=$AE$21,+K$17*$AE95*$AB95,$AF$19=$AF$21,+K$17*$AF95*$AB95,$AF$19=$AG$21,+K$17*$AG95*$AB95)</f>
        <v>-65486.406823106612</v>
      </c>
      <c r="L95" s="190" cm="1">
        <f t="array" ref="L95">_xlfn.IFS($AF$19=$AE$21,+L$17*$AE95*$AB95,$AF$19=$AF$21,+L$17*$AF95*$AB95,$AF$19=$AG$21,+L$17*$AG95*$AB95)</f>
        <v>-67775.168196429964</v>
      </c>
      <c r="M95" s="190" cm="1">
        <f t="array" ref="M95">_xlfn.IFS($AF$19=$AE$21,+M$17*$AE95*$AB95,$AF$19=$AF$21,+M$17*$AF95*$AB95,$AF$19=$AG$21,+M$17*$AG95*$AB95)</f>
        <v>-68094.105793818249</v>
      </c>
      <c r="N95" s="190" cm="1">
        <f t="array" ref="N95">_xlfn.IFS($AF$19=$AE$21,+N$17*$AE95*$AB95,$AF$19=$AF$21,+N$17*$AF95*$AB95,$AF$19=$AG$21,+N$17*$AG95*$AB95)</f>
        <v>-89236.000780105387</v>
      </c>
      <c r="O95" s="190" cm="1">
        <f t="array" ref="O95">_xlfn.IFS($AF$19=$AE$21,+O$17*$AE95*$AB95,$AF$19=$AF$21,+O$17*$AF95*$AB95,$AF$19=$AG$21,+O$17*$AG95*$AB95)</f>
        <v>-63318.765626841647</v>
      </c>
      <c r="P95" s="190" cm="1">
        <f t="array" ref="P95">_xlfn.IFS($AF$19=$AE$21,+P$17*$AE95*$AB95,$AF$19=$AF$21,+P$17*$AF95*$AB95,$AF$19=$AG$21,+P$17*$AG95*$AB95)</f>
        <v>-78479.304022085882</v>
      </c>
      <c r="Q95" s="190" cm="1">
        <f t="array" ref="Q95">_xlfn.IFS($AF$19=$AE$21,+Q$17*$AE95*$AB95,$AF$19=$AF$21,+Q$17*$AF95*$AB95,$AF$19=$AG$21,+Q$17*$AG95*$AB95)</f>
        <v>-83163.208890639129</v>
      </c>
      <c r="R95" s="190" cm="1">
        <f t="array" ref="R95">_xlfn.IFS($AF$19=$AE$21,+R$17*$AE95*$AB95,$AF$19=$AF$21,+R$17*$AF95*$AB95,$AF$19=$AG$21,+R$17*$AG95*$AB95)</f>
        <v>-85075.006796171059</v>
      </c>
      <c r="S95" s="190" cm="1">
        <f t="array" ref="S95">_xlfn.IFS($AF$19=$AE$21,+S$17*$AE95*$AB95,$AF$19=$AF$21,+S$17*$AF95*$AB95,$AF$19=$AG$21,+S$17*$AG95*$AB95)</f>
        <v>-78288.124231532696</v>
      </c>
      <c r="T95" s="190" cm="1">
        <f t="array" ref="T95">_xlfn.IFS($AF$19=$AE$21,+T$17*$AE95*$AB95,$AF$19=$AF$21,+T$17*$AF95*$AB95,$AF$19=$AG$21,+T$17*$AG95*$AB95)</f>
        <v>-78288.124231532696</v>
      </c>
      <c r="U95" s="190" cm="1">
        <f t="array" ref="U95">_xlfn.IFS($AF$19=$AE$21,+U$17*$AE95*$AB95,$AF$19=$AF$21,+U$17*$AF95*$AB95,$AF$19=$AG$21,+U$17*$AG95*$AB95)</f>
        <v>-86986.804701702989</v>
      </c>
      <c r="V95" s="190" cm="1">
        <f t="array" ref="V95">_xlfn.IFS($AF$19=$AE$21,+V$17*$AE95*$AB95,$AF$19=$AF$21,+V$17*$AF95*$AB95,$AF$19=$AG$21,+V$17*$AG95*$AB95)</f>
        <v>-86986.804701702989</v>
      </c>
      <c r="W95" s="190" cm="1">
        <f t="array" ref="W95">_xlfn.IFS($AF$19=$AE$21,+W$17*$AE95*$AB95,$AF$19=$AF$21,+W$17*$AF95*$AB95,$AF$19=$AG$21,+W$17*$AG95*$AB95)</f>
        <v>-76997.660645298631</v>
      </c>
      <c r="X95" s="190" cm="1">
        <f t="array" ref="X95">_xlfn.IFS($AF$19=$AE$21,+X$17*$AE95*$AB95,$AF$19=$AF$21,+X$17*$AF95*$AB95,$AF$19=$AG$21,+X$17*$AG95*$AB95)</f>
        <v>-76997.660645298631</v>
      </c>
      <c r="Y95" s="190" cm="1">
        <f t="array" ref="Y95">_xlfn.IFS($AF$19=$AE$21,+Y$17*$AE95*$AB95,$AF$19=$AF$21,+Y$17*$AF95*$AB95,$AF$19=$AG$21,+Y$17*$AG95*$AB95)</f>
        <v>-79581.646694415598</v>
      </c>
      <c r="Z95" s="190" cm="1">
        <f t="array" ref="Z95">_xlfn.IFS($AF$19=$AE$21,+Z$17*$AE95*$AB95,$AF$19=$AF$21,+Z$17*$AF95*$AB95,$AF$19=$AG$21,+Z$17*$AG95*$AB95)</f>
        <v>-93104.55799940518</v>
      </c>
      <c r="AB95" s="188">
        <f>AD95/(AD90+AD95)</f>
        <v>0.65292660225253063</v>
      </c>
      <c r="AC95" s="184" t="str">
        <f t="shared" si="56"/>
        <v>140-7060</v>
      </c>
      <c r="AD95" s="212">
        <v>84656.4</v>
      </c>
      <c r="AE95" s="218">
        <f>AE$22</f>
        <v>0.42276422764227645</v>
      </c>
      <c r="AF95" s="218">
        <f t="shared" ref="AF95:AG95" si="63">AF$22</f>
        <v>0.42266035890737208</v>
      </c>
      <c r="AG95" s="218">
        <f t="shared" si="63"/>
        <v>0.390405884099157</v>
      </c>
    </row>
    <row r="96" spans="1:33" x14ac:dyDescent="0.2">
      <c r="A96" s="184">
        <v>147</v>
      </c>
      <c r="B96" s="185">
        <v>7060</v>
      </c>
      <c r="G96" s="190" cm="1">
        <f t="array" ref="G96">_xlfn.IFS($AF$19=$AE$21,+G$17*$AE96*$AB96,$AF$19=$AF$21,+G$17*$AF96*$AB96,$AF$19=$AG$21,+G$17*$AG96*$AB96)</f>
        <v>-494.10758402431787</v>
      </c>
      <c r="H96" s="190" cm="1">
        <f t="array" ref="H96">_xlfn.IFS($AF$19=$AE$21,+H$17*$AE96*$AB96,$AF$19=$AF$21,+H$17*$AF96*$AB96,$AF$19=$AG$21,+H$17*$AG96*$AB96)</f>
        <v>-409.04690527124649</v>
      </c>
      <c r="I96" s="190" cm="1">
        <f t="array" ref="I96">_xlfn.IFS($AF$19=$AE$21,+I$17*$AE96*$AB96,$AF$19=$AF$21,+I$17*$AF96*$AB96,$AF$19=$AG$21,+I$17*$AG96*$AB96)</f>
        <v>-506.0258627376607</v>
      </c>
      <c r="J96" s="190" cm="1">
        <f t="array" ref="J96">_xlfn.IFS($AF$19=$AE$21,+J$17*$AE96*$AB96,$AF$19=$AF$21,+J$17*$AF96*$AB96,$AF$19=$AG$21,+J$17*$AG96*$AB96)</f>
        <v>-498.98217093579734</v>
      </c>
      <c r="K96" s="190" cm="1">
        <f t="array" ref="K96">_xlfn.IFS($AF$19=$AE$21,+K$17*$AE96*$AB96,$AF$19=$AF$21,+K$17*$AF96*$AB96,$AF$19=$AG$21,+K$17*$AG96*$AB96)</f>
        <v>-361.91016754858731</v>
      </c>
      <c r="L96" s="190" cm="1">
        <f t="array" ref="L96">_xlfn.IFS($AF$19=$AE$21,+L$17*$AE96*$AB96,$AF$19=$AF$21,+L$17*$AF96*$AB96,$AF$19=$AG$21,+L$17*$AG96*$AB96)</f>
        <v>-374.55899120959049</v>
      </c>
      <c r="M96" s="190" cm="1">
        <f t="array" ref="M96">_xlfn.IFS($AF$19=$AE$21,+M$17*$AE96*$AB96,$AF$19=$AF$21,+M$17*$AF96*$AB96,$AF$19=$AG$21,+M$17*$AG96*$AB96)</f>
        <v>-376.32159760239693</v>
      </c>
      <c r="N96" s="190" cm="1">
        <f t="array" ref="N96">_xlfn.IFS($AF$19=$AE$21,+N$17*$AE96*$AB96,$AF$19=$AF$21,+N$17*$AF96*$AB96,$AF$19=$AG$21,+N$17*$AG96*$AB96)</f>
        <v>-493.16213181356756</v>
      </c>
      <c r="O96" s="190" cm="1">
        <f t="array" ref="O96">_xlfn.IFS($AF$19=$AE$21,+O$17*$AE96*$AB96,$AF$19=$AF$21,+O$17*$AF96*$AB96,$AF$19=$AG$21,+O$17*$AG96*$AB96)</f>
        <v>-349.93071369575097</v>
      </c>
      <c r="P96" s="190" cm="1">
        <f t="array" ref="P96">_xlfn.IFS($AF$19=$AE$21,+P$17*$AE96*$AB96,$AF$19=$AF$21,+P$17*$AF96*$AB96,$AF$19=$AG$21,+P$17*$AG96*$AB96)</f>
        <v>-433.71532269973216</v>
      </c>
      <c r="Q96" s="190" cm="1">
        <f t="array" ref="Q96">_xlfn.IFS($AF$19=$AE$21,+Q$17*$AE96*$AB96,$AF$19=$AF$21,+Q$17*$AF96*$AB96,$AF$19=$AG$21,+Q$17*$AG96*$AB96)</f>
        <v>-459.60089007157973</v>
      </c>
      <c r="R96" s="190" cm="1">
        <f t="array" ref="R96">_xlfn.IFS($AF$19=$AE$21,+R$17*$AE96*$AB96,$AF$19=$AF$21,+R$17*$AF96*$AB96,$AF$19=$AG$21,+R$17*$AG96*$AB96)</f>
        <v>-470.16642777437465</v>
      </c>
      <c r="S96" s="190" cm="1">
        <f t="array" ref="S96">_xlfn.IFS($AF$19=$AE$21,+S$17*$AE96*$AB96,$AF$19=$AF$21,+S$17*$AF96*$AB96,$AF$19=$AG$21,+S$17*$AG96*$AB96)</f>
        <v>-432.65876892945261</v>
      </c>
      <c r="T96" s="190" cm="1">
        <f t="array" ref="T96">_xlfn.IFS($AF$19=$AE$21,+T$17*$AE96*$AB96,$AF$19=$AF$21,+T$17*$AF96*$AB96,$AF$19=$AG$21,+T$17*$AG96*$AB96)</f>
        <v>-432.65876892945261</v>
      </c>
      <c r="U96" s="190" cm="1">
        <f t="array" ref="U96">_xlfn.IFS($AF$19=$AE$21,+U$17*$AE96*$AB96,$AF$19=$AF$21,+U$17*$AF96*$AB96,$AF$19=$AG$21,+U$17*$AG96*$AB96)</f>
        <v>-480.73196547716964</v>
      </c>
      <c r="V96" s="190" cm="1">
        <f t="array" ref="V96">_xlfn.IFS($AF$19=$AE$21,+V$17*$AE96*$AB96,$AF$19=$AF$21,+V$17*$AF96*$AB96,$AF$19=$AG$21,+V$17*$AG96*$AB96)</f>
        <v>-480.73196547716964</v>
      </c>
      <c r="W96" s="190" cm="1">
        <f t="array" ref="W96">_xlfn.IFS($AF$19=$AE$21,+W$17*$AE96*$AB96,$AF$19=$AF$21,+W$17*$AF96*$AB96,$AF$19=$AG$21,+W$17*$AG96*$AB96)</f>
        <v>-425.52703098006606</v>
      </c>
      <c r="X96" s="190" cm="1">
        <f t="array" ref="X96">_xlfn.IFS($AF$19=$AE$21,+X$17*$AE96*$AB96,$AF$19=$AF$21,+X$17*$AF96*$AB96,$AF$19=$AG$21,+X$17*$AG96*$AB96)</f>
        <v>-425.52703098006606</v>
      </c>
      <c r="Y96" s="190" cm="1">
        <f t="array" ref="Y96">_xlfn.IFS($AF$19=$AE$21,+Y$17*$AE96*$AB96,$AF$19=$AF$21,+Y$17*$AF96*$AB96,$AF$19=$AG$21,+Y$17*$AG96*$AB96)</f>
        <v>-439.80741173916368</v>
      </c>
      <c r="Z96" s="190" cm="1">
        <f t="array" ref="Z96">_xlfn.IFS($AF$19=$AE$21,+Z$17*$AE96*$AB96,$AF$19=$AF$21,+Z$17*$AF96*$AB96,$AF$19=$AG$21,+Z$17*$AG96*$AB96)</f>
        <v>-514.5416861261134</v>
      </c>
      <c r="AB96" s="188">
        <f t="shared" ref="AB96:AB99" si="64">AD96/(AD91+AD96)</f>
        <v>0.53863340207228971</v>
      </c>
      <c r="AC96" s="184" t="str">
        <f t="shared" si="56"/>
        <v>147-7060</v>
      </c>
      <c r="AD96" s="212">
        <v>17030.080000000002</v>
      </c>
      <c r="AE96" s="218">
        <f>AE$26</f>
        <v>0</v>
      </c>
      <c r="AF96" s="218">
        <f t="shared" ref="AF96:AG96" si="65">AF$26</f>
        <v>5.3402459008496063E-4</v>
      </c>
      <c r="AG96" s="218">
        <f t="shared" si="65"/>
        <v>2.6153936145675424E-3</v>
      </c>
    </row>
    <row r="97" spans="1:33" x14ac:dyDescent="0.2">
      <c r="A97" s="184">
        <v>240</v>
      </c>
      <c r="B97" s="185">
        <v>7060</v>
      </c>
      <c r="G97" s="190" cm="1">
        <f t="array" ref="G97">_xlfn.IFS($AF$19=$AE$21,+G$17*$AE97*$AB97,$AF$19=$AF$21,+G$17*$AF97*$AB97,$AF$19=$AG$21,+G$17*$AG97*$AB97)</f>
        <v>-52505.489040780623</v>
      </c>
      <c r="H97" s="190" cm="1">
        <f t="array" ref="H97">_xlfn.IFS($AF$19=$AE$21,+H$17*$AE97*$AB97,$AF$19=$AF$21,+H$17*$AF97*$AB97,$AF$19=$AG$21,+H$17*$AG97*$AB97)</f>
        <v>-43466.662921789204</v>
      </c>
      <c r="I97" s="190" cm="1">
        <f t="array" ref="I97">_xlfn.IFS($AF$19=$AE$21,+I$17*$AE97*$AB97,$AF$19=$AF$21,+I$17*$AF97*$AB97,$AF$19=$AG$21,+I$17*$AG97*$AB97)</f>
        <v>-53771.964344138018</v>
      </c>
      <c r="J97" s="190" cm="1">
        <f t="array" ref="J97">_xlfn.IFS($AF$19=$AE$21,+J$17*$AE97*$AB97,$AF$19=$AF$21,+J$17*$AF97*$AB97,$AF$19=$AG$21,+J$17*$AG97*$AB97)</f>
        <v>-53023.478600006703</v>
      </c>
      <c r="K97" s="190" cm="1">
        <f t="array" ref="K97">_xlfn.IFS($AF$19=$AE$21,+K$17*$AE97*$AB97,$AF$19=$AF$21,+K$17*$AF97*$AB97,$AF$19=$AG$21,+K$17*$AG97*$AB97)</f>
        <v>-38457.758897775224</v>
      </c>
      <c r="L97" s="190" cm="1">
        <f t="array" ref="L97">_xlfn.IFS($AF$19=$AE$21,+L$17*$AE97*$AB97,$AF$19=$AF$21,+L$17*$AF97*$AB97,$AF$19=$AG$21,+L$17*$AG97*$AB97)</f>
        <v>-39801.86429826809</v>
      </c>
      <c r="M97" s="190" cm="1">
        <f t="array" ref="M97">_xlfn.IFS($AF$19=$AE$21,+M$17*$AE97*$AB97,$AF$19=$AF$21,+M$17*$AF97*$AB97,$AF$19=$AG$21,+M$17*$AG97*$AB97)</f>
        <v>-39989.164622393771</v>
      </c>
      <c r="N97" s="190" cm="1">
        <f t="array" ref="N97">_xlfn.IFS($AF$19=$AE$21,+N$17*$AE97*$AB97,$AF$19=$AF$21,+N$17*$AF97*$AB97,$AF$19=$AG$21,+N$17*$AG97*$AB97)</f>
        <v>-52405.022194500249</v>
      </c>
      <c r="O97" s="190" cm="1">
        <f t="array" ref="O97">_xlfn.IFS($AF$19=$AE$21,+O$17*$AE97*$AB97,$AF$19=$AF$21,+O$17*$AF97*$AB97,$AF$19=$AG$21,+O$17*$AG97*$AB97)</f>
        <v>-37184.782923875413</v>
      </c>
      <c r="P97" s="190" cm="1">
        <f t="array" ref="P97">_xlfn.IFS($AF$19=$AE$21,+P$17*$AE97*$AB97,$AF$19=$AF$21,+P$17*$AF97*$AB97,$AF$19=$AG$21,+P$17*$AG97*$AB97)</f>
        <v>-46088.009694885914</v>
      </c>
      <c r="Q97" s="190" cm="1">
        <f t="array" ref="Q97">_xlfn.IFS($AF$19=$AE$21,+Q$17*$AE97*$AB97,$AF$19=$AF$21,+Q$17*$AF97*$AB97,$AF$19=$AG$21,+Q$17*$AG97*$AB97)</f>
        <v>-48838.694804568506</v>
      </c>
      <c r="R97" s="190" cm="1">
        <f t="array" ref="R97">_xlfn.IFS($AF$19=$AE$21,+R$17*$AE97*$AB97,$AF$19=$AF$21,+R$17*$AF97*$AB97,$AF$19=$AG$21,+R$17*$AG97*$AB97)</f>
        <v>-49961.423420765481</v>
      </c>
      <c r="S97" s="190" cm="1">
        <f t="array" ref="S97">_xlfn.IFS($AF$19=$AE$21,+S$17*$AE97*$AB97,$AF$19=$AF$21,+S$17*$AF97*$AB97,$AF$19=$AG$21,+S$17*$AG97*$AB97)</f>
        <v>-45975.736833266215</v>
      </c>
      <c r="T97" s="190" cm="1">
        <f t="array" ref="T97">_xlfn.IFS($AF$19=$AE$21,+T$17*$AE97*$AB97,$AF$19=$AF$21,+T$17*$AF97*$AB97,$AF$19=$AG$21,+T$17*$AG97*$AB97)</f>
        <v>-45975.736833266215</v>
      </c>
      <c r="U97" s="190" cm="1">
        <f t="array" ref="U97">_xlfn.IFS($AF$19=$AE$21,+U$17*$AE97*$AB97,$AF$19=$AF$21,+U$17*$AF97*$AB97,$AF$19=$AG$21,+U$17*$AG97*$AB97)</f>
        <v>-51084.152036962463</v>
      </c>
      <c r="V97" s="190" cm="1">
        <f t="array" ref="V97">_xlfn.IFS($AF$19=$AE$21,+V$17*$AE97*$AB97,$AF$19=$AF$21,+V$17*$AF97*$AB97,$AF$19=$AG$21,+V$17*$AG97*$AB97)</f>
        <v>-51084.152036962463</v>
      </c>
      <c r="W97" s="190" cm="1">
        <f t="array" ref="W97">_xlfn.IFS($AF$19=$AE$21,+W$17*$AE97*$AB97,$AF$19=$AF$21,+W$17*$AF97*$AB97,$AF$19=$AG$21,+W$17*$AG97*$AB97)</f>
        <v>-45217.895017333249</v>
      </c>
      <c r="X97" s="190" cm="1">
        <f t="array" ref="X97">_xlfn.IFS($AF$19=$AE$21,+X$17*$AE97*$AB97,$AF$19=$AF$21,+X$17*$AF97*$AB97,$AF$19=$AG$21,+X$17*$AG97*$AB97)</f>
        <v>-45217.895017333249</v>
      </c>
      <c r="Y97" s="190" cm="1">
        <f t="array" ref="Y97">_xlfn.IFS($AF$19=$AE$21,+Y$17*$AE97*$AB97,$AF$19=$AF$21,+Y$17*$AF97*$AB97,$AF$19=$AG$21,+Y$17*$AG97*$AB97)</f>
        <v>-46735.375014985089</v>
      </c>
      <c r="Z97" s="190" cm="1">
        <f t="array" ref="Z97">_xlfn.IFS($AF$19=$AE$21,+Z$17*$AE97*$AB97,$AF$19=$AF$21,+Z$17*$AF97*$AB97,$AF$19=$AG$21,+Z$17*$AG97*$AB97)</f>
        <v>-54676.883608792785</v>
      </c>
      <c r="AB97" s="188">
        <f t="shared" si="64"/>
        <v>0.68013297863721467</v>
      </c>
      <c r="AC97" s="184" t="str">
        <f t="shared" si="56"/>
        <v>240-7060</v>
      </c>
      <c r="AD97" s="212">
        <v>65059.8</v>
      </c>
      <c r="AE97" s="218">
        <f>AE$30</f>
        <v>0.21951219512195122</v>
      </c>
      <c r="AF97" s="218">
        <f t="shared" ref="AF97:AG97" si="66">AF$30</f>
        <v>0.24199641829180513</v>
      </c>
      <c r="AG97" s="218">
        <f t="shared" si="66"/>
        <v>0.22009982389945629</v>
      </c>
    </row>
    <row r="98" spans="1:33" x14ac:dyDescent="0.2">
      <c r="A98" s="184">
        <v>340</v>
      </c>
      <c r="B98" s="185">
        <v>7060</v>
      </c>
      <c r="G98" s="190" cm="1">
        <f t="array" ref="G98">_xlfn.IFS($AF$19=$AE$21,+G$17*$AE98*$AB98,$AF$19=$AF$21,+G$17*$AF98*$AB98,$AF$19=$AG$21,+G$17*$AG98*$AB98)</f>
        <v>-49856.05986067887</v>
      </c>
      <c r="H98" s="190" cm="1">
        <f t="array" ref="H98">_xlfn.IFS($AF$19=$AE$21,+H$17*$AE98*$AB98,$AF$19=$AF$21,+H$17*$AF98*$AB98,$AF$19=$AG$21,+H$17*$AG98*$AB98)</f>
        <v>-41273.333286916364</v>
      </c>
      <c r="I98" s="190" cm="1">
        <f t="array" ref="I98">_xlfn.IFS($AF$19=$AE$21,+I$17*$AE98*$AB98,$AF$19=$AF$21,+I$17*$AF98*$AB98,$AF$19=$AG$21,+I$17*$AG98*$AB98)</f>
        <v>-51058.628767088187</v>
      </c>
      <c r="J98" s="190" cm="1">
        <f t="array" ref="J98">_xlfn.IFS($AF$19=$AE$21,+J$17*$AE98*$AB98,$AF$19=$AF$21,+J$17*$AF98*$AB98,$AF$19=$AG$21,+J$17*$AG98*$AB98)</f>
        <v>-50347.911645011816</v>
      </c>
      <c r="K98" s="190" cm="1">
        <f t="array" ref="K98">_xlfn.IFS($AF$19=$AE$21,+K$17*$AE98*$AB98,$AF$19=$AF$21,+K$17*$AF98*$AB98,$AF$19=$AG$21,+K$17*$AG98*$AB98)</f>
        <v>-36517.178770125225</v>
      </c>
      <c r="L98" s="190" cm="1">
        <f t="array" ref="L98">_xlfn.IFS($AF$19=$AE$21,+L$17*$AE98*$AB98,$AF$19=$AF$21,+L$17*$AF98*$AB98,$AF$19=$AG$21,+L$17*$AG98*$AB98)</f>
        <v>-37793.460555711237</v>
      </c>
      <c r="M98" s="190" cm="1">
        <f t="array" ref="M98">_xlfn.IFS($AF$19=$AE$21,+M$17*$AE98*$AB98,$AF$19=$AF$21,+M$17*$AF98*$AB98,$AF$19=$AG$21,+M$17*$AG98*$AB98)</f>
        <v>-37971.309697622506</v>
      </c>
      <c r="N98" s="190" cm="1">
        <f t="array" ref="N98">_xlfn.IFS($AF$19=$AE$21,+N$17*$AE98*$AB98,$AF$19=$AF$21,+N$17*$AF98*$AB98,$AF$19=$AG$21,+N$17*$AG98*$AB98)</f>
        <v>-49760.66257567735</v>
      </c>
      <c r="O98" s="190" cm="1">
        <f t="array" ref="O98">_xlfn.IFS($AF$19=$AE$21,+O$17*$AE98*$AB98,$AF$19=$AF$21,+O$17*$AF98*$AB98,$AF$19=$AG$21,+O$17*$AG98*$AB98)</f>
        <v>-35308.43721728184</v>
      </c>
      <c r="P98" s="190" cm="1">
        <f t="array" ref="P98">_xlfn.IFS($AF$19=$AE$21,+P$17*$AE98*$AB98,$AF$19=$AF$21,+P$17*$AF98*$AB98,$AF$19=$AG$21,+P$17*$AG98*$AB98)</f>
        <v>-43762.40679185222</v>
      </c>
      <c r="Q98" s="190" cm="1">
        <f t="array" ref="Q98">_xlfn.IFS($AF$19=$AE$21,+Q$17*$AE98*$AB98,$AF$19=$AF$21,+Q$17*$AF98*$AB98,$AF$19=$AG$21,+Q$17*$AG98*$AB98)</f>
        <v>-46374.292215482863</v>
      </c>
      <c r="R98" s="190" cm="1">
        <f t="array" ref="R98">_xlfn.IFS($AF$19=$AE$21,+R$17*$AE98*$AB98,$AF$19=$AF$21,+R$17*$AF98*$AB98,$AF$19=$AG$21,+R$17*$AG98*$AB98)</f>
        <v>-47440.367898597404</v>
      </c>
      <c r="S98" s="190" cm="1">
        <f t="array" ref="S98">_xlfn.IFS($AF$19=$AE$21,+S$17*$AE98*$AB98,$AF$19=$AF$21,+S$17*$AF98*$AB98,$AF$19=$AG$21,+S$17*$AG98*$AB98)</f>
        <v>-43655.799223540766</v>
      </c>
      <c r="T98" s="190" cm="1">
        <f t="array" ref="T98">_xlfn.IFS($AF$19=$AE$21,+T$17*$AE98*$AB98,$AF$19=$AF$21,+T$17*$AF98*$AB98,$AF$19=$AG$21,+T$17*$AG98*$AB98)</f>
        <v>-43655.799223540766</v>
      </c>
      <c r="U98" s="190" cm="1">
        <f t="array" ref="U98">_xlfn.IFS($AF$19=$AE$21,+U$17*$AE98*$AB98,$AF$19=$AF$21,+U$17*$AF98*$AB98,$AF$19=$AG$21,+U$17*$AG98*$AB98)</f>
        <v>-48506.443581711959</v>
      </c>
      <c r="V98" s="190" cm="1">
        <f t="array" ref="V98">_xlfn.IFS($AF$19=$AE$21,+V$17*$AE98*$AB98,$AF$19=$AF$21,+V$17*$AF98*$AB98,$AF$19=$AG$21,+V$17*$AG98*$AB98)</f>
        <v>-48506.443581711959</v>
      </c>
      <c r="W98" s="190" cm="1">
        <f t="array" ref="W98">_xlfn.IFS($AF$19=$AE$21,+W$17*$AE98*$AB98,$AF$19=$AF$21,+W$17*$AF98*$AB98,$AF$19=$AG$21,+W$17*$AG98*$AB98)</f>
        <v>-42936.198137438441</v>
      </c>
      <c r="X98" s="190" cm="1">
        <f t="array" ref="X98">_xlfn.IFS($AF$19=$AE$21,+X$17*$AE98*$AB98,$AF$19=$AF$21,+X$17*$AF98*$AB98,$AF$19=$AG$21,+X$17*$AG98*$AB98)</f>
        <v>-42936.198137438441</v>
      </c>
      <c r="Y98" s="190" cm="1">
        <f t="array" ref="Y98">_xlfn.IFS($AF$19=$AE$21,+Y$17*$AE98*$AB98,$AF$19=$AF$21,+Y$17*$AF98*$AB98,$AF$19=$AG$21,+Y$17*$AG98*$AB98)</f>
        <v>-44377.10603073606</v>
      </c>
      <c r="Z98" s="190" cm="1">
        <f t="array" ref="Z98">_xlfn.IFS($AF$19=$AE$21,+Z$17*$AE98*$AB98,$AF$19=$AF$21,+Z$17*$AF98*$AB98,$AF$19=$AG$21,+Z$17*$AG98*$AB98)</f>
        <v>-51917.885767678519</v>
      </c>
      <c r="AB98" s="188">
        <f t="shared" si="64"/>
        <v>0.77770036081187777</v>
      </c>
      <c r="AC98" s="184" t="str">
        <f t="shared" si="56"/>
        <v>340-7060</v>
      </c>
      <c r="AD98" s="212">
        <v>81425.22</v>
      </c>
      <c r="AE98" s="218">
        <f>AE$34</f>
        <v>0.17886178861788618</v>
      </c>
      <c r="AF98" s="218">
        <f t="shared" ref="AF98:AG98" si="67">AF$34</f>
        <v>0.17506593451295152</v>
      </c>
      <c r="AG98" s="218">
        <f t="shared" si="67"/>
        <v>0.182774024004416</v>
      </c>
    </row>
    <row r="99" spans="1:33" x14ac:dyDescent="0.2">
      <c r="A99" s="184">
        <v>440</v>
      </c>
      <c r="B99" s="185">
        <v>7060</v>
      </c>
      <c r="G99" s="190" cm="1">
        <f t="array" ref="G99">_xlfn.IFS($AF$19=$AE$21,+G$17*$AE99*$AB99,$AF$19=$AF$21,+G$17*$AF99*$AB99,$AF$19=$AG$21,+G$17*$AG99*$AB99)</f>
        <v>-55287.443650690439</v>
      </c>
      <c r="H99" s="190" cm="1">
        <f t="array" ref="H99">_xlfn.IFS($AF$19=$AE$21,+H$17*$AE99*$AB99,$AF$19=$AF$21,+H$17*$AF99*$AB99,$AF$19=$AG$21,+H$17*$AG99*$AB99)</f>
        <v>-45769.703718128578</v>
      </c>
      <c r="I99" s="190" cm="1">
        <f t="array" ref="I99">_xlfn.IFS($AF$19=$AE$21,+I$17*$AE99*$AB99,$AF$19=$AF$21,+I$17*$AF99*$AB99,$AF$19=$AG$21,+I$17*$AG99*$AB99)</f>
        <v>-56621.021972663184</v>
      </c>
      <c r="J99" s="190" cm="1">
        <f t="array" ref="J99">_xlfn.IFS($AF$19=$AE$21,+J$17*$AE99*$AB99,$AF$19=$AF$21,+J$17*$AF99*$AB99,$AF$19=$AG$21,+J$17*$AG99*$AB99)</f>
        <v>-55832.878405999822</v>
      </c>
      <c r="K99" s="190" cm="1">
        <f t="array" ref="K99">_xlfn.IFS($AF$19=$AE$21,+K$17*$AE99*$AB99,$AF$19=$AF$21,+K$17*$AF99*$AB99,$AF$19=$AG$21,+K$17*$AG99*$AB99)</f>
        <v>-40495.407562838969</v>
      </c>
      <c r="L99" s="190" cm="1">
        <f t="array" ref="L99">_xlfn.IFS($AF$19=$AE$21,+L$17*$AE99*$AB99,$AF$19=$AF$21,+L$17*$AF99*$AB99,$AF$19=$AG$21,+L$17*$AG99*$AB99)</f>
        <v>-41910.729140600488</v>
      </c>
      <c r="M99" s="190" cm="1">
        <f t="array" ref="M99">_xlfn.IFS($AF$19=$AE$21,+M$17*$AE99*$AB99,$AF$19=$AF$21,+M$17*$AF99*$AB99,$AF$19=$AG$21,+M$17*$AG99*$AB99)</f>
        <v>-42107.953398578771</v>
      </c>
      <c r="N99" s="190" cm="1">
        <f t="array" ref="N99">_xlfn.IFS($AF$19=$AE$21,+N$17*$AE99*$AB99,$AF$19=$AF$21,+N$17*$AF99*$AB99,$AF$19=$AG$21,+N$17*$AG99*$AB99)</f>
        <v>-55181.653661796619</v>
      </c>
      <c r="O99" s="190" cm="1">
        <f t="array" ref="O99">_xlfn.IFS($AF$19=$AE$21,+O$17*$AE99*$AB99,$AF$19=$AF$21,+O$17*$AF99*$AB99,$AF$19=$AG$21,+O$17*$AG99*$AB99)</f>
        <v>-39154.984138327956</v>
      </c>
      <c r="P99" s="190" cm="1">
        <f t="array" ref="P99">_xlfn.IFS($AF$19=$AE$21,+P$17*$AE99*$AB99,$AF$19=$AF$21,+P$17*$AF99*$AB99,$AF$19=$AG$21,+P$17*$AG99*$AB99)</f>
        <v>-48529.940117297025</v>
      </c>
      <c r="Q99" s="190" cm="1">
        <f t="array" ref="Q99">_xlfn.IFS($AF$19=$AE$21,+Q$17*$AE99*$AB99,$AF$19=$AF$21,+Q$17*$AF99*$AB99,$AF$19=$AG$21,+Q$17*$AG99*$AB99)</f>
        <v>-51426.367724784919</v>
      </c>
      <c r="R99" s="190" cm="1">
        <f t="array" ref="R99">_xlfn.IFS($AF$19=$AE$21,+R$17*$AE99*$AB99,$AF$19=$AF$21,+R$17*$AF99*$AB99,$AF$19=$AG$21,+R$17*$AG99*$AB99)</f>
        <v>-52608.58307477997</v>
      </c>
      <c r="S99" s="190" cm="1">
        <f t="array" ref="S99">_xlfn.IFS($AF$19=$AE$21,+S$17*$AE99*$AB99,$AF$19=$AF$21,+S$17*$AF99*$AB99,$AF$19=$AG$21,+S$17*$AG99*$AB99)</f>
        <v>-48411.718582297523</v>
      </c>
      <c r="T99" s="190" cm="1">
        <f t="array" ref="T99">_xlfn.IFS($AF$19=$AE$21,+T$17*$AE99*$AB99,$AF$19=$AF$21,+T$17*$AF99*$AB99,$AF$19=$AG$21,+T$17*$AG99*$AB99)</f>
        <v>-48411.718582297523</v>
      </c>
      <c r="U99" s="190" cm="1">
        <f t="array" ref="U99">_xlfn.IFS($AF$19=$AE$21,+U$17*$AE99*$AB99,$AF$19=$AF$21,+U$17*$AF99*$AB99,$AF$19=$AG$21,+U$17*$AG99*$AB99)</f>
        <v>-53790.798424775028</v>
      </c>
      <c r="V99" s="190" cm="1">
        <f t="array" ref="V99">_xlfn.IFS($AF$19=$AE$21,+V$17*$AE99*$AB99,$AF$19=$AF$21,+V$17*$AF99*$AB99,$AF$19=$AG$21,+V$17*$AG99*$AB99)</f>
        <v>-53790.798424775028</v>
      </c>
      <c r="W99" s="190" cm="1">
        <f t="array" ref="W99">_xlfn.IFS($AF$19=$AE$21,+W$17*$AE99*$AB99,$AF$19=$AF$21,+W$17*$AF99*$AB99,$AF$19=$AG$21,+W$17*$AG99*$AB99)</f>
        <v>-47613.723221050859</v>
      </c>
      <c r="X99" s="190" cm="1">
        <f t="array" ref="X99">_xlfn.IFS($AF$19=$AE$21,+X$17*$AE99*$AB99,$AF$19=$AF$21,+X$17*$AF99*$AB99,$AF$19=$AG$21,+X$17*$AG99*$AB99)</f>
        <v>-47613.723221050859</v>
      </c>
      <c r="Y99" s="190" cm="1">
        <f t="array" ref="Y99">_xlfn.IFS($AF$19=$AE$21,+Y$17*$AE99*$AB99,$AF$19=$AF$21,+Y$17*$AF99*$AB99,$AF$19=$AG$21,+Y$17*$AG99*$AB99)</f>
        <v>-49211.605488104178</v>
      </c>
      <c r="Z99" s="190" cm="1">
        <f t="array" ref="Z99">_xlfn.IFS($AF$19=$AE$21,+Z$17*$AE99*$AB99,$AF$19=$AF$21,+Z$17*$AF99*$AB99,$AF$19=$AG$21,+Z$17*$AG99*$AB99)</f>
        <v>-57573.8875447592</v>
      </c>
      <c r="AB99" s="188">
        <f t="shared" si="64"/>
        <v>0.77229274317744545</v>
      </c>
      <c r="AC99" s="184" t="str">
        <f t="shared" si="56"/>
        <v>440-7060</v>
      </c>
      <c r="AD99" s="212">
        <v>77433.259999999995</v>
      </c>
      <c r="AE99" s="218">
        <f>AE$38</f>
        <v>0.17886178861788618</v>
      </c>
      <c r="AF99" s="218">
        <f t="shared" ref="AF99:AG99" si="68">AF$38</f>
        <v>0.1597432636977863</v>
      </c>
      <c r="AG99" s="218">
        <f t="shared" si="68"/>
        <v>0.20410487438240318</v>
      </c>
    </row>
    <row r="100" spans="1:33" x14ac:dyDescent="0.2">
      <c r="Z100" s="184"/>
    </row>
    <row r="101" spans="1:33" x14ac:dyDescent="0.2">
      <c r="A101" s="184" t="s">
        <v>188</v>
      </c>
      <c r="Z101" s="184"/>
    </row>
    <row r="102" spans="1:33" x14ac:dyDescent="0.2">
      <c r="A102" s="184">
        <v>140</v>
      </c>
      <c r="B102" s="185">
        <v>7060</v>
      </c>
      <c r="G102" s="190"/>
      <c r="H102" s="190"/>
      <c r="I102" s="190"/>
      <c r="J102" s="190"/>
      <c r="K102" s="190"/>
      <c r="L102" s="190"/>
      <c r="M102" s="190"/>
      <c r="N102" s="190"/>
      <c r="O102" s="190">
        <f>O18</f>
        <v>0</v>
      </c>
      <c r="P102" s="190">
        <f t="shared" ref="P102:Z102" si="69">P18</f>
        <v>-14521.813333333334</v>
      </c>
      <c r="Q102" s="190">
        <f t="shared" si="69"/>
        <v>-14521.813333333334</v>
      </c>
      <c r="R102" s="190">
        <f t="shared" si="69"/>
        <v>-14521.813333333334</v>
      </c>
      <c r="S102" s="190">
        <f t="shared" si="69"/>
        <v>-14521.813333333334</v>
      </c>
      <c r="T102" s="190">
        <f t="shared" si="69"/>
        <v>-14521.813333333334</v>
      </c>
      <c r="U102" s="190">
        <f t="shared" si="69"/>
        <v>-17849.813333333335</v>
      </c>
      <c r="V102" s="190">
        <f t="shared" si="69"/>
        <v>-17849.813333333335</v>
      </c>
      <c r="W102" s="190">
        <f t="shared" si="69"/>
        <v>-17849.813333333335</v>
      </c>
      <c r="X102" s="190">
        <f t="shared" si="69"/>
        <v>-17849.813333333335</v>
      </c>
      <c r="Y102" s="190">
        <f t="shared" si="69"/>
        <v>-17849.813333333335</v>
      </c>
      <c r="Z102" s="190">
        <f t="shared" si="69"/>
        <v>-17849.813333333335</v>
      </c>
    </row>
    <row r="103" spans="1:33" x14ac:dyDescent="0.2">
      <c r="Z103" s="184"/>
    </row>
    <row r="104" spans="1:33" x14ac:dyDescent="0.2">
      <c r="A104" s="184" t="s">
        <v>19</v>
      </c>
      <c r="G104" s="213">
        <f>SUM(G22:G99)</f>
        <v>171094.99999999965</v>
      </c>
      <c r="H104" s="213">
        <f t="shared" ref="H104:N104" si="70">SUM(H22:H99)</f>
        <v>157724.79999999996</v>
      </c>
      <c r="I104" s="213">
        <f t="shared" si="70"/>
        <v>208110.00000000017</v>
      </c>
      <c r="J104" s="213">
        <f t="shared" si="70"/>
        <v>213110.00000000009</v>
      </c>
      <c r="K104" s="213">
        <f t="shared" si="70"/>
        <v>168582.5</v>
      </c>
      <c r="L104" s="213">
        <f t="shared" si="70"/>
        <v>172931.75999999995</v>
      </c>
      <c r="M104" s="213">
        <f t="shared" si="70"/>
        <v>180750.84299999996</v>
      </c>
      <c r="N104" s="213">
        <f t="shared" si="70"/>
        <v>245432.04599999971</v>
      </c>
      <c r="O104" s="213">
        <f>SUM(O22:O102)</f>
        <v>144793.88959200017</v>
      </c>
      <c r="P104" s="213">
        <f t="shared" ref="P104:Z104" si="71">SUM(P22:P102)</f>
        <v>184433.85333333316</v>
      </c>
      <c r="Q104" s="213">
        <f t="shared" si="71"/>
        <v>196308.18666666636</v>
      </c>
      <c r="R104" s="213">
        <f t="shared" si="71"/>
        <v>201154.85333333339</v>
      </c>
      <c r="S104" s="213">
        <f t="shared" si="71"/>
        <v>183949.1866666667</v>
      </c>
      <c r="T104" s="213">
        <f t="shared" si="71"/>
        <v>183949.1866666667</v>
      </c>
      <c r="U104" s="213">
        <f t="shared" si="71"/>
        <v>202673.51999999987</v>
      </c>
      <c r="V104" s="213">
        <f t="shared" si="71"/>
        <v>202673.51999999987</v>
      </c>
      <c r="W104" s="213">
        <f t="shared" si="71"/>
        <v>177349.68666666668</v>
      </c>
      <c r="X104" s="213">
        <f t="shared" si="71"/>
        <v>177349.68666666668</v>
      </c>
      <c r="Y104" s="213">
        <f t="shared" si="71"/>
        <v>183900.44133333294</v>
      </c>
      <c r="Z104" s="213">
        <f t="shared" si="71"/>
        <v>218182.85333333377</v>
      </c>
    </row>
    <row r="105" spans="1:33" x14ac:dyDescent="0.2">
      <c r="G105" s="213">
        <f>G104-G19</f>
        <v>-3.4924596548080444E-10</v>
      </c>
      <c r="H105" s="213">
        <f t="shared" ref="H105:N105" si="72">H104-H19</f>
        <v>0</v>
      </c>
      <c r="I105" s="213">
        <f t="shared" si="72"/>
        <v>0</v>
      </c>
      <c r="J105" s="213">
        <f t="shared" si="72"/>
        <v>0</v>
      </c>
      <c r="K105" s="213">
        <f t="shared" si="72"/>
        <v>0</v>
      </c>
      <c r="L105" s="213">
        <f t="shared" si="72"/>
        <v>0</v>
      </c>
      <c r="M105" s="213">
        <f t="shared" si="72"/>
        <v>0</v>
      </c>
      <c r="N105" s="213">
        <f t="shared" si="72"/>
        <v>-3.2014213502407074E-10</v>
      </c>
      <c r="O105" s="213">
        <f t="shared" ref="O105:Z105" si="73">O104-O19</f>
        <v>0</v>
      </c>
      <c r="P105" s="213">
        <f t="shared" si="73"/>
        <v>0</v>
      </c>
      <c r="Q105" s="213">
        <f t="shared" si="73"/>
        <v>-3.2014213502407074E-10</v>
      </c>
      <c r="R105" s="213">
        <f t="shared" si="73"/>
        <v>0</v>
      </c>
      <c r="S105" s="213">
        <f t="shared" si="73"/>
        <v>0</v>
      </c>
      <c r="T105" s="213">
        <f t="shared" si="73"/>
        <v>0</v>
      </c>
      <c r="U105" s="213">
        <f t="shared" si="73"/>
        <v>0</v>
      </c>
      <c r="V105" s="213">
        <f t="shared" si="73"/>
        <v>0</v>
      </c>
      <c r="W105" s="213">
        <f t="shared" si="73"/>
        <v>0</v>
      </c>
      <c r="X105" s="213">
        <f t="shared" si="73"/>
        <v>0</v>
      </c>
      <c r="Y105" s="213">
        <f t="shared" si="73"/>
        <v>-3.4924596548080444E-10</v>
      </c>
      <c r="Z105" s="213">
        <f t="shared" si="73"/>
        <v>4.6566128730773926E-10</v>
      </c>
    </row>
  </sheetData>
  <mergeCells count="1">
    <mergeCell ref="AE20:AG20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D4143-18F6-4C13-B65E-4723BDD794C2}">
  <sheetPr>
    <tabColor rgb="FFFFFF00"/>
  </sheetPr>
  <dimension ref="A1:R2055"/>
  <sheetViews>
    <sheetView workbookViewId="0">
      <selection activeCell="I5" sqref="I5"/>
    </sheetView>
  </sheetViews>
  <sheetFormatPr defaultColWidth="9.140625" defaultRowHeight="11.25" x14ac:dyDescent="0.2"/>
  <cols>
    <col min="1" max="1" width="8.7109375" style="79" customWidth="1"/>
    <col min="2" max="2" width="24.42578125" style="79" customWidth="1"/>
    <col min="3" max="3" width="11.140625" style="79" customWidth="1"/>
    <col min="4" max="4" width="26.28515625" style="79" customWidth="1"/>
    <col min="5" max="5" width="12.140625" style="79" customWidth="1"/>
    <col min="6" max="6" width="12.28515625" style="80" customWidth="1"/>
    <col min="7" max="7" width="13" style="80" customWidth="1"/>
    <col min="8" max="8" width="12.28515625" style="80" customWidth="1"/>
    <col min="9" max="9" width="29.42578125" style="79" customWidth="1"/>
    <col min="10" max="10" width="11.28515625" style="80" customWidth="1"/>
    <col min="11" max="11" width="10.7109375" style="80" customWidth="1"/>
    <col min="12" max="12" width="7.85546875" style="79" bestFit="1" customWidth="1"/>
    <col min="13" max="13" width="10.85546875" style="79" customWidth="1"/>
    <col min="14" max="15" width="9.140625" style="79"/>
    <col min="16" max="16" width="17.85546875" style="79" bestFit="1" customWidth="1"/>
    <col min="17" max="17" width="45.28515625" style="79" bestFit="1" customWidth="1"/>
    <col min="18" max="18" width="12.5703125" style="79" bestFit="1" customWidth="1"/>
    <col min="19" max="19" width="10.28515625" style="79" bestFit="1" customWidth="1"/>
    <col min="20" max="16384" width="9.140625" style="79"/>
  </cols>
  <sheetData>
    <row r="1" spans="1:18" s="74" customFormat="1" x14ac:dyDescent="0.2">
      <c r="A1" s="70" t="s">
        <v>198</v>
      </c>
      <c r="B1" s="71" t="s">
        <v>199</v>
      </c>
      <c r="C1" s="71" t="s">
        <v>67</v>
      </c>
      <c r="D1" s="71" t="s">
        <v>200</v>
      </c>
      <c r="E1" s="71" t="s">
        <v>201</v>
      </c>
      <c r="F1" s="72" t="s">
        <v>202</v>
      </c>
      <c r="G1" s="72" t="s">
        <v>1773</v>
      </c>
      <c r="H1" s="72" t="s">
        <v>1774</v>
      </c>
      <c r="I1" s="71" t="s">
        <v>203</v>
      </c>
      <c r="J1" s="72" t="s">
        <v>204</v>
      </c>
      <c r="K1" s="73" t="s">
        <v>205</v>
      </c>
      <c r="L1" s="74" t="s">
        <v>206</v>
      </c>
      <c r="M1" s="74" t="s">
        <v>207</v>
      </c>
      <c r="N1" s="74" t="s">
        <v>208</v>
      </c>
      <c r="O1" s="74" t="s">
        <v>209</v>
      </c>
      <c r="P1" s="74" t="s">
        <v>210</v>
      </c>
      <c r="Q1" s="74" t="s">
        <v>211</v>
      </c>
      <c r="R1" s="74" t="s">
        <v>212</v>
      </c>
    </row>
    <row r="2" spans="1:18" x14ac:dyDescent="0.2">
      <c r="A2" s="75">
        <v>1000</v>
      </c>
      <c r="B2" s="76" t="s">
        <v>213</v>
      </c>
      <c r="C2" s="76">
        <v>900</v>
      </c>
      <c r="D2" s="76" t="s">
        <v>214</v>
      </c>
      <c r="E2" s="76" t="s">
        <v>214</v>
      </c>
      <c r="F2" s="77">
        <v>2161.83</v>
      </c>
      <c r="G2" s="77">
        <v>0</v>
      </c>
      <c r="H2" s="77">
        <v>2161.83</v>
      </c>
      <c r="I2" s="76" t="s">
        <v>215</v>
      </c>
      <c r="J2" s="77">
        <v>0</v>
      </c>
      <c r="K2" s="78">
        <v>0</v>
      </c>
      <c r="M2" s="79" t="str">
        <f>+C2&amp;"-"&amp;A2</f>
        <v>900-1000</v>
      </c>
      <c r="N2" s="79" t="str">
        <f t="shared" ref="N2:N65" si="0">+IF(RIGHT(A2,1)="#","#","")</f>
        <v/>
      </c>
      <c r="O2" s="79" t="str">
        <f t="shared" ref="O2:O65" si="1">+C2&amp;N2</f>
        <v>900</v>
      </c>
      <c r="P2" s="79" t="str">
        <f>IFERROR(VLOOKUP($M2,Export!$P:$R,2,FALSE),"-")</f>
        <v>-</v>
      </c>
      <c r="Q2" s="79" t="str">
        <f>IFERROR(VLOOKUP($M2,Export!$P:$R,3,FALSE),"-")</f>
        <v>-</v>
      </c>
      <c r="R2" s="80" t="e" cm="1">
        <f t="array" ref="R2">_xlfn.IFS(P2="Service", _xlfn.IFS(I2="SALES","GP",I2="SERVICE SALES","GP",I2="PARTS SALES","GP",I2="SERVICE COS","GP",I2="PARTS COS","GP",I2="SELLING EXPENSES","Selling Expenses",I2="EMPLOYMENT EXPENSES","Selling Expenses",I2="EMPLOYMENT EXPENSES","Selling Expenses",I2="DIRECT EXPENSES","Selling Expenses",I2="INDIRECT EXPENSES","Selling Expenses"),P2="Parts",_xlfn.IFS(I2="SALES","GP",I2="SERVICE SALES","GP",I2="PARTS SALES","GP",I2="SERVICE COS","GP",I2="PARTS COS","GP",I2="SELLING EXPENSES","Selling Expenses",I2="EMPLOYMENT EXPENSES","Selling Expenses",I2="EMPLOYMENT EXPENSES","Selling Expenses",I2="DIRECT EXPENSES","Selling Expenses",I2="INDIRECT EXPENSES","Selling Expenses"))</f>
        <v>#N/A</v>
      </c>
    </row>
    <row r="3" spans="1:18" x14ac:dyDescent="0.2">
      <c r="A3" s="75">
        <v>1010</v>
      </c>
      <c r="B3" s="76" t="s">
        <v>216</v>
      </c>
      <c r="C3" s="76">
        <v>900</v>
      </c>
      <c r="D3" s="76" t="s">
        <v>214</v>
      </c>
      <c r="E3" s="76" t="s">
        <v>214</v>
      </c>
      <c r="F3" s="77">
        <v>2329300.6800000002</v>
      </c>
      <c r="G3" s="77">
        <v>1005545.47</v>
      </c>
      <c r="H3" s="77">
        <v>3334846.15</v>
      </c>
      <c r="I3" s="76" t="s">
        <v>215</v>
      </c>
      <c r="J3" s="77">
        <v>0</v>
      </c>
      <c r="K3" s="78">
        <v>0</v>
      </c>
      <c r="M3" s="79" t="str">
        <f t="shared" ref="M3:M66" si="2">+C3&amp;"-"&amp;A3</f>
        <v>900-1010</v>
      </c>
      <c r="N3" s="79" t="str">
        <f t="shared" si="0"/>
        <v/>
      </c>
      <c r="O3" s="79" t="str">
        <f t="shared" si="1"/>
        <v>900</v>
      </c>
      <c r="P3" s="79" t="str">
        <f>IFERROR(VLOOKUP($M3,Export!$P:$R,2,FALSE),"-")</f>
        <v>-</v>
      </c>
      <c r="Q3" s="79" t="str">
        <f>IFERROR(VLOOKUP($M3,Export!$P:$R,3,FALSE),"-")</f>
        <v>-</v>
      </c>
      <c r="R3" s="80" t="e" cm="1">
        <f t="array" ref="R3">_xlfn.IFS(P3="Service", _xlfn.IFS(I3="SALES","GP",I3="SERVICE SALES","GP",I3="PARTS SALES","GP",I3="SERVICE COS","GP",I3="PARTS COS","GP",I3="SELLING EXPENSES","Selling Expenses",I3="EMPLOYMENT EXPENSES","Selling Expenses",I3="EMPLOYMENT EXPENSES","Selling Expenses",I3="DIRECT EXPENSES","Selling Expenses",I3="INDIRECT EXPENSES","Selling Expenses"),P3="Parts",_xlfn.IFS(I3="SALES","GP",I3="SERVICE SALES","GP",I3="PARTS SALES","GP",I3="SERVICE COS","GP",I3="PARTS COS","GP",I3="SELLING EXPENSES","Selling Expenses",I3="EMPLOYMENT EXPENSES","Selling Expenses",I3="EMPLOYMENT EXPENSES","Selling Expenses",I3="DIRECT EXPENSES","Selling Expenses",I3="INDIRECT EXPENSES","Selling Expenses"))</f>
        <v>#N/A</v>
      </c>
    </row>
    <row r="4" spans="1:18" x14ac:dyDescent="0.2">
      <c r="A4" s="75">
        <v>1012</v>
      </c>
      <c r="B4" s="76" t="s">
        <v>217</v>
      </c>
      <c r="C4" s="76">
        <v>900</v>
      </c>
      <c r="D4" s="76" t="s">
        <v>214</v>
      </c>
      <c r="E4" s="76" t="s">
        <v>214</v>
      </c>
      <c r="F4" s="77">
        <v>56116.28</v>
      </c>
      <c r="G4" s="77">
        <v>-2956.09</v>
      </c>
      <c r="H4" s="77">
        <v>53160.19</v>
      </c>
      <c r="I4" s="76" t="s">
        <v>215</v>
      </c>
      <c r="J4" s="77">
        <v>0</v>
      </c>
      <c r="K4" s="78">
        <v>0</v>
      </c>
      <c r="M4" s="79" t="str">
        <f t="shared" si="2"/>
        <v>900-1012</v>
      </c>
      <c r="N4" s="79" t="str">
        <f t="shared" si="0"/>
        <v/>
      </c>
      <c r="O4" s="79" t="str">
        <f t="shared" si="1"/>
        <v>900</v>
      </c>
      <c r="P4" s="79" t="str">
        <f>IFERROR(VLOOKUP($M4,Export!$P:$R,2,FALSE),"-")</f>
        <v>-</v>
      </c>
      <c r="Q4" s="79" t="str">
        <f>IFERROR(VLOOKUP($M4,Export!$P:$R,3,FALSE),"-")</f>
        <v>-</v>
      </c>
      <c r="R4" s="80" t="e" cm="1">
        <f t="array" ref="R4">_xlfn.IFS(P4="Service", _xlfn.IFS(I4="SALES","GP",I4="SERVICE SALES","GP",I4="PARTS SALES","GP",I4="SERVICE COS","GP",I4="PARTS COS","GP",I4="SELLING EXPENSES","Selling Expenses",I4="EMPLOYMENT EXPENSES","Selling Expenses",I4="EMPLOYMENT EXPENSES","Selling Expenses",I4="DIRECT EXPENSES","Selling Expenses",I4="INDIRECT EXPENSES","Selling Expenses"),P4="Parts",_xlfn.IFS(I4="SALES","GP",I4="SERVICE SALES","GP",I4="PARTS SALES","GP",I4="SERVICE COS","GP",I4="PARTS COS","GP",I4="SELLING EXPENSES","Selling Expenses",I4="EMPLOYMENT EXPENSES","Selling Expenses",I4="EMPLOYMENT EXPENSES","Selling Expenses",I4="DIRECT EXPENSES","Selling Expenses",I4="INDIRECT EXPENSES","Selling Expenses"))</f>
        <v>#N/A</v>
      </c>
    </row>
    <row r="5" spans="1:18" x14ac:dyDescent="0.2">
      <c r="A5" s="75">
        <v>1013</v>
      </c>
      <c r="B5" s="76" t="s">
        <v>218</v>
      </c>
      <c r="C5" s="76">
        <v>900</v>
      </c>
      <c r="D5" s="76" t="s">
        <v>214</v>
      </c>
      <c r="E5" s="76" t="s">
        <v>214</v>
      </c>
      <c r="F5" s="77">
        <v>35031.050000000003</v>
      </c>
      <c r="G5" s="77">
        <v>62.13</v>
      </c>
      <c r="H5" s="77">
        <v>35093.18</v>
      </c>
      <c r="I5" s="76" t="s">
        <v>215</v>
      </c>
      <c r="J5" s="77">
        <v>0</v>
      </c>
      <c r="K5" s="78">
        <v>0</v>
      </c>
      <c r="M5" s="79" t="str">
        <f t="shared" si="2"/>
        <v>900-1013</v>
      </c>
      <c r="N5" s="79" t="str">
        <f t="shared" si="0"/>
        <v/>
      </c>
      <c r="O5" s="79" t="str">
        <f t="shared" si="1"/>
        <v>900</v>
      </c>
      <c r="P5" s="79" t="str">
        <f>IFERROR(VLOOKUP($M5,Export!$P:$R,2,FALSE),"-")</f>
        <v>-</v>
      </c>
      <c r="Q5" s="79" t="str">
        <f>IFERROR(VLOOKUP($M5,Export!$P:$R,3,FALSE),"-")</f>
        <v>-</v>
      </c>
      <c r="R5" s="80" t="e" cm="1">
        <f t="array" ref="R5">_xlfn.IFS(P5="Service", _xlfn.IFS(I5="SALES","GP",I5="SERVICE SALES","GP",I5="PARTS SALES","GP",I5="SERVICE COS","GP",I5="PARTS COS","GP",I5="SELLING EXPENSES","Selling Expenses",I5="EMPLOYMENT EXPENSES","Selling Expenses",I5="EMPLOYMENT EXPENSES","Selling Expenses",I5="DIRECT EXPENSES","Selling Expenses",I5="INDIRECT EXPENSES","Selling Expenses"),P5="Parts",_xlfn.IFS(I5="SALES","GP",I5="SERVICE SALES","GP",I5="PARTS SALES","GP",I5="SERVICE COS","GP",I5="PARTS COS","GP",I5="SELLING EXPENSES","Selling Expenses",I5="EMPLOYMENT EXPENSES","Selling Expenses",I5="EMPLOYMENT EXPENSES","Selling Expenses",I5="DIRECT EXPENSES","Selling Expenses",I5="INDIRECT EXPENSES","Selling Expenses"))</f>
        <v>#N/A</v>
      </c>
    </row>
    <row r="6" spans="1:18" x14ac:dyDescent="0.2">
      <c r="A6" s="75">
        <v>1014</v>
      </c>
      <c r="B6" s="76" t="s">
        <v>219</v>
      </c>
      <c r="C6" s="76">
        <v>900</v>
      </c>
      <c r="D6" s="76" t="s">
        <v>214</v>
      </c>
      <c r="E6" s="76" t="s">
        <v>214</v>
      </c>
      <c r="F6" s="77">
        <v>101881.1</v>
      </c>
      <c r="G6" s="77">
        <v>180.67</v>
      </c>
      <c r="H6" s="77">
        <v>102061.77</v>
      </c>
      <c r="I6" s="76" t="s">
        <v>215</v>
      </c>
      <c r="J6" s="77">
        <v>0</v>
      </c>
      <c r="K6" s="78">
        <v>0</v>
      </c>
      <c r="M6" s="79" t="str">
        <f t="shared" si="2"/>
        <v>900-1014</v>
      </c>
      <c r="N6" s="79" t="str">
        <f t="shared" si="0"/>
        <v/>
      </c>
      <c r="O6" s="79" t="str">
        <f t="shared" si="1"/>
        <v>900</v>
      </c>
      <c r="P6" s="79" t="str">
        <f>IFERROR(VLOOKUP($M6,Export!$P:$R,2,FALSE),"-")</f>
        <v>-</v>
      </c>
      <c r="Q6" s="79" t="str">
        <f>IFERROR(VLOOKUP($M6,Export!$P:$R,3,FALSE),"-")</f>
        <v>-</v>
      </c>
      <c r="R6" s="80" t="e" cm="1">
        <f t="array" ref="R6">_xlfn.IFS(P6="Service", _xlfn.IFS(I6="SALES","GP",I6="SERVICE SALES","GP",I6="PARTS SALES","GP",I6="SERVICE COS","GP",I6="PARTS COS","GP",I6="SELLING EXPENSES","Selling Expenses",I6="EMPLOYMENT EXPENSES","Selling Expenses",I6="EMPLOYMENT EXPENSES","Selling Expenses",I6="DIRECT EXPENSES","Selling Expenses",I6="INDIRECT EXPENSES","Selling Expenses"),P6="Parts",_xlfn.IFS(I6="SALES","GP",I6="SERVICE SALES","GP",I6="PARTS SALES","GP",I6="SERVICE COS","GP",I6="PARTS COS","GP",I6="SELLING EXPENSES","Selling Expenses",I6="EMPLOYMENT EXPENSES","Selling Expenses",I6="EMPLOYMENT EXPENSES","Selling Expenses",I6="DIRECT EXPENSES","Selling Expenses",I6="INDIRECT EXPENSES","Selling Expenses"))</f>
        <v>#N/A</v>
      </c>
    </row>
    <row r="7" spans="1:18" x14ac:dyDescent="0.2">
      <c r="A7" s="75">
        <v>1015</v>
      </c>
      <c r="B7" s="76" t="s">
        <v>220</v>
      </c>
      <c r="C7" s="76">
        <v>900</v>
      </c>
      <c r="D7" s="76" t="s">
        <v>214</v>
      </c>
      <c r="E7" s="76" t="s">
        <v>214</v>
      </c>
      <c r="F7" s="77">
        <v>2000</v>
      </c>
      <c r="G7" s="77">
        <v>0</v>
      </c>
      <c r="H7" s="77">
        <v>2000</v>
      </c>
      <c r="I7" s="76" t="s">
        <v>215</v>
      </c>
      <c r="J7" s="77">
        <v>0</v>
      </c>
      <c r="K7" s="78">
        <v>0</v>
      </c>
      <c r="M7" s="79" t="str">
        <f t="shared" si="2"/>
        <v>900-1015</v>
      </c>
      <c r="N7" s="79" t="str">
        <f t="shared" si="0"/>
        <v/>
      </c>
      <c r="O7" s="79" t="str">
        <f t="shared" si="1"/>
        <v>900</v>
      </c>
      <c r="P7" s="79" t="str">
        <f>IFERROR(VLOOKUP($M7,Export!$P:$R,2,FALSE),"-")</f>
        <v>-</v>
      </c>
      <c r="Q7" s="79" t="str">
        <f>IFERROR(VLOOKUP($M7,Export!$P:$R,3,FALSE),"-")</f>
        <v>-</v>
      </c>
      <c r="R7" s="80" t="e" cm="1">
        <f t="array" ref="R7">_xlfn.IFS(P7="Service", _xlfn.IFS(I7="SALES","GP",I7="SERVICE SALES","GP",I7="PARTS SALES","GP",I7="SERVICE COS","GP",I7="PARTS COS","GP",I7="SELLING EXPENSES","Selling Expenses",I7="EMPLOYMENT EXPENSES","Selling Expenses",I7="EMPLOYMENT EXPENSES","Selling Expenses",I7="DIRECT EXPENSES","Selling Expenses",I7="INDIRECT EXPENSES","Selling Expenses"),P7="Parts",_xlfn.IFS(I7="SALES","GP",I7="SERVICE SALES","GP",I7="PARTS SALES","GP",I7="SERVICE COS","GP",I7="PARTS COS","GP",I7="SELLING EXPENSES","Selling Expenses",I7="EMPLOYMENT EXPENSES","Selling Expenses",I7="EMPLOYMENT EXPENSES","Selling Expenses",I7="DIRECT EXPENSES","Selling Expenses",I7="INDIRECT EXPENSES","Selling Expenses"))</f>
        <v>#N/A</v>
      </c>
    </row>
    <row r="8" spans="1:18" x14ac:dyDescent="0.2">
      <c r="A8" s="75">
        <v>1035</v>
      </c>
      <c r="B8" s="76" t="s">
        <v>221</v>
      </c>
      <c r="C8" s="76">
        <v>900</v>
      </c>
      <c r="D8" s="76" t="s">
        <v>214</v>
      </c>
      <c r="E8" s="76" t="s">
        <v>214</v>
      </c>
      <c r="F8" s="77">
        <v>15106.08</v>
      </c>
      <c r="G8" s="77">
        <v>-799.08</v>
      </c>
      <c r="H8" s="77">
        <v>14307</v>
      </c>
      <c r="I8" s="76" t="s">
        <v>215</v>
      </c>
      <c r="J8" s="77">
        <v>0</v>
      </c>
      <c r="K8" s="78">
        <v>0</v>
      </c>
      <c r="M8" s="79" t="str">
        <f t="shared" si="2"/>
        <v>900-1035</v>
      </c>
      <c r="N8" s="79" t="str">
        <f t="shared" si="0"/>
        <v/>
      </c>
      <c r="O8" s="79" t="str">
        <f t="shared" si="1"/>
        <v>900</v>
      </c>
      <c r="P8" s="79" t="str">
        <f>IFERROR(VLOOKUP($M8,Export!$P:$R,2,FALSE),"-")</f>
        <v>-</v>
      </c>
      <c r="Q8" s="79" t="str">
        <f>IFERROR(VLOOKUP($M8,Export!$P:$R,3,FALSE),"-")</f>
        <v>-</v>
      </c>
      <c r="R8" s="80" t="e" cm="1">
        <f t="array" ref="R8">_xlfn.IFS(P8="Service", _xlfn.IFS(I8="SALES","GP",I8="SERVICE SALES","GP",I8="PARTS SALES","GP",I8="SERVICE COS","GP",I8="PARTS COS","GP",I8="SELLING EXPENSES","Selling Expenses",I8="EMPLOYMENT EXPENSES","Selling Expenses",I8="EMPLOYMENT EXPENSES","Selling Expenses",I8="DIRECT EXPENSES","Selling Expenses",I8="INDIRECT EXPENSES","Selling Expenses"),P8="Parts",_xlfn.IFS(I8="SALES","GP",I8="SERVICE SALES","GP",I8="PARTS SALES","GP",I8="SERVICE COS","GP",I8="PARTS COS","GP",I8="SELLING EXPENSES","Selling Expenses",I8="EMPLOYMENT EXPENSES","Selling Expenses",I8="EMPLOYMENT EXPENSES","Selling Expenses",I8="DIRECT EXPENSES","Selling Expenses",I8="INDIRECT EXPENSES","Selling Expenses"))</f>
        <v>#N/A</v>
      </c>
    </row>
    <row r="9" spans="1:18" x14ac:dyDescent="0.2">
      <c r="A9" s="75">
        <v>1040</v>
      </c>
      <c r="B9" s="76" t="s">
        <v>222</v>
      </c>
      <c r="C9" s="76">
        <v>900</v>
      </c>
      <c r="D9" s="76" t="s">
        <v>214</v>
      </c>
      <c r="E9" s="76" t="s">
        <v>214</v>
      </c>
      <c r="F9" s="77">
        <v>106305.03</v>
      </c>
      <c r="G9" s="77">
        <v>-69677.929999999993</v>
      </c>
      <c r="H9" s="77">
        <v>36627.1</v>
      </c>
      <c r="I9" s="76" t="s">
        <v>215</v>
      </c>
      <c r="J9" s="77">
        <v>0</v>
      </c>
      <c r="K9" s="78">
        <v>0</v>
      </c>
      <c r="M9" s="79" t="str">
        <f t="shared" si="2"/>
        <v>900-1040</v>
      </c>
      <c r="N9" s="79" t="str">
        <f t="shared" si="0"/>
        <v/>
      </c>
      <c r="O9" s="79" t="str">
        <f t="shared" si="1"/>
        <v>900</v>
      </c>
      <c r="P9" s="79" t="str">
        <f>IFERROR(VLOOKUP($M9,Export!$P:$R,2,FALSE),"-")</f>
        <v>-</v>
      </c>
      <c r="Q9" s="79" t="str">
        <f>IFERROR(VLOOKUP($M9,Export!$P:$R,3,FALSE),"-")</f>
        <v>-</v>
      </c>
      <c r="R9" s="80" t="e" cm="1">
        <f t="array" ref="R9">_xlfn.IFS(P9="Service", _xlfn.IFS(I9="SALES","GP",I9="SERVICE SALES","GP",I9="PARTS SALES","GP",I9="SERVICE COS","GP",I9="PARTS COS","GP",I9="SELLING EXPENSES","Selling Expenses",I9="EMPLOYMENT EXPENSES","Selling Expenses",I9="EMPLOYMENT EXPENSES","Selling Expenses",I9="DIRECT EXPENSES","Selling Expenses",I9="INDIRECT EXPENSES","Selling Expenses"),P9="Parts",_xlfn.IFS(I9="SALES","GP",I9="SERVICE SALES","GP",I9="PARTS SALES","GP",I9="SERVICE COS","GP",I9="PARTS COS","GP",I9="SELLING EXPENSES","Selling Expenses",I9="EMPLOYMENT EXPENSES","Selling Expenses",I9="EMPLOYMENT EXPENSES","Selling Expenses",I9="DIRECT EXPENSES","Selling Expenses",I9="INDIRECT EXPENSES","Selling Expenses"))</f>
        <v>#N/A</v>
      </c>
    </row>
    <row r="10" spans="1:18" x14ac:dyDescent="0.2">
      <c r="A10" s="75">
        <v>1045</v>
      </c>
      <c r="B10" s="76" t="s">
        <v>223</v>
      </c>
      <c r="C10" s="76">
        <v>900</v>
      </c>
      <c r="D10" s="76" t="s">
        <v>214</v>
      </c>
      <c r="E10" s="76" t="s">
        <v>214</v>
      </c>
      <c r="F10" s="77">
        <v>832.69</v>
      </c>
      <c r="G10" s="77">
        <v>-471.74</v>
      </c>
      <c r="H10" s="77">
        <v>360.95</v>
      </c>
      <c r="I10" s="76" t="s">
        <v>215</v>
      </c>
      <c r="J10" s="77">
        <v>0</v>
      </c>
      <c r="K10" s="78">
        <v>0</v>
      </c>
      <c r="M10" s="79" t="str">
        <f t="shared" si="2"/>
        <v>900-1045</v>
      </c>
      <c r="N10" s="79" t="str">
        <f t="shared" si="0"/>
        <v/>
      </c>
      <c r="O10" s="79" t="str">
        <f t="shared" si="1"/>
        <v>900</v>
      </c>
      <c r="P10" s="79" t="str">
        <f>IFERROR(VLOOKUP($M10,Export!$P:$R,2,FALSE),"-")</f>
        <v>-</v>
      </c>
      <c r="Q10" s="79" t="str">
        <f>IFERROR(VLOOKUP($M10,Export!$P:$R,3,FALSE),"-")</f>
        <v>-</v>
      </c>
      <c r="R10" s="80" t="e" cm="1">
        <f t="array" ref="R10">_xlfn.IFS(P10="Service", _xlfn.IFS(I10="SALES","GP",I10="SERVICE SALES","GP",I10="PARTS SALES","GP",I10="SERVICE COS","GP",I10="PARTS COS","GP",I10="SELLING EXPENSES","Selling Expenses",I10="EMPLOYMENT EXPENSES","Selling Expenses",I10="EMPLOYMENT EXPENSES","Selling Expenses",I10="DIRECT EXPENSES","Selling Expenses",I10="INDIRECT EXPENSES","Selling Expenses"),P10="Parts",_xlfn.IFS(I10="SALES","GP",I10="SERVICE SALES","GP",I10="PARTS SALES","GP",I10="SERVICE COS","GP",I10="PARTS COS","GP",I10="SELLING EXPENSES","Selling Expenses",I10="EMPLOYMENT EXPENSES","Selling Expenses",I10="EMPLOYMENT EXPENSES","Selling Expenses",I10="DIRECT EXPENSES","Selling Expenses",I10="INDIRECT EXPENSES","Selling Expenses"))</f>
        <v>#N/A</v>
      </c>
    </row>
    <row r="11" spans="1:18" x14ac:dyDescent="0.2">
      <c r="A11" s="75">
        <v>1050</v>
      </c>
      <c r="B11" s="76" t="s">
        <v>224</v>
      </c>
      <c r="C11" s="76">
        <v>900</v>
      </c>
      <c r="D11" s="76" t="s">
        <v>214</v>
      </c>
      <c r="E11" s="76" t="s">
        <v>214</v>
      </c>
      <c r="F11" s="77">
        <v>786.31</v>
      </c>
      <c r="G11" s="77">
        <v>0</v>
      </c>
      <c r="H11" s="77">
        <v>786.31</v>
      </c>
      <c r="I11" s="76" t="s">
        <v>215</v>
      </c>
      <c r="J11" s="77">
        <v>0</v>
      </c>
      <c r="K11" s="78">
        <v>0</v>
      </c>
      <c r="M11" s="79" t="str">
        <f t="shared" si="2"/>
        <v>900-1050</v>
      </c>
      <c r="N11" s="79" t="str">
        <f t="shared" si="0"/>
        <v/>
      </c>
      <c r="O11" s="79" t="str">
        <f t="shared" si="1"/>
        <v>900</v>
      </c>
      <c r="P11" s="79" t="str">
        <f>IFERROR(VLOOKUP($M11,Export!$P:$R,2,FALSE),"-")</f>
        <v>-</v>
      </c>
      <c r="Q11" s="79" t="str">
        <f>IFERROR(VLOOKUP($M11,Export!$P:$R,3,FALSE),"-")</f>
        <v>-</v>
      </c>
      <c r="R11" s="80" t="e" cm="1">
        <f t="array" ref="R11">_xlfn.IFS(P11="Service", _xlfn.IFS(I11="SALES","GP",I11="SERVICE SALES","GP",I11="PARTS SALES","GP",I11="SERVICE COS","GP",I11="PARTS COS","GP",I11="SELLING EXPENSES","Selling Expenses",I11="EMPLOYMENT EXPENSES","Selling Expenses",I11="EMPLOYMENT EXPENSES","Selling Expenses",I11="DIRECT EXPENSES","Selling Expenses",I11="INDIRECT EXPENSES","Selling Expenses"),P11="Parts",_xlfn.IFS(I11="SALES","GP",I11="SERVICE SALES","GP",I11="PARTS SALES","GP",I11="SERVICE COS","GP",I11="PARTS COS","GP",I11="SELLING EXPENSES","Selling Expenses",I11="EMPLOYMENT EXPENSES","Selling Expenses",I11="EMPLOYMENT EXPENSES","Selling Expenses",I11="DIRECT EXPENSES","Selling Expenses",I11="INDIRECT EXPENSES","Selling Expenses"))</f>
        <v>#N/A</v>
      </c>
    </row>
    <row r="12" spans="1:18" x14ac:dyDescent="0.2">
      <c r="A12" s="75">
        <v>1055</v>
      </c>
      <c r="B12" s="76" t="s">
        <v>225</v>
      </c>
      <c r="C12" s="76">
        <v>900</v>
      </c>
      <c r="D12" s="76" t="s">
        <v>214</v>
      </c>
      <c r="E12" s="76" t="s">
        <v>214</v>
      </c>
      <c r="F12" s="77">
        <v>85995.99</v>
      </c>
      <c r="G12" s="77">
        <v>10850.83</v>
      </c>
      <c r="H12" s="77">
        <v>96846.82</v>
      </c>
      <c r="I12" s="76" t="s">
        <v>215</v>
      </c>
      <c r="J12" s="77">
        <v>0</v>
      </c>
      <c r="K12" s="78">
        <v>0</v>
      </c>
      <c r="M12" s="79" t="str">
        <f t="shared" si="2"/>
        <v>900-1055</v>
      </c>
      <c r="N12" s="79" t="str">
        <f t="shared" si="0"/>
        <v/>
      </c>
      <c r="O12" s="79" t="str">
        <f t="shared" si="1"/>
        <v>900</v>
      </c>
      <c r="P12" s="79" t="str">
        <f>IFERROR(VLOOKUP($M12,Export!$P:$R,2,FALSE),"-")</f>
        <v>-</v>
      </c>
      <c r="Q12" s="79" t="str">
        <f>IFERROR(VLOOKUP($M12,Export!$P:$R,3,FALSE),"-")</f>
        <v>-</v>
      </c>
      <c r="R12" s="80" t="e" cm="1">
        <f t="array" ref="R12">_xlfn.IFS(P12="Service", _xlfn.IFS(I12="SALES","GP",I12="SERVICE SALES","GP",I12="PARTS SALES","GP",I12="SERVICE COS","GP",I12="PARTS COS","GP",I12="SELLING EXPENSES","Selling Expenses",I12="EMPLOYMENT EXPENSES","Selling Expenses",I12="EMPLOYMENT EXPENSES","Selling Expenses",I12="DIRECT EXPENSES","Selling Expenses",I12="INDIRECT EXPENSES","Selling Expenses"),P12="Parts",_xlfn.IFS(I12="SALES","GP",I12="SERVICE SALES","GP",I12="PARTS SALES","GP",I12="SERVICE COS","GP",I12="PARTS COS","GP",I12="SELLING EXPENSES","Selling Expenses",I12="EMPLOYMENT EXPENSES","Selling Expenses",I12="EMPLOYMENT EXPENSES","Selling Expenses",I12="DIRECT EXPENSES","Selling Expenses",I12="INDIRECT EXPENSES","Selling Expenses"))</f>
        <v>#N/A</v>
      </c>
    </row>
    <row r="13" spans="1:18" x14ac:dyDescent="0.2">
      <c r="A13" s="75">
        <v>1056</v>
      </c>
      <c r="B13" s="76" t="s">
        <v>226</v>
      </c>
      <c r="C13" s="76">
        <v>100</v>
      </c>
      <c r="D13" s="76" t="s">
        <v>227</v>
      </c>
      <c r="E13" s="76" t="s">
        <v>214</v>
      </c>
      <c r="F13" s="77">
        <v>0.02</v>
      </c>
      <c r="G13" s="77">
        <v>0.5</v>
      </c>
      <c r="H13" s="77">
        <v>0.52</v>
      </c>
      <c r="I13" s="76" t="s">
        <v>215</v>
      </c>
      <c r="J13" s="77">
        <v>0</v>
      </c>
      <c r="K13" s="78">
        <v>0</v>
      </c>
      <c r="M13" s="79" t="str">
        <f t="shared" si="2"/>
        <v>100-1056</v>
      </c>
      <c r="N13" s="79" t="str">
        <f t="shared" si="0"/>
        <v/>
      </c>
      <c r="O13" s="79" t="str">
        <f t="shared" si="1"/>
        <v>100</v>
      </c>
      <c r="P13" s="79" t="str">
        <f>IFERROR(VLOOKUP($M13,Export!$P:$R,2,FALSE),"-")</f>
        <v>Admin &amp; Other</v>
      </c>
      <c r="Q13" s="79" t="str">
        <f>IFERROR(VLOOKUP($M13,Export!$P:$R,3,FALSE),"-")</f>
        <v>Admin &amp; OtherOther Overheads as % of Total Gross Profit</v>
      </c>
      <c r="R13" s="80" t="e" cm="1">
        <f t="array" ref="R13">_xlfn.IFS(P13="Service", _xlfn.IFS(I13="SALES","GP",I13="SERVICE SALES","GP",I13="PARTS SALES","GP",I13="SERVICE COS","GP",I13="PARTS COS","GP",I13="SELLING EXPENSES","Selling Expenses",I13="EMPLOYMENT EXPENSES","Selling Expenses",I13="EMPLOYMENT EXPENSES","Selling Expenses",I13="DIRECT EXPENSES","Selling Expenses",I13="INDIRECT EXPENSES","Selling Expenses"),P13="Parts",_xlfn.IFS(I13="SALES","GP",I13="SERVICE SALES","GP",I13="PARTS SALES","GP",I13="SERVICE COS","GP",I13="PARTS COS","GP",I13="SELLING EXPENSES","Selling Expenses",I13="EMPLOYMENT EXPENSES","Selling Expenses",I13="EMPLOYMENT EXPENSES","Selling Expenses",I13="DIRECT EXPENSES","Selling Expenses",I13="INDIRECT EXPENSES","Selling Expenses"))</f>
        <v>#N/A</v>
      </c>
    </row>
    <row r="14" spans="1:18" x14ac:dyDescent="0.2">
      <c r="A14" s="75">
        <v>1085</v>
      </c>
      <c r="B14" s="76" t="s">
        <v>228</v>
      </c>
      <c r="C14" s="76">
        <v>900</v>
      </c>
      <c r="D14" s="76" t="s">
        <v>214</v>
      </c>
      <c r="E14" s="76" t="s">
        <v>214</v>
      </c>
      <c r="F14" s="77">
        <v>-6.3</v>
      </c>
      <c r="G14" s="77">
        <v>10120</v>
      </c>
      <c r="H14" s="77">
        <v>10113.700000000001</v>
      </c>
      <c r="I14" s="76" t="s">
        <v>215</v>
      </c>
      <c r="J14" s="77">
        <v>0</v>
      </c>
      <c r="K14" s="78">
        <v>0</v>
      </c>
      <c r="M14" s="79" t="str">
        <f t="shared" si="2"/>
        <v>900-1085</v>
      </c>
      <c r="N14" s="79" t="str">
        <f t="shared" si="0"/>
        <v/>
      </c>
      <c r="O14" s="79" t="str">
        <f t="shared" si="1"/>
        <v>900</v>
      </c>
      <c r="P14" s="79" t="str">
        <f>IFERROR(VLOOKUP($M14,Export!$P:$R,2,FALSE),"-")</f>
        <v>-</v>
      </c>
      <c r="Q14" s="79" t="str">
        <f>IFERROR(VLOOKUP($M14,Export!$P:$R,3,FALSE),"-")</f>
        <v>-</v>
      </c>
      <c r="R14" s="80" t="e" cm="1">
        <f t="array" ref="R14">_xlfn.IFS(P14="Service", _xlfn.IFS(I14="SALES","GP",I14="SERVICE SALES","GP",I14="PARTS SALES","GP",I14="SERVICE COS","GP",I14="PARTS COS","GP",I14="SELLING EXPENSES","Selling Expenses",I14="EMPLOYMENT EXPENSES","Selling Expenses",I14="EMPLOYMENT EXPENSES","Selling Expenses",I14="DIRECT EXPENSES","Selling Expenses",I14="INDIRECT EXPENSES","Selling Expenses"),P14="Parts",_xlfn.IFS(I14="SALES","GP",I14="SERVICE SALES","GP",I14="PARTS SALES","GP",I14="SERVICE COS","GP",I14="PARTS COS","GP",I14="SELLING EXPENSES","Selling Expenses",I14="EMPLOYMENT EXPENSES","Selling Expenses",I14="EMPLOYMENT EXPENSES","Selling Expenses",I14="DIRECT EXPENSES","Selling Expenses",I14="INDIRECT EXPENSES","Selling Expenses"))</f>
        <v>#N/A</v>
      </c>
    </row>
    <row r="15" spans="1:18" x14ac:dyDescent="0.2">
      <c r="A15" s="75">
        <v>1060</v>
      </c>
      <c r="B15" s="76" t="s">
        <v>229</v>
      </c>
      <c r="C15" s="76">
        <v>900</v>
      </c>
      <c r="D15" s="76" t="s">
        <v>214</v>
      </c>
      <c r="E15" s="76" t="s">
        <v>214</v>
      </c>
      <c r="F15" s="77">
        <v>1883525.5</v>
      </c>
      <c r="G15" s="77">
        <v>-509390.89</v>
      </c>
      <c r="H15" s="77">
        <v>1374134.61</v>
      </c>
      <c r="I15" s="76" t="s">
        <v>230</v>
      </c>
      <c r="J15" s="77">
        <v>0</v>
      </c>
      <c r="K15" s="78">
        <v>0</v>
      </c>
      <c r="M15" s="79" t="str">
        <f t="shared" si="2"/>
        <v>900-1060</v>
      </c>
      <c r="N15" s="79" t="str">
        <f t="shared" si="0"/>
        <v/>
      </c>
      <c r="O15" s="79" t="str">
        <f t="shared" si="1"/>
        <v>900</v>
      </c>
      <c r="P15" s="79" t="str">
        <f>IFERROR(VLOOKUP($M15,Export!$P:$R,2,FALSE),"-")</f>
        <v>-</v>
      </c>
      <c r="Q15" s="79" t="str">
        <f>IFERROR(VLOOKUP($M15,Export!$P:$R,3,FALSE),"-")</f>
        <v>-</v>
      </c>
      <c r="R15" s="80" t="e" cm="1">
        <f t="array" ref="R15">_xlfn.IFS(P15="Service", _xlfn.IFS(I15="SALES","GP",I15="SERVICE SALES","GP",I15="PARTS SALES","GP",I15="SERVICE COS","GP",I15="PARTS COS","GP",I15="SELLING EXPENSES","Selling Expenses",I15="EMPLOYMENT EXPENSES","Selling Expenses",I15="EMPLOYMENT EXPENSES","Selling Expenses",I15="DIRECT EXPENSES","Selling Expenses",I15="INDIRECT EXPENSES","Selling Expenses"),P15="Parts",_xlfn.IFS(I15="SALES","GP",I15="SERVICE SALES","GP",I15="PARTS SALES","GP",I15="SERVICE COS","GP",I15="PARTS COS","GP",I15="SELLING EXPENSES","Selling Expenses",I15="EMPLOYMENT EXPENSES","Selling Expenses",I15="EMPLOYMENT EXPENSES","Selling Expenses",I15="DIRECT EXPENSES","Selling Expenses",I15="INDIRECT EXPENSES","Selling Expenses"))</f>
        <v>#N/A</v>
      </c>
    </row>
    <row r="16" spans="1:18" x14ac:dyDescent="0.2">
      <c r="A16" s="75">
        <v>1061</v>
      </c>
      <c r="B16" s="76" t="s">
        <v>231</v>
      </c>
      <c r="C16" s="76">
        <v>900</v>
      </c>
      <c r="D16" s="76" t="s">
        <v>214</v>
      </c>
      <c r="E16" s="76" t="s">
        <v>214</v>
      </c>
      <c r="F16" s="77">
        <v>355.96</v>
      </c>
      <c r="G16" s="77">
        <v>0</v>
      </c>
      <c r="H16" s="77">
        <v>355.96</v>
      </c>
      <c r="I16" s="76" t="s">
        <v>230</v>
      </c>
      <c r="J16" s="77">
        <v>0</v>
      </c>
      <c r="K16" s="78">
        <v>0</v>
      </c>
      <c r="M16" s="79" t="str">
        <f t="shared" si="2"/>
        <v>900-1061</v>
      </c>
      <c r="N16" s="79" t="str">
        <f t="shared" si="0"/>
        <v/>
      </c>
      <c r="O16" s="79" t="str">
        <f t="shared" si="1"/>
        <v>900</v>
      </c>
      <c r="P16" s="79" t="str">
        <f>IFERROR(VLOOKUP($M16,Export!$P:$R,2,FALSE),"-")</f>
        <v>-</v>
      </c>
      <c r="Q16" s="79" t="str">
        <f>IFERROR(VLOOKUP($M16,Export!$P:$R,3,FALSE),"-")</f>
        <v>-</v>
      </c>
      <c r="R16" s="80" t="e" cm="1">
        <f t="array" ref="R16">_xlfn.IFS(P16="Service", _xlfn.IFS(I16="SALES","GP",I16="SERVICE SALES","GP",I16="PARTS SALES","GP",I16="SERVICE COS","GP",I16="PARTS COS","GP",I16="SELLING EXPENSES","Selling Expenses",I16="EMPLOYMENT EXPENSES","Selling Expenses",I16="EMPLOYMENT EXPENSES","Selling Expenses",I16="DIRECT EXPENSES","Selling Expenses",I16="INDIRECT EXPENSES","Selling Expenses"),P16="Parts",_xlfn.IFS(I16="SALES","GP",I16="SERVICE SALES","GP",I16="PARTS SALES","GP",I16="SERVICE COS","GP",I16="PARTS COS","GP",I16="SELLING EXPENSES","Selling Expenses",I16="EMPLOYMENT EXPENSES","Selling Expenses",I16="EMPLOYMENT EXPENSES","Selling Expenses",I16="DIRECT EXPENSES","Selling Expenses",I16="INDIRECT EXPENSES","Selling Expenses"))</f>
        <v>#N/A</v>
      </c>
    </row>
    <row r="17" spans="1:18" x14ac:dyDescent="0.2">
      <c r="A17" s="75">
        <v>1070</v>
      </c>
      <c r="B17" s="76" t="s">
        <v>232</v>
      </c>
      <c r="C17" s="76">
        <v>900</v>
      </c>
      <c r="D17" s="76" t="s">
        <v>214</v>
      </c>
      <c r="E17" s="76" t="s">
        <v>214</v>
      </c>
      <c r="F17" s="77">
        <v>-26221.74</v>
      </c>
      <c r="G17" s="77">
        <v>85373.83</v>
      </c>
      <c r="H17" s="77">
        <v>59152.09</v>
      </c>
      <c r="I17" s="76" t="s">
        <v>230</v>
      </c>
      <c r="J17" s="77">
        <v>0</v>
      </c>
      <c r="K17" s="78">
        <v>0</v>
      </c>
      <c r="M17" s="79" t="str">
        <f t="shared" si="2"/>
        <v>900-1070</v>
      </c>
      <c r="N17" s="79" t="str">
        <f t="shared" si="0"/>
        <v/>
      </c>
      <c r="O17" s="79" t="str">
        <f t="shared" si="1"/>
        <v>900</v>
      </c>
      <c r="P17" s="79" t="str">
        <f>IFERROR(VLOOKUP($M17,Export!$P:$R,2,FALSE),"-")</f>
        <v>-</v>
      </c>
      <c r="Q17" s="79" t="str">
        <f>IFERROR(VLOOKUP($M17,Export!$P:$R,3,FALSE),"-")</f>
        <v>-</v>
      </c>
      <c r="R17" s="80" t="e" cm="1">
        <f t="array" ref="R17">_xlfn.IFS(P17="Service", _xlfn.IFS(I17="SALES","GP",I17="SERVICE SALES","GP",I17="PARTS SALES","GP",I17="SERVICE COS","GP",I17="PARTS COS","GP",I17="SELLING EXPENSES","Selling Expenses",I17="EMPLOYMENT EXPENSES","Selling Expenses",I17="EMPLOYMENT EXPENSES","Selling Expenses",I17="DIRECT EXPENSES","Selling Expenses",I17="INDIRECT EXPENSES","Selling Expenses"),P17="Parts",_xlfn.IFS(I17="SALES","GP",I17="SERVICE SALES","GP",I17="PARTS SALES","GP",I17="SERVICE COS","GP",I17="PARTS COS","GP",I17="SELLING EXPENSES","Selling Expenses",I17="EMPLOYMENT EXPENSES","Selling Expenses",I17="EMPLOYMENT EXPENSES","Selling Expenses",I17="DIRECT EXPENSES","Selling Expenses",I17="INDIRECT EXPENSES","Selling Expenses"))</f>
        <v>#N/A</v>
      </c>
    </row>
    <row r="18" spans="1:18" x14ac:dyDescent="0.2">
      <c r="A18" s="75">
        <v>1071</v>
      </c>
      <c r="B18" s="76" t="s">
        <v>233</v>
      </c>
      <c r="C18" s="76">
        <v>900</v>
      </c>
      <c r="D18" s="76" t="s">
        <v>214</v>
      </c>
      <c r="E18" s="76" t="s">
        <v>214</v>
      </c>
      <c r="F18" s="77">
        <v>-5000</v>
      </c>
      <c r="G18" s="77">
        <v>61444.4</v>
      </c>
      <c r="H18" s="77">
        <v>56444.4</v>
      </c>
      <c r="I18" s="76" t="s">
        <v>230</v>
      </c>
      <c r="J18" s="77">
        <v>0</v>
      </c>
      <c r="K18" s="78">
        <v>0</v>
      </c>
      <c r="M18" s="79" t="str">
        <f t="shared" si="2"/>
        <v>900-1071</v>
      </c>
      <c r="N18" s="79" t="str">
        <f t="shared" si="0"/>
        <v/>
      </c>
      <c r="O18" s="79" t="str">
        <f t="shared" si="1"/>
        <v>900</v>
      </c>
      <c r="P18" s="79" t="str">
        <f>IFERROR(VLOOKUP($M18,Export!$P:$R,2,FALSE),"-")</f>
        <v>-</v>
      </c>
      <c r="Q18" s="79" t="str">
        <f>IFERROR(VLOOKUP($M18,Export!$P:$R,3,FALSE),"-")</f>
        <v>-</v>
      </c>
      <c r="R18" s="80" t="e" cm="1">
        <f t="array" ref="R18">_xlfn.IFS(P18="Service", _xlfn.IFS(I18="SALES","GP",I18="SERVICE SALES","GP",I18="PARTS SALES","GP",I18="SERVICE COS","GP",I18="PARTS COS","GP",I18="SELLING EXPENSES","Selling Expenses",I18="EMPLOYMENT EXPENSES","Selling Expenses",I18="EMPLOYMENT EXPENSES","Selling Expenses",I18="DIRECT EXPENSES","Selling Expenses",I18="INDIRECT EXPENSES","Selling Expenses"),P18="Parts",_xlfn.IFS(I18="SALES","GP",I18="SERVICE SALES","GP",I18="PARTS SALES","GP",I18="SERVICE COS","GP",I18="PARTS COS","GP",I18="SELLING EXPENSES","Selling Expenses",I18="EMPLOYMENT EXPENSES","Selling Expenses",I18="EMPLOYMENT EXPENSES","Selling Expenses",I18="DIRECT EXPENSES","Selling Expenses",I18="INDIRECT EXPENSES","Selling Expenses"))</f>
        <v>#N/A</v>
      </c>
    </row>
    <row r="19" spans="1:18" x14ac:dyDescent="0.2">
      <c r="A19" s="75">
        <v>1072</v>
      </c>
      <c r="B19" s="76" t="s">
        <v>234</v>
      </c>
      <c r="C19" s="76">
        <v>900</v>
      </c>
      <c r="D19" s="76" t="s">
        <v>214</v>
      </c>
      <c r="E19" s="76" t="s">
        <v>214</v>
      </c>
      <c r="F19" s="77">
        <v>29450</v>
      </c>
      <c r="G19" s="77">
        <v>18600</v>
      </c>
      <c r="H19" s="77">
        <v>48050</v>
      </c>
      <c r="I19" s="76" t="s">
        <v>230</v>
      </c>
      <c r="J19" s="77">
        <v>0</v>
      </c>
      <c r="K19" s="78">
        <v>0</v>
      </c>
      <c r="M19" s="79" t="str">
        <f t="shared" si="2"/>
        <v>900-1072</v>
      </c>
      <c r="N19" s="79" t="str">
        <f t="shared" si="0"/>
        <v/>
      </c>
      <c r="O19" s="79" t="str">
        <f t="shared" si="1"/>
        <v>900</v>
      </c>
      <c r="P19" s="79" t="str">
        <f>IFERROR(VLOOKUP($M19,Export!$P:$R,2,FALSE),"-")</f>
        <v>-</v>
      </c>
      <c r="Q19" s="79" t="str">
        <f>IFERROR(VLOOKUP($M19,Export!$P:$R,3,FALSE),"-")</f>
        <v>-</v>
      </c>
      <c r="R19" s="80" t="e" cm="1">
        <f t="array" ref="R19">_xlfn.IFS(P19="Service", _xlfn.IFS(I19="SALES","GP",I19="SERVICE SALES","GP",I19="PARTS SALES","GP",I19="SERVICE COS","GP",I19="PARTS COS","GP",I19="SELLING EXPENSES","Selling Expenses",I19="EMPLOYMENT EXPENSES","Selling Expenses",I19="EMPLOYMENT EXPENSES","Selling Expenses",I19="DIRECT EXPENSES","Selling Expenses",I19="INDIRECT EXPENSES","Selling Expenses"),P19="Parts",_xlfn.IFS(I19="SALES","GP",I19="SERVICE SALES","GP",I19="PARTS SALES","GP",I19="SERVICE COS","GP",I19="PARTS COS","GP",I19="SELLING EXPENSES","Selling Expenses",I19="EMPLOYMENT EXPENSES","Selling Expenses",I19="EMPLOYMENT EXPENSES","Selling Expenses",I19="DIRECT EXPENSES","Selling Expenses",I19="INDIRECT EXPENSES","Selling Expenses"))</f>
        <v>#N/A</v>
      </c>
    </row>
    <row r="20" spans="1:18" x14ac:dyDescent="0.2">
      <c r="A20" s="75">
        <v>1075</v>
      </c>
      <c r="B20" s="76" t="s">
        <v>235</v>
      </c>
      <c r="C20" s="76">
        <v>900</v>
      </c>
      <c r="D20" s="76" t="s">
        <v>214</v>
      </c>
      <c r="E20" s="76" t="s">
        <v>214</v>
      </c>
      <c r="F20" s="77">
        <v>748940.66</v>
      </c>
      <c r="G20" s="77">
        <v>73917.710000000006</v>
      </c>
      <c r="H20" s="77">
        <v>822858.37</v>
      </c>
      <c r="I20" s="76" t="s">
        <v>230</v>
      </c>
      <c r="J20" s="77">
        <v>0</v>
      </c>
      <c r="K20" s="78">
        <v>0</v>
      </c>
      <c r="M20" s="79" t="str">
        <f t="shared" si="2"/>
        <v>900-1075</v>
      </c>
      <c r="N20" s="79" t="str">
        <f t="shared" si="0"/>
        <v/>
      </c>
      <c r="O20" s="79" t="str">
        <f t="shared" si="1"/>
        <v>900</v>
      </c>
      <c r="P20" s="79" t="str">
        <f>IFERROR(VLOOKUP($M20,Export!$P:$R,2,FALSE),"-")</f>
        <v>-</v>
      </c>
      <c r="Q20" s="79" t="str">
        <f>IFERROR(VLOOKUP($M20,Export!$P:$R,3,FALSE),"-")</f>
        <v>-</v>
      </c>
      <c r="R20" s="80" t="e" cm="1">
        <f t="array" ref="R20">_xlfn.IFS(P20="Service", _xlfn.IFS(I20="SALES","GP",I20="SERVICE SALES","GP",I20="PARTS SALES","GP",I20="SERVICE COS","GP",I20="PARTS COS","GP",I20="SELLING EXPENSES","Selling Expenses",I20="EMPLOYMENT EXPENSES","Selling Expenses",I20="EMPLOYMENT EXPENSES","Selling Expenses",I20="DIRECT EXPENSES","Selling Expenses",I20="INDIRECT EXPENSES","Selling Expenses"),P20="Parts",_xlfn.IFS(I20="SALES","GP",I20="SERVICE SALES","GP",I20="PARTS SALES","GP",I20="SERVICE COS","GP",I20="PARTS COS","GP",I20="SELLING EXPENSES","Selling Expenses",I20="EMPLOYMENT EXPENSES","Selling Expenses",I20="EMPLOYMENT EXPENSES","Selling Expenses",I20="DIRECT EXPENSES","Selling Expenses",I20="INDIRECT EXPENSES","Selling Expenses"))</f>
        <v>#N/A</v>
      </c>
    </row>
    <row r="21" spans="1:18" x14ac:dyDescent="0.2">
      <c r="A21" s="75">
        <v>1081</v>
      </c>
      <c r="B21" s="76" t="s">
        <v>236</v>
      </c>
      <c r="C21" s="76">
        <v>900</v>
      </c>
      <c r="D21" s="76" t="s">
        <v>214</v>
      </c>
      <c r="E21" s="76" t="s">
        <v>214</v>
      </c>
      <c r="F21" s="77">
        <v>0.01</v>
      </c>
      <c r="G21" s="77">
        <v>0</v>
      </c>
      <c r="H21" s="77">
        <v>0.01</v>
      </c>
      <c r="I21" s="76" t="s">
        <v>230</v>
      </c>
      <c r="J21" s="77">
        <v>0</v>
      </c>
      <c r="K21" s="78">
        <v>0</v>
      </c>
      <c r="M21" s="79" t="str">
        <f t="shared" si="2"/>
        <v>900-1081</v>
      </c>
      <c r="N21" s="79" t="str">
        <f t="shared" si="0"/>
        <v/>
      </c>
      <c r="O21" s="79" t="str">
        <f t="shared" si="1"/>
        <v>900</v>
      </c>
      <c r="P21" s="79" t="str">
        <f>IFERROR(VLOOKUP($M21,Export!$P:$R,2,FALSE),"-")</f>
        <v>-</v>
      </c>
      <c r="Q21" s="79" t="str">
        <f>IFERROR(VLOOKUP($M21,Export!$P:$R,3,FALSE),"-")</f>
        <v>-</v>
      </c>
      <c r="R21" s="80" t="e" cm="1">
        <f t="array" ref="R21">_xlfn.IFS(P21="Service", _xlfn.IFS(I21="SALES","GP",I21="SERVICE SALES","GP",I21="PARTS SALES","GP",I21="SERVICE COS","GP",I21="PARTS COS","GP",I21="SELLING EXPENSES","Selling Expenses",I21="EMPLOYMENT EXPENSES","Selling Expenses",I21="EMPLOYMENT EXPENSES","Selling Expenses",I21="DIRECT EXPENSES","Selling Expenses",I21="INDIRECT EXPENSES","Selling Expenses"),P21="Parts",_xlfn.IFS(I21="SALES","GP",I21="SERVICE SALES","GP",I21="PARTS SALES","GP",I21="SERVICE COS","GP",I21="PARTS COS","GP",I21="SELLING EXPENSES","Selling Expenses",I21="EMPLOYMENT EXPENSES","Selling Expenses",I21="EMPLOYMENT EXPENSES","Selling Expenses",I21="DIRECT EXPENSES","Selling Expenses",I21="INDIRECT EXPENSES","Selling Expenses"))</f>
        <v>#N/A</v>
      </c>
    </row>
    <row r="22" spans="1:18" x14ac:dyDescent="0.2">
      <c r="A22" s="75">
        <v>1090</v>
      </c>
      <c r="B22" s="76" t="s">
        <v>237</v>
      </c>
      <c r="C22" s="76">
        <v>900</v>
      </c>
      <c r="D22" s="76" t="s">
        <v>214</v>
      </c>
      <c r="E22" s="76" t="s">
        <v>214</v>
      </c>
      <c r="F22" s="77">
        <v>-54216.32</v>
      </c>
      <c r="G22" s="77">
        <v>13041.3</v>
      </c>
      <c r="H22" s="77">
        <v>-41175.019999999997</v>
      </c>
      <c r="I22" s="76" t="s">
        <v>230</v>
      </c>
      <c r="J22" s="77">
        <v>0</v>
      </c>
      <c r="K22" s="78">
        <v>0</v>
      </c>
      <c r="M22" s="79" t="str">
        <f t="shared" si="2"/>
        <v>900-1090</v>
      </c>
      <c r="N22" s="79" t="str">
        <f t="shared" si="0"/>
        <v/>
      </c>
      <c r="O22" s="79" t="str">
        <f t="shared" si="1"/>
        <v>900</v>
      </c>
      <c r="P22" s="79" t="str">
        <f>IFERROR(VLOOKUP($M22,Export!$P:$R,2,FALSE),"-")</f>
        <v>-</v>
      </c>
      <c r="Q22" s="79" t="str">
        <f>IFERROR(VLOOKUP($M22,Export!$P:$R,3,FALSE),"-")</f>
        <v>-</v>
      </c>
      <c r="R22" s="80" t="e" cm="1">
        <f t="array" ref="R22">_xlfn.IFS(P22="Service", _xlfn.IFS(I22="SALES","GP",I22="SERVICE SALES","GP",I22="PARTS SALES","GP",I22="SERVICE COS","GP",I22="PARTS COS","GP",I22="SELLING EXPENSES","Selling Expenses",I22="EMPLOYMENT EXPENSES","Selling Expenses",I22="EMPLOYMENT EXPENSES","Selling Expenses",I22="DIRECT EXPENSES","Selling Expenses",I22="INDIRECT EXPENSES","Selling Expenses"),P22="Parts",_xlfn.IFS(I22="SALES","GP",I22="SERVICE SALES","GP",I22="PARTS SALES","GP",I22="SERVICE COS","GP",I22="PARTS COS","GP",I22="SELLING EXPENSES","Selling Expenses",I22="EMPLOYMENT EXPENSES","Selling Expenses",I22="EMPLOYMENT EXPENSES","Selling Expenses",I22="DIRECT EXPENSES","Selling Expenses",I22="INDIRECT EXPENSES","Selling Expenses"))</f>
        <v>#N/A</v>
      </c>
    </row>
    <row r="23" spans="1:18" x14ac:dyDescent="0.2">
      <c r="A23" s="75">
        <v>1091</v>
      </c>
      <c r="B23" s="76" t="s">
        <v>238</v>
      </c>
      <c r="C23" s="76">
        <v>900</v>
      </c>
      <c r="D23" s="76" t="s">
        <v>214</v>
      </c>
      <c r="E23" s="76" t="s">
        <v>214</v>
      </c>
      <c r="F23" s="77">
        <v>-217609.55</v>
      </c>
      <c r="G23" s="77">
        <v>7521.75</v>
      </c>
      <c r="H23" s="77">
        <v>-210087.8</v>
      </c>
      <c r="I23" s="76" t="s">
        <v>230</v>
      </c>
      <c r="J23" s="77">
        <v>0</v>
      </c>
      <c r="K23" s="78">
        <v>0</v>
      </c>
      <c r="M23" s="79" t="str">
        <f t="shared" si="2"/>
        <v>900-1091</v>
      </c>
      <c r="N23" s="79" t="str">
        <f t="shared" si="0"/>
        <v/>
      </c>
      <c r="O23" s="79" t="str">
        <f t="shared" si="1"/>
        <v>900</v>
      </c>
      <c r="P23" s="79" t="str">
        <f>IFERROR(VLOOKUP($M23,Export!$P:$R,2,FALSE),"-")</f>
        <v>-</v>
      </c>
      <c r="Q23" s="79" t="str">
        <f>IFERROR(VLOOKUP($M23,Export!$P:$R,3,FALSE),"-")</f>
        <v>-</v>
      </c>
      <c r="R23" s="80" t="e" cm="1">
        <f t="array" ref="R23">_xlfn.IFS(P23="Service", _xlfn.IFS(I23="SALES","GP",I23="SERVICE SALES","GP",I23="PARTS SALES","GP",I23="SERVICE COS","GP",I23="PARTS COS","GP",I23="SELLING EXPENSES","Selling Expenses",I23="EMPLOYMENT EXPENSES","Selling Expenses",I23="EMPLOYMENT EXPENSES","Selling Expenses",I23="DIRECT EXPENSES","Selling Expenses",I23="INDIRECT EXPENSES","Selling Expenses"),P23="Parts",_xlfn.IFS(I23="SALES","GP",I23="SERVICE SALES","GP",I23="PARTS SALES","GP",I23="SERVICE COS","GP",I23="PARTS COS","GP",I23="SELLING EXPENSES","Selling Expenses",I23="EMPLOYMENT EXPENSES","Selling Expenses",I23="EMPLOYMENT EXPENSES","Selling Expenses",I23="DIRECT EXPENSES","Selling Expenses",I23="INDIRECT EXPENSES","Selling Expenses"))</f>
        <v>#N/A</v>
      </c>
    </row>
    <row r="24" spans="1:18" x14ac:dyDescent="0.2">
      <c r="A24" s="75">
        <v>1095</v>
      </c>
      <c r="B24" s="76" t="s">
        <v>239</v>
      </c>
      <c r="C24" s="76">
        <v>900</v>
      </c>
      <c r="D24" s="76" t="s">
        <v>214</v>
      </c>
      <c r="E24" s="76" t="s">
        <v>214</v>
      </c>
      <c r="F24" s="77">
        <v>66263.509999999995</v>
      </c>
      <c r="G24" s="77">
        <v>2822.34</v>
      </c>
      <c r="H24" s="77">
        <v>69085.850000000006</v>
      </c>
      <c r="I24" s="76" t="s">
        <v>230</v>
      </c>
      <c r="J24" s="77">
        <v>0</v>
      </c>
      <c r="K24" s="78">
        <v>0</v>
      </c>
      <c r="M24" s="79" t="str">
        <f t="shared" si="2"/>
        <v>900-1095</v>
      </c>
      <c r="N24" s="79" t="str">
        <f t="shared" si="0"/>
        <v/>
      </c>
      <c r="O24" s="79" t="str">
        <f t="shared" si="1"/>
        <v>900</v>
      </c>
      <c r="P24" s="79" t="str">
        <f>IFERROR(VLOOKUP($M24,Export!$P:$R,2,FALSE),"-")</f>
        <v>-</v>
      </c>
      <c r="Q24" s="79" t="str">
        <f>IFERROR(VLOOKUP($M24,Export!$P:$R,3,FALSE),"-")</f>
        <v>-</v>
      </c>
      <c r="R24" s="80" t="e" cm="1">
        <f t="array" ref="R24">_xlfn.IFS(P24="Service", _xlfn.IFS(I24="SALES","GP",I24="SERVICE SALES","GP",I24="PARTS SALES","GP",I24="SERVICE COS","GP",I24="PARTS COS","GP",I24="SELLING EXPENSES","Selling Expenses",I24="EMPLOYMENT EXPENSES","Selling Expenses",I24="EMPLOYMENT EXPENSES","Selling Expenses",I24="DIRECT EXPENSES","Selling Expenses",I24="INDIRECT EXPENSES","Selling Expenses"),P24="Parts",_xlfn.IFS(I24="SALES","GP",I24="SERVICE SALES","GP",I24="PARTS SALES","GP",I24="SERVICE COS","GP",I24="PARTS COS","GP",I24="SELLING EXPENSES","Selling Expenses",I24="EMPLOYMENT EXPENSES","Selling Expenses",I24="EMPLOYMENT EXPENSES","Selling Expenses",I24="DIRECT EXPENSES","Selling Expenses",I24="INDIRECT EXPENSES","Selling Expenses"))</f>
        <v>#N/A</v>
      </c>
    </row>
    <row r="25" spans="1:18" x14ac:dyDescent="0.2">
      <c r="A25" s="75">
        <v>1110</v>
      </c>
      <c r="B25" s="76" t="s">
        <v>240</v>
      </c>
      <c r="C25" s="76">
        <v>900</v>
      </c>
      <c r="D25" s="76" t="s">
        <v>214</v>
      </c>
      <c r="E25" s="76" t="s">
        <v>214</v>
      </c>
      <c r="F25" s="77">
        <v>-118240.3</v>
      </c>
      <c r="G25" s="77">
        <v>-1303.82</v>
      </c>
      <c r="H25" s="77">
        <v>-119544.12</v>
      </c>
      <c r="I25" s="76" t="s">
        <v>230</v>
      </c>
      <c r="J25" s="77">
        <v>0</v>
      </c>
      <c r="K25" s="78">
        <v>0</v>
      </c>
      <c r="M25" s="79" t="str">
        <f t="shared" si="2"/>
        <v>900-1110</v>
      </c>
      <c r="N25" s="79" t="str">
        <f t="shared" si="0"/>
        <v/>
      </c>
      <c r="O25" s="79" t="str">
        <f t="shared" si="1"/>
        <v>900</v>
      </c>
      <c r="P25" s="79" t="str">
        <f>IFERROR(VLOOKUP($M25,Export!$P:$R,2,FALSE),"-")</f>
        <v>-</v>
      </c>
      <c r="Q25" s="79" t="str">
        <f>IFERROR(VLOOKUP($M25,Export!$P:$R,3,FALSE),"-")</f>
        <v>-</v>
      </c>
      <c r="R25" s="80" t="e" cm="1">
        <f t="array" ref="R25">_xlfn.IFS(P25="Service", _xlfn.IFS(I25="SALES","GP",I25="SERVICE SALES","GP",I25="PARTS SALES","GP",I25="SERVICE COS","GP",I25="PARTS COS","GP",I25="SELLING EXPENSES","Selling Expenses",I25="EMPLOYMENT EXPENSES","Selling Expenses",I25="EMPLOYMENT EXPENSES","Selling Expenses",I25="DIRECT EXPENSES","Selling Expenses",I25="INDIRECT EXPENSES","Selling Expenses"),P25="Parts",_xlfn.IFS(I25="SALES","GP",I25="SERVICE SALES","GP",I25="PARTS SALES","GP",I25="SERVICE COS","GP",I25="PARTS COS","GP",I25="SELLING EXPENSES","Selling Expenses",I25="EMPLOYMENT EXPENSES","Selling Expenses",I25="EMPLOYMENT EXPENSES","Selling Expenses",I25="DIRECT EXPENSES","Selling Expenses",I25="INDIRECT EXPENSES","Selling Expenses"))</f>
        <v>#N/A</v>
      </c>
    </row>
    <row r="26" spans="1:18" x14ac:dyDescent="0.2">
      <c r="A26" s="75">
        <v>1111</v>
      </c>
      <c r="B26" s="76" t="s">
        <v>241</v>
      </c>
      <c r="C26" s="76">
        <v>900</v>
      </c>
      <c r="D26" s="76" t="s">
        <v>214</v>
      </c>
      <c r="E26" s="76" t="s">
        <v>214</v>
      </c>
      <c r="F26" s="77">
        <v>39009</v>
      </c>
      <c r="G26" s="77">
        <v>4189.6099999999997</v>
      </c>
      <c r="H26" s="77">
        <v>43198.61</v>
      </c>
      <c r="I26" s="76" t="s">
        <v>230</v>
      </c>
      <c r="J26" s="77">
        <v>0</v>
      </c>
      <c r="K26" s="78">
        <v>0</v>
      </c>
      <c r="M26" s="79" t="str">
        <f t="shared" si="2"/>
        <v>900-1111</v>
      </c>
      <c r="N26" s="79" t="str">
        <f t="shared" si="0"/>
        <v/>
      </c>
      <c r="O26" s="79" t="str">
        <f t="shared" si="1"/>
        <v>900</v>
      </c>
      <c r="P26" s="79" t="str">
        <f>IFERROR(VLOOKUP($M26,Export!$P:$R,2,FALSE),"-")</f>
        <v>-</v>
      </c>
      <c r="Q26" s="79" t="str">
        <f>IFERROR(VLOOKUP($M26,Export!$P:$R,3,FALSE),"-")</f>
        <v>-</v>
      </c>
      <c r="R26" s="80" t="e" cm="1">
        <f t="array" ref="R26">_xlfn.IFS(P26="Service", _xlfn.IFS(I26="SALES","GP",I26="SERVICE SALES","GP",I26="PARTS SALES","GP",I26="SERVICE COS","GP",I26="PARTS COS","GP",I26="SELLING EXPENSES","Selling Expenses",I26="EMPLOYMENT EXPENSES","Selling Expenses",I26="EMPLOYMENT EXPENSES","Selling Expenses",I26="DIRECT EXPENSES","Selling Expenses",I26="INDIRECT EXPENSES","Selling Expenses"),P26="Parts",_xlfn.IFS(I26="SALES","GP",I26="SERVICE SALES","GP",I26="PARTS SALES","GP",I26="SERVICE COS","GP",I26="PARTS COS","GP",I26="SELLING EXPENSES","Selling Expenses",I26="EMPLOYMENT EXPENSES","Selling Expenses",I26="EMPLOYMENT EXPENSES","Selling Expenses",I26="DIRECT EXPENSES","Selling Expenses",I26="INDIRECT EXPENSES","Selling Expenses"))</f>
        <v>#N/A</v>
      </c>
    </row>
    <row r="27" spans="1:18" x14ac:dyDescent="0.2">
      <c r="A27" s="75">
        <v>1170</v>
      </c>
      <c r="B27" s="76" t="s">
        <v>242</v>
      </c>
      <c r="C27" s="76">
        <v>900</v>
      </c>
      <c r="D27" s="76" t="s">
        <v>214</v>
      </c>
      <c r="E27" s="76" t="s">
        <v>214</v>
      </c>
      <c r="F27" s="77">
        <v>39851.760000000002</v>
      </c>
      <c r="G27" s="77">
        <v>19520.240000000002</v>
      </c>
      <c r="H27" s="77">
        <v>59372</v>
      </c>
      <c r="I27" s="76" t="s">
        <v>230</v>
      </c>
      <c r="J27" s="77">
        <v>0</v>
      </c>
      <c r="K27" s="78">
        <v>0</v>
      </c>
      <c r="M27" s="79" t="str">
        <f t="shared" si="2"/>
        <v>900-1170</v>
      </c>
      <c r="N27" s="79" t="str">
        <f t="shared" si="0"/>
        <v/>
      </c>
      <c r="O27" s="79" t="str">
        <f t="shared" si="1"/>
        <v>900</v>
      </c>
      <c r="P27" s="79" t="str">
        <f>IFERROR(VLOOKUP($M27,Export!$P:$R,2,FALSE),"-")</f>
        <v>-</v>
      </c>
      <c r="Q27" s="79" t="str">
        <f>IFERROR(VLOOKUP($M27,Export!$P:$R,3,FALSE),"-")</f>
        <v>-</v>
      </c>
      <c r="R27" s="80" t="e" cm="1">
        <f t="array" ref="R27">_xlfn.IFS(P27="Service", _xlfn.IFS(I27="SALES","GP",I27="SERVICE SALES","GP",I27="PARTS SALES","GP",I27="SERVICE COS","GP",I27="PARTS COS","GP",I27="SELLING EXPENSES","Selling Expenses",I27="EMPLOYMENT EXPENSES","Selling Expenses",I27="EMPLOYMENT EXPENSES","Selling Expenses",I27="DIRECT EXPENSES","Selling Expenses",I27="INDIRECT EXPENSES","Selling Expenses"),P27="Parts",_xlfn.IFS(I27="SALES","GP",I27="SERVICE SALES","GP",I27="PARTS SALES","GP",I27="SERVICE COS","GP",I27="PARTS COS","GP",I27="SELLING EXPENSES","Selling Expenses",I27="EMPLOYMENT EXPENSES","Selling Expenses",I27="EMPLOYMENT EXPENSES","Selling Expenses",I27="DIRECT EXPENSES","Selling Expenses",I27="INDIRECT EXPENSES","Selling Expenses"))</f>
        <v>#N/A</v>
      </c>
    </row>
    <row r="28" spans="1:18" x14ac:dyDescent="0.2">
      <c r="A28" s="75">
        <v>1230</v>
      </c>
      <c r="B28" s="76" t="s">
        <v>243</v>
      </c>
      <c r="C28" s="76">
        <v>900</v>
      </c>
      <c r="D28" s="76" t="s">
        <v>214</v>
      </c>
      <c r="E28" s="76" t="s">
        <v>214</v>
      </c>
      <c r="F28" s="77">
        <v>2661620.9500000002</v>
      </c>
      <c r="G28" s="77">
        <v>31484.28</v>
      </c>
      <c r="H28" s="77">
        <v>2693105.23</v>
      </c>
      <c r="I28" s="76" t="s">
        <v>244</v>
      </c>
      <c r="J28" s="77">
        <v>0</v>
      </c>
      <c r="K28" s="78">
        <v>0</v>
      </c>
      <c r="M28" s="79" t="str">
        <f t="shared" si="2"/>
        <v>900-1230</v>
      </c>
      <c r="N28" s="79" t="str">
        <f t="shared" si="0"/>
        <v/>
      </c>
      <c r="O28" s="79" t="str">
        <f t="shared" si="1"/>
        <v>900</v>
      </c>
      <c r="P28" s="79" t="str">
        <f>IFERROR(VLOOKUP($M28,Export!$P:$R,2,FALSE),"-")</f>
        <v>-</v>
      </c>
      <c r="Q28" s="79" t="str">
        <f>IFERROR(VLOOKUP($M28,Export!$P:$R,3,FALSE),"-")</f>
        <v>-</v>
      </c>
      <c r="R28" s="80" t="e" cm="1">
        <f t="array" ref="R28">_xlfn.IFS(P28="Service", _xlfn.IFS(I28="SALES","GP",I28="SERVICE SALES","GP",I28="PARTS SALES","GP",I28="SERVICE COS","GP",I28="PARTS COS","GP",I28="SELLING EXPENSES","Selling Expenses",I28="EMPLOYMENT EXPENSES","Selling Expenses",I28="EMPLOYMENT EXPENSES","Selling Expenses",I28="DIRECT EXPENSES","Selling Expenses",I28="INDIRECT EXPENSES","Selling Expenses"),P28="Parts",_xlfn.IFS(I28="SALES","GP",I28="SERVICE SALES","GP",I28="PARTS SALES","GP",I28="SERVICE COS","GP",I28="PARTS COS","GP",I28="SELLING EXPENSES","Selling Expenses",I28="EMPLOYMENT EXPENSES","Selling Expenses",I28="EMPLOYMENT EXPENSES","Selling Expenses",I28="DIRECT EXPENSES","Selling Expenses",I28="INDIRECT EXPENSES","Selling Expenses"))</f>
        <v>#N/A</v>
      </c>
    </row>
    <row r="29" spans="1:18" x14ac:dyDescent="0.2">
      <c r="A29" s="75" t="s">
        <v>245</v>
      </c>
      <c r="B29" s="76" t="s">
        <v>246</v>
      </c>
      <c r="C29" s="76">
        <v>900</v>
      </c>
      <c r="D29" s="76" t="s">
        <v>214</v>
      </c>
      <c r="E29" s="76" t="s">
        <v>247</v>
      </c>
      <c r="F29" s="77">
        <v>61</v>
      </c>
      <c r="G29" s="77">
        <v>-3</v>
      </c>
      <c r="H29" s="77">
        <v>58</v>
      </c>
      <c r="I29" s="76" t="s">
        <v>244</v>
      </c>
      <c r="J29" s="77">
        <v>0</v>
      </c>
      <c r="K29" s="78">
        <v>0</v>
      </c>
      <c r="M29" s="79" t="str">
        <f t="shared" si="2"/>
        <v>900-1230#</v>
      </c>
      <c r="N29" s="79" t="str">
        <f t="shared" si="0"/>
        <v>#</v>
      </c>
      <c r="O29" s="79" t="str">
        <f t="shared" si="1"/>
        <v>900#</v>
      </c>
      <c r="P29" s="79" t="str">
        <f>IFERROR(VLOOKUP($M29,Export!$P:$R,2,FALSE),"-")</f>
        <v>-</v>
      </c>
      <c r="Q29" s="79" t="str">
        <f>IFERROR(VLOOKUP($M29,Export!$P:$R,3,FALSE),"-")</f>
        <v>-</v>
      </c>
      <c r="R29" s="80" t="e" cm="1">
        <f t="array" ref="R29">_xlfn.IFS(P29="Service", _xlfn.IFS(I29="SALES","GP",I29="SERVICE SALES","GP",I29="PARTS SALES","GP",I29="SERVICE COS","GP",I29="PARTS COS","GP",I29="SELLING EXPENSES","Selling Expenses",I29="EMPLOYMENT EXPENSES","Selling Expenses",I29="EMPLOYMENT EXPENSES","Selling Expenses",I29="DIRECT EXPENSES","Selling Expenses",I29="INDIRECT EXPENSES","Selling Expenses"),P29="Parts",_xlfn.IFS(I29="SALES","GP",I29="SERVICE SALES","GP",I29="PARTS SALES","GP",I29="SERVICE COS","GP",I29="PARTS COS","GP",I29="SELLING EXPENSES","Selling Expenses",I29="EMPLOYMENT EXPENSES","Selling Expenses",I29="EMPLOYMENT EXPENSES","Selling Expenses",I29="DIRECT EXPENSES","Selling Expenses",I29="INDIRECT EXPENSES","Selling Expenses"))</f>
        <v>#N/A</v>
      </c>
    </row>
    <row r="30" spans="1:18" x14ac:dyDescent="0.2">
      <c r="A30" s="75">
        <v>1233</v>
      </c>
      <c r="B30" s="76" t="s">
        <v>248</v>
      </c>
      <c r="C30" s="76">
        <v>900</v>
      </c>
      <c r="D30" s="76" t="s">
        <v>214</v>
      </c>
      <c r="E30" s="76" t="s">
        <v>214</v>
      </c>
      <c r="F30" s="77">
        <v>1878017.56</v>
      </c>
      <c r="G30" s="77">
        <v>-232582.25</v>
      </c>
      <c r="H30" s="77">
        <v>1645435.31</v>
      </c>
      <c r="I30" s="76" t="s">
        <v>244</v>
      </c>
      <c r="J30" s="77">
        <v>0</v>
      </c>
      <c r="K30" s="78">
        <v>0</v>
      </c>
      <c r="M30" s="79" t="str">
        <f t="shared" si="2"/>
        <v>900-1233</v>
      </c>
      <c r="N30" s="79" t="str">
        <f t="shared" si="0"/>
        <v/>
      </c>
      <c r="O30" s="79" t="str">
        <f t="shared" si="1"/>
        <v>900</v>
      </c>
      <c r="P30" s="79" t="str">
        <f>IFERROR(VLOOKUP($M30,Export!$P:$R,2,FALSE),"-")</f>
        <v>-</v>
      </c>
      <c r="Q30" s="79" t="str">
        <f>IFERROR(VLOOKUP($M30,Export!$P:$R,3,FALSE),"-")</f>
        <v>-</v>
      </c>
      <c r="R30" s="80" t="e" cm="1">
        <f t="array" ref="R30">_xlfn.IFS(P30="Service", _xlfn.IFS(I30="SALES","GP",I30="SERVICE SALES","GP",I30="PARTS SALES","GP",I30="SERVICE COS","GP",I30="PARTS COS","GP",I30="SELLING EXPENSES","Selling Expenses",I30="EMPLOYMENT EXPENSES","Selling Expenses",I30="EMPLOYMENT EXPENSES","Selling Expenses",I30="DIRECT EXPENSES","Selling Expenses",I30="INDIRECT EXPENSES","Selling Expenses"),P30="Parts",_xlfn.IFS(I30="SALES","GP",I30="SERVICE SALES","GP",I30="PARTS SALES","GP",I30="SERVICE COS","GP",I30="PARTS COS","GP",I30="SELLING EXPENSES","Selling Expenses",I30="EMPLOYMENT EXPENSES","Selling Expenses",I30="EMPLOYMENT EXPENSES","Selling Expenses",I30="DIRECT EXPENSES","Selling Expenses",I30="INDIRECT EXPENSES","Selling Expenses"))</f>
        <v>#N/A</v>
      </c>
    </row>
    <row r="31" spans="1:18" x14ac:dyDescent="0.2">
      <c r="A31" s="75" t="s">
        <v>249</v>
      </c>
      <c r="B31" s="76" t="s">
        <v>250</v>
      </c>
      <c r="C31" s="76">
        <v>900</v>
      </c>
      <c r="D31" s="76" t="s">
        <v>214</v>
      </c>
      <c r="E31" s="76" t="s">
        <v>247</v>
      </c>
      <c r="F31" s="77">
        <v>25</v>
      </c>
      <c r="G31" s="77">
        <v>-3</v>
      </c>
      <c r="H31" s="77">
        <v>22</v>
      </c>
      <c r="I31" s="76" t="s">
        <v>244</v>
      </c>
      <c r="J31" s="77">
        <v>0</v>
      </c>
      <c r="K31" s="78">
        <v>0</v>
      </c>
      <c r="M31" s="79" t="str">
        <f t="shared" si="2"/>
        <v>900-1233#</v>
      </c>
      <c r="N31" s="79" t="str">
        <f t="shared" si="0"/>
        <v>#</v>
      </c>
      <c r="O31" s="79" t="str">
        <f t="shared" si="1"/>
        <v>900#</v>
      </c>
      <c r="P31" s="79" t="str">
        <f>IFERROR(VLOOKUP($M31,Export!$P:$R,2,FALSE),"-")</f>
        <v>-</v>
      </c>
      <c r="Q31" s="79" t="str">
        <f>IFERROR(VLOOKUP($M31,Export!$P:$R,3,FALSE),"-")</f>
        <v>-</v>
      </c>
      <c r="R31" s="80" t="e" cm="1">
        <f t="array" ref="R31">_xlfn.IFS(P31="Service", _xlfn.IFS(I31="SALES","GP",I31="SERVICE SALES","GP",I31="PARTS SALES","GP",I31="SERVICE COS","GP",I31="PARTS COS","GP",I31="SELLING EXPENSES","Selling Expenses",I31="EMPLOYMENT EXPENSES","Selling Expenses",I31="EMPLOYMENT EXPENSES","Selling Expenses",I31="DIRECT EXPENSES","Selling Expenses",I31="INDIRECT EXPENSES","Selling Expenses"),P31="Parts",_xlfn.IFS(I31="SALES","GP",I31="SERVICE SALES","GP",I31="PARTS SALES","GP",I31="SERVICE COS","GP",I31="PARTS COS","GP",I31="SELLING EXPENSES","Selling Expenses",I31="EMPLOYMENT EXPENSES","Selling Expenses",I31="EMPLOYMENT EXPENSES","Selling Expenses",I31="DIRECT EXPENSES","Selling Expenses",I31="INDIRECT EXPENSES","Selling Expenses"))</f>
        <v>#N/A</v>
      </c>
    </row>
    <row r="32" spans="1:18" x14ac:dyDescent="0.2">
      <c r="A32" s="75">
        <v>1235</v>
      </c>
      <c r="B32" s="76" t="s">
        <v>251</v>
      </c>
      <c r="C32" s="76">
        <v>900</v>
      </c>
      <c r="D32" s="76" t="s">
        <v>214</v>
      </c>
      <c r="E32" s="76" t="s">
        <v>214</v>
      </c>
      <c r="F32" s="77">
        <v>144315.56</v>
      </c>
      <c r="G32" s="77">
        <v>18555.560000000001</v>
      </c>
      <c r="H32" s="77">
        <v>162871.12</v>
      </c>
      <c r="I32" s="76" t="s">
        <v>244</v>
      </c>
      <c r="J32" s="77">
        <v>0</v>
      </c>
      <c r="K32" s="78">
        <v>0</v>
      </c>
      <c r="M32" s="79" t="str">
        <f t="shared" si="2"/>
        <v>900-1235</v>
      </c>
      <c r="N32" s="79" t="str">
        <f t="shared" si="0"/>
        <v/>
      </c>
      <c r="O32" s="79" t="str">
        <f t="shared" si="1"/>
        <v>900</v>
      </c>
      <c r="P32" s="79" t="str">
        <f>IFERROR(VLOOKUP($M32,Export!$P:$R,2,FALSE),"-")</f>
        <v>-</v>
      </c>
      <c r="Q32" s="79" t="str">
        <f>IFERROR(VLOOKUP($M32,Export!$P:$R,3,FALSE),"-")</f>
        <v>-</v>
      </c>
      <c r="R32" s="80" t="e" cm="1">
        <f t="array" ref="R32">_xlfn.IFS(P32="Service", _xlfn.IFS(I32="SALES","GP",I32="SERVICE SALES","GP",I32="PARTS SALES","GP",I32="SERVICE COS","GP",I32="PARTS COS","GP",I32="SELLING EXPENSES","Selling Expenses",I32="EMPLOYMENT EXPENSES","Selling Expenses",I32="EMPLOYMENT EXPENSES","Selling Expenses",I32="DIRECT EXPENSES","Selling Expenses",I32="INDIRECT EXPENSES","Selling Expenses"),P32="Parts",_xlfn.IFS(I32="SALES","GP",I32="SERVICE SALES","GP",I32="PARTS SALES","GP",I32="SERVICE COS","GP",I32="PARTS COS","GP",I32="SELLING EXPENSES","Selling Expenses",I32="EMPLOYMENT EXPENSES","Selling Expenses",I32="EMPLOYMENT EXPENSES","Selling Expenses",I32="DIRECT EXPENSES","Selling Expenses",I32="INDIRECT EXPENSES","Selling Expenses"))</f>
        <v>#N/A</v>
      </c>
    </row>
    <row r="33" spans="1:18" x14ac:dyDescent="0.2">
      <c r="A33" s="75">
        <v>1236</v>
      </c>
      <c r="B33" s="76" t="s">
        <v>252</v>
      </c>
      <c r="C33" s="76">
        <v>900</v>
      </c>
      <c r="D33" s="76" t="s">
        <v>214</v>
      </c>
      <c r="E33" s="76" t="s">
        <v>214</v>
      </c>
      <c r="F33" s="77">
        <v>13047.83</v>
      </c>
      <c r="G33" s="77">
        <v>-1365.58</v>
      </c>
      <c r="H33" s="77">
        <v>11682.25</v>
      </c>
      <c r="I33" s="76" t="s">
        <v>244</v>
      </c>
      <c r="J33" s="77">
        <v>0</v>
      </c>
      <c r="K33" s="78">
        <v>0</v>
      </c>
      <c r="M33" s="79" t="str">
        <f t="shared" si="2"/>
        <v>900-1236</v>
      </c>
      <c r="N33" s="79" t="str">
        <f t="shared" si="0"/>
        <v/>
      </c>
      <c r="O33" s="79" t="str">
        <f t="shared" si="1"/>
        <v>900</v>
      </c>
      <c r="P33" s="79" t="str">
        <f>IFERROR(VLOOKUP($M33,Export!$P:$R,2,FALSE),"-")</f>
        <v>-</v>
      </c>
      <c r="Q33" s="79" t="str">
        <f>IFERROR(VLOOKUP($M33,Export!$P:$R,3,FALSE),"-")</f>
        <v>-</v>
      </c>
      <c r="R33" s="80" t="e" cm="1">
        <f t="array" ref="R33">_xlfn.IFS(P33="Service", _xlfn.IFS(I33="SALES","GP",I33="SERVICE SALES","GP",I33="PARTS SALES","GP",I33="SERVICE COS","GP",I33="PARTS COS","GP",I33="SELLING EXPENSES","Selling Expenses",I33="EMPLOYMENT EXPENSES","Selling Expenses",I33="EMPLOYMENT EXPENSES","Selling Expenses",I33="DIRECT EXPENSES","Selling Expenses",I33="INDIRECT EXPENSES","Selling Expenses"),P33="Parts",_xlfn.IFS(I33="SALES","GP",I33="SERVICE SALES","GP",I33="PARTS SALES","GP",I33="SERVICE COS","GP",I33="PARTS COS","GP",I33="SELLING EXPENSES","Selling Expenses",I33="EMPLOYMENT EXPENSES","Selling Expenses",I33="EMPLOYMENT EXPENSES","Selling Expenses",I33="DIRECT EXPENSES","Selling Expenses",I33="INDIRECT EXPENSES","Selling Expenses"))</f>
        <v>#N/A</v>
      </c>
    </row>
    <row r="34" spans="1:18" x14ac:dyDescent="0.2">
      <c r="A34" s="75">
        <v>1240</v>
      </c>
      <c r="B34" s="76" t="s">
        <v>253</v>
      </c>
      <c r="C34" s="76">
        <v>900</v>
      </c>
      <c r="D34" s="76" t="s">
        <v>214</v>
      </c>
      <c r="E34" s="76" t="s">
        <v>214</v>
      </c>
      <c r="F34" s="77">
        <v>-85.8</v>
      </c>
      <c r="G34" s="77">
        <v>85.8</v>
      </c>
      <c r="H34" s="77">
        <v>0</v>
      </c>
      <c r="I34" s="76" t="s">
        <v>244</v>
      </c>
      <c r="J34" s="77">
        <v>0</v>
      </c>
      <c r="K34" s="78">
        <v>0</v>
      </c>
      <c r="M34" s="79" t="str">
        <f t="shared" si="2"/>
        <v>900-1240</v>
      </c>
      <c r="N34" s="79" t="str">
        <f t="shared" si="0"/>
        <v/>
      </c>
      <c r="O34" s="79" t="str">
        <f t="shared" si="1"/>
        <v>900</v>
      </c>
      <c r="P34" s="79" t="str">
        <f>IFERROR(VLOOKUP($M34,Export!$P:$R,2,FALSE),"-")</f>
        <v>-</v>
      </c>
      <c r="Q34" s="79" t="str">
        <f>IFERROR(VLOOKUP($M34,Export!$P:$R,3,FALSE),"-")</f>
        <v>-</v>
      </c>
      <c r="R34" s="80" t="e" cm="1">
        <f t="array" ref="R34">_xlfn.IFS(P34="Service", _xlfn.IFS(I34="SALES","GP",I34="SERVICE SALES","GP",I34="PARTS SALES","GP",I34="SERVICE COS","GP",I34="PARTS COS","GP",I34="SELLING EXPENSES","Selling Expenses",I34="EMPLOYMENT EXPENSES","Selling Expenses",I34="EMPLOYMENT EXPENSES","Selling Expenses",I34="DIRECT EXPENSES","Selling Expenses",I34="INDIRECT EXPENSES","Selling Expenses"),P34="Parts",_xlfn.IFS(I34="SALES","GP",I34="SERVICE SALES","GP",I34="PARTS SALES","GP",I34="SERVICE COS","GP",I34="PARTS COS","GP",I34="SELLING EXPENSES","Selling Expenses",I34="EMPLOYMENT EXPENSES","Selling Expenses",I34="EMPLOYMENT EXPENSES","Selling Expenses",I34="DIRECT EXPENSES","Selling Expenses",I34="INDIRECT EXPENSES","Selling Expenses"))</f>
        <v>#N/A</v>
      </c>
    </row>
    <row r="35" spans="1:18" x14ac:dyDescent="0.2">
      <c r="A35" s="75">
        <v>1241</v>
      </c>
      <c r="B35" s="76" t="s">
        <v>254</v>
      </c>
      <c r="C35" s="76">
        <v>900</v>
      </c>
      <c r="D35" s="76" t="s">
        <v>214</v>
      </c>
      <c r="E35" s="76" t="s">
        <v>214</v>
      </c>
      <c r="F35" s="77">
        <v>2590019.0699999998</v>
      </c>
      <c r="G35" s="77">
        <v>455150.91</v>
      </c>
      <c r="H35" s="77">
        <v>3045169.98</v>
      </c>
      <c r="I35" s="76" t="s">
        <v>244</v>
      </c>
      <c r="J35" s="77">
        <v>0</v>
      </c>
      <c r="K35" s="78">
        <v>0</v>
      </c>
      <c r="M35" s="79" t="str">
        <f t="shared" si="2"/>
        <v>900-1241</v>
      </c>
      <c r="N35" s="79" t="str">
        <f t="shared" si="0"/>
        <v/>
      </c>
      <c r="O35" s="79" t="str">
        <f t="shared" si="1"/>
        <v>900</v>
      </c>
      <c r="P35" s="79" t="str">
        <f>IFERROR(VLOOKUP($M35,Export!$P:$R,2,FALSE),"-")</f>
        <v>-</v>
      </c>
      <c r="Q35" s="79" t="str">
        <f>IFERROR(VLOOKUP($M35,Export!$P:$R,3,FALSE),"-")</f>
        <v>-</v>
      </c>
      <c r="R35" s="80" t="e" cm="1">
        <f t="array" ref="R35">_xlfn.IFS(P35="Service", _xlfn.IFS(I35="SALES","GP",I35="SERVICE SALES","GP",I35="PARTS SALES","GP",I35="SERVICE COS","GP",I35="PARTS COS","GP",I35="SELLING EXPENSES","Selling Expenses",I35="EMPLOYMENT EXPENSES","Selling Expenses",I35="EMPLOYMENT EXPENSES","Selling Expenses",I35="DIRECT EXPENSES","Selling Expenses",I35="INDIRECT EXPENSES","Selling Expenses"),P35="Parts",_xlfn.IFS(I35="SALES","GP",I35="SERVICE SALES","GP",I35="PARTS SALES","GP",I35="SERVICE COS","GP",I35="PARTS COS","GP",I35="SELLING EXPENSES","Selling Expenses",I35="EMPLOYMENT EXPENSES","Selling Expenses",I35="EMPLOYMENT EXPENSES","Selling Expenses",I35="DIRECT EXPENSES","Selling Expenses",I35="INDIRECT EXPENSES","Selling Expenses"))</f>
        <v>#N/A</v>
      </c>
    </row>
    <row r="36" spans="1:18" x14ac:dyDescent="0.2">
      <c r="A36" s="75" t="s">
        <v>255</v>
      </c>
      <c r="B36" s="76" t="s">
        <v>256</v>
      </c>
      <c r="C36" s="76">
        <v>900</v>
      </c>
      <c r="D36" s="76" t="s">
        <v>214</v>
      </c>
      <c r="E36" s="76" t="s">
        <v>247</v>
      </c>
      <c r="F36" s="77">
        <v>28</v>
      </c>
      <c r="G36" s="77">
        <v>5</v>
      </c>
      <c r="H36" s="77">
        <v>33</v>
      </c>
      <c r="I36" s="76" t="s">
        <v>244</v>
      </c>
      <c r="J36" s="77">
        <v>0</v>
      </c>
      <c r="K36" s="78">
        <v>0</v>
      </c>
      <c r="M36" s="79" t="str">
        <f t="shared" si="2"/>
        <v>900-1241#</v>
      </c>
      <c r="N36" s="79" t="str">
        <f t="shared" si="0"/>
        <v>#</v>
      </c>
      <c r="O36" s="79" t="str">
        <f t="shared" si="1"/>
        <v>900#</v>
      </c>
      <c r="P36" s="79" t="str">
        <f>IFERROR(VLOOKUP($M36,Export!$P:$R,2,FALSE),"-")</f>
        <v>-</v>
      </c>
      <c r="Q36" s="79" t="str">
        <f>IFERROR(VLOOKUP($M36,Export!$P:$R,3,FALSE),"-")</f>
        <v>-</v>
      </c>
      <c r="R36" s="80" t="e" cm="1">
        <f t="array" ref="R36">_xlfn.IFS(P36="Service", _xlfn.IFS(I36="SALES","GP",I36="SERVICE SALES","GP",I36="PARTS SALES","GP",I36="SERVICE COS","GP",I36="PARTS COS","GP",I36="SELLING EXPENSES","Selling Expenses",I36="EMPLOYMENT EXPENSES","Selling Expenses",I36="EMPLOYMENT EXPENSES","Selling Expenses",I36="DIRECT EXPENSES","Selling Expenses",I36="INDIRECT EXPENSES","Selling Expenses"),P36="Parts",_xlfn.IFS(I36="SALES","GP",I36="SERVICE SALES","GP",I36="PARTS SALES","GP",I36="SERVICE COS","GP",I36="PARTS COS","GP",I36="SELLING EXPENSES","Selling Expenses",I36="EMPLOYMENT EXPENSES","Selling Expenses",I36="EMPLOYMENT EXPENSES","Selling Expenses",I36="DIRECT EXPENSES","Selling Expenses",I36="INDIRECT EXPENSES","Selling Expenses"))</f>
        <v>#N/A</v>
      </c>
    </row>
    <row r="37" spans="1:18" x14ac:dyDescent="0.2">
      <c r="A37" s="75">
        <v>1245</v>
      </c>
      <c r="B37" s="76" t="s">
        <v>257</v>
      </c>
      <c r="C37" s="76">
        <v>900</v>
      </c>
      <c r="D37" s="76" t="s">
        <v>214</v>
      </c>
      <c r="E37" s="76" t="s">
        <v>214</v>
      </c>
      <c r="F37" s="77">
        <v>19658.11</v>
      </c>
      <c r="G37" s="77">
        <v>14701.99</v>
      </c>
      <c r="H37" s="77">
        <v>34360.1</v>
      </c>
      <c r="I37" s="76" t="s">
        <v>244</v>
      </c>
      <c r="J37" s="77">
        <v>0</v>
      </c>
      <c r="K37" s="78">
        <v>0</v>
      </c>
      <c r="M37" s="79" t="str">
        <f t="shared" si="2"/>
        <v>900-1245</v>
      </c>
      <c r="N37" s="79" t="str">
        <f t="shared" si="0"/>
        <v/>
      </c>
      <c r="O37" s="79" t="str">
        <f t="shared" si="1"/>
        <v>900</v>
      </c>
      <c r="P37" s="79" t="str">
        <f>IFERROR(VLOOKUP($M37,Export!$P:$R,2,FALSE),"-")</f>
        <v>-</v>
      </c>
      <c r="Q37" s="79" t="str">
        <f>IFERROR(VLOOKUP($M37,Export!$P:$R,3,FALSE),"-")</f>
        <v>-</v>
      </c>
      <c r="R37" s="80" t="e" cm="1">
        <f t="array" ref="R37">_xlfn.IFS(P37="Service", _xlfn.IFS(I37="SALES","GP",I37="SERVICE SALES","GP",I37="PARTS SALES","GP",I37="SERVICE COS","GP",I37="PARTS COS","GP",I37="SELLING EXPENSES","Selling Expenses",I37="EMPLOYMENT EXPENSES","Selling Expenses",I37="EMPLOYMENT EXPENSES","Selling Expenses",I37="DIRECT EXPENSES","Selling Expenses",I37="INDIRECT EXPENSES","Selling Expenses"),P37="Parts",_xlfn.IFS(I37="SALES","GP",I37="SERVICE SALES","GP",I37="PARTS SALES","GP",I37="SERVICE COS","GP",I37="PARTS COS","GP",I37="SELLING EXPENSES","Selling Expenses",I37="EMPLOYMENT EXPENSES","Selling Expenses",I37="EMPLOYMENT EXPENSES","Selling Expenses",I37="DIRECT EXPENSES","Selling Expenses",I37="INDIRECT EXPENSES","Selling Expenses"))</f>
        <v>#N/A</v>
      </c>
    </row>
    <row r="38" spans="1:18" x14ac:dyDescent="0.2">
      <c r="A38" s="75">
        <v>1246</v>
      </c>
      <c r="B38" s="76" t="s">
        <v>258</v>
      </c>
      <c r="C38" s="76">
        <v>900</v>
      </c>
      <c r="D38" s="76" t="s">
        <v>214</v>
      </c>
      <c r="E38" s="76" t="s">
        <v>214</v>
      </c>
      <c r="F38" s="77">
        <v>19760.91</v>
      </c>
      <c r="G38" s="77">
        <v>2259.25</v>
      </c>
      <c r="H38" s="77">
        <v>22020.16</v>
      </c>
      <c r="I38" s="76" t="s">
        <v>244</v>
      </c>
      <c r="J38" s="77">
        <v>0</v>
      </c>
      <c r="K38" s="78">
        <v>0</v>
      </c>
      <c r="M38" s="79" t="str">
        <f t="shared" si="2"/>
        <v>900-1246</v>
      </c>
      <c r="N38" s="79" t="str">
        <f t="shared" si="0"/>
        <v/>
      </c>
      <c r="O38" s="79" t="str">
        <f t="shared" si="1"/>
        <v>900</v>
      </c>
      <c r="P38" s="79" t="str">
        <f>IFERROR(VLOOKUP($M38,Export!$P:$R,2,FALSE),"-")</f>
        <v>-</v>
      </c>
      <c r="Q38" s="79" t="str">
        <f>IFERROR(VLOOKUP($M38,Export!$P:$R,3,FALSE),"-")</f>
        <v>-</v>
      </c>
      <c r="R38" s="80" t="e" cm="1">
        <f t="array" ref="R38">_xlfn.IFS(P38="Service", _xlfn.IFS(I38="SALES","GP",I38="SERVICE SALES","GP",I38="PARTS SALES","GP",I38="SERVICE COS","GP",I38="PARTS COS","GP",I38="SELLING EXPENSES","Selling Expenses",I38="EMPLOYMENT EXPENSES","Selling Expenses",I38="EMPLOYMENT EXPENSES","Selling Expenses",I38="DIRECT EXPENSES","Selling Expenses",I38="INDIRECT EXPENSES","Selling Expenses"),P38="Parts",_xlfn.IFS(I38="SALES","GP",I38="SERVICE SALES","GP",I38="PARTS SALES","GP",I38="SERVICE COS","GP",I38="PARTS COS","GP",I38="SELLING EXPENSES","Selling Expenses",I38="EMPLOYMENT EXPENSES","Selling Expenses",I38="EMPLOYMENT EXPENSES","Selling Expenses",I38="DIRECT EXPENSES","Selling Expenses",I38="INDIRECT EXPENSES","Selling Expenses"))</f>
        <v>#N/A</v>
      </c>
    </row>
    <row r="39" spans="1:18" x14ac:dyDescent="0.2">
      <c r="A39" s="75">
        <v>1250</v>
      </c>
      <c r="B39" s="76" t="s">
        <v>259</v>
      </c>
      <c r="C39" s="76">
        <v>900</v>
      </c>
      <c r="D39" s="76" t="s">
        <v>214</v>
      </c>
      <c r="E39" s="76" t="s">
        <v>214</v>
      </c>
      <c r="F39" s="77">
        <v>64.77</v>
      </c>
      <c r="G39" s="77">
        <v>0</v>
      </c>
      <c r="H39" s="77">
        <v>64.77</v>
      </c>
      <c r="I39" s="76" t="s">
        <v>244</v>
      </c>
      <c r="J39" s="77">
        <v>0</v>
      </c>
      <c r="K39" s="78">
        <v>0</v>
      </c>
      <c r="M39" s="79" t="str">
        <f t="shared" si="2"/>
        <v>900-1250</v>
      </c>
      <c r="N39" s="79" t="str">
        <f t="shared" si="0"/>
        <v/>
      </c>
      <c r="O39" s="79" t="str">
        <f t="shared" si="1"/>
        <v>900</v>
      </c>
      <c r="P39" s="79" t="str">
        <f>IFERROR(VLOOKUP($M39,Export!$P:$R,2,FALSE),"-")</f>
        <v>-</v>
      </c>
      <c r="Q39" s="79" t="str">
        <f>IFERROR(VLOOKUP($M39,Export!$P:$R,3,FALSE),"-")</f>
        <v>-</v>
      </c>
      <c r="R39" s="80" t="e" cm="1">
        <f t="array" ref="R39">_xlfn.IFS(P39="Service", _xlfn.IFS(I39="SALES","GP",I39="SERVICE SALES","GP",I39="PARTS SALES","GP",I39="SERVICE COS","GP",I39="PARTS COS","GP",I39="SELLING EXPENSES","Selling Expenses",I39="EMPLOYMENT EXPENSES","Selling Expenses",I39="EMPLOYMENT EXPENSES","Selling Expenses",I39="DIRECT EXPENSES","Selling Expenses",I39="INDIRECT EXPENSES","Selling Expenses"),P39="Parts",_xlfn.IFS(I39="SALES","GP",I39="SERVICE SALES","GP",I39="PARTS SALES","GP",I39="SERVICE COS","GP",I39="PARTS COS","GP",I39="SELLING EXPENSES","Selling Expenses",I39="EMPLOYMENT EXPENSES","Selling Expenses",I39="EMPLOYMENT EXPENSES","Selling Expenses",I39="DIRECT EXPENSES","Selling Expenses",I39="INDIRECT EXPENSES","Selling Expenses"))</f>
        <v>#N/A</v>
      </c>
    </row>
    <row r="40" spans="1:18" x14ac:dyDescent="0.2">
      <c r="A40" s="75">
        <v>1255</v>
      </c>
      <c r="B40" s="76" t="s">
        <v>260</v>
      </c>
      <c r="C40" s="76">
        <v>900</v>
      </c>
      <c r="D40" s="76" t="s">
        <v>214</v>
      </c>
      <c r="E40" s="76" t="s">
        <v>214</v>
      </c>
      <c r="F40" s="77">
        <v>33035.760000000002</v>
      </c>
      <c r="G40" s="77">
        <v>-36224.85</v>
      </c>
      <c r="H40" s="77">
        <v>-3189.09</v>
      </c>
      <c r="I40" s="76" t="s">
        <v>244</v>
      </c>
      <c r="J40" s="77">
        <v>0</v>
      </c>
      <c r="K40" s="78">
        <v>0</v>
      </c>
      <c r="M40" s="79" t="str">
        <f t="shared" si="2"/>
        <v>900-1255</v>
      </c>
      <c r="N40" s="79" t="str">
        <f t="shared" si="0"/>
        <v/>
      </c>
      <c r="O40" s="79" t="str">
        <f t="shared" si="1"/>
        <v>900</v>
      </c>
      <c r="P40" s="79" t="str">
        <f>IFERROR(VLOOKUP($M40,Export!$P:$R,2,FALSE),"-")</f>
        <v>-</v>
      </c>
      <c r="Q40" s="79" t="str">
        <f>IFERROR(VLOOKUP($M40,Export!$P:$R,3,FALSE),"-")</f>
        <v>-</v>
      </c>
      <c r="R40" s="80" t="e" cm="1">
        <f t="array" ref="R40">_xlfn.IFS(P40="Service", _xlfn.IFS(I40="SALES","GP",I40="SERVICE SALES","GP",I40="PARTS SALES","GP",I40="SERVICE COS","GP",I40="PARTS COS","GP",I40="SELLING EXPENSES","Selling Expenses",I40="EMPLOYMENT EXPENSES","Selling Expenses",I40="EMPLOYMENT EXPENSES","Selling Expenses",I40="DIRECT EXPENSES","Selling Expenses",I40="INDIRECT EXPENSES","Selling Expenses"),P40="Parts",_xlfn.IFS(I40="SALES","GP",I40="SERVICE SALES","GP",I40="PARTS SALES","GP",I40="SERVICE COS","GP",I40="PARTS COS","GP",I40="SELLING EXPENSES","Selling Expenses",I40="EMPLOYMENT EXPENSES","Selling Expenses",I40="EMPLOYMENT EXPENSES","Selling Expenses",I40="DIRECT EXPENSES","Selling Expenses",I40="INDIRECT EXPENSES","Selling Expenses"))</f>
        <v>#N/A</v>
      </c>
    </row>
    <row r="41" spans="1:18" x14ac:dyDescent="0.2">
      <c r="A41" s="75">
        <v>1319</v>
      </c>
      <c r="B41" s="76" t="s">
        <v>261</v>
      </c>
      <c r="C41" s="76">
        <v>900</v>
      </c>
      <c r="D41" s="76" t="s">
        <v>214</v>
      </c>
      <c r="E41" s="76" t="s">
        <v>214</v>
      </c>
      <c r="F41" s="77">
        <v>1980565.17</v>
      </c>
      <c r="G41" s="77">
        <v>-61217.36</v>
      </c>
      <c r="H41" s="77">
        <v>1919347.81</v>
      </c>
      <c r="I41" s="76" t="s">
        <v>244</v>
      </c>
      <c r="J41" s="77">
        <v>0</v>
      </c>
      <c r="K41" s="78">
        <v>0</v>
      </c>
      <c r="M41" s="79" t="str">
        <f t="shared" si="2"/>
        <v>900-1319</v>
      </c>
      <c r="N41" s="79" t="str">
        <f t="shared" si="0"/>
        <v/>
      </c>
      <c r="O41" s="79" t="str">
        <f t="shared" si="1"/>
        <v>900</v>
      </c>
      <c r="P41" s="79" t="str">
        <f>IFERROR(VLOOKUP($M41,Export!$P:$R,2,FALSE),"-")</f>
        <v>-</v>
      </c>
      <c r="Q41" s="79" t="str">
        <f>IFERROR(VLOOKUP($M41,Export!$P:$R,3,FALSE),"-")</f>
        <v>-</v>
      </c>
      <c r="R41" s="80" t="e" cm="1">
        <f t="array" ref="R41">_xlfn.IFS(P41="Service", _xlfn.IFS(I41="SALES","GP",I41="SERVICE SALES","GP",I41="PARTS SALES","GP",I41="SERVICE COS","GP",I41="PARTS COS","GP",I41="SELLING EXPENSES","Selling Expenses",I41="EMPLOYMENT EXPENSES","Selling Expenses",I41="EMPLOYMENT EXPENSES","Selling Expenses",I41="DIRECT EXPENSES","Selling Expenses",I41="INDIRECT EXPENSES","Selling Expenses"),P41="Parts",_xlfn.IFS(I41="SALES","GP",I41="SERVICE SALES","GP",I41="PARTS SALES","GP",I41="SERVICE COS","GP",I41="PARTS COS","GP",I41="SELLING EXPENSES","Selling Expenses",I41="EMPLOYMENT EXPENSES","Selling Expenses",I41="EMPLOYMENT EXPENSES","Selling Expenses",I41="DIRECT EXPENSES","Selling Expenses",I41="INDIRECT EXPENSES","Selling Expenses"))</f>
        <v>#N/A</v>
      </c>
    </row>
    <row r="42" spans="1:18" x14ac:dyDescent="0.2">
      <c r="A42" s="75" t="s">
        <v>262</v>
      </c>
      <c r="B42" s="76" t="s">
        <v>263</v>
      </c>
      <c r="C42" s="76">
        <v>900</v>
      </c>
      <c r="D42" s="76" t="s">
        <v>214</v>
      </c>
      <c r="E42" s="76" t="s">
        <v>247</v>
      </c>
      <c r="F42" s="77">
        <v>65</v>
      </c>
      <c r="G42" s="77">
        <v>-4</v>
      </c>
      <c r="H42" s="77">
        <v>61</v>
      </c>
      <c r="I42" s="76" t="s">
        <v>244</v>
      </c>
      <c r="J42" s="77">
        <v>0</v>
      </c>
      <c r="K42" s="78">
        <v>0</v>
      </c>
      <c r="M42" s="79" t="str">
        <f t="shared" si="2"/>
        <v>900-1319#</v>
      </c>
      <c r="N42" s="79" t="str">
        <f t="shared" si="0"/>
        <v>#</v>
      </c>
      <c r="O42" s="79" t="str">
        <f t="shared" si="1"/>
        <v>900#</v>
      </c>
      <c r="P42" s="79" t="str">
        <f>IFERROR(VLOOKUP($M42,Export!$P:$R,2,FALSE),"-")</f>
        <v>-</v>
      </c>
      <c r="Q42" s="79" t="str">
        <f>IFERROR(VLOOKUP($M42,Export!$P:$R,3,FALSE),"-")</f>
        <v>-</v>
      </c>
      <c r="R42" s="80" t="e" cm="1">
        <f t="array" ref="R42">_xlfn.IFS(P42="Service", _xlfn.IFS(I42="SALES","GP",I42="SERVICE SALES","GP",I42="PARTS SALES","GP",I42="SERVICE COS","GP",I42="PARTS COS","GP",I42="SELLING EXPENSES","Selling Expenses",I42="EMPLOYMENT EXPENSES","Selling Expenses",I42="EMPLOYMENT EXPENSES","Selling Expenses",I42="DIRECT EXPENSES","Selling Expenses",I42="INDIRECT EXPENSES","Selling Expenses"),P42="Parts",_xlfn.IFS(I42="SALES","GP",I42="SERVICE SALES","GP",I42="PARTS SALES","GP",I42="SERVICE COS","GP",I42="PARTS COS","GP",I42="SELLING EXPENSES","Selling Expenses",I42="EMPLOYMENT EXPENSES","Selling Expenses",I42="EMPLOYMENT EXPENSES","Selling Expenses",I42="DIRECT EXPENSES","Selling Expenses",I42="INDIRECT EXPENSES","Selling Expenses"))</f>
        <v>#N/A</v>
      </c>
    </row>
    <row r="43" spans="1:18" x14ac:dyDescent="0.2">
      <c r="A43" s="75">
        <v>1320</v>
      </c>
      <c r="B43" s="76" t="s">
        <v>264</v>
      </c>
      <c r="C43" s="76">
        <v>900</v>
      </c>
      <c r="D43" s="76" t="s">
        <v>214</v>
      </c>
      <c r="E43" s="76" t="s">
        <v>214</v>
      </c>
      <c r="F43" s="77">
        <v>3353166.41</v>
      </c>
      <c r="G43" s="77">
        <v>-676253.03</v>
      </c>
      <c r="H43" s="77">
        <v>2676913.38</v>
      </c>
      <c r="I43" s="76" t="s">
        <v>244</v>
      </c>
      <c r="J43" s="77">
        <v>0</v>
      </c>
      <c r="K43" s="78">
        <v>0</v>
      </c>
      <c r="M43" s="79" t="str">
        <f t="shared" si="2"/>
        <v>900-1320</v>
      </c>
      <c r="N43" s="79" t="str">
        <f t="shared" si="0"/>
        <v/>
      </c>
      <c r="O43" s="79" t="str">
        <f t="shared" si="1"/>
        <v>900</v>
      </c>
      <c r="P43" s="79" t="str">
        <f>IFERROR(VLOOKUP($M43,Export!$P:$R,2,FALSE),"-")</f>
        <v>-</v>
      </c>
      <c r="Q43" s="79" t="str">
        <f>IFERROR(VLOOKUP($M43,Export!$P:$R,3,FALSE),"-")</f>
        <v>-</v>
      </c>
      <c r="R43" s="80" t="e" cm="1">
        <f t="array" ref="R43">_xlfn.IFS(P43="Service", _xlfn.IFS(I43="SALES","GP",I43="SERVICE SALES","GP",I43="PARTS SALES","GP",I43="SERVICE COS","GP",I43="PARTS COS","GP",I43="SELLING EXPENSES","Selling Expenses",I43="EMPLOYMENT EXPENSES","Selling Expenses",I43="EMPLOYMENT EXPENSES","Selling Expenses",I43="DIRECT EXPENSES","Selling Expenses",I43="INDIRECT EXPENSES","Selling Expenses"),P43="Parts",_xlfn.IFS(I43="SALES","GP",I43="SERVICE SALES","GP",I43="PARTS SALES","GP",I43="SERVICE COS","GP",I43="PARTS COS","GP",I43="SELLING EXPENSES","Selling Expenses",I43="EMPLOYMENT EXPENSES","Selling Expenses",I43="EMPLOYMENT EXPENSES","Selling Expenses",I43="DIRECT EXPENSES","Selling Expenses",I43="INDIRECT EXPENSES","Selling Expenses"))</f>
        <v>#N/A</v>
      </c>
    </row>
    <row r="44" spans="1:18" x14ac:dyDescent="0.2">
      <c r="A44" s="75" t="s">
        <v>265</v>
      </c>
      <c r="B44" s="76" t="s">
        <v>266</v>
      </c>
      <c r="C44" s="76">
        <v>900</v>
      </c>
      <c r="D44" s="76" t="s">
        <v>214</v>
      </c>
      <c r="E44" s="76" t="s">
        <v>247</v>
      </c>
      <c r="F44" s="77">
        <v>136</v>
      </c>
      <c r="G44" s="77">
        <v>-29</v>
      </c>
      <c r="H44" s="77">
        <v>107</v>
      </c>
      <c r="I44" s="76" t="s">
        <v>244</v>
      </c>
      <c r="J44" s="77">
        <v>0</v>
      </c>
      <c r="K44" s="78">
        <v>0</v>
      </c>
      <c r="M44" s="79" t="str">
        <f t="shared" si="2"/>
        <v>900-1320#</v>
      </c>
      <c r="N44" s="79" t="str">
        <f t="shared" si="0"/>
        <v>#</v>
      </c>
      <c r="O44" s="79" t="str">
        <f t="shared" si="1"/>
        <v>900#</v>
      </c>
      <c r="P44" s="79" t="str">
        <f>IFERROR(VLOOKUP($M44,Export!$P:$R,2,FALSE),"-")</f>
        <v>-</v>
      </c>
      <c r="Q44" s="79" t="str">
        <f>IFERROR(VLOOKUP($M44,Export!$P:$R,3,FALSE),"-")</f>
        <v>-</v>
      </c>
      <c r="R44" s="80" t="e" cm="1">
        <f t="array" ref="R44">_xlfn.IFS(P44="Service", _xlfn.IFS(I44="SALES","GP",I44="SERVICE SALES","GP",I44="PARTS SALES","GP",I44="SERVICE COS","GP",I44="PARTS COS","GP",I44="SELLING EXPENSES","Selling Expenses",I44="EMPLOYMENT EXPENSES","Selling Expenses",I44="EMPLOYMENT EXPENSES","Selling Expenses",I44="DIRECT EXPENSES","Selling Expenses",I44="INDIRECT EXPENSES","Selling Expenses"),P44="Parts",_xlfn.IFS(I44="SALES","GP",I44="SERVICE SALES","GP",I44="PARTS SALES","GP",I44="SERVICE COS","GP",I44="PARTS COS","GP",I44="SELLING EXPENSES","Selling Expenses",I44="EMPLOYMENT EXPENSES","Selling Expenses",I44="EMPLOYMENT EXPENSES","Selling Expenses",I44="DIRECT EXPENSES","Selling Expenses",I44="INDIRECT EXPENSES","Selling Expenses"))</f>
        <v>#N/A</v>
      </c>
    </row>
    <row r="45" spans="1:18" x14ac:dyDescent="0.2">
      <c r="A45" s="75">
        <v>1321</v>
      </c>
      <c r="B45" s="76" t="s">
        <v>267</v>
      </c>
      <c r="C45" s="76">
        <v>900</v>
      </c>
      <c r="D45" s="76" t="s">
        <v>214</v>
      </c>
      <c r="E45" s="76" t="s">
        <v>214</v>
      </c>
      <c r="F45" s="77">
        <v>892748.03</v>
      </c>
      <c r="G45" s="77">
        <v>180796.19</v>
      </c>
      <c r="H45" s="77">
        <v>1073544.22</v>
      </c>
      <c r="I45" s="76" t="s">
        <v>244</v>
      </c>
      <c r="J45" s="77">
        <v>0</v>
      </c>
      <c r="K45" s="78">
        <v>0</v>
      </c>
      <c r="M45" s="79" t="str">
        <f t="shared" si="2"/>
        <v>900-1321</v>
      </c>
      <c r="N45" s="79" t="str">
        <f t="shared" si="0"/>
        <v/>
      </c>
      <c r="O45" s="79" t="str">
        <f t="shared" si="1"/>
        <v>900</v>
      </c>
      <c r="P45" s="79" t="str">
        <f>IFERROR(VLOOKUP($M45,Export!$P:$R,2,FALSE),"-")</f>
        <v>-</v>
      </c>
      <c r="Q45" s="79" t="str">
        <f>IFERROR(VLOOKUP($M45,Export!$P:$R,3,FALSE),"-")</f>
        <v>-</v>
      </c>
      <c r="R45" s="80" t="e" cm="1">
        <f t="array" ref="R45">_xlfn.IFS(P45="Service", _xlfn.IFS(I45="SALES","GP",I45="SERVICE SALES","GP",I45="PARTS SALES","GP",I45="SERVICE COS","GP",I45="PARTS COS","GP",I45="SELLING EXPENSES","Selling Expenses",I45="EMPLOYMENT EXPENSES","Selling Expenses",I45="EMPLOYMENT EXPENSES","Selling Expenses",I45="DIRECT EXPENSES","Selling Expenses",I45="INDIRECT EXPENSES","Selling Expenses"),P45="Parts",_xlfn.IFS(I45="SALES","GP",I45="SERVICE SALES","GP",I45="PARTS SALES","GP",I45="SERVICE COS","GP",I45="PARTS COS","GP",I45="SELLING EXPENSES","Selling Expenses",I45="EMPLOYMENT EXPENSES","Selling Expenses",I45="EMPLOYMENT EXPENSES","Selling Expenses",I45="DIRECT EXPENSES","Selling Expenses",I45="INDIRECT EXPENSES","Selling Expenses"))</f>
        <v>#N/A</v>
      </c>
    </row>
    <row r="46" spans="1:18" x14ac:dyDescent="0.2">
      <c r="A46" s="75" t="s">
        <v>268</v>
      </c>
      <c r="B46" s="76" t="s">
        <v>269</v>
      </c>
      <c r="C46" s="76">
        <v>900</v>
      </c>
      <c r="D46" s="76" t="s">
        <v>214</v>
      </c>
      <c r="E46" s="76" t="s">
        <v>247</v>
      </c>
      <c r="F46" s="77">
        <v>22</v>
      </c>
      <c r="G46" s="77">
        <v>0</v>
      </c>
      <c r="H46" s="77">
        <v>22</v>
      </c>
      <c r="I46" s="76" t="s">
        <v>244</v>
      </c>
      <c r="J46" s="77">
        <v>0</v>
      </c>
      <c r="K46" s="78">
        <v>0</v>
      </c>
      <c r="M46" s="79" t="str">
        <f t="shared" si="2"/>
        <v>900-1321#</v>
      </c>
      <c r="N46" s="79" t="str">
        <f t="shared" si="0"/>
        <v>#</v>
      </c>
      <c r="O46" s="79" t="str">
        <f t="shared" si="1"/>
        <v>900#</v>
      </c>
      <c r="P46" s="79" t="str">
        <f>IFERROR(VLOOKUP($M46,Export!$P:$R,2,FALSE),"-")</f>
        <v>-</v>
      </c>
      <c r="Q46" s="79" t="str">
        <f>IFERROR(VLOOKUP($M46,Export!$P:$R,3,FALSE),"-")</f>
        <v>-</v>
      </c>
      <c r="R46" s="80" t="e" cm="1">
        <f t="array" ref="R46">_xlfn.IFS(P46="Service", _xlfn.IFS(I46="SALES","GP",I46="SERVICE SALES","GP",I46="PARTS SALES","GP",I46="SERVICE COS","GP",I46="PARTS COS","GP",I46="SELLING EXPENSES","Selling Expenses",I46="EMPLOYMENT EXPENSES","Selling Expenses",I46="EMPLOYMENT EXPENSES","Selling Expenses",I46="DIRECT EXPENSES","Selling Expenses",I46="INDIRECT EXPENSES","Selling Expenses"),P46="Parts",_xlfn.IFS(I46="SALES","GP",I46="SERVICE SALES","GP",I46="PARTS SALES","GP",I46="SERVICE COS","GP",I46="PARTS COS","GP",I46="SELLING EXPENSES","Selling Expenses",I46="EMPLOYMENT EXPENSES","Selling Expenses",I46="EMPLOYMENT EXPENSES","Selling Expenses",I46="DIRECT EXPENSES","Selling Expenses",I46="INDIRECT EXPENSES","Selling Expenses"))</f>
        <v>#N/A</v>
      </c>
    </row>
    <row r="47" spans="1:18" x14ac:dyDescent="0.2">
      <c r="A47" s="75">
        <v>1325</v>
      </c>
      <c r="B47" s="76" t="s">
        <v>270</v>
      </c>
      <c r="C47" s="76">
        <v>900</v>
      </c>
      <c r="D47" s="76" t="s">
        <v>214</v>
      </c>
      <c r="E47" s="76" t="s">
        <v>214</v>
      </c>
      <c r="F47" s="77">
        <v>59427.86</v>
      </c>
      <c r="G47" s="77">
        <v>-3012.14</v>
      </c>
      <c r="H47" s="77">
        <v>56415.72</v>
      </c>
      <c r="I47" s="76" t="s">
        <v>244</v>
      </c>
      <c r="J47" s="77">
        <v>0</v>
      </c>
      <c r="K47" s="78">
        <v>0</v>
      </c>
      <c r="M47" s="79" t="str">
        <f t="shared" si="2"/>
        <v>900-1325</v>
      </c>
      <c r="N47" s="79" t="str">
        <f t="shared" si="0"/>
        <v/>
      </c>
      <c r="O47" s="79" t="str">
        <f t="shared" si="1"/>
        <v>900</v>
      </c>
      <c r="P47" s="79" t="str">
        <f>IFERROR(VLOOKUP($M47,Export!$P:$R,2,FALSE),"-")</f>
        <v>-</v>
      </c>
      <c r="Q47" s="79" t="str">
        <f>IFERROR(VLOOKUP($M47,Export!$P:$R,3,FALSE),"-")</f>
        <v>-</v>
      </c>
      <c r="R47" s="80" t="e" cm="1">
        <f t="array" ref="R47">_xlfn.IFS(P47="Service", _xlfn.IFS(I47="SALES","GP",I47="SERVICE SALES","GP",I47="PARTS SALES","GP",I47="SERVICE COS","GP",I47="PARTS COS","GP",I47="SELLING EXPENSES","Selling Expenses",I47="EMPLOYMENT EXPENSES","Selling Expenses",I47="EMPLOYMENT EXPENSES","Selling Expenses",I47="DIRECT EXPENSES","Selling Expenses",I47="INDIRECT EXPENSES","Selling Expenses"),P47="Parts",_xlfn.IFS(I47="SALES","GP",I47="SERVICE SALES","GP",I47="PARTS SALES","GP",I47="SERVICE COS","GP",I47="PARTS COS","GP",I47="SELLING EXPENSES","Selling Expenses",I47="EMPLOYMENT EXPENSES","Selling Expenses",I47="EMPLOYMENT EXPENSES","Selling Expenses",I47="DIRECT EXPENSES","Selling Expenses",I47="INDIRECT EXPENSES","Selling Expenses"))</f>
        <v>#N/A</v>
      </c>
    </row>
    <row r="48" spans="1:18" x14ac:dyDescent="0.2">
      <c r="A48" s="75">
        <v>1326</v>
      </c>
      <c r="B48" s="76" t="s">
        <v>271</v>
      </c>
      <c r="C48" s="76">
        <v>900</v>
      </c>
      <c r="D48" s="76" t="s">
        <v>214</v>
      </c>
      <c r="E48" s="76" t="s">
        <v>214</v>
      </c>
      <c r="F48" s="77">
        <v>27360.27</v>
      </c>
      <c r="G48" s="77">
        <v>-7744.36</v>
      </c>
      <c r="H48" s="77">
        <v>19615.91</v>
      </c>
      <c r="I48" s="76" t="s">
        <v>244</v>
      </c>
      <c r="J48" s="77">
        <v>0</v>
      </c>
      <c r="K48" s="78">
        <v>0</v>
      </c>
      <c r="M48" s="79" t="str">
        <f t="shared" si="2"/>
        <v>900-1326</v>
      </c>
      <c r="N48" s="79" t="str">
        <f t="shared" si="0"/>
        <v/>
      </c>
      <c r="O48" s="79" t="str">
        <f t="shared" si="1"/>
        <v>900</v>
      </c>
      <c r="P48" s="79" t="str">
        <f>IFERROR(VLOOKUP($M48,Export!$P:$R,2,FALSE),"-")</f>
        <v>-</v>
      </c>
      <c r="Q48" s="79" t="str">
        <f>IFERROR(VLOOKUP($M48,Export!$P:$R,3,FALSE),"-")</f>
        <v>-</v>
      </c>
      <c r="R48" s="80" t="e" cm="1">
        <f t="array" ref="R48">_xlfn.IFS(P48="Service", _xlfn.IFS(I48="SALES","GP",I48="SERVICE SALES","GP",I48="PARTS SALES","GP",I48="SERVICE COS","GP",I48="PARTS COS","GP",I48="SELLING EXPENSES","Selling Expenses",I48="EMPLOYMENT EXPENSES","Selling Expenses",I48="EMPLOYMENT EXPENSES","Selling Expenses",I48="DIRECT EXPENSES","Selling Expenses",I48="INDIRECT EXPENSES","Selling Expenses"),P48="Parts",_xlfn.IFS(I48="SALES","GP",I48="SERVICE SALES","GP",I48="PARTS SALES","GP",I48="SERVICE COS","GP",I48="PARTS COS","GP",I48="SELLING EXPENSES","Selling Expenses",I48="EMPLOYMENT EXPENSES","Selling Expenses",I48="EMPLOYMENT EXPENSES","Selling Expenses",I48="DIRECT EXPENSES","Selling Expenses",I48="INDIRECT EXPENSES","Selling Expenses"))</f>
        <v>#N/A</v>
      </c>
    </row>
    <row r="49" spans="1:18" x14ac:dyDescent="0.2">
      <c r="A49" s="75">
        <v>1327</v>
      </c>
      <c r="B49" s="76" t="s">
        <v>272</v>
      </c>
      <c r="C49" s="76">
        <v>900</v>
      </c>
      <c r="D49" s="76" t="s">
        <v>214</v>
      </c>
      <c r="E49" s="76" t="s">
        <v>214</v>
      </c>
      <c r="F49" s="77">
        <v>17452.38</v>
      </c>
      <c r="G49" s="77">
        <v>-2158.4899999999998</v>
      </c>
      <c r="H49" s="77">
        <v>15293.89</v>
      </c>
      <c r="I49" s="76" t="s">
        <v>244</v>
      </c>
      <c r="J49" s="77">
        <v>0</v>
      </c>
      <c r="K49" s="78">
        <v>0</v>
      </c>
      <c r="M49" s="79" t="str">
        <f t="shared" si="2"/>
        <v>900-1327</v>
      </c>
      <c r="N49" s="79" t="str">
        <f t="shared" si="0"/>
        <v/>
      </c>
      <c r="O49" s="79" t="str">
        <f t="shared" si="1"/>
        <v>900</v>
      </c>
      <c r="P49" s="79" t="str">
        <f>IFERROR(VLOOKUP($M49,Export!$P:$R,2,FALSE),"-")</f>
        <v>-</v>
      </c>
      <c r="Q49" s="79" t="str">
        <f>IFERROR(VLOOKUP($M49,Export!$P:$R,3,FALSE),"-")</f>
        <v>-</v>
      </c>
      <c r="R49" s="80" t="e" cm="1">
        <f t="array" ref="R49">_xlfn.IFS(P49="Service", _xlfn.IFS(I49="SALES","GP",I49="SERVICE SALES","GP",I49="PARTS SALES","GP",I49="SERVICE COS","GP",I49="PARTS COS","GP",I49="SELLING EXPENSES","Selling Expenses",I49="EMPLOYMENT EXPENSES","Selling Expenses",I49="EMPLOYMENT EXPENSES","Selling Expenses",I49="DIRECT EXPENSES","Selling Expenses",I49="INDIRECT EXPENSES","Selling Expenses"),P49="Parts",_xlfn.IFS(I49="SALES","GP",I49="SERVICE SALES","GP",I49="PARTS SALES","GP",I49="SERVICE COS","GP",I49="PARTS COS","GP",I49="SELLING EXPENSES","Selling Expenses",I49="EMPLOYMENT EXPENSES","Selling Expenses",I49="EMPLOYMENT EXPENSES","Selling Expenses",I49="DIRECT EXPENSES","Selling Expenses",I49="INDIRECT EXPENSES","Selling Expenses"))</f>
        <v>#N/A</v>
      </c>
    </row>
    <row r="50" spans="1:18" x14ac:dyDescent="0.2">
      <c r="A50" s="75">
        <v>1350</v>
      </c>
      <c r="B50" s="76" t="s">
        <v>273</v>
      </c>
      <c r="C50" s="76">
        <v>900</v>
      </c>
      <c r="D50" s="76" t="s">
        <v>214</v>
      </c>
      <c r="E50" s="76" t="s">
        <v>214</v>
      </c>
      <c r="F50" s="77">
        <v>0</v>
      </c>
      <c r="G50" s="77">
        <v>46252.17</v>
      </c>
      <c r="H50" s="77">
        <v>46252.17</v>
      </c>
      <c r="I50" s="76" t="s">
        <v>244</v>
      </c>
      <c r="J50" s="77">
        <v>0</v>
      </c>
      <c r="K50" s="78">
        <v>0</v>
      </c>
      <c r="M50" s="79" t="str">
        <f t="shared" si="2"/>
        <v>900-1350</v>
      </c>
      <c r="N50" s="79" t="str">
        <f t="shared" si="0"/>
        <v/>
      </c>
      <c r="O50" s="79" t="str">
        <f t="shared" si="1"/>
        <v>900</v>
      </c>
      <c r="P50" s="79" t="str">
        <f>IFERROR(VLOOKUP($M50,Export!$P:$R,2,FALSE),"-")</f>
        <v>-</v>
      </c>
      <c r="Q50" s="79" t="str">
        <f>IFERROR(VLOOKUP($M50,Export!$P:$R,3,FALSE),"-")</f>
        <v>-</v>
      </c>
      <c r="R50" s="80" t="e" cm="1">
        <f t="array" ref="R50">_xlfn.IFS(P50="Service", _xlfn.IFS(I50="SALES","GP",I50="SERVICE SALES","GP",I50="PARTS SALES","GP",I50="SERVICE COS","GP",I50="PARTS COS","GP",I50="SELLING EXPENSES","Selling Expenses",I50="EMPLOYMENT EXPENSES","Selling Expenses",I50="EMPLOYMENT EXPENSES","Selling Expenses",I50="DIRECT EXPENSES","Selling Expenses",I50="INDIRECT EXPENSES","Selling Expenses"),P50="Parts",_xlfn.IFS(I50="SALES","GP",I50="SERVICE SALES","GP",I50="PARTS SALES","GP",I50="SERVICE COS","GP",I50="PARTS COS","GP",I50="SELLING EXPENSES","Selling Expenses",I50="EMPLOYMENT EXPENSES","Selling Expenses",I50="EMPLOYMENT EXPENSES","Selling Expenses",I50="DIRECT EXPENSES","Selling Expenses",I50="INDIRECT EXPENSES","Selling Expenses"))</f>
        <v>#N/A</v>
      </c>
    </row>
    <row r="51" spans="1:18" x14ac:dyDescent="0.2">
      <c r="A51" s="75">
        <v>1351</v>
      </c>
      <c r="B51" s="76" t="s">
        <v>274</v>
      </c>
      <c r="C51" s="76">
        <v>900</v>
      </c>
      <c r="D51" s="76" t="s">
        <v>214</v>
      </c>
      <c r="E51" s="76" t="s">
        <v>214</v>
      </c>
      <c r="F51" s="77">
        <v>5264.68</v>
      </c>
      <c r="G51" s="77">
        <v>101.16</v>
      </c>
      <c r="H51" s="77">
        <v>5365.84</v>
      </c>
      <c r="I51" s="76" t="s">
        <v>244</v>
      </c>
      <c r="J51" s="77">
        <v>0</v>
      </c>
      <c r="K51" s="78">
        <v>0</v>
      </c>
      <c r="M51" s="79" t="str">
        <f t="shared" si="2"/>
        <v>900-1351</v>
      </c>
      <c r="N51" s="79" t="str">
        <f t="shared" si="0"/>
        <v/>
      </c>
      <c r="O51" s="79" t="str">
        <f t="shared" si="1"/>
        <v>900</v>
      </c>
      <c r="P51" s="79" t="str">
        <f>IFERROR(VLOOKUP($M51,Export!$P:$R,2,FALSE),"-")</f>
        <v>-</v>
      </c>
      <c r="Q51" s="79" t="str">
        <f>IFERROR(VLOOKUP($M51,Export!$P:$R,3,FALSE),"-")</f>
        <v>-</v>
      </c>
      <c r="R51" s="80" t="e" cm="1">
        <f t="array" ref="R51">_xlfn.IFS(P51="Service", _xlfn.IFS(I51="SALES","GP",I51="SERVICE SALES","GP",I51="PARTS SALES","GP",I51="SERVICE COS","GP",I51="PARTS COS","GP",I51="SELLING EXPENSES","Selling Expenses",I51="EMPLOYMENT EXPENSES","Selling Expenses",I51="EMPLOYMENT EXPENSES","Selling Expenses",I51="DIRECT EXPENSES","Selling Expenses",I51="INDIRECT EXPENSES","Selling Expenses"),P51="Parts",_xlfn.IFS(I51="SALES","GP",I51="SERVICE SALES","GP",I51="PARTS SALES","GP",I51="SERVICE COS","GP",I51="PARTS COS","GP",I51="SELLING EXPENSES","Selling Expenses",I51="EMPLOYMENT EXPENSES","Selling Expenses",I51="EMPLOYMENT EXPENSES","Selling Expenses",I51="DIRECT EXPENSES","Selling Expenses",I51="INDIRECT EXPENSES","Selling Expenses"))</f>
        <v>#N/A</v>
      </c>
    </row>
    <row r="52" spans="1:18" x14ac:dyDescent="0.2">
      <c r="A52" s="75">
        <v>1380</v>
      </c>
      <c r="B52" s="76" t="s">
        <v>275</v>
      </c>
      <c r="C52" s="76">
        <v>900</v>
      </c>
      <c r="D52" s="76" t="s">
        <v>214</v>
      </c>
      <c r="E52" s="76" t="s">
        <v>214</v>
      </c>
      <c r="F52" s="77">
        <v>760576.57</v>
      </c>
      <c r="G52" s="77">
        <v>91702.51</v>
      </c>
      <c r="H52" s="77">
        <v>852279.08</v>
      </c>
      <c r="I52" s="76" t="s">
        <v>244</v>
      </c>
      <c r="J52" s="77">
        <v>0</v>
      </c>
      <c r="K52" s="78">
        <v>0</v>
      </c>
      <c r="M52" s="79" t="str">
        <f t="shared" si="2"/>
        <v>900-1380</v>
      </c>
      <c r="N52" s="79" t="str">
        <f t="shared" si="0"/>
        <v/>
      </c>
      <c r="O52" s="79" t="str">
        <f t="shared" si="1"/>
        <v>900</v>
      </c>
      <c r="P52" s="79" t="str">
        <f>IFERROR(VLOOKUP($M52,Export!$P:$R,2,FALSE),"-")</f>
        <v>-</v>
      </c>
      <c r="Q52" s="79" t="str">
        <f>IFERROR(VLOOKUP($M52,Export!$P:$R,3,FALSE),"-")</f>
        <v>-</v>
      </c>
      <c r="R52" s="80" t="e" cm="1">
        <f t="array" ref="R52">_xlfn.IFS(P52="Service", _xlfn.IFS(I52="SALES","GP",I52="SERVICE SALES","GP",I52="PARTS SALES","GP",I52="SERVICE COS","GP",I52="PARTS COS","GP",I52="SELLING EXPENSES","Selling Expenses",I52="EMPLOYMENT EXPENSES","Selling Expenses",I52="EMPLOYMENT EXPENSES","Selling Expenses",I52="DIRECT EXPENSES","Selling Expenses",I52="INDIRECT EXPENSES","Selling Expenses"),P52="Parts",_xlfn.IFS(I52="SALES","GP",I52="SERVICE SALES","GP",I52="PARTS SALES","GP",I52="SERVICE COS","GP",I52="PARTS COS","GP",I52="SELLING EXPENSES","Selling Expenses",I52="EMPLOYMENT EXPENSES","Selling Expenses",I52="EMPLOYMENT EXPENSES","Selling Expenses",I52="DIRECT EXPENSES","Selling Expenses",I52="INDIRECT EXPENSES","Selling Expenses"))</f>
        <v>#N/A</v>
      </c>
    </row>
    <row r="53" spans="1:18" x14ac:dyDescent="0.2">
      <c r="A53" s="75">
        <v>1400</v>
      </c>
      <c r="B53" s="76" t="s">
        <v>276</v>
      </c>
      <c r="C53" s="76">
        <v>900</v>
      </c>
      <c r="D53" s="76" t="s">
        <v>214</v>
      </c>
      <c r="E53" s="76" t="s">
        <v>214</v>
      </c>
      <c r="F53" s="77">
        <v>-15.23</v>
      </c>
      <c r="G53" s="77">
        <v>0</v>
      </c>
      <c r="H53" s="77">
        <v>-15.23</v>
      </c>
      <c r="I53" s="76" t="s">
        <v>244</v>
      </c>
      <c r="J53" s="77">
        <v>0</v>
      </c>
      <c r="K53" s="78">
        <v>0</v>
      </c>
      <c r="M53" s="79" t="str">
        <f t="shared" si="2"/>
        <v>900-1400</v>
      </c>
      <c r="N53" s="79" t="str">
        <f t="shared" si="0"/>
        <v/>
      </c>
      <c r="O53" s="79" t="str">
        <f t="shared" si="1"/>
        <v>900</v>
      </c>
      <c r="P53" s="79" t="str">
        <f>IFERROR(VLOOKUP($M53,Export!$P:$R,2,FALSE),"-")</f>
        <v>-</v>
      </c>
      <c r="Q53" s="79" t="str">
        <f>IFERROR(VLOOKUP($M53,Export!$P:$R,3,FALSE),"-")</f>
        <v>-</v>
      </c>
      <c r="R53" s="80" t="e" cm="1">
        <f t="array" ref="R53">_xlfn.IFS(P53="Service", _xlfn.IFS(I53="SALES","GP",I53="SERVICE SALES","GP",I53="PARTS SALES","GP",I53="SERVICE COS","GP",I53="PARTS COS","GP",I53="SELLING EXPENSES","Selling Expenses",I53="EMPLOYMENT EXPENSES","Selling Expenses",I53="EMPLOYMENT EXPENSES","Selling Expenses",I53="DIRECT EXPENSES","Selling Expenses",I53="INDIRECT EXPENSES","Selling Expenses"),P53="Parts",_xlfn.IFS(I53="SALES","GP",I53="SERVICE SALES","GP",I53="PARTS SALES","GP",I53="SERVICE COS","GP",I53="PARTS COS","GP",I53="SELLING EXPENSES","Selling Expenses",I53="EMPLOYMENT EXPENSES","Selling Expenses",I53="EMPLOYMENT EXPENSES","Selling Expenses",I53="DIRECT EXPENSES","Selling Expenses",I53="INDIRECT EXPENSES","Selling Expenses"))</f>
        <v>#N/A</v>
      </c>
    </row>
    <row r="54" spans="1:18" x14ac:dyDescent="0.2">
      <c r="A54" s="75">
        <v>1470</v>
      </c>
      <c r="B54" s="76" t="s">
        <v>277</v>
      </c>
      <c r="C54" s="76">
        <v>900</v>
      </c>
      <c r="D54" s="76" t="s">
        <v>214</v>
      </c>
      <c r="E54" s="76" t="s">
        <v>214</v>
      </c>
      <c r="F54" s="77">
        <v>573001.54</v>
      </c>
      <c r="G54" s="77">
        <v>9859.1299999999992</v>
      </c>
      <c r="H54" s="77">
        <v>582860.67000000004</v>
      </c>
      <c r="I54" s="76" t="s">
        <v>244</v>
      </c>
      <c r="J54" s="77">
        <v>0</v>
      </c>
      <c r="K54" s="78">
        <v>0</v>
      </c>
      <c r="M54" s="79" t="str">
        <f t="shared" si="2"/>
        <v>900-1470</v>
      </c>
      <c r="N54" s="79" t="str">
        <f t="shared" si="0"/>
        <v/>
      </c>
      <c r="O54" s="79" t="str">
        <f t="shared" si="1"/>
        <v>900</v>
      </c>
      <c r="P54" s="79" t="str">
        <f>IFERROR(VLOOKUP($M54,Export!$P:$R,2,FALSE),"-")</f>
        <v>-</v>
      </c>
      <c r="Q54" s="79" t="str">
        <f>IFERROR(VLOOKUP($M54,Export!$P:$R,3,FALSE),"-")</f>
        <v>-</v>
      </c>
      <c r="R54" s="80" t="e" cm="1">
        <f t="array" ref="R54">_xlfn.IFS(P54="Service", _xlfn.IFS(I54="SALES","GP",I54="SERVICE SALES","GP",I54="PARTS SALES","GP",I54="SERVICE COS","GP",I54="PARTS COS","GP",I54="SELLING EXPENSES","Selling Expenses",I54="EMPLOYMENT EXPENSES","Selling Expenses",I54="EMPLOYMENT EXPENSES","Selling Expenses",I54="DIRECT EXPENSES","Selling Expenses",I54="INDIRECT EXPENSES","Selling Expenses"),P54="Parts",_xlfn.IFS(I54="SALES","GP",I54="SERVICE SALES","GP",I54="PARTS SALES","GP",I54="SERVICE COS","GP",I54="PARTS COS","GP",I54="SELLING EXPENSES","Selling Expenses",I54="EMPLOYMENT EXPENSES","Selling Expenses",I54="EMPLOYMENT EXPENSES","Selling Expenses",I54="DIRECT EXPENSES","Selling Expenses",I54="INDIRECT EXPENSES","Selling Expenses"))</f>
        <v>#N/A</v>
      </c>
    </row>
    <row r="55" spans="1:18" x14ac:dyDescent="0.2">
      <c r="A55" s="75">
        <v>1480</v>
      </c>
      <c r="B55" s="76" t="s">
        <v>278</v>
      </c>
      <c r="C55" s="76">
        <v>900</v>
      </c>
      <c r="D55" s="76" t="s">
        <v>214</v>
      </c>
      <c r="E55" s="76" t="s">
        <v>214</v>
      </c>
      <c r="F55" s="77">
        <v>109153.45</v>
      </c>
      <c r="G55" s="77">
        <v>7777.38</v>
      </c>
      <c r="H55" s="77">
        <v>116930.83</v>
      </c>
      <c r="I55" s="76" t="s">
        <v>244</v>
      </c>
      <c r="J55" s="77">
        <v>0</v>
      </c>
      <c r="K55" s="78">
        <v>0</v>
      </c>
      <c r="M55" s="79" t="str">
        <f t="shared" si="2"/>
        <v>900-1480</v>
      </c>
      <c r="N55" s="79" t="str">
        <f t="shared" si="0"/>
        <v/>
      </c>
      <c r="O55" s="79" t="str">
        <f t="shared" si="1"/>
        <v>900</v>
      </c>
      <c r="P55" s="79" t="str">
        <f>IFERROR(VLOOKUP($M55,Export!$P:$R,2,FALSE),"-")</f>
        <v>-</v>
      </c>
      <c r="Q55" s="79" t="str">
        <f>IFERROR(VLOOKUP($M55,Export!$P:$R,3,FALSE),"-")</f>
        <v>-</v>
      </c>
      <c r="R55" s="80" t="e" cm="1">
        <f t="array" ref="R55">_xlfn.IFS(P55="Service", _xlfn.IFS(I55="SALES","GP",I55="SERVICE SALES","GP",I55="PARTS SALES","GP",I55="SERVICE COS","GP",I55="PARTS COS","GP",I55="SELLING EXPENSES","Selling Expenses",I55="EMPLOYMENT EXPENSES","Selling Expenses",I55="EMPLOYMENT EXPENSES","Selling Expenses",I55="DIRECT EXPENSES","Selling Expenses",I55="INDIRECT EXPENSES","Selling Expenses"),P55="Parts",_xlfn.IFS(I55="SALES","GP",I55="SERVICE SALES","GP",I55="PARTS SALES","GP",I55="SERVICE COS","GP",I55="PARTS COS","GP",I55="SELLING EXPENSES","Selling Expenses",I55="EMPLOYMENT EXPENSES","Selling Expenses",I55="EMPLOYMENT EXPENSES","Selling Expenses",I55="DIRECT EXPENSES","Selling Expenses",I55="INDIRECT EXPENSES","Selling Expenses"))</f>
        <v>#N/A</v>
      </c>
    </row>
    <row r="56" spans="1:18" x14ac:dyDescent="0.2">
      <c r="A56" s="75">
        <v>1500</v>
      </c>
      <c r="B56" s="76" t="s">
        <v>279</v>
      </c>
      <c r="C56" s="76">
        <v>900</v>
      </c>
      <c r="D56" s="76" t="s">
        <v>214</v>
      </c>
      <c r="E56" s="76" t="s">
        <v>214</v>
      </c>
      <c r="F56" s="77">
        <v>30.77</v>
      </c>
      <c r="G56" s="77">
        <v>0</v>
      </c>
      <c r="H56" s="77">
        <v>30.77</v>
      </c>
      <c r="I56" s="76" t="s">
        <v>244</v>
      </c>
      <c r="J56" s="77">
        <v>0</v>
      </c>
      <c r="K56" s="78">
        <v>0</v>
      </c>
      <c r="M56" s="79" t="str">
        <f t="shared" si="2"/>
        <v>900-1500</v>
      </c>
      <c r="N56" s="79" t="str">
        <f t="shared" si="0"/>
        <v/>
      </c>
      <c r="O56" s="79" t="str">
        <f t="shared" si="1"/>
        <v>900</v>
      </c>
      <c r="P56" s="79" t="str">
        <f>IFERROR(VLOOKUP($M56,Export!$P:$R,2,FALSE),"-")</f>
        <v>-</v>
      </c>
      <c r="Q56" s="79" t="str">
        <f>IFERROR(VLOOKUP($M56,Export!$P:$R,3,FALSE),"-")</f>
        <v>-</v>
      </c>
      <c r="R56" s="80" t="e" cm="1">
        <f t="array" ref="R56">_xlfn.IFS(P56="Service", _xlfn.IFS(I56="SALES","GP",I56="SERVICE SALES","GP",I56="PARTS SALES","GP",I56="SERVICE COS","GP",I56="PARTS COS","GP",I56="SELLING EXPENSES","Selling Expenses",I56="EMPLOYMENT EXPENSES","Selling Expenses",I56="EMPLOYMENT EXPENSES","Selling Expenses",I56="DIRECT EXPENSES","Selling Expenses",I56="INDIRECT EXPENSES","Selling Expenses"),P56="Parts",_xlfn.IFS(I56="SALES","GP",I56="SERVICE SALES","GP",I56="PARTS SALES","GP",I56="SERVICE COS","GP",I56="PARTS COS","GP",I56="SELLING EXPENSES","Selling Expenses",I56="EMPLOYMENT EXPENSES","Selling Expenses",I56="EMPLOYMENT EXPENSES","Selling Expenses",I56="DIRECT EXPENSES","Selling Expenses",I56="INDIRECT EXPENSES","Selling Expenses"))</f>
        <v>#N/A</v>
      </c>
    </row>
    <row r="57" spans="1:18" x14ac:dyDescent="0.2">
      <c r="A57" s="75">
        <v>1510</v>
      </c>
      <c r="B57" s="76" t="s">
        <v>280</v>
      </c>
      <c r="C57" s="76">
        <v>900</v>
      </c>
      <c r="D57" s="76" t="s">
        <v>214</v>
      </c>
      <c r="E57" s="76" t="s">
        <v>214</v>
      </c>
      <c r="F57" s="77">
        <v>31114.799999999999</v>
      </c>
      <c r="G57" s="77">
        <v>18092.419999999998</v>
      </c>
      <c r="H57" s="77">
        <v>49207.22</v>
      </c>
      <c r="I57" s="76" t="s">
        <v>244</v>
      </c>
      <c r="J57" s="77">
        <v>0</v>
      </c>
      <c r="K57" s="78">
        <v>0</v>
      </c>
      <c r="M57" s="79" t="str">
        <f t="shared" si="2"/>
        <v>900-1510</v>
      </c>
      <c r="N57" s="79" t="str">
        <f t="shared" si="0"/>
        <v/>
      </c>
      <c r="O57" s="79" t="str">
        <f t="shared" si="1"/>
        <v>900</v>
      </c>
      <c r="P57" s="79" t="str">
        <f>IFERROR(VLOOKUP($M57,Export!$P:$R,2,FALSE),"-")</f>
        <v>-</v>
      </c>
      <c r="Q57" s="79" t="str">
        <f>IFERROR(VLOOKUP($M57,Export!$P:$R,3,FALSE),"-")</f>
        <v>-</v>
      </c>
      <c r="R57" s="80" t="e" cm="1">
        <f t="array" ref="R57">_xlfn.IFS(P57="Service", _xlfn.IFS(I57="SALES","GP",I57="SERVICE SALES","GP",I57="PARTS SALES","GP",I57="SERVICE COS","GP",I57="PARTS COS","GP",I57="SELLING EXPENSES","Selling Expenses",I57="EMPLOYMENT EXPENSES","Selling Expenses",I57="EMPLOYMENT EXPENSES","Selling Expenses",I57="DIRECT EXPENSES","Selling Expenses",I57="INDIRECT EXPENSES","Selling Expenses"),P57="Parts",_xlfn.IFS(I57="SALES","GP",I57="SERVICE SALES","GP",I57="PARTS SALES","GP",I57="SERVICE COS","GP",I57="PARTS COS","GP",I57="SELLING EXPENSES","Selling Expenses",I57="EMPLOYMENT EXPENSES","Selling Expenses",I57="EMPLOYMENT EXPENSES","Selling Expenses",I57="DIRECT EXPENSES","Selling Expenses",I57="INDIRECT EXPENSES","Selling Expenses"))</f>
        <v>#N/A</v>
      </c>
    </row>
    <row r="58" spans="1:18" x14ac:dyDescent="0.2">
      <c r="A58" s="75" t="s">
        <v>281</v>
      </c>
      <c r="B58" s="76" t="s">
        <v>282</v>
      </c>
      <c r="C58" s="76">
        <v>900</v>
      </c>
      <c r="D58" s="76" t="s">
        <v>214</v>
      </c>
      <c r="E58" s="76" t="s">
        <v>214</v>
      </c>
      <c r="F58" s="77">
        <v>16418.830000000002</v>
      </c>
      <c r="G58" s="77">
        <v>1565.09</v>
      </c>
      <c r="H58" s="77">
        <v>17983.919999999998</v>
      </c>
      <c r="I58" s="76" t="s">
        <v>244</v>
      </c>
      <c r="J58" s="77">
        <v>0</v>
      </c>
      <c r="K58" s="78">
        <v>0</v>
      </c>
      <c r="M58" s="79" t="str">
        <f t="shared" si="2"/>
        <v>900-1510B</v>
      </c>
      <c r="N58" s="79" t="str">
        <f t="shared" si="0"/>
        <v/>
      </c>
      <c r="O58" s="79" t="str">
        <f t="shared" si="1"/>
        <v>900</v>
      </c>
      <c r="P58" s="79" t="str">
        <f>IFERROR(VLOOKUP($M58,Export!$P:$R,2,FALSE),"-")</f>
        <v>-</v>
      </c>
      <c r="Q58" s="79" t="str">
        <f>IFERROR(VLOOKUP($M58,Export!$P:$R,3,FALSE),"-")</f>
        <v>-</v>
      </c>
      <c r="R58" s="80" t="e" cm="1">
        <f t="array" ref="R58">_xlfn.IFS(P58="Service", _xlfn.IFS(I58="SALES","GP",I58="SERVICE SALES","GP",I58="PARTS SALES","GP",I58="SERVICE COS","GP",I58="PARTS COS","GP",I58="SELLING EXPENSES","Selling Expenses",I58="EMPLOYMENT EXPENSES","Selling Expenses",I58="EMPLOYMENT EXPENSES","Selling Expenses",I58="DIRECT EXPENSES","Selling Expenses",I58="INDIRECT EXPENSES","Selling Expenses"),P58="Parts",_xlfn.IFS(I58="SALES","GP",I58="SERVICE SALES","GP",I58="PARTS SALES","GP",I58="SERVICE COS","GP",I58="PARTS COS","GP",I58="SELLING EXPENSES","Selling Expenses",I58="EMPLOYMENT EXPENSES","Selling Expenses",I58="EMPLOYMENT EXPENSES","Selling Expenses",I58="DIRECT EXPENSES","Selling Expenses",I58="INDIRECT EXPENSES","Selling Expenses"))</f>
        <v>#N/A</v>
      </c>
    </row>
    <row r="59" spans="1:18" x14ac:dyDescent="0.2">
      <c r="A59" s="75" t="s">
        <v>283</v>
      </c>
      <c r="B59" s="76" t="s">
        <v>284</v>
      </c>
      <c r="C59" s="76">
        <v>900</v>
      </c>
      <c r="D59" s="76" t="s">
        <v>214</v>
      </c>
      <c r="E59" s="76" t="s">
        <v>214</v>
      </c>
      <c r="F59" s="77">
        <v>13825.56</v>
      </c>
      <c r="G59" s="77">
        <v>-2161.4899999999998</v>
      </c>
      <c r="H59" s="77">
        <v>11664.07</v>
      </c>
      <c r="I59" s="76" t="s">
        <v>244</v>
      </c>
      <c r="J59" s="77">
        <v>0</v>
      </c>
      <c r="K59" s="78">
        <v>0</v>
      </c>
      <c r="M59" s="79" t="str">
        <f t="shared" si="2"/>
        <v>900-1510H</v>
      </c>
      <c r="N59" s="79" t="str">
        <f t="shared" si="0"/>
        <v/>
      </c>
      <c r="O59" s="79" t="str">
        <f t="shared" si="1"/>
        <v>900</v>
      </c>
      <c r="P59" s="79" t="str">
        <f>IFERROR(VLOOKUP($M59,Export!$P:$R,2,FALSE),"-")</f>
        <v>-</v>
      </c>
      <c r="Q59" s="79" t="str">
        <f>IFERROR(VLOOKUP($M59,Export!$P:$R,3,FALSE),"-")</f>
        <v>-</v>
      </c>
      <c r="R59" s="80" t="e" cm="1">
        <f t="array" ref="R59">_xlfn.IFS(P59="Service", _xlfn.IFS(I59="SALES","GP",I59="SERVICE SALES","GP",I59="PARTS SALES","GP",I59="SERVICE COS","GP",I59="PARTS COS","GP",I59="SELLING EXPENSES","Selling Expenses",I59="EMPLOYMENT EXPENSES","Selling Expenses",I59="EMPLOYMENT EXPENSES","Selling Expenses",I59="DIRECT EXPENSES","Selling Expenses",I59="INDIRECT EXPENSES","Selling Expenses"),P59="Parts",_xlfn.IFS(I59="SALES","GP",I59="SERVICE SALES","GP",I59="PARTS SALES","GP",I59="SERVICE COS","GP",I59="PARTS COS","GP",I59="SELLING EXPENSES","Selling Expenses",I59="EMPLOYMENT EXPENSES","Selling Expenses",I59="EMPLOYMENT EXPENSES","Selling Expenses",I59="DIRECT EXPENSES","Selling Expenses",I59="INDIRECT EXPENSES","Selling Expenses"))</f>
        <v>#N/A</v>
      </c>
    </row>
    <row r="60" spans="1:18" x14ac:dyDescent="0.2">
      <c r="A60" s="75" t="s">
        <v>285</v>
      </c>
      <c r="B60" s="76" t="s">
        <v>286</v>
      </c>
      <c r="C60" s="76">
        <v>900</v>
      </c>
      <c r="D60" s="76" t="s">
        <v>214</v>
      </c>
      <c r="E60" s="76" t="s">
        <v>214</v>
      </c>
      <c r="F60" s="77">
        <v>8244.7000000000007</v>
      </c>
      <c r="G60" s="77">
        <v>886.1</v>
      </c>
      <c r="H60" s="77">
        <v>9130.7999999999993</v>
      </c>
      <c r="I60" s="76" t="s">
        <v>244</v>
      </c>
      <c r="J60" s="77">
        <v>0</v>
      </c>
      <c r="K60" s="78">
        <v>0</v>
      </c>
      <c r="M60" s="79" t="str">
        <f t="shared" si="2"/>
        <v>900-1510N</v>
      </c>
      <c r="N60" s="79" t="str">
        <f t="shared" si="0"/>
        <v/>
      </c>
      <c r="O60" s="79" t="str">
        <f t="shared" si="1"/>
        <v>900</v>
      </c>
      <c r="P60" s="79" t="str">
        <f>IFERROR(VLOOKUP($M60,Export!$P:$R,2,FALSE),"-")</f>
        <v>-</v>
      </c>
      <c r="Q60" s="79" t="str">
        <f>IFERROR(VLOOKUP($M60,Export!$P:$R,3,FALSE),"-")</f>
        <v>-</v>
      </c>
      <c r="R60" s="80" t="e" cm="1">
        <f t="array" ref="R60">_xlfn.IFS(P60="Service", _xlfn.IFS(I60="SALES","GP",I60="SERVICE SALES","GP",I60="PARTS SALES","GP",I60="SERVICE COS","GP",I60="PARTS COS","GP",I60="SELLING EXPENSES","Selling Expenses",I60="EMPLOYMENT EXPENSES","Selling Expenses",I60="EMPLOYMENT EXPENSES","Selling Expenses",I60="DIRECT EXPENSES","Selling Expenses",I60="INDIRECT EXPENSES","Selling Expenses"),P60="Parts",_xlfn.IFS(I60="SALES","GP",I60="SERVICE SALES","GP",I60="PARTS SALES","GP",I60="SERVICE COS","GP",I60="PARTS COS","GP",I60="SELLING EXPENSES","Selling Expenses",I60="EMPLOYMENT EXPENSES","Selling Expenses",I60="EMPLOYMENT EXPENSES","Selling Expenses",I60="DIRECT EXPENSES","Selling Expenses",I60="INDIRECT EXPENSES","Selling Expenses"))</f>
        <v>#N/A</v>
      </c>
    </row>
    <row r="61" spans="1:18" x14ac:dyDescent="0.2">
      <c r="A61" s="75">
        <v>1511</v>
      </c>
      <c r="B61" s="76" t="s">
        <v>287</v>
      </c>
      <c r="C61" s="76">
        <v>900</v>
      </c>
      <c r="D61" s="76" t="s">
        <v>214</v>
      </c>
      <c r="E61" s="76" t="s">
        <v>214</v>
      </c>
      <c r="F61" s="77">
        <v>13001.27</v>
      </c>
      <c r="G61" s="77">
        <v>-1532.5</v>
      </c>
      <c r="H61" s="77">
        <v>11468.77</v>
      </c>
      <c r="I61" s="76" t="s">
        <v>244</v>
      </c>
      <c r="J61" s="77">
        <v>0</v>
      </c>
      <c r="K61" s="78">
        <v>0</v>
      </c>
      <c r="M61" s="79" t="str">
        <f t="shared" si="2"/>
        <v>900-1511</v>
      </c>
      <c r="N61" s="79" t="str">
        <f t="shared" si="0"/>
        <v/>
      </c>
      <c r="O61" s="79" t="str">
        <f t="shared" si="1"/>
        <v>900</v>
      </c>
      <c r="P61" s="79" t="str">
        <f>IFERROR(VLOOKUP($M61,Export!$P:$R,2,FALSE),"-")</f>
        <v>-</v>
      </c>
      <c r="Q61" s="79" t="str">
        <f>IFERROR(VLOOKUP($M61,Export!$P:$R,3,FALSE),"-")</f>
        <v>-</v>
      </c>
      <c r="R61" s="80" t="e" cm="1">
        <f t="array" ref="R61">_xlfn.IFS(P61="Service", _xlfn.IFS(I61="SALES","GP",I61="SERVICE SALES","GP",I61="PARTS SALES","GP",I61="SERVICE COS","GP",I61="PARTS COS","GP",I61="SELLING EXPENSES","Selling Expenses",I61="EMPLOYMENT EXPENSES","Selling Expenses",I61="EMPLOYMENT EXPENSES","Selling Expenses",I61="DIRECT EXPENSES","Selling Expenses",I61="INDIRECT EXPENSES","Selling Expenses"),P61="Parts",_xlfn.IFS(I61="SALES","GP",I61="SERVICE SALES","GP",I61="PARTS SALES","GP",I61="SERVICE COS","GP",I61="PARTS COS","GP",I61="SELLING EXPENSES","Selling Expenses",I61="EMPLOYMENT EXPENSES","Selling Expenses",I61="EMPLOYMENT EXPENSES","Selling Expenses",I61="DIRECT EXPENSES","Selling Expenses",I61="INDIRECT EXPENSES","Selling Expenses"))</f>
        <v>#N/A</v>
      </c>
    </row>
    <row r="62" spans="1:18" x14ac:dyDescent="0.2">
      <c r="A62" s="75">
        <v>1512</v>
      </c>
      <c r="B62" s="76" t="s">
        <v>288</v>
      </c>
      <c r="C62" s="76">
        <v>900</v>
      </c>
      <c r="D62" s="76" t="s">
        <v>214</v>
      </c>
      <c r="E62" s="76" t="s">
        <v>214</v>
      </c>
      <c r="F62" s="77">
        <v>7486.2</v>
      </c>
      <c r="G62" s="77">
        <v>0</v>
      </c>
      <c r="H62" s="77">
        <v>7486.2</v>
      </c>
      <c r="I62" s="76" t="s">
        <v>244</v>
      </c>
      <c r="J62" s="77">
        <v>0</v>
      </c>
      <c r="K62" s="78">
        <v>0</v>
      </c>
      <c r="M62" s="79" t="str">
        <f t="shared" si="2"/>
        <v>900-1512</v>
      </c>
      <c r="N62" s="79" t="str">
        <f t="shared" si="0"/>
        <v/>
      </c>
      <c r="O62" s="79" t="str">
        <f t="shared" si="1"/>
        <v>900</v>
      </c>
      <c r="P62" s="79" t="str">
        <f>IFERROR(VLOOKUP($M62,Export!$P:$R,2,FALSE),"-")</f>
        <v>-</v>
      </c>
      <c r="Q62" s="79" t="str">
        <f>IFERROR(VLOOKUP($M62,Export!$P:$R,3,FALSE),"-")</f>
        <v>-</v>
      </c>
      <c r="R62" s="80" t="e" cm="1">
        <f t="array" ref="R62">_xlfn.IFS(P62="Service", _xlfn.IFS(I62="SALES","GP",I62="SERVICE SALES","GP",I62="PARTS SALES","GP",I62="SERVICE COS","GP",I62="PARTS COS","GP",I62="SELLING EXPENSES","Selling Expenses",I62="EMPLOYMENT EXPENSES","Selling Expenses",I62="EMPLOYMENT EXPENSES","Selling Expenses",I62="DIRECT EXPENSES","Selling Expenses",I62="INDIRECT EXPENSES","Selling Expenses"),P62="Parts",_xlfn.IFS(I62="SALES","GP",I62="SERVICE SALES","GP",I62="PARTS SALES","GP",I62="SERVICE COS","GP",I62="PARTS COS","GP",I62="SELLING EXPENSES","Selling Expenses",I62="EMPLOYMENT EXPENSES","Selling Expenses",I62="EMPLOYMENT EXPENSES","Selling Expenses",I62="DIRECT EXPENSES","Selling Expenses",I62="INDIRECT EXPENSES","Selling Expenses"))</f>
        <v>#N/A</v>
      </c>
    </row>
    <row r="63" spans="1:18" x14ac:dyDescent="0.2">
      <c r="A63" s="75">
        <v>1530</v>
      </c>
      <c r="B63" s="76" t="s">
        <v>289</v>
      </c>
      <c r="C63" s="76">
        <v>900</v>
      </c>
      <c r="D63" s="76" t="s">
        <v>214</v>
      </c>
      <c r="E63" s="76" t="s">
        <v>214</v>
      </c>
      <c r="F63" s="77">
        <v>-29.57</v>
      </c>
      <c r="G63" s="77">
        <v>2707.39</v>
      </c>
      <c r="H63" s="77">
        <v>2677.82</v>
      </c>
      <c r="I63" s="76" t="s">
        <v>244</v>
      </c>
      <c r="J63" s="77">
        <v>0</v>
      </c>
      <c r="K63" s="78">
        <v>0</v>
      </c>
      <c r="M63" s="79" t="str">
        <f t="shared" si="2"/>
        <v>900-1530</v>
      </c>
      <c r="N63" s="79" t="str">
        <f t="shared" si="0"/>
        <v/>
      </c>
      <c r="O63" s="79" t="str">
        <f t="shared" si="1"/>
        <v>900</v>
      </c>
      <c r="P63" s="79" t="str">
        <f>IFERROR(VLOOKUP($M63,Export!$P:$R,2,FALSE),"-")</f>
        <v>-</v>
      </c>
      <c r="Q63" s="79" t="str">
        <f>IFERROR(VLOOKUP($M63,Export!$P:$R,3,FALSE),"-")</f>
        <v>-</v>
      </c>
      <c r="R63" s="80" t="e" cm="1">
        <f t="array" ref="R63">_xlfn.IFS(P63="Service", _xlfn.IFS(I63="SALES","GP",I63="SERVICE SALES","GP",I63="PARTS SALES","GP",I63="SERVICE COS","GP",I63="PARTS COS","GP",I63="SELLING EXPENSES","Selling Expenses",I63="EMPLOYMENT EXPENSES","Selling Expenses",I63="EMPLOYMENT EXPENSES","Selling Expenses",I63="DIRECT EXPENSES","Selling Expenses",I63="INDIRECT EXPENSES","Selling Expenses"),P63="Parts",_xlfn.IFS(I63="SALES","GP",I63="SERVICE SALES","GP",I63="PARTS SALES","GP",I63="SERVICE COS","GP",I63="PARTS COS","GP",I63="SELLING EXPENSES","Selling Expenses",I63="EMPLOYMENT EXPENSES","Selling Expenses",I63="EMPLOYMENT EXPENSES","Selling Expenses",I63="DIRECT EXPENSES","Selling Expenses",I63="INDIRECT EXPENSES","Selling Expenses"))</f>
        <v>#N/A</v>
      </c>
    </row>
    <row r="64" spans="1:18" x14ac:dyDescent="0.2">
      <c r="A64" s="75">
        <v>1550</v>
      </c>
      <c r="B64" s="76" t="s">
        <v>290</v>
      </c>
      <c r="C64" s="76">
        <v>900</v>
      </c>
      <c r="D64" s="76" t="s">
        <v>214</v>
      </c>
      <c r="E64" s="76" t="s">
        <v>214</v>
      </c>
      <c r="F64" s="77">
        <v>9998.7099999999991</v>
      </c>
      <c r="G64" s="77">
        <v>3041.7</v>
      </c>
      <c r="H64" s="77">
        <v>13040.41</v>
      </c>
      <c r="I64" s="76" t="s">
        <v>244</v>
      </c>
      <c r="J64" s="77">
        <v>0</v>
      </c>
      <c r="K64" s="78">
        <v>0</v>
      </c>
      <c r="M64" s="79" t="str">
        <f t="shared" si="2"/>
        <v>900-1550</v>
      </c>
      <c r="N64" s="79" t="str">
        <f t="shared" si="0"/>
        <v/>
      </c>
      <c r="O64" s="79" t="str">
        <f t="shared" si="1"/>
        <v>900</v>
      </c>
      <c r="P64" s="79" t="str">
        <f>IFERROR(VLOOKUP($M64,Export!$P:$R,2,FALSE),"-")</f>
        <v>-</v>
      </c>
      <c r="Q64" s="79" t="str">
        <f>IFERROR(VLOOKUP($M64,Export!$P:$R,3,FALSE),"-")</f>
        <v>-</v>
      </c>
      <c r="R64" s="80" t="e" cm="1">
        <f t="array" ref="R64">_xlfn.IFS(P64="Service", _xlfn.IFS(I64="SALES","GP",I64="SERVICE SALES","GP",I64="PARTS SALES","GP",I64="SERVICE COS","GP",I64="PARTS COS","GP",I64="SELLING EXPENSES","Selling Expenses",I64="EMPLOYMENT EXPENSES","Selling Expenses",I64="EMPLOYMENT EXPENSES","Selling Expenses",I64="DIRECT EXPENSES","Selling Expenses",I64="INDIRECT EXPENSES","Selling Expenses"),P64="Parts",_xlfn.IFS(I64="SALES","GP",I64="SERVICE SALES","GP",I64="PARTS SALES","GP",I64="SERVICE COS","GP",I64="PARTS COS","GP",I64="SELLING EXPENSES","Selling Expenses",I64="EMPLOYMENT EXPENSES","Selling Expenses",I64="EMPLOYMENT EXPENSES","Selling Expenses",I64="DIRECT EXPENSES","Selling Expenses",I64="INDIRECT EXPENSES","Selling Expenses"))</f>
        <v>#N/A</v>
      </c>
    </row>
    <row r="65" spans="1:18" x14ac:dyDescent="0.2">
      <c r="A65" s="75" t="s">
        <v>291</v>
      </c>
      <c r="B65" s="76" t="s">
        <v>292</v>
      </c>
      <c r="C65" s="76">
        <v>900</v>
      </c>
      <c r="D65" s="76" t="s">
        <v>214</v>
      </c>
      <c r="E65" s="76" t="s">
        <v>214</v>
      </c>
      <c r="F65" s="77">
        <v>8313.9699999999993</v>
      </c>
      <c r="G65" s="77">
        <v>-606.70000000000005</v>
      </c>
      <c r="H65" s="77">
        <v>7707.27</v>
      </c>
      <c r="I65" s="76" t="s">
        <v>244</v>
      </c>
      <c r="J65" s="77">
        <v>0</v>
      </c>
      <c r="K65" s="78">
        <v>0</v>
      </c>
      <c r="M65" s="79" t="str">
        <f t="shared" si="2"/>
        <v>900-1550I</v>
      </c>
      <c r="N65" s="79" t="str">
        <f t="shared" si="0"/>
        <v/>
      </c>
      <c r="O65" s="79" t="str">
        <f t="shared" si="1"/>
        <v>900</v>
      </c>
      <c r="P65" s="79" t="str">
        <f>IFERROR(VLOOKUP($M65,Export!$P:$R,2,FALSE),"-")</f>
        <v>-</v>
      </c>
      <c r="Q65" s="79" t="str">
        <f>IFERROR(VLOOKUP($M65,Export!$P:$R,3,FALSE),"-")</f>
        <v>-</v>
      </c>
      <c r="R65" s="80" t="e" cm="1">
        <f t="array" ref="R65">_xlfn.IFS(P65="Service", _xlfn.IFS(I65="SALES","GP",I65="SERVICE SALES","GP",I65="PARTS SALES","GP",I65="SERVICE COS","GP",I65="PARTS COS","GP",I65="SELLING EXPENSES","Selling Expenses",I65="EMPLOYMENT EXPENSES","Selling Expenses",I65="EMPLOYMENT EXPENSES","Selling Expenses",I65="DIRECT EXPENSES","Selling Expenses",I65="INDIRECT EXPENSES","Selling Expenses"),P65="Parts",_xlfn.IFS(I65="SALES","GP",I65="SERVICE SALES","GP",I65="PARTS SALES","GP",I65="SERVICE COS","GP",I65="PARTS COS","GP",I65="SELLING EXPENSES","Selling Expenses",I65="EMPLOYMENT EXPENSES","Selling Expenses",I65="EMPLOYMENT EXPENSES","Selling Expenses",I65="DIRECT EXPENSES","Selling Expenses",I65="INDIRECT EXPENSES","Selling Expenses"))</f>
        <v>#N/A</v>
      </c>
    </row>
    <row r="66" spans="1:18" x14ac:dyDescent="0.2">
      <c r="A66" s="75">
        <v>1551</v>
      </c>
      <c r="B66" s="76" t="s">
        <v>293</v>
      </c>
      <c r="C66" s="76">
        <v>900</v>
      </c>
      <c r="D66" s="76" t="s">
        <v>214</v>
      </c>
      <c r="E66" s="76" t="s">
        <v>214</v>
      </c>
      <c r="F66" s="77">
        <v>1153.52</v>
      </c>
      <c r="G66" s="77">
        <v>-368.45</v>
      </c>
      <c r="H66" s="77">
        <v>785.07</v>
      </c>
      <c r="I66" s="76" t="s">
        <v>244</v>
      </c>
      <c r="J66" s="77">
        <v>0</v>
      </c>
      <c r="K66" s="78">
        <v>0</v>
      </c>
      <c r="M66" s="79" t="str">
        <f t="shared" si="2"/>
        <v>900-1551</v>
      </c>
      <c r="N66" s="79" t="str">
        <f t="shared" ref="N66:N129" si="3">+IF(RIGHT(A66,1)="#","#","")</f>
        <v/>
      </c>
      <c r="O66" s="79" t="str">
        <f t="shared" ref="O66:O129" si="4">+C66&amp;N66</f>
        <v>900</v>
      </c>
      <c r="P66" s="79" t="str">
        <f>IFERROR(VLOOKUP($M66,Export!$P:$R,2,FALSE),"-")</f>
        <v>-</v>
      </c>
      <c r="Q66" s="79" t="str">
        <f>IFERROR(VLOOKUP($M66,Export!$P:$R,3,FALSE),"-")</f>
        <v>-</v>
      </c>
      <c r="R66" s="80" t="e" cm="1">
        <f t="array" ref="R66">_xlfn.IFS(P66="Service", _xlfn.IFS(I66="SALES","GP",I66="SERVICE SALES","GP",I66="PARTS SALES","GP",I66="SERVICE COS","GP",I66="PARTS COS","GP",I66="SELLING EXPENSES","Selling Expenses",I66="EMPLOYMENT EXPENSES","Selling Expenses",I66="EMPLOYMENT EXPENSES","Selling Expenses",I66="DIRECT EXPENSES","Selling Expenses",I66="INDIRECT EXPENSES","Selling Expenses"),P66="Parts",_xlfn.IFS(I66="SALES","GP",I66="SERVICE SALES","GP",I66="PARTS SALES","GP",I66="SERVICE COS","GP",I66="PARTS COS","GP",I66="SELLING EXPENSES","Selling Expenses",I66="EMPLOYMENT EXPENSES","Selling Expenses",I66="EMPLOYMENT EXPENSES","Selling Expenses",I66="DIRECT EXPENSES","Selling Expenses",I66="INDIRECT EXPENSES","Selling Expenses"))</f>
        <v>#N/A</v>
      </c>
    </row>
    <row r="67" spans="1:18" x14ac:dyDescent="0.2">
      <c r="A67" s="75">
        <v>1552</v>
      </c>
      <c r="B67" s="76" t="s">
        <v>294</v>
      </c>
      <c r="C67" s="76">
        <v>900</v>
      </c>
      <c r="D67" s="76" t="s">
        <v>214</v>
      </c>
      <c r="E67" s="76" t="s">
        <v>214</v>
      </c>
      <c r="F67" s="77">
        <v>289.87</v>
      </c>
      <c r="G67" s="77">
        <v>-331.35</v>
      </c>
      <c r="H67" s="77">
        <v>-41.48</v>
      </c>
      <c r="I67" s="76" t="s">
        <v>244</v>
      </c>
      <c r="J67" s="77">
        <v>0</v>
      </c>
      <c r="K67" s="78">
        <v>0</v>
      </c>
      <c r="M67" s="79" t="str">
        <f t="shared" ref="M67:M130" si="5">+C67&amp;"-"&amp;A67</f>
        <v>900-1552</v>
      </c>
      <c r="N67" s="79" t="str">
        <f t="shared" si="3"/>
        <v/>
      </c>
      <c r="O67" s="79" t="str">
        <f t="shared" si="4"/>
        <v>900</v>
      </c>
      <c r="P67" s="79" t="str">
        <f>IFERROR(VLOOKUP($M67,Export!$P:$R,2,FALSE),"-")</f>
        <v>-</v>
      </c>
      <c r="Q67" s="79" t="str">
        <f>IFERROR(VLOOKUP($M67,Export!$P:$R,3,FALSE),"-")</f>
        <v>-</v>
      </c>
      <c r="R67" s="80" t="e" cm="1">
        <f t="array" ref="R67">_xlfn.IFS(P67="Service", _xlfn.IFS(I67="SALES","GP",I67="SERVICE SALES","GP",I67="PARTS SALES","GP",I67="SERVICE COS","GP",I67="PARTS COS","GP",I67="SELLING EXPENSES","Selling Expenses",I67="EMPLOYMENT EXPENSES","Selling Expenses",I67="EMPLOYMENT EXPENSES","Selling Expenses",I67="DIRECT EXPENSES","Selling Expenses",I67="INDIRECT EXPENSES","Selling Expenses"),P67="Parts",_xlfn.IFS(I67="SALES","GP",I67="SERVICE SALES","GP",I67="PARTS SALES","GP",I67="SERVICE COS","GP",I67="PARTS COS","GP",I67="SELLING EXPENSES","Selling Expenses",I67="EMPLOYMENT EXPENSES","Selling Expenses",I67="EMPLOYMENT EXPENSES","Selling Expenses",I67="DIRECT EXPENSES","Selling Expenses",I67="INDIRECT EXPENSES","Selling Expenses"))</f>
        <v>#N/A</v>
      </c>
    </row>
    <row r="68" spans="1:18" x14ac:dyDescent="0.2">
      <c r="A68" s="75">
        <v>1570</v>
      </c>
      <c r="B68" s="76" t="s">
        <v>295</v>
      </c>
      <c r="C68" s="76">
        <v>900</v>
      </c>
      <c r="D68" s="76" t="s">
        <v>214</v>
      </c>
      <c r="E68" s="76" t="s">
        <v>214</v>
      </c>
      <c r="F68" s="77">
        <v>1948.38</v>
      </c>
      <c r="G68" s="77">
        <v>47.57</v>
      </c>
      <c r="H68" s="77">
        <v>1995.95</v>
      </c>
      <c r="I68" s="76" t="s">
        <v>244</v>
      </c>
      <c r="J68" s="77">
        <v>0</v>
      </c>
      <c r="K68" s="78">
        <v>0</v>
      </c>
      <c r="M68" s="79" t="str">
        <f t="shared" si="5"/>
        <v>900-1570</v>
      </c>
      <c r="N68" s="79" t="str">
        <f t="shared" si="3"/>
        <v/>
      </c>
      <c r="O68" s="79" t="str">
        <f t="shared" si="4"/>
        <v>900</v>
      </c>
      <c r="P68" s="79" t="str">
        <f>IFERROR(VLOOKUP($M68,Export!$P:$R,2,FALSE),"-")</f>
        <v>-</v>
      </c>
      <c r="Q68" s="79" t="str">
        <f>IFERROR(VLOOKUP($M68,Export!$P:$R,3,FALSE),"-")</f>
        <v>-</v>
      </c>
      <c r="R68" s="80" t="e" cm="1">
        <f t="array" ref="R68">_xlfn.IFS(P68="Service", _xlfn.IFS(I68="SALES","GP",I68="SERVICE SALES","GP",I68="PARTS SALES","GP",I68="SERVICE COS","GP",I68="PARTS COS","GP",I68="SELLING EXPENSES","Selling Expenses",I68="EMPLOYMENT EXPENSES","Selling Expenses",I68="EMPLOYMENT EXPENSES","Selling Expenses",I68="DIRECT EXPENSES","Selling Expenses",I68="INDIRECT EXPENSES","Selling Expenses"),P68="Parts",_xlfn.IFS(I68="SALES","GP",I68="SERVICE SALES","GP",I68="PARTS SALES","GP",I68="SERVICE COS","GP",I68="PARTS COS","GP",I68="SELLING EXPENSES","Selling Expenses",I68="EMPLOYMENT EXPENSES","Selling Expenses",I68="EMPLOYMENT EXPENSES","Selling Expenses",I68="DIRECT EXPENSES","Selling Expenses",I68="INDIRECT EXPENSES","Selling Expenses"))</f>
        <v>#N/A</v>
      </c>
    </row>
    <row r="69" spans="1:18" x14ac:dyDescent="0.2">
      <c r="A69" s="75" t="s">
        <v>296</v>
      </c>
      <c r="B69" s="76" t="s">
        <v>297</v>
      </c>
      <c r="C69" s="76">
        <v>900</v>
      </c>
      <c r="D69" s="76" t="s">
        <v>214</v>
      </c>
      <c r="E69" s="76" t="s">
        <v>214</v>
      </c>
      <c r="F69" s="77">
        <v>1473.53</v>
      </c>
      <c r="G69" s="77">
        <v>2075.9499999999998</v>
      </c>
      <c r="H69" s="77">
        <v>3549.48</v>
      </c>
      <c r="I69" s="76" t="s">
        <v>244</v>
      </c>
      <c r="J69" s="77">
        <v>0</v>
      </c>
      <c r="K69" s="78">
        <v>0</v>
      </c>
      <c r="M69" s="79" t="str">
        <f t="shared" si="5"/>
        <v>900-1570B</v>
      </c>
      <c r="N69" s="79" t="str">
        <f t="shared" si="3"/>
        <v/>
      </c>
      <c r="O69" s="79" t="str">
        <f t="shared" si="4"/>
        <v>900</v>
      </c>
      <c r="P69" s="79" t="str">
        <f>IFERROR(VLOOKUP($M69,Export!$P:$R,2,FALSE),"-")</f>
        <v>-</v>
      </c>
      <c r="Q69" s="79" t="str">
        <f>IFERROR(VLOOKUP($M69,Export!$P:$R,3,FALSE),"-")</f>
        <v>-</v>
      </c>
      <c r="R69" s="80" t="e" cm="1">
        <f t="array" ref="R69">_xlfn.IFS(P69="Service", _xlfn.IFS(I69="SALES","GP",I69="SERVICE SALES","GP",I69="PARTS SALES","GP",I69="SERVICE COS","GP",I69="PARTS COS","GP",I69="SELLING EXPENSES","Selling Expenses",I69="EMPLOYMENT EXPENSES","Selling Expenses",I69="EMPLOYMENT EXPENSES","Selling Expenses",I69="DIRECT EXPENSES","Selling Expenses",I69="INDIRECT EXPENSES","Selling Expenses"),P69="Parts",_xlfn.IFS(I69="SALES","GP",I69="SERVICE SALES","GP",I69="PARTS SALES","GP",I69="SERVICE COS","GP",I69="PARTS COS","GP",I69="SELLING EXPENSES","Selling Expenses",I69="EMPLOYMENT EXPENSES","Selling Expenses",I69="EMPLOYMENT EXPENSES","Selling Expenses",I69="DIRECT EXPENSES","Selling Expenses",I69="INDIRECT EXPENSES","Selling Expenses"))</f>
        <v>#N/A</v>
      </c>
    </row>
    <row r="70" spans="1:18" x14ac:dyDescent="0.2">
      <c r="A70" s="75" t="s">
        <v>298</v>
      </c>
      <c r="B70" s="76" t="s">
        <v>299</v>
      </c>
      <c r="C70" s="76">
        <v>900</v>
      </c>
      <c r="D70" s="76" t="s">
        <v>214</v>
      </c>
      <c r="E70" s="76" t="s">
        <v>214</v>
      </c>
      <c r="F70" s="77">
        <v>1145.0999999999999</v>
      </c>
      <c r="G70" s="77">
        <v>195.68</v>
      </c>
      <c r="H70" s="77">
        <v>1340.78</v>
      </c>
      <c r="I70" s="76" t="s">
        <v>244</v>
      </c>
      <c r="J70" s="77">
        <v>0</v>
      </c>
      <c r="K70" s="78">
        <v>0</v>
      </c>
      <c r="M70" s="79" t="str">
        <f t="shared" si="5"/>
        <v>900-1570H</v>
      </c>
      <c r="N70" s="79" t="str">
        <f t="shared" si="3"/>
        <v/>
      </c>
      <c r="O70" s="79" t="str">
        <f t="shared" si="4"/>
        <v>900</v>
      </c>
      <c r="P70" s="79" t="str">
        <f>IFERROR(VLOOKUP($M70,Export!$P:$R,2,FALSE),"-")</f>
        <v>-</v>
      </c>
      <c r="Q70" s="79" t="str">
        <f>IFERROR(VLOOKUP($M70,Export!$P:$R,3,FALSE),"-")</f>
        <v>-</v>
      </c>
      <c r="R70" s="80" t="e" cm="1">
        <f t="array" ref="R70">_xlfn.IFS(P70="Service", _xlfn.IFS(I70="SALES","GP",I70="SERVICE SALES","GP",I70="PARTS SALES","GP",I70="SERVICE COS","GP",I70="PARTS COS","GP",I70="SELLING EXPENSES","Selling Expenses",I70="EMPLOYMENT EXPENSES","Selling Expenses",I70="EMPLOYMENT EXPENSES","Selling Expenses",I70="DIRECT EXPENSES","Selling Expenses",I70="INDIRECT EXPENSES","Selling Expenses"),P70="Parts",_xlfn.IFS(I70="SALES","GP",I70="SERVICE SALES","GP",I70="PARTS SALES","GP",I70="SERVICE COS","GP",I70="PARTS COS","GP",I70="SELLING EXPENSES","Selling Expenses",I70="EMPLOYMENT EXPENSES","Selling Expenses",I70="EMPLOYMENT EXPENSES","Selling Expenses",I70="DIRECT EXPENSES","Selling Expenses",I70="INDIRECT EXPENSES","Selling Expenses"))</f>
        <v>#N/A</v>
      </c>
    </row>
    <row r="71" spans="1:18" x14ac:dyDescent="0.2">
      <c r="A71" s="75" t="s">
        <v>300</v>
      </c>
      <c r="B71" s="76" t="s">
        <v>301</v>
      </c>
      <c r="C71" s="76">
        <v>900</v>
      </c>
      <c r="D71" s="76" t="s">
        <v>214</v>
      </c>
      <c r="E71" s="76" t="s">
        <v>214</v>
      </c>
      <c r="F71" s="77">
        <v>2143.6799999999998</v>
      </c>
      <c r="G71" s="77">
        <v>-485.51</v>
      </c>
      <c r="H71" s="77">
        <v>1658.17</v>
      </c>
      <c r="I71" s="76" t="s">
        <v>244</v>
      </c>
      <c r="J71" s="77">
        <v>0</v>
      </c>
      <c r="K71" s="78">
        <v>0</v>
      </c>
      <c r="M71" s="79" t="str">
        <f t="shared" si="5"/>
        <v>900-1570N</v>
      </c>
      <c r="N71" s="79" t="str">
        <f t="shared" si="3"/>
        <v/>
      </c>
      <c r="O71" s="79" t="str">
        <f t="shared" si="4"/>
        <v>900</v>
      </c>
      <c r="P71" s="79" t="str">
        <f>IFERROR(VLOOKUP($M71,Export!$P:$R,2,FALSE),"-")</f>
        <v>-</v>
      </c>
      <c r="Q71" s="79" t="str">
        <f>IFERROR(VLOOKUP($M71,Export!$P:$R,3,FALSE),"-")</f>
        <v>-</v>
      </c>
      <c r="R71" s="80" t="e" cm="1">
        <f t="array" ref="R71">_xlfn.IFS(P71="Service", _xlfn.IFS(I71="SALES","GP",I71="SERVICE SALES","GP",I71="PARTS SALES","GP",I71="SERVICE COS","GP",I71="PARTS COS","GP",I71="SELLING EXPENSES","Selling Expenses",I71="EMPLOYMENT EXPENSES","Selling Expenses",I71="EMPLOYMENT EXPENSES","Selling Expenses",I71="DIRECT EXPENSES","Selling Expenses",I71="INDIRECT EXPENSES","Selling Expenses"),P71="Parts",_xlfn.IFS(I71="SALES","GP",I71="SERVICE SALES","GP",I71="PARTS SALES","GP",I71="SERVICE COS","GP",I71="PARTS COS","GP",I71="SELLING EXPENSES","Selling Expenses",I71="EMPLOYMENT EXPENSES","Selling Expenses",I71="EMPLOYMENT EXPENSES","Selling Expenses",I71="DIRECT EXPENSES","Selling Expenses",I71="INDIRECT EXPENSES","Selling Expenses"))</f>
        <v>#N/A</v>
      </c>
    </row>
    <row r="72" spans="1:18" x14ac:dyDescent="0.2">
      <c r="A72" s="75">
        <v>1571</v>
      </c>
      <c r="B72" s="76" t="s">
        <v>302</v>
      </c>
      <c r="C72" s="76">
        <v>900</v>
      </c>
      <c r="D72" s="76" t="s">
        <v>214</v>
      </c>
      <c r="E72" s="76" t="s">
        <v>214</v>
      </c>
      <c r="F72" s="77">
        <v>2004.67</v>
      </c>
      <c r="G72" s="77">
        <v>-26.74</v>
      </c>
      <c r="H72" s="77">
        <v>1977.93</v>
      </c>
      <c r="I72" s="76" t="s">
        <v>244</v>
      </c>
      <c r="J72" s="77">
        <v>0</v>
      </c>
      <c r="K72" s="78">
        <v>0</v>
      </c>
      <c r="M72" s="79" t="str">
        <f t="shared" si="5"/>
        <v>900-1571</v>
      </c>
      <c r="N72" s="79" t="str">
        <f t="shared" si="3"/>
        <v/>
      </c>
      <c r="O72" s="79" t="str">
        <f t="shared" si="4"/>
        <v>900</v>
      </c>
      <c r="P72" s="79" t="str">
        <f>IFERROR(VLOOKUP($M72,Export!$P:$R,2,FALSE),"-")</f>
        <v>-</v>
      </c>
      <c r="Q72" s="79" t="str">
        <f>IFERROR(VLOOKUP($M72,Export!$P:$R,3,FALSE),"-")</f>
        <v>-</v>
      </c>
      <c r="R72" s="80" t="e" cm="1">
        <f t="array" ref="R72">_xlfn.IFS(P72="Service", _xlfn.IFS(I72="SALES","GP",I72="SERVICE SALES","GP",I72="PARTS SALES","GP",I72="SERVICE COS","GP",I72="PARTS COS","GP",I72="SELLING EXPENSES","Selling Expenses",I72="EMPLOYMENT EXPENSES","Selling Expenses",I72="EMPLOYMENT EXPENSES","Selling Expenses",I72="DIRECT EXPENSES","Selling Expenses",I72="INDIRECT EXPENSES","Selling Expenses"),P72="Parts",_xlfn.IFS(I72="SALES","GP",I72="SERVICE SALES","GP",I72="PARTS SALES","GP",I72="SERVICE COS","GP",I72="PARTS COS","GP",I72="SELLING EXPENSES","Selling Expenses",I72="EMPLOYMENT EXPENSES","Selling Expenses",I72="EMPLOYMENT EXPENSES","Selling Expenses",I72="DIRECT EXPENSES","Selling Expenses",I72="INDIRECT EXPENSES","Selling Expenses"))</f>
        <v>#N/A</v>
      </c>
    </row>
    <row r="73" spans="1:18" x14ac:dyDescent="0.2">
      <c r="A73" s="75">
        <v>1572</v>
      </c>
      <c r="B73" s="76" t="s">
        <v>303</v>
      </c>
      <c r="C73" s="76">
        <v>900</v>
      </c>
      <c r="D73" s="76" t="s">
        <v>214</v>
      </c>
      <c r="E73" s="76" t="s">
        <v>214</v>
      </c>
      <c r="F73" s="77">
        <v>77.040000000000006</v>
      </c>
      <c r="G73" s="77">
        <v>0</v>
      </c>
      <c r="H73" s="77">
        <v>77.040000000000006</v>
      </c>
      <c r="I73" s="76" t="s">
        <v>244</v>
      </c>
      <c r="J73" s="77">
        <v>0</v>
      </c>
      <c r="K73" s="78">
        <v>0</v>
      </c>
      <c r="M73" s="79" t="str">
        <f t="shared" si="5"/>
        <v>900-1572</v>
      </c>
      <c r="N73" s="79" t="str">
        <f t="shared" si="3"/>
        <v/>
      </c>
      <c r="O73" s="79" t="str">
        <f t="shared" si="4"/>
        <v>900</v>
      </c>
      <c r="P73" s="79" t="str">
        <f>IFERROR(VLOOKUP($M73,Export!$P:$R,2,FALSE),"-")</f>
        <v>-</v>
      </c>
      <c r="Q73" s="79" t="str">
        <f>IFERROR(VLOOKUP($M73,Export!$P:$R,3,FALSE),"-")</f>
        <v>-</v>
      </c>
      <c r="R73" s="80" t="e" cm="1">
        <f t="array" ref="R73">_xlfn.IFS(P73="Service", _xlfn.IFS(I73="SALES","GP",I73="SERVICE SALES","GP",I73="PARTS SALES","GP",I73="SERVICE COS","GP",I73="PARTS COS","GP",I73="SELLING EXPENSES","Selling Expenses",I73="EMPLOYMENT EXPENSES","Selling Expenses",I73="EMPLOYMENT EXPENSES","Selling Expenses",I73="DIRECT EXPENSES","Selling Expenses",I73="INDIRECT EXPENSES","Selling Expenses"),P73="Parts",_xlfn.IFS(I73="SALES","GP",I73="SERVICE SALES","GP",I73="PARTS SALES","GP",I73="SERVICE COS","GP",I73="PARTS COS","GP",I73="SELLING EXPENSES","Selling Expenses",I73="EMPLOYMENT EXPENSES","Selling Expenses",I73="EMPLOYMENT EXPENSES","Selling Expenses",I73="DIRECT EXPENSES","Selling Expenses",I73="INDIRECT EXPENSES","Selling Expenses"))</f>
        <v>#N/A</v>
      </c>
    </row>
    <row r="74" spans="1:18" x14ac:dyDescent="0.2">
      <c r="A74" s="75">
        <v>1590</v>
      </c>
      <c r="B74" s="76" t="s">
        <v>1775</v>
      </c>
      <c r="C74" s="76">
        <v>900</v>
      </c>
      <c r="D74" s="76" t="s">
        <v>214</v>
      </c>
      <c r="E74" s="76" t="s">
        <v>214</v>
      </c>
      <c r="F74" s="77">
        <v>-15</v>
      </c>
      <c r="G74" s="77">
        <v>0</v>
      </c>
      <c r="H74" s="77">
        <v>-15</v>
      </c>
      <c r="I74" s="76" t="s">
        <v>244</v>
      </c>
      <c r="J74" s="77">
        <v>0</v>
      </c>
      <c r="K74" s="78">
        <v>0</v>
      </c>
      <c r="M74" s="79" t="str">
        <f t="shared" si="5"/>
        <v>900-1590</v>
      </c>
      <c r="N74" s="79" t="str">
        <f t="shared" si="3"/>
        <v/>
      </c>
      <c r="O74" s="79" t="str">
        <f t="shared" si="4"/>
        <v>900</v>
      </c>
      <c r="P74" s="79" t="str">
        <f>IFERROR(VLOOKUP($M74,Export!$P:$R,2,FALSE),"-")</f>
        <v>-</v>
      </c>
      <c r="Q74" s="79" t="str">
        <f>IFERROR(VLOOKUP($M74,Export!$P:$R,3,FALSE),"-")</f>
        <v>-</v>
      </c>
      <c r="R74" s="80" t="e" cm="1">
        <f t="array" ref="R74">_xlfn.IFS(P74="Service", _xlfn.IFS(I74="SALES","GP",I74="SERVICE SALES","GP",I74="PARTS SALES","GP",I74="SERVICE COS","GP",I74="PARTS COS","GP",I74="SELLING EXPENSES","Selling Expenses",I74="EMPLOYMENT EXPENSES","Selling Expenses",I74="EMPLOYMENT EXPENSES","Selling Expenses",I74="DIRECT EXPENSES","Selling Expenses",I74="INDIRECT EXPENSES","Selling Expenses"),P74="Parts",_xlfn.IFS(I74="SALES","GP",I74="SERVICE SALES","GP",I74="PARTS SALES","GP",I74="SERVICE COS","GP",I74="PARTS COS","GP",I74="SELLING EXPENSES","Selling Expenses",I74="EMPLOYMENT EXPENSES","Selling Expenses",I74="EMPLOYMENT EXPENSES","Selling Expenses",I74="DIRECT EXPENSES","Selling Expenses",I74="INDIRECT EXPENSES","Selling Expenses"))</f>
        <v>#N/A</v>
      </c>
    </row>
    <row r="75" spans="1:18" x14ac:dyDescent="0.2">
      <c r="A75" s="75">
        <v>1670</v>
      </c>
      <c r="B75" s="76" t="s">
        <v>304</v>
      </c>
      <c r="C75" s="76">
        <v>900</v>
      </c>
      <c r="D75" s="76" t="s">
        <v>214</v>
      </c>
      <c r="E75" s="76" t="s">
        <v>214</v>
      </c>
      <c r="F75" s="77">
        <v>2896798.32</v>
      </c>
      <c r="G75" s="77">
        <v>0</v>
      </c>
      <c r="H75" s="77">
        <v>2896798.32</v>
      </c>
      <c r="I75" s="76" t="s">
        <v>305</v>
      </c>
      <c r="J75" s="77">
        <v>0</v>
      </c>
      <c r="K75" s="78">
        <v>0</v>
      </c>
      <c r="M75" s="79" t="str">
        <f t="shared" si="5"/>
        <v>900-1670</v>
      </c>
      <c r="N75" s="79" t="str">
        <f t="shared" si="3"/>
        <v/>
      </c>
      <c r="O75" s="79" t="str">
        <f t="shared" si="4"/>
        <v>900</v>
      </c>
      <c r="P75" s="79" t="str">
        <f>IFERROR(VLOOKUP($M75,Export!$P:$R,2,FALSE),"-")</f>
        <v>-</v>
      </c>
      <c r="Q75" s="79" t="str">
        <f>IFERROR(VLOOKUP($M75,Export!$P:$R,3,FALSE),"-")</f>
        <v>-</v>
      </c>
      <c r="R75" s="80" t="e" cm="1">
        <f t="array" ref="R75">_xlfn.IFS(P75="Service", _xlfn.IFS(I75="SALES","GP",I75="SERVICE SALES","GP",I75="PARTS SALES","GP",I75="SERVICE COS","GP",I75="PARTS COS","GP",I75="SELLING EXPENSES","Selling Expenses",I75="EMPLOYMENT EXPENSES","Selling Expenses",I75="EMPLOYMENT EXPENSES","Selling Expenses",I75="DIRECT EXPENSES","Selling Expenses",I75="INDIRECT EXPENSES","Selling Expenses"),P75="Parts",_xlfn.IFS(I75="SALES","GP",I75="SERVICE SALES","GP",I75="PARTS SALES","GP",I75="SERVICE COS","GP",I75="PARTS COS","GP",I75="SELLING EXPENSES","Selling Expenses",I75="EMPLOYMENT EXPENSES","Selling Expenses",I75="EMPLOYMENT EXPENSES","Selling Expenses",I75="DIRECT EXPENSES","Selling Expenses",I75="INDIRECT EXPENSES","Selling Expenses"))</f>
        <v>#N/A</v>
      </c>
    </row>
    <row r="76" spans="1:18" x14ac:dyDescent="0.2">
      <c r="A76" s="75">
        <v>1675</v>
      </c>
      <c r="B76" s="76" t="s">
        <v>306</v>
      </c>
      <c r="C76" s="76">
        <v>900</v>
      </c>
      <c r="D76" s="76" t="s">
        <v>214</v>
      </c>
      <c r="E76" s="76" t="s">
        <v>214</v>
      </c>
      <c r="F76" s="77">
        <v>44477.35</v>
      </c>
      <c r="G76" s="77">
        <v>2059.9299999999998</v>
      </c>
      <c r="H76" s="77">
        <v>46537.279999999999</v>
      </c>
      <c r="I76" s="76" t="s">
        <v>305</v>
      </c>
      <c r="J76" s="77">
        <v>0</v>
      </c>
      <c r="K76" s="78">
        <v>0</v>
      </c>
      <c r="M76" s="79" t="str">
        <f t="shared" si="5"/>
        <v>900-1675</v>
      </c>
      <c r="N76" s="79" t="str">
        <f t="shared" si="3"/>
        <v/>
      </c>
      <c r="O76" s="79" t="str">
        <f t="shared" si="4"/>
        <v>900</v>
      </c>
      <c r="P76" s="79" t="str">
        <f>IFERROR(VLOOKUP($M76,Export!$P:$R,2,FALSE),"-")</f>
        <v>-</v>
      </c>
      <c r="Q76" s="79" t="str">
        <f>IFERROR(VLOOKUP($M76,Export!$P:$R,3,FALSE),"-")</f>
        <v>-</v>
      </c>
      <c r="R76" s="80" t="e" cm="1">
        <f t="array" ref="R76">_xlfn.IFS(P76="Service", _xlfn.IFS(I76="SALES","GP",I76="SERVICE SALES","GP",I76="PARTS SALES","GP",I76="SERVICE COS","GP",I76="PARTS COS","GP",I76="SELLING EXPENSES","Selling Expenses",I76="EMPLOYMENT EXPENSES","Selling Expenses",I76="EMPLOYMENT EXPENSES","Selling Expenses",I76="DIRECT EXPENSES","Selling Expenses",I76="INDIRECT EXPENSES","Selling Expenses"),P76="Parts",_xlfn.IFS(I76="SALES","GP",I76="SERVICE SALES","GP",I76="PARTS SALES","GP",I76="SERVICE COS","GP",I76="PARTS COS","GP",I76="SELLING EXPENSES","Selling Expenses",I76="EMPLOYMENT EXPENSES","Selling Expenses",I76="EMPLOYMENT EXPENSES","Selling Expenses",I76="DIRECT EXPENSES","Selling Expenses",I76="INDIRECT EXPENSES","Selling Expenses"))</f>
        <v>#N/A</v>
      </c>
    </row>
    <row r="77" spans="1:18" x14ac:dyDescent="0.2">
      <c r="A77" s="75">
        <v>1690</v>
      </c>
      <c r="B77" s="76" t="s">
        <v>307</v>
      </c>
      <c r="C77" s="76">
        <v>900</v>
      </c>
      <c r="D77" s="76" t="s">
        <v>214</v>
      </c>
      <c r="E77" s="76" t="s">
        <v>214</v>
      </c>
      <c r="F77" s="77">
        <v>125636.56</v>
      </c>
      <c r="G77" s="77">
        <v>-37355.040000000001</v>
      </c>
      <c r="H77" s="77">
        <v>88281.52</v>
      </c>
      <c r="I77" s="76" t="s">
        <v>305</v>
      </c>
      <c r="J77" s="77">
        <v>0</v>
      </c>
      <c r="K77" s="78">
        <v>0</v>
      </c>
      <c r="M77" s="79" t="str">
        <f t="shared" si="5"/>
        <v>900-1690</v>
      </c>
      <c r="N77" s="79" t="str">
        <f t="shared" si="3"/>
        <v/>
      </c>
      <c r="O77" s="79" t="str">
        <f t="shared" si="4"/>
        <v>900</v>
      </c>
      <c r="P77" s="79" t="str">
        <f>IFERROR(VLOOKUP($M77,Export!$P:$R,2,FALSE),"-")</f>
        <v>-</v>
      </c>
      <c r="Q77" s="79" t="str">
        <f>IFERROR(VLOOKUP($M77,Export!$P:$R,3,FALSE),"-")</f>
        <v>-</v>
      </c>
      <c r="R77" s="80" t="e" cm="1">
        <f t="array" ref="R77">_xlfn.IFS(P77="Service", _xlfn.IFS(I77="SALES","GP",I77="SERVICE SALES","GP",I77="PARTS SALES","GP",I77="SERVICE COS","GP",I77="PARTS COS","GP",I77="SELLING EXPENSES","Selling Expenses",I77="EMPLOYMENT EXPENSES","Selling Expenses",I77="EMPLOYMENT EXPENSES","Selling Expenses",I77="DIRECT EXPENSES","Selling Expenses",I77="INDIRECT EXPENSES","Selling Expenses"),P77="Parts",_xlfn.IFS(I77="SALES","GP",I77="SERVICE SALES","GP",I77="PARTS SALES","GP",I77="SERVICE COS","GP",I77="PARTS COS","GP",I77="SELLING EXPENSES","Selling Expenses",I77="EMPLOYMENT EXPENSES","Selling Expenses",I77="EMPLOYMENT EXPENSES","Selling Expenses",I77="DIRECT EXPENSES","Selling Expenses",I77="INDIRECT EXPENSES","Selling Expenses"))</f>
        <v>#N/A</v>
      </c>
    </row>
    <row r="78" spans="1:18" x14ac:dyDescent="0.2">
      <c r="A78" s="75">
        <v>1720</v>
      </c>
      <c r="B78" s="76" t="s">
        <v>308</v>
      </c>
      <c r="C78" s="76">
        <v>900</v>
      </c>
      <c r="D78" s="76" t="s">
        <v>214</v>
      </c>
      <c r="E78" s="76" t="s">
        <v>214</v>
      </c>
      <c r="F78" s="77">
        <v>39187.599999999999</v>
      </c>
      <c r="G78" s="77">
        <v>9431.48</v>
      </c>
      <c r="H78" s="77">
        <v>48619.08</v>
      </c>
      <c r="I78" s="76" t="s">
        <v>305</v>
      </c>
      <c r="J78" s="77">
        <v>0</v>
      </c>
      <c r="K78" s="78">
        <v>0</v>
      </c>
      <c r="M78" s="79" t="str">
        <f t="shared" si="5"/>
        <v>900-1720</v>
      </c>
      <c r="N78" s="79" t="str">
        <f t="shared" si="3"/>
        <v/>
      </c>
      <c r="O78" s="79" t="str">
        <f t="shared" si="4"/>
        <v>900</v>
      </c>
      <c r="P78" s="79" t="str">
        <f>IFERROR(VLOOKUP($M78,Export!$P:$R,2,FALSE),"-")</f>
        <v>-</v>
      </c>
      <c r="Q78" s="79" t="str">
        <f>IFERROR(VLOOKUP($M78,Export!$P:$R,3,FALSE),"-")</f>
        <v>-</v>
      </c>
      <c r="R78" s="80" t="e" cm="1">
        <f t="array" ref="R78">_xlfn.IFS(P78="Service", _xlfn.IFS(I78="SALES","GP",I78="SERVICE SALES","GP",I78="PARTS SALES","GP",I78="SERVICE COS","GP",I78="PARTS COS","GP",I78="SELLING EXPENSES","Selling Expenses",I78="EMPLOYMENT EXPENSES","Selling Expenses",I78="EMPLOYMENT EXPENSES","Selling Expenses",I78="DIRECT EXPENSES","Selling Expenses",I78="INDIRECT EXPENSES","Selling Expenses"),P78="Parts",_xlfn.IFS(I78="SALES","GP",I78="SERVICE SALES","GP",I78="PARTS SALES","GP",I78="SERVICE COS","GP",I78="PARTS COS","GP",I78="SELLING EXPENSES","Selling Expenses",I78="EMPLOYMENT EXPENSES","Selling Expenses",I78="EMPLOYMENT EXPENSES","Selling Expenses",I78="DIRECT EXPENSES","Selling Expenses",I78="INDIRECT EXPENSES","Selling Expenses"))</f>
        <v>#N/A</v>
      </c>
    </row>
    <row r="79" spans="1:18" x14ac:dyDescent="0.2">
      <c r="A79" s="75">
        <v>1730</v>
      </c>
      <c r="B79" s="76" t="s">
        <v>309</v>
      </c>
      <c r="C79" s="76">
        <v>900</v>
      </c>
      <c r="D79" s="76" t="s">
        <v>214</v>
      </c>
      <c r="E79" s="76" t="s">
        <v>214</v>
      </c>
      <c r="F79" s="77">
        <v>0</v>
      </c>
      <c r="G79" s="77">
        <v>34985.760000000002</v>
      </c>
      <c r="H79" s="77">
        <v>34985.760000000002</v>
      </c>
      <c r="I79" s="76" t="s">
        <v>305</v>
      </c>
      <c r="J79" s="77">
        <v>0</v>
      </c>
      <c r="K79" s="78">
        <v>0</v>
      </c>
      <c r="M79" s="79" t="str">
        <f t="shared" si="5"/>
        <v>900-1730</v>
      </c>
      <c r="N79" s="79" t="str">
        <f t="shared" si="3"/>
        <v/>
      </c>
      <c r="O79" s="79" t="str">
        <f t="shared" si="4"/>
        <v>900</v>
      </c>
      <c r="P79" s="79" t="str">
        <f>IFERROR(VLOOKUP($M79,Export!$P:$R,2,FALSE),"-")</f>
        <v>-</v>
      </c>
      <c r="Q79" s="79" t="str">
        <f>IFERROR(VLOOKUP($M79,Export!$P:$R,3,FALSE),"-")</f>
        <v>-</v>
      </c>
      <c r="R79" s="80" t="e" cm="1">
        <f t="array" ref="R79">_xlfn.IFS(P79="Service", _xlfn.IFS(I79="SALES","GP",I79="SERVICE SALES","GP",I79="PARTS SALES","GP",I79="SERVICE COS","GP",I79="PARTS COS","GP",I79="SELLING EXPENSES","Selling Expenses",I79="EMPLOYMENT EXPENSES","Selling Expenses",I79="EMPLOYMENT EXPENSES","Selling Expenses",I79="DIRECT EXPENSES","Selling Expenses",I79="INDIRECT EXPENSES","Selling Expenses"),P79="Parts",_xlfn.IFS(I79="SALES","GP",I79="SERVICE SALES","GP",I79="PARTS SALES","GP",I79="SERVICE COS","GP",I79="PARTS COS","GP",I79="SELLING EXPENSES","Selling Expenses",I79="EMPLOYMENT EXPENSES","Selling Expenses",I79="EMPLOYMENT EXPENSES","Selling Expenses",I79="DIRECT EXPENSES","Selling Expenses",I79="INDIRECT EXPENSES","Selling Expenses"))</f>
        <v>#N/A</v>
      </c>
    </row>
    <row r="80" spans="1:18" x14ac:dyDescent="0.2">
      <c r="A80" s="75">
        <v>2025</v>
      </c>
      <c r="B80" s="76" t="s">
        <v>310</v>
      </c>
      <c r="C80" s="76">
        <v>900</v>
      </c>
      <c r="D80" s="76" t="s">
        <v>214</v>
      </c>
      <c r="E80" s="76" t="s">
        <v>214</v>
      </c>
      <c r="F80" s="77">
        <v>-576834.71</v>
      </c>
      <c r="G80" s="77">
        <v>-190842.61</v>
      </c>
      <c r="H80" s="77">
        <v>-767677.32</v>
      </c>
      <c r="I80" s="76" t="s">
        <v>305</v>
      </c>
      <c r="J80" s="77">
        <v>0</v>
      </c>
      <c r="K80" s="78">
        <v>0</v>
      </c>
      <c r="M80" s="79" t="str">
        <f t="shared" si="5"/>
        <v>900-2025</v>
      </c>
      <c r="N80" s="79" t="str">
        <f t="shared" si="3"/>
        <v/>
      </c>
      <c r="O80" s="79" t="str">
        <f t="shared" si="4"/>
        <v>900</v>
      </c>
      <c r="P80" s="79" t="str">
        <f>IFERROR(VLOOKUP($M80,Export!$P:$R,2,FALSE),"-")</f>
        <v>-</v>
      </c>
      <c r="Q80" s="79" t="str">
        <f>IFERROR(VLOOKUP($M80,Export!$P:$R,3,FALSE),"-")</f>
        <v>-</v>
      </c>
      <c r="R80" s="80" t="e" cm="1">
        <f t="array" ref="R80">_xlfn.IFS(P80="Service", _xlfn.IFS(I80="SALES","GP",I80="SERVICE SALES","GP",I80="PARTS SALES","GP",I80="SERVICE COS","GP",I80="PARTS COS","GP",I80="SELLING EXPENSES","Selling Expenses",I80="EMPLOYMENT EXPENSES","Selling Expenses",I80="EMPLOYMENT EXPENSES","Selling Expenses",I80="DIRECT EXPENSES","Selling Expenses",I80="INDIRECT EXPENSES","Selling Expenses"),P80="Parts",_xlfn.IFS(I80="SALES","GP",I80="SERVICE SALES","GP",I80="PARTS SALES","GP",I80="SERVICE COS","GP",I80="PARTS COS","GP",I80="SELLING EXPENSES","Selling Expenses",I80="EMPLOYMENT EXPENSES","Selling Expenses",I80="EMPLOYMENT EXPENSES","Selling Expenses",I80="DIRECT EXPENSES","Selling Expenses",I80="INDIRECT EXPENSES","Selling Expenses"))</f>
        <v>#N/A</v>
      </c>
    </row>
    <row r="81" spans="1:18" x14ac:dyDescent="0.2">
      <c r="A81" s="75">
        <v>1772</v>
      </c>
      <c r="B81" s="76" t="s">
        <v>311</v>
      </c>
      <c r="C81" s="76">
        <v>900</v>
      </c>
      <c r="D81" s="76" t="s">
        <v>214</v>
      </c>
      <c r="E81" s="76" t="s">
        <v>214</v>
      </c>
      <c r="F81" s="77">
        <v>838613.14</v>
      </c>
      <c r="G81" s="77">
        <v>10711.96</v>
      </c>
      <c r="H81" s="77">
        <v>849325.1</v>
      </c>
      <c r="I81" s="76" t="s">
        <v>312</v>
      </c>
      <c r="J81" s="77">
        <v>0</v>
      </c>
      <c r="K81" s="78">
        <v>0</v>
      </c>
      <c r="M81" s="79" t="str">
        <f t="shared" si="5"/>
        <v>900-1772</v>
      </c>
      <c r="N81" s="79" t="str">
        <f t="shared" si="3"/>
        <v/>
      </c>
      <c r="O81" s="79" t="str">
        <f t="shared" si="4"/>
        <v>900</v>
      </c>
      <c r="P81" s="79" t="str">
        <f>IFERROR(VLOOKUP($M81,Export!$P:$R,2,FALSE),"-")</f>
        <v>-</v>
      </c>
      <c r="Q81" s="79" t="str">
        <f>IFERROR(VLOOKUP($M81,Export!$P:$R,3,FALSE),"-")</f>
        <v>-</v>
      </c>
      <c r="R81" s="80" t="e" cm="1">
        <f t="array" ref="R81">_xlfn.IFS(P81="Service", _xlfn.IFS(I81="SALES","GP",I81="SERVICE SALES","GP",I81="PARTS SALES","GP",I81="SERVICE COS","GP",I81="PARTS COS","GP",I81="SELLING EXPENSES","Selling Expenses",I81="EMPLOYMENT EXPENSES","Selling Expenses",I81="EMPLOYMENT EXPENSES","Selling Expenses",I81="DIRECT EXPENSES","Selling Expenses",I81="INDIRECT EXPENSES","Selling Expenses"),P81="Parts",_xlfn.IFS(I81="SALES","GP",I81="SERVICE SALES","GP",I81="PARTS SALES","GP",I81="SERVICE COS","GP",I81="PARTS COS","GP",I81="SELLING EXPENSES","Selling Expenses",I81="EMPLOYMENT EXPENSES","Selling Expenses",I81="EMPLOYMENT EXPENSES","Selling Expenses",I81="DIRECT EXPENSES","Selling Expenses",I81="INDIRECT EXPENSES","Selling Expenses"))</f>
        <v>#N/A</v>
      </c>
    </row>
    <row r="82" spans="1:18" x14ac:dyDescent="0.2">
      <c r="A82" s="75" t="s">
        <v>313</v>
      </c>
      <c r="B82" s="76" t="s">
        <v>314</v>
      </c>
      <c r="C82" s="76">
        <v>900</v>
      </c>
      <c r="D82" s="76" t="s">
        <v>214</v>
      </c>
      <c r="E82" s="76" t="s">
        <v>214</v>
      </c>
      <c r="F82" s="77">
        <v>516711.84</v>
      </c>
      <c r="G82" s="77">
        <v>6542</v>
      </c>
      <c r="H82" s="77">
        <v>523253.84</v>
      </c>
      <c r="I82" s="76" t="s">
        <v>312</v>
      </c>
      <c r="J82" s="77">
        <v>0</v>
      </c>
      <c r="K82" s="78">
        <v>0</v>
      </c>
      <c r="M82" s="79" t="str">
        <f t="shared" si="5"/>
        <v>900-1772H</v>
      </c>
      <c r="N82" s="79" t="str">
        <f t="shared" si="3"/>
        <v/>
      </c>
      <c r="O82" s="79" t="str">
        <f t="shared" si="4"/>
        <v>900</v>
      </c>
      <c r="P82" s="79" t="str">
        <f>IFERROR(VLOOKUP($M82,Export!$P:$R,2,FALSE),"-")</f>
        <v>-</v>
      </c>
      <c r="Q82" s="79" t="str">
        <f>IFERROR(VLOOKUP($M82,Export!$P:$R,3,FALSE),"-")</f>
        <v>-</v>
      </c>
      <c r="R82" s="80" t="e" cm="1">
        <f t="array" ref="R82">_xlfn.IFS(P82="Service", _xlfn.IFS(I82="SALES","GP",I82="SERVICE SALES","GP",I82="PARTS SALES","GP",I82="SERVICE COS","GP",I82="PARTS COS","GP",I82="SELLING EXPENSES","Selling Expenses",I82="EMPLOYMENT EXPENSES","Selling Expenses",I82="EMPLOYMENT EXPENSES","Selling Expenses",I82="DIRECT EXPENSES","Selling Expenses",I82="INDIRECT EXPENSES","Selling Expenses"),P82="Parts",_xlfn.IFS(I82="SALES","GP",I82="SERVICE SALES","GP",I82="PARTS SALES","GP",I82="SERVICE COS","GP",I82="PARTS COS","GP",I82="SELLING EXPENSES","Selling Expenses",I82="EMPLOYMENT EXPENSES","Selling Expenses",I82="EMPLOYMENT EXPENSES","Selling Expenses",I82="DIRECT EXPENSES","Selling Expenses",I82="INDIRECT EXPENSES","Selling Expenses"))</f>
        <v>#N/A</v>
      </c>
    </row>
    <row r="83" spans="1:18" x14ac:dyDescent="0.2">
      <c r="A83" s="75">
        <v>1773</v>
      </c>
      <c r="B83" s="76" t="s">
        <v>315</v>
      </c>
      <c r="C83" s="76">
        <v>900</v>
      </c>
      <c r="D83" s="76" t="s">
        <v>214</v>
      </c>
      <c r="E83" s="76" t="s">
        <v>214</v>
      </c>
      <c r="F83" s="77">
        <v>584413.29</v>
      </c>
      <c r="G83" s="77">
        <v>0</v>
      </c>
      <c r="H83" s="77">
        <v>584413.29</v>
      </c>
      <c r="I83" s="76" t="s">
        <v>312</v>
      </c>
      <c r="J83" s="77">
        <v>0</v>
      </c>
      <c r="K83" s="78">
        <v>0</v>
      </c>
      <c r="M83" s="79" t="str">
        <f t="shared" si="5"/>
        <v>900-1773</v>
      </c>
      <c r="N83" s="79" t="str">
        <f t="shared" si="3"/>
        <v/>
      </c>
      <c r="O83" s="79" t="str">
        <f t="shared" si="4"/>
        <v>900</v>
      </c>
      <c r="P83" s="79" t="str">
        <f>IFERROR(VLOOKUP($M83,Export!$P:$R,2,FALSE),"-")</f>
        <v>-</v>
      </c>
      <c r="Q83" s="79" t="str">
        <f>IFERROR(VLOOKUP($M83,Export!$P:$R,3,FALSE),"-")</f>
        <v>-</v>
      </c>
      <c r="R83" s="80" t="e" cm="1">
        <f t="array" ref="R83">_xlfn.IFS(P83="Service", _xlfn.IFS(I83="SALES","GP",I83="SERVICE SALES","GP",I83="PARTS SALES","GP",I83="SERVICE COS","GP",I83="PARTS COS","GP",I83="SELLING EXPENSES","Selling Expenses",I83="EMPLOYMENT EXPENSES","Selling Expenses",I83="EMPLOYMENT EXPENSES","Selling Expenses",I83="DIRECT EXPENSES","Selling Expenses",I83="INDIRECT EXPENSES","Selling Expenses"),P83="Parts",_xlfn.IFS(I83="SALES","GP",I83="SERVICE SALES","GP",I83="PARTS SALES","GP",I83="SERVICE COS","GP",I83="PARTS COS","GP",I83="SELLING EXPENSES","Selling Expenses",I83="EMPLOYMENT EXPENSES","Selling Expenses",I83="EMPLOYMENT EXPENSES","Selling Expenses",I83="DIRECT EXPENSES","Selling Expenses",I83="INDIRECT EXPENSES","Selling Expenses"))</f>
        <v>#N/A</v>
      </c>
    </row>
    <row r="84" spans="1:18" x14ac:dyDescent="0.2">
      <c r="A84" s="75" t="s">
        <v>316</v>
      </c>
      <c r="B84" s="76" t="s">
        <v>317</v>
      </c>
      <c r="C84" s="76">
        <v>900</v>
      </c>
      <c r="D84" s="76" t="s">
        <v>214</v>
      </c>
      <c r="E84" s="76" t="s">
        <v>214</v>
      </c>
      <c r="F84" s="77">
        <v>266125.82</v>
      </c>
      <c r="G84" s="77">
        <v>0</v>
      </c>
      <c r="H84" s="77">
        <v>266125.82</v>
      </c>
      <c r="I84" s="76" t="s">
        <v>312</v>
      </c>
      <c r="J84" s="77">
        <v>0</v>
      </c>
      <c r="K84" s="78">
        <v>0</v>
      </c>
      <c r="M84" s="79" t="str">
        <f t="shared" si="5"/>
        <v>900-1773H</v>
      </c>
      <c r="N84" s="79" t="str">
        <f t="shared" si="3"/>
        <v/>
      </c>
      <c r="O84" s="79" t="str">
        <f t="shared" si="4"/>
        <v>900</v>
      </c>
      <c r="P84" s="79" t="str">
        <f>IFERROR(VLOOKUP($M84,Export!$P:$R,2,FALSE),"-")</f>
        <v>-</v>
      </c>
      <c r="Q84" s="79" t="str">
        <f>IFERROR(VLOOKUP($M84,Export!$P:$R,3,FALSE),"-")</f>
        <v>-</v>
      </c>
      <c r="R84" s="80" t="e" cm="1">
        <f t="array" ref="R84">_xlfn.IFS(P84="Service", _xlfn.IFS(I84="SALES","GP",I84="SERVICE SALES","GP",I84="PARTS SALES","GP",I84="SERVICE COS","GP",I84="PARTS COS","GP",I84="SELLING EXPENSES","Selling Expenses",I84="EMPLOYMENT EXPENSES","Selling Expenses",I84="EMPLOYMENT EXPENSES","Selling Expenses",I84="DIRECT EXPENSES","Selling Expenses",I84="INDIRECT EXPENSES","Selling Expenses"),P84="Parts",_xlfn.IFS(I84="SALES","GP",I84="SERVICE SALES","GP",I84="PARTS SALES","GP",I84="SERVICE COS","GP",I84="PARTS COS","GP",I84="SELLING EXPENSES","Selling Expenses",I84="EMPLOYMENT EXPENSES","Selling Expenses",I84="EMPLOYMENT EXPENSES","Selling Expenses",I84="DIRECT EXPENSES","Selling Expenses",I84="INDIRECT EXPENSES","Selling Expenses"))</f>
        <v>#N/A</v>
      </c>
    </row>
    <row r="85" spans="1:18" x14ac:dyDescent="0.2">
      <c r="A85" s="75">
        <v>1774</v>
      </c>
      <c r="B85" s="76" t="s">
        <v>318</v>
      </c>
      <c r="C85" s="76">
        <v>900</v>
      </c>
      <c r="D85" s="76" t="s">
        <v>214</v>
      </c>
      <c r="E85" s="76" t="s">
        <v>214</v>
      </c>
      <c r="F85" s="77">
        <v>2377105.9</v>
      </c>
      <c r="G85" s="77">
        <v>255312.53</v>
      </c>
      <c r="H85" s="77">
        <v>2632418.4300000002</v>
      </c>
      <c r="I85" s="76" t="s">
        <v>312</v>
      </c>
      <c r="J85" s="77">
        <v>0</v>
      </c>
      <c r="K85" s="78">
        <v>0</v>
      </c>
      <c r="M85" s="79" t="str">
        <f t="shared" si="5"/>
        <v>900-1774</v>
      </c>
      <c r="N85" s="79" t="str">
        <f t="shared" si="3"/>
        <v/>
      </c>
      <c r="O85" s="79" t="str">
        <f t="shared" si="4"/>
        <v>900</v>
      </c>
      <c r="P85" s="79" t="str">
        <f>IFERROR(VLOOKUP($M85,Export!$P:$R,2,FALSE),"-")</f>
        <v>-</v>
      </c>
      <c r="Q85" s="79" t="str">
        <f>IFERROR(VLOOKUP($M85,Export!$P:$R,3,FALSE),"-")</f>
        <v>-</v>
      </c>
      <c r="R85" s="80" t="e" cm="1">
        <f t="array" ref="R85">_xlfn.IFS(P85="Service", _xlfn.IFS(I85="SALES","GP",I85="SERVICE SALES","GP",I85="PARTS SALES","GP",I85="SERVICE COS","GP",I85="PARTS COS","GP",I85="SELLING EXPENSES","Selling Expenses",I85="EMPLOYMENT EXPENSES","Selling Expenses",I85="EMPLOYMENT EXPENSES","Selling Expenses",I85="DIRECT EXPENSES","Selling Expenses",I85="INDIRECT EXPENSES","Selling Expenses"),P85="Parts",_xlfn.IFS(I85="SALES","GP",I85="SERVICE SALES","GP",I85="PARTS SALES","GP",I85="SERVICE COS","GP",I85="PARTS COS","GP",I85="SELLING EXPENSES","Selling Expenses",I85="EMPLOYMENT EXPENSES","Selling Expenses",I85="EMPLOYMENT EXPENSES","Selling Expenses",I85="DIRECT EXPENSES","Selling Expenses",I85="INDIRECT EXPENSES","Selling Expenses"))</f>
        <v>#N/A</v>
      </c>
    </row>
    <row r="86" spans="1:18" x14ac:dyDescent="0.2">
      <c r="A86" s="75" t="s">
        <v>319</v>
      </c>
      <c r="B86" s="76" t="s">
        <v>320</v>
      </c>
      <c r="C86" s="76">
        <v>900</v>
      </c>
      <c r="D86" s="76" t="s">
        <v>214</v>
      </c>
      <c r="E86" s="76" t="s">
        <v>214</v>
      </c>
      <c r="F86" s="77">
        <v>1228965.46</v>
      </c>
      <c r="G86" s="77">
        <v>-65264</v>
      </c>
      <c r="H86" s="77">
        <v>1163701.46</v>
      </c>
      <c r="I86" s="76" t="s">
        <v>312</v>
      </c>
      <c r="J86" s="77">
        <v>0</v>
      </c>
      <c r="K86" s="78">
        <v>0</v>
      </c>
      <c r="M86" s="79" t="str">
        <f t="shared" si="5"/>
        <v>900-1774H</v>
      </c>
      <c r="N86" s="79" t="str">
        <f t="shared" si="3"/>
        <v/>
      </c>
      <c r="O86" s="79" t="str">
        <f t="shared" si="4"/>
        <v>900</v>
      </c>
      <c r="P86" s="79" t="str">
        <f>IFERROR(VLOOKUP($M86,Export!$P:$R,2,FALSE),"-")</f>
        <v>-</v>
      </c>
      <c r="Q86" s="79" t="str">
        <f>IFERROR(VLOOKUP($M86,Export!$P:$R,3,FALSE),"-")</f>
        <v>-</v>
      </c>
      <c r="R86" s="80" t="e" cm="1">
        <f t="array" ref="R86">_xlfn.IFS(P86="Service", _xlfn.IFS(I86="SALES","GP",I86="SERVICE SALES","GP",I86="PARTS SALES","GP",I86="SERVICE COS","GP",I86="PARTS COS","GP",I86="SELLING EXPENSES","Selling Expenses",I86="EMPLOYMENT EXPENSES","Selling Expenses",I86="EMPLOYMENT EXPENSES","Selling Expenses",I86="DIRECT EXPENSES","Selling Expenses",I86="INDIRECT EXPENSES","Selling Expenses"),P86="Parts",_xlfn.IFS(I86="SALES","GP",I86="SERVICE SALES","GP",I86="PARTS SALES","GP",I86="SERVICE COS","GP",I86="PARTS COS","GP",I86="SELLING EXPENSES","Selling Expenses",I86="EMPLOYMENT EXPENSES","Selling Expenses",I86="EMPLOYMENT EXPENSES","Selling Expenses",I86="DIRECT EXPENSES","Selling Expenses",I86="INDIRECT EXPENSES","Selling Expenses"))</f>
        <v>#N/A</v>
      </c>
    </row>
    <row r="87" spans="1:18" x14ac:dyDescent="0.2">
      <c r="A87" s="75">
        <v>1780</v>
      </c>
      <c r="B87" s="76" t="s">
        <v>321</v>
      </c>
      <c r="C87" s="76">
        <v>900</v>
      </c>
      <c r="D87" s="76" t="s">
        <v>214</v>
      </c>
      <c r="E87" s="76" t="s">
        <v>214</v>
      </c>
      <c r="F87" s="77">
        <v>1436946.24</v>
      </c>
      <c r="G87" s="77">
        <v>0</v>
      </c>
      <c r="H87" s="77">
        <v>1436946.24</v>
      </c>
      <c r="I87" s="76" t="s">
        <v>312</v>
      </c>
      <c r="J87" s="77">
        <v>0</v>
      </c>
      <c r="K87" s="78">
        <v>0</v>
      </c>
      <c r="M87" s="79" t="str">
        <f t="shared" si="5"/>
        <v>900-1780</v>
      </c>
      <c r="N87" s="79" t="str">
        <f t="shared" si="3"/>
        <v/>
      </c>
      <c r="O87" s="79" t="str">
        <f t="shared" si="4"/>
        <v>900</v>
      </c>
      <c r="P87" s="79" t="str">
        <f>IFERROR(VLOOKUP($M87,Export!$P:$R,2,FALSE),"-")</f>
        <v>-</v>
      </c>
      <c r="Q87" s="79" t="str">
        <f>IFERROR(VLOOKUP($M87,Export!$P:$R,3,FALSE),"-")</f>
        <v>-</v>
      </c>
      <c r="R87" s="80" t="e" cm="1">
        <f t="array" ref="R87">_xlfn.IFS(P87="Service", _xlfn.IFS(I87="SALES","GP",I87="SERVICE SALES","GP",I87="PARTS SALES","GP",I87="SERVICE COS","GP",I87="PARTS COS","GP",I87="SELLING EXPENSES","Selling Expenses",I87="EMPLOYMENT EXPENSES","Selling Expenses",I87="EMPLOYMENT EXPENSES","Selling Expenses",I87="DIRECT EXPENSES","Selling Expenses",I87="INDIRECT EXPENSES","Selling Expenses"),P87="Parts",_xlfn.IFS(I87="SALES","GP",I87="SERVICE SALES","GP",I87="PARTS SALES","GP",I87="SERVICE COS","GP",I87="PARTS COS","GP",I87="SELLING EXPENSES","Selling Expenses",I87="EMPLOYMENT EXPENSES","Selling Expenses",I87="EMPLOYMENT EXPENSES","Selling Expenses",I87="DIRECT EXPENSES","Selling Expenses",I87="INDIRECT EXPENSES","Selling Expenses"))</f>
        <v>#N/A</v>
      </c>
    </row>
    <row r="88" spans="1:18" x14ac:dyDescent="0.2">
      <c r="A88" s="75" t="s">
        <v>322</v>
      </c>
      <c r="B88" s="76" t="s">
        <v>323</v>
      </c>
      <c r="C88" s="76">
        <v>900</v>
      </c>
      <c r="D88" s="76" t="s">
        <v>214</v>
      </c>
      <c r="E88" s="76" t="s">
        <v>214</v>
      </c>
      <c r="F88" s="77">
        <v>460327.23</v>
      </c>
      <c r="G88" s="77">
        <v>0</v>
      </c>
      <c r="H88" s="77">
        <v>460327.23</v>
      </c>
      <c r="I88" s="76" t="s">
        <v>312</v>
      </c>
      <c r="J88" s="77">
        <v>0</v>
      </c>
      <c r="K88" s="78">
        <v>0</v>
      </c>
      <c r="M88" s="79" t="str">
        <f t="shared" si="5"/>
        <v>900-1780H</v>
      </c>
      <c r="N88" s="79" t="str">
        <f t="shared" si="3"/>
        <v/>
      </c>
      <c r="O88" s="79" t="str">
        <f t="shared" si="4"/>
        <v>900</v>
      </c>
      <c r="P88" s="79" t="str">
        <f>IFERROR(VLOOKUP($M88,Export!$P:$R,2,FALSE),"-")</f>
        <v>-</v>
      </c>
      <c r="Q88" s="79" t="str">
        <f>IFERROR(VLOOKUP($M88,Export!$P:$R,3,FALSE),"-")</f>
        <v>-</v>
      </c>
      <c r="R88" s="80" t="e" cm="1">
        <f t="array" ref="R88">_xlfn.IFS(P88="Service", _xlfn.IFS(I88="SALES","GP",I88="SERVICE SALES","GP",I88="PARTS SALES","GP",I88="SERVICE COS","GP",I88="PARTS COS","GP",I88="SELLING EXPENSES","Selling Expenses",I88="EMPLOYMENT EXPENSES","Selling Expenses",I88="EMPLOYMENT EXPENSES","Selling Expenses",I88="DIRECT EXPENSES","Selling Expenses",I88="INDIRECT EXPENSES","Selling Expenses"),P88="Parts",_xlfn.IFS(I88="SALES","GP",I88="SERVICE SALES","GP",I88="PARTS SALES","GP",I88="SERVICE COS","GP",I88="PARTS COS","GP",I88="SELLING EXPENSES","Selling Expenses",I88="EMPLOYMENT EXPENSES","Selling Expenses",I88="EMPLOYMENT EXPENSES","Selling Expenses",I88="DIRECT EXPENSES","Selling Expenses",I88="INDIRECT EXPENSES","Selling Expenses"))</f>
        <v>#N/A</v>
      </c>
    </row>
    <row r="89" spans="1:18" x14ac:dyDescent="0.2">
      <c r="A89" s="75">
        <v>1790</v>
      </c>
      <c r="B89" s="76" t="s">
        <v>324</v>
      </c>
      <c r="C89" s="76">
        <v>900</v>
      </c>
      <c r="D89" s="76" t="s">
        <v>214</v>
      </c>
      <c r="E89" s="76" t="s">
        <v>214</v>
      </c>
      <c r="F89" s="77">
        <v>17414.89</v>
      </c>
      <c r="G89" s="77">
        <v>0</v>
      </c>
      <c r="H89" s="77">
        <v>17414.89</v>
      </c>
      <c r="I89" s="76" t="s">
        <v>312</v>
      </c>
      <c r="J89" s="77">
        <v>0</v>
      </c>
      <c r="K89" s="78">
        <v>0</v>
      </c>
      <c r="M89" s="79" t="str">
        <f t="shared" si="5"/>
        <v>900-1790</v>
      </c>
      <c r="N89" s="79" t="str">
        <f t="shared" si="3"/>
        <v/>
      </c>
      <c r="O89" s="79" t="str">
        <f t="shared" si="4"/>
        <v>900</v>
      </c>
      <c r="P89" s="79" t="str">
        <f>IFERROR(VLOOKUP($M89,Export!$P:$R,2,FALSE),"-")</f>
        <v>-</v>
      </c>
      <c r="Q89" s="79" t="str">
        <f>IFERROR(VLOOKUP($M89,Export!$P:$R,3,FALSE),"-")</f>
        <v>-</v>
      </c>
      <c r="R89" s="80" t="e" cm="1">
        <f t="array" ref="R89">_xlfn.IFS(P89="Service", _xlfn.IFS(I89="SALES","GP",I89="SERVICE SALES","GP",I89="PARTS SALES","GP",I89="SERVICE COS","GP",I89="PARTS COS","GP",I89="SELLING EXPENSES","Selling Expenses",I89="EMPLOYMENT EXPENSES","Selling Expenses",I89="EMPLOYMENT EXPENSES","Selling Expenses",I89="DIRECT EXPENSES","Selling Expenses",I89="INDIRECT EXPENSES","Selling Expenses"),P89="Parts",_xlfn.IFS(I89="SALES","GP",I89="SERVICE SALES","GP",I89="PARTS SALES","GP",I89="SERVICE COS","GP",I89="PARTS COS","GP",I89="SELLING EXPENSES","Selling Expenses",I89="EMPLOYMENT EXPENSES","Selling Expenses",I89="EMPLOYMENT EXPENSES","Selling Expenses",I89="DIRECT EXPENSES","Selling Expenses",I89="INDIRECT EXPENSES","Selling Expenses"))</f>
        <v>#N/A</v>
      </c>
    </row>
    <row r="90" spans="1:18" x14ac:dyDescent="0.2">
      <c r="A90" s="75">
        <v>1800</v>
      </c>
      <c r="B90" s="76" t="s">
        <v>325</v>
      </c>
      <c r="C90" s="76">
        <v>900</v>
      </c>
      <c r="D90" s="76" t="s">
        <v>214</v>
      </c>
      <c r="E90" s="76" t="s">
        <v>214</v>
      </c>
      <c r="F90" s="77">
        <v>3788679.07</v>
      </c>
      <c r="G90" s="77">
        <v>0</v>
      </c>
      <c r="H90" s="77">
        <v>3788679.07</v>
      </c>
      <c r="I90" s="76" t="s">
        <v>312</v>
      </c>
      <c r="J90" s="77">
        <v>0</v>
      </c>
      <c r="K90" s="78">
        <v>0</v>
      </c>
      <c r="M90" s="79" t="str">
        <f t="shared" si="5"/>
        <v>900-1800</v>
      </c>
      <c r="N90" s="79" t="str">
        <f t="shared" si="3"/>
        <v/>
      </c>
      <c r="O90" s="79" t="str">
        <f t="shared" si="4"/>
        <v>900</v>
      </c>
      <c r="P90" s="79" t="str">
        <f>IFERROR(VLOOKUP($M90,Export!$P:$R,2,FALSE),"-")</f>
        <v>-</v>
      </c>
      <c r="Q90" s="79" t="str">
        <f>IFERROR(VLOOKUP($M90,Export!$P:$R,3,FALSE),"-")</f>
        <v>-</v>
      </c>
      <c r="R90" s="80" t="e" cm="1">
        <f t="array" ref="R90">_xlfn.IFS(P90="Service", _xlfn.IFS(I90="SALES","GP",I90="SERVICE SALES","GP",I90="PARTS SALES","GP",I90="SERVICE COS","GP",I90="PARTS COS","GP",I90="SELLING EXPENSES","Selling Expenses",I90="EMPLOYMENT EXPENSES","Selling Expenses",I90="EMPLOYMENT EXPENSES","Selling Expenses",I90="DIRECT EXPENSES","Selling Expenses",I90="INDIRECT EXPENSES","Selling Expenses"),P90="Parts",_xlfn.IFS(I90="SALES","GP",I90="SERVICE SALES","GP",I90="PARTS SALES","GP",I90="SERVICE COS","GP",I90="PARTS COS","GP",I90="SELLING EXPENSES","Selling Expenses",I90="EMPLOYMENT EXPENSES","Selling Expenses",I90="EMPLOYMENT EXPENSES","Selling Expenses",I90="DIRECT EXPENSES","Selling Expenses",I90="INDIRECT EXPENSES","Selling Expenses"))</f>
        <v>#N/A</v>
      </c>
    </row>
    <row r="91" spans="1:18" x14ac:dyDescent="0.2">
      <c r="A91" s="75" t="s">
        <v>326</v>
      </c>
      <c r="B91" s="76" t="s">
        <v>327</v>
      </c>
      <c r="C91" s="76">
        <v>900</v>
      </c>
      <c r="D91" s="76" t="s">
        <v>214</v>
      </c>
      <c r="E91" s="76" t="s">
        <v>214</v>
      </c>
      <c r="F91" s="77">
        <v>737781.29</v>
      </c>
      <c r="G91" s="77">
        <v>0</v>
      </c>
      <c r="H91" s="77">
        <v>737781.29</v>
      </c>
      <c r="I91" s="76" t="s">
        <v>312</v>
      </c>
      <c r="J91" s="77">
        <v>0</v>
      </c>
      <c r="K91" s="78">
        <v>0</v>
      </c>
      <c r="M91" s="79" t="str">
        <f t="shared" si="5"/>
        <v>900-1800H</v>
      </c>
      <c r="N91" s="79" t="str">
        <f t="shared" si="3"/>
        <v/>
      </c>
      <c r="O91" s="79" t="str">
        <f t="shared" si="4"/>
        <v>900</v>
      </c>
      <c r="P91" s="79" t="str">
        <f>IFERROR(VLOOKUP($M91,Export!$P:$R,2,FALSE),"-")</f>
        <v>-</v>
      </c>
      <c r="Q91" s="79" t="str">
        <f>IFERROR(VLOOKUP($M91,Export!$P:$R,3,FALSE),"-")</f>
        <v>-</v>
      </c>
      <c r="R91" s="80" t="e" cm="1">
        <f t="array" ref="R91">_xlfn.IFS(P91="Service", _xlfn.IFS(I91="SALES","GP",I91="SERVICE SALES","GP",I91="PARTS SALES","GP",I91="SERVICE COS","GP",I91="PARTS COS","GP",I91="SELLING EXPENSES","Selling Expenses",I91="EMPLOYMENT EXPENSES","Selling Expenses",I91="EMPLOYMENT EXPENSES","Selling Expenses",I91="DIRECT EXPENSES","Selling Expenses",I91="INDIRECT EXPENSES","Selling Expenses"),P91="Parts",_xlfn.IFS(I91="SALES","GP",I91="SERVICE SALES","GP",I91="PARTS SALES","GP",I91="SERVICE COS","GP",I91="PARTS COS","GP",I91="SELLING EXPENSES","Selling Expenses",I91="EMPLOYMENT EXPENSES","Selling Expenses",I91="EMPLOYMENT EXPENSES","Selling Expenses",I91="DIRECT EXPENSES","Selling Expenses",I91="INDIRECT EXPENSES","Selling Expenses"))</f>
        <v>#N/A</v>
      </c>
    </row>
    <row r="92" spans="1:18" x14ac:dyDescent="0.2">
      <c r="A92" s="75">
        <v>2782</v>
      </c>
      <c r="B92" s="76" t="s">
        <v>328</v>
      </c>
      <c r="C92" s="76">
        <v>900</v>
      </c>
      <c r="D92" s="76" t="s">
        <v>214</v>
      </c>
      <c r="E92" s="76" t="s">
        <v>214</v>
      </c>
      <c r="F92" s="77">
        <v>-678658.38</v>
      </c>
      <c r="G92" s="77">
        <v>-10277</v>
      </c>
      <c r="H92" s="77">
        <v>-688935.38</v>
      </c>
      <c r="I92" s="76" t="s">
        <v>329</v>
      </c>
      <c r="J92" s="77">
        <v>0</v>
      </c>
      <c r="K92" s="78">
        <v>0</v>
      </c>
      <c r="M92" s="79" t="str">
        <f t="shared" si="5"/>
        <v>900-2782</v>
      </c>
      <c r="N92" s="79" t="str">
        <f t="shared" si="3"/>
        <v/>
      </c>
      <c r="O92" s="79" t="str">
        <f t="shared" si="4"/>
        <v>900</v>
      </c>
      <c r="P92" s="79" t="str">
        <f>IFERROR(VLOOKUP($M92,Export!$P:$R,2,FALSE),"-")</f>
        <v>-</v>
      </c>
      <c r="Q92" s="79" t="str">
        <f>IFERROR(VLOOKUP($M92,Export!$P:$R,3,FALSE),"-")</f>
        <v>-</v>
      </c>
      <c r="R92" s="80" t="e" cm="1">
        <f t="array" ref="R92">_xlfn.IFS(P92="Service", _xlfn.IFS(I92="SALES","GP",I92="SERVICE SALES","GP",I92="PARTS SALES","GP",I92="SERVICE COS","GP",I92="PARTS COS","GP",I92="SELLING EXPENSES","Selling Expenses",I92="EMPLOYMENT EXPENSES","Selling Expenses",I92="EMPLOYMENT EXPENSES","Selling Expenses",I92="DIRECT EXPENSES","Selling Expenses",I92="INDIRECT EXPENSES","Selling Expenses"),P92="Parts",_xlfn.IFS(I92="SALES","GP",I92="SERVICE SALES","GP",I92="PARTS SALES","GP",I92="SERVICE COS","GP",I92="PARTS COS","GP",I92="SELLING EXPENSES","Selling Expenses",I92="EMPLOYMENT EXPENSES","Selling Expenses",I92="EMPLOYMENT EXPENSES","Selling Expenses",I92="DIRECT EXPENSES","Selling Expenses",I92="INDIRECT EXPENSES","Selling Expenses"))</f>
        <v>#N/A</v>
      </c>
    </row>
    <row r="93" spans="1:18" x14ac:dyDescent="0.2">
      <c r="A93" s="75" t="s">
        <v>330</v>
      </c>
      <c r="B93" s="76" t="s">
        <v>331</v>
      </c>
      <c r="C93" s="76">
        <v>900</v>
      </c>
      <c r="D93" s="76" t="s">
        <v>214</v>
      </c>
      <c r="E93" s="76" t="s">
        <v>214</v>
      </c>
      <c r="F93" s="77">
        <v>-393618.4</v>
      </c>
      <c r="G93" s="77">
        <v>-5905</v>
      </c>
      <c r="H93" s="77">
        <v>-399523.4</v>
      </c>
      <c r="I93" s="76" t="s">
        <v>329</v>
      </c>
      <c r="J93" s="77">
        <v>0</v>
      </c>
      <c r="K93" s="78">
        <v>0</v>
      </c>
      <c r="M93" s="79" t="str">
        <f t="shared" si="5"/>
        <v>900-2782H</v>
      </c>
      <c r="N93" s="79" t="str">
        <f t="shared" si="3"/>
        <v/>
      </c>
      <c r="O93" s="79" t="str">
        <f t="shared" si="4"/>
        <v>900</v>
      </c>
      <c r="P93" s="79" t="str">
        <f>IFERROR(VLOOKUP($M93,Export!$P:$R,2,FALSE),"-")</f>
        <v>-</v>
      </c>
      <c r="Q93" s="79" t="str">
        <f>IFERROR(VLOOKUP($M93,Export!$P:$R,3,FALSE),"-")</f>
        <v>-</v>
      </c>
      <c r="R93" s="80" t="e" cm="1">
        <f t="array" ref="R93">_xlfn.IFS(P93="Service", _xlfn.IFS(I93="SALES","GP",I93="SERVICE SALES","GP",I93="PARTS SALES","GP",I93="SERVICE COS","GP",I93="PARTS COS","GP",I93="SELLING EXPENSES","Selling Expenses",I93="EMPLOYMENT EXPENSES","Selling Expenses",I93="EMPLOYMENT EXPENSES","Selling Expenses",I93="DIRECT EXPENSES","Selling Expenses",I93="INDIRECT EXPENSES","Selling Expenses"),P93="Parts",_xlfn.IFS(I93="SALES","GP",I93="SERVICE SALES","GP",I93="PARTS SALES","GP",I93="SERVICE COS","GP",I93="PARTS COS","GP",I93="SELLING EXPENSES","Selling Expenses",I93="EMPLOYMENT EXPENSES","Selling Expenses",I93="EMPLOYMENT EXPENSES","Selling Expenses",I93="DIRECT EXPENSES","Selling Expenses",I93="INDIRECT EXPENSES","Selling Expenses"))</f>
        <v>#N/A</v>
      </c>
    </row>
    <row r="94" spans="1:18" x14ac:dyDescent="0.2">
      <c r="A94" s="75">
        <v>2783</v>
      </c>
      <c r="B94" s="76" t="s">
        <v>332</v>
      </c>
      <c r="C94" s="76">
        <v>900</v>
      </c>
      <c r="D94" s="76" t="s">
        <v>214</v>
      </c>
      <c r="E94" s="76" t="s">
        <v>214</v>
      </c>
      <c r="F94" s="77">
        <v>-401236.79</v>
      </c>
      <c r="G94" s="77">
        <v>-3168</v>
      </c>
      <c r="H94" s="77">
        <v>-404404.79</v>
      </c>
      <c r="I94" s="76" t="s">
        <v>329</v>
      </c>
      <c r="J94" s="77">
        <v>0</v>
      </c>
      <c r="K94" s="78">
        <v>0</v>
      </c>
      <c r="M94" s="79" t="str">
        <f t="shared" si="5"/>
        <v>900-2783</v>
      </c>
      <c r="N94" s="79" t="str">
        <f t="shared" si="3"/>
        <v/>
      </c>
      <c r="O94" s="79" t="str">
        <f t="shared" si="4"/>
        <v>900</v>
      </c>
      <c r="P94" s="79" t="str">
        <f>IFERROR(VLOOKUP($M94,Export!$P:$R,2,FALSE),"-")</f>
        <v>-</v>
      </c>
      <c r="Q94" s="79" t="str">
        <f>IFERROR(VLOOKUP($M94,Export!$P:$R,3,FALSE),"-")</f>
        <v>-</v>
      </c>
      <c r="R94" s="80" t="e" cm="1">
        <f t="array" ref="R94">_xlfn.IFS(P94="Service", _xlfn.IFS(I94="SALES","GP",I94="SERVICE SALES","GP",I94="PARTS SALES","GP",I94="SERVICE COS","GP",I94="PARTS COS","GP",I94="SELLING EXPENSES","Selling Expenses",I94="EMPLOYMENT EXPENSES","Selling Expenses",I94="EMPLOYMENT EXPENSES","Selling Expenses",I94="DIRECT EXPENSES","Selling Expenses",I94="INDIRECT EXPENSES","Selling Expenses"),P94="Parts",_xlfn.IFS(I94="SALES","GP",I94="SERVICE SALES","GP",I94="PARTS SALES","GP",I94="SERVICE COS","GP",I94="PARTS COS","GP",I94="SELLING EXPENSES","Selling Expenses",I94="EMPLOYMENT EXPENSES","Selling Expenses",I94="EMPLOYMENT EXPENSES","Selling Expenses",I94="DIRECT EXPENSES","Selling Expenses",I94="INDIRECT EXPENSES","Selling Expenses"))</f>
        <v>#N/A</v>
      </c>
    </row>
    <row r="95" spans="1:18" x14ac:dyDescent="0.2">
      <c r="A95" s="75" t="s">
        <v>333</v>
      </c>
      <c r="B95" s="76" t="s">
        <v>334</v>
      </c>
      <c r="C95" s="76">
        <v>900</v>
      </c>
      <c r="D95" s="76" t="s">
        <v>214</v>
      </c>
      <c r="E95" s="76" t="s">
        <v>214</v>
      </c>
      <c r="F95" s="77">
        <v>-151060.9</v>
      </c>
      <c r="G95" s="77">
        <v>-2177</v>
      </c>
      <c r="H95" s="77">
        <v>-153237.9</v>
      </c>
      <c r="I95" s="76" t="s">
        <v>329</v>
      </c>
      <c r="J95" s="77">
        <v>0</v>
      </c>
      <c r="K95" s="78">
        <v>0</v>
      </c>
      <c r="M95" s="79" t="str">
        <f t="shared" si="5"/>
        <v>900-2783H</v>
      </c>
      <c r="N95" s="79" t="str">
        <f t="shared" si="3"/>
        <v/>
      </c>
      <c r="O95" s="79" t="str">
        <f t="shared" si="4"/>
        <v>900</v>
      </c>
      <c r="P95" s="79" t="str">
        <f>IFERROR(VLOOKUP($M95,Export!$P:$R,2,FALSE),"-")</f>
        <v>-</v>
      </c>
      <c r="Q95" s="79" t="str">
        <f>IFERROR(VLOOKUP($M95,Export!$P:$R,3,FALSE),"-")</f>
        <v>-</v>
      </c>
      <c r="R95" s="80" t="e" cm="1">
        <f t="array" ref="R95">_xlfn.IFS(P95="Service", _xlfn.IFS(I95="SALES","GP",I95="SERVICE SALES","GP",I95="PARTS SALES","GP",I95="SERVICE COS","GP",I95="PARTS COS","GP",I95="SELLING EXPENSES","Selling Expenses",I95="EMPLOYMENT EXPENSES","Selling Expenses",I95="EMPLOYMENT EXPENSES","Selling Expenses",I95="DIRECT EXPENSES","Selling Expenses",I95="INDIRECT EXPENSES","Selling Expenses"),P95="Parts",_xlfn.IFS(I95="SALES","GP",I95="SERVICE SALES","GP",I95="PARTS SALES","GP",I95="SERVICE COS","GP",I95="PARTS COS","GP",I95="SELLING EXPENSES","Selling Expenses",I95="EMPLOYMENT EXPENSES","Selling Expenses",I95="EMPLOYMENT EXPENSES","Selling Expenses",I95="DIRECT EXPENSES","Selling Expenses",I95="INDIRECT EXPENSES","Selling Expenses"))</f>
        <v>#N/A</v>
      </c>
    </row>
    <row r="96" spans="1:18" x14ac:dyDescent="0.2">
      <c r="A96" s="75">
        <v>2784</v>
      </c>
      <c r="B96" s="76" t="s">
        <v>335</v>
      </c>
      <c r="C96" s="76">
        <v>900</v>
      </c>
      <c r="D96" s="76" t="s">
        <v>214</v>
      </c>
      <c r="E96" s="76" t="s">
        <v>214</v>
      </c>
      <c r="F96" s="77">
        <v>-964315.29</v>
      </c>
      <c r="G96" s="77">
        <v>-22889</v>
      </c>
      <c r="H96" s="77">
        <v>-987204.29</v>
      </c>
      <c r="I96" s="76" t="s">
        <v>329</v>
      </c>
      <c r="J96" s="77">
        <v>0</v>
      </c>
      <c r="K96" s="78">
        <v>0</v>
      </c>
      <c r="M96" s="79" t="str">
        <f t="shared" si="5"/>
        <v>900-2784</v>
      </c>
      <c r="N96" s="79" t="str">
        <f t="shared" si="3"/>
        <v/>
      </c>
      <c r="O96" s="79" t="str">
        <f t="shared" si="4"/>
        <v>900</v>
      </c>
      <c r="P96" s="79" t="str">
        <f>IFERROR(VLOOKUP($M96,Export!$P:$R,2,FALSE),"-")</f>
        <v>-</v>
      </c>
      <c r="Q96" s="79" t="str">
        <f>IFERROR(VLOOKUP($M96,Export!$P:$R,3,FALSE),"-")</f>
        <v>-</v>
      </c>
      <c r="R96" s="80" t="e" cm="1">
        <f t="array" ref="R96">_xlfn.IFS(P96="Service", _xlfn.IFS(I96="SALES","GP",I96="SERVICE SALES","GP",I96="PARTS SALES","GP",I96="SERVICE COS","GP",I96="PARTS COS","GP",I96="SELLING EXPENSES","Selling Expenses",I96="EMPLOYMENT EXPENSES","Selling Expenses",I96="EMPLOYMENT EXPENSES","Selling Expenses",I96="DIRECT EXPENSES","Selling Expenses",I96="INDIRECT EXPENSES","Selling Expenses"),P96="Parts",_xlfn.IFS(I96="SALES","GP",I96="SERVICE SALES","GP",I96="PARTS SALES","GP",I96="SERVICE COS","GP",I96="PARTS COS","GP",I96="SELLING EXPENSES","Selling Expenses",I96="EMPLOYMENT EXPENSES","Selling Expenses",I96="EMPLOYMENT EXPENSES","Selling Expenses",I96="DIRECT EXPENSES","Selling Expenses",I96="INDIRECT EXPENSES","Selling Expenses"))</f>
        <v>#N/A</v>
      </c>
    </row>
    <row r="97" spans="1:18" x14ac:dyDescent="0.2">
      <c r="A97" s="75" t="s">
        <v>336</v>
      </c>
      <c r="B97" s="76" t="s">
        <v>337</v>
      </c>
      <c r="C97" s="76">
        <v>900</v>
      </c>
      <c r="D97" s="76" t="s">
        <v>214</v>
      </c>
      <c r="E97" s="76" t="s">
        <v>214</v>
      </c>
      <c r="F97" s="77">
        <v>-645682.93000000005</v>
      </c>
      <c r="G97" s="77">
        <v>57341</v>
      </c>
      <c r="H97" s="77">
        <v>-588341.93000000005</v>
      </c>
      <c r="I97" s="76" t="s">
        <v>329</v>
      </c>
      <c r="J97" s="77">
        <v>0</v>
      </c>
      <c r="K97" s="78">
        <v>0</v>
      </c>
      <c r="M97" s="79" t="str">
        <f t="shared" si="5"/>
        <v>900-2784H</v>
      </c>
      <c r="N97" s="79" t="str">
        <f t="shared" si="3"/>
        <v/>
      </c>
      <c r="O97" s="79" t="str">
        <f t="shared" si="4"/>
        <v>900</v>
      </c>
      <c r="P97" s="79" t="str">
        <f>IFERROR(VLOOKUP($M97,Export!$P:$R,2,FALSE),"-")</f>
        <v>-</v>
      </c>
      <c r="Q97" s="79" t="str">
        <f>IFERROR(VLOOKUP($M97,Export!$P:$R,3,FALSE),"-")</f>
        <v>-</v>
      </c>
      <c r="R97" s="80" t="e" cm="1">
        <f t="array" ref="R97">_xlfn.IFS(P97="Service", _xlfn.IFS(I97="SALES","GP",I97="SERVICE SALES","GP",I97="PARTS SALES","GP",I97="SERVICE COS","GP",I97="PARTS COS","GP",I97="SELLING EXPENSES","Selling Expenses",I97="EMPLOYMENT EXPENSES","Selling Expenses",I97="EMPLOYMENT EXPENSES","Selling Expenses",I97="DIRECT EXPENSES","Selling Expenses",I97="INDIRECT EXPENSES","Selling Expenses"),P97="Parts",_xlfn.IFS(I97="SALES","GP",I97="SERVICE SALES","GP",I97="PARTS SALES","GP",I97="SERVICE COS","GP",I97="PARTS COS","GP",I97="SELLING EXPENSES","Selling Expenses",I97="EMPLOYMENT EXPENSES","Selling Expenses",I97="EMPLOYMENT EXPENSES","Selling Expenses",I97="DIRECT EXPENSES","Selling Expenses",I97="INDIRECT EXPENSES","Selling Expenses"))</f>
        <v>#N/A</v>
      </c>
    </row>
    <row r="98" spans="1:18" x14ac:dyDescent="0.2">
      <c r="A98" s="75">
        <v>2790</v>
      </c>
      <c r="B98" s="76" t="s">
        <v>338</v>
      </c>
      <c r="C98" s="76">
        <v>900</v>
      </c>
      <c r="D98" s="76" t="s">
        <v>214</v>
      </c>
      <c r="E98" s="76" t="s">
        <v>214</v>
      </c>
      <c r="F98" s="77">
        <v>-797724.97</v>
      </c>
      <c r="G98" s="77">
        <v>-9152</v>
      </c>
      <c r="H98" s="77">
        <v>-806876.97</v>
      </c>
      <c r="I98" s="76" t="s">
        <v>329</v>
      </c>
      <c r="J98" s="77">
        <v>0</v>
      </c>
      <c r="K98" s="78">
        <v>0</v>
      </c>
      <c r="M98" s="79" t="str">
        <f t="shared" si="5"/>
        <v>900-2790</v>
      </c>
      <c r="N98" s="79" t="str">
        <f t="shared" si="3"/>
        <v/>
      </c>
      <c r="O98" s="79" t="str">
        <f t="shared" si="4"/>
        <v>900</v>
      </c>
      <c r="P98" s="79" t="str">
        <f>IFERROR(VLOOKUP($M98,Export!$P:$R,2,FALSE),"-")</f>
        <v>-</v>
      </c>
      <c r="Q98" s="79" t="str">
        <f>IFERROR(VLOOKUP($M98,Export!$P:$R,3,FALSE),"-")</f>
        <v>-</v>
      </c>
      <c r="R98" s="80" t="e" cm="1">
        <f t="array" ref="R98">_xlfn.IFS(P98="Service", _xlfn.IFS(I98="SALES","GP",I98="SERVICE SALES","GP",I98="PARTS SALES","GP",I98="SERVICE COS","GP",I98="PARTS COS","GP",I98="SELLING EXPENSES","Selling Expenses",I98="EMPLOYMENT EXPENSES","Selling Expenses",I98="EMPLOYMENT EXPENSES","Selling Expenses",I98="DIRECT EXPENSES","Selling Expenses",I98="INDIRECT EXPENSES","Selling Expenses"),P98="Parts",_xlfn.IFS(I98="SALES","GP",I98="SERVICE SALES","GP",I98="PARTS SALES","GP",I98="SERVICE COS","GP",I98="PARTS COS","GP",I98="SELLING EXPENSES","Selling Expenses",I98="EMPLOYMENT EXPENSES","Selling Expenses",I98="EMPLOYMENT EXPENSES","Selling Expenses",I98="DIRECT EXPENSES","Selling Expenses",I98="INDIRECT EXPENSES","Selling Expenses"))</f>
        <v>#N/A</v>
      </c>
    </row>
    <row r="99" spans="1:18" x14ac:dyDescent="0.2">
      <c r="A99" s="75" t="s">
        <v>339</v>
      </c>
      <c r="B99" s="76" t="s">
        <v>340</v>
      </c>
      <c r="C99" s="76">
        <v>900</v>
      </c>
      <c r="D99" s="76" t="s">
        <v>214</v>
      </c>
      <c r="E99" s="76" t="s">
        <v>214</v>
      </c>
      <c r="F99" s="77">
        <v>-278497.76</v>
      </c>
      <c r="G99" s="77">
        <v>-2616</v>
      </c>
      <c r="H99" s="77">
        <v>-281113.76</v>
      </c>
      <c r="I99" s="76" t="s">
        <v>329</v>
      </c>
      <c r="J99" s="77">
        <v>0</v>
      </c>
      <c r="K99" s="78">
        <v>0</v>
      </c>
      <c r="M99" s="79" t="str">
        <f t="shared" si="5"/>
        <v>900-2790H</v>
      </c>
      <c r="N99" s="79" t="str">
        <f t="shared" si="3"/>
        <v/>
      </c>
      <c r="O99" s="79" t="str">
        <f t="shared" si="4"/>
        <v>900</v>
      </c>
      <c r="P99" s="79" t="str">
        <f>IFERROR(VLOOKUP($M99,Export!$P:$R,2,FALSE),"-")</f>
        <v>-</v>
      </c>
      <c r="Q99" s="79" t="str">
        <f>IFERROR(VLOOKUP($M99,Export!$P:$R,3,FALSE),"-")</f>
        <v>-</v>
      </c>
      <c r="R99" s="80" t="e" cm="1">
        <f t="array" ref="R99">_xlfn.IFS(P99="Service", _xlfn.IFS(I99="SALES","GP",I99="SERVICE SALES","GP",I99="PARTS SALES","GP",I99="SERVICE COS","GP",I99="PARTS COS","GP",I99="SELLING EXPENSES","Selling Expenses",I99="EMPLOYMENT EXPENSES","Selling Expenses",I99="EMPLOYMENT EXPENSES","Selling Expenses",I99="DIRECT EXPENSES","Selling Expenses",I99="INDIRECT EXPENSES","Selling Expenses"),P99="Parts",_xlfn.IFS(I99="SALES","GP",I99="SERVICE SALES","GP",I99="PARTS SALES","GP",I99="SERVICE COS","GP",I99="PARTS COS","GP",I99="SELLING EXPENSES","Selling Expenses",I99="EMPLOYMENT EXPENSES","Selling Expenses",I99="EMPLOYMENT EXPENSES","Selling Expenses",I99="DIRECT EXPENSES","Selling Expenses",I99="INDIRECT EXPENSES","Selling Expenses"))</f>
        <v>#N/A</v>
      </c>
    </row>
    <row r="100" spans="1:18" x14ac:dyDescent="0.2">
      <c r="A100" s="75">
        <v>2800</v>
      </c>
      <c r="B100" s="76" t="s">
        <v>341</v>
      </c>
      <c r="C100" s="76">
        <v>900</v>
      </c>
      <c r="D100" s="76" t="s">
        <v>214</v>
      </c>
      <c r="E100" s="76" t="s">
        <v>214</v>
      </c>
      <c r="F100" s="77">
        <v>-1725404.12</v>
      </c>
      <c r="G100" s="77">
        <v>-12326</v>
      </c>
      <c r="H100" s="77">
        <v>-1737730.12</v>
      </c>
      <c r="I100" s="76" t="s">
        <v>329</v>
      </c>
      <c r="J100" s="77">
        <v>0</v>
      </c>
      <c r="K100" s="78">
        <v>0</v>
      </c>
      <c r="M100" s="79" t="str">
        <f t="shared" si="5"/>
        <v>900-2800</v>
      </c>
      <c r="N100" s="79" t="str">
        <f t="shared" si="3"/>
        <v/>
      </c>
      <c r="O100" s="79" t="str">
        <f t="shared" si="4"/>
        <v>900</v>
      </c>
      <c r="P100" s="79" t="str">
        <f>IFERROR(VLOOKUP($M100,Export!$P:$R,2,FALSE),"-")</f>
        <v>-</v>
      </c>
      <c r="Q100" s="79" t="str">
        <f>IFERROR(VLOOKUP($M100,Export!$P:$R,3,FALSE),"-")</f>
        <v>-</v>
      </c>
      <c r="R100" s="80" t="e" cm="1">
        <f t="array" ref="R100">_xlfn.IFS(P100="Service", _xlfn.IFS(I100="SALES","GP",I100="SERVICE SALES","GP",I100="PARTS SALES","GP",I100="SERVICE COS","GP",I100="PARTS COS","GP",I100="SELLING EXPENSES","Selling Expenses",I100="EMPLOYMENT EXPENSES","Selling Expenses",I100="EMPLOYMENT EXPENSES","Selling Expenses",I100="DIRECT EXPENSES","Selling Expenses",I100="INDIRECT EXPENSES","Selling Expenses"),P100="Parts",_xlfn.IFS(I100="SALES","GP",I100="SERVICE SALES","GP",I100="PARTS SALES","GP",I100="SERVICE COS","GP",I100="PARTS COS","GP",I100="SELLING EXPENSES","Selling Expenses",I100="EMPLOYMENT EXPENSES","Selling Expenses",I100="EMPLOYMENT EXPENSES","Selling Expenses",I100="DIRECT EXPENSES","Selling Expenses",I100="INDIRECT EXPENSES","Selling Expenses"))</f>
        <v>#N/A</v>
      </c>
    </row>
    <row r="101" spans="1:18" x14ac:dyDescent="0.2">
      <c r="A101" s="75" t="s">
        <v>342</v>
      </c>
      <c r="B101" s="76" t="s">
        <v>343</v>
      </c>
      <c r="C101" s="76">
        <v>900</v>
      </c>
      <c r="D101" s="76" t="s">
        <v>214</v>
      </c>
      <c r="E101" s="76" t="s">
        <v>214</v>
      </c>
      <c r="F101" s="77">
        <v>-216057.35</v>
      </c>
      <c r="G101" s="77">
        <v>-4033</v>
      </c>
      <c r="H101" s="77">
        <v>-220090.35</v>
      </c>
      <c r="I101" s="76" t="s">
        <v>329</v>
      </c>
      <c r="J101" s="77">
        <v>0</v>
      </c>
      <c r="K101" s="78">
        <v>0</v>
      </c>
      <c r="M101" s="79" t="str">
        <f t="shared" si="5"/>
        <v>900-2800H</v>
      </c>
      <c r="N101" s="79" t="str">
        <f t="shared" si="3"/>
        <v/>
      </c>
      <c r="O101" s="79" t="str">
        <f t="shared" si="4"/>
        <v>900</v>
      </c>
      <c r="P101" s="79" t="str">
        <f>IFERROR(VLOOKUP($M101,Export!$P:$R,2,FALSE),"-")</f>
        <v>-</v>
      </c>
      <c r="Q101" s="79" t="str">
        <f>IFERROR(VLOOKUP($M101,Export!$P:$R,3,FALSE),"-")</f>
        <v>-</v>
      </c>
      <c r="R101" s="80" t="e" cm="1">
        <f t="array" ref="R101">_xlfn.IFS(P101="Service", _xlfn.IFS(I101="SALES","GP",I101="SERVICE SALES","GP",I101="PARTS SALES","GP",I101="SERVICE COS","GP",I101="PARTS COS","GP",I101="SELLING EXPENSES","Selling Expenses",I101="EMPLOYMENT EXPENSES","Selling Expenses",I101="EMPLOYMENT EXPENSES","Selling Expenses",I101="DIRECT EXPENSES","Selling Expenses",I101="INDIRECT EXPENSES","Selling Expenses"),P101="Parts",_xlfn.IFS(I101="SALES","GP",I101="SERVICE SALES","GP",I101="PARTS SALES","GP",I101="SERVICE COS","GP",I101="PARTS COS","GP",I101="SELLING EXPENSES","Selling Expenses",I101="EMPLOYMENT EXPENSES","Selling Expenses",I101="EMPLOYMENT EXPENSES","Selling Expenses",I101="DIRECT EXPENSES","Selling Expenses",I101="INDIRECT EXPENSES","Selling Expenses"))</f>
        <v>#N/A</v>
      </c>
    </row>
    <row r="102" spans="1:18" x14ac:dyDescent="0.2">
      <c r="A102" s="75" t="s">
        <v>344</v>
      </c>
      <c r="B102" s="76" t="s">
        <v>345</v>
      </c>
      <c r="C102" s="76">
        <v>900</v>
      </c>
      <c r="D102" s="76" t="s">
        <v>214</v>
      </c>
      <c r="E102" s="76" t="s">
        <v>247</v>
      </c>
      <c r="F102" s="77">
        <v>1</v>
      </c>
      <c r="G102" s="77">
        <v>1</v>
      </c>
      <c r="H102" s="77">
        <v>2</v>
      </c>
      <c r="I102" s="76" t="s">
        <v>346</v>
      </c>
      <c r="J102" s="77">
        <v>0</v>
      </c>
      <c r="K102" s="78">
        <v>0</v>
      </c>
      <c r="M102" s="79" t="str">
        <f t="shared" si="5"/>
        <v>900-1350#</v>
      </c>
      <c r="N102" s="79" t="str">
        <f t="shared" si="3"/>
        <v>#</v>
      </c>
      <c r="O102" s="79" t="str">
        <f t="shared" si="4"/>
        <v>900#</v>
      </c>
      <c r="P102" s="79" t="str">
        <f>IFERROR(VLOOKUP($M102,Export!$P:$R,2,FALSE),"-")</f>
        <v>-</v>
      </c>
      <c r="Q102" s="79" t="str">
        <f>IFERROR(VLOOKUP($M102,Export!$P:$R,3,FALSE),"-")</f>
        <v>-</v>
      </c>
      <c r="R102" s="80" t="e" cm="1">
        <f t="array" ref="R102">_xlfn.IFS(P102="Service", _xlfn.IFS(I102="SALES","GP",I102="SERVICE SALES","GP",I102="PARTS SALES","GP",I102="SERVICE COS","GP",I102="PARTS COS","GP",I102="SELLING EXPENSES","Selling Expenses",I102="EMPLOYMENT EXPENSES","Selling Expenses",I102="EMPLOYMENT EXPENSES","Selling Expenses",I102="DIRECT EXPENSES","Selling Expenses",I102="INDIRECT EXPENSES","Selling Expenses"),P102="Parts",_xlfn.IFS(I102="SALES","GP",I102="SERVICE SALES","GP",I102="PARTS SALES","GP",I102="SERVICE COS","GP",I102="PARTS COS","GP",I102="SELLING EXPENSES","Selling Expenses",I102="EMPLOYMENT EXPENSES","Selling Expenses",I102="EMPLOYMENT EXPENSES","Selling Expenses",I102="DIRECT EXPENSES","Selling Expenses",I102="INDIRECT EXPENSES","Selling Expenses"))</f>
        <v>#N/A</v>
      </c>
    </row>
    <row r="103" spans="1:18" x14ac:dyDescent="0.2">
      <c r="A103" s="75" t="s">
        <v>347</v>
      </c>
      <c r="B103" s="76" t="s">
        <v>348</v>
      </c>
      <c r="C103" s="76">
        <v>112</v>
      </c>
      <c r="D103" s="76" t="s">
        <v>349</v>
      </c>
      <c r="E103" s="76" t="s">
        <v>247</v>
      </c>
      <c r="F103" s="77">
        <v>2</v>
      </c>
      <c r="G103" s="77">
        <v>0</v>
      </c>
      <c r="H103" s="77">
        <v>2</v>
      </c>
      <c r="I103" s="76" t="s">
        <v>346</v>
      </c>
      <c r="J103" s="77">
        <v>0</v>
      </c>
      <c r="K103" s="78">
        <v>0</v>
      </c>
      <c r="M103" s="79" t="str">
        <f t="shared" si="5"/>
        <v>112-6064r#</v>
      </c>
      <c r="N103" s="79" t="str">
        <f t="shared" si="3"/>
        <v>#</v>
      </c>
      <c r="O103" s="79" t="str">
        <f t="shared" si="4"/>
        <v>112#</v>
      </c>
      <c r="P103" s="79" t="str">
        <f>IFERROR(VLOOKUP($M103,Export!$P:$R,2,FALSE),"-")</f>
        <v>-</v>
      </c>
      <c r="Q103" s="79" t="str">
        <f>IFERROR(VLOOKUP($M103,Export!$P:$R,3,FALSE),"-")</f>
        <v>-</v>
      </c>
      <c r="R103" s="80" t="e" cm="1">
        <f t="array" ref="R103">_xlfn.IFS(P103="Service", _xlfn.IFS(I103="SALES","GP",I103="SERVICE SALES","GP",I103="PARTS SALES","GP",I103="SERVICE COS","GP",I103="PARTS COS","GP",I103="SELLING EXPENSES","Selling Expenses",I103="EMPLOYMENT EXPENSES","Selling Expenses",I103="EMPLOYMENT EXPENSES","Selling Expenses",I103="DIRECT EXPENSES","Selling Expenses",I103="INDIRECT EXPENSES","Selling Expenses"),P103="Parts",_xlfn.IFS(I103="SALES","GP",I103="SERVICE SALES","GP",I103="PARTS SALES","GP",I103="SERVICE COS","GP",I103="PARTS COS","GP",I103="SELLING EXPENSES","Selling Expenses",I103="EMPLOYMENT EXPENSES","Selling Expenses",I103="EMPLOYMENT EXPENSES","Selling Expenses",I103="DIRECT EXPENSES","Selling Expenses",I103="INDIRECT EXPENSES","Selling Expenses"))</f>
        <v>#N/A</v>
      </c>
    </row>
    <row r="104" spans="1:18" x14ac:dyDescent="0.2">
      <c r="A104" s="75" t="s">
        <v>350</v>
      </c>
      <c r="B104" s="76" t="s">
        <v>351</v>
      </c>
      <c r="C104" s="76">
        <v>112</v>
      </c>
      <c r="D104" s="76" t="s">
        <v>349</v>
      </c>
      <c r="E104" s="76" t="s">
        <v>247</v>
      </c>
      <c r="F104" s="77">
        <v>1</v>
      </c>
      <c r="G104" s="77">
        <v>0</v>
      </c>
      <c r="H104" s="77">
        <v>1</v>
      </c>
      <c r="I104" s="76" t="s">
        <v>346</v>
      </c>
      <c r="J104" s="77">
        <v>0</v>
      </c>
      <c r="K104" s="78">
        <v>0</v>
      </c>
      <c r="M104" s="79" t="str">
        <f t="shared" si="5"/>
        <v>112-6144R#</v>
      </c>
      <c r="N104" s="79" t="str">
        <f t="shared" si="3"/>
        <v>#</v>
      </c>
      <c r="O104" s="79" t="str">
        <f t="shared" si="4"/>
        <v>112#</v>
      </c>
      <c r="P104" s="79" t="str">
        <f>IFERROR(VLOOKUP($M104,Export!$P:$R,2,FALSE),"-")</f>
        <v>-</v>
      </c>
      <c r="Q104" s="79" t="str">
        <f>IFERROR(VLOOKUP($M104,Export!$P:$R,3,FALSE),"-")</f>
        <v>-</v>
      </c>
      <c r="R104" s="80" t="e" cm="1">
        <f t="array" ref="R104">_xlfn.IFS(P104="Service", _xlfn.IFS(I104="SALES","GP",I104="SERVICE SALES","GP",I104="PARTS SALES","GP",I104="SERVICE COS","GP",I104="PARTS COS","GP",I104="SELLING EXPENSES","Selling Expenses",I104="EMPLOYMENT EXPENSES","Selling Expenses",I104="EMPLOYMENT EXPENSES","Selling Expenses",I104="DIRECT EXPENSES","Selling Expenses",I104="INDIRECT EXPENSES","Selling Expenses"),P104="Parts",_xlfn.IFS(I104="SALES","GP",I104="SERVICE SALES","GP",I104="PARTS SALES","GP",I104="SERVICE COS","GP",I104="PARTS COS","GP",I104="SELLING EXPENSES","Selling Expenses",I104="EMPLOYMENT EXPENSES","Selling Expenses",I104="EMPLOYMENT EXPENSES","Selling Expenses",I104="DIRECT EXPENSES","Selling Expenses",I104="INDIRECT EXPENSES","Selling Expenses"))</f>
        <v>#N/A</v>
      </c>
    </row>
    <row r="105" spans="1:18" x14ac:dyDescent="0.2">
      <c r="A105" s="75">
        <v>1920</v>
      </c>
      <c r="B105" s="76" t="s">
        <v>352</v>
      </c>
      <c r="C105" s="76">
        <v>900</v>
      </c>
      <c r="D105" s="76" t="s">
        <v>214</v>
      </c>
      <c r="E105" s="76" t="s">
        <v>214</v>
      </c>
      <c r="F105" s="77">
        <v>56862.64</v>
      </c>
      <c r="G105" s="77">
        <v>0</v>
      </c>
      <c r="H105" s="77">
        <v>56862.64</v>
      </c>
      <c r="I105" s="76" t="s">
        <v>353</v>
      </c>
      <c r="J105" s="77">
        <v>0</v>
      </c>
      <c r="K105" s="78">
        <v>0</v>
      </c>
      <c r="M105" s="79" t="str">
        <f t="shared" si="5"/>
        <v>900-1920</v>
      </c>
      <c r="N105" s="79" t="str">
        <f t="shared" si="3"/>
        <v/>
      </c>
      <c r="O105" s="79" t="str">
        <f t="shared" si="4"/>
        <v>900</v>
      </c>
      <c r="P105" s="79" t="str">
        <f>IFERROR(VLOOKUP($M105,Export!$P:$R,2,FALSE),"-")</f>
        <v>-</v>
      </c>
      <c r="Q105" s="79" t="str">
        <f>IFERROR(VLOOKUP($M105,Export!$P:$R,3,FALSE),"-")</f>
        <v>-</v>
      </c>
      <c r="R105" s="80" t="e" cm="1">
        <f t="array" ref="R105">_xlfn.IFS(P105="Service", _xlfn.IFS(I105="SALES","GP",I105="SERVICE SALES","GP",I105="PARTS SALES","GP",I105="SERVICE COS","GP",I105="PARTS COS","GP",I105="SELLING EXPENSES","Selling Expenses",I105="EMPLOYMENT EXPENSES","Selling Expenses",I105="EMPLOYMENT EXPENSES","Selling Expenses",I105="DIRECT EXPENSES","Selling Expenses",I105="INDIRECT EXPENSES","Selling Expenses"),P105="Parts",_xlfn.IFS(I105="SALES","GP",I105="SERVICE SALES","GP",I105="PARTS SALES","GP",I105="SERVICE COS","GP",I105="PARTS COS","GP",I105="SELLING EXPENSES","Selling Expenses",I105="EMPLOYMENT EXPENSES","Selling Expenses",I105="EMPLOYMENT EXPENSES","Selling Expenses",I105="DIRECT EXPENSES","Selling Expenses",I105="INDIRECT EXPENSES","Selling Expenses"))</f>
        <v>#N/A</v>
      </c>
    </row>
    <row r="106" spans="1:18" x14ac:dyDescent="0.2">
      <c r="A106" s="75">
        <v>2040</v>
      </c>
      <c r="B106" s="76" t="s">
        <v>354</v>
      </c>
      <c r="C106" s="76">
        <v>900</v>
      </c>
      <c r="D106" s="76" t="s">
        <v>214</v>
      </c>
      <c r="E106" s="76" t="s">
        <v>214</v>
      </c>
      <c r="F106" s="77">
        <v>-95742.42</v>
      </c>
      <c r="G106" s="77">
        <v>7208.19</v>
      </c>
      <c r="H106" s="77">
        <v>-88534.23</v>
      </c>
      <c r="I106" s="76" t="s">
        <v>355</v>
      </c>
      <c r="J106" s="77">
        <v>0</v>
      </c>
      <c r="K106" s="78">
        <v>0</v>
      </c>
      <c r="M106" s="79" t="str">
        <f t="shared" si="5"/>
        <v>900-2040</v>
      </c>
      <c r="N106" s="79" t="str">
        <f t="shared" si="3"/>
        <v/>
      </c>
      <c r="O106" s="79" t="str">
        <f t="shared" si="4"/>
        <v>900</v>
      </c>
      <c r="P106" s="79" t="str">
        <f>IFERROR(VLOOKUP($M106,Export!$P:$R,2,FALSE),"-")</f>
        <v>-</v>
      </c>
      <c r="Q106" s="79" t="str">
        <f>IFERROR(VLOOKUP($M106,Export!$P:$R,3,FALSE),"-")</f>
        <v>-</v>
      </c>
      <c r="R106" s="80" t="e" cm="1">
        <f t="array" ref="R106">_xlfn.IFS(P106="Service", _xlfn.IFS(I106="SALES","GP",I106="SERVICE SALES","GP",I106="PARTS SALES","GP",I106="SERVICE COS","GP",I106="PARTS COS","GP",I106="SELLING EXPENSES","Selling Expenses",I106="EMPLOYMENT EXPENSES","Selling Expenses",I106="EMPLOYMENT EXPENSES","Selling Expenses",I106="DIRECT EXPENSES","Selling Expenses",I106="INDIRECT EXPENSES","Selling Expenses"),P106="Parts",_xlfn.IFS(I106="SALES","GP",I106="SERVICE SALES","GP",I106="PARTS SALES","GP",I106="SERVICE COS","GP",I106="PARTS COS","GP",I106="SELLING EXPENSES","Selling Expenses",I106="EMPLOYMENT EXPENSES","Selling Expenses",I106="EMPLOYMENT EXPENSES","Selling Expenses",I106="DIRECT EXPENSES","Selling Expenses",I106="INDIRECT EXPENSES","Selling Expenses"))</f>
        <v>#N/A</v>
      </c>
    </row>
    <row r="107" spans="1:18" x14ac:dyDescent="0.2">
      <c r="A107" s="75">
        <v>2050</v>
      </c>
      <c r="B107" s="76" t="s">
        <v>356</v>
      </c>
      <c r="C107" s="76">
        <v>900</v>
      </c>
      <c r="D107" s="76" t="s">
        <v>214</v>
      </c>
      <c r="E107" s="76" t="s">
        <v>214</v>
      </c>
      <c r="F107" s="77">
        <v>-1251475.73</v>
      </c>
      <c r="G107" s="77">
        <v>-137627.12</v>
      </c>
      <c r="H107" s="77">
        <v>-1389102.85</v>
      </c>
      <c r="I107" s="76" t="s">
        <v>355</v>
      </c>
      <c r="J107" s="77">
        <v>0</v>
      </c>
      <c r="K107" s="78">
        <v>0</v>
      </c>
      <c r="M107" s="79" t="str">
        <f t="shared" si="5"/>
        <v>900-2050</v>
      </c>
      <c r="N107" s="79" t="str">
        <f t="shared" si="3"/>
        <v/>
      </c>
      <c r="O107" s="79" t="str">
        <f t="shared" si="4"/>
        <v>900</v>
      </c>
      <c r="P107" s="79" t="str">
        <f>IFERROR(VLOOKUP($M107,Export!$P:$R,2,FALSE),"-")</f>
        <v>-</v>
      </c>
      <c r="Q107" s="79" t="str">
        <f>IFERROR(VLOOKUP($M107,Export!$P:$R,3,FALSE),"-")</f>
        <v>-</v>
      </c>
      <c r="R107" s="80" t="e" cm="1">
        <f t="array" ref="R107">_xlfn.IFS(P107="Service", _xlfn.IFS(I107="SALES","GP",I107="SERVICE SALES","GP",I107="PARTS SALES","GP",I107="SERVICE COS","GP",I107="PARTS COS","GP",I107="SELLING EXPENSES","Selling Expenses",I107="EMPLOYMENT EXPENSES","Selling Expenses",I107="EMPLOYMENT EXPENSES","Selling Expenses",I107="DIRECT EXPENSES","Selling Expenses",I107="INDIRECT EXPENSES","Selling Expenses"),P107="Parts",_xlfn.IFS(I107="SALES","GP",I107="SERVICE SALES","GP",I107="PARTS SALES","GP",I107="SERVICE COS","GP",I107="PARTS COS","GP",I107="SELLING EXPENSES","Selling Expenses",I107="EMPLOYMENT EXPENSES","Selling Expenses",I107="EMPLOYMENT EXPENSES","Selling Expenses",I107="DIRECT EXPENSES","Selling Expenses",I107="INDIRECT EXPENSES","Selling Expenses"))</f>
        <v>#N/A</v>
      </c>
    </row>
    <row r="108" spans="1:18" x14ac:dyDescent="0.2">
      <c r="A108" s="75">
        <v>2130</v>
      </c>
      <c r="B108" s="76" t="s">
        <v>357</v>
      </c>
      <c r="C108" s="76">
        <v>900</v>
      </c>
      <c r="D108" s="76" t="s">
        <v>214</v>
      </c>
      <c r="E108" s="76" t="s">
        <v>214</v>
      </c>
      <c r="F108" s="77">
        <v>-369195.99</v>
      </c>
      <c r="G108" s="77">
        <v>-287214.48</v>
      </c>
      <c r="H108" s="77">
        <v>-656410.47</v>
      </c>
      <c r="I108" s="76" t="s">
        <v>355</v>
      </c>
      <c r="J108" s="77">
        <v>0</v>
      </c>
      <c r="K108" s="78">
        <v>0</v>
      </c>
      <c r="M108" s="79" t="str">
        <f t="shared" si="5"/>
        <v>900-2130</v>
      </c>
      <c r="N108" s="79" t="str">
        <f t="shared" si="3"/>
        <v/>
      </c>
      <c r="O108" s="79" t="str">
        <f t="shared" si="4"/>
        <v>900</v>
      </c>
      <c r="P108" s="79" t="str">
        <f>IFERROR(VLOOKUP($M108,Export!$P:$R,2,FALSE),"-")</f>
        <v>-</v>
      </c>
      <c r="Q108" s="79" t="str">
        <f>IFERROR(VLOOKUP($M108,Export!$P:$R,3,FALSE),"-")</f>
        <v>-</v>
      </c>
      <c r="R108" s="80" t="e" cm="1">
        <f t="array" ref="R108">_xlfn.IFS(P108="Service", _xlfn.IFS(I108="SALES","GP",I108="SERVICE SALES","GP",I108="PARTS SALES","GP",I108="SERVICE COS","GP",I108="PARTS COS","GP",I108="SELLING EXPENSES","Selling Expenses",I108="EMPLOYMENT EXPENSES","Selling Expenses",I108="EMPLOYMENT EXPENSES","Selling Expenses",I108="DIRECT EXPENSES","Selling Expenses",I108="INDIRECT EXPENSES","Selling Expenses"),P108="Parts",_xlfn.IFS(I108="SALES","GP",I108="SERVICE SALES","GP",I108="PARTS SALES","GP",I108="SERVICE COS","GP",I108="PARTS COS","GP",I108="SELLING EXPENSES","Selling Expenses",I108="EMPLOYMENT EXPENSES","Selling Expenses",I108="EMPLOYMENT EXPENSES","Selling Expenses",I108="DIRECT EXPENSES","Selling Expenses",I108="INDIRECT EXPENSES","Selling Expenses"))</f>
        <v>#N/A</v>
      </c>
    </row>
    <row r="109" spans="1:18" x14ac:dyDescent="0.2">
      <c r="A109" s="75">
        <v>2131</v>
      </c>
      <c r="B109" s="76" t="s">
        <v>358</v>
      </c>
      <c r="C109" s="76">
        <v>900</v>
      </c>
      <c r="D109" s="76" t="s">
        <v>214</v>
      </c>
      <c r="E109" s="76" t="s">
        <v>214</v>
      </c>
      <c r="F109" s="77">
        <v>-36890.61</v>
      </c>
      <c r="G109" s="77">
        <v>1015.75</v>
      </c>
      <c r="H109" s="77">
        <v>-35874.86</v>
      </c>
      <c r="I109" s="76" t="s">
        <v>355</v>
      </c>
      <c r="J109" s="77">
        <v>0</v>
      </c>
      <c r="K109" s="78">
        <v>0</v>
      </c>
      <c r="M109" s="79" t="str">
        <f t="shared" si="5"/>
        <v>900-2131</v>
      </c>
      <c r="N109" s="79" t="str">
        <f t="shared" si="3"/>
        <v/>
      </c>
      <c r="O109" s="79" t="str">
        <f t="shared" si="4"/>
        <v>900</v>
      </c>
      <c r="P109" s="79" t="str">
        <f>IFERROR(VLOOKUP($M109,Export!$P:$R,2,FALSE),"-")</f>
        <v>-</v>
      </c>
      <c r="Q109" s="79" t="str">
        <f>IFERROR(VLOOKUP($M109,Export!$P:$R,3,FALSE),"-")</f>
        <v>-</v>
      </c>
      <c r="R109" s="80" t="e" cm="1">
        <f t="array" ref="R109">_xlfn.IFS(P109="Service", _xlfn.IFS(I109="SALES","GP",I109="SERVICE SALES","GP",I109="PARTS SALES","GP",I109="SERVICE COS","GP",I109="PARTS COS","GP",I109="SELLING EXPENSES","Selling Expenses",I109="EMPLOYMENT EXPENSES","Selling Expenses",I109="EMPLOYMENT EXPENSES","Selling Expenses",I109="DIRECT EXPENSES","Selling Expenses",I109="INDIRECT EXPENSES","Selling Expenses"),P109="Parts",_xlfn.IFS(I109="SALES","GP",I109="SERVICE SALES","GP",I109="PARTS SALES","GP",I109="SERVICE COS","GP",I109="PARTS COS","GP",I109="SELLING EXPENSES","Selling Expenses",I109="EMPLOYMENT EXPENSES","Selling Expenses",I109="EMPLOYMENT EXPENSES","Selling Expenses",I109="DIRECT EXPENSES","Selling Expenses",I109="INDIRECT EXPENSES","Selling Expenses"))</f>
        <v>#N/A</v>
      </c>
    </row>
    <row r="110" spans="1:18" x14ac:dyDescent="0.2">
      <c r="A110" s="75" t="s">
        <v>359</v>
      </c>
      <c r="B110" s="76" t="s">
        <v>360</v>
      </c>
      <c r="C110" s="76">
        <v>900</v>
      </c>
      <c r="D110" s="76" t="s">
        <v>214</v>
      </c>
      <c r="E110" s="76" t="s">
        <v>214</v>
      </c>
      <c r="F110" s="77">
        <v>-8585.1299999999992</v>
      </c>
      <c r="G110" s="77">
        <v>-11685.33</v>
      </c>
      <c r="H110" s="77">
        <v>-20270.46</v>
      </c>
      <c r="I110" s="76" t="s">
        <v>355</v>
      </c>
      <c r="J110" s="77">
        <v>0</v>
      </c>
      <c r="K110" s="78">
        <v>0</v>
      </c>
      <c r="M110" s="79" t="str">
        <f t="shared" si="5"/>
        <v>900-2131H</v>
      </c>
      <c r="N110" s="79" t="str">
        <f t="shared" si="3"/>
        <v/>
      </c>
      <c r="O110" s="79" t="str">
        <f t="shared" si="4"/>
        <v>900</v>
      </c>
      <c r="P110" s="79" t="str">
        <f>IFERROR(VLOOKUP($M110,Export!$P:$R,2,FALSE),"-")</f>
        <v>-</v>
      </c>
      <c r="Q110" s="79" t="str">
        <f>IFERROR(VLOOKUP($M110,Export!$P:$R,3,FALSE),"-")</f>
        <v>-</v>
      </c>
      <c r="R110" s="80" t="e" cm="1">
        <f t="array" ref="R110">_xlfn.IFS(P110="Service", _xlfn.IFS(I110="SALES","GP",I110="SERVICE SALES","GP",I110="PARTS SALES","GP",I110="SERVICE COS","GP",I110="PARTS COS","GP",I110="SELLING EXPENSES","Selling Expenses",I110="EMPLOYMENT EXPENSES","Selling Expenses",I110="EMPLOYMENT EXPENSES","Selling Expenses",I110="DIRECT EXPENSES","Selling Expenses",I110="INDIRECT EXPENSES","Selling Expenses"),P110="Parts",_xlfn.IFS(I110="SALES","GP",I110="SERVICE SALES","GP",I110="PARTS SALES","GP",I110="SERVICE COS","GP",I110="PARTS COS","GP",I110="SELLING EXPENSES","Selling Expenses",I110="EMPLOYMENT EXPENSES","Selling Expenses",I110="EMPLOYMENT EXPENSES","Selling Expenses",I110="DIRECT EXPENSES","Selling Expenses",I110="INDIRECT EXPENSES","Selling Expenses"))</f>
        <v>#N/A</v>
      </c>
    </row>
    <row r="111" spans="1:18" x14ac:dyDescent="0.2">
      <c r="A111" s="75">
        <v>2132</v>
      </c>
      <c r="B111" s="76" t="s">
        <v>361</v>
      </c>
      <c r="C111" s="76">
        <v>900</v>
      </c>
      <c r="D111" s="76" t="s">
        <v>214</v>
      </c>
      <c r="E111" s="76" t="s">
        <v>214</v>
      </c>
      <c r="F111" s="77">
        <v>-21840.45</v>
      </c>
      <c r="G111" s="77">
        <v>-1255.31</v>
      </c>
      <c r="H111" s="77">
        <v>-23095.759999999998</v>
      </c>
      <c r="I111" s="76" t="s">
        <v>355</v>
      </c>
      <c r="J111" s="77">
        <v>0</v>
      </c>
      <c r="K111" s="78">
        <v>0</v>
      </c>
      <c r="M111" s="79" t="str">
        <f t="shared" si="5"/>
        <v>900-2132</v>
      </c>
      <c r="N111" s="79" t="str">
        <f t="shared" si="3"/>
        <v/>
      </c>
      <c r="O111" s="79" t="str">
        <f t="shared" si="4"/>
        <v>900</v>
      </c>
      <c r="P111" s="79" t="str">
        <f>IFERROR(VLOOKUP($M111,Export!$P:$R,2,FALSE),"-")</f>
        <v>-</v>
      </c>
      <c r="Q111" s="79" t="str">
        <f>IFERROR(VLOOKUP($M111,Export!$P:$R,3,FALSE),"-")</f>
        <v>-</v>
      </c>
      <c r="R111" s="80" t="e" cm="1">
        <f t="array" ref="R111">_xlfn.IFS(P111="Service", _xlfn.IFS(I111="SALES","GP",I111="SERVICE SALES","GP",I111="PARTS SALES","GP",I111="SERVICE COS","GP",I111="PARTS COS","GP",I111="SELLING EXPENSES","Selling Expenses",I111="EMPLOYMENT EXPENSES","Selling Expenses",I111="EMPLOYMENT EXPENSES","Selling Expenses",I111="DIRECT EXPENSES","Selling Expenses",I111="INDIRECT EXPENSES","Selling Expenses"),P111="Parts",_xlfn.IFS(I111="SALES","GP",I111="SERVICE SALES","GP",I111="PARTS SALES","GP",I111="SERVICE COS","GP",I111="PARTS COS","GP",I111="SELLING EXPENSES","Selling Expenses",I111="EMPLOYMENT EXPENSES","Selling Expenses",I111="EMPLOYMENT EXPENSES","Selling Expenses",I111="DIRECT EXPENSES","Selling Expenses",I111="INDIRECT EXPENSES","Selling Expenses"))</f>
        <v>#N/A</v>
      </c>
    </row>
    <row r="112" spans="1:18" x14ac:dyDescent="0.2">
      <c r="A112" s="75" t="s">
        <v>362</v>
      </c>
      <c r="B112" s="76" t="s">
        <v>363</v>
      </c>
      <c r="C112" s="76">
        <v>900</v>
      </c>
      <c r="D112" s="76" t="s">
        <v>214</v>
      </c>
      <c r="E112" s="76" t="s">
        <v>214</v>
      </c>
      <c r="F112" s="77">
        <v>-4612.3500000000004</v>
      </c>
      <c r="G112" s="77">
        <v>-3489.55</v>
      </c>
      <c r="H112" s="77">
        <v>-8101.9</v>
      </c>
      <c r="I112" s="76" t="s">
        <v>355</v>
      </c>
      <c r="J112" s="77">
        <v>0</v>
      </c>
      <c r="K112" s="78">
        <v>0</v>
      </c>
      <c r="M112" s="79" t="str">
        <f t="shared" si="5"/>
        <v>900-2132H</v>
      </c>
      <c r="N112" s="79" t="str">
        <f t="shared" si="3"/>
        <v/>
      </c>
      <c r="O112" s="79" t="str">
        <f t="shared" si="4"/>
        <v>900</v>
      </c>
      <c r="P112" s="79" t="str">
        <f>IFERROR(VLOOKUP($M112,Export!$P:$R,2,FALSE),"-")</f>
        <v>-</v>
      </c>
      <c r="Q112" s="79" t="str">
        <f>IFERROR(VLOOKUP($M112,Export!$P:$R,3,FALSE),"-")</f>
        <v>-</v>
      </c>
      <c r="R112" s="80" t="e" cm="1">
        <f t="array" ref="R112">_xlfn.IFS(P112="Service", _xlfn.IFS(I112="SALES","GP",I112="SERVICE SALES","GP",I112="PARTS SALES","GP",I112="SERVICE COS","GP",I112="PARTS COS","GP",I112="SELLING EXPENSES","Selling Expenses",I112="EMPLOYMENT EXPENSES","Selling Expenses",I112="EMPLOYMENT EXPENSES","Selling Expenses",I112="DIRECT EXPENSES","Selling Expenses",I112="INDIRECT EXPENSES","Selling Expenses"),P112="Parts",_xlfn.IFS(I112="SALES","GP",I112="SERVICE SALES","GP",I112="PARTS SALES","GP",I112="SERVICE COS","GP",I112="PARTS COS","GP",I112="SELLING EXPENSES","Selling Expenses",I112="EMPLOYMENT EXPENSES","Selling Expenses",I112="EMPLOYMENT EXPENSES","Selling Expenses",I112="DIRECT EXPENSES","Selling Expenses",I112="INDIRECT EXPENSES","Selling Expenses"))</f>
        <v>#N/A</v>
      </c>
    </row>
    <row r="113" spans="1:18" x14ac:dyDescent="0.2">
      <c r="A113" s="75">
        <v>2136</v>
      </c>
      <c r="B113" s="76" t="s">
        <v>364</v>
      </c>
      <c r="C113" s="76">
        <v>900</v>
      </c>
      <c r="D113" s="76" t="s">
        <v>214</v>
      </c>
      <c r="E113" s="76" t="s">
        <v>214</v>
      </c>
      <c r="F113" s="77">
        <v>-864952.69</v>
      </c>
      <c r="G113" s="77">
        <v>-281136.74</v>
      </c>
      <c r="H113" s="77">
        <v>-1146089.43</v>
      </c>
      <c r="I113" s="76" t="s">
        <v>355</v>
      </c>
      <c r="J113" s="77">
        <v>0</v>
      </c>
      <c r="K113" s="78">
        <v>0</v>
      </c>
      <c r="M113" s="79" t="str">
        <f t="shared" si="5"/>
        <v>900-2136</v>
      </c>
      <c r="N113" s="79" t="str">
        <f t="shared" si="3"/>
        <v/>
      </c>
      <c r="O113" s="79" t="str">
        <f t="shared" si="4"/>
        <v>900</v>
      </c>
      <c r="P113" s="79" t="str">
        <f>IFERROR(VLOOKUP($M113,Export!$P:$R,2,FALSE),"-")</f>
        <v>-</v>
      </c>
      <c r="Q113" s="79" t="str">
        <f>IFERROR(VLOOKUP($M113,Export!$P:$R,3,FALSE),"-")</f>
        <v>-</v>
      </c>
      <c r="R113" s="80" t="e" cm="1">
        <f t="array" ref="R113">_xlfn.IFS(P113="Service", _xlfn.IFS(I113="SALES","GP",I113="SERVICE SALES","GP",I113="PARTS SALES","GP",I113="SERVICE COS","GP",I113="PARTS COS","GP",I113="SELLING EXPENSES","Selling Expenses",I113="EMPLOYMENT EXPENSES","Selling Expenses",I113="EMPLOYMENT EXPENSES","Selling Expenses",I113="DIRECT EXPENSES","Selling Expenses",I113="INDIRECT EXPENSES","Selling Expenses"),P113="Parts",_xlfn.IFS(I113="SALES","GP",I113="SERVICE SALES","GP",I113="PARTS SALES","GP",I113="SERVICE COS","GP",I113="PARTS COS","GP",I113="SELLING EXPENSES","Selling Expenses",I113="EMPLOYMENT EXPENSES","Selling Expenses",I113="EMPLOYMENT EXPENSES","Selling Expenses",I113="DIRECT EXPENSES","Selling Expenses",I113="INDIRECT EXPENSES","Selling Expenses"))</f>
        <v>#N/A</v>
      </c>
    </row>
    <row r="114" spans="1:18" x14ac:dyDescent="0.2">
      <c r="A114" s="75">
        <v>2140</v>
      </c>
      <c r="B114" s="76" t="s">
        <v>365</v>
      </c>
      <c r="C114" s="76">
        <v>900</v>
      </c>
      <c r="D114" s="76" t="s">
        <v>214</v>
      </c>
      <c r="E114" s="76" t="s">
        <v>214</v>
      </c>
      <c r="F114" s="77">
        <v>-674.68</v>
      </c>
      <c r="G114" s="77">
        <v>-101.45</v>
      </c>
      <c r="H114" s="77">
        <v>-776.13</v>
      </c>
      <c r="I114" s="76" t="s">
        <v>355</v>
      </c>
      <c r="J114" s="77">
        <v>0</v>
      </c>
      <c r="K114" s="78">
        <v>0</v>
      </c>
      <c r="M114" s="79" t="str">
        <f t="shared" si="5"/>
        <v>900-2140</v>
      </c>
      <c r="N114" s="79" t="str">
        <f t="shared" si="3"/>
        <v/>
      </c>
      <c r="O114" s="79" t="str">
        <f t="shared" si="4"/>
        <v>900</v>
      </c>
      <c r="P114" s="79" t="str">
        <f>IFERROR(VLOOKUP($M114,Export!$P:$R,2,FALSE),"-")</f>
        <v>-</v>
      </c>
      <c r="Q114" s="79" t="str">
        <f>IFERROR(VLOOKUP($M114,Export!$P:$R,3,FALSE),"-")</f>
        <v>-</v>
      </c>
      <c r="R114" s="80" t="e" cm="1">
        <f t="array" ref="R114">_xlfn.IFS(P114="Service", _xlfn.IFS(I114="SALES","GP",I114="SERVICE SALES","GP",I114="PARTS SALES","GP",I114="SERVICE COS","GP",I114="PARTS COS","GP",I114="SELLING EXPENSES","Selling Expenses",I114="EMPLOYMENT EXPENSES","Selling Expenses",I114="EMPLOYMENT EXPENSES","Selling Expenses",I114="DIRECT EXPENSES","Selling Expenses",I114="INDIRECT EXPENSES","Selling Expenses"),P114="Parts",_xlfn.IFS(I114="SALES","GP",I114="SERVICE SALES","GP",I114="PARTS SALES","GP",I114="SERVICE COS","GP",I114="PARTS COS","GP",I114="SELLING EXPENSES","Selling Expenses",I114="EMPLOYMENT EXPENSES","Selling Expenses",I114="EMPLOYMENT EXPENSES","Selling Expenses",I114="DIRECT EXPENSES","Selling Expenses",I114="INDIRECT EXPENSES","Selling Expenses"))</f>
        <v>#N/A</v>
      </c>
    </row>
    <row r="115" spans="1:18" x14ac:dyDescent="0.2">
      <c r="A115" s="75">
        <v>2250</v>
      </c>
      <c r="B115" s="76" t="s">
        <v>366</v>
      </c>
      <c r="C115" s="76">
        <v>900</v>
      </c>
      <c r="D115" s="76" t="s">
        <v>214</v>
      </c>
      <c r="E115" s="76" t="s">
        <v>214</v>
      </c>
      <c r="F115" s="77">
        <v>-149370</v>
      </c>
      <c r="G115" s="77">
        <v>-294935.56</v>
      </c>
      <c r="H115" s="77">
        <v>-444305.56</v>
      </c>
      <c r="I115" s="76" t="s">
        <v>355</v>
      </c>
      <c r="J115" s="77">
        <v>0</v>
      </c>
      <c r="K115" s="78">
        <v>0</v>
      </c>
      <c r="M115" s="79" t="str">
        <f t="shared" si="5"/>
        <v>900-2250</v>
      </c>
      <c r="N115" s="79" t="str">
        <f t="shared" si="3"/>
        <v/>
      </c>
      <c r="O115" s="79" t="str">
        <f t="shared" si="4"/>
        <v>900</v>
      </c>
      <c r="P115" s="79" t="str">
        <f>IFERROR(VLOOKUP($M115,Export!$P:$R,2,FALSE),"-")</f>
        <v>-</v>
      </c>
      <c r="Q115" s="79" t="str">
        <f>IFERROR(VLOOKUP($M115,Export!$P:$R,3,FALSE),"-")</f>
        <v>-</v>
      </c>
      <c r="R115" s="80" t="e" cm="1">
        <f t="array" ref="R115">_xlfn.IFS(P115="Service", _xlfn.IFS(I115="SALES","GP",I115="SERVICE SALES","GP",I115="PARTS SALES","GP",I115="SERVICE COS","GP",I115="PARTS COS","GP",I115="SELLING EXPENSES","Selling Expenses",I115="EMPLOYMENT EXPENSES","Selling Expenses",I115="EMPLOYMENT EXPENSES","Selling Expenses",I115="DIRECT EXPENSES","Selling Expenses",I115="INDIRECT EXPENSES","Selling Expenses"),P115="Parts",_xlfn.IFS(I115="SALES","GP",I115="SERVICE SALES","GP",I115="PARTS SALES","GP",I115="SERVICE COS","GP",I115="PARTS COS","GP",I115="SELLING EXPENSES","Selling Expenses",I115="EMPLOYMENT EXPENSES","Selling Expenses",I115="EMPLOYMENT EXPENSES","Selling Expenses",I115="DIRECT EXPENSES","Selling Expenses",I115="INDIRECT EXPENSES","Selling Expenses"))</f>
        <v>#N/A</v>
      </c>
    </row>
    <row r="116" spans="1:18" x14ac:dyDescent="0.2">
      <c r="A116" s="75">
        <v>2220</v>
      </c>
      <c r="B116" s="76" t="s">
        <v>367</v>
      </c>
      <c r="C116" s="76">
        <v>900</v>
      </c>
      <c r="D116" s="76" t="s">
        <v>214</v>
      </c>
      <c r="E116" s="76" t="s">
        <v>214</v>
      </c>
      <c r="F116" s="77">
        <v>-773918.71999999997</v>
      </c>
      <c r="G116" s="77">
        <v>0</v>
      </c>
      <c r="H116" s="77">
        <v>-773918.71999999997</v>
      </c>
      <c r="I116" s="76" t="s">
        <v>368</v>
      </c>
      <c r="J116" s="77">
        <v>0</v>
      </c>
      <c r="K116" s="78">
        <v>0</v>
      </c>
      <c r="M116" s="79" t="str">
        <f t="shared" si="5"/>
        <v>900-2220</v>
      </c>
      <c r="N116" s="79" t="str">
        <f t="shared" si="3"/>
        <v/>
      </c>
      <c r="O116" s="79" t="str">
        <f t="shared" si="4"/>
        <v>900</v>
      </c>
      <c r="P116" s="79" t="str">
        <f>IFERROR(VLOOKUP($M116,Export!$P:$R,2,FALSE),"-")</f>
        <v>-</v>
      </c>
      <c r="Q116" s="79" t="str">
        <f>IFERROR(VLOOKUP($M116,Export!$P:$R,3,FALSE),"-")</f>
        <v>-</v>
      </c>
      <c r="R116" s="80" t="e" cm="1">
        <f t="array" ref="R116">_xlfn.IFS(P116="Service", _xlfn.IFS(I116="SALES","GP",I116="SERVICE SALES","GP",I116="PARTS SALES","GP",I116="SERVICE COS","GP",I116="PARTS COS","GP",I116="SELLING EXPENSES","Selling Expenses",I116="EMPLOYMENT EXPENSES","Selling Expenses",I116="EMPLOYMENT EXPENSES","Selling Expenses",I116="DIRECT EXPENSES","Selling Expenses",I116="INDIRECT EXPENSES","Selling Expenses"),P116="Parts",_xlfn.IFS(I116="SALES","GP",I116="SERVICE SALES","GP",I116="PARTS SALES","GP",I116="SERVICE COS","GP",I116="PARTS COS","GP",I116="SELLING EXPENSES","Selling Expenses",I116="EMPLOYMENT EXPENSES","Selling Expenses",I116="EMPLOYMENT EXPENSES","Selling Expenses",I116="DIRECT EXPENSES","Selling Expenses",I116="INDIRECT EXPENSES","Selling Expenses"))</f>
        <v>#N/A</v>
      </c>
    </row>
    <row r="117" spans="1:18" x14ac:dyDescent="0.2">
      <c r="A117" s="75">
        <v>2240</v>
      </c>
      <c r="B117" s="76" t="s">
        <v>369</v>
      </c>
      <c r="C117" s="76">
        <v>900</v>
      </c>
      <c r="D117" s="76" t="s">
        <v>214</v>
      </c>
      <c r="E117" s="76" t="s">
        <v>214</v>
      </c>
      <c r="F117" s="77">
        <v>-2164075.54</v>
      </c>
      <c r="G117" s="77">
        <v>16441.810000000001</v>
      </c>
      <c r="H117" s="77">
        <v>-2147633.73</v>
      </c>
      <c r="I117" s="76" t="s">
        <v>368</v>
      </c>
      <c r="J117" s="77">
        <v>0</v>
      </c>
      <c r="K117" s="78">
        <v>0</v>
      </c>
      <c r="M117" s="79" t="str">
        <f t="shared" si="5"/>
        <v>900-2240</v>
      </c>
      <c r="N117" s="79" t="str">
        <f t="shared" si="3"/>
        <v/>
      </c>
      <c r="O117" s="79" t="str">
        <f t="shared" si="4"/>
        <v>900</v>
      </c>
      <c r="P117" s="79" t="str">
        <f>IFERROR(VLOOKUP($M117,Export!$P:$R,2,FALSE),"-")</f>
        <v>-</v>
      </c>
      <c r="Q117" s="79" t="str">
        <f>IFERROR(VLOOKUP($M117,Export!$P:$R,3,FALSE),"-")</f>
        <v>-</v>
      </c>
      <c r="R117" s="80" t="e" cm="1">
        <f t="array" ref="R117">_xlfn.IFS(P117="Service", _xlfn.IFS(I117="SALES","GP",I117="SERVICE SALES","GP",I117="PARTS SALES","GP",I117="SERVICE COS","GP",I117="PARTS COS","GP",I117="SELLING EXPENSES","Selling Expenses",I117="EMPLOYMENT EXPENSES","Selling Expenses",I117="EMPLOYMENT EXPENSES","Selling Expenses",I117="DIRECT EXPENSES","Selling Expenses",I117="INDIRECT EXPENSES","Selling Expenses"),P117="Parts",_xlfn.IFS(I117="SALES","GP",I117="SERVICE SALES","GP",I117="PARTS SALES","GP",I117="SERVICE COS","GP",I117="PARTS COS","GP",I117="SELLING EXPENSES","Selling Expenses",I117="EMPLOYMENT EXPENSES","Selling Expenses",I117="EMPLOYMENT EXPENSES","Selling Expenses",I117="DIRECT EXPENSES","Selling Expenses",I117="INDIRECT EXPENSES","Selling Expenses"))</f>
        <v>#N/A</v>
      </c>
    </row>
    <row r="118" spans="1:18" x14ac:dyDescent="0.2">
      <c r="A118" s="75">
        <v>2241</v>
      </c>
      <c r="B118" s="76" t="s">
        <v>370</v>
      </c>
      <c r="C118" s="76">
        <v>900</v>
      </c>
      <c r="D118" s="76" t="s">
        <v>214</v>
      </c>
      <c r="E118" s="76" t="s">
        <v>214</v>
      </c>
      <c r="F118" s="77">
        <v>294833.62</v>
      </c>
      <c r="G118" s="77">
        <v>2486.34</v>
      </c>
      <c r="H118" s="77">
        <v>297319.96000000002</v>
      </c>
      <c r="I118" s="76" t="s">
        <v>368</v>
      </c>
      <c r="J118" s="77">
        <v>0</v>
      </c>
      <c r="K118" s="78">
        <v>0</v>
      </c>
      <c r="M118" s="79" t="str">
        <f t="shared" si="5"/>
        <v>900-2241</v>
      </c>
      <c r="N118" s="79" t="str">
        <f t="shared" si="3"/>
        <v/>
      </c>
      <c r="O118" s="79" t="str">
        <f t="shared" si="4"/>
        <v>900</v>
      </c>
      <c r="P118" s="79" t="str">
        <f>IFERROR(VLOOKUP($M118,Export!$P:$R,2,FALSE),"-")</f>
        <v>-</v>
      </c>
      <c r="Q118" s="79" t="str">
        <f>IFERROR(VLOOKUP($M118,Export!$P:$R,3,FALSE),"-")</f>
        <v>-</v>
      </c>
      <c r="R118" s="80" t="e" cm="1">
        <f t="array" ref="R118">_xlfn.IFS(P118="Service", _xlfn.IFS(I118="SALES","GP",I118="SERVICE SALES","GP",I118="PARTS SALES","GP",I118="SERVICE COS","GP",I118="PARTS COS","GP",I118="SELLING EXPENSES","Selling Expenses",I118="EMPLOYMENT EXPENSES","Selling Expenses",I118="EMPLOYMENT EXPENSES","Selling Expenses",I118="DIRECT EXPENSES","Selling Expenses",I118="INDIRECT EXPENSES","Selling Expenses"),P118="Parts",_xlfn.IFS(I118="SALES","GP",I118="SERVICE SALES","GP",I118="PARTS SALES","GP",I118="SERVICE COS","GP",I118="PARTS COS","GP",I118="SELLING EXPENSES","Selling Expenses",I118="EMPLOYMENT EXPENSES","Selling Expenses",I118="EMPLOYMENT EXPENSES","Selling Expenses",I118="DIRECT EXPENSES","Selling Expenses",I118="INDIRECT EXPENSES","Selling Expenses"))</f>
        <v>#N/A</v>
      </c>
    </row>
    <row r="119" spans="1:18" x14ac:dyDescent="0.2">
      <c r="A119" s="75">
        <v>2310</v>
      </c>
      <c r="B119" s="76" t="s">
        <v>371</v>
      </c>
      <c r="C119" s="76">
        <v>900</v>
      </c>
      <c r="D119" s="76" t="s">
        <v>214</v>
      </c>
      <c r="E119" s="76" t="s">
        <v>214</v>
      </c>
      <c r="F119" s="77">
        <v>-4988536.55</v>
      </c>
      <c r="G119" s="77">
        <v>-341349.37</v>
      </c>
      <c r="H119" s="77">
        <v>-5329885.92</v>
      </c>
      <c r="I119" s="76" t="s">
        <v>368</v>
      </c>
      <c r="J119" s="77">
        <v>0</v>
      </c>
      <c r="K119" s="78">
        <v>0</v>
      </c>
      <c r="M119" s="79" t="str">
        <f t="shared" si="5"/>
        <v>900-2310</v>
      </c>
      <c r="N119" s="79" t="str">
        <f t="shared" si="3"/>
        <v/>
      </c>
      <c r="O119" s="79" t="str">
        <f t="shared" si="4"/>
        <v>900</v>
      </c>
      <c r="P119" s="79" t="str">
        <f>IFERROR(VLOOKUP($M119,Export!$P:$R,2,FALSE),"-")</f>
        <v>-</v>
      </c>
      <c r="Q119" s="79" t="str">
        <f>IFERROR(VLOOKUP($M119,Export!$P:$R,3,FALSE),"-")</f>
        <v>-</v>
      </c>
      <c r="R119" s="80" t="e" cm="1">
        <f t="array" ref="R119">_xlfn.IFS(P119="Service", _xlfn.IFS(I119="SALES","GP",I119="SERVICE SALES","GP",I119="PARTS SALES","GP",I119="SERVICE COS","GP",I119="PARTS COS","GP",I119="SELLING EXPENSES","Selling Expenses",I119="EMPLOYMENT EXPENSES","Selling Expenses",I119="EMPLOYMENT EXPENSES","Selling Expenses",I119="DIRECT EXPENSES","Selling Expenses",I119="INDIRECT EXPENSES","Selling Expenses"),P119="Parts",_xlfn.IFS(I119="SALES","GP",I119="SERVICE SALES","GP",I119="PARTS SALES","GP",I119="SERVICE COS","GP",I119="PARTS COS","GP",I119="SELLING EXPENSES","Selling Expenses",I119="EMPLOYMENT EXPENSES","Selling Expenses",I119="EMPLOYMENT EXPENSES","Selling Expenses",I119="DIRECT EXPENSES","Selling Expenses",I119="INDIRECT EXPENSES","Selling Expenses"))</f>
        <v>#N/A</v>
      </c>
    </row>
    <row r="120" spans="1:18" x14ac:dyDescent="0.2">
      <c r="A120" s="75">
        <v>2311</v>
      </c>
      <c r="B120" s="76" t="s">
        <v>372</v>
      </c>
      <c r="C120" s="76">
        <v>900</v>
      </c>
      <c r="D120" s="76" t="s">
        <v>214</v>
      </c>
      <c r="E120" s="76" t="s">
        <v>214</v>
      </c>
      <c r="F120" s="77">
        <v>522667.45</v>
      </c>
      <c r="G120" s="77">
        <v>72111.33</v>
      </c>
      <c r="H120" s="77">
        <v>594778.78</v>
      </c>
      <c r="I120" s="76" t="s">
        <v>368</v>
      </c>
      <c r="J120" s="77">
        <v>0</v>
      </c>
      <c r="K120" s="78">
        <v>0</v>
      </c>
      <c r="M120" s="79" t="str">
        <f t="shared" si="5"/>
        <v>900-2311</v>
      </c>
      <c r="N120" s="79" t="str">
        <f t="shared" si="3"/>
        <v/>
      </c>
      <c r="O120" s="79" t="str">
        <f t="shared" si="4"/>
        <v>900</v>
      </c>
      <c r="P120" s="79" t="str">
        <f>IFERROR(VLOOKUP($M120,Export!$P:$R,2,FALSE),"-")</f>
        <v>-</v>
      </c>
      <c r="Q120" s="79" t="str">
        <f>IFERROR(VLOOKUP($M120,Export!$P:$R,3,FALSE),"-")</f>
        <v>-</v>
      </c>
      <c r="R120" s="80" t="e" cm="1">
        <f t="array" ref="R120">_xlfn.IFS(P120="Service", _xlfn.IFS(I120="SALES","GP",I120="SERVICE SALES","GP",I120="PARTS SALES","GP",I120="SERVICE COS","GP",I120="PARTS COS","GP",I120="SELLING EXPENSES","Selling Expenses",I120="EMPLOYMENT EXPENSES","Selling Expenses",I120="EMPLOYMENT EXPENSES","Selling Expenses",I120="DIRECT EXPENSES","Selling Expenses",I120="INDIRECT EXPENSES","Selling Expenses"),P120="Parts",_xlfn.IFS(I120="SALES","GP",I120="SERVICE SALES","GP",I120="PARTS SALES","GP",I120="SERVICE COS","GP",I120="PARTS COS","GP",I120="SELLING EXPENSES","Selling Expenses",I120="EMPLOYMENT EXPENSES","Selling Expenses",I120="EMPLOYMENT EXPENSES","Selling Expenses",I120="DIRECT EXPENSES","Selling Expenses",I120="INDIRECT EXPENSES","Selling Expenses"))</f>
        <v>#N/A</v>
      </c>
    </row>
    <row r="121" spans="1:18" x14ac:dyDescent="0.2">
      <c r="A121" s="75">
        <v>2320</v>
      </c>
      <c r="B121" s="76" t="s">
        <v>373</v>
      </c>
      <c r="C121" s="76">
        <v>900</v>
      </c>
      <c r="D121" s="76" t="s">
        <v>214</v>
      </c>
      <c r="E121" s="76" t="s">
        <v>214</v>
      </c>
      <c r="F121" s="77">
        <v>-2204017.0299999998</v>
      </c>
      <c r="G121" s="77">
        <v>7979.65</v>
      </c>
      <c r="H121" s="77">
        <v>-2196037.38</v>
      </c>
      <c r="I121" s="76" t="s">
        <v>368</v>
      </c>
      <c r="J121" s="77">
        <v>0</v>
      </c>
      <c r="K121" s="78">
        <v>0</v>
      </c>
      <c r="M121" s="79" t="str">
        <f t="shared" si="5"/>
        <v>900-2320</v>
      </c>
      <c r="N121" s="79" t="str">
        <f t="shared" si="3"/>
        <v/>
      </c>
      <c r="O121" s="79" t="str">
        <f t="shared" si="4"/>
        <v>900</v>
      </c>
      <c r="P121" s="79" t="str">
        <f>IFERROR(VLOOKUP($M121,Export!$P:$R,2,FALSE),"-")</f>
        <v>-</v>
      </c>
      <c r="Q121" s="79" t="str">
        <f>IFERROR(VLOOKUP($M121,Export!$P:$R,3,FALSE),"-")</f>
        <v>-</v>
      </c>
      <c r="R121" s="80" t="e" cm="1">
        <f t="array" ref="R121">_xlfn.IFS(P121="Service", _xlfn.IFS(I121="SALES","GP",I121="SERVICE SALES","GP",I121="PARTS SALES","GP",I121="SERVICE COS","GP",I121="PARTS COS","GP",I121="SELLING EXPENSES","Selling Expenses",I121="EMPLOYMENT EXPENSES","Selling Expenses",I121="EMPLOYMENT EXPENSES","Selling Expenses",I121="DIRECT EXPENSES","Selling Expenses",I121="INDIRECT EXPENSES","Selling Expenses"),P121="Parts",_xlfn.IFS(I121="SALES","GP",I121="SERVICE SALES","GP",I121="PARTS SALES","GP",I121="SERVICE COS","GP",I121="PARTS COS","GP",I121="SELLING EXPENSES","Selling Expenses",I121="EMPLOYMENT EXPENSES","Selling Expenses",I121="EMPLOYMENT EXPENSES","Selling Expenses",I121="DIRECT EXPENSES","Selling Expenses",I121="INDIRECT EXPENSES","Selling Expenses"))</f>
        <v>#N/A</v>
      </c>
    </row>
    <row r="122" spans="1:18" x14ac:dyDescent="0.2">
      <c r="A122" s="75">
        <v>2321</v>
      </c>
      <c r="B122" s="76" t="s">
        <v>374</v>
      </c>
      <c r="C122" s="76">
        <v>900</v>
      </c>
      <c r="D122" s="76" t="s">
        <v>214</v>
      </c>
      <c r="E122" s="76" t="s">
        <v>214</v>
      </c>
      <c r="F122" s="77">
        <v>310132.32</v>
      </c>
      <c r="G122" s="77">
        <v>-1040.8599999999999</v>
      </c>
      <c r="H122" s="77">
        <v>309091.46000000002</v>
      </c>
      <c r="I122" s="76" t="s">
        <v>368</v>
      </c>
      <c r="J122" s="77">
        <v>0</v>
      </c>
      <c r="K122" s="78">
        <v>0</v>
      </c>
      <c r="M122" s="79" t="str">
        <f t="shared" si="5"/>
        <v>900-2321</v>
      </c>
      <c r="N122" s="79" t="str">
        <f t="shared" si="3"/>
        <v/>
      </c>
      <c r="O122" s="79" t="str">
        <f t="shared" si="4"/>
        <v>900</v>
      </c>
      <c r="P122" s="79" t="str">
        <f>IFERROR(VLOOKUP($M122,Export!$P:$R,2,FALSE),"-")</f>
        <v>-</v>
      </c>
      <c r="Q122" s="79" t="str">
        <f>IFERROR(VLOOKUP($M122,Export!$P:$R,3,FALSE),"-")</f>
        <v>-</v>
      </c>
      <c r="R122" s="80" t="e" cm="1">
        <f t="array" ref="R122">_xlfn.IFS(P122="Service", _xlfn.IFS(I122="SALES","GP",I122="SERVICE SALES","GP",I122="PARTS SALES","GP",I122="SERVICE COS","GP",I122="PARTS COS","GP",I122="SELLING EXPENSES","Selling Expenses",I122="EMPLOYMENT EXPENSES","Selling Expenses",I122="EMPLOYMENT EXPENSES","Selling Expenses",I122="DIRECT EXPENSES","Selling Expenses",I122="INDIRECT EXPENSES","Selling Expenses"),P122="Parts",_xlfn.IFS(I122="SALES","GP",I122="SERVICE SALES","GP",I122="PARTS SALES","GP",I122="SERVICE COS","GP",I122="PARTS COS","GP",I122="SELLING EXPENSES","Selling Expenses",I122="EMPLOYMENT EXPENSES","Selling Expenses",I122="EMPLOYMENT EXPENSES","Selling Expenses",I122="DIRECT EXPENSES","Selling Expenses",I122="INDIRECT EXPENSES","Selling Expenses"))</f>
        <v>#N/A</v>
      </c>
    </row>
    <row r="123" spans="1:18" x14ac:dyDescent="0.2">
      <c r="A123" s="75">
        <v>2400</v>
      </c>
      <c r="B123" s="76" t="s">
        <v>375</v>
      </c>
      <c r="C123" s="76">
        <v>900</v>
      </c>
      <c r="D123" s="76" t="s">
        <v>214</v>
      </c>
      <c r="E123" s="76" t="s">
        <v>214</v>
      </c>
      <c r="F123" s="77">
        <v>-7195</v>
      </c>
      <c r="G123" s="77">
        <v>7195</v>
      </c>
      <c r="H123" s="77">
        <v>0</v>
      </c>
      <c r="I123" s="76" t="s">
        <v>376</v>
      </c>
      <c r="J123" s="77">
        <v>0</v>
      </c>
      <c r="K123" s="78">
        <v>0</v>
      </c>
      <c r="M123" s="79" t="str">
        <f t="shared" si="5"/>
        <v>900-2400</v>
      </c>
      <c r="N123" s="79" t="str">
        <f t="shared" si="3"/>
        <v/>
      </c>
      <c r="O123" s="79" t="str">
        <f t="shared" si="4"/>
        <v>900</v>
      </c>
      <c r="P123" s="79" t="str">
        <f>IFERROR(VLOOKUP($M123,Export!$P:$R,2,FALSE),"-")</f>
        <v>-</v>
      </c>
      <c r="Q123" s="79" t="str">
        <f>IFERROR(VLOOKUP($M123,Export!$P:$R,3,FALSE),"-")</f>
        <v>-</v>
      </c>
      <c r="R123" s="80" t="e" cm="1">
        <f t="array" ref="R123">_xlfn.IFS(P123="Service", _xlfn.IFS(I123="SALES","GP",I123="SERVICE SALES","GP",I123="PARTS SALES","GP",I123="SERVICE COS","GP",I123="PARTS COS","GP",I123="SELLING EXPENSES","Selling Expenses",I123="EMPLOYMENT EXPENSES","Selling Expenses",I123="EMPLOYMENT EXPENSES","Selling Expenses",I123="DIRECT EXPENSES","Selling Expenses",I123="INDIRECT EXPENSES","Selling Expenses"),P123="Parts",_xlfn.IFS(I123="SALES","GP",I123="SERVICE SALES","GP",I123="PARTS SALES","GP",I123="SERVICE COS","GP",I123="PARTS COS","GP",I123="SELLING EXPENSES","Selling Expenses",I123="EMPLOYMENT EXPENSES","Selling Expenses",I123="EMPLOYMENT EXPENSES","Selling Expenses",I123="DIRECT EXPENSES","Selling Expenses",I123="INDIRECT EXPENSES","Selling Expenses"))</f>
        <v>#N/A</v>
      </c>
    </row>
    <row r="124" spans="1:18" x14ac:dyDescent="0.2">
      <c r="A124" s="75">
        <v>2401</v>
      </c>
      <c r="B124" s="76" t="s">
        <v>377</v>
      </c>
      <c r="C124" s="76">
        <v>900</v>
      </c>
      <c r="D124" s="76" t="s">
        <v>214</v>
      </c>
      <c r="E124" s="76" t="s">
        <v>214</v>
      </c>
      <c r="F124" s="77">
        <v>1454.08</v>
      </c>
      <c r="G124" s="77">
        <v>0</v>
      </c>
      <c r="H124" s="77">
        <v>1454.08</v>
      </c>
      <c r="I124" s="76" t="s">
        <v>376</v>
      </c>
      <c r="J124" s="77">
        <v>0</v>
      </c>
      <c r="K124" s="78">
        <v>0</v>
      </c>
      <c r="M124" s="79" t="str">
        <f t="shared" si="5"/>
        <v>900-2401</v>
      </c>
      <c r="N124" s="79" t="str">
        <f t="shared" si="3"/>
        <v/>
      </c>
      <c r="O124" s="79" t="str">
        <f t="shared" si="4"/>
        <v>900</v>
      </c>
      <c r="P124" s="79" t="str">
        <f>IFERROR(VLOOKUP($M124,Export!$P:$R,2,FALSE),"-")</f>
        <v>-</v>
      </c>
      <c r="Q124" s="79" t="str">
        <f>IFERROR(VLOOKUP($M124,Export!$P:$R,3,FALSE),"-")</f>
        <v>-</v>
      </c>
      <c r="R124" s="80" t="e" cm="1">
        <f t="array" ref="R124">_xlfn.IFS(P124="Service", _xlfn.IFS(I124="SALES","GP",I124="SERVICE SALES","GP",I124="PARTS SALES","GP",I124="SERVICE COS","GP",I124="PARTS COS","GP",I124="SELLING EXPENSES","Selling Expenses",I124="EMPLOYMENT EXPENSES","Selling Expenses",I124="EMPLOYMENT EXPENSES","Selling Expenses",I124="DIRECT EXPENSES","Selling Expenses",I124="INDIRECT EXPENSES","Selling Expenses"),P124="Parts",_xlfn.IFS(I124="SALES","GP",I124="SERVICE SALES","GP",I124="PARTS SALES","GP",I124="SERVICE COS","GP",I124="PARTS COS","GP",I124="SELLING EXPENSES","Selling Expenses",I124="EMPLOYMENT EXPENSES","Selling Expenses",I124="EMPLOYMENT EXPENSES","Selling Expenses",I124="DIRECT EXPENSES","Selling Expenses",I124="INDIRECT EXPENSES","Selling Expenses"))</f>
        <v>#N/A</v>
      </c>
    </row>
    <row r="125" spans="1:18" x14ac:dyDescent="0.2">
      <c r="A125" s="75">
        <v>2402</v>
      </c>
      <c r="B125" s="76" t="s">
        <v>378</v>
      </c>
      <c r="C125" s="76">
        <v>900</v>
      </c>
      <c r="D125" s="76" t="s">
        <v>214</v>
      </c>
      <c r="E125" s="76" t="s">
        <v>214</v>
      </c>
      <c r="F125" s="77">
        <v>3757.62</v>
      </c>
      <c r="G125" s="77">
        <v>-659.64</v>
      </c>
      <c r="H125" s="77">
        <v>3097.98</v>
      </c>
      <c r="I125" s="76" t="s">
        <v>376</v>
      </c>
      <c r="J125" s="77">
        <v>0</v>
      </c>
      <c r="K125" s="78">
        <v>0</v>
      </c>
      <c r="M125" s="79" t="str">
        <f t="shared" si="5"/>
        <v>900-2402</v>
      </c>
      <c r="N125" s="79" t="str">
        <f t="shared" si="3"/>
        <v/>
      </c>
      <c r="O125" s="79" t="str">
        <f t="shared" si="4"/>
        <v>900</v>
      </c>
      <c r="P125" s="79" t="str">
        <f>IFERROR(VLOOKUP($M125,Export!$P:$R,2,FALSE),"-")</f>
        <v>-</v>
      </c>
      <c r="Q125" s="79" t="str">
        <f>IFERROR(VLOOKUP($M125,Export!$P:$R,3,FALSE),"-")</f>
        <v>-</v>
      </c>
      <c r="R125" s="80" t="e" cm="1">
        <f t="array" ref="R125">_xlfn.IFS(P125="Service", _xlfn.IFS(I125="SALES","GP",I125="SERVICE SALES","GP",I125="PARTS SALES","GP",I125="SERVICE COS","GP",I125="PARTS COS","GP",I125="SELLING EXPENSES","Selling Expenses",I125="EMPLOYMENT EXPENSES","Selling Expenses",I125="EMPLOYMENT EXPENSES","Selling Expenses",I125="DIRECT EXPENSES","Selling Expenses",I125="INDIRECT EXPENSES","Selling Expenses"),P125="Parts",_xlfn.IFS(I125="SALES","GP",I125="SERVICE SALES","GP",I125="PARTS SALES","GP",I125="SERVICE COS","GP",I125="PARTS COS","GP",I125="SELLING EXPENSES","Selling Expenses",I125="EMPLOYMENT EXPENSES","Selling Expenses",I125="EMPLOYMENT EXPENSES","Selling Expenses",I125="DIRECT EXPENSES","Selling Expenses",I125="INDIRECT EXPENSES","Selling Expenses"))</f>
        <v>#N/A</v>
      </c>
    </row>
    <row r="126" spans="1:18" x14ac:dyDescent="0.2">
      <c r="A126" s="75">
        <v>2430</v>
      </c>
      <c r="B126" s="76" t="s">
        <v>379</v>
      </c>
      <c r="C126" s="76">
        <v>900</v>
      </c>
      <c r="D126" s="76" t="s">
        <v>214</v>
      </c>
      <c r="E126" s="76" t="s">
        <v>214</v>
      </c>
      <c r="F126" s="77">
        <v>-56684.639999999999</v>
      </c>
      <c r="G126" s="77">
        <v>0</v>
      </c>
      <c r="H126" s="77">
        <v>-56684.639999999999</v>
      </c>
      <c r="I126" s="76" t="s">
        <v>376</v>
      </c>
      <c r="J126" s="77">
        <v>0</v>
      </c>
      <c r="K126" s="78">
        <v>0</v>
      </c>
      <c r="M126" s="79" t="str">
        <f t="shared" si="5"/>
        <v>900-2430</v>
      </c>
      <c r="N126" s="79" t="str">
        <f t="shared" si="3"/>
        <v/>
      </c>
      <c r="O126" s="79" t="str">
        <f t="shared" si="4"/>
        <v>900</v>
      </c>
      <c r="P126" s="79" t="str">
        <f>IFERROR(VLOOKUP($M126,Export!$P:$R,2,FALSE),"-")</f>
        <v>-</v>
      </c>
      <c r="Q126" s="79" t="str">
        <f>IFERROR(VLOOKUP($M126,Export!$P:$R,3,FALSE),"-")</f>
        <v>-</v>
      </c>
      <c r="R126" s="80" t="e" cm="1">
        <f t="array" ref="R126">_xlfn.IFS(P126="Service", _xlfn.IFS(I126="SALES","GP",I126="SERVICE SALES","GP",I126="PARTS SALES","GP",I126="SERVICE COS","GP",I126="PARTS COS","GP",I126="SELLING EXPENSES","Selling Expenses",I126="EMPLOYMENT EXPENSES","Selling Expenses",I126="EMPLOYMENT EXPENSES","Selling Expenses",I126="DIRECT EXPENSES","Selling Expenses",I126="INDIRECT EXPENSES","Selling Expenses"),P126="Parts",_xlfn.IFS(I126="SALES","GP",I126="SERVICE SALES","GP",I126="PARTS SALES","GP",I126="SERVICE COS","GP",I126="PARTS COS","GP",I126="SELLING EXPENSES","Selling Expenses",I126="EMPLOYMENT EXPENSES","Selling Expenses",I126="EMPLOYMENT EXPENSES","Selling Expenses",I126="DIRECT EXPENSES","Selling Expenses",I126="INDIRECT EXPENSES","Selling Expenses"))</f>
        <v>#N/A</v>
      </c>
    </row>
    <row r="127" spans="1:18" x14ac:dyDescent="0.2">
      <c r="A127" s="75">
        <v>2482</v>
      </c>
      <c r="B127" s="76" t="s">
        <v>380</v>
      </c>
      <c r="C127" s="76">
        <v>900</v>
      </c>
      <c r="D127" s="76" t="s">
        <v>214</v>
      </c>
      <c r="E127" s="76" t="s">
        <v>214</v>
      </c>
      <c r="F127" s="77">
        <v>-0.6</v>
      </c>
      <c r="G127" s="77">
        <v>0</v>
      </c>
      <c r="H127" s="77">
        <v>-0.6</v>
      </c>
      <c r="I127" s="76" t="s">
        <v>376</v>
      </c>
      <c r="J127" s="77">
        <v>0</v>
      </c>
      <c r="K127" s="78">
        <v>0</v>
      </c>
      <c r="M127" s="79" t="str">
        <f t="shared" si="5"/>
        <v>900-2482</v>
      </c>
      <c r="N127" s="79" t="str">
        <f t="shared" si="3"/>
        <v/>
      </c>
      <c r="O127" s="79" t="str">
        <f t="shared" si="4"/>
        <v>900</v>
      </c>
      <c r="P127" s="79" t="str">
        <f>IFERROR(VLOOKUP($M127,Export!$P:$R,2,FALSE),"-")</f>
        <v>-</v>
      </c>
      <c r="Q127" s="79" t="str">
        <f>IFERROR(VLOOKUP($M127,Export!$P:$R,3,FALSE),"-")</f>
        <v>-</v>
      </c>
      <c r="R127" s="80" t="e" cm="1">
        <f t="array" ref="R127">_xlfn.IFS(P127="Service", _xlfn.IFS(I127="SALES","GP",I127="SERVICE SALES","GP",I127="PARTS SALES","GP",I127="SERVICE COS","GP",I127="PARTS COS","GP",I127="SELLING EXPENSES","Selling Expenses",I127="EMPLOYMENT EXPENSES","Selling Expenses",I127="EMPLOYMENT EXPENSES","Selling Expenses",I127="DIRECT EXPENSES","Selling Expenses",I127="INDIRECT EXPENSES","Selling Expenses"),P127="Parts",_xlfn.IFS(I127="SALES","GP",I127="SERVICE SALES","GP",I127="PARTS SALES","GP",I127="SERVICE COS","GP",I127="PARTS COS","GP",I127="SELLING EXPENSES","Selling Expenses",I127="EMPLOYMENT EXPENSES","Selling Expenses",I127="EMPLOYMENT EXPENSES","Selling Expenses",I127="DIRECT EXPENSES","Selling Expenses",I127="INDIRECT EXPENSES","Selling Expenses"))</f>
        <v>#N/A</v>
      </c>
    </row>
    <row r="128" spans="1:18" x14ac:dyDescent="0.2">
      <c r="A128" s="75">
        <v>2490</v>
      </c>
      <c r="B128" s="76" t="s">
        <v>381</v>
      </c>
      <c r="C128" s="76">
        <v>900</v>
      </c>
      <c r="D128" s="76" t="s">
        <v>214</v>
      </c>
      <c r="E128" s="76" t="s">
        <v>214</v>
      </c>
      <c r="F128" s="77">
        <v>-259220.06</v>
      </c>
      <c r="G128" s="77">
        <v>166639.85999999999</v>
      </c>
      <c r="H128" s="77">
        <v>-92580.2</v>
      </c>
      <c r="I128" s="76" t="s">
        <v>376</v>
      </c>
      <c r="J128" s="77">
        <v>0</v>
      </c>
      <c r="K128" s="78">
        <v>0</v>
      </c>
      <c r="M128" s="79" t="str">
        <f t="shared" si="5"/>
        <v>900-2490</v>
      </c>
      <c r="N128" s="79" t="str">
        <f t="shared" si="3"/>
        <v/>
      </c>
      <c r="O128" s="79" t="str">
        <f t="shared" si="4"/>
        <v>900</v>
      </c>
      <c r="P128" s="79" t="str">
        <f>IFERROR(VLOOKUP($M128,Export!$P:$R,2,FALSE),"-")</f>
        <v>-</v>
      </c>
      <c r="Q128" s="79" t="str">
        <f>IFERROR(VLOOKUP($M128,Export!$P:$R,3,FALSE),"-")</f>
        <v>-</v>
      </c>
      <c r="R128" s="80" t="e" cm="1">
        <f t="array" ref="R128">_xlfn.IFS(P128="Service", _xlfn.IFS(I128="SALES","GP",I128="SERVICE SALES","GP",I128="PARTS SALES","GP",I128="SERVICE COS","GP",I128="PARTS COS","GP",I128="SELLING EXPENSES","Selling Expenses",I128="EMPLOYMENT EXPENSES","Selling Expenses",I128="EMPLOYMENT EXPENSES","Selling Expenses",I128="DIRECT EXPENSES","Selling Expenses",I128="INDIRECT EXPENSES","Selling Expenses"),P128="Parts",_xlfn.IFS(I128="SALES","GP",I128="SERVICE SALES","GP",I128="PARTS SALES","GP",I128="SERVICE COS","GP",I128="PARTS COS","GP",I128="SELLING EXPENSES","Selling Expenses",I128="EMPLOYMENT EXPENSES","Selling Expenses",I128="EMPLOYMENT EXPENSES","Selling Expenses",I128="DIRECT EXPENSES","Selling Expenses",I128="INDIRECT EXPENSES","Selling Expenses"))</f>
        <v>#N/A</v>
      </c>
    </row>
    <row r="129" spans="1:18" x14ac:dyDescent="0.2">
      <c r="A129" s="75">
        <v>2500</v>
      </c>
      <c r="B129" s="76" t="s">
        <v>382</v>
      </c>
      <c r="C129" s="76">
        <v>900</v>
      </c>
      <c r="D129" s="76" t="s">
        <v>214</v>
      </c>
      <c r="E129" s="76" t="s">
        <v>214</v>
      </c>
      <c r="F129" s="77">
        <v>-102296.1</v>
      </c>
      <c r="G129" s="77">
        <v>0</v>
      </c>
      <c r="H129" s="77">
        <v>-102296.1</v>
      </c>
      <c r="I129" s="76" t="s">
        <v>376</v>
      </c>
      <c r="J129" s="77">
        <v>0</v>
      </c>
      <c r="K129" s="78">
        <v>0</v>
      </c>
      <c r="M129" s="79" t="str">
        <f t="shared" si="5"/>
        <v>900-2500</v>
      </c>
      <c r="N129" s="79" t="str">
        <f t="shared" si="3"/>
        <v/>
      </c>
      <c r="O129" s="79" t="str">
        <f t="shared" si="4"/>
        <v>900</v>
      </c>
      <c r="P129" s="79" t="str">
        <f>IFERROR(VLOOKUP($M129,Export!$P:$R,2,FALSE),"-")</f>
        <v>-</v>
      </c>
      <c r="Q129" s="79" t="str">
        <f>IFERROR(VLOOKUP($M129,Export!$P:$R,3,FALSE),"-")</f>
        <v>-</v>
      </c>
      <c r="R129" s="80" t="e" cm="1">
        <f t="array" ref="R129">_xlfn.IFS(P129="Service", _xlfn.IFS(I129="SALES","GP",I129="SERVICE SALES","GP",I129="PARTS SALES","GP",I129="SERVICE COS","GP",I129="PARTS COS","GP",I129="SELLING EXPENSES","Selling Expenses",I129="EMPLOYMENT EXPENSES","Selling Expenses",I129="EMPLOYMENT EXPENSES","Selling Expenses",I129="DIRECT EXPENSES","Selling Expenses",I129="INDIRECT EXPENSES","Selling Expenses"),P129="Parts",_xlfn.IFS(I129="SALES","GP",I129="SERVICE SALES","GP",I129="PARTS SALES","GP",I129="SERVICE COS","GP",I129="PARTS COS","GP",I129="SELLING EXPENSES","Selling Expenses",I129="EMPLOYMENT EXPENSES","Selling Expenses",I129="EMPLOYMENT EXPENSES","Selling Expenses",I129="DIRECT EXPENSES","Selling Expenses",I129="INDIRECT EXPENSES","Selling Expenses"))</f>
        <v>#N/A</v>
      </c>
    </row>
    <row r="130" spans="1:18" x14ac:dyDescent="0.2">
      <c r="A130" s="75">
        <v>2505</v>
      </c>
      <c r="B130" s="76" t="s">
        <v>383</v>
      </c>
      <c r="C130" s="76">
        <v>900</v>
      </c>
      <c r="D130" s="76" t="s">
        <v>214</v>
      </c>
      <c r="E130" s="76" t="s">
        <v>214</v>
      </c>
      <c r="F130" s="77">
        <v>96768.56</v>
      </c>
      <c r="G130" s="77">
        <v>-24061.69</v>
      </c>
      <c r="H130" s="77">
        <v>72706.87</v>
      </c>
      <c r="I130" s="76" t="s">
        <v>376</v>
      </c>
      <c r="J130" s="77">
        <v>0</v>
      </c>
      <c r="K130" s="78">
        <v>0</v>
      </c>
      <c r="M130" s="79" t="str">
        <f t="shared" si="5"/>
        <v>900-2505</v>
      </c>
      <c r="N130" s="79" t="str">
        <f t="shared" ref="N130:N193" si="6">+IF(RIGHT(A130,1)="#","#","")</f>
        <v/>
      </c>
      <c r="O130" s="79" t="str">
        <f t="shared" ref="O130:O193" si="7">+C130&amp;N130</f>
        <v>900</v>
      </c>
      <c r="P130" s="79" t="str">
        <f>IFERROR(VLOOKUP($M130,Export!$P:$R,2,FALSE),"-")</f>
        <v>-</v>
      </c>
      <c r="Q130" s="79" t="str">
        <f>IFERROR(VLOOKUP($M130,Export!$P:$R,3,FALSE),"-")</f>
        <v>-</v>
      </c>
      <c r="R130" s="80" t="e" cm="1">
        <f t="array" ref="R130">_xlfn.IFS(P130="Service", _xlfn.IFS(I130="SALES","GP",I130="SERVICE SALES","GP",I130="PARTS SALES","GP",I130="SERVICE COS","GP",I130="PARTS COS","GP",I130="SELLING EXPENSES","Selling Expenses",I130="EMPLOYMENT EXPENSES","Selling Expenses",I130="EMPLOYMENT EXPENSES","Selling Expenses",I130="DIRECT EXPENSES","Selling Expenses",I130="INDIRECT EXPENSES","Selling Expenses"),P130="Parts",_xlfn.IFS(I130="SALES","GP",I130="SERVICE SALES","GP",I130="PARTS SALES","GP",I130="SERVICE COS","GP",I130="PARTS COS","GP",I130="SELLING EXPENSES","Selling Expenses",I130="EMPLOYMENT EXPENSES","Selling Expenses",I130="EMPLOYMENT EXPENSES","Selling Expenses",I130="DIRECT EXPENSES","Selling Expenses",I130="INDIRECT EXPENSES","Selling Expenses"))</f>
        <v>#N/A</v>
      </c>
    </row>
    <row r="131" spans="1:18" x14ac:dyDescent="0.2">
      <c r="A131" s="75">
        <v>2512</v>
      </c>
      <c r="B131" s="76" t="s">
        <v>384</v>
      </c>
      <c r="C131" s="76">
        <v>900</v>
      </c>
      <c r="D131" s="76" t="s">
        <v>214</v>
      </c>
      <c r="E131" s="76" t="s">
        <v>214</v>
      </c>
      <c r="F131" s="77">
        <v>-9812.9699999999993</v>
      </c>
      <c r="G131" s="77">
        <v>-6488.09</v>
      </c>
      <c r="H131" s="77">
        <v>-16301.06</v>
      </c>
      <c r="I131" s="76" t="s">
        <v>376</v>
      </c>
      <c r="J131" s="77">
        <v>0</v>
      </c>
      <c r="K131" s="78">
        <v>0</v>
      </c>
      <c r="M131" s="79" t="str">
        <f t="shared" ref="M131:M194" si="8">+C131&amp;"-"&amp;A131</f>
        <v>900-2512</v>
      </c>
      <c r="N131" s="79" t="str">
        <f t="shared" si="6"/>
        <v/>
      </c>
      <c r="O131" s="79" t="str">
        <f t="shared" si="7"/>
        <v>900</v>
      </c>
      <c r="P131" s="79" t="str">
        <f>IFERROR(VLOOKUP($M131,Export!$P:$R,2,FALSE),"-")</f>
        <v>-</v>
      </c>
      <c r="Q131" s="79" t="str">
        <f>IFERROR(VLOOKUP($M131,Export!$P:$R,3,FALSE),"-")</f>
        <v>-</v>
      </c>
      <c r="R131" s="80" t="e" cm="1">
        <f t="array" ref="R131">_xlfn.IFS(P131="Service", _xlfn.IFS(I131="SALES","GP",I131="SERVICE SALES","GP",I131="PARTS SALES","GP",I131="SERVICE COS","GP",I131="PARTS COS","GP",I131="SELLING EXPENSES","Selling Expenses",I131="EMPLOYMENT EXPENSES","Selling Expenses",I131="EMPLOYMENT EXPENSES","Selling Expenses",I131="DIRECT EXPENSES","Selling Expenses",I131="INDIRECT EXPENSES","Selling Expenses"),P131="Parts",_xlfn.IFS(I131="SALES","GP",I131="SERVICE SALES","GP",I131="PARTS SALES","GP",I131="SERVICE COS","GP",I131="PARTS COS","GP",I131="SELLING EXPENSES","Selling Expenses",I131="EMPLOYMENT EXPENSES","Selling Expenses",I131="EMPLOYMENT EXPENSES","Selling Expenses",I131="DIRECT EXPENSES","Selling Expenses",I131="INDIRECT EXPENSES","Selling Expenses"))</f>
        <v>#N/A</v>
      </c>
    </row>
    <row r="132" spans="1:18" x14ac:dyDescent="0.2">
      <c r="A132" s="75">
        <v>2520</v>
      </c>
      <c r="B132" s="76" t="s">
        <v>385</v>
      </c>
      <c r="C132" s="76">
        <v>900</v>
      </c>
      <c r="D132" s="76" t="s">
        <v>214</v>
      </c>
      <c r="E132" s="76" t="s">
        <v>214</v>
      </c>
      <c r="F132" s="77">
        <v>-1096485.42</v>
      </c>
      <c r="G132" s="77">
        <v>42029.22</v>
      </c>
      <c r="H132" s="77">
        <v>-1054456.2</v>
      </c>
      <c r="I132" s="76" t="s">
        <v>376</v>
      </c>
      <c r="J132" s="77">
        <v>0</v>
      </c>
      <c r="K132" s="78">
        <v>0</v>
      </c>
      <c r="M132" s="79" t="str">
        <f t="shared" si="8"/>
        <v>900-2520</v>
      </c>
      <c r="N132" s="79" t="str">
        <f t="shared" si="6"/>
        <v/>
      </c>
      <c r="O132" s="79" t="str">
        <f t="shared" si="7"/>
        <v>900</v>
      </c>
      <c r="P132" s="79" t="str">
        <f>IFERROR(VLOOKUP($M132,Export!$P:$R,2,FALSE),"-")</f>
        <v>-</v>
      </c>
      <c r="Q132" s="79" t="str">
        <f>IFERROR(VLOOKUP($M132,Export!$P:$R,3,FALSE),"-")</f>
        <v>-</v>
      </c>
      <c r="R132" s="80" t="e" cm="1">
        <f t="array" ref="R132">_xlfn.IFS(P132="Service", _xlfn.IFS(I132="SALES","GP",I132="SERVICE SALES","GP",I132="PARTS SALES","GP",I132="SERVICE COS","GP",I132="PARTS COS","GP",I132="SELLING EXPENSES","Selling Expenses",I132="EMPLOYMENT EXPENSES","Selling Expenses",I132="EMPLOYMENT EXPENSES","Selling Expenses",I132="DIRECT EXPENSES","Selling Expenses",I132="INDIRECT EXPENSES","Selling Expenses"),P132="Parts",_xlfn.IFS(I132="SALES","GP",I132="SERVICE SALES","GP",I132="PARTS SALES","GP",I132="SERVICE COS","GP",I132="PARTS COS","GP",I132="SELLING EXPENSES","Selling Expenses",I132="EMPLOYMENT EXPENSES","Selling Expenses",I132="EMPLOYMENT EXPENSES","Selling Expenses",I132="DIRECT EXPENSES","Selling Expenses",I132="INDIRECT EXPENSES","Selling Expenses"))</f>
        <v>#N/A</v>
      </c>
    </row>
    <row r="133" spans="1:18" x14ac:dyDescent="0.2">
      <c r="A133" s="75">
        <v>2554</v>
      </c>
      <c r="B133" s="76" t="s">
        <v>386</v>
      </c>
      <c r="C133" s="76">
        <v>900</v>
      </c>
      <c r="D133" s="76" t="s">
        <v>214</v>
      </c>
      <c r="E133" s="76" t="s">
        <v>214</v>
      </c>
      <c r="F133" s="77">
        <v>8029.62</v>
      </c>
      <c r="G133" s="77">
        <v>0</v>
      </c>
      <c r="H133" s="77">
        <v>8029.62</v>
      </c>
      <c r="I133" s="76" t="s">
        <v>376</v>
      </c>
      <c r="J133" s="77">
        <v>0</v>
      </c>
      <c r="K133" s="78">
        <v>0</v>
      </c>
      <c r="M133" s="79" t="str">
        <f t="shared" si="8"/>
        <v>900-2554</v>
      </c>
      <c r="N133" s="79" t="str">
        <f t="shared" si="6"/>
        <v/>
      </c>
      <c r="O133" s="79" t="str">
        <f t="shared" si="7"/>
        <v>900</v>
      </c>
      <c r="P133" s="79" t="str">
        <f>IFERROR(VLOOKUP($M133,Export!$P:$R,2,FALSE),"-")</f>
        <v>-</v>
      </c>
      <c r="Q133" s="79" t="str">
        <f>IFERROR(VLOOKUP($M133,Export!$P:$R,3,FALSE),"-")</f>
        <v>-</v>
      </c>
      <c r="R133" s="80" t="e" cm="1">
        <f t="array" ref="R133">_xlfn.IFS(P133="Service", _xlfn.IFS(I133="SALES","GP",I133="SERVICE SALES","GP",I133="PARTS SALES","GP",I133="SERVICE COS","GP",I133="PARTS COS","GP",I133="SELLING EXPENSES","Selling Expenses",I133="EMPLOYMENT EXPENSES","Selling Expenses",I133="EMPLOYMENT EXPENSES","Selling Expenses",I133="DIRECT EXPENSES","Selling Expenses",I133="INDIRECT EXPENSES","Selling Expenses"),P133="Parts",_xlfn.IFS(I133="SALES","GP",I133="SERVICE SALES","GP",I133="PARTS SALES","GP",I133="SERVICE COS","GP",I133="PARTS COS","GP",I133="SELLING EXPENSES","Selling Expenses",I133="EMPLOYMENT EXPENSES","Selling Expenses",I133="EMPLOYMENT EXPENSES","Selling Expenses",I133="DIRECT EXPENSES","Selling Expenses",I133="INDIRECT EXPENSES","Selling Expenses"))</f>
        <v>#N/A</v>
      </c>
    </row>
    <row r="134" spans="1:18" x14ac:dyDescent="0.2">
      <c r="A134" s="75">
        <v>2570</v>
      </c>
      <c r="B134" s="76" t="s">
        <v>387</v>
      </c>
      <c r="C134" s="76">
        <v>900</v>
      </c>
      <c r="D134" s="76" t="s">
        <v>214</v>
      </c>
      <c r="E134" s="76" t="s">
        <v>214</v>
      </c>
      <c r="F134" s="77">
        <v>-31535.23</v>
      </c>
      <c r="G134" s="77">
        <v>31535.23</v>
      </c>
      <c r="H134" s="77">
        <v>0</v>
      </c>
      <c r="I134" s="76" t="s">
        <v>376</v>
      </c>
      <c r="J134" s="77">
        <v>0</v>
      </c>
      <c r="K134" s="78">
        <v>0</v>
      </c>
      <c r="M134" s="79" t="str">
        <f t="shared" si="8"/>
        <v>900-2570</v>
      </c>
      <c r="N134" s="79" t="str">
        <f t="shared" si="6"/>
        <v/>
      </c>
      <c r="O134" s="79" t="str">
        <f t="shared" si="7"/>
        <v>900</v>
      </c>
      <c r="P134" s="79" t="str">
        <f>IFERROR(VLOOKUP($M134,Export!$P:$R,2,FALSE),"-")</f>
        <v>-</v>
      </c>
      <c r="Q134" s="79" t="str">
        <f>IFERROR(VLOOKUP($M134,Export!$P:$R,3,FALSE),"-")</f>
        <v>-</v>
      </c>
      <c r="R134" s="80" t="e" cm="1">
        <f t="array" ref="R134">_xlfn.IFS(P134="Service", _xlfn.IFS(I134="SALES","GP",I134="SERVICE SALES","GP",I134="PARTS SALES","GP",I134="SERVICE COS","GP",I134="PARTS COS","GP",I134="SELLING EXPENSES","Selling Expenses",I134="EMPLOYMENT EXPENSES","Selling Expenses",I134="EMPLOYMENT EXPENSES","Selling Expenses",I134="DIRECT EXPENSES","Selling Expenses",I134="INDIRECT EXPENSES","Selling Expenses"),P134="Parts",_xlfn.IFS(I134="SALES","GP",I134="SERVICE SALES","GP",I134="PARTS SALES","GP",I134="SERVICE COS","GP",I134="PARTS COS","GP",I134="SELLING EXPENSES","Selling Expenses",I134="EMPLOYMENT EXPENSES","Selling Expenses",I134="EMPLOYMENT EXPENSES","Selling Expenses",I134="DIRECT EXPENSES","Selling Expenses",I134="INDIRECT EXPENSES","Selling Expenses"))</f>
        <v>#N/A</v>
      </c>
    </row>
    <row r="135" spans="1:18" x14ac:dyDescent="0.2">
      <c r="A135" s="75">
        <v>2571</v>
      </c>
      <c r="B135" s="76" t="s">
        <v>388</v>
      </c>
      <c r="C135" s="76">
        <v>900</v>
      </c>
      <c r="D135" s="76" t="s">
        <v>214</v>
      </c>
      <c r="E135" s="76" t="s">
        <v>214</v>
      </c>
      <c r="F135" s="77">
        <v>-1079.72</v>
      </c>
      <c r="G135" s="77">
        <v>1816.74</v>
      </c>
      <c r="H135" s="77">
        <v>737.02</v>
      </c>
      <c r="I135" s="76" t="s">
        <v>376</v>
      </c>
      <c r="J135" s="77">
        <v>0</v>
      </c>
      <c r="K135" s="78">
        <v>0</v>
      </c>
      <c r="M135" s="79" t="str">
        <f t="shared" si="8"/>
        <v>900-2571</v>
      </c>
      <c r="N135" s="79" t="str">
        <f t="shared" si="6"/>
        <v/>
      </c>
      <c r="O135" s="79" t="str">
        <f t="shared" si="7"/>
        <v>900</v>
      </c>
      <c r="P135" s="79" t="str">
        <f>IFERROR(VLOOKUP($M135,Export!$P:$R,2,FALSE),"-")</f>
        <v>-</v>
      </c>
      <c r="Q135" s="79" t="str">
        <f>IFERROR(VLOOKUP($M135,Export!$P:$R,3,FALSE),"-")</f>
        <v>-</v>
      </c>
      <c r="R135" s="80" t="e" cm="1">
        <f t="array" ref="R135">_xlfn.IFS(P135="Service", _xlfn.IFS(I135="SALES","GP",I135="SERVICE SALES","GP",I135="PARTS SALES","GP",I135="SERVICE COS","GP",I135="PARTS COS","GP",I135="SELLING EXPENSES","Selling Expenses",I135="EMPLOYMENT EXPENSES","Selling Expenses",I135="EMPLOYMENT EXPENSES","Selling Expenses",I135="DIRECT EXPENSES","Selling Expenses",I135="INDIRECT EXPENSES","Selling Expenses"),P135="Parts",_xlfn.IFS(I135="SALES","GP",I135="SERVICE SALES","GP",I135="PARTS SALES","GP",I135="SERVICE COS","GP",I135="PARTS COS","GP",I135="SELLING EXPENSES","Selling Expenses",I135="EMPLOYMENT EXPENSES","Selling Expenses",I135="EMPLOYMENT EXPENSES","Selling Expenses",I135="DIRECT EXPENSES","Selling Expenses",I135="INDIRECT EXPENSES","Selling Expenses"))</f>
        <v>#N/A</v>
      </c>
    </row>
    <row r="136" spans="1:18" x14ac:dyDescent="0.2">
      <c r="A136" s="75">
        <v>2573</v>
      </c>
      <c r="B136" s="76" t="s">
        <v>389</v>
      </c>
      <c r="C136" s="76">
        <v>900</v>
      </c>
      <c r="D136" s="76" t="s">
        <v>214</v>
      </c>
      <c r="E136" s="76" t="s">
        <v>214</v>
      </c>
      <c r="F136" s="77">
        <v>1565.2</v>
      </c>
      <c r="G136" s="77">
        <v>195.65</v>
      </c>
      <c r="H136" s="77">
        <v>1760.85</v>
      </c>
      <c r="I136" s="76" t="s">
        <v>376</v>
      </c>
      <c r="J136" s="77">
        <v>0</v>
      </c>
      <c r="K136" s="78">
        <v>0</v>
      </c>
      <c r="M136" s="79" t="str">
        <f t="shared" si="8"/>
        <v>900-2573</v>
      </c>
      <c r="N136" s="79" t="str">
        <f t="shared" si="6"/>
        <v/>
      </c>
      <c r="O136" s="79" t="str">
        <f t="shared" si="7"/>
        <v>900</v>
      </c>
      <c r="P136" s="79" t="str">
        <f>IFERROR(VLOOKUP($M136,Export!$P:$R,2,FALSE),"-")</f>
        <v>-</v>
      </c>
      <c r="Q136" s="79" t="str">
        <f>IFERROR(VLOOKUP($M136,Export!$P:$R,3,FALSE),"-")</f>
        <v>-</v>
      </c>
      <c r="R136" s="80" t="e" cm="1">
        <f t="array" ref="R136">_xlfn.IFS(P136="Service", _xlfn.IFS(I136="SALES","GP",I136="SERVICE SALES","GP",I136="PARTS SALES","GP",I136="SERVICE COS","GP",I136="PARTS COS","GP",I136="SELLING EXPENSES","Selling Expenses",I136="EMPLOYMENT EXPENSES","Selling Expenses",I136="EMPLOYMENT EXPENSES","Selling Expenses",I136="DIRECT EXPENSES","Selling Expenses",I136="INDIRECT EXPENSES","Selling Expenses"),P136="Parts",_xlfn.IFS(I136="SALES","GP",I136="SERVICE SALES","GP",I136="PARTS SALES","GP",I136="SERVICE COS","GP",I136="PARTS COS","GP",I136="SELLING EXPENSES","Selling Expenses",I136="EMPLOYMENT EXPENSES","Selling Expenses",I136="EMPLOYMENT EXPENSES","Selling Expenses",I136="DIRECT EXPENSES","Selling Expenses",I136="INDIRECT EXPENSES","Selling Expenses"))</f>
        <v>#N/A</v>
      </c>
    </row>
    <row r="137" spans="1:18" x14ac:dyDescent="0.2">
      <c r="A137" s="75" t="s">
        <v>390</v>
      </c>
      <c r="B137" s="76" t="s">
        <v>391</v>
      </c>
      <c r="C137" s="76">
        <v>900</v>
      </c>
      <c r="D137" s="76" t="s">
        <v>214</v>
      </c>
      <c r="E137" s="76" t="s">
        <v>214</v>
      </c>
      <c r="F137" s="77">
        <v>-21000</v>
      </c>
      <c r="G137" s="77">
        <v>-1000</v>
      </c>
      <c r="H137" s="77">
        <v>-22000</v>
      </c>
      <c r="I137" s="76" t="s">
        <v>376</v>
      </c>
      <c r="J137" s="77">
        <v>0</v>
      </c>
      <c r="K137" s="78">
        <v>0</v>
      </c>
      <c r="M137" s="79" t="str">
        <f t="shared" si="8"/>
        <v>900-2581P</v>
      </c>
      <c r="N137" s="79" t="str">
        <f t="shared" si="6"/>
        <v/>
      </c>
      <c r="O137" s="79" t="str">
        <f t="shared" si="7"/>
        <v>900</v>
      </c>
      <c r="P137" s="79" t="str">
        <f>IFERROR(VLOOKUP($M137,Export!$P:$R,2,FALSE),"-")</f>
        <v>-</v>
      </c>
      <c r="Q137" s="79" t="str">
        <f>IFERROR(VLOOKUP($M137,Export!$P:$R,3,FALSE),"-")</f>
        <v>-</v>
      </c>
      <c r="R137" s="80" t="e" cm="1">
        <f t="array" ref="R137">_xlfn.IFS(P137="Service", _xlfn.IFS(I137="SALES","GP",I137="SERVICE SALES","GP",I137="PARTS SALES","GP",I137="SERVICE COS","GP",I137="PARTS COS","GP",I137="SELLING EXPENSES","Selling Expenses",I137="EMPLOYMENT EXPENSES","Selling Expenses",I137="EMPLOYMENT EXPENSES","Selling Expenses",I137="DIRECT EXPENSES","Selling Expenses",I137="INDIRECT EXPENSES","Selling Expenses"),P137="Parts",_xlfn.IFS(I137="SALES","GP",I137="SERVICE SALES","GP",I137="PARTS SALES","GP",I137="SERVICE COS","GP",I137="PARTS COS","GP",I137="SELLING EXPENSES","Selling Expenses",I137="EMPLOYMENT EXPENSES","Selling Expenses",I137="EMPLOYMENT EXPENSES","Selling Expenses",I137="DIRECT EXPENSES","Selling Expenses",I137="INDIRECT EXPENSES","Selling Expenses"))</f>
        <v>#N/A</v>
      </c>
    </row>
    <row r="138" spans="1:18" x14ac:dyDescent="0.2">
      <c r="A138" s="75" t="s">
        <v>392</v>
      </c>
      <c r="B138" s="76" t="s">
        <v>393</v>
      </c>
      <c r="C138" s="76">
        <v>900</v>
      </c>
      <c r="D138" s="76" t="s">
        <v>214</v>
      </c>
      <c r="E138" s="76" t="s">
        <v>214</v>
      </c>
      <c r="F138" s="77">
        <v>-30556.46</v>
      </c>
      <c r="G138" s="77">
        <v>-1500</v>
      </c>
      <c r="H138" s="77">
        <v>-32056.46</v>
      </c>
      <c r="I138" s="76" t="s">
        <v>376</v>
      </c>
      <c r="J138" s="77">
        <v>0</v>
      </c>
      <c r="K138" s="78">
        <v>0</v>
      </c>
      <c r="M138" s="79" t="str">
        <f t="shared" si="8"/>
        <v>900-2581S</v>
      </c>
      <c r="N138" s="79" t="str">
        <f t="shared" si="6"/>
        <v/>
      </c>
      <c r="O138" s="79" t="str">
        <f t="shared" si="7"/>
        <v>900</v>
      </c>
      <c r="P138" s="79" t="str">
        <f>IFERROR(VLOOKUP($M138,Export!$P:$R,2,FALSE),"-")</f>
        <v>-</v>
      </c>
      <c r="Q138" s="79" t="str">
        <f>IFERROR(VLOOKUP($M138,Export!$P:$R,3,FALSE),"-")</f>
        <v>-</v>
      </c>
      <c r="R138" s="80" t="e" cm="1">
        <f t="array" ref="R138">_xlfn.IFS(P138="Service", _xlfn.IFS(I138="SALES","GP",I138="SERVICE SALES","GP",I138="PARTS SALES","GP",I138="SERVICE COS","GP",I138="PARTS COS","GP",I138="SELLING EXPENSES","Selling Expenses",I138="EMPLOYMENT EXPENSES","Selling Expenses",I138="EMPLOYMENT EXPENSES","Selling Expenses",I138="DIRECT EXPENSES","Selling Expenses",I138="INDIRECT EXPENSES","Selling Expenses"),P138="Parts",_xlfn.IFS(I138="SALES","GP",I138="SERVICE SALES","GP",I138="PARTS SALES","GP",I138="SERVICE COS","GP",I138="PARTS COS","GP",I138="SELLING EXPENSES","Selling Expenses",I138="EMPLOYMENT EXPENSES","Selling Expenses",I138="EMPLOYMENT EXPENSES","Selling Expenses",I138="DIRECT EXPENSES","Selling Expenses",I138="INDIRECT EXPENSES","Selling Expenses"))</f>
        <v>#N/A</v>
      </c>
    </row>
    <row r="139" spans="1:18" x14ac:dyDescent="0.2">
      <c r="A139" s="75" t="s">
        <v>394</v>
      </c>
      <c r="B139" s="76" t="s">
        <v>395</v>
      </c>
      <c r="C139" s="76">
        <v>900</v>
      </c>
      <c r="D139" s="76" t="s">
        <v>214</v>
      </c>
      <c r="E139" s="76" t="s">
        <v>214</v>
      </c>
      <c r="F139" s="77">
        <v>-2100</v>
      </c>
      <c r="G139" s="77">
        <v>-100</v>
      </c>
      <c r="H139" s="77">
        <v>-2200</v>
      </c>
      <c r="I139" s="76" t="s">
        <v>376</v>
      </c>
      <c r="J139" s="77">
        <v>0</v>
      </c>
      <c r="K139" s="78">
        <v>0</v>
      </c>
      <c r="M139" s="79" t="str">
        <f t="shared" si="8"/>
        <v>900-2581T</v>
      </c>
      <c r="N139" s="79" t="str">
        <f t="shared" si="6"/>
        <v/>
      </c>
      <c r="O139" s="79" t="str">
        <f t="shared" si="7"/>
        <v>900</v>
      </c>
      <c r="P139" s="79" t="str">
        <f>IFERROR(VLOOKUP($M139,Export!$P:$R,2,FALSE),"-")</f>
        <v>-</v>
      </c>
      <c r="Q139" s="79" t="str">
        <f>IFERROR(VLOOKUP($M139,Export!$P:$R,3,FALSE),"-")</f>
        <v>-</v>
      </c>
      <c r="R139" s="80" t="e" cm="1">
        <f t="array" ref="R139">_xlfn.IFS(P139="Service", _xlfn.IFS(I139="SALES","GP",I139="SERVICE SALES","GP",I139="PARTS SALES","GP",I139="SERVICE COS","GP",I139="PARTS COS","GP",I139="SELLING EXPENSES","Selling Expenses",I139="EMPLOYMENT EXPENSES","Selling Expenses",I139="EMPLOYMENT EXPENSES","Selling Expenses",I139="DIRECT EXPENSES","Selling Expenses",I139="INDIRECT EXPENSES","Selling Expenses"),P139="Parts",_xlfn.IFS(I139="SALES","GP",I139="SERVICE SALES","GP",I139="PARTS SALES","GP",I139="SERVICE COS","GP",I139="PARTS COS","GP",I139="SELLING EXPENSES","Selling Expenses",I139="EMPLOYMENT EXPENSES","Selling Expenses",I139="EMPLOYMENT EXPENSES","Selling Expenses",I139="DIRECT EXPENSES","Selling Expenses",I139="INDIRECT EXPENSES","Selling Expenses"))</f>
        <v>#N/A</v>
      </c>
    </row>
    <row r="140" spans="1:18" x14ac:dyDescent="0.2">
      <c r="A140" s="75">
        <v>2582</v>
      </c>
      <c r="B140" s="76" t="s">
        <v>396</v>
      </c>
      <c r="C140" s="76">
        <v>900</v>
      </c>
      <c r="D140" s="76" t="s">
        <v>214</v>
      </c>
      <c r="E140" s="76" t="s">
        <v>214</v>
      </c>
      <c r="F140" s="77">
        <v>11550.18</v>
      </c>
      <c r="G140" s="77">
        <v>-1283.3499999999999</v>
      </c>
      <c r="H140" s="77">
        <v>10266.83</v>
      </c>
      <c r="I140" s="76" t="s">
        <v>376</v>
      </c>
      <c r="J140" s="77">
        <v>0</v>
      </c>
      <c r="K140" s="78">
        <v>0</v>
      </c>
      <c r="M140" s="79" t="str">
        <f t="shared" si="8"/>
        <v>900-2582</v>
      </c>
      <c r="N140" s="79" t="str">
        <f t="shared" si="6"/>
        <v/>
      </c>
      <c r="O140" s="79" t="str">
        <f t="shared" si="7"/>
        <v>900</v>
      </c>
      <c r="P140" s="79" t="str">
        <f>IFERROR(VLOOKUP($M140,Export!$P:$R,2,FALSE),"-")</f>
        <v>-</v>
      </c>
      <c r="Q140" s="79" t="str">
        <f>IFERROR(VLOOKUP($M140,Export!$P:$R,3,FALSE),"-")</f>
        <v>-</v>
      </c>
      <c r="R140" s="80" t="e" cm="1">
        <f t="array" ref="R140">_xlfn.IFS(P140="Service", _xlfn.IFS(I140="SALES","GP",I140="SERVICE SALES","GP",I140="PARTS SALES","GP",I140="SERVICE COS","GP",I140="PARTS COS","GP",I140="SELLING EXPENSES","Selling Expenses",I140="EMPLOYMENT EXPENSES","Selling Expenses",I140="EMPLOYMENT EXPENSES","Selling Expenses",I140="DIRECT EXPENSES","Selling Expenses",I140="INDIRECT EXPENSES","Selling Expenses"),P140="Parts",_xlfn.IFS(I140="SALES","GP",I140="SERVICE SALES","GP",I140="PARTS SALES","GP",I140="SERVICE COS","GP",I140="PARTS COS","GP",I140="SELLING EXPENSES","Selling Expenses",I140="EMPLOYMENT EXPENSES","Selling Expenses",I140="EMPLOYMENT EXPENSES","Selling Expenses",I140="DIRECT EXPENSES","Selling Expenses",I140="INDIRECT EXPENSES","Selling Expenses"))</f>
        <v>#N/A</v>
      </c>
    </row>
    <row r="141" spans="1:18" x14ac:dyDescent="0.2">
      <c r="A141" s="75">
        <v>2584</v>
      </c>
      <c r="B141" s="76" t="s">
        <v>397</v>
      </c>
      <c r="C141" s="76">
        <v>900</v>
      </c>
      <c r="D141" s="76" t="s">
        <v>214</v>
      </c>
      <c r="E141" s="76" t="s">
        <v>214</v>
      </c>
      <c r="F141" s="77">
        <v>29298.75</v>
      </c>
      <c r="G141" s="77">
        <v>-4883.12</v>
      </c>
      <c r="H141" s="77">
        <v>24415.63</v>
      </c>
      <c r="I141" s="76" t="s">
        <v>376</v>
      </c>
      <c r="J141" s="77">
        <v>0</v>
      </c>
      <c r="K141" s="78">
        <v>0</v>
      </c>
      <c r="M141" s="79" t="str">
        <f t="shared" si="8"/>
        <v>900-2584</v>
      </c>
      <c r="N141" s="79" t="str">
        <f t="shared" si="6"/>
        <v/>
      </c>
      <c r="O141" s="79" t="str">
        <f t="shared" si="7"/>
        <v>900</v>
      </c>
      <c r="P141" s="79" t="str">
        <f>IFERROR(VLOOKUP($M141,Export!$P:$R,2,FALSE),"-")</f>
        <v>-</v>
      </c>
      <c r="Q141" s="79" t="str">
        <f>IFERROR(VLOOKUP($M141,Export!$P:$R,3,FALSE),"-")</f>
        <v>-</v>
      </c>
      <c r="R141" s="80" t="e" cm="1">
        <f t="array" ref="R141">_xlfn.IFS(P141="Service", _xlfn.IFS(I141="SALES","GP",I141="SERVICE SALES","GP",I141="PARTS SALES","GP",I141="SERVICE COS","GP",I141="PARTS COS","GP",I141="SELLING EXPENSES","Selling Expenses",I141="EMPLOYMENT EXPENSES","Selling Expenses",I141="EMPLOYMENT EXPENSES","Selling Expenses",I141="DIRECT EXPENSES","Selling Expenses",I141="INDIRECT EXPENSES","Selling Expenses"),P141="Parts",_xlfn.IFS(I141="SALES","GP",I141="SERVICE SALES","GP",I141="PARTS SALES","GP",I141="SERVICE COS","GP",I141="PARTS COS","GP",I141="SELLING EXPENSES","Selling Expenses",I141="EMPLOYMENT EXPENSES","Selling Expenses",I141="EMPLOYMENT EXPENSES","Selling Expenses",I141="DIRECT EXPENSES","Selling Expenses",I141="INDIRECT EXPENSES","Selling Expenses"))</f>
        <v>#N/A</v>
      </c>
    </row>
    <row r="142" spans="1:18" x14ac:dyDescent="0.2">
      <c r="A142" s="75">
        <v>2586</v>
      </c>
      <c r="B142" s="76" t="s">
        <v>398</v>
      </c>
      <c r="C142" s="76">
        <v>900</v>
      </c>
      <c r="D142" s="76" t="s">
        <v>214</v>
      </c>
      <c r="E142" s="76" t="s">
        <v>214</v>
      </c>
      <c r="F142" s="77">
        <v>-6567</v>
      </c>
      <c r="G142" s="77">
        <v>-17110.689999999999</v>
      </c>
      <c r="H142" s="77">
        <v>-23677.69</v>
      </c>
      <c r="I142" s="76" t="s">
        <v>376</v>
      </c>
      <c r="J142" s="77">
        <v>0</v>
      </c>
      <c r="K142" s="78">
        <v>0</v>
      </c>
      <c r="M142" s="79" t="str">
        <f t="shared" si="8"/>
        <v>900-2586</v>
      </c>
      <c r="N142" s="79" t="str">
        <f t="shared" si="6"/>
        <v/>
      </c>
      <c r="O142" s="79" t="str">
        <f t="shared" si="7"/>
        <v>900</v>
      </c>
      <c r="P142" s="79" t="str">
        <f>IFERROR(VLOOKUP($M142,Export!$P:$R,2,FALSE),"-")</f>
        <v>-</v>
      </c>
      <c r="Q142" s="79" t="str">
        <f>IFERROR(VLOOKUP($M142,Export!$P:$R,3,FALSE),"-")</f>
        <v>-</v>
      </c>
      <c r="R142" s="80" t="e" cm="1">
        <f t="array" ref="R142">_xlfn.IFS(P142="Service", _xlfn.IFS(I142="SALES","GP",I142="SERVICE SALES","GP",I142="PARTS SALES","GP",I142="SERVICE COS","GP",I142="PARTS COS","GP",I142="SELLING EXPENSES","Selling Expenses",I142="EMPLOYMENT EXPENSES","Selling Expenses",I142="EMPLOYMENT EXPENSES","Selling Expenses",I142="DIRECT EXPENSES","Selling Expenses",I142="INDIRECT EXPENSES","Selling Expenses"),P142="Parts",_xlfn.IFS(I142="SALES","GP",I142="SERVICE SALES","GP",I142="PARTS SALES","GP",I142="SERVICE COS","GP",I142="PARTS COS","GP",I142="SELLING EXPENSES","Selling Expenses",I142="EMPLOYMENT EXPENSES","Selling Expenses",I142="EMPLOYMENT EXPENSES","Selling Expenses",I142="DIRECT EXPENSES","Selling Expenses",I142="INDIRECT EXPENSES","Selling Expenses"))</f>
        <v>#N/A</v>
      </c>
    </row>
    <row r="143" spans="1:18" x14ac:dyDescent="0.2">
      <c r="A143" s="75">
        <v>2605</v>
      </c>
      <c r="B143" s="76" t="s">
        <v>399</v>
      </c>
      <c r="C143" s="76">
        <v>900</v>
      </c>
      <c r="D143" s="76" t="s">
        <v>214</v>
      </c>
      <c r="E143" s="76" t="s">
        <v>214</v>
      </c>
      <c r="F143" s="77">
        <v>148786.42000000001</v>
      </c>
      <c r="G143" s="77">
        <v>5981.24</v>
      </c>
      <c r="H143" s="77">
        <v>154767.66</v>
      </c>
      <c r="I143" s="76" t="s">
        <v>376</v>
      </c>
      <c r="J143" s="77">
        <v>0</v>
      </c>
      <c r="K143" s="78">
        <v>0</v>
      </c>
      <c r="M143" s="79" t="str">
        <f t="shared" si="8"/>
        <v>900-2605</v>
      </c>
      <c r="N143" s="79" t="str">
        <f t="shared" si="6"/>
        <v/>
      </c>
      <c r="O143" s="79" t="str">
        <f t="shared" si="7"/>
        <v>900</v>
      </c>
      <c r="P143" s="79" t="str">
        <f>IFERROR(VLOOKUP($M143,Export!$P:$R,2,FALSE),"-")</f>
        <v>-</v>
      </c>
      <c r="Q143" s="79" t="str">
        <f>IFERROR(VLOOKUP($M143,Export!$P:$R,3,FALSE),"-")</f>
        <v>-</v>
      </c>
      <c r="R143" s="80" t="e" cm="1">
        <f t="array" ref="R143">_xlfn.IFS(P143="Service", _xlfn.IFS(I143="SALES","GP",I143="SERVICE SALES","GP",I143="PARTS SALES","GP",I143="SERVICE COS","GP",I143="PARTS COS","GP",I143="SELLING EXPENSES","Selling Expenses",I143="EMPLOYMENT EXPENSES","Selling Expenses",I143="EMPLOYMENT EXPENSES","Selling Expenses",I143="DIRECT EXPENSES","Selling Expenses",I143="INDIRECT EXPENSES","Selling Expenses"),P143="Parts",_xlfn.IFS(I143="SALES","GP",I143="SERVICE SALES","GP",I143="PARTS SALES","GP",I143="SERVICE COS","GP",I143="PARTS COS","GP",I143="SELLING EXPENSES","Selling Expenses",I143="EMPLOYMENT EXPENSES","Selling Expenses",I143="EMPLOYMENT EXPENSES","Selling Expenses",I143="DIRECT EXPENSES","Selling Expenses",I143="INDIRECT EXPENSES","Selling Expenses"))</f>
        <v>#N/A</v>
      </c>
    </row>
    <row r="144" spans="1:18" x14ac:dyDescent="0.2">
      <c r="A144" s="75">
        <v>2606</v>
      </c>
      <c r="B144" s="76" t="s">
        <v>400</v>
      </c>
      <c r="C144" s="76">
        <v>900</v>
      </c>
      <c r="D144" s="76" t="s">
        <v>214</v>
      </c>
      <c r="E144" s="76" t="s">
        <v>214</v>
      </c>
      <c r="F144" s="77">
        <v>-35925.199999999997</v>
      </c>
      <c r="G144" s="77">
        <v>157.37</v>
      </c>
      <c r="H144" s="77">
        <v>-35767.83</v>
      </c>
      <c r="I144" s="76" t="s">
        <v>376</v>
      </c>
      <c r="J144" s="77">
        <v>0</v>
      </c>
      <c r="K144" s="78">
        <v>0</v>
      </c>
      <c r="M144" s="79" t="str">
        <f t="shared" si="8"/>
        <v>900-2606</v>
      </c>
      <c r="N144" s="79" t="str">
        <f t="shared" si="6"/>
        <v/>
      </c>
      <c r="O144" s="79" t="str">
        <f t="shared" si="7"/>
        <v>900</v>
      </c>
      <c r="P144" s="79" t="str">
        <f>IFERROR(VLOOKUP($M144,Export!$P:$R,2,FALSE),"-")</f>
        <v>-</v>
      </c>
      <c r="Q144" s="79" t="str">
        <f>IFERROR(VLOOKUP($M144,Export!$P:$R,3,FALSE),"-")</f>
        <v>-</v>
      </c>
      <c r="R144" s="80" t="e" cm="1">
        <f t="array" ref="R144">_xlfn.IFS(P144="Service", _xlfn.IFS(I144="SALES","GP",I144="SERVICE SALES","GP",I144="PARTS SALES","GP",I144="SERVICE COS","GP",I144="PARTS COS","GP",I144="SELLING EXPENSES","Selling Expenses",I144="EMPLOYMENT EXPENSES","Selling Expenses",I144="EMPLOYMENT EXPENSES","Selling Expenses",I144="DIRECT EXPENSES","Selling Expenses",I144="INDIRECT EXPENSES","Selling Expenses"),P144="Parts",_xlfn.IFS(I144="SALES","GP",I144="SERVICE SALES","GP",I144="PARTS SALES","GP",I144="SERVICE COS","GP",I144="PARTS COS","GP",I144="SELLING EXPENSES","Selling Expenses",I144="EMPLOYMENT EXPENSES","Selling Expenses",I144="EMPLOYMENT EXPENSES","Selling Expenses",I144="DIRECT EXPENSES","Selling Expenses",I144="INDIRECT EXPENSES","Selling Expenses"))</f>
        <v>#N/A</v>
      </c>
    </row>
    <row r="145" spans="1:18" x14ac:dyDescent="0.2">
      <c r="A145" s="75">
        <v>2607</v>
      </c>
      <c r="B145" s="76" t="s">
        <v>401</v>
      </c>
      <c r="C145" s="76">
        <v>900</v>
      </c>
      <c r="D145" s="76" t="s">
        <v>214</v>
      </c>
      <c r="E145" s="76" t="s">
        <v>214</v>
      </c>
      <c r="F145" s="77">
        <v>-27125.87</v>
      </c>
      <c r="G145" s="77">
        <v>0</v>
      </c>
      <c r="H145" s="77">
        <v>-27125.87</v>
      </c>
      <c r="I145" s="76" t="s">
        <v>376</v>
      </c>
      <c r="J145" s="77">
        <v>0</v>
      </c>
      <c r="K145" s="78">
        <v>0</v>
      </c>
      <c r="M145" s="79" t="str">
        <f t="shared" si="8"/>
        <v>900-2607</v>
      </c>
      <c r="N145" s="79" t="str">
        <f t="shared" si="6"/>
        <v/>
      </c>
      <c r="O145" s="79" t="str">
        <f t="shared" si="7"/>
        <v>900</v>
      </c>
      <c r="P145" s="79" t="str">
        <f>IFERROR(VLOOKUP($M145,Export!$P:$R,2,FALSE),"-")</f>
        <v>-</v>
      </c>
      <c r="Q145" s="79" t="str">
        <f>IFERROR(VLOOKUP($M145,Export!$P:$R,3,FALSE),"-")</f>
        <v>-</v>
      </c>
      <c r="R145" s="80" t="e" cm="1">
        <f t="array" ref="R145">_xlfn.IFS(P145="Service", _xlfn.IFS(I145="SALES","GP",I145="SERVICE SALES","GP",I145="PARTS SALES","GP",I145="SERVICE COS","GP",I145="PARTS COS","GP",I145="SELLING EXPENSES","Selling Expenses",I145="EMPLOYMENT EXPENSES","Selling Expenses",I145="EMPLOYMENT EXPENSES","Selling Expenses",I145="DIRECT EXPENSES","Selling Expenses",I145="INDIRECT EXPENSES","Selling Expenses"),P145="Parts",_xlfn.IFS(I145="SALES","GP",I145="SERVICE SALES","GP",I145="PARTS SALES","GP",I145="SERVICE COS","GP",I145="PARTS COS","GP",I145="SELLING EXPENSES","Selling Expenses",I145="EMPLOYMENT EXPENSES","Selling Expenses",I145="EMPLOYMENT EXPENSES","Selling Expenses",I145="DIRECT EXPENSES","Selling Expenses",I145="INDIRECT EXPENSES","Selling Expenses"))</f>
        <v>#N/A</v>
      </c>
    </row>
    <row r="146" spans="1:18" x14ac:dyDescent="0.2">
      <c r="A146" s="75">
        <v>2608</v>
      </c>
      <c r="B146" s="76" t="s">
        <v>402</v>
      </c>
      <c r="C146" s="76">
        <v>900</v>
      </c>
      <c r="D146" s="76" t="s">
        <v>214</v>
      </c>
      <c r="E146" s="76" t="s">
        <v>214</v>
      </c>
      <c r="F146" s="77">
        <v>-654061.6</v>
      </c>
      <c r="G146" s="77">
        <v>351013.76</v>
      </c>
      <c r="H146" s="77">
        <v>-303047.84000000003</v>
      </c>
      <c r="I146" s="76" t="s">
        <v>376</v>
      </c>
      <c r="J146" s="77">
        <v>0</v>
      </c>
      <c r="K146" s="78">
        <v>0</v>
      </c>
      <c r="M146" s="79" t="str">
        <f t="shared" si="8"/>
        <v>900-2608</v>
      </c>
      <c r="N146" s="79" t="str">
        <f t="shared" si="6"/>
        <v/>
      </c>
      <c r="O146" s="79" t="str">
        <f t="shared" si="7"/>
        <v>900</v>
      </c>
      <c r="P146" s="79" t="str">
        <f>IFERROR(VLOOKUP($M146,Export!$P:$R,2,FALSE),"-")</f>
        <v>-</v>
      </c>
      <c r="Q146" s="79" t="str">
        <f>IFERROR(VLOOKUP($M146,Export!$P:$R,3,FALSE),"-")</f>
        <v>-</v>
      </c>
      <c r="R146" s="80" t="e" cm="1">
        <f t="array" ref="R146">_xlfn.IFS(P146="Service", _xlfn.IFS(I146="SALES","GP",I146="SERVICE SALES","GP",I146="PARTS SALES","GP",I146="SERVICE COS","GP",I146="PARTS COS","GP",I146="SELLING EXPENSES","Selling Expenses",I146="EMPLOYMENT EXPENSES","Selling Expenses",I146="EMPLOYMENT EXPENSES","Selling Expenses",I146="DIRECT EXPENSES","Selling Expenses",I146="INDIRECT EXPENSES","Selling Expenses"),P146="Parts",_xlfn.IFS(I146="SALES","GP",I146="SERVICE SALES","GP",I146="PARTS SALES","GP",I146="SERVICE COS","GP",I146="PARTS COS","GP",I146="SELLING EXPENSES","Selling Expenses",I146="EMPLOYMENT EXPENSES","Selling Expenses",I146="EMPLOYMENT EXPENSES","Selling Expenses",I146="DIRECT EXPENSES","Selling Expenses",I146="INDIRECT EXPENSES","Selling Expenses"))</f>
        <v>#N/A</v>
      </c>
    </row>
    <row r="147" spans="1:18" x14ac:dyDescent="0.2">
      <c r="A147" s="75">
        <v>2610</v>
      </c>
      <c r="B147" s="76" t="s">
        <v>403</v>
      </c>
      <c r="C147" s="76">
        <v>900</v>
      </c>
      <c r="D147" s="76" t="s">
        <v>214</v>
      </c>
      <c r="E147" s="76" t="s">
        <v>214</v>
      </c>
      <c r="F147" s="77">
        <v>19421.48</v>
      </c>
      <c r="G147" s="77">
        <v>0</v>
      </c>
      <c r="H147" s="77">
        <v>19421.48</v>
      </c>
      <c r="I147" s="76" t="s">
        <v>376</v>
      </c>
      <c r="J147" s="77">
        <v>0</v>
      </c>
      <c r="K147" s="78">
        <v>0</v>
      </c>
      <c r="M147" s="79" t="str">
        <f t="shared" si="8"/>
        <v>900-2610</v>
      </c>
      <c r="N147" s="79" t="str">
        <f t="shared" si="6"/>
        <v/>
      </c>
      <c r="O147" s="79" t="str">
        <f t="shared" si="7"/>
        <v>900</v>
      </c>
      <c r="P147" s="79" t="str">
        <f>IFERROR(VLOOKUP($M147,Export!$P:$R,2,FALSE),"-")</f>
        <v>-</v>
      </c>
      <c r="Q147" s="79" t="str">
        <f>IFERROR(VLOOKUP($M147,Export!$P:$R,3,FALSE),"-")</f>
        <v>-</v>
      </c>
      <c r="R147" s="80" t="e" cm="1">
        <f t="array" ref="R147">_xlfn.IFS(P147="Service", _xlfn.IFS(I147="SALES","GP",I147="SERVICE SALES","GP",I147="PARTS SALES","GP",I147="SERVICE COS","GP",I147="PARTS COS","GP",I147="SELLING EXPENSES","Selling Expenses",I147="EMPLOYMENT EXPENSES","Selling Expenses",I147="EMPLOYMENT EXPENSES","Selling Expenses",I147="DIRECT EXPENSES","Selling Expenses",I147="INDIRECT EXPENSES","Selling Expenses"),P147="Parts",_xlfn.IFS(I147="SALES","GP",I147="SERVICE SALES","GP",I147="PARTS SALES","GP",I147="SERVICE COS","GP",I147="PARTS COS","GP",I147="SELLING EXPENSES","Selling Expenses",I147="EMPLOYMENT EXPENSES","Selling Expenses",I147="EMPLOYMENT EXPENSES","Selling Expenses",I147="DIRECT EXPENSES","Selling Expenses",I147="INDIRECT EXPENSES","Selling Expenses"))</f>
        <v>#N/A</v>
      </c>
    </row>
    <row r="148" spans="1:18" x14ac:dyDescent="0.2">
      <c r="A148" s="75">
        <v>2621</v>
      </c>
      <c r="B148" s="76" t="s">
        <v>404</v>
      </c>
      <c r="C148" s="76">
        <v>900</v>
      </c>
      <c r="D148" s="76" t="s">
        <v>214</v>
      </c>
      <c r="E148" s="76" t="s">
        <v>214</v>
      </c>
      <c r="F148" s="77">
        <v>81022.36</v>
      </c>
      <c r="G148" s="77">
        <v>0</v>
      </c>
      <c r="H148" s="77">
        <v>81022.36</v>
      </c>
      <c r="I148" s="76" t="s">
        <v>376</v>
      </c>
      <c r="J148" s="77">
        <v>0</v>
      </c>
      <c r="K148" s="78">
        <v>0</v>
      </c>
      <c r="M148" s="79" t="str">
        <f t="shared" si="8"/>
        <v>900-2621</v>
      </c>
      <c r="N148" s="79" t="str">
        <f t="shared" si="6"/>
        <v/>
      </c>
      <c r="O148" s="79" t="str">
        <f t="shared" si="7"/>
        <v>900</v>
      </c>
      <c r="P148" s="79" t="str">
        <f>IFERROR(VLOOKUP($M148,Export!$P:$R,2,FALSE),"-")</f>
        <v>-</v>
      </c>
      <c r="Q148" s="79" t="str">
        <f>IFERROR(VLOOKUP($M148,Export!$P:$R,3,FALSE),"-")</f>
        <v>-</v>
      </c>
      <c r="R148" s="80" t="e" cm="1">
        <f t="array" ref="R148">_xlfn.IFS(P148="Service", _xlfn.IFS(I148="SALES","GP",I148="SERVICE SALES","GP",I148="PARTS SALES","GP",I148="SERVICE COS","GP",I148="PARTS COS","GP",I148="SELLING EXPENSES","Selling Expenses",I148="EMPLOYMENT EXPENSES","Selling Expenses",I148="EMPLOYMENT EXPENSES","Selling Expenses",I148="DIRECT EXPENSES","Selling Expenses",I148="INDIRECT EXPENSES","Selling Expenses"),P148="Parts",_xlfn.IFS(I148="SALES","GP",I148="SERVICE SALES","GP",I148="PARTS SALES","GP",I148="SERVICE COS","GP",I148="PARTS COS","GP",I148="SELLING EXPENSES","Selling Expenses",I148="EMPLOYMENT EXPENSES","Selling Expenses",I148="EMPLOYMENT EXPENSES","Selling Expenses",I148="DIRECT EXPENSES","Selling Expenses",I148="INDIRECT EXPENSES","Selling Expenses"))</f>
        <v>#N/A</v>
      </c>
    </row>
    <row r="149" spans="1:18" x14ac:dyDescent="0.2">
      <c r="A149" s="75">
        <v>2622</v>
      </c>
      <c r="B149" s="76" t="s">
        <v>405</v>
      </c>
      <c r="C149" s="76">
        <v>900</v>
      </c>
      <c r="D149" s="76" t="s">
        <v>214</v>
      </c>
      <c r="E149" s="76" t="s">
        <v>214</v>
      </c>
      <c r="F149" s="77">
        <v>-2185112.58</v>
      </c>
      <c r="G149" s="77">
        <v>0</v>
      </c>
      <c r="H149" s="77">
        <v>-2185112.58</v>
      </c>
      <c r="I149" s="76" t="s">
        <v>376</v>
      </c>
      <c r="J149" s="77">
        <v>0</v>
      </c>
      <c r="K149" s="78">
        <v>0</v>
      </c>
      <c r="M149" s="79" t="str">
        <f t="shared" si="8"/>
        <v>900-2622</v>
      </c>
      <c r="N149" s="79" t="str">
        <f t="shared" si="6"/>
        <v/>
      </c>
      <c r="O149" s="79" t="str">
        <f t="shared" si="7"/>
        <v>900</v>
      </c>
      <c r="P149" s="79" t="str">
        <f>IFERROR(VLOOKUP($M149,Export!$P:$R,2,FALSE),"-")</f>
        <v>-</v>
      </c>
      <c r="Q149" s="79" t="str">
        <f>IFERROR(VLOOKUP($M149,Export!$P:$R,3,FALSE),"-")</f>
        <v>-</v>
      </c>
      <c r="R149" s="80" t="e" cm="1">
        <f t="array" ref="R149">_xlfn.IFS(P149="Service", _xlfn.IFS(I149="SALES","GP",I149="SERVICE SALES","GP",I149="PARTS SALES","GP",I149="SERVICE COS","GP",I149="PARTS COS","GP",I149="SELLING EXPENSES","Selling Expenses",I149="EMPLOYMENT EXPENSES","Selling Expenses",I149="EMPLOYMENT EXPENSES","Selling Expenses",I149="DIRECT EXPENSES","Selling Expenses",I149="INDIRECT EXPENSES","Selling Expenses"),P149="Parts",_xlfn.IFS(I149="SALES","GP",I149="SERVICE SALES","GP",I149="PARTS SALES","GP",I149="SERVICE COS","GP",I149="PARTS COS","GP",I149="SELLING EXPENSES","Selling Expenses",I149="EMPLOYMENT EXPENSES","Selling Expenses",I149="EMPLOYMENT EXPENSES","Selling Expenses",I149="DIRECT EXPENSES","Selling Expenses",I149="INDIRECT EXPENSES","Selling Expenses"))</f>
        <v>#N/A</v>
      </c>
    </row>
    <row r="150" spans="1:18" x14ac:dyDescent="0.2">
      <c r="A150" s="75">
        <v>2623</v>
      </c>
      <c r="B150" s="76" t="s">
        <v>406</v>
      </c>
      <c r="C150" s="76">
        <v>900</v>
      </c>
      <c r="D150" s="76" t="s">
        <v>214</v>
      </c>
      <c r="E150" s="76" t="s">
        <v>214</v>
      </c>
      <c r="F150" s="77">
        <v>-117739.49</v>
      </c>
      <c r="G150" s="77">
        <v>0</v>
      </c>
      <c r="H150" s="77">
        <v>-117739.49</v>
      </c>
      <c r="I150" s="76" t="s">
        <v>376</v>
      </c>
      <c r="J150" s="77">
        <v>0</v>
      </c>
      <c r="K150" s="78">
        <v>0</v>
      </c>
      <c r="M150" s="79" t="str">
        <f t="shared" si="8"/>
        <v>900-2623</v>
      </c>
      <c r="N150" s="79" t="str">
        <f t="shared" si="6"/>
        <v/>
      </c>
      <c r="O150" s="79" t="str">
        <f t="shared" si="7"/>
        <v>900</v>
      </c>
      <c r="P150" s="79" t="str">
        <f>IFERROR(VLOOKUP($M150,Export!$P:$R,2,FALSE),"-")</f>
        <v>-</v>
      </c>
      <c r="Q150" s="79" t="str">
        <f>IFERROR(VLOOKUP($M150,Export!$P:$R,3,FALSE),"-")</f>
        <v>-</v>
      </c>
      <c r="R150" s="80" t="e" cm="1">
        <f t="array" ref="R150">_xlfn.IFS(P150="Service", _xlfn.IFS(I150="SALES","GP",I150="SERVICE SALES","GP",I150="PARTS SALES","GP",I150="SERVICE COS","GP",I150="PARTS COS","GP",I150="SELLING EXPENSES","Selling Expenses",I150="EMPLOYMENT EXPENSES","Selling Expenses",I150="EMPLOYMENT EXPENSES","Selling Expenses",I150="DIRECT EXPENSES","Selling Expenses",I150="INDIRECT EXPENSES","Selling Expenses"),P150="Parts",_xlfn.IFS(I150="SALES","GP",I150="SERVICE SALES","GP",I150="PARTS SALES","GP",I150="SERVICE COS","GP",I150="PARTS COS","GP",I150="SELLING EXPENSES","Selling Expenses",I150="EMPLOYMENT EXPENSES","Selling Expenses",I150="EMPLOYMENT EXPENSES","Selling Expenses",I150="DIRECT EXPENSES","Selling Expenses",I150="INDIRECT EXPENSES","Selling Expenses"))</f>
        <v>#N/A</v>
      </c>
    </row>
    <row r="151" spans="1:18" x14ac:dyDescent="0.2">
      <c r="A151" s="75">
        <v>2630</v>
      </c>
      <c r="B151" s="76" t="s">
        <v>407</v>
      </c>
      <c r="C151" s="76">
        <v>900</v>
      </c>
      <c r="D151" s="76" t="s">
        <v>214</v>
      </c>
      <c r="E151" s="76" t="s">
        <v>214</v>
      </c>
      <c r="F151" s="77">
        <v>-602613</v>
      </c>
      <c r="G151" s="77">
        <v>0</v>
      </c>
      <c r="H151" s="77">
        <v>-602613</v>
      </c>
      <c r="I151" s="76" t="s">
        <v>376</v>
      </c>
      <c r="J151" s="77">
        <v>0</v>
      </c>
      <c r="K151" s="78">
        <v>0</v>
      </c>
      <c r="M151" s="79" t="str">
        <f t="shared" si="8"/>
        <v>900-2630</v>
      </c>
      <c r="N151" s="79" t="str">
        <f t="shared" si="6"/>
        <v/>
      </c>
      <c r="O151" s="79" t="str">
        <f t="shared" si="7"/>
        <v>900</v>
      </c>
      <c r="P151" s="79" t="str">
        <f>IFERROR(VLOOKUP($M151,Export!$P:$R,2,FALSE),"-")</f>
        <v>-</v>
      </c>
      <c r="Q151" s="79" t="str">
        <f>IFERROR(VLOOKUP($M151,Export!$P:$R,3,FALSE),"-")</f>
        <v>-</v>
      </c>
      <c r="R151" s="80" t="e" cm="1">
        <f t="array" ref="R151">_xlfn.IFS(P151="Service", _xlfn.IFS(I151="SALES","GP",I151="SERVICE SALES","GP",I151="PARTS SALES","GP",I151="SERVICE COS","GP",I151="PARTS COS","GP",I151="SELLING EXPENSES","Selling Expenses",I151="EMPLOYMENT EXPENSES","Selling Expenses",I151="EMPLOYMENT EXPENSES","Selling Expenses",I151="DIRECT EXPENSES","Selling Expenses",I151="INDIRECT EXPENSES","Selling Expenses"),P151="Parts",_xlfn.IFS(I151="SALES","GP",I151="SERVICE SALES","GP",I151="PARTS SALES","GP",I151="SERVICE COS","GP",I151="PARTS COS","GP",I151="SELLING EXPENSES","Selling Expenses",I151="EMPLOYMENT EXPENSES","Selling Expenses",I151="EMPLOYMENT EXPENSES","Selling Expenses",I151="DIRECT EXPENSES","Selling Expenses",I151="INDIRECT EXPENSES","Selling Expenses"))</f>
        <v>#N/A</v>
      </c>
    </row>
    <row r="152" spans="1:18" x14ac:dyDescent="0.2">
      <c r="A152" s="75">
        <v>2731</v>
      </c>
      <c r="B152" s="76" t="s">
        <v>408</v>
      </c>
      <c r="C152" s="76">
        <v>900</v>
      </c>
      <c r="D152" s="76" t="s">
        <v>214</v>
      </c>
      <c r="E152" s="76" t="s">
        <v>214</v>
      </c>
      <c r="F152" s="77">
        <v>-1295767.3</v>
      </c>
      <c r="G152" s="77">
        <v>82708.45</v>
      </c>
      <c r="H152" s="77">
        <v>-1213058.8500000001</v>
      </c>
      <c r="I152" s="76" t="s">
        <v>409</v>
      </c>
      <c r="J152" s="77">
        <v>0</v>
      </c>
      <c r="K152" s="78">
        <v>0</v>
      </c>
      <c r="M152" s="79" t="str">
        <f t="shared" si="8"/>
        <v>900-2731</v>
      </c>
      <c r="N152" s="79" t="str">
        <f t="shared" si="6"/>
        <v/>
      </c>
      <c r="O152" s="79" t="str">
        <f t="shared" si="7"/>
        <v>900</v>
      </c>
      <c r="P152" s="79" t="str">
        <f>IFERROR(VLOOKUP($M152,Export!$P:$R,2,FALSE),"-")</f>
        <v>-</v>
      </c>
      <c r="Q152" s="79" t="str">
        <f>IFERROR(VLOOKUP($M152,Export!$P:$R,3,FALSE),"-")</f>
        <v>-</v>
      </c>
      <c r="R152" s="80" t="e" cm="1">
        <f t="array" ref="R152">_xlfn.IFS(P152="Service", _xlfn.IFS(I152="SALES","GP",I152="SERVICE SALES","GP",I152="PARTS SALES","GP",I152="SERVICE COS","GP",I152="PARTS COS","GP",I152="SELLING EXPENSES","Selling Expenses",I152="EMPLOYMENT EXPENSES","Selling Expenses",I152="EMPLOYMENT EXPENSES","Selling Expenses",I152="DIRECT EXPENSES","Selling Expenses",I152="INDIRECT EXPENSES","Selling Expenses"),P152="Parts",_xlfn.IFS(I152="SALES","GP",I152="SERVICE SALES","GP",I152="PARTS SALES","GP",I152="SERVICE COS","GP",I152="PARTS COS","GP",I152="SELLING EXPENSES","Selling Expenses",I152="EMPLOYMENT EXPENSES","Selling Expenses",I152="EMPLOYMENT EXPENSES","Selling Expenses",I152="DIRECT EXPENSES","Selling Expenses",I152="INDIRECT EXPENSES","Selling Expenses"))</f>
        <v>#N/A</v>
      </c>
    </row>
    <row r="153" spans="1:18" x14ac:dyDescent="0.2">
      <c r="A153" s="75">
        <v>1921</v>
      </c>
      <c r="B153" s="76" t="s">
        <v>410</v>
      </c>
      <c r="C153" s="76">
        <v>900</v>
      </c>
      <c r="D153" s="76" t="s">
        <v>214</v>
      </c>
      <c r="E153" s="76" t="s">
        <v>214</v>
      </c>
      <c r="F153" s="77">
        <v>305696.08</v>
      </c>
      <c r="G153" s="77">
        <v>0</v>
      </c>
      <c r="H153" s="77">
        <v>305696.08</v>
      </c>
      <c r="I153" s="76" t="s">
        <v>411</v>
      </c>
      <c r="J153" s="77">
        <v>0</v>
      </c>
      <c r="K153" s="78">
        <v>0</v>
      </c>
      <c r="M153" s="79" t="str">
        <f t="shared" si="8"/>
        <v>900-1921</v>
      </c>
      <c r="N153" s="79" t="str">
        <f t="shared" si="6"/>
        <v/>
      </c>
      <c r="O153" s="79" t="str">
        <f t="shared" si="7"/>
        <v>900</v>
      </c>
      <c r="P153" s="79" t="str">
        <f>IFERROR(VLOOKUP($M153,Export!$P:$R,2,FALSE),"-")</f>
        <v>-</v>
      </c>
      <c r="Q153" s="79" t="str">
        <f>IFERROR(VLOOKUP($M153,Export!$P:$R,3,FALSE),"-")</f>
        <v>-</v>
      </c>
      <c r="R153" s="80" t="e" cm="1">
        <f t="array" ref="R153">_xlfn.IFS(P153="Service", _xlfn.IFS(I153="SALES","GP",I153="SERVICE SALES","GP",I153="PARTS SALES","GP",I153="SERVICE COS","GP",I153="PARTS COS","GP",I153="SELLING EXPENSES","Selling Expenses",I153="EMPLOYMENT EXPENSES","Selling Expenses",I153="EMPLOYMENT EXPENSES","Selling Expenses",I153="DIRECT EXPENSES","Selling Expenses",I153="INDIRECT EXPENSES","Selling Expenses"),P153="Parts",_xlfn.IFS(I153="SALES","GP",I153="SERVICE SALES","GP",I153="PARTS SALES","GP",I153="SERVICE COS","GP",I153="PARTS COS","GP",I153="SELLING EXPENSES","Selling Expenses",I153="EMPLOYMENT EXPENSES","Selling Expenses",I153="EMPLOYMENT EXPENSES","Selling Expenses",I153="DIRECT EXPENSES","Selling Expenses",I153="INDIRECT EXPENSES","Selling Expenses"))</f>
        <v>#N/A</v>
      </c>
    </row>
    <row r="154" spans="1:18" x14ac:dyDescent="0.2">
      <c r="A154" s="75">
        <v>2595</v>
      </c>
      <c r="B154" s="76" t="s">
        <v>412</v>
      </c>
      <c r="C154" s="76">
        <v>900</v>
      </c>
      <c r="D154" s="76" t="s">
        <v>214</v>
      </c>
      <c r="E154" s="76" t="s">
        <v>214</v>
      </c>
      <c r="F154" s="77">
        <v>0</v>
      </c>
      <c r="G154" s="77">
        <v>1052.33</v>
      </c>
      <c r="H154" s="77">
        <v>1052.33</v>
      </c>
      <c r="I154" s="76" t="s">
        <v>411</v>
      </c>
      <c r="J154" s="77">
        <v>0</v>
      </c>
      <c r="K154" s="78">
        <v>0</v>
      </c>
      <c r="M154" s="79" t="str">
        <f t="shared" si="8"/>
        <v>900-2595</v>
      </c>
      <c r="N154" s="79" t="str">
        <f t="shared" si="6"/>
        <v/>
      </c>
      <c r="O154" s="79" t="str">
        <f t="shared" si="7"/>
        <v>900</v>
      </c>
      <c r="P154" s="79" t="str">
        <f>IFERROR(VLOOKUP($M154,Export!$P:$R,2,FALSE),"-")</f>
        <v>-</v>
      </c>
      <c r="Q154" s="79" t="str">
        <f>IFERROR(VLOOKUP($M154,Export!$P:$R,3,FALSE),"-")</f>
        <v>-</v>
      </c>
      <c r="R154" s="80" t="e" cm="1">
        <f t="array" ref="R154">_xlfn.IFS(P154="Service", _xlfn.IFS(I154="SALES","GP",I154="SERVICE SALES","GP",I154="PARTS SALES","GP",I154="SERVICE COS","GP",I154="PARTS COS","GP",I154="SELLING EXPENSES","Selling Expenses",I154="EMPLOYMENT EXPENSES","Selling Expenses",I154="EMPLOYMENT EXPENSES","Selling Expenses",I154="DIRECT EXPENSES","Selling Expenses",I154="INDIRECT EXPENSES","Selling Expenses"),P154="Parts",_xlfn.IFS(I154="SALES","GP",I154="SERVICE SALES","GP",I154="PARTS SALES","GP",I154="SERVICE COS","GP",I154="PARTS COS","GP",I154="SELLING EXPENSES","Selling Expenses",I154="EMPLOYMENT EXPENSES","Selling Expenses",I154="EMPLOYMENT EXPENSES","Selling Expenses",I154="DIRECT EXPENSES","Selling Expenses",I154="INDIRECT EXPENSES","Selling Expenses"))</f>
        <v>#N/A</v>
      </c>
    </row>
    <row r="155" spans="1:18" x14ac:dyDescent="0.2">
      <c r="A155" s="75">
        <v>2600</v>
      </c>
      <c r="B155" s="76" t="s">
        <v>413</v>
      </c>
      <c r="C155" s="76">
        <v>900</v>
      </c>
      <c r="D155" s="76" t="s">
        <v>214</v>
      </c>
      <c r="E155" s="76" t="s">
        <v>214</v>
      </c>
      <c r="F155" s="77">
        <v>-15572.54</v>
      </c>
      <c r="G155" s="77">
        <v>14625.39</v>
      </c>
      <c r="H155" s="77">
        <v>-947.15</v>
      </c>
      <c r="I155" s="76" t="s">
        <v>411</v>
      </c>
      <c r="J155" s="77">
        <v>0</v>
      </c>
      <c r="K155" s="78">
        <v>0</v>
      </c>
      <c r="M155" s="79" t="str">
        <f t="shared" si="8"/>
        <v>900-2600</v>
      </c>
      <c r="N155" s="79" t="str">
        <f t="shared" si="6"/>
        <v/>
      </c>
      <c r="O155" s="79" t="str">
        <f t="shared" si="7"/>
        <v>900</v>
      </c>
      <c r="P155" s="79" t="str">
        <f>IFERROR(VLOOKUP($M155,Export!$P:$R,2,FALSE),"-")</f>
        <v>-</v>
      </c>
      <c r="Q155" s="79" t="str">
        <f>IFERROR(VLOOKUP($M155,Export!$P:$R,3,FALSE),"-")</f>
        <v>-</v>
      </c>
      <c r="R155" s="80" t="e" cm="1">
        <f t="array" ref="R155">_xlfn.IFS(P155="Service", _xlfn.IFS(I155="SALES","GP",I155="SERVICE SALES","GP",I155="PARTS SALES","GP",I155="SERVICE COS","GP",I155="PARTS COS","GP",I155="SELLING EXPENSES","Selling Expenses",I155="EMPLOYMENT EXPENSES","Selling Expenses",I155="EMPLOYMENT EXPENSES","Selling Expenses",I155="DIRECT EXPENSES","Selling Expenses",I155="INDIRECT EXPENSES","Selling Expenses"),P155="Parts",_xlfn.IFS(I155="SALES","GP",I155="SERVICE SALES","GP",I155="PARTS SALES","GP",I155="SERVICE COS","GP",I155="PARTS COS","GP",I155="SELLING EXPENSES","Selling Expenses",I155="EMPLOYMENT EXPENSES","Selling Expenses",I155="EMPLOYMENT EXPENSES","Selling Expenses",I155="DIRECT EXPENSES","Selling Expenses",I155="INDIRECT EXPENSES","Selling Expenses"))</f>
        <v>#N/A</v>
      </c>
    </row>
    <row r="156" spans="1:18" x14ac:dyDescent="0.2">
      <c r="A156" s="75">
        <v>2602</v>
      </c>
      <c r="B156" s="76" t="s">
        <v>414</v>
      </c>
      <c r="C156" s="76">
        <v>900</v>
      </c>
      <c r="D156" s="76" t="s">
        <v>214</v>
      </c>
      <c r="E156" s="76" t="s">
        <v>214</v>
      </c>
      <c r="F156" s="77">
        <v>13134.05</v>
      </c>
      <c r="G156" s="77">
        <v>0</v>
      </c>
      <c r="H156" s="77">
        <v>13134.05</v>
      </c>
      <c r="I156" s="76" t="s">
        <v>411</v>
      </c>
      <c r="J156" s="77">
        <v>0</v>
      </c>
      <c r="K156" s="78">
        <v>0</v>
      </c>
      <c r="M156" s="79" t="str">
        <f t="shared" si="8"/>
        <v>900-2602</v>
      </c>
      <c r="N156" s="79" t="str">
        <f t="shared" si="6"/>
        <v/>
      </c>
      <c r="O156" s="79" t="str">
        <f t="shared" si="7"/>
        <v>900</v>
      </c>
      <c r="P156" s="79" t="str">
        <f>IFERROR(VLOOKUP($M156,Export!$P:$R,2,FALSE),"-")</f>
        <v>-</v>
      </c>
      <c r="Q156" s="79" t="str">
        <f>IFERROR(VLOOKUP($M156,Export!$P:$R,3,FALSE),"-")</f>
        <v>-</v>
      </c>
      <c r="R156" s="80" t="e" cm="1">
        <f t="array" ref="R156">_xlfn.IFS(P156="Service", _xlfn.IFS(I156="SALES","GP",I156="SERVICE SALES","GP",I156="PARTS SALES","GP",I156="SERVICE COS","GP",I156="PARTS COS","GP",I156="SELLING EXPENSES","Selling Expenses",I156="EMPLOYMENT EXPENSES","Selling Expenses",I156="EMPLOYMENT EXPENSES","Selling Expenses",I156="DIRECT EXPENSES","Selling Expenses",I156="INDIRECT EXPENSES","Selling Expenses"),P156="Parts",_xlfn.IFS(I156="SALES","GP",I156="SERVICE SALES","GP",I156="PARTS SALES","GP",I156="SERVICE COS","GP",I156="PARTS COS","GP",I156="SELLING EXPENSES","Selling Expenses",I156="EMPLOYMENT EXPENSES","Selling Expenses",I156="EMPLOYMENT EXPENSES","Selling Expenses",I156="DIRECT EXPENSES","Selling Expenses",I156="INDIRECT EXPENSES","Selling Expenses"))</f>
        <v>#N/A</v>
      </c>
    </row>
    <row r="157" spans="1:18" x14ac:dyDescent="0.2">
      <c r="A157" s="75">
        <v>2705</v>
      </c>
      <c r="B157" s="76" t="s">
        <v>415</v>
      </c>
      <c r="C157" s="76">
        <v>900</v>
      </c>
      <c r="D157" s="76" t="s">
        <v>214</v>
      </c>
      <c r="E157" s="76" t="s">
        <v>214</v>
      </c>
      <c r="F157" s="77">
        <v>-1544247.68</v>
      </c>
      <c r="G157" s="77">
        <v>-132756.54999999999</v>
      </c>
      <c r="H157" s="77">
        <v>-1677004.23</v>
      </c>
      <c r="I157" s="76" t="s">
        <v>416</v>
      </c>
      <c r="J157" s="77">
        <v>0</v>
      </c>
      <c r="K157" s="78">
        <v>0</v>
      </c>
      <c r="M157" s="79" t="str">
        <f t="shared" si="8"/>
        <v>900-2705</v>
      </c>
      <c r="N157" s="79" t="str">
        <f t="shared" si="6"/>
        <v/>
      </c>
      <c r="O157" s="79" t="str">
        <f t="shared" si="7"/>
        <v>900</v>
      </c>
      <c r="P157" s="79" t="str">
        <f>IFERROR(VLOOKUP($M157,Export!$P:$R,2,FALSE),"-")</f>
        <v>-</v>
      </c>
      <c r="Q157" s="79" t="str">
        <f>IFERROR(VLOOKUP($M157,Export!$P:$R,3,FALSE),"-")</f>
        <v>-</v>
      </c>
      <c r="R157" s="80" t="e" cm="1">
        <f t="array" ref="R157">_xlfn.IFS(P157="Service", _xlfn.IFS(I157="SALES","GP",I157="SERVICE SALES","GP",I157="PARTS SALES","GP",I157="SERVICE COS","GP",I157="PARTS COS","GP",I157="SELLING EXPENSES","Selling Expenses",I157="EMPLOYMENT EXPENSES","Selling Expenses",I157="EMPLOYMENT EXPENSES","Selling Expenses",I157="DIRECT EXPENSES","Selling Expenses",I157="INDIRECT EXPENSES","Selling Expenses"),P157="Parts",_xlfn.IFS(I157="SALES","GP",I157="SERVICE SALES","GP",I157="PARTS SALES","GP",I157="SERVICE COS","GP",I157="PARTS COS","GP",I157="SELLING EXPENSES","Selling Expenses",I157="EMPLOYMENT EXPENSES","Selling Expenses",I157="EMPLOYMENT EXPENSES","Selling Expenses",I157="DIRECT EXPENSES","Selling Expenses",I157="INDIRECT EXPENSES","Selling Expenses"))</f>
        <v>#N/A</v>
      </c>
    </row>
    <row r="158" spans="1:18" x14ac:dyDescent="0.2">
      <c r="A158" s="75">
        <v>2707</v>
      </c>
      <c r="B158" s="76" t="s">
        <v>417</v>
      </c>
      <c r="C158" s="76">
        <v>900</v>
      </c>
      <c r="D158" s="76" t="s">
        <v>214</v>
      </c>
      <c r="E158" s="76" t="s">
        <v>214</v>
      </c>
      <c r="F158" s="77">
        <v>529795.79</v>
      </c>
      <c r="G158" s="77">
        <v>10080.040000000001</v>
      </c>
      <c r="H158" s="77">
        <v>539875.82999999996</v>
      </c>
      <c r="I158" s="76" t="s">
        <v>416</v>
      </c>
      <c r="J158" s="77">
        <v>0</v>
      </c>
      <c r="K158" s="78">
        <v>0</v>
      </c>
      <c r="M158" s="79" t="str">
        <f t="shared" si="8"/>
        <v>900-2707</v>
      </c>
      <c r="N158" s="79" t="str">
        <f t="shared" si="6"/>
        <v/>
      </c>
      <c r="O158" s="79" t="str">
        <f t="shared" si="7"/>
        <v>900</v>
      </c>
      <c r="P158" s="79" t="str">
        <f>IFERROR(VLOOKUP($M158,Export!$P:$R,2,FALSE),"-")</f>
        <v>-</v>
      </c>
      <c r="Q158" s="79" t="str">
        <f>IFERROR(VLOOKUP($M158,Export!$P:$R,3,FALSE),"-")</f>
        <v>-</v>
      </c>
      <c r="R158" s="80" t="e" cm="1">
        <f t="array" ref="R158">_xlfn.IFS(P158="Service", _xlfn.IFS(I158="SALES","GP",I158="SERVICE SALES","GP",I158="PARTS SALES","GP",I158="SERVICE COS","GP",I158="PARTS COS","GP",I158="SELLING EXPENSES","Selling Expenses",I158="EMPLOYMENT EXPENSES","Selling Expenses",I158="EMPLOYMENT EXPENSES","Selling Expenses",I158="DIRECT EXPENSES","Selling Expenses",I158="INDIRECT EXPENSES","Selling Expenses"),P158="Parts",_xlfn.IFS(I158="SALES","GP",I158="SERVICE SALES","GP",I158="PARTS SALES","GP",I158="SERVICE COS","GP",I158="PARTS COS","GP",I158="SELLING EXPENSES","Selling Expenses",I158="EMPLOYMENT EXPENSES","Selling Expenses",I158="EMPLOYMENT EXPENSES","Selling Expenses",I158="DIRECT EXPENSES","Selling Expenses",I158="INDIRECT EXPENSES","Selling Expenses"))</f>
        <v>#N/A</v>
      </c>
    </row>
    <row r="159" spans="1:18" x14ac:dyDescent="0.2">
      <c r="A159" s="75">
        <v>2708</v>
      </c>
      <c r="B159" s="76" t="s">
        <v>418</v>
      </c>
      <c r="C159" s="76">
        <v>900</v>
      </c>
      <c r="D159" s="76" t="s">
        <v>214</v>
      </c>
      <c r="E159" s="76" t="s">
        <v>214</v>
      </c>
      <c r="F159" s="77">
        <v>-33825.67</v>
      </c>
      <c r="G159" s="77">
        <v>0</v>
      </c>
      <c r="H159" s="77">
        <v>-33825.67</v>
      </c>
      <c r="I159" s="76" t="s">
        <v>416</v>
      </c>
      <c r="J159" s="77">
        <v>0</v>
      </c>
      <c r="K159" s="78">
        <v>0</v>
      </c>
      <c r="M159" s="79" t="str">
        <f t="shared" si="8"/>
        <v>900-2708</v>
      </c>
      <c r="N159" s="79" t="str">
        <f t="shared" si="6"/>
        <v/>
      </c>
      <c r="O159" s="79" t="str">
        <f t="shared" si="7"/>
        <v>900</v>
      </c>
      <c r="P159" s="79" t="str">
        <f>IFERROR(VLOOKUP($M159,Export!$P:$R,2,FALSE),"-")</f>
        <v>-</v>
      </c>
      <c r="Q159" s="79" t="str">
        <f>IFERROR(VLOOKUP($M159,Export!$P:$R,3,FALSE),"-")</f>
        <v>-</v>
      </c>
      <c r="R159" s="80" t="e" cm="1">
        <f t="array" ref="R159">_xlfn.IFS(P159="Service", _xlfn.IFS(I159="SALES","GP",I159="SERVICE SALES","GP",I159="PARTS SALES","GP",I159="SERVICE COS","GP",I159="PARTS COS","GP",I159="SELLING EXPENSES","Selling Expenses",I159="EMPLOYMENT EXPENSES","Selling Expenses",I159="EMPLOYMENT EXPENSES","Selling Expenses",I159="DIRECT EXPENSES","Selling Expenses",I159="INDIRECT EXPENSES","Selling Expenses"),P159="Parts",_xlfn.IFS(I159="SALES","GP",I159="SERVICE SALES","GP",I159="PARTS SALES","GP",I159="SERVICE COS","GP",I159="PARTS COS","GP",I159="SELLING EXPENSES","Selling Expenses",I159="EMPLOYMENT EXPENSES","Selling Expenses",I159="EMPLOYMENT EXPENSES","Selling Expenses",I159="DIRECT EXPENSES","Selling Expenses",I159="INDIRECT EXPENSES","Selling Expenses"))</f>
        <v>#N/A</v>
      </c>
    </row>
    <row r="160" spans="1:18" x14ac:dyDescent="0.2">
      <c r="A160" s="75">
        <v>2709</v>
      </c>
      <c r="B160" s="76" t="s">
        <v>419</v>
      </c>
      <c r="C160" s="76">
        <v>900</v>
      </c>
      <c r="D160" s="76" t="s">
        <v>214</v>
      </c>
      <c r="E160" s="76" t="s">
        <v>214</v>
      </c>
      <c r="F160" s="77">
        <v>0.28000000000000003</v>
      </c>
      <c r="G160" s="77">
        <v>0</v>
      </c>
      <c r="H160" s="77">
        <v>0.28000000000000003</v>
      </c>
      <c r="I160" s="76" t="s">
        <v>416</v>
      </c>
      <c r="J160" s="77">
        <v>0</v>
      </c>
      <c r="K160" s="78">
        <v>0</v>
      </c>
      <c r="M160" s="79" t="str">
        <f t="shared" si="8"/>
        <v>900-2709</v>
      </c>
      <c r="N160" s="79" t="str">
        <f t="shared" si="6"/>
        <v/>
      </c>
      <c r="O160" s="79" t="str">
        <f t="shared" si="7"/>
        <v>900</v>
      </c>
      <c r="P160" s="79" t="str">
        <f>IFERROR(VLOOKUP($M160,Export!$P:$R,2,FALSE),"-")</f>
        <v>-</v>
      </c>
      <c r="Q160" s="79" t="str">
        <f>IFERROR(VLOOKUP($M160,Export!$P:$R,3,FALSE),"-")</f>
        <v>-</v>
      </c>
      <c r="R160" s="80" t="e" cm="1">
        <f t="array" ref="R160">_xlfn.IFS(P160="Service", _xlfn.IFS(I160="SALES","GP",I160="SERVICE SALES","GP",I160="PARTS SALES","GP",I160="SERVICE COS","GP",I160="PARTS COS","GP",I160="SELLING EXPENSES","Selling Expenses",I160="EMPLOYMENT EXPENSES","Selling Expenses",I160="EMPLOYMENT EXPENSES","Selling Expenses",I160="DIRECT EXPENSES","Selling Expenses",I160="INDIRECT EXPENSES","Selling Expenses"),P160="Parts",_xlfn.IFS(I160="SALES","GP",I160="SERVICE SALES","GP",I160="PARTS SALES","GP",I160="SERVICE COS","GP",I160="PARTS COS","GP",I160="SELLING EXPENSES","Selling Expenses",I160="EMPLOYMENT EXPENSES","Selling Expenses",I160="EMPLOYMENT EXPENSES","Selling Expenses",I160="DIRECT EXPENSES","Selling Expenses",I160="INDIRECT EXPENSES","Selling Expenses"))</f>
        <v>#N/A</v>
      </c>
    </row>
    <row r="161" spans="1:18" x14ac:dyDescent="0.2">
      <c r="A161" s="75">
        <v>2730</v>
      </c>
      <c r="B161" s="76" t="s">
        <v>420</v>
      </c>
      <c r="C161" s="76">
        <v>900</v>
      </c>
      <c r="D161" s="76" t="s">
        <v>214</v>
      </c>
      <c r="E161" s="76" t="s">
        <v>214</v>
      </c>
      <c r="F161" s="77">
        <v>-650162.11</v>
      </c>
      <c r="G161" s="77">
        <v>0</v>
      </c>
      <c r="H161" s="77">
        <v>-650162.11</v>
      </c>
      <c r="I161" s="76" t="s">
        <v>416</v>
      </c>
      <c r="J161" s="77">
        <v>0</v>
      </c>
      <c r="K161" s="78">
        <v>0</v>
      </c>
      <c r="M161" s="79" t="str">
        <f t="shared" si="8"/>
        <v>900-2730</v>
      </c>
      <c r="N161" s="79" t="str">
        <f t="shared" si="6"/>
        <v/>
      </c>
      <c r="O161" s="79" t="str">
        <f t="shared" si="7"/>
        <v>900</v>
      </c>
      <c r="P161" s="79" t="str">
        <f>IFERROR(VLOOKUP($M161,Export!$P:$R,2,FALSE),"-")</f>
        <v>-</v>
      </c>
      <c r="Q161" s="79" t="str">
        <f>IFERROR(VLOOKUP($M161,Export!$P:$R,3,FALSE),"-")</f>
        <v>-</v>
      </c>
      <c r="R161" s="80" t="e" cm="1">
        <f t="array" ref="R161">_xlfn.IFS(P161="Service", _xlfn.IFS(I161="SALES","GP",I161="SERVICE SALES","GP",I161="PARTS SALES","GP",I161="SERVICE COS","GP",I161="PARTS COS","GP",I161="SELLING EXPENSES","Selling Expenses",I161="EMPLOYMENT EXPENSES","Selling Expenses",I161="EMPLOYMENT EXPENSES","Selling Expenses",I161="DIRECT EXPENSES","Selling Expenses",I161="INDIRECT EXPENSES","Selling Expenses"),P161="Parts",_xlfn.IFS(I161="SALES","GP",I161="SERVICE SALES","GP",I161="PARTS SALES","GP",I161="SERVICE COS","GP",I161="PARTS COS","GP",I161="SELLING EXPENSES","Selling Expenses",I161="EMPLOYMENT EXPENSES","Selling Expenses",I161="EMPLOYMENT EXPENSES","Selling Expenses",I161="DIRECT EXPENSES","Selling Expenses",I161="INDIRECT EXPENSES","Selling Expenses"))</f>
        <v>#N/A</v>
      </c>
    </row>
    <row r="162" spans="1:18" x14ac:dyDescent="0.2">
      <c r="A162" s="75">
        <v>2860</v>
      </c>
      <c r="B162" s="76" t="s">
        <v>421</v>
      </c>
      <c r="C162" s="76">
        <v>900</v>
      </c>
      <c r="D162" s="76" t="s">
        <v>214</v>
      </c>
      <c r="E162" s="76" t="s">
        <v>214</v>
      </c>
      <c r="F162" s="77">
        <v>-1000000</v>
      </c>
      <c r="G162" s="77">
        <v>0</v>
      </c>
      <c r="H162" s="77">
        <v>-1000000</v>
      </c>
      <c r="I162" s="76" t="s">
        <v>422</v>
      </c>
      <c r="J162" s="77">
        <v>0</v>
      </c>
      <c r="K162" s="78">
        <v>0</v>
      </c>
      <c r="M162" s="79" t="str">
        <f t="shared" si="8"/>
        <v>900-2860</v>
      </c>
      <c r="N162" s="79" t="str">
        <f t="shared" si="6"/>
        <v/>
      </c>
      <c r="O162" s="79" t="str">
        <f t="shared" si="7"/>
        <v>900</v>
      </c>
      <c r="P162" s="79" t="str">
        <f>IFERROR(VLOOKUP($M162,Export!$P:$R,2,FALSE),"-")</f>
        <v>-</v>
      </c>
      <c r="Q162" s="79" t="str">
        <f>IFERROR(VLOOKUP($M162,Export!$P:$R,3,FALSE),"-")</f>
        <v>-</v>
      </c>
      <c r="R162" s="80" t="e" cm="1">
        <f t="array" ref="R162">_xlfn.IFS(P162="Service", _xlfn.IFS(I162="SALES","GP",I162="SERVICE SALES","GP",I162="PARTS SALES","GP",I162="SERVICE COS","GP",I162="PARTS COS","GP",I162="SELLING EXPENSES","Selling Expenses",I162="EMPLOYMENT EXPENSES","Selling Expenses",I162="EMPLOYMENT EXPENSES","Selling Expenses",I162="DIRECT EXPENSES","Selling Expenses",I162="INDIRECT EXPENSES","Selling Expenses"),P162="Parts",_xlfn.IFS(I162="SALES","GP",I162="SERVICE SALES","GP",I162="PARTS SALES","GP",I162="SERVICE COS","GP",I162="PARTS COS","GP",I162="SELLING EXPENSES","Selling Expenses",I162="EMPLOYMENT EXPENSES","Selling Expenses",I162="EMPLOYMENT EXPENSES","Selling Expenses",I162="DIRECT EXPENSES","Selling Expenses",I162="INDIRECT EXPENSES","Selling Expenses"))</f>
        <v>#N/A</v>
      </c>
    </row>
    <row r="163" spans="1:18" x14ac:dyDescent="0.2">
      <c r="A163" s="75">
        <v>2870</v>
      </c>
      <c r="B163" s="76" t="s">
        <v>423</v>
      </c>
      <c r="C163" s="76">
        <v>900</v>
      </c>
      <c r="D163" s="76" t="s">
        <v>214</v>
      </c>
      <c r="E163" s="76" t="s">
        <v>214</v>
      </c>
      <c r="F163" s="77">
        <v>-5626809.9299999997</v>
      </c>
      <c r="G163" s="77">
        <v>0</v>
      </c>
      <c r="H163" s="77">
        <v>-5626809.9299999997</v>
      </c>
      <c r="I163" s="76" t="s">
        <v>422</v>
      </c>
      <c r="J163" s="77">
        <v>0</v>
      </c>
      <c r="K163" s="78">
        <v>0</v>
      </c>
      <c r="M163" s="79" t="str">
        <f t="shared" si="8"/>
        <v>900-2870</v>
      </c>
      <c r="N163" s="79" t="str">
        <f t="shared" si="6"/>
        <v/>
      </c>
      <c r="O163" s="79" t="str">
        <f t="shared" si="7"/>
        <v>900</v>
      </c>
      <c r="P163" s="79" t="str">
        <f>IFERROR(VLOOKUP($M163,Export!$P:$R,2,FALSE),"-")</f>
        <v>-</v>
      </c>
      <c r="Q163" s="79" t="str">
        <f>IFERROR(VLOOKUP($M163,Export!$P:$R,3,FALSE),"-")</f>
        <v>-</v>
      </c>
      <c r="R163" s="80" t="e" cm="1">
        <f t="array" ref="R163">_xlfn.IFS(P163="Service", _xlfn.IFS(I163="SALES","GP",I163="SERVICE SALES","GP",I163="PARTS SALES","GP",I163="SERVICE COS","GP",I163="PARTS COS","GP",I163="SELLING EXPENSES","Selling Expenses",I163="EMPLOYMENT EXPENSES","Selling Expenses",I163="EMPLOYMENT EXPENSES","Selling Expenses",I163="DIRECT EXPENSES","Selling Expenses",I163="INDIRECT EXPENSES","Selling Expenses"),P163="Parts",_xlfn.IFS(I163="SALES","GP",I163="SERVICE SALES","GP",I163="PARTS SALES","GP",I163="SERVICE COS","GP",I163="PARTS COS","GP",I163="SELLING EXPENSES","Selling Expenses",I163="EMPLOYMENT EXPENSES","Selling Expenses",I163="EMPLOYMENT EXPENSES","Selling Expenses",I163="DIRECT EXPENSES","Selling Expenses",I163="INDIRECT EXPENSES","Selling Expenses"))</f>
        <v>#N/A</v>
      </c>
    </row>
    <row r="164" spans="1:18" x14ac:dyDescent="0.2">
      <c r="A164" s="75">
        <v>2900</v>
      </c>
      <c r="B164" s="76" t="s">
        <v>424</v>
      </c>
      <c r="C164" s="76">
        <v>900</v>
      </c>
      <c r="D164" s="76" t="s">
        <v>214</v>
      </c>
      <c r="E164" s="76" t="s">
        <v>214</v>
      </c>
      <c r="F164" s="77">
        <v>-1241551.7</v>
      </c>
      <c r="G164" s="77">
        <v>0</v>
      </c>
      <c r="H164" s="77">
        <v>-1241551.7</v>
      </c>
      <c r="I164" s="76" t="s">
        <v>422</v>
      </c>
      <c r="J164" s="77">
        <v>0</v>
      </c>
      <c r="K164" s="78">
        <v>0</v>
      </c>
      <c r="M164" s="79" t="str">
        <f t="shared" si="8"/>
        <v>900-2900</v>
      </c>
      <c r="N164" s="79" t="str">
        <f t="shared" si="6"/>
        <v/>
      </c>
      <c r="O164" s="79" t="str">
        <f t="shared" si="7"/>
        <v>900</v>
      </c>
      <c r="P164" s="79" t="str">
        <f>IFERROR(VLOOKUP($M164,Export!$P:$R,2,FALSE),"-")</f>
        <v>-</v>
      </c>
      <c r="Q164" s="79" t="str">
        <f>IFERROR(VLOOKUP($M164,Export!$P:$R,3,FALSE),"-")</f>
        <v>-</v>
      </c>
      <c r="R164" s="80" t="e" cm="1">
        <f t="array" ref="R164">_xlfn.IFS(P164="Service", _xlfn.IFS(I164="SALES","GP",I164="SERVICE SALES","GP",I164="PARTS SALES","GP",I164="SERVICE COS","GP",I164="PARTS COS","GP",I164="SELLING EXPENSES","Selling Expenses",I164="EMPLOYMENT EXPENSES","Selling Expenses",I164="EMPLOYMENT EXPENSES","Selling Expenses",I164="DIRECT EXPENSES","Selling Expenses",I164="INDIRECT EXPENSES","Selling Expenses"),P164="Parts",_xlfn.IFS(I164="SALES","GP",I164="SERVICE SALES","GP",I164="PARTS SALES","GP",I164="SERVICE COS","GP",I164="PARTS COS","GP",I164="SELLING EXPENSES","Selling Expenses",I164="EMPLOYMENT EXPENSES","Selling Expenses",I164="EMPLOYMENT EXPENSES","Selling Expenses",I164="DIRECT EXPENSES","Selling Expenses",I164="INDIRECT EXPENSES","Selling Expenses"))</f>
        <v>#N/A</v>
      </c>
    </row>
    <row r="165" spans="1:18" x14ac:dyDescent="0.2">
      <c r="A165" s="75">
        <v>2910</v>
      </c>
      <c r="B165" s="76" t="s">
        <v>425</v>
      </c>
      <c r="C165" s="76">
        <v>900</v>
      </c>
      <c r="D165" s="76" t="s">
        <v>214</v>
      </c>
      <c r="E165" s="76" t="s">
        <v>214</v>
      </c>
      <c r="F165" s="77">
        <v>9814.32</v>
      </c>
      <c r="G165" s="77">
        <v>0</v>
      </c>
      <c r="H165" s="77">
        <v>9814.32</v>
      </c>
      <c r="I165" s="76" t="s">
        <v>422</v>
      </c>
      <c r="J165" s="77">
        <v>0</v>
      </c>
      <c r="K165" s="78">
        <v>0</v>
      </c>
      <c r="M165" s="79" t="str">
        <f t="shared" si="8"/>
        <v>900-2910</v>
      </c>
      <c r="N165" s="79" t="str">
        <f t="shared" si="6"/>
        <v/>
      </c>
      <c r="O165" s="79" t="str">
        <f t="shared" si="7"/>
        <v>900</v>
      </c>
      <c r="P165" s="79" t="str">
        <f>IFERROR(VLOOKUP($M165,Export!$P:$R,2,FALSE),"-")</f>
        <v>-</v>
      </c>
      <c r="Q165" s="79" t="str">
        <f>IFERROR(VLOOKUP($M165,Export!$P:$R,3,FALSE),"-")</f>
        <v>-</v>
      </c>
      <c r="R165" s="80" t="e" cm="1">
        <f t="array" ref="R165">_xlfn.IFS(P165="Service", _xlfn.IFS(I165="SALES","GP",I165="SERVICE SALES","GP",I165="PARTS SALES","GP",I165="SERVICE COS","GP",I165="PARTS COS","GP",I165="SELLING EXPENSES","Selling Expenses",I165="EMPLOYMENT EXPENSES","Selling Expenses",I165="EMPLOYMENT EXPENSES","Selling Expenses",I165="DIRECT EXPENSES","Selling Expenses",I165="INDIRECT EXPENSES","Selling Expenses"),P165="Parts",_xlfn.IFS(I165="SALES","GP",I165="SERVICE SALES","GP",I165="PARTS SALES","GP",I165="SERVICE COS","GP",I165="PARTS COS","GP",I165="SELLING EXPENSES","Selling Expenses",I165="EMPLOYMENT EXPENSES","Selling Expenses",I165="EMPLOYMENT EXPENSES","Selling Expenses",I165="DIRECT EXPENSES","Selling Expenses",I165="INDIRECT EXPENSES","Selling Expenses"))</f>
        <v>#N/A</v>
      </c>
    </row>
    <row r="166" spans="1:18" x14ac:dyDescent="0.2">
      <c r="A166" s="75">
        <v>3142</v>
      </c>
      <c r="B166" s="76" t="s">
        <v>74</v>
      </c>
      <c r="C166" s="76">
        <v>100</v>
      </c>
      <c r="D166" s="76" t="s">
        <v>227</v>
      </c>
      <c r="E166" s="76" t="s">
        <v>426</v>
      </c>
      <c r="F166" s="77">
        <v>-1117155</v>
      </c>
      <c r="G166" s="77">
        <v>-130350</v>
      </c>
      <c r="H166" s="77">
        <v>-1247505</v>
      </c>
      <c r="I166" s="76" t="s">
        <v>427</v>
      </c>
      <c r="J166" s="77">
        <v>-128100</v>
      </c>
      <c r="K166" s="78">
        <v>-1013405</v>
      </c>
      <c r="M166" s="79" t="str">
        <f t="shared" si="8"/>
        <v>100-3142</v>
      </c>
      <c r="N166" s="79" t="str">
        <f t="shared" si="6"/>
        <v/>
      </c>
      <c r="O166" s="79" t="str">
        <f t="shared" si="7"/>
        <v>100</v>
      </c>
      <c r="P166" s="79" t="str">
        <f>IFERROR(VLOOKUP($M166,Export!$P:$R,2,FALSE),"-")</f>
        <v>New Vehicle</v>
      </c>
      <c r="Q166" s="79" t="str">
        <f>IFERROR(VLOOKUP($M166,Export!$P:$R,3,FALSE),"-")</f>
        <v>New VehicleRetail Gross p.u.</v>
      </c>
      <c r="R166" s="80" t="e" cm="1">
        <f t="array" ref="R166">_xlfn.IFS(P166="Service", _xlfn.IFS(I166="SALES","GP",I166="SERVICE SALES","GP",I166="PARTS SALES","GP",I166="SERVICE COS","GP",I166="PARTS COS","GP",I166="SELLING EXPENSES","Selling Expenses",I166="EMPLOYMENT EXPENSES","Selling Expenses",I166="EMPLOYMENT EXPENSES","Selling Expenses",I166="DIRECT EXPENSES","Selling Expenses",I166="INDIRECT EXPENSES","Selling Expenses"),P166="Parts",_xlfn.IFS(I166="SALES","GP",I166="SERVICE SALES","GP",I166="PARTS SALES","GP",I166="SERVICE COS","GP",I166="PARTS COS","GP",I166="SELLING EXPENSES","Selling Expenses",I166="EMPLOYMENT EXPENSES","Selling Expenses",I166="EMPLOYMENT EXPENSES","Selling Expenses",I166="DIRECT EXPENSES","Selling Expenses",I166="INDIRECT EXPENSES","Selling Expenses"))</f>
        <v>#N/A</v>
      </c>
    </row>
    <row r="167" spans="1:18" x14ac:dyDescent="0.2">
      <c r="A167" s="75">
        <v>3142</v>
      </c>
      <c r="B167" s="76" t="s">
        <v>74</v>
      </c>
      <c r="C167" s="76">
        <v>200</v>
      </c>
      <c r="D167" s="76" t="s">
        <v>428</v>
      </c>
      <c r="E167" s="76" t="s">
        <v>426</v>
      </c>
      <c r="F167" s="77">
        <v>-1017325</v>
      </c>
      <c r="G167" s="77">
        <v>-119260</v>
      </c>
      <c r="H167" s="77">
        <v>-1136585</v>
      </c>
      <c r="I167" s="76" t="s">
        <v>427</v>
      </c>
      <c r="J167" s="77">
        <v>-131460</v>
      </c>
      <c r="K167" s="78">
        <v>-948265</v>
      </c>
      <c r="M167" s="79" t="str">
        <f t="shared" si="8"/>
        <v>200-3142</v>
      </c>
      <c r="N167" s="79" t="str">
        <f t="shared" si="6"/>
        <v/>
      </c>
      <c r="O167" s="79" t="str">
        <f t="shared" si="7"/>
        <v>200</v>
      </c>
      <c r="P167" s="79" t="str">
        <f>IFERROR(VLOOKUP($M167,Export!$P:$R,2,FALSE),"-")</f>
        <v>New Vehicle</v>
      </c>
      <c r="Q167" s="79" t="str">
        <f>IFERROR(VLOOKUP($M167,Export!$P:$R,3,FALSE),"-")</f>
        <v>New VehicleRetail Gross p.u.</v>
      </c>
      <c r="R167" s="80" t="e" cm="1">
        <f t="array" ref="R167">_xlfn.IFS(P167="Service", _xlfn.IFS(I167="SALES","GP",I167="SERVICE SALES","GP",I167="PARTS SALES","GP",I167="SERVICE COS","GP",I167="PARTS COS","GP",I167="SELLING EXPENSES","Selling Expenses",I167="EMPLOYMENT EXPENSES","Selling Expenses",I167="EMPLOYMENT EXPENSES","Selling Expenses",I167="DIRECT EXPENSES","Selling Expenses",I167="INDIRECT EXPENSES","Selling Expenses"),P167="Parts",_xlfn.IFS(I167="SALES","GP",I167="SERVICE SALES","GP",I167="PARTS SALES","GP",I167="SERVICE COS","GP",I167="PARTS COS","GP",I167="SELLING EXPENSES","Selling Expenses",I167="EMPLOYMENT EXPENSES","Selling Expenses",I167="EMPLOYMENT EXPENSES","Selling Expenses",I167="DIRECT EXPENSES","Selling Expenses",I167="INDIRECT EXPENSES","Selling Expenses"))</f>
        <v>#N/A</v>
      </c>
    </row>
    <row r="168" spans="1:18" x14ac:dyDescent="0.2">
      <c r="A168" s="75">
        <v>3145</v>
      </c>
      <c r="B168" s="76" t="s">
        <v>429</v>
      </c>
      <c r="C168" s="76">
        <v>110</v>
      </c>
      <c r="D168" s="76" t="s">
        <v>430</v>
      </c>
      <c r="E168" s="76" t="s">
        <v>426</v>
      </c>
      <c r="F168" s="77">
        <v>-1538.46</v>
      </c>
      <c r="G168" s="77">
        <v>0</v>
      </c>
      <c r="H168" s="77">
        <v>-1538.46</v>
      </c>
      <c r="I168" s="76" t="s">
        <v>427</v>
      </c>
      <c r="J168" s="77">
        <v>0</v>
      </c>
      <c r="K168" s="78">
        <v>0</v>
      </c>
      <c r="M168" s="79" t="str">
        <f t="shared" si="8"/>
        <v>110-3145</v>
      </c>
      <c r="N168" s="79" t="str">
        <f t="shared" si="6"/>
        <v/>
      </c>
      <c r="O168" s="79" t="str">
        <f t="shared" si="7"/>
        <v>110</v>
      </c>
      <c r="P168" s="79" t="str">
        <f>IFERROR(VLOOKUP($M168,Export!$P:$R,2,FALSE),"-")</f>
        <v>New Vehicle</v>
      </c>
      <c r="Q168" s="79" t="str">
        <f>IFERROR(VLOOKUP($M168,Export!$P:$R,3,FALSE),"-")</f>
        <v>New VehicleOther Income per NV unit</v>
      </c>
      <c r="R168" s="80" t="e" cm="1">
        <f t="array" ref="R168">_xlfn.IFS(P168="Service", _xlfn.IFS(I168="SALES","GP",I168="SERVICE SALES","GP",I168="PARTS SALES","GP",I168="SERVICE COS","GP",I168="PARTS COS","GP",I168="SELLING EXPENSES","Selling Expenses",I168="EMPLOYMENT EXPENSES","Selling Expenses",I168="EMPLOYMENT EXPENSES","Selling Expenses",I168="DIRECT EXPENSES","Selling Expenses",I168="INDIRECT EXPENSES","Selling Expenses"),P168="Parts",_xlfn.IFS(I168="SALES","GP",I168="SERVICE SALES","GP",I168="PARTS SALES","GP",I168="SERVICE COS","GP",I168="PARTS COS","GP",I168="SELLING EXPENSES","Selling Expenses",I168="EMPLOYMENT EXPENSES","Selling Expenses",I168="EMPLOYMENT EXPENSES","Selling Expenses",I168="DIRECT EXPENSES","Selling Expenses",I168="INDIRECT EXPENSES","Selling Expenses"))</f>
        <v>#N/A</v>
      </c>
    </row>
    <row r="169" spans="1:18" x14ac:dyDescent="0.2">
      <c r="A169" s="75">
        <v>3145</v>
      </c>
      <c r="B169" s="76" t="s">
        <v>429</v>
      </c>
      <c r="C169" s="76">
        <v>112</v>
      </c>
      <c r="D169" s="76" t="s">
        <v>349</v>
      </c>
      <c r="E169" s="76" t="s">
        <v>426</v>
      </c>
      <c r="F169" s="77">
        <v>-1611.39</v>
      </c>
      <c r="G169" s="77">
        <v>0</v>
      </c>
      <c r="H169" s="77">
        <v>-1611.39</v>
      </c>
      <c r="I169" s="76" t="s">
        <v>427</v>
      </c>
      <c r="J169" s="77">
        <v>0</v>
      </c>
      <c r="K169" s="78">
        <v>0</v>
      </c>
      <c r="M169" s="79" t="str">
        <f t="shared" si="8"/>
        <v>112-3145</v>
      </c>
      <c r="N169" s="79" t="str">
        <f t="shared" si="6"/>
        <v/>
      </c>
      <c r="O169" s="79" t="str">
        <f t="shared" si="7"/>
        <v>112</v>
      </c>
      <c r="P169" s="79" t="str">
        <f>IFERROR(VLOOKUP($M169,Export!$P:$R,2,FALSE),"-")</f>
        <v>LEX New Vehicle</v>
      </c>
      <c r="Q169" s="79" t="str">
        <f>IFERROR(VLOOKUP($M169,Export!$P:$R,3,FALSE),"-")</f>
        <v>LEX New VehicleOther Income per NV unit</v>
      </c>
      <c r="R169" s="80" t="e" cm="1">
        <f t="array" ref="R169">_xlfn.IFS(P169="Service", _xlfn.IFS(I169="SALES","GP",I169="SERVICE SALES","GP",I169="PARTS SALES","GP",I169="SERVICE COS","GP",I169="PARTS COS","GP",I169="SELLING EXPENSES","Selling Expenses",I169="EMPLOYMENT EXPENSES","Selling Expenses",I169="EMPLOYMENT EXPENSES","Selling Expenses",I169="DIRECT EXPENSES","Selling Expenses",I169="INDIRECT EXPENSES","Selling Expenses"),P169="Parts",_xlfn.IFS(I169="SALES","GP",I169="SERVICE SALES","GP",I169="PARTS SALES","GP",I169="SERVICE COS","GP",I169="PARTS COS","GP",I169="SELLING EXPENSES","Selling Expenses",I169="EMPLOYMENT EXPENSES","Selling Expenses",I169="EMPLOYMENT EXPENSES","Selling Expenses",I169="DIRECT EXPENSES","Selling Expenses",I169="INDIRECT EXPENSES","Selling Expenses"))</f>
        <v>#N/A</v>
      </c>
    </row>
    <row r="170" spans="1:18" x14ac:dyDescent="0.2">
      <c r="A170" s="75">
        <v>3145</v>
      </c>
      <c r="B170" s="76" t="s">
        <v>429</v>
      </c>
      <c r="C170" s="76">
        <v>120</v>
      </c>
      <c r="D170" s="76" t="s">
        <v>431</v>
      </c>
      <c r="E170" s="76" t="s">
        <v>426</v>
      </c>
      <c r="F170" s="77">
        <v>-1538.46</v>
      </c>
      <c r="G170" s="77">
        <v>0</v>
      </c>
      <c r="H170" s="77">
        <v>-1538.46</v>
      </c>
      <c r="I170" s="76" t="s">
        <v>427</v>
      </c>
      <c r="J170" s="77">
        <v>0</v>
      </c>
      <c r="K170" s="78">
        <v>0</v>
      </c>
      <c r="M170" s="79" t="str">
        <f t="shared" si="8"/>
        <v>120-3145</v>
      </c>
      <c r="N170" s="79" t="str">
        <f t="shared" si="6"/>
        <v/>
      </c>
      <c r="O170" s="79" t="str">
        <f t="shared" si="7"/>
        <v>120</v>
      </c>
      <c r="P170" s="79" t="str">
        <f>IFERROR(VLOOKUP($M170,Export!$P:$R,2,FALSE),"-")</f>
        <v>Admin &amp; Other</v>
      </c>
      <c r="Q170" s="79" t="str">
        <f>IFERROR(VLOOKUP($M170,Export!$P:$R,3,FALSE),"-")</f>
        <v>Admin &amp; OtherOther Overheads as % of Total Gross Profit</v>
      </c>
      <c r="R170" s="80" t="e" cm="1">
        <f t="array" ref="R170">_xlfn.IFS(P170="Service", _xlfn.IFS(I170="SALES","GP",I170="SERVICE SALES","GP",I170="PARTS SALES","GP",I170="SERVICE COS","GP",I170="PARTS COS","GP",I170="SELLING EXPENSES","Selling Expenses",I170="EMPLOYMENT EXPENSES","Selling Expenses",I170="EMPLOYMENT EXPENSES","Selling Expenses",I170="DIRECT EXPENSES","Selling Expenses",I170="INDIRECT EXPENSES","Selling Expenses"),P170="Parts",_xlfn.IFS(I170="SALES","GP",I170="SERVICE SALES","GP",I170="PARTS SALES","GP",I170="SERVICE COS","GP",I170="PARTS COS","GP",I170="SELLING EXPENSES","Selling Expenses",I170="EMPLOYMENT EXPENSES","Selling Expenses",I170="EMPLOYMENT EXPENSES","Selling Expenses",I170="DIRECT EXPENSES","Selling Expenses",I170="INDIRECT EXPENSES","Selling Expenses"))</f>
        <v>#N/A</v>
      </c>
    </row>
    <row r="171" spans="1:18" x14ac:dyDescent="0.2">
      <c r="A171" s="75">
        <v>3145</v>
      </c>
      <c r="B171" s="76" t="s">
        <v>429</v>
      </c>
      <c r="C171" s="76">
        <v>130</v>
      </c>
      <c r="D171" s="76" t="s">
        <v>432</v>
      </c>
      <c r="E171" s="76" t="s">
        <v>426</v>
      </c>
      <c r="F171" s="77">
        <v>-1586.5</v>
      </c>
      <c r="G171" s="77">
        <v>-3417.04</v>
      </c>
      <c r="H171" s="77">
        <v>-5003.54</v>
      </c>
      <c r="I171" s="76" t="s">
        <v>427</v>
      </c>
      <c r="J171" s="77">
        <v>0</v>
      </c>
      <c r="K171" s="78">
        <v>0</v>
      </c>
      <c r="M171" s="79" t="str">
        <f t="shared" si="8"/>
        <v>130-3145</v>
      </c>
      <c r="N171" s="79" t="str">
        <f t="shared" si="6"/>
        <v/>
      </c>
      <c r="O171" s="79" t="str">
        <f t="shared" si="7"/>
        <v>130</v>
      </c>
      <c r="P171" s="79" t="str">
        <f>IFERROR(VLOOKUP($M171,Export!$P:$R,2,FALSE),"-")</f>
        <v>Admin &amp; Other</v>
      </c>
      <c r="Q171" s="79" t="str">
        <f>IFERROR(VLOOKUP($M171,Export!$P:$R,3,FALSE),"-")</f>
        <v>Admin &amp; OtherOther Overheads as % of Total Gross Profit</v>
      </c>
      <c r="R171" s="80" t="e" cm="1">
        <f t="array" ref="R171">_xlfn.IFS(P171="Service", _xlfn.IFS(I171="SALES","GP",I171="SERVICE SALES","GP",I171="PARTS SALES","GP",I171="SERVICE COS","GP",I171="PARTS COS","GP",I171="SELLING EXPENSES","Selling Expenses",I171="EMPLOYMENT EXPENSES","Selling Expenses",I171="EMPLOYMENT EXPENSES","Selling Expenses",I171="DIRECT EXPENSES","Selling Expenses",I171="INDIRECT EXPENSES","Selling Expenses"),P171="Parts",_xlfn.IFS(I171="SALES","GP",I171="SERVICE SALES","GP",I171="PARTS SALES","GP",I171="SERVICE COS","GP",I171="PARTS COS","GP",I171="SELLING EXPENSES","Selling Expenses",I171="EMPLOYMENT EXPENSES","Selling Expenses",I171="EMPLOYMENT EXPENSES","Selling Expenses",I171="DIRECT EXPENSES","Selling Expenses",I171="INDIRECT EXPENSES","Selling Expenses"))</f>
        <v>#N/A</v>
      </c>
    </row>
    <row r="172" spans="1:18" x14ac:dyDescent="0.2">
      <c r="A172" s="75">
        <v>3145</v>
      </c>
      <c r="B172" s="76" t="s">
        <v>429</v>
      </c>
      <c r="C172" s="76">
        <v>140</v>
      </c>
      <c r="D172" s="76" t="s">
        <v>433</v>
      </c>
      <c r="E172" s="76" t="s">
        <v>426</v>
      </c>
      <c r="F172" s="77">
        <v>-3504.58</v>
      </c>
      <c r="G172" s="77">
        <v>0</v>
      </c>
      <c r="H172" s="77">
        <v>-3504.58</v>
      </c>
      <c r="I172" s="76" t="s">
        <v>427</v>
      </c>
      <c r="J172" s="77">
        <v>0</v>
      </c>
      <c r="K172" s="78">
        <v>-1583.91</v>
      </c>
      <c r="M172" s="79" t="str">
        <f t="shared" si="8"/>
        <v>140-3145</v>
      </c>
      <c r="N172" s="79" t="str">
        <f t="shared" si="6"/>
        <v/>
      </c>
      <c r="O172" s="79" t="str">
        <f t="shared" si="7"/>
        <v>140</v>
      </c>
      <c r="P172" s="79" t="str">
        <f>IFERROR(VLOOKUP($M172,Export!$P:$R,2,FALSE),"-")</f>
        <v>Service</v>
      </c>
      <c r="Q172" s="79" t="str">
        <f>IFERROR(VLOOKUP($M172,Export!$P:$R,3,FALSE),"-")</f>
        <v>ServiceMiscellaneous % of Total Sales</v>
      </c>
      <c r="R172" s="80" t="str" cm="1">
        <f t="array" ref="R172">_xlfn.IFS(P172="Service", _xlfn.IFS(I172="SALES","GP",I172="SERVICE SALES","GP",I172="PARTS SALES","GP",I172="SERVICE COS","GP",I172="PARTS COS","GP",I172="SELLING EXPENSES","Selling Expenses",I172="EMPLOYMENT EXPENSES","Selling Expenses",I172="EMPLOYMENT EXPENSES","Selling Expenses",I172="DIRECT EXPENSES","Selling Expenses",I172="INDIRECT EXPENSES","Selling Expenses"),P172="Parts",_xlfn.IFS(I172="SALES","GP",I172="SERVICE SALES","GP",I172="PARTS SALES","GP",I172="SERVICE COS","GP",I172="PARTS COS","GP",I172="SELLING EXPENSES","Selling Expenses",I172="EMPLOYMENT EXPENSES","Selling Expenses",I172="EMPLOYMENT EXPENSES","Selling Expenses",I172="DIRECT EXPENSES","Selling Expenses",I172="INDIRECT EXPENSES","Selling Expenses"))</f>
        <v>GP</v>
      </c>
    </row>
    <row r="173" spans="1:18" x14ac:dyDescent="0.2">
      <c r="A173" s="75">
        <v>3145</v>
      </c>
      <c r="B173" s="76" t="s">
        <v>429</v>
      </c>
      <c r="C173" s="76">
        <v>160</v>
      </c>
      <c r="D173" s="76" t="s">
        <v>434</v>
      </c>
      <c r="E173" s="76" t="s">
        <v>426</v>
      </c>
      <c r="F173" s="77">
        <v>-2350.16</v>
      </c>
      <c r="G173" s="77">
        <v>0</v>
      </c>
      <c r="H173" s="77">
        <v>-2350.16</v>
      </c>
      <c r="I173" s="76" t="s">
        <v>427</v>
      </c>
      <c r="J173" s="77">
        <v>0</v>
      </c>
      <c r="K173" s="78">
        <v>0</v>
      </c>
      <c r="M173" s="79" t="str">
        <f t="shared" si="8"/>
        <v>160-3145</v>
      </c>
      <c r="N173" s="79" t="str">
        <f t="shared" si="6"/>
        <v/>
      </c>
      <c r="O173" s="79" t="str">
        <f t="shared" si="7"/>
        <v>160</v>
      </c>
      <c r="P173" s="79" t="str">
        <f>IFERROR(VLOOKUP($M173,Export!$P:$R,2,FALSE),"-")</f>
        <v>Admin &amp; Other</v>
      </c>
      <c r="Q173" s="79" t="str">
        <f>IFERROR(VLOOKUP($M173,Export!$P:$R,3,FALSE),"-")</f>
        <v>Admin &amp; OtherOther Overheads as % of Total Gross Profit</v>
      </c>
      <c r="R173" s="80" t="e" cm="1">
        <f t="array" ref="R173">_xlfn.IFS(P173="Service", _xlfn.IFS(I173="SALES","GP",I173="SERVICE SALES","GP",I173="PARTS SALES","GP",I173="SERVICE COS","GP",I173="PARTS COS","GP",I173="SELLING EXPENSES","Selling Expenses",I173="EMPLOYMENT EXPENSES","Selling Expenses",I173="EMPLOYMENT EXPENSES","Selling Expenses",I173="DIRECT EXPENSES","Selling Expenses",I173="INDIRECT EXPENSES","Selling Expenses"),P173="Parts",_xlfn.IFS(I173="SALES","GP",I173="SERVICE SALES","GP",I173="PARTS SALES","GP",I173="SERVICE COS","GP",I173="PARTS COS","GP",I173="SELLING EXPENSES","Selling Expenses",I173="EMPLOYMENT EXPENSES","Selling Expenses",I173="EMPLOYMENT EXPENSES","Selling Expenses",I173="DIRECT EXPENSES","Selling Expenses",I173="INDIRECT EXPENSES","Selling Expenses"))</f>
        <v>#N/A</v>
      </c>
    </row>
    <row r="174" spans="1:18" x14ac:dyDescent="0.2">
      <c r="A174" s="75">
        <v>3145</v>
      </c>
      <c r="B174" s="76" t="s">
        <v>429</v>
      </c>
      <c r="C174" s="76">
        <v>190</v>
      </c>
      <c r="D174" s="76" t="s">
        <v>435</v>
      </c>
      <c r="E174" s="76" t="s">
        <v>426</v>
      </c>
      <c r="F174" s="77">
        <v>-19058.72</v>
      </c>
      <c r="G174" s="77">
        <v>-2633.98</v>
      </c>
      <c r="H174" s="77">
        <v>-21692.7</v>
      </c>
      <c r="I174" s="76" t="s">
        <v>427</v>
      </c>
      <c r="J174" s="77">
        <v>0</v>
      </c>
      <c r="K174" s="78">
        <v>0</v>
      </c>
      <c r="M174" s="79" t="str">
        <f t="shared" si="8"/>
        <v>190-3145</v>
      </c>
      <c r="N174" s="79" t="str">
        <f t="shared" si="6"/>
        <v/>
      </c>
      <c r="O174" s="79" t="str">
        <f t="shared" si="7"/>
        <v>190</v>
      </c>
      <c r="P174" s="79" t="str">
        <f>IFERROR(VLOOKUP($M174,Export!$P:$R,2,FALSE),"-")</f>
        <v>Admin &amp; Other</v>
      </c>
      <c r="Q174" s="79" t="str">
        <f>IFERROR(VLOOKUP($M174,Export!$P:$R,3,FALSE),"-")</f>
        <v>Admin &amp; OtherOther Overheads as % of Total Gross Profit</v>
      </c>
      <c r="R174" s="80" t="e" cm="1">
        <f t="array" ref="R174">_xlfn.IFS(P174="Service", _xlfn.IFS(I174="SALES","GP",I174="SERVICE SALES","GP",I174="PARTS SALES","GP",I174="SERVICE COS","GP",I174="PARTS COS","GP",I174="SELLING EXPENSES","Selling Expenses",I174="EMPLOYMENT EXPENSES","Selling Expenses",I174="EMPLOYMENT EXPENSES","Selling Expenses",I174="DIRECT EXPENSES","Selling Expenses",I174="INDIRECT EXPENSES","Selling Expenses"),P174="Parts",_xlfn.IFS(I174="SALES","GP",I174="SERVICE SALES","GP",I174="PARTS SALES","GP",I174="SERVICE COS","GP",I174="PARTS COS","GP",I174="SELLING EXPENSES","Selling Expenses",I174="EMPLOYMENT EXPENSES","Selling Expenses",I174="EMPLOYMENT EXPENSES","Selling Expenses",I174="DIRECT EXPENSES","Selling Expenses",I174="INDIRECT EXPENSES","Selling Expenses"))</f>
        <v>#N/A</v>
      </c>
    </row>
    <row r="175" spans="1:18" x14ac:dyDescent="0.2">
      <c r="A175" s="75">
        <v>3145</v>
      </c>
      <c r="B175" s="76" t="s">
        <v>429</v>
      </c>
      <c r="C175" s="76">
        <v>210</v>
      </c>
      <c r="D175" s="76" t="s">
        <v>436</v>
      </c>
      <c r="E175" s="76" t="s">
        <v>426</v>
      </c>
      <c r="F175" s="77">
        <v>-1538.46</v>
      </c>
      <c r="G175" s="77">
        <v>0</v>
      </c>
      <c r="H175" s="77">
        <v>-1538.46</v>
      </c>
      <c r="I175" s="76" t="s">
        <v>427</v>
      </c>
      <c r="J175" s="77">
        <v>0</v>
      </c>
      <c r="K175" s="78">
        <v>0</v>
      </c>
      <c r="M175" s="79" t="str">
        <f t="shared" si="8"/>
        <v>210-3145</v>
      </c>
      <c r="N175" s="79" t="str">
        <f t="shared" si="6"/>
        <v/>
      </c>
      <c r="O175" s="79" t="str">
        <f t="shared" si="7"/>
        <v>210</v>
      </c>
      <c r="P175" s="79" t="str">
        <f>IFERROR(VLOOKUP($M175,Export!$P:$R,2,FALSE),"-")</f>
        <v>New Vehicle</v>
      </c>
      <c r="Q175" s="79" t="str">
        <f>IFERROR(VLOOKUP($M175,Export!$P:$R,3,FALSE),"-")</f>
        <v>New VehicleOther Income per NV unit</v>
      </c>
      <c r="R175" s="80" t="e" cm="1">
        <f t="array" ref="R175">_xlfn.IFS(P175="Service", _xlfn.IFS(I175="SALES","GP",I175="SERVICE SALES","GP",I175="PARTS SALES","GP",I175="SERVICE COS","GP",I175="PARTS COS","GP",I175="SELLING EXPENSES","Selling Expenses",I175="EMPLOYMENT EXPENSES","Selling Expenses",I175="EMPLOYMENT EXPENSES","Selling Expenses",I175="DIRECT EXPENSES","Selling Expenses",I175="INDIRECT EXPENSES","Selling Expenses"),P175="Parts",_xlfn.IFS(I175="SALES","GP",I175="SERVICE SALES","GP",I175="PARTS SALES","GP",I175="SERVICE COS","GP",I175="PARTS COS","GP",I175="SELLING EXPENSES","Selling Expenses",I175="EMPLOYMENT EXPENSES","Selling Expenses",I175="EMPLOYMENT EXPENSES","Selling Expenses",I175="DIRECT EXPENSES","Selling Expenses",I175="INDIRECT EXPENSES","Selling Expenses"))</f>
        <v>#N/A</v>
      </c>
    </row>
    <row r="176" spans="1:18" x14ac:dyDescent="0.2">
      <c r="A176" s="75">
        <v>3145</v>
      </c>
      <c r="B176" s="76" t="s">
        <v>429</v>
      </c>
      <c r="C176" s="76">
        <v>220</v>
      </c>
      <c r="D176" s="76" t="s">
        <v>437</v>
      </c>
      <c r="E176" s="76" t="s">
        <v>426</v>
      </c>
      <c r="F176" s="77">
        <v>-1538.46</v>
      </c>
      <c r="G176" s="77">
        <v>0</v>
      </c>
      <c r="H176" s="77">
        <v>-1538.46</v>
      </c>
      <c r="I176" s="76" t="s">
        <v>427</v>
      </c>
      <c r="J176" s="77">
        <v>0</v>
      </c>
      <c r="K176" s="78">
        <v>0</v>
      </c>
      <c r="M176" s="79" t="str">
        <f t="shared" si="8"/>
        <v>220-3145</v>
      </c>
      <c r="N176" s="79" t="str">
        <f t="shared" si="6"/>
        <v/>
      </c>
      <c r="O176" s="79" t="str">
        <f t="shared" si="7"/>
        <v>220</v>
      </c>
      <c r="P176" s="79" t="str">
        <f>IFERROR(VLOOKUP($M176,Export!$P:$R,2,FALSE),"-")</f>
        <v>Admin &amp; Other</v>
      </c>
      <c r="Q176" s="79" t="str">
        <f>IFERROR(VLOOKUP($M176,Export!$P:$R,3,FALSE),"-")</f>
        <v>Admin &amp; OtherOther Overheads as % of Total Gross Profit</v>
      </c>
      <c r="R176" s="80" t="e" cm="1">
        <f t="array" ref="R176">_xlfn.IFS(P176="Service", _xlfn.IFS(I176="SALES","GP",I176="SERVICE SALES","GP",I176="PARTS SALES","GP",I176="SERVICE COS","GP",I176="PARTS COS","GP",I176="SELLING EXPENSES","Selling Expenses",I176="EMPLOYMENT EXPENSES","Selling Expenses",I176="EMPLOYMENT EXPENSES","Selling Expenses",I176="DIRECT EXPENSES","Selling Expenses",I176="INDIRECT EXPENSES","Selling Expenses"),P176="Parts",_xlfn.IFS(I176="SALES","GP",I176="SERVICE SALES","GP",I176="PARTS SALES","GP",I176="SERVICE COS","GP",I176="PARTS COS","GP",I176="SELLING EXPENSES","Selling Expenses",I176="EMPLOYMENT EXPENSES","Selling Expenses",I176="EMPLOYMENT EXPENSES","Selling Expenses",I176="DIRECT EXPENSES","Selling Expenses",I176="INDIRECT EXPENSES","Selling Expenses"))</f>
        <v>#N/A</v>
      </c>
    </row>
    <row r="177" spans="1:18" x14ac:dyDescent="0.2">
      <c r="A177" s="75">
        <v>3145</v>
      </c>
      <c r="B177" s="76" t="s">
        <v>429</v>
      </c>
      <c r="C177" s="76">
        <v>230</v>
      </c>
      <c r="D177" s="76" t="s">
        <v>438</v>
      </c>
      <c r="E177" s="76" t="s">
        <v>426</v>
      </c>
      <c r="F177" s="77">
        <v>-1656.16</v>
      </c>
      <c r="G177" s="77">
        <v>0</v>
      </c>
      <c r="H177" s="77">
        <v>-1656.16</v>
      </c>
      <c r="I177" s="76" t="s">
        <v>427</v>
      </c>
      <c r="J177" s="77">
        <v>0</v>
      </c>
      <c r="K177" s="78">
        <v>0</v>
      </c>
      <c r="M177" s="79" t="str">
        <f t="shared" si="8"/>
        <v>230-3145</v>
      </c>
      <c r="N177" s="79" t="str">
        <f t="shared" si="6"/>
        <v/>
      </c>
      <c r="O177" s="79" t="str">
        <f t="shared" si="7"/>
        <v>230</v>
      </c>
      <c r="P177" s="79" t="str">
        <f>IFERROR(VLOOKUP($M177,Export!$P:$R,2,FALSE),"-")</f>
        <v>Admin &amp; Other</v>
      </c>
      <c r="Q177" s="79" t="str">
        <f>IFERROR(VLOOKUP($M177,Export!$P:$R,3,FALSE),"-")</f>
        <v>Admin &amp; OtherOther Overheads as % of Total Gross Profit</v>
      </c>
      <c r="R177" s="80" t="e" cm="1">
        <f t="array" ref="R177">_xlfn.IFS(P177="Service", _xlfn.IFS(I177="SALES","GP",I177="SERVICE SALES","GP",I177="PARTS SALES","GP",I177="SERVICE COS","GP",I177="PARTS COS","GP",I177="SELLING EXPENSES","Selling Expenses",I177="EMPLOYMENT EXPENSES","Selling Expenses",I177="EMPLOYMENT EXPENSES","Selling Expenses",I177="DIRECT EXPENSES","Selling Expenses",I177="INDIRECT EXPENSES","Selling Expenses"),P177="Parts",_xlfn.IFS(I177="SALES","GP",I177="SERVICE SALES","GP",I177="PARTS SALES","GP",I177="SERVICE COS","GP",I177="PARTS COS","GP",I177="SELLING EXPENSES","Selling Expenses",I177="EMPLOYMENT EXPENSES","Selling Expenses",I177="EMPLOYMENT EXPENSES","Selling Expenses",I177="DIRECT EXPENSES","Selling Expenses",I177="INDIRECT EXPENSES","Selling Expenses"))</f>
        <v>#N/A</v>
      </c>
    </row>
    <row r="178" spans="1:18" x14ac:dyDescent="0.2">
      <c r="A178" s="75">
        <v>3145</v>
      </c>
      <c r="B178" s="76" t="s">
        <v>429</v>
      </c>
      <c r="C178" s="76">
        <v>240</v>
      </c>
      <c r="D178" s="76" t="s">
        <v>439</v>
      </c>
      <c r="E178" s="76" t="s">
        <v>426</v>
      </c>
      <c r="F178" s="77">
        <v>-4380.84</v>
      </c>
      <c r="G178" s="77">
        <v>0</v>
      </c>
      <c r="H178" s="77">
        <v>-4380.84</v>
      </c>
      <c r="I178" s="76" t="s">
        <v>427</v>
      </c>
      <c r="J178" s="77">
        <v>0</v>
      </c>
      <c r="K178" s="78">
        <v>0</v>
      </c>
      <c r="M178" s="79" t="str">
        <f t="shared" si="8"/>
        <v>240-3145</v>
      </c>
      <c r="N178" s="79" t="str">
        <f t="shared" si="6"/>
        <v/>
      </c>
      <c r="O178" s="79" t="str">
        <f t="shared" si="7"/>
        <v>240</v>
      </c>
      <c r="P178" s="79" t="str">
        <f>IFERROR(VLOOKUP($M178,Export!$P:$R,2,FALSE),"-")</f>
        <v>Service</v>
      </c>
      <c r="Q178" s="79" t="str">
        <f>IFERROR(VLOOKUP($M178,Export!$P:$R,3,FALSE),"-")</f>
        <v>ServiceMiscellaneous % of Total Sales</v>
      </c>
      <c r="R178" s="80" t="str" cm="1">
        <f t="array" ref="R178">_xlfn.IFS(P178="Service", _xlfn.IFS(I178="SALES","GP",I178="SERVICE SALES","GP",I178="PARTS SALES","GP",I178="SERVICE COS","GP",I178="PARTS COS","GP",I178="SELLING EXPENSES","Selling Expenses",I178="EMPLOYMENT EXPENSES","Selling Expenses",I178="EMPLOYMENT EXPENSES","Selling Expenses",I178="DIRECT EXPENSES","Selling Expenses",I178="INDIRECT EXPENSES","Selling Expenses"),P178="Parts",_xlfn.IFS(I178="SALES","GP",I178="SERVICE SALES","GP",I178="PARTS SALES","GP",I178="SERVICE COS","GP",I178="PARTS COS","GP",I178="SELLING EXPENSES","Selling Expenses",I178="EMPLOYMENT EXPENSES","Selling Expenses",I178="EMPLOYMENT EXPENSES","Selling Expenses",I178="DIRECT EXPENSES","Selling Expenses",I178="INDIRECT EXPENSES","Selling Expenses"))</f>
        <v>GP</v>
      </c>
    </row>
    <row r="179" spans="1:18" x14ac:dyDescent="0.2">
      <c r="A179" s="75">
        <v>3145</v>
      </c>
      <c r="B179" s="76" t="s">
        <v>429</v>
      </c>
      <c r="C179" s="76">
        <v>340</v>
      </c>
      <c r="D179" s="76" t="s">
        <v>440</v>
      </c>
      <c r="E179" s="76" t="s">
        <v>426</v>
      </c>
      <c r="F179" s="77">
        <v>-1533.97</v>
      </c>
      <c r="G179" s="77">
        <v>0</v>
      </c>
      <c r="H179" s="77">
        <v>-1533.97</v>
      </c>
      <c r="I179" s="76" t="s">
        <v>427</v>
      </c>
      <c r="J179" s="77">
        <v>0</v>
      </c>
      <c r="K179" s="78">
        <v>-1102.6099999999999</v>
      </c>
      <c r="M179" s="79" t="str">
        <f t="shared" si="8"/>
        <v>340-3145</v>
      </c>
      <c r="N179" s="79" t="str">
        <f t="shared" si="6"/>
        <v/>
      </c>
      <c r="O179" s="79" t="str">
        <f t="shared" si="7"/>
        <v>340</v>
      </c>
      <c r="P179" s="79" t="str">
        <f>IFERROR(VLOOKUP($M179,Export!$P:$R,2,FALSE),"-")</f>
        <v>Service</v>
      </c>
      <c r="Q179" s="79" t="str">
        <f>IFERROR(VLOOKUP($M179,Export!$P:$R,3,FALSE),"-")</f>
        <v>ServiceMiscellaneous % of Total Sales</v>
      </c>
      <c r="R179" s="80" t="str" cm="1">
        <f t="array" ref="R179">_xlfn.IFS(P179="Service", _xlfn.IFS(I179="SALES","GP",I179="SERVICE SALES","GP",I179="PARTS SALES","GP",I179="SERVICE COS","GP",I179="PARTS COS","GP",I179="SELLING EXPENSES","Selling Expenses",I179="EMPLOYMENT EXPENSES","Selling Expenses",I179="EMPLOYMENT EXPENSES","Selling Expenses",I179="DIRECT EXPENSES","Selling Expenses",I179="INDIRECT EXPENSES","Selling Expenses"),P179="Parts",_xlfn.IFS(I179="SALES","GP",I179="SERVICE SALES","GP",I179="PARTS SALES","GP",I179="SERVICE COS","GP",I179="PARTS COS","GP",I179="SELLING EXPENSES","Selling Expenses",I179="EMPLOYMENT EXPENSES","Selling Expenses",I179="EMPLOYMENT EXPENSES","Selling Expenses",I179="DIRECT EXPENSES","Selling Expenses",I179="INDIRECT EXPENSES","Selling Expenses"))</f>
        <v>GP</v>
      </c>
    </row>
    <row r="180" spans="1:18" x14ac:dyDescent="0.2">
      <c r="A180" s="75">
        <v>3145</v>
      </c>
      <c r="B180" s="76" t="s">
        <v>429</v>
      </c>
      <c r="C180" s="76">
        <v>440</v>
      </c>
      <c r="D180" s="76" t="s">
        <v>441</v>
      </c>
      <c r="E180" s="76" t="s">
        <v>426</v>
      </c>
      <c r="F180" s="77">
        <v>-8089.32</v>
      </c>
      <c r="G180" s="77">
        <v>0</v>
      </c>
      <c r="H180" s="77">
        <v>-8089.32</v>
      </c>
      <c r="I180" s="76" t="s">
        <v>427</v>
      </c>
      <c r="J180" s="77">
        <v>0</v>
      </c>
      <c r="K180" s="78">
        <v>0</v>
      </c>
      <c r="M180" s="79" t="str">
        <f t="shared" si="8"/>
        <v>440-3145</v>
      </c>
      <c r="N180" s="79" t="str">
        <f t="shared" si="6"/>
        <v/>
      </c>
      <c r="O180" s="79" t="str">
        <f t="shared" si="7"/>
        <v>440</v>
      </c>
      <c r="P180" s="79" t="str">
        <f>IFERROR(VLOOKUP($M180,Export!$P:$R,2,FALSE),"-")</f>
        <v>Admin &amp; Other</v>
      </c>
      <c r="Q180" s="79" t="str">
        <f>IFERROR(VLOOKUP($M180,Export!$P:$R,3,FALSE),"-")</f>
        <v>Admin &amp; OtherOther Overheads as % of Total Gross Profit</v>
      </c>
      <c r="R180" s="80" t="e" cm="1">
        <f t="array" ref="R180">_xlfn.IFS(P180="Service", _xlfn.IFS(I180="SALES","GP",I180="SERVICE SALES","GP",I180="PARTS SALES","GP",I180="SERVICE COS","GP",I180="PARTS COS","GP",I180="SELLING EXPENSES","Selling Expenses",I180="EMPLOYMENT EXPENSES","Selling Expenses",I180="EMPLOYMENT EXPENSES","Selling Expenses",I180="DIRECT EXPENSES","Selling Expenses",I180="INDIRECT EXPENSES","Selling Expenses"),P180="Parts",_xlfn.IFS(I180="SALES","GP",I180="SERVICE SALES","GP",I180="PARTS SALES","GP",I180="SERVICE COS","GP",I180="PARTS COS","GP",I180="SELLING EXPENSES","Selling Expenses",I180="EMPLOYMENT EXPENSES","Selling Expenses",I180="EMPLOYMENT EXPENSES","Selling Expenses",I180="DIRECT EXPENSES","Selling Expenses",I180="INDIRECT EXPENSES","Selling Expenses"))</f>
        <v>#N/A</v>
      </c>
    </row>
    <row r="181" spans="1:18" x14ac:dyDescent="0.2">
      <c r="A181" s="75">
        <v>3145</v>
      </c>
      <c r="B181" s="76" t="s">
        <v>429</v>
      </c>
      <c r="C181" s="76">
        <v>935</v>
      </c>
      <c r="D181" s="76" t="s">
        <v>442</v>
      </c>
      <c r="E181" s="76" t="s">
        <v>426</v>
      </c>
      <c r="F181" s="77">
        <v>-1538.46</v>
      </c>
      <c r="G181" s="77">
        <v>0</v>
      </c>
      <c r="H181" s="77">
        <v>-1538.46</v>
      </c>
      <c r="I181" s="76" t="s">
        <v>427</v>
      </c>
      <c r="J181" s="77">
        <v>0</v>
      </c>
      <c r="K181" s="78">
        <v>0</v>
      </c>
      <c r="M181" s="79" t="str">
        <f t="shared" si="8"/>
        <v>935-3145</v>
      </c>
      <c r="N181" s="79" t="str">
        <f t="shared" si="6"/>
        <v/>
      </c>
      <c r="O181" s="79" t="str">
        <f t="shared" si="7"/>
        <v>935</v>
      </c>
      <c r="P181" s="79" t="str">
        <f>IFERROR(VLOOKUP($M181,Export!$P:$R,2,FALSE),"-")</f>
        <v>LEX Admin &amp; Other</v>
      </c>
      <c r="Q181" s="79" t="str">
        <f>IFERROR(VLOOKUP($M181,Export!$P:$R,3,FALSE),"-")</f>
        <v>LEX Admin &amp; OtherOther Overheads as % of Total Gross Profit</v>
      </c>
      <c r="R181" s="80" t="e" cm="1">
        <f t="array" ref="R181">_xlfn.IFS(P181="Service", _xlfn.IFS(I181="SALES","GP",I181="SERVICE SALES","GP",I181="PARTS SALES","GP",I181="SERVICE COS","GP",I181="PARTS COS","GP",I181="SELLING EXPENSES","Selling Expenses",I181="EMPLOYMENT EXPENSES","Selling Expenses",I181="EMPLOYMENT EXPENSES","Selling Expenses",I181="DIRECT EXPENSES","Selling Expenses",I181="INDIRECT EXPENSES","Selling Expenses"),P181="Parts",_xlfn.IFS(I181="SALES","GP",I181="SERVICE SALES","GP",I181="PARTS SALES","GP",I181="SERVICE COS","GP",I181="PARTS COS","GP",I181="SELLING EXPENSES","Selling Expenses",I181="EMPLOYMENT EXPENSES","Selling Expenses",I181="EMPLOYMENT EXPENSES","Selling Expenses",I181="DIRECT EXPENSES","Selling Expenses",I181="INDIRECT EXPENSES","Selling Expenses"))</f>
        <v>#N/A</v>
      </c>
    </row>
    <row r="182" spans="1:18" x14ac:dyDescent="0.2">
      <c r="A182" s="75">
        <v>3145</v>
      </c>
      <c r="B182" s="76" t="s">
        <v>429</v>
      </c>
      <c r="C182" s="76">
        <v>936</v>
      </c>
      <c r="D182" s="76" t="s">
        <v>443</v>
      </c>
      <c r="E182" s="76" t="s">
        <v>426</v>
      </c>
      <c r="F182" s="77">
        <v>-1538.46</v>
      </c>
      <c r="G182" s="77">
        <v>0</v>
      </c>
      <c r="H182" s="77">
        <v>-1538.46</v>
      </c>
      <c r="I182" s="76" t="s">
        <v>427</v>
      </c>
      <c r="J182" s="77">
        <v>0</v>
      </c>
      <c r="K182" s="78">
        <v>0</v>
      </c>
      <c r="M182" s="79" t="str">
        <f t="shared" si="8"/>
        <v>936-3145</v>
      </c>
      <c r="N182" s="79" t="str">
        <f t="shared" si="6"/>
        <v/>
      </c>
      <c r="O182" s="79" t="str">
        <f t="shared" si="7"/>
        <v>936</v>
      </c>
      <c r="P182" s="79" t="str">
        <f>IFERROR(VLOOKUP($M182,Export!$P:$R,2,FALSE),"-")</f>
        <v>LEX Admin &amp; Other</v>
      </c>
      <c r="Q182" s="79" t="str">
        <f>IFERROR(VLOOKUP($M182,Export!$P:$R,3,FALSE),"-")</f>
        <v>LEX Admin &amp; OtherOther Overheads as % of Total Gross Profit</v>
      </c>
      <c r="R182" s="80" t="e" cm="1">
        <f t="array" ref="R182">_xlfn.IFS(P182="Service", _xlfn.IFS(I182="SALES","GP",I182="SERVICE SALES","GP",I182="PARTS SALES","GP",I182="SERVICE COS","GP",I182="PARTS COS","GP",I182="SELLING EXPENSES","Selling Expenses",I182="EMPLOYMENT EXPENSES","Selling Expenses",I182="EMPLOYMENT EXPENSES","Selling Expenses",I182="DIRECT EXPENSES","Selling Expenses",I182="INDIRECT EXPENSES","Selling Expenses"),P182="Parts",_xlfn.IFS(I182="SALES","GP",I182="SERVICE SALES","GP",I182="PARTS SALES","GP",I182="SERVICE COS","GP",I182="PARTS COS","GP",I182="SELLING EXPENSES","Selling Expenses",I182="EMPLOYMENT EXPENSES","Selling Expenses",I182="EMPLOYMENT EXPENSES","Selling Expenses",I182="DIRECT EXPENSES","Selling Expenses",I182="INDIRECT EXPENSES","Selling Expenses"))</f>
        <v>#N/A</v>
      </c>
    </row>
    <row r="183" spans="1:18" x14ac:dyDescent="0.2">
      <c r="A183" s="75">
        <v>3147</v>
      </c>
      <c r="B183" s="76" t="s">
        <v>444</v>
      </c>
      <c r="C183" s="76">
        <v>100</v>
      </c>
      <c r="D183" s="76" t="s">
        <v>227</v>
      </c>
      <c r="E183" s="76" t="s">
        <v>426</v>
      </c>
      <c r="F183" s="77">
        <v>-586861.13</v>
      </c>
      <c r="G183" s="77">
        <v>0</v>
      </c>
      <c r="H183" s="77">
        <v>-586861.13</v>
      </c>
      <c r="I183" s="76" t="s">
        <v>427</v>
      </c>
      <c r="J183" s="77">
        <v>0</v>
      </c>
      <c r="K183" s="78">
        <v>0</v>
      </c>
      <c r="M183" s="79" t="str">
        <f t="shared" si="8"/>
        <v>100-3147</v>
      </c>
      <c r="N183" s="79" t="str">
        <f t="shared" si="6"/>
        <v/>
      </c>
      <c r="O183" s="79" t="str">
        <f t="shared" si="7"/>
        <v>100</v>
      </c>
      <c r="P183" s="79" t="str">
        <f>IFERROR(VLOOKUP($M183,Export!$P:$R,2,FALSE),"-")</f>
        <v>New Vehicle</v>
      </c>
      <c r="Q183" s="79" t="str">
        <f>IFERROR(VLOOKUP($M183,Export!$P:$R,3,FALSE),"-")</f>
        <v>New VehicleRetail Gross p.u.</v>
      </c>
      <c r="R183" s="80" t="e" cm="1">
        <f t="array" ref="R183">_xlfn.IFS(P183="Service", _xlfn.IFS(I183="SALES","GP",I183="SERVICE SALES","GP",I183="PARTS SALES","GP",I183="SERVICE COS","GP",I183="PARTS COS","GP",I183="SELLING EXPENSES","Selling Expenses",I183="EMPLOYMENT EXPENSES","Selling Expenses",I183="EMPLOYMENT EXPENSES","Selling Expenses",I183="DIRECT EXPENSES","Selling Expenses",I183="INDIRECT EXPENSES","Selling Expenses"),P183="Parts",_xlfn.IFS(I183="SALES","GP",I183="SERVICE SALES","GP",I183="PARTS SALES","GP",I183="SERVICE COS","GP",I183="PARTS COS","GP",I183="SELLING EXPENSES","Selling Expenses",I183="EMPLOYMENT EXPENSES","Selling Expenses",I183="EMPLOYMENT EXPENSES","Selling Expenses",I183="DIRECT EXPENSES","Selling Expenses",I183="INDIRECT EXPENSES","Selling Expenses"))</f>
        <v>#N/A</v>
      </c>
    </row>
    <row r="184" spans="1:18" x14ac:dyDescent="0.2">
      <c r="A184" s="75">
        <v>3147</v>
      </c>
      <c r="B184" s="76" t="s">
        <v>444</v>
      </c>
      <c r="C184" s="76">
        <v>200</v>
      </c>
      <c r="D184" s="76" t="s">
        <v>428</v>
      </c>
      <c r="E184" s="76" t="s">
        <v>426</v>
      </c>
      <c r="F184" s="77">
        <v>-967600</v>
      </c>
      <c r="G184" s="77">
        <v>0</v>
      </c>
      <c r="H184" s="77">
        <v>-967600</v>
      </c>
      <c r="I184" s="76" t="s">
        <v>427</v>
      </c>
      <c r="J184" s="77">
        <v>0</v>
      </c>
      <c r="K184" s="78">
        <v>0</v>
      </c>
      <c r="M184" s="79" t="str">
        <f t="shared" si="8"/>
        <v>200-3147</v>
      </c>
      <c r="N184" s="79" t="str">
        <f t="shared" si="6"/>
        <v/>
      </c>
      <c r="O184" s="79" t="str">
        <f t="shared" si="7"/>
        <v>200</v>
      </c>
      <c r="P184" s="79" t="str">
        <f>IFERROR(VLOOKUP($M184,Export!$P:$R,2,FALSE),"-")</f>
        <v>New Vehicle</v>
      </c>
      <c r="Q184" s="79" t="str">
        <f>IFERROR(VLOOKUP($M184,Export!$P:$R,3,FALSE),"-")</f>
        <v>New VehicleRetail Gross p.u.</v>
      </c>
      <c r="R184" s="80" t="e" cm="1">
        <f t="array" ref="R184">_xlfn.IFS(P184="Service", _xlfn.IFS(I184="SALES","GP",I184="SERVICE SALES","GP",I184="PARTS SALES","GP",I184="SERVICE COS","GP",I184="PARTS COS","GP",I184="SELLING EXPENSES","Selling Expenses",I184="EMPLOYMENT EXPENSES","Selling Expenses",I184="EMPLOYMENT EXPENSES","Selling Expenses",I184="DIRECT EXPENSES","Selling Expenses",I184="INDIRECT EXPENSES","Selling Expenses"),P184="Parts",_xlfn.IFS(I184="SALES","GP",I184="SERVICE SALES","GP",I184="PARTS SALES","GP",I184="SERVICE COS","GP",I184="PARTS COS","GP",I184="SELLING EXPENSES","Selling Expenses",I184="EMPLOYMENT EXPENSES","Selling Expenses",I184="EMPLOYMENT EXPENSES","Selling Expenses",I184="DIRECT EXPENSES","Selling Expenses",I184="INDIRECT EXPENSES","Selling Expenses"))</f>
        <v>#N/A</v>
      </c>
    </row>
    <row r="185" spans="1:18" x14ac:dyDescent="0.2">
      <c r="A185" s="75">
        <v>3148</v>
      </c>
      <c r="B185" s="76" t="s">
        <v>445</v>
      </c>
      <c r="C185" s="76">
        <v>100</v>
      </c>
      <c r="D185" s="76" t="s">
        <v>227</v>
      </c>
      <c r="E185" s="76" t="s">
        <v>426</v>
      </c>
      <c r="F185" s="77">
        <v>-236237.46</v>
      </c>
      <c r="G185" s="77">
        <v>-19793.93</v>
      </c>
      <c r="H185" s="77">
        <v>-256031.39</v>
      </c>
      <c r="I185" s="76" t="s">
        <v>427</v>
      </c>
      <c r="J185" s="77">
        <v>0</v>
      </c>
      <c r="K185" s="78">
        <v>-89754.08</v>
      </c>
      <c r="M185" s="79" t="str">
        <f t="shared" si="8"/>
        <v>100-3148</v>
      </c>
      <c r="N185" s="79" t="str">
        <f t="shared" si="6"/>
        <v/>
      </c>
      <c r="O185" s="79" t="str">
        <f t="shared" si="7"/>
        <v>100</v>
      </c>
      <c r="P185" s="79" t="str">
        <f>IFERROR(VLOOKUP($M185,Export!$P:$R,2,FALSE),"-")</f>
        <v>New Vehicle</v>
      </c>
      <c r="Q185" s="79" t="str">
        <f>IFERROR(VLOOKUP($M185,Export!$P:$R,3,FALSE),"-")</f>
        <v>New VehicleRetail Gross p.u.</v>
      </c>
      <c r="R185" s="80" t="e" cm="1">
        <f t="array" ref="R185">_xlfn.IFS(P185="Service", _xlfn.IFS(I185="SALES","GP",I185="SERVICE SALES","GP",I185="PARTS SALES","GP",I185="SERVICE COS","GP",I185="PARTS COS","GP",I185="SELLING EXPENSES","Selling Expenses",I185="EMPLOYMENT EXPENSES","Selling Expenses",I185="EMPLOYMENT EXPENSES","Selling Expenses",I185="DIRECT EXPENSES","Selling Expenses",I185="INDIRECT EXPENSES","Selling Expenses"),P185="Parts",_xlfn.IFS(I185="SALES","GP",I185="SERVICE SALES","GP",I185="PARTS SALES","GP",I185="SERVICE COS","GP",I185="PARTS COS","GP",I185="SELLING EXPENSES","Selling Expenses",I185="EMPLOYMENT EXPENSES","Selling Expenses",I185="EMPLOYMENT EXPENSES","Selling Expenses",I185="DIRECT EXPENSES","Selling Expenses",I185="INDIRECT EXPENSES","Selling Expenses"))</f>
        <v>#N/A</v>
      </c>
    </row>
    <row r="186" spans="1:18" x14ac:dyDescent="0.2">
      <c r="A186" s="75">
        <v>3148</v>
      </c>
      <c r="B186" s="76" t="s">
        <v>445</v>
      </c>
      <c r="C186" s="76">
        <v>200</v>
      </c>
      <c r="D186" s="76" t="s">
        <v>428</v>
      </c>
      <c r="E186" s="76" t="s">
        <v>426</v>
      </c>
      <c r="F186" s="77">
        <v>-236922.4</v>
      </c>
      <c r="G186" s="77">
        <v>-21356.31</v>
      </c>
      <c r="H186" s="77">
        <v>-258278.71</v>
      </c>
      <c r="I186" s="76" t="s">
        <v>427</v>
      </c>
      <c r="J186" s="77">
        <v>0</v>
      </c>
      <c r="K186" s="78">
        <v>-99880.58</v>
      </c>
      <c r="M186" s="79" t="str">
        <f t="shared" si="8"/>
        <v>200-3148</v>
      </c>
      <c r="N186" s="79" t="str">
        <f t="shared" si="6"/>
        <v/>
      </c>
      <c r="O186" s="79" t="str">
        <f t="shared" si="7"/>
        <v>200</v>
      </c>
      <c r="P186" s="79" t="str">
        <f>IFERROR(VLOOKUP($M186,Export!$P:$R,2,FALSE),"-")</f>
        <v>New Vehicle</v>
      </c>
      <c r="Q186" s="79" t="str">
        <f>IFERROR(VLOOKUP($M186,Export!$P:$R,3,FALSE),"-")</f>
        <v>New VehicleRetail Gross p.u.</v>
      </c>
      <c r="R186" s="80" t="e" cm="1">
        <f t="array" ref="R186">_xlfn.IFS(P186="Service", _xlfn.IFS(I186="SALES","GP",I186="SERVICE SALES","GP",I186="PARTS SALES","GP",I186="SERVICE COS","GP",I186="PARTS COS","GP",I186="SELLING EXPENSES","Selling Expenses",I186="EMPLOYMENT EXPENSES","Selling Expenses",I186="EMPLOYMENT EXPENSES","Selling Expenses",I186="DIRECT EXPENSES","Selling Expenses",I186="INDIRECT EXPENSES","Selling Expenses"),P186="Parts",_xlfn.IFS(I186="SALES","GP",I186="SERVICE SALES","GP",I186="PARTS SALES","GP",I186="SERVICE COS","GP",I186="PARTS COS","GP",I186="SELLING EXPENSES","Selling Expenses",I186="EMPLOYMENT EXPENSES","Selling Expenses",I186="EMPLOYMENT EXPENSES","Selling Expenses",I186="DIRECT EXPENSES","Selling Expenses",I186="INDIRECT EXPENSES","Selling Expenses"))</f>
        <v>#N/A</v>
      </c>
    </row>
    <row r="187" spans="1:18" x14ac:dyDescent="0.2">
      <c r="A187" s="75">
        <v>3149</v>
      </c>
      <c r="B187" s="76" t="s">
        <v>446</v>
      </c>
      <c r="C187" s="76">
        <v>100</v>
      </c>
      <c r="D187" s="76" t="s">
        <v>227</v>
      </c>
      <c r="E187" s="76" t="s">
        <v>426</v>
      </c>
      <c r="F187" s="77">
        <v>-231329.18</v>
      </c>
      <c r="G187" s="77">
        <v>-24802.36</v>
      </c>
      <c r="H187" s="77">
        <v>-256131.54</v>
      </c>
      <c r="I187" s="76" t="s">
        <v>427</v>
      </c>
      <c r="J187" s="77">
        <v>0</v>
      </c>
      <c r="K187" s="78">
        <v>-70352.7</v>
      </c>
      <c r="M187" s="79" t="str">
        <f t="shared" si="8"/>
        <v>100-3149</v>
      </c>
      <c r="N187" s="79" t="str">
        <f t="shared" si="6"/>
        <v/>
      </c>
      <c r="O187" s="79" t="str">
        <f t="shared" si="7"/>
        <v>100</v>
      </c>
      <c r="P187" s="79" t="str">
        <f>IFERROR(VLOOKUP($M187,Export!$P:$R,2,FALSE),"-")</f>
        <v>New Vehicle</v>
      </c>
      <c r="Q187" s="79" t="str">
        <f>IFERROR(VLOOKUP($M187,Export!$P:$R,3,FALSE),"-")</f>
        <v>New VehicleRetail Gross p.u.</v>
      </c>
      <c r="R187" s="80" t="e" cm="1">
        <f t="array" ref="R187">_xlfn.IFS(P187="Service", _xlfn.IFS(I187="SALES","GP",I187="SERVICE SALES","GP",I187="PARTS SALES","GP",I187="SERVICE COS","GP",I187="PARTS COS","GP",I187="SELLING EXPENSES","Selling Expenses",I187="EMPLOYMENT EXPENSES","Selling Expenses",I187="EMPLOYMENT EXPENSES","Selling Expenses",I187="DIRECT EXPENSES","Selling Expenses",I187="INDIRECT EXPENSES","Selling Expenses"),P187="Parts",_xlfn.IFS(I187="SALES","GP",I187="SERVICE SALES","GP",I187="PARTS SALES","GP",I187="SERVICE COS","GP",I187="PARTS COS","GP",I187="SELLING EXPENSES","Selling Expenses",I187="EMPLOYMENT EXPENSES","Selling Expenses",I187="EMPLOYMENT EXPENSES","Selling Expenses",I187="DIRECT EXPENSES","Selling Expenses",I187="INDIRECT EXPENSES","Selling Expenses"))</f>
        <v>#N/A</v>
      </c>
    </row>
    <row r="188" spans="1:18" x14ac:dyDescent="0.2">
      <c r="A188" s="75">
        <v>3149</v>
      </c>
      <c r="B188" s="76" t="s">
        <v>446</v>
      </c>
      <c r="C188" s="76">
        <v>200</v>
      </c>
      <c r="D188" s="76" t="s">
        <v>428</v>
      </c>
      <c r="E188" s="76" t="s">
        <v>426</v>
      </c>
      <c r="F188" s="77">
        <v>-222107.76</v>
      </c>
      <c r="G188" s="77">
        <v>-24118.799999999999</v>
      </c>
      <c r="H188" s="77">
        <v>-246226.56</v>
      </c>
      <c r="I188" s="76" t="s">
        <v>427</v>
      </c>
      <c r="J188" s="77">
        <v>0</v>
      </c>
      <c r="K188" s="78">
        <v>-78401.2</v>
      </c>
      <c r="M188" s="79" t="str">
        <f t="shared" si="8"/>
        <v>200-3149</v>
      </c>
      <c r="N188" s="79" t="str">
        <f t="shared" si="6"/>
        <v/>
      </c>
      <c r="O188" s="79" t="str">
        <f t="shared" si="7"/>
        <v>200</v>
      </c>
      <c r="P188" s="79" t="str">
        <f>IFERROR(VLOOKUP($M188,Export!$P:$R,2,FALSE),"-")</f>
        <v>New Vehicle</v>
      </c>
      <c r="Q188" s="79" t="str">
        <f>IFERROR(VLOOKUP($M188,Export!$P:$R,3,FALSE),"-")</f>
        <v>New VehicleRetail Gross p.u.</v>
      </c>
      <c r="R188" s="80" t="e" cm="1">
        <f t="array" ref="R188">_xlfn.IFS(P188="Service", _xlfn.IFS(I188="SALES","GP",I188="SERVICE SALES","GP",I188="PARTS SALES","GP",I188="SERVICE COS","GP",I188="PARTS COS","GP",I188="SELLING EXPENSES","Selling Expenses",I188="EMPLOYMENT EXPENSES","Selling Expenses",I188="EMPLOYMENT EXPENSES","Selling Expenses",I188="DIRECT EXPENSES","Selling Expenses",I188="INDIRECT EXPENSES","Selling Expenses"),P188="Parts",_xlfn.IFS(I188="SALES","GP",I188="SERVICE SALES","GP",I188="PARTS SALES","GP",I188="SERVICE COS","GP",I188="PARTS COS","GP",I188="SELLING EXPENSES","Selling Expenses",I188="EMPLOYMENT EXPENSES","Selling Expenses",I188="EMPLOYMENT EXPENSES","Selling Expenses",I188="DIRECT EXPENSES","Selling Expenses",I188="INDIRECT EXPENSES","Selling Expenses"))</f>
        <v>#N/A</v>
      </c>
    </row>
    <row r="189" spans="1:18" x14ac:dyDescent="0.2">
      <c r="A189" s="75">
        <v>3150</v>
      </c>
      <c r="B189" s="76" t="s">
        <v>447</v>
      </c>
      <c r="C189" s="76">
        <v>110</v>
      </c>
      <c r="D189" s="76" t="s">
        <v>430</v>
      </c>
      <c r="E189" s="76" t="s">
        <v>426</v>
      </c>
      <c r="F189" s="77">
        <v>0</v>
      </c>
      <c r="G189" s="77">
        <v>0</v>
      </c>
      <c r="H189" s="77">
        <v>0</v>
      </c>
      <c r="I189" s="76" t="s">
        <v>427</v>
      </c>
      <c r="J189" s="77">
        <v>-15000</v>
      </c>
      <c r="K189" s="78">
        <v>-193257.62</v>
      </c>
      <c r="M189" s="79" t="str">
        <f t="shared" si="8"/>
        <v>110-3150</v>
      </c>
      <c r="N189" s="79" t="str">
        <f t="shared" si="6"/>
        <v/>
      </c>
      <c r="O189" s="79" t="str">
        <f t="shared" si="7"/>
        <v>110</v>
      </c>
      <c r="P189" s="79" t="str">
        <f>IFERROR(VLOOKUP($M189,Export!$P:$R,2,FALSE),"-")</f>
        <v>New Vehicle</v>
      </c>
      <c r="Q189" s="79" t="str">
        <f>IFERROR(VLOOKUP($M189,Export!$P:$R,3,FALSE),"-")</f>
        <v>New VehicleIncentive p.u.</v>
      </c>
      <c r="R189" s="80" t="e" cm="1">
        <f t="array" ref="R189">_xlfn.IFS(P189="Service", _xlfn.IFS(I189="SALES","GP",I189="SERVICE SALES","GP",I189="PARTS SALES","GP",I189="SERVICE COS","GP",I189="PARTS COS","GP",I189="SELLING EXPENSES","Selling Expenses",I189="EMPLOYMENT EXPENSES","Selling Expenses",I189="EMPLOYMENT EXPENSES","Selling Expenses",I189="DIRECT EXPENSES","Selling Expenses",I189="INDIRECT EXPENSES","Selling Expenses"),P189="Parts",_xlfn.IFS(I189="SALES","GP",I189="SERVICE SALES","GP",I189="PARTS SALES","GP",I189="SERVICE COS","GP",I189="PARTS COS","GP",I189="SELLING EXPENSES","Selling Expenses",I189="EMPLOYMENT EXPENSES","Selling Expenses",I189="EMPLOYMENT EXPENSES","Selling Expenses",I189="DIRECT EXPENSES","Selling Expenses",I189="INDIRECT EXPENSES","Selling Expenses"))</f>
        <v>#N/A</v>
      </c>
    </row>
    <row r="190" spans="1:18" x14ac:dyDescent="0.2">
      <c r="A190" s="75">
        <v>3150</v>
      </c>
      <c r="B190" s="76" t="s">
        <v>447</v>
      </c>
      <c r="C190" s="76">
        <v>112</v>
      </c>
      <c r="D190" s="76" t="s">
        <v>349</v>
      </c>
      <c r="E190" s="76" t="s">
        <v>426</v>
      </c>
      <c r="F190" s="77">
        <v>0</v>
      </c>
      <c r="G190" s="77">
        <v>0</v>
      </c>
      <c r="H190" s="77">
        <v>0</v>
      </c>
      <c r="I190" s="76" t="s">
        <v>427</v>
      </c>
      <c r="J190" s="77">
        <v>-20000</v>
      </c>
      <c r="K190" s="78">
        <v>-196543.49</v>
      </c>
      <c r="M190" s="79" t="str">
        <f t="shared" si="8"/>
        <v>112-3150</v>
      </c>
      <c r="N190" s="79" t="str">
        <f t="shared" si="6"/>
        <v/>
      </c>
      <c r="O190" s="79" t="str">
        <f t="shared" si="7"/>
        <v>112</v>
      </c>
      <c r="P190" s="79" t="str">
        <f>IFERROR(VLOOKUP($M190,Export!$P:$R,2,FALSE),"-")</f>
        <v>LEX New Vehicle</v>
      </c>
      <c r="Q190" s="79" t="str">
        <f>IFERROR(VLOOKUP($M190,Export!$P:$R,3,FALSE),"-")</f>
        <v>LEX New VehicleIncentive p.u.</v>
      </c>
      <c r="R190" s="80" t="e" cm="1">
        <f t="array" ref="R190">_xlfn.IFS(P190="Service", _xlfn.IFS(I190="SALES","GP",I190="SERVICE SALES","GP",I190="PARTS SALES","GP",I190="SERVICE COS","GP",I190="PARTS COS","GP",I190="SELLING EXPENSES","Selling Expenses",I190="EMPLOYMENT EXPENSES","Selling Expenses",I190="EMPLOYMENT EXPENSES","Selling Expenses",I190="DIRECT EXPENSES","Selling Expenses",I190="INDIRECT EXPENSES","Selling Expenses"),P190="Parts",_xlfn.IFS(I190="SALES","GP",I190="SERVICE SALES","GP",I190="PARTS SALES","GP",I190="SERVICE COS","GP",I190="PARTS COS","GP",I190="SELLING EXPENSES","Selling Expenses",I190="EMPLOYMENT EXPENSES","Selling Expenses",I190="EMPLOYMENT EXPENSES","Selling Expenses",I190="DIRECT EXPENSES","Selling Expenses",I190="INDIRECT EXPENSES","Selling Expenses"))</f>
        <v>#N/A</v>
      </c>
    </row>
    <row r="191" spans="1:18" x14ac:dyDescent="0.2">
      <c r="A191" s="75">
        <v>3150</v>
      </c>
      <c r="B191" s="76" t="s">
        <v>447</v>
      </c>
      <c r="C191" s="76">
        <v>190</v>
      </c>
      <c r="D191" s="76" t="s">
        <v>435</v>
      </c>
      <c r="E191" s="76" t="s">
        <v>426</v>
      </c>
      <c r="F191" s="77">
        <v>-152527.78</v>
      </c>
      <c r="G191" s="77">
        <v>0</v>
      </c>
      <c r="H191" s="77">
        <v>-152527.78</v>
      </c>
      <c r="I191" s="76" t="s">
        <v>427</v>
      </c>
      <c r="J191" s="77">
        <v>0</v>
      </c>
      <c r="K191" s="78">
        <v>0</v>
      </c>
      <c r="M191" s="79" t="str">
        <f t="shared" si="8"/>
        <v>190-3150</v>
      </c>
      <c r="N191" s="79" t="str">
        <f t="shared" si="6"/>
        <v/>
      </c>
      <c r="O191" s="79" t="str">
        <f t="shared" si="7"/>
        <v>190</v>
      </c>
      <c r="P191" s="79" t="str">
        <f>IFERROR(VLOOKUP($M191,Export!$P:$R,2,FALSE),"-")</f>
        <v>F&amp;I</v>
      </c>
      <c r="Q191" s="79" t="str">
        <f>IFERROR(VLOOKUP($M191,Export!$P:$R,3,FALSE),"-")</f>
        <v>F&amp;IToyota Care Incentive per vehicle retailed</v>
      </c>
      <c r="R191" s="80" t="e" cm="1">
        <f t="array" ref="R191">_xlfn.IFS(P191="Service", _xlfn.IFS(I191="SALES","GP",I191="SERVICE SALES","GP",I191="PARTS SALES","GP",I191="SERVICE COS","GP",I191="PARTS COS","GP",I191="SELLING EXPENSES","Selling Expenses",I191="EMPLOYMENT EXPENSES","Selling Expenses",I191="EMPLOYMENT EXPENSES","Selling Expenses",I191="DIRECT EXPENSES","Selling Expenses",I191="INDIRECT EXPENSES","Selling Expenses"),P191="Parts",_xlfn.IFS(I191="SALES","GP",I191="SERVICE SALES","GP",I191="PARTS SALES","GP",I191="SERVICE COS","GP",I191="PARTS COS","GP",I191="SELLING EXPENSES","Selling Expenses",I191="EMPLOYMENT EXPENSES","Selling Expenses",I191="EMPLOYMENT EXPENSES","Selling Expenses",I191="DIRECT EXPENSES","Selling Expenses",I191="INDIRECT EXPENSES","Selling Expenses"))</f>
        <v>#N/A</v>
      </c>
    </row>
    <row r="192" spans="1:18" x14ac:dyDescent="0.2">
      <c r="A192" s="75">
        <v>3150</v>
      </c>
      <c r="B192" s="76" t="s">
        <v>447</v>
      </c>
      <c r="C192" s="76">
        <v>210</v>
      </c>
      <c r="D192" s="76" t="s">
        <v>436</v>
      </c>
      <c r="E192" s="76" t="s">
        <v>426</v>
      </c>
      <c r="F192" s="77">
        <v>0</v>
      </c>
      <c r="G192" s="77">
        <v>0</v>
      </c>
      <c r="H192" s="77">
        <v>0</v>
      </c>
      <c r="I192" s="76" t="s">
        <v>427</v>
      </c>
      <c r="J192" s="77">
        <v>-15000</v>
      </c>
      <c r="K192" s="78">
        <v>-165538.47</v>
      </c>
      <c r="M192" s="79" t="str">
        <f t="shared" si="8"/>
        <v>210-3150</v>
      </c>
      <c r="N192" s="79" t="str">
        <f t="shared" si="6"/>
        <v/>
      </c>
      <c r="O192" s="79" t="str">
        <f t="shared" si="7"/>
        <v>210</v>
      </c>
      <c r="P192" s="79" t="str">
        <f>IFERROR(VLOOKUP($M192,Export!$P:$R,2,FALSE),"-")</f>
        <v>New Vehicle</v>
      </c>
      <c r="Q192" s="79" t="str">
        <f>IFERROR(VLOOKUP($M192,Export!$P:$R,3,FALSE),"-")</f>
        <v>New VehicleIncentive p.u.</v>
      </c>
      <c r="R192" s="80" t="e" cm="1">
        <f t="array" ref="R192">_xlfn.IFS(P192="Service", _xlfn.IFS(I192="SALES","GP",I192="SERVICE SALES","GP",I192="PARTS SALES","GP",I192="SERVICE COS","GP",I192="PARTS COS","GP",I192="SELLING EXPENSES","Selling Expenses",I192="EMPLOYMENT EXPENSES","Selling Expenses",I192="EMPLOYMENT EXPENSES","Selling Expenses",I192="DIRECT EXPENSES","Selling Expenses",I192="INDIRECT EXPENSES","Selling Expenses"),P192="Parts",_xlfn.IFS(I192="SALES","GP",I192="SERVICE SALES","GP",I192="PARTS SALES","GP",I192="SERVICE COS","GP",I192="PARTS COS","GP",I192="SELLING EXPENSES","Selling Expenses",I192="EMPLOYMENT EXPENSES","Selling Expenses",I192="EMPLOYMENT EXPENSES","Selling Expenses",I192="DIRECT EXPENSES","Selling Expenses",I192="INDIRECT EXPENSES","Selling Expenses"))</f>
        <v>#N/A</v>
      </c>
    </row>
    <row r="193" spans="1:18" x14ac:dyDescent="0.2">
      <c r="A193" s="75">
        <v>3246</v>
      </c>
      <c r="B193" s="76" t="s">
        <v>448</v>
      </c>
      <c r="C193" s="76">
        <v>121</v>
      </c>
      <c r="D193" s="76" t="s">
        <v>449</v>
      </c>
      <c r="E193" s="76" t="s">
        <v>426</v>
      </c>
      <c r="F193" s="77">
        <v>0</v>
      </c>
      <c r="G193" s="77">
        <v>0</v>
      </c>
      <c r="H193" s="77">
        <v>0</v>
      </c>
      <c r="I193" s="76" t="s">
        <v>427</v>
      </c>
      <c r="J193" s="77">
        <v>-400</v>
      </c>
      <c r="K193" s="78">
        <v>-4486.88</v>
      </c>
      <c r="M193" s="79" t="str">
        <f t="shared" si="8"/>
        <v>121-3246</v>
      </c>
      <c r="N193" s="79" t="str">
        <f t="shared" si="6"/>
        <v/>
      </c>
      <c r="O193" s="79" t="str">
        <f t="shared" si="7"/>
        <v>121</v>
      </c>
      <c r="P193" s="79" t="str">
        <f>IFERROR(VLOOKUP($M193,Export!$P:$R,2,FALSE),"-")</f>
        <v>Used Vehicle</v>
      </c>
      <c r="Q193" s="79" t="str">
        <f>IFERROR(VLOOKUP($M193,Export!$P:$R,3,FALSE),"-")</f>
        <v>Used VehicleOT/SIG Class total gross p.u. incl. incentives</v>
      </c>
      <c r="R193" s="80" t="e" cm="1">
        <f t="array" ref="R193">_xlfn.IFS(P193="Service", _xlfn.IFS(I193="SALES","GP",I193="SERVICE SALES","GP",I193="PARTS SALES","GP",I193="SERVICE COS","GP",I193="PARTS COS","GP",I193="SELLING EXPENSES","Selling Expenses",I193="EMPLOYMENT EXPENSES","Selling Expenses",I193="EMPLOYMENT EXPENSES","Selling Expenses",I193="DIRECT EXPENSES","Selling Expenses",I193="INDIRECT EXPENSES","Selling Expenses"),P193="Parts",_xlfn.IFS(I193="SALES","GP",I193="SERVICE SALES","GP",I193="PARTS SALES","GP",I193="SERVICE COS","GP",I193="PARTS COS","GP",I193="SELLING EXPENSES","Selling Expenses",I193="EMPLOYMENT EXPENSES","Selling Expenses",I193="EMPLOYMENT EXPENSES","Selling Expenses",I193="DIRECT EXPENSES","Selling Expenses",I193="INDIRECT EXPENSES","Selling Expenses"))</f>
        <v>#N/A</v>
      </c>
    </row>
    <row r="194" spans="1:18" x14ac:dyDescent="0.2">
      <c r="A194" s="75">
        <v>3246</v>
      </c>
      <c r="B194" s="76" t="s">
        <v>448</v>
      </c>
      <c r="C194" s="76">
        <v>220</v>
      </c>
      <c r="D194" s="76" t="s">
        <v>437</v>
      </c>
      <c r="E194" s="76" t="s">
        <v>426</v>
      </c>
      <c r="F194" s="77">
        <v>0</v>
      </c>
      <c r="G194" s="77">
        <v>0</v>
      </c>
      <c r="H194" s="77">
        <v>0</v>
      </c>
      <c r="I194" s="76" t="s">
        <v>427</v>
      </c>
      <c r="J194" s="77">
        <v>-228.25</v>
      </c>
      <c r="K194" s="78">
        <v>-2282.5100000000002</v>
      </c>
      <c r="M194" s="79" t="str">
        <f t="shared" si="8"/>
        <v>220-3246</v>
      </c>
      <c r="N194" s="79" t="str">
        <f t="shared" ref="N194:N257" si="9">+IF(RIGHT(A194,1)="#","#","")</f>
        <v/>
      </c>
      <c r="O194" s="79" t="str">
        <f t="shared" ref="O194:O257" si="10">+C194&amp;N194</f>
        <v>220</v>
      </c>
      <c r="P194" s="79" t="str">
        <f>IFERROR(VLOOKUP($M194,Export!$P:$R,2,FALSE),"-")</f>
        <v>Used Vehicle</v>
      </c>
      <c r="Q194" s="79" t="str">
        <f>IFERROR(VLOOKUP($M194,Export!$P:$R,3,FALSE),"-")</f>
        <v>Used VehicleOT/SIG Class total gross p.u. incl. incentives</v>
      </c>
      <c r="R194" s="80" t="e" cm="1">
        <f t="array" ref="R194">_xlfn.IFS(P194="Service", _xlfn.IFS(I194="SALES","GP",I194="SERVICE SALES","GP",I194="PARTS SALES","GP",I194="SERVICE COS","GP",I194="PARTS COS","GP",I194="SELLING EXPENSES","Selling Expenses",I194="EMPLOYMENT EXPENSES","Selling Expenses",I194="EMPLOYMENT EXPENSES","Selling Expenses",I194="DIRECT EXPENSES","Selling Expenses",I194="INDIRECT EXPENSES","Selling Expenses"),P194="Parts",_xlfn.IFS(I194="SALES","GP",I194="SERVICE SALES","GP",I194="PARTS SALES","GP",I194="SERVICE COS","GP",I194="PARTS COS","GP",I194="SELLING EXPENSES","Selling Expenses",I194="EMPLOYMENT EXPENSES","Selling Expenses",I194="EMPLOYMENT EXPENSES","Selling Expenses",I194="DIRECT EXPENSES","Selling Expenses",I194="INDIRECT EXPENSES","Selling Expenses"))</f>
        <v>#N/A</v>
      </c>
    </row>
    <row r="195" spans="1:18" x14ac:dyDescent="0.2">
      <c r="A195" s="75">
        <v>3247</v>
      </c>
      <c r="B195" s="76" t="s">
        <v>450</v>
      </c>
      <c r="C195" s="76">
        <v>121</v>
      </c>
      <c r="D195" s="76" t="s">
        <v>449</v>
      </c>
      <c r="E195" s="76" t="s">
        <v>426</v>
      </c>
      <c r="F195" s="77">
        <v>0</v>
      </c>
      <c r="G195" s="77">
        <v>0</v>
      </c>
      <c r="H195" s="77">
        <v>0</v>
      </c>
      <c r="I195" s="76" t="s">
        <v>427</v>
      </c>
      <c r="J195" s="77">
        <v>-15000</v>
      </c>
      <c r="K195" s="78">
        <v>-100434.4</v>
      </c>
      <c r="M195" s="79" t="str">
        <f t="shared" ref="M195:M258" si="11">+C195&amp;"-"&amp;A195</f>
        <v>121-3247</v>
      </c>
      <c r="N195" s="79" t="str">
        <f t="shared" si="9"/>
        <v/>
      </c>
      <c r="O195" s="79" t="str">
        <f t="shared" si="10"/>
        <v>121</v>
      </c>
      <c r="P195" s="79" t="str">
        <f>IFERROR(VLOOKUP($M195,Export!$P:$R,2,FALSE),"-")</f>
        <v>Used Vehicle</v>
      </c>
      <c r="Q195" s="79" t="str">
        <f>IFERROR(VLOOKUP($M195,Export!$P:$R,3,FALSE),"-")</f>
        <v>Used VehicleOT/SIG Class total gross p.u. incl. incentives</v>
      </c>
      <c r="R195" s="80" t="e" cm="1">
        <f t="array" ref="R195">_xlfn.IFS(P195="Service", _xlfn.IFS(I195="SALES","GP",I195="SERVICE SALES","GP",I195="PARTS SALES","GP",I195="SERVICE COS","GP",I195="PARTS COS","GP",I195="SELLING EXPENSES","Selling Expenses",I195="EMPLOYMENT EXPENSES","Selling Expenses",I195="EMPLOYMENT EXPENSES","Selling Expenses",I195="DIRECT EXPENSES","Selling Expenses",I195="INDIRECT EXPENSES","Selling Expenses"),P195="Parts",_xlfn.IFS(I195="SALES","GP",I195="SERVICE SALES","GP",I195="PARTS SALES","GP",I195="SERVICE COS","GP",I195="PARTS COS","GP",I195="SELLING EXPENSES","Selling Expenses",I195="EMPLOYMENT EXPENSES","Selling Expenses",I195="EMPLOYMENT EXPENSES","Selling Expenses",I195="DIRECT EXPENSES","Selling Expenses",I195="INDIRECT EXPENSES","Selling Expenses"))</f>
        <v>#N/A</v>
      </c>
    </row>
    <row r="196" spans="1:18" x14ac:dyDescent="0.2">
      <c r="A196" s="75">
        <v>3247</v>
      </c>
      <c r="B196" s="76" t="s">
        <v>450</v>
      </c>
      <c r="C196" s="76">
        <v>220</v>
      </c>
      <c r="D196" s="76" t="s">
        <v>437</v>
      </c>
      <c r="E196" s="76" t="s">
        <v>426</v>
      </c>
      <c r="F196" s="77">
        <v>0</v>
      </c>
      <c r="G196" s="77">
        <v>0</v>
      </c>
      <c r="H196" s="77">
        <v>0</v>
      </c>
      <c r="I196" s="76" t="s">
        <v>427</v>
      </c>
      <c r="J196" s="77">
        <v>-5000</v>
      </c>
      <c r="K196" s="78">
        <v>-34826.58</v>
      </c>
      <c r="M196" s="79" t="str">
        <f t="shared" si="11"/>
        <v>220-3247</v>
      </c>
      <c r="N196" s="79" t="str">
        <f t="shared" si="9"/>
        <v/>
      </c>
      <c r="O196" s="79" t="str">
        <f t="shared" si="10"/>
        <v>220</v>
      </c>
      <c r="P196" s="79" t="str">
        <f>IFERROR(VLOOKUP($M196,Export!$P:$R,2,FALSE),"-")</f>
        <v>Used Vehicle</v>
      </c>
      <c r="Q196" s="79" t="str">
        <f>IFERROR(VLOOKUP($M196,Export!$P:$R,3,FALSE),"-")</f>
        <v>Used VehicleOT/SIG Class total gross p.u. incl. incentives</v>
      </c>
      <c r="R196" s="80" t="e" cm="1">
        <f t="array" ref="R196">_xlfn.IFS(P196="Service", _xlfn.IFS(I196="SALES","GP",I196="SERVICE SALES","GP",I196="PARTS SALES","GP",I196="SERVICE COS","GP",I196="PARTS COS","GP",I196="SELLING EXPENSES","Selling Expenses",I196="EMPLOYMENT EXPENSES","Selling Expenses",I196="EMPLOYMENT EXPENSES","Selling Expenses",I196="DIRECT EXPENSES","Selling Expenses",I196="INDIRECT EXPENSES","Selling Expenses"),P196="Parts",_xlfn.IFS(I196="SALES","GP",I196="SERVICE SALES","GP",I196="PARTS SALES","GP",I196="SERVICE COS","GP",I196="PARTS COS","GP",I196="SELLING EXPENSES","Selling Expenses",I196="EMPLOYMENT EXPENSES","Selling Expenses",I196="EMPLOYMENT EXPENSES","Selling Expenses",I196="DIRECT EXPENSES","Selling Expenses",I196="INDIRECT EXPENSES","Selling Expenses"))</f>
        <v>#N/A</v>
      </c>
    </row>
    <row r="197" spans="1:18" x14ac:dyDescent="0.2">
      <c r="A197" s="75">
        <v>3248</v>
      </c>
      <c r="B197" s="76" t="s">
        <v>451</v>
      </c>
      <c r="C197" s="76">
        <v>110</v>
      </c>
      <c r="D197" s="76" t="s">
        <v>430</v>
      </c>
      <c r="E197" s="76" t="s">
        <v>426</v>
      </c>
      <c r="F197" s="77">
        <v>-162825.73000000001</v>
      </c>
      <c r="G197" s="77">
        <v>0</v>
      </c>
      <c r="H197" s="77">
        <v>-162825.73000000001</v>
      </c>
      <c r="I197" s="76" t="s">
        <v>427</v>
      </c>
      <c r="J197" s="77">
        <v>0</v>
      </c>
      <c r="K197" s="78">
        <v>-57133.15</v>
      </c>
      <c r="M197" s="79" t="str">
        <f t="shared" si="11"/>
        <v>110-3248</v>
      </c>
      <c r="N197" s="79" t="str">
        <f t="shared" si="9"/>
        <v/>
      </c>
      <c r="O197" s="79" t="str">
        <f t="shared" si="10"/>
        <v>110</v>
      </c>
      <c r="P197" s="79" t="str">
        <f>IFERROR(VLOOKUP($M197,Export!$P:$R,2,FALSE),"-")</f>
        <v>New Vehicle</v>
      </c>
      <c r="Q197" s="79" t="str">
        <f>IFERROR(VLOOKUP($M197,Export!$P:$R,3,FALSE),"-")</f>
        <v>New VehicleIncentive p.u.</v>
      </c>
      <c r="R197" s="80" t="e" cm="1">
        <f t="array" ref="R197">_xlfn.IFS(P197="Service", _xlfn.IFS(I197="SALES","GP",I197="SERVICE SALES","GP",I197="PARTS SALES","GP",I197="SERVICE COS","GP",I197="PARTS COS","GP",I197="SELLING EXPENSES","Selling Expenses",I197="EMPLOYMENT EXPENSES","Selling Expenses",I197="EMPLOYMENT EXPENSES","Selling Expenses",I197="DIRECT EXPENSES","Selling Expenses",I197="INDIRECT EXPENSES","Selling Expenses"),P197="Parts",_xlfn.IFS(I197="SALES","GP",I197="SERVICE SALES","GP",I197="PARTS SALES","GP",I197="SERVICE COS","GP",I197="PARTS COS","GP",I197="SELLING EXPENSES","Selling Expenses",I197="EMPLOYMENT EXPENSES","Selling Expenses",I197="EMPLOYMENT EXPENSES","Selling Expenses",I197="DIRECT EXPENSES","Selling Expenses",I197="INDIRECT EXPENSES","Selling Expenses"))</f>
        <v>#N/A</v>
      </c>
    </row>
    <row r="198" spans="1:18" x14ac:dyDescent="0.2">
      <c r="A198" s="75">
        <v>3248</v>
      </c>
      <c r="B198" s="76" t="s">
        <v>451</v>
      </c>
      <c r="C198" s="76">
        <v>112</v>
      </c>
      <c r="D198" s="76" t="s">
        <v>349</v>
      </c>
      <c r="E198" s="76" t="s">
        <v>426</v>
      </c>
      <c r="F198" s="77">
        <v>-111130.44</v>
      </c>
      <c r="G198" s="77">
        <v>0</v>
      </c>
      <c r="H198" s="77">
        <v>-111130.44</v>
      </c>
      <c r="I198" s="76" t="s">
        <v>427</v>
      </c>
      <c r="J198" s="77">
        <v>0</v>
      </c>
      <c r="K198" s="78">
        <v>0</v>
      </c>
      <c r="M198" s="79" t="str">
        <f t="shared" si="11"/>
        <v>112-3248</v>
      </c>
      <c r="N198" s="79" t="str">
        <f t="shared" si="9"/>
        <v/>
      </c>
      <c r="O198" s="79" t="str">
        <f t="shared" si="10"/>
        <v>112</v>
      </c>
      <c r="P198" s="79" t="str">
        <f>IFERROR(VLOOKUP($M198,Export!$P:$R,2,FALSE),"-")</f>
        <v>LEX New Vehicle</v>
      </c>
      <c r="Q198" s="79" t="str">
        <f>IFERROR(VLOOKUP($M198,Export!$P:$R,3,FALSE),"-")</f>
        <v>LEX New VehicleIncentive p.u.</v>
      </c>
      <c r="R198" s="80" t="e" cm="1">
        <f t="array" ref="R198">_xlfn.IFS(P198="Service", _xlfn.IFS(I198="SALES","GP",I198="SERVICE SALES","GP",I198="PARTS SALES","GP",I198="SERVICE COS","GP",I198="PARTS COS","GP",I198="SELLING EXPENSES","Selling Expenses",I198="EMPLOYMENT EXPENSES","Selling Expenses",I198="EMPLOYMENT EXPENSES","Selling Expenses",I198="DIRECT EXPENSES","Selling Expenses",I198="INDIRECT EXPENSES","Selling Expenses"),P198="Parts",_xlfn.IFS(I198="SALES","GP",I198="SERVICE SALES","GP",I198="PARTS SALES","GP",I198="SERVICE COS","GP",I198="PARTS COS","GP",I198="SELLING EXPENSES","Selling Expenses",I198="EMPLOYMENT EXPENSES","Selling Expenses",I198="EMPLOYMENT EXPENSES","Selling Expenses",I198="DIRECT EXPENSES","Selling Expenses",I198="INDIRECT EXPENSES","Selling Expenses"))</f>
        <v>#N/A</v>
      </c>
    </row>
    <row r="199" spans="1:18" x14ac:dyDescent="0.2">
      <c r="A199" s="75">
        <v>3248</v>
      </c>
      <c r="B199" s="76" t="s">
        <v>451</v>
      </c>
      <c r="C199" s="76">
        <v>120</v>
      </c>
      <c r="D199" s="76" t="s">
        <v>431</v>
      </c>
      <c r="E199" s="76" t="s">
        <v>426</v>
      </c>
      <c r="F199" s="77">
        <v>-199760</v>
      </c>
      <c r="G199" s="77">
        <v>0</v>
      </c>
      <c r="H199" s="77">
        <v>-199760</v>
      </c>
      <c r="I199" s="76" t="s">
        <v>427</v>
      </c>
      <c r="J199" s="77">
        <v>0</v>
      </c>
      <c r="K199" s="78">
        <v>0</v>
      </c>
      <c r="M199" s="79" t="str">
        <f t="shared" si="11"/>
        <v>120-3248</v>
      </c>
      <c r="N199" s="79" t="str">
        <f t="shared" si="9"/>
        <v/>
      </c>
      <c r="O199" s="79" t="str">
        <f t="shared" si="10"/>
        <v>120</v>
      </c>
      <c r="P199" s="79" t="str">
        <f>IFERROR(VLOOKUP($M199,Export!$P:$R,2,FALSE),"-")</f>
        <v>Used Vehicle</v>
      </c>
      <c r="Q199" s="79" t="str">
        <f>IFERROR(VLOOKUP($M199,Export!$P:$R,3,FALSE),"-")</f>
        <v>Used VehicleOT/SIG Class total gross p.u. incl. incentives</v>
      </c>
      <c r="R199" s="80" t="e" cm="1">
        <f t="array" ref="R199">_xlfn.IFS(P199="Service", _xlfn.IFS(I199="SALES","GP",I199="SERVICE SALES","GP",I199="PARTS SALES","GP",I199="SERVICE COS","GP",I199="PARTS COS","GP",I199="SELLING EXPENSES","Selling Expenses",I199="EMPLOYMENT EXPENSES","Selling Expenses",I199="EMPLOYMENT EXPENSES","Selling Expenses",I199="DIRECT EXPENSES","Selling Expenses",I199="INDIRECT EXPENSES","Selling Expenses"),P199="Parts",_xlfn.IFS(I199="SALES","GP",I199="SERVICE SALES","GP",I199="PARTS SALES","GP",I199="SERVICE COS","GP",I199="PARTS COS","GP",I199="SELLING EXPENSES","Selling Expenses",I199="EMPLOYMENT EXPENSES","Selling Expenses",I199="EMPLOYMENT EXPENSES","Selling Expenses",I199="DIRECT EXPENSES","Selling Expenses",I199="INDIRECT EXPENSES","Selling Expenses"))</f>
        <v>#N/A</v>
      </c>
    </row>
    <row r="200" spans="1:18" x14ac:dyDescent="0.2">
      <c r="A200" s="75">
        <v>3248</v>
      </c>
      <c r="B200" s="76" t="s">
        <v>451</v>
      </c>
      <c r="C200" s="76">
        <v>121</v>
      </c>
      <c r="D200" s="76" t="s">
        <v>449</v>
      </c>
      <c r="E200" s="76" t="s">
        <v>426</v>
      </c>
      <c r="F200" s="77">
        <v>0</v>
      </c>
      <c r="G200" s="77">
        <v>0</v>
      </c>
      <c r="H200" s="77">
        <v>0</v>
      </c>
      <c r="I200" s="76" t="s">
        <v>427</v>
      </c>
      <c r="J200" s="77">
        <v>0</v>
      </c>
      <c r="K200" s="78">
        <v>-72149.11</v>
      </c>
      <c r="M200" s="79" t="str">
        <f t="shared" si="11"/>
        <v>121-3248</v>
      </c>
      <c r="N200" s="79" t="str">
        <f t="shared" si="9"/>
        <v/>
      </c>
      <c r="O200" s="79" t="str">
        <f t="shared" si="10"/>
        <v>121</v>
      </c>
      <c r="P200" s="79" t="str">
        <f>IFERROR(VLOOKUP($M200,Export!$P:$R,2,FALSE),"-")</f>
        <v>Used Vehicle</v>
      </c>
      <c r="Q200" s="79" t="str">
        <f>IFERROR(VLOOKUP($M200,Export!$P:$R,3,FALSE),"-")</f>
        <v>Used VehicleOT/SIG Class total gross p.u. incl. incentives</v>
      </c>
      <c r="R200" s="80" t="e" cm="1">
        <f t="array" ref="R200">_xlfn.IFS(P200="Service", _xlfn.IFS(I200="SALES","GP",I200="SERVICE SALES","GP",I200="PARTS SALES","GP",I200="SERVICE COS","GP",I200="PARTS COS","GP",I200="SELLING EXPENSES","Selling Expenses",I200="EMPLOYMENT EXPENSES","Selling Expenses",I200="EMPLOYMENT EXPENSES","Selling Expenses",I200="DIRECT EXPENSES","Selling Expenses",I200="INDIRECT EXPENSES","Selling Expenses"),P200="Parts",_xlfn.IFS(I200="SALES","GP",I200="SERVICE SALES","GP",I200="PARTS SALES","GP",I200="SERVICE COS","GP",I200="PARTS COS","GP",I200="SELLING EXPENSES","Selling Expenses",I200="EMPLOYMENT EXPENSES","Selling Expenses",I200="EMPLOYMENT EXPENSES","Selling Expenses",I200="DIRECT EXPENSES","Selling Expenses",I200="INDIRECT EXPENSES","Selling Expenses"))</f>
        <v>#N/A</v>
      </c>
    </row>
    <row r="201" spans="1:18" x14ac:dyDescent="0.2">
      <c r="A201" s="75">
        <v>3248</v>
      </c>
      <c r="B201" s="76" t="s">
        <v>451</v>
      </c>
      <c r="C201" s="76">
        <v>122</v>
      </c>
      <c r="D201" s="76" t="s">
        <v>452</v>
      </c>
      <c r="E201" s="76" t="s">
        <v>426</v>
      </c>
      <c r="F201" s="77">
        <v>-55565.22</v>
      </c>
      <c r="G201" s="77">
        <v>0</v>
      </c>
      <c r="H201" s="77">
        <v>-55565.22</v>
      </c>
      <c r="I201" s="76" t="s">
        <v>427</v>
      </c>
      <c r="J201" s="77">
        <v>0</v>
      </c>
      <c r="K201" s="78">
        <v>0</v>
      </c>
      <c r="M201" s="79" t="str">
        <f t="shared" si="11"/>
        <v>122-3248</v>
      </c>
      <c r="N201" s="79" t="str">
        <f t="shared" si="9"/>
        <v/>
      </c>
      <c r="O201" s="79" t="str">
        <f t="shared" si="10"/>
        <v>122</v>
      </c>
      <c r="P201" s="79" t="str">
        <f>IFERROR(VLOOKUP($M201,Export!$P:$R,2,FALSE),"-")</f>
        <v>LEX Used Vehicle</v>
      </c>
      <c r="Q201" s="79" t="str">
        <f>IFERROR(VLOOKUP($M201,Export!$P:$R,3,FALSE),"-")</f>
        <v>LEX Used VehicleOverall gross per UV retail incl. incentives</v>
      </c>
      <c r="R201" s="80" t="e" cm="1">
        <f t="array" ref="R201">_xlfn.IFS(P201="Service", _xlfn.IFS(I201="SALES","GP",I201="SERVICE SALES","GP",I201="PARTS SALES","GP",I201="SERVICE COS","GP",I201="PARTS COS","GP",I201="SELLING EXPENSES","Selling Expenses",I201="EMPLOYMENT EXPENSES","Selling Expenses",I201="EMPLOYMENT EXPENSES","Selling Expenses",I201="DIRECT EXPENSES","Selling Expenses",I201="INDIRECT EXPENSES","Selling Expenses"),P201="Parts",_xlfn.IFS(I201="SALES","GP",I201="SERVICE SALES","GP",I201="PARTS SALES","GP",I201="SERVICE COS","GP",I201="PARTS COS","GP",I201="SELLING EXPENSES","Selling Expenses",I201="EMPLOYMENT EXPENSES","Selling Expenses",I201="EMPLOYMENT EXPENSES","Selling Expenses",I201="DIRECT EXPENSES","Selling Expenses",I201="INDIRECT EXPENSES","Selling Expenses"))</f>
        <v>#N/A</v>
      </c>
    </row>
    <row r="202" spans="1:18" x14ac:dyDescent="0.2">
      <c r="A202" s="75">
        <v>3248</v>
      </c>
      <c r="B202" s="76" t="s">
        <v>451</v>
      </c>
      <c r="C202" s="76">
        <v>130</v>
      </c>
      <c r="D202" s="76" t="s">
        <v>432</v>
      </c>
      <c r="E202" s="76" t="s">
        <v>426</v>
      </c>
      <c r="F202" s="77">
        <v>-29350</v>
      </c>
      <c r="G202" s="77">
        <v>0</v>
      </c>
      <c r="H202" s="77">
        <v>-29350</v>
      </c>
      <c r="I202" s="76" t="s">
        <v>427</v>
      </c>
      <c r="J202" s="77">
        <v>-9600</v>
      </c>
      <c r="K202" s="78">
        <v>-54399.98</v>
      </c>
      <c r="M202" s="79" t="str">
        <f t="shared" si="11"/>
        <v>130-3248</v>
      </c>
      <c r="N202" s="79" t="str">
        <f t="shared" si="9"/>
        <v/>
      </c>
      <c r="O202" s="79" t="str">
        <f t="shared" si="10"/>
        <v>130</v>
      </c>
      <c r="P202" s="79" t="str">
        <f>IFERROR(VLOOKUP($M202,Export!$P:$R,2,FALSE),"-")</f>
        <v>Parts</v>
      </c>
      <c r="Q202" s="79" t="str">
        <f>IFERROR(VLOOKUP($M202,Export!$P:$R,3,FALSE),"-")</f>
        <v>PartsIncentive</v>
      </c>
      <c r="R202" s="80" t="str" cm="1">
        <f t="array" ref="R202">_xlfn.IFS(P202="Service", _xlfn.IFS(I202="SALES","GP",I202="SERVICE SALES","GP",I202="PARTS SALES","GP",I202="SERVICE COS","GP",I202="PARTS COS","GP",I202="SELLING EXPENSES","Selling Expenses",I202="EMPLOYMENT EXPENSES","Selling Expenses",I202="EMPLOYMENT EXPENSES","Selling Expenses",I202="DIRECT EXPENSES","Selling Expenses",I202="INDIRECT EXPENSES","Selling Expenses"),P202="Parts",_xlfn.IFS(I202="SALES","GP",I202="SERVICE SALES","GP",I202="PARTS SALES","GP",I202="SERVICE COS","GP",I202="PARTS COS","GP",I202="SELLING EXPENSES","Selling Expenses",I202="EMPLOYMENT EXPENSES","Selling Expenses",I202="EMPLOYMENT EXPENSES","Selling Expenses",I202="DIRECT EXPENSES","Selling Expenses",I202="INDIRECT EXPENSES","Selling Expenses"))</f>
        <v>GP</v>
      </c>
    </row>
    <row r="203" spans="1:18" x14ac:dyDescent="0.2">
      <c r="A203" s="75">
        <v>3248</v>
      </c>
      <c r="B203" s="76" t="s">
        <v>451</v>
      </c>
      <c r="C203" s="76">
        <v>132</v>
      </c>
      <c r="D203" s="76" t="s">
        <v>453</v>
      </c>
      <c r="E203" s="76" t="s">
        <v>426</v>
      </c>
      <c r="F203" s="77">
        <v>-55565.22</v>
      </c>
      <c r="G203" s="77">
        <v>0</v>
      </c>
      <c r="H203" s="77">
        <v>-55565.22</v>
      </c>
      <c r="I203" s="76" t="s">
        <v>427</v>
      </c>
      <c r="J203" s="77">
        <v>0</v>
      </c>
      <c r="K203" s="78">
        <v>0</v>
      </c>
      <c r="M203" s="79" t="str">
        <f t="shared" si="11"/>
        <v>132-3248</v>
      </c>
      <c r="N203" s="79" t="str">
        <f t="shared" si="9"/>
        <v/>
      </c>
      <c r="O203" s="79" t="str">
        <f t="shared" si="10"/>
        <v>132</v>
      </c>
      <c r="P203" s="79" t="str">
        <f>IFERROR(VLOOKUP($M203,Export!$P:$R,2,FALSE),"-")</f>
        <v>LEX Parts</v>
      </c>
      <c r="Q203" s="79" t="str">
        <f>IFERROR(VLOOKUP($M203,Export!$P:$R,3,FALSE),"-")</f>
        <v>LEX PartsIncentive</v>
      </c>
      <c r="R203" s="80" t="e" cm="1">
        <f t="array" ref="R203">_xlfn.IFS(P203="Service", _xlfn.IFS(I203="SALES","GP",I203="SERVICE SALES","GP",I203="PARTS SALES","GP",I203="SERVICE COS","GP",I203="PARTS COS","GP",I203="SELLING EXPENSES","Selling Expenses",I203="EMPLOYMENT EXPENSES","Selling Expenses",I203="EMPLOYMENT EXPENSES","Selling Expenses",I203="DIRECT EXPENSES","Selling Expenses",I203="INDIRECT EXPENSES","Selling Expenses"),P203="Parts",_xlfn.IFS(I203="SALES","GP",I203="SERVICE SALES","GP",I203="PARTS SALES","GP",I203="SERVICE COS","GP",I203="PARTS COS","GP",I203="SELLING EXPENSES","Selling Expenses",I203="EMPLOYMENT EXPENSES","Selling Expenses",I203="EMPLOYMENT EXPENSES","Selling Expenses",I203="DIRECT EXPENSES","Selling Expenses",I203="INDIRECT EXPENSES","Selling Expenses"))</f>
        <v>#N/A</v>
      </c>
    </row>
    <row r="204" spans="1:18" x14ac:dyDescent="0.2">
      <c r="A204" s="75">
        <v>3248</v>
      </c>
      <c r="B204" s="76" t="s">
        <v>451</v>
      </c>
      <c r="C204" s="76">
        <v>140</v>
      </c>
      <c r="D204" s="76" t="s">
        <v>433</v>
      </c>
      <c r="E204" s="76" t="s">
        <v>426</v>
      </c>
      <c r="F204" s="77">
        <v>-122022.22</v>
      </c>
      <c r="G204" s="77">
        <v>0</v>
      </c>
      <c r="H204" s="77">
        <v>-122022.22</v>
      </c>
      <c r="I204" s="76" t="s">
        <v>427</v>
      </c>
      <c r="J204" s="77">
        <v>0</v>
      </c>
      <c r="K204" s="78">
        <v>-57688.52</v>
      </c>
      <c r="M204" s="79" t="str">
        <f t="shared" si="11"/>
        <v>140-3248</v>
      </c>
      <c r="N204" s="79" t="str">
        <f t="shared" si="9"/>
        <v/>
      </c>
      <c r="O204" s="79" t="str">
        <f t="shared" si="10"/>
        <v>140</v>
      </c>
      <c r="P204" s="79" t="str">
        <f>IFERROR(VLOOKUP($M204,Export!$P:$R,2,FALSE),"-")</f>
        <v>Parts</v>
      </c>
      <c r="Q204" s="79" t="str">
        <f>IFERROR(VLOOKUP($M204,Export!$P:$R,3,FALSE),"-")</f>
        <v>PartsIncentive</v>
      </c>
      <c r="R204" s="80" t="str" cm="1">
        <f t="array" ref="R204">_xlfn.IFS(P204="Service", _xlfn.IFS(I204="SALES","GP",I204="SERVICE SALES","GP",I204="PARTS SALES","GP",I204="SERVICE COS","GP",I204="PARTS COS","GP",I204="SELLING EXPENSES","Selling Expenses",I204="EMPLOYMENT EXPENSES","Selling Expenses",I204="EMPLOYMENT EXPENSES","Selling Expenses",I204="DIRECT EXPENSES","Selling Expenses",I204="INDIRECT EXPENSES","Selling Expenses"),P204="Parts",_xlfn.IFS(I204="SALES","GP",I204="SERVICE SALES","GP",I204="PARTS SALES","GP",I204="SERVICE COS","GP",I204="PARTS COS","GP",I204="SELLING EXPENSES","Selling Expenses",I204="EMPLOYMENT EXPENSES","Selling Expenses",I204="EMPLOYMENT EXPENSES","Selling Expenses",I204="DIRECT EXPENSES","Selling Expenses",I204="INDIRECT EXPENSES","Selling Expenses"))</f>
        <v>GP</v>
      </c>
    </row>
    <row r="205" spans="1:18" x14ac:dyDescent="0.2">
      <c r="A205" s="75">
        <v>3248</v>
      </c>
      <c r="B205" s="76" t="s">
        <v>451</v>
      </c>
      <c r="C205" s="76">
        <v>142</v>
      </c>
      <c r="D205" s="76" t="s">
        <v>454</v>
      </c>
      <c r="E205" s="76" t="s">
        <v>426</v>
      </c>
      <c r="F205" s="77">
        <v>-55565.22</v>
      </c>
      <c r="G205" s="77">
        <v>0</v>
      </c>
      <c r="H205" s="77">
        <v>-55565.22</v>
      </c>
      <c r="I205" s="76" t="s">
        <v>427</v>
      </c>
      <c r="J205" s="77">
        <v>0</v>
      </c>
      <c r="K205" s="78">
        <v>0</v>
      </c>
      <c r="M205" s="79" t="str">
        <f t="shared" si="11"/>
        <v>142-3248</v>
      </c>
      <c r="N205" s="79" t="str">
        <f t="shared" si="9"/>
        <v/>
      </c>
      <c r="O205" s="79" t="str">
        <f t="shared" si="10"/>
        <v>142</v>
      </c>
      <c r="P205" s="79" t="str">
        <f>IFERROR(VLOOKUP($M205,Export!$P:$R,2,FALSE),"-")</f>
        <v>LEX Parts</v>
      </c>
      <c r="Q205" s="79" t="str">
        <f>IFERROR(VLOOKUP($M205,Export!$P:$R,3,FALSE),"-")</f>
        <v>LEX PartsIncentive</v>
      </c>
      <c r="R205" s="80" t="e" cm="1">
        <f t="array" ref="R205">_xlfn.IFS(P205="Service", _xlfn.IFS(I205="SALES","GP",I205="SERVICE SALES","GP",I205="PARTS SALES","GP",I205="SERVICE COS","GP",I205="PARTS COS","GP",I205="SELLING EXPENSES","Selling Expenses",I205="EMPLOYMENT EXPENSES","Selling Expenses",I205="EMPLOYMENT EXPENSES","Selling Expenses",I205="DIRECT EXPENSES","Selling Expenses",I205="INDIRECT EXPENSES","Selling Expenses"),P205="Parts",_xlfn.IFS(I205="SALES","GP",I205="SERVICE SALES","GP",I205="PARTS SALES","GP",I205="SERVICE COS","GP",I205="PARTS COS","GP",I205="SELLING EXPENSES","Selling Expenses",I205="EMPLOYMENT EXPENSES","Selling Expenses",I205="EMPLOYMENT EXPENSES","Selling Expenses",I205="DIRECT EXPENSES","Selling Expenses",I205="INDIRECT EXPENSES","Selling Expenses"))</f>
        <v>#N/A</v>
      </c>
    </row>
    <row r="206" spans="1:18" x14ac:dyDescent="0.2">
      <c r="A206" s="75">
        <v>3248</v>
      </c>
      <c r="B206" s="76" t="s">
        <v>451</v>
      </c>
      <c r="C206" s="76">
        <v>160</v>
      </c>
      <c r="D206" s="76" t="s">
        <v>434</v>
      </c>
      <c r="E206" s="76" t="s">
        <v>426</v>
      </c>
      <c r="F206" s="77">
        <v>-183033.33</v>
      </c>
      <c r="G206" s="77">
        <v>0</v>
      </c>
      <c r="H206" s="77">
        <v>-183033.33</v>
      </c>
      <c r="I206" s="76" t="s">
        <v>427</v>
      </c>
      <c r="J206" s="77">
        <v>0</v>
      </c>
      <c r="K206" s="78">
        <v>0</v>
      </c>
      <c r="M206" s="79" t="str">
        <f t="shared" si="11"/>
        <v>160-3248</v>
      </c>
      <c r="N206" s="79" t="str">
        <f t="shared" si="9"/>
        <v/>
      </c>
      <c r="O206" s="79" t="str">
        <f t="shared" si="10"/>
        <v>160</v>
      </c>
      <c r="P206" s="79" t="str">
        <f>IFERROR(VLOOKUP($M206,Export!$P:$R,2,FALSE),"-")</f>
        <v>F&amp;I</v>
      </c>
      <c r="Q206" s="79" t="str">
        <f>IFERROR(VLOOKUP($M206,Export!$P:$R,3,FALSE),"-")</f>
        <v>F&amp;ITFS Incentive per vehicle retailed</v>
      </c>
      <c r="R206" s="80" t="e" cm="1">
        <f t="array" ref="R206">_xlfn.IFS(P206="Service", _xlfn.IFS(I206="SALES","GP",I206="SERVICE SALES","GP",I206="PARTS SALES","GP",I206="SERVICE COS","GP",I206="PARTS COS","GP",I206="SELLING EXPENSES","Selling Expenses",I206="EMPLOYMENT EXPENSES","Selling Expenses",I206="EMPLOYMENT EXPENSES","Selling Expenses",I206="DIRECT EXPENSES","Selling Expenses",I206="INDIRECT EXPENSES","Selling Expenses"),P206="Parts",_xlfn.IFS(I206="SALES","GP",I206="SERVICE SALES","GP",I206="PARTS SALES","GP",I206="SERVICE COS","GP",I206="PARTS COS","GP",I206="SELLING EXPENSES","Selling Expenses",I206="EMPLOYMENT EXPENSES","Selling Expenses",I206="EMPLOYMENT EXPENSES","Selling Expenses",I206="DIRECT EXPENSES","Selling Expenses",I206="INDIRECT EXPENSES","Selling Expenses"))</f>
        <v>#N/A</v>
      </c>
    </row>
    <row r="207" spans="1:18" x14ac:dyDescent="0.2">
      <c r="A207" s="75">
        <v>3248</v>
      </c>
      <c r="B207" s="76" t="s">
        <v>451</v>
      </c>
      <c r="C207" s="76">
        <v>162</v>
      </c>
      <c r="D207" s="76" t="s">
        <v>455</v>
      </c>
      <c r="E207" s="76" t="s">
        <v>426</v>
      </c>
      <c r="F207" s="77">
        <v>-92608.7</v>
      </c>
      <c r="G207" s="77">
        <v>0</v>
      </c>
      <c r="H207" s="77">
        <v>-92608.7</v>
      </c>
      <c r="I207" s="76" t="s">
        <v>427</v>
      </c>
      <c r="J207" s="77">
        <v>0</v>
      </c>
      <c r="K207" s="78">
        <v>0</v>
      </c>
      <c r="M207" s="79" t="str">
        <f t="shared" si="11"/>
        <v>162-3248</v>
      </c>
      <c r="N207" s="79" t="str">
        <f t="shared" si="9"/>
        <v/>
      </c>
      <c r="O207" s="79" t="str">
        <f t="shared" si="10"/>
        <v>162</v>
      </c>
      <c r="P207" s="79" t="str">
        <f>IFERROR(VLOOKUP($M207,Export!$P:$R,2,FALSE),"-")</f>
        <v>LEX F&amp;I</v>
      </c>
      <c r="Q207" s="79" t="str">
        <f>IFERROR(VLOOKUP($M207,Export!$P:$R,3,FALSE),"-")</f>
        <v>LEX F&amp;ITFS Incentive per vehicle retailed</v>
      </c>
      <c r="R207" s="80" t="e" cm="1">
        <f t="array" ref="R207">_xlfn.IFS(P207="Service", _xlfn.IFS(I207="SALES","GP",I207="SERVICE SALES","GP",I207="PARTS SALES","GP",I207="SERVICE COS","GP",I207="PARTS COS","GP",I207="SELLING EXPENSES","Selling Expenses",I207="EMPLOYMENT EXPENSES","Selling Expenses",I207="EMPLOYMENT EXPENSES","Selling Expenses",I207="DIRECT EXPENSES","Selling Expenses",I207="INDIRECT EXPENSES","Selling Expenses"),P207="Parts",_xlfn.IFS(I207="SALES","GP",I207="SERVICE SALES","GP",I207="PARTS SALES","GP",I207="SERVICE COS","GP",I207="PARTS COS","GP",I207="SELLING EXPENSES","Selling Expenses",I207="EMPLOYMENT EXPENSES","Selling Expenses",I207="EMPLOYMENT EXPENSES","Selling Expenses",I207="DIRECT EXPENSES","Selling Expenses",I207="INDIRECT EXPENSES","Selling Expenses"))</f>
        <v>#N/A</v>
      </c>
    </row>
    <row r="208" spans="1:18" x14ac:dyDescent="0.2">
      <c r="A208" s="75">
        <v>3248</v>
      </c>
      <c r="B208" s="76" t="s">
        <v>451</v>
      </c>
      <c r="C208" s="76">
        <v>210</v>
      </c>
      <c r="D208" s="76" t="s">
        <v>436</v>
      </c>
      <c r="E208" s="76" t="s">
        <v>426</v>
      </c>
      <c r="F208" s="77">
        <v>-142229.82</v>
      </c>
      <c r="G208" s="77">
        <v>0</v>
      </c>
      <c r="H208" s="77">
        <v>-142229.82</v>
      </c>
      <c r="I208" s="76" t="s">
        <v>427</v>
      </c>
      <c r="J208" s="77">
        <v>0</v>
      </c>
      <c r="K208" s="78">
        <v>-47916.85</v>
      </c>
      <c r="M208" s="79" t="str">
        <f t="shared" si="11"/>
        <v>210-3248</v>
      </c>
      <c r="N208" s="79" t="str">
        <f t="shared" si="9"/>
        <v/>
      </c>
      <c r="O208" s="79" t="str">
        <f t="shared" si="10"/>
        <v>210</v>
      </c>
      <c r="P208" s="79" t="str">
        <f>IFERROR(VLOOKUP($M208,Export!$P:$R,2,FALSE),"-")</f>
        <v>New Vehicle</v>
      </c>
      <c r="Q208" s="79" t="str">
        <f>IFERROR(VLOOKUP($M208,Export!$P:$R,3,FALSE),"-")</f>
        <v>New VehicleIncentive p.u.</v>
      </c>
      <c r="R208" s="80" t="e" cm="1">
        <f t="array" ref="R208">_xlfn.IFS(P208="Service", _xlfn.IFS(I208="SALES","GP",I208="SERVICE SALES","GP",I208="PARTS SALES","GP",I208="SERVICE COS","GP",I208="PARTS COS","GP",I208="SELLING EXPENSES","Selling Expenses",I208="EMPLOYMENT EXPENSES","Selling Expenses",I208="EMPLOYMENT EXPENSES","Selling Expenses",I208="DIRECT EXPENSES","Selling Expenses",I208="INDIRECT EXPENSES","Selling Expenses"),P208="Parts",_xlfn.IFS(I208="SALES","GP",I208="SERVICE SALES","GP",I208="PARTS SALES","GP",I208="SERVICE COS","GP",I208="PARTS COS","GP",I208="SELLING EXPENSES","Selling Expenses",I208="EMPLOYMENT EXPENSES","Selling Expenses",I208="EMPLOYMENT EXPENSES","Selling Expenses",I208="DIRECT EXPENSES","Selling Expenses",I208="INDIRECT EXPENSES","Selling Expenses"))</f>
        <v>#N/A</v>
      </c>
    </row>
    <row r="209" spans="1:18" x14ac:dyDescent="0.2">
      <c r="A209" s="75">
        <v>3248</v>
      </c>
      <c r="B209" s="76" t="s">
        <v>451</v>
      </c>
      <c r="C209" s="76">
        <v>220</v>
      </c>
      <c r="D209" s="76" t="s">
        <v>437</v>
      </c>
      <c r="E209" s="76" t="s">
        <v>426</v>
      </c>
      <c r="F209" s="77">
        <v>-105295.56</v>
      </c>
      <c r="G209" s="77">
        <v>0</v>
      </c>
      <c r="H209" s="77">
        <v>-105295.56</v>
      </c>
      <c r="I209" s="76" t="s">
        <v>427</v>
      </c>
      <c r="J209" s="77">
        <v>0</v>
      </c>
      <c r="K209" s="78">
        <v>-43227.92</v>
      </c>
      <c r="M209" s="79" t="str">
        <f t="shared" si="11"/>
        <v>220-3248</v>
      </c>
      <c r="N209" s="79" t="str">
        <f t="shared" si="9"/>
        <v/>
      </c>
      <c r="O209" s="79" t="str">
        <f t="shared" si="10"/>
        <v>220</v>
      </c>
      <c r="P209" s="79" t="str">
        <f>IFERROR(VLOOKUP($M209,Export!$P:$R,2,FALSE),"-")</f>
        <v>Used Vehicle</v>
      </c>
      <c r="Q209" s="79" t="str">
        <f>IFERROR(VLOOKUP($M209,Export!$P:$R,3,FALSE),"-")</f>
        <v>Used VehicleOT/SIG Class total gross p.u. incl. incentives</v>
      </c>
      <c r="R209" s="80" t="e" cm="1">
        <f t="array" ref="R209">_xlfn.IFS(P209="Service", _xlfn.IFS(I209="SALES","GP",I209="SERVICE SALES","GP",I209="PARTS SALES","GP",I209="SERVICE COS","GP",I209="PARTS COS","GP",I209="SELLING EXPENSES","Selling Expenses",I209="EMPLOYMENT EXPENSES","Selling Expenses",I209="EMPLOYMENT EXPENSES","Selling Expenses",I209="DIRECT EXPENSES","Selling Expenses",I209="INDIRECT EXPENSES","Selling Expenses"),P209="Parts",_xlfn.IFS(I209="SALES","GP",I209="SERVICE SALES","GP",I209="PARTS SALES","GP",I209="SERVICE COS","GP",I209="PARTS COS","GP",I209="SELLING EXPENSES","Selling Expenses",I209="EMPLOYMENT EXPENSES","Selling Expenses",I209="EMPLOYMENT EXPENSES","Selling Expenses",I209="DIRECT EXPENSES","Selling Expenses",I209="INDIRECT EXPENSES","Selling Expenses"))</f>
        <v>#N/A</v>
      </c>
    </row>
    <row r="210" spans="1:18" x14ac:dyDescent="0.2">
      <c r="A210" s="75">
        <v>3248</v>
      </c>
      <c r="B210" s="76" t="s">
        <v>451</v>
      </c>
      <c r="C210" s="76">
        <v>230</v>
      </c>
      <c r="D210" s="76" t="s">
        <v>438</v>
      </c>
      <c r="E210" s="76" t="s">
        <v>426</v>
      </c>
      <c r="F210" s="77">
        <v>-14675</v>
      </c>
      <c r="G210" s="77">
        <v>0</v>
      </c>
      <c r="H210" s="77">
        <v>-14675</v>
      </c>
      <c r="I210" s="76" t="s">
        <v>427</v>
      </c>
      <c r="J210" s="77">
        <v>0</v>
      </c>
      <c r="K210" s="78">
        <v>-15392.63</v>
      </c>
      <c r="M210" s="79" t="str">
        <f t="shared" si="11"/>
        <v>230-3248</v>
      </c>
      <c r="N210" s="79" t="str">
        <f t="shared" si="9"/>
        <v/>
      </c>
      <c r="O210" s="79" t="str">
        <f t="shared" si="10"/>
        <v>230</v>
      </c>
      <c r="P210" s="79" t="str">
        <f>IFERROR(VLOOKUP($M210,Export!$P:$R,2,FALSE),"-")</f>
        <v>Parts</v>
      </c>
      <c r="Q210" s="79" t="str">
        <f>IFERROR(VLOOKUP($M210,Export!$P:$R,3,FALSE),"-")</f>
        <v>PartsIncentive</v>
      </c>
      <c r="R210" s="80" t="str" cm="1">
        <f t="array" ref="R210">_xlfn.IFS(P210="Service", _xlfn.IFS(I210="SALES","GP",I210="SERVICE SALES","GP",I210="PARTS SALES","GP",I210="SERVICE COS","GP",I210="PARTS COS","GP",I210="SELLING EXPENSES","Selling Expenses",I210="EMPLOYMENT EXPENSES","Selling Expenses",I210="EMPLOYMENT EXPENSES","Selling Expenses",I210="DIRECT EXPENSES","Selling Expenses",I210="INDIRECT EXPENSES","Selling Expenses"),P210="Parts",_xlfn.IFS(I210="SALES","GP",I210="SERVICE SALES","GP",I210="PARTS SALES","GP",I210="SERVICE COS","GP",I210="PARTS COS","GP",I210="SELLING EXPENSES","Selling Expenses",I210="EMPLOYMENT EXPENSES","Selling Expenses",I210="EMPLOYMENT EXPENSES","Selling Expenses",I210="DIRECT EXPENSES","Selling Expenses",I210="INDIRECT EXPENSES","Selling Expenses"))</f>
        <v>GP</v>
      </c>
    </row>
    <row r="211" spans="1:18" x14ac:dyDescent="0.2">
      <c r="A211" s="75">
        <v>3248</v>
      </c>
      <c r="B211" s="76" t="s">
        <v>451</v>
      </c>
      <c r="C211" s="76">
        <v>240</v>
      </c>
      <c r="D211" s="76" t="s">
        <v>439</v>
      </c>
      <c r="E211" s="76" t="s">
        <v>426</v>
      </c>
      <c r="F211" s="77">
        <v>-61011.11</v>
      </c>
      <c r="G211" s="77">
        <v>0</v>
      </c>
      <c r="H211" s="77">
        <v>-61011.11</v>
      </c>
      <c r="I211" s="76" t="s">
        <v>427</v>
      </c>
      <c r="J211" s="77">
        <v>0</v>
      </c>
      <c r="K211" s="78">
        <v>-28844.25</v>
      </c>
      <c r="M211" s="79" t="str">
        <f t="shared" si="11"/>
        <v>240-3248</v>
      </c>
      <c r="N211" s="79" t="str">
        <f t="shared" si="9"/>
        <v/>
      </c>
      <c r="O211" s="79" t="str">
        <f t="shared" si="10"/>
        <v>240</v>
      </c>
      <c r="P211" s="79" t="str">
        <f>IFERROR(VLOOKUP($M211,Export!$P:$R,2,FALSE),"-")</f>
        <v>Parts</v>
      </c>
      <c r="Q211" s="79" t="str">
        <f>IFERROR(VLOOKUP($M211,Export!$P:$R,3,FALSE),"-")</f>
        <v>PartsIncentive</v>
      </c>
      <c r="R211" s="80" t="str" cm="1">
        <f t="array" ref="R211">_xlfn.IFS(P211="Service", _xlfn.IFS(I211="SALES","GP",I211="SERVICE SALES","GP",I211="PARTS SALES","GP",I211="SERVICE COS","GP",I211="PARTS COS","GP",I211="SELLING EXPENSES","Selling Expenses",I211="EMPLOYMENT EXPENSES","Selling Expenses",I211="EMPLOYMENT EXPENSES","Selling Expenses",I211="DIRECT EXPENSES","Selling Expenses",I211="INDIRECT EXPENSES","Selling Expenses"),P211="Parts",_xlfn.IFS(I211="SALES","GP",I211="SERVICE SALES","GP",I211="PARTS SALES","GP",I211="SERVICE COS","GP",I211="PARTS COS","GP",I211="SELLING EXPENSES","Selling Expenses",I211="EMPLOYMENT EXPENSES","Selling Expenses",I211="EMPLOYMENT EXPENSES","Selling Expenses",I211="DIRECT EXPENSES","Selling Expenses",I211="INDIRECT EXPENSES","Selling Expenses"))</f>
        <v>GP</v>
      </c>
    </row>
    <row r="212" spans="1:18" x14ac:dyDescent="0.2">
      <c r="A212" s="75">
        <v>3248</v>
      </c>
      <c r="B212" s="76" t="s">
        <v>451</v>
      </c>
      <c r="C212" s="76">
        <v>260</v>
      </c>
      <c r="D212" s="76" t="s">
        <v>456</v>
      </c>
      <c r="E212" s="76" t="s">
        <v>426</v>
      </c>
      <c r="F212" s="77">
        <v>-122022.22</v>
      </c>
      <c r="G212" s="77">
        <v>0</v>
      </c>
      <c r="H212" s="77">
        <v>-122022.22</v>
      </c>
      <c r="I212" s="76" t="s">
        <v>427</v>
      </c>
      <c r="J212" s="77">
        <v>0</v>
      </c>
      <c r="K212" s="78">
        <v>0</v>
      </c>
      <c r="M212" s="79" t="str">
        <f t="shared" si="11"/>
        <v>260-3248</v>
      </c>
      <c r="N212" s="79" t="str">
        <f t="shared" si="9"/>
        <v/>
      </c>
      <c r="O212" s="79" t="str">
        <f t="shared" si="10"/>
        <v>260</v>
      </c>
      <c r="P212" s="79" t="str">
        <f>IFERROR(VLOOKUP($M212,Export!$P:$R,2,FALSE),"-")</f>
        <v>F&amp;I</v>
      </c>
      <c r="Q212" s="79" t="str">
        <f>IFERROR(VLOOKUP($M212,Export!$P:$R,3,FALSE),"-")</f>
        <v>F&amp;ITFS Incentive per vehicle retailed</v>
      </c>
      <c r="R212" s="80" t="e" cm="1">
        <f t="array" ref="R212">_xlfn.IFS(P212="Service", _xlfn.IFS(I212="SALES","GP",I212="SERVICE SALES","GP",I212="PARTS SALES","GP",I212="SERVICE COS","GP",I212="PARTS COS","GP",I212="SELLING EXPENSES","Selling Expenses",I212="EMPLOYMENT EXPENSES","Selling Expenses",I212="EMPLOYMENT EXPENSES","Selling Expenses",I212="DIRECT EXPENSES","Selling Expenses",I212="INDIRECT EXPENSES","Selling Expenses"),P212="Parts",_xlfn.IFS(I212="SALES","GP",I212="SERVICE SALES","GP",I212="PARTS SALES","GP",I212="SERVICE COS","GP",I212="PARTS COS","GP",I212="SELLING EXPENSES","Selling Expenses",I212="EMPLOYMENT EXPENSES","Selling Expenses",I212="EMPLOYMENT EXPENSES","Selling Expenses",I212="DIRECT EXPENSES","Selling Expenses",I212="INDIRECT EXPENSES","Selling Expenses"))</f>
        <v>#N/A</v>
      </c>
    </row>
    <row r="213" spans="1:18" x14ac:dyDescent="0.2">
      <c r="A213" s="75">
        <v>3248</v>
      </c>
      <c r="B213" s="76" t="s">
        <v>451</v>
      </c>
      <c r="C213" s="76">
        <v>330</v>
      </c>
      <c r="D213" s="76" t="s">
        <v>457</v>
      </c>
      <c r="E213" s="76" t="s">
        <v>426</v>
      </c>
      <c r="F213" s="77">
        <v>-14675</v>
      </c>
      <c r="G213" s="77">
        <v>0</v>
      </c>
      <c r="H213" s="77">
        <v>-14675</v>
      </c>
      <c r="I213" s="76" t="s">
        <v>427</v>
      </c>
      <c r="J213" s="77">
        <v>0</v>
      </c>
      <c r="K213" s="78">
        <v>-5895.91</v>
      </c>
      <c r="M213" s="79" t="str">
        <f t="shared" si="11"/>
        <v>330-3248</v>
      </c>
      <c r="N213" s="79" t="str">
        <f t="shared" si="9"/>
        <v/>
      </c>
      <c r="O213" s="79" t="str">
        <f t="shared" si="10"/>
        <v>330</v>
      </c>
      <c r="P213" s="79" t="str">
        <f>IFERROR(VLOOKUP($M213,Export!$P:$R,2,FALSE),"-")</f>
        <v>Parts</v>
      </c>
      <c r="Q213" s="79" t="str">
        <f>IFERROR(VLOOKUP($M213,Export!$P:$R,3,FALSE),"-")</f>
        <v>PartsIncentive</v>
      </c>
      <c r="R213" s="80" t="str" cm="1">
        <f t="array" ref="R213">_xlfn.IFS(P213="Service", _xlfn.IFS(I213="SALES","GP",I213="SERVICE SALES","GP",I213="PARTS SALES","GP",I213="SERVICE COS","GP",I213="PARTS COS","GP",I213="SELLING EXPENSES","Selling Expenses",I213="EMPLOYMENT EXPENSES","Selling Expenses",I213="EMPLOYMENT EXPENSES","Selling Expenses",I213="DIRECT EXPENSES","Selling Expenses",I213="INDIRECT EXPENSES","Selling Expenses"),P213="Parts",_xlfn.IFS(I213="SALES","GP",I213="SERVICE SALES","GP",I213="PARTS SALES","GP",I213="SERVICE COS","GP",I213="PARTS COS","GP",I213="SELLING EXPENSES","Selling Expenses",I213="EMPLOYMENT EXPENSES","Selling Expenses",I213="EMPLOYMENT EXPENSES","Selling Expenses",I213="DIRECT EXPENSES","Selling Expenses",I213="INDIRECT EXPENSES","Selling Expenses"))</f>
        <v>GP</v>
      </c>
    </row>
    <row r="214" spans="1:18" x14ac:dyDescent="0.2">
      <c r="A214" s="75">
        <v>3248</v>
      </c>
      <c r="B214" s="76" t="s">
        <v>451</v>
      </c>
      <c r="C214" s="76">
        <v>340</v>
      </c>
      <c r="D214" s="76" t="s">
        <v>440</v>
      </c>
      <c r="E214" s="76" t="s">
        <v>426</v>
      </c>
      <c r="F214" s="77">
        <v>-107622.22</v>
      </c>
      <c r="G214" s="77">
        <v>0</v>
      </c>
      <c r="H214" s="77">
        <v>-107622.22</v>
      </c>
      <c r="I214" s="76" t="s">
        <v>427</v>
      </c>
      <c r="J214" s="77">
        <v>0</v>
      </c>
      <c r="K214" s="78">
        <v>-28844.26</v>
      </c>
      <c r="M214" s="79" t="str">
        <f t="shared" si="11"/>
        <v>340-3248</v>
      </c>
      <c r="N214" s="79" t="str">
        <f t="shared" si="9"/>
        <v/>
      </c>
      <c r="O214" s="79" t="str">
        <f t="shared" si="10"/>
        <v>340</v>
      </c>
      <c r="P214" s="79" t="str">
        <f>IFERROR(VLOOKUP($M214,Export!$P:$R,2,FALSE),"-")</f>
        <v>Parts</v>
      </c>
      <c r="Q214" s="79" t="str">
        <f>IFERROR(VLOOKUP($M214,Export!$P:$R,3,FALSE),"-")</f>
        <v>PartsIncentive</v>
      </c>
      <c r="R214" s="80" t="str" cm="1">
        <f t="array" ref="R214">_xlfn.IFS(P214="Service", _xlfn.IFS(I214="SALES","GP",I214="SERVICE SALES","GP",I214="PARTS SALES","GP",I214="SERVICE COS","GP",I214="PARTS COS","GP",I214="SELLING EXPENSES","Selling Expenses",I214="EMPLOYMENT EXPENSES","Selling Expenses",I214="EMPLOYMENT EXPENSES","Selling Expenses",I214="DIRECT EXPENSES","Selling Expenses",I214="INDIRECT EXPENSES","Selling Expenses"),P214="Parts",_xlfn.IFS(I214="SALES","GP",I214="SERVICE SALES","GP",I214="PARTS SALES","GP",I214="SERVICE COS","GP",I214="PARTS COS","GP",I214="SELLING EXPENSES","Selling Expenses",I214="EMPLOYMENT EXPENSES","Selling Expenses",I214="EMPLOYMENT EXPENSES","Selling Expenses",I214="DIRECT EXPENSES","Selling Expenses",I214="INDIRECT EXPENSES","Selling Expenses"))</f>
        <v>GP</v>
      </c>
    </row>
    <row r="215" spans="1:18" x14ac:dyDescent="0.2">
      <c r="A215" s="75">
        <v>3248</v>
      </c>
      <c r="B215" s="76" t="s">
        <v>451</v>
      </c>
      <c r="C215" s="76">
        <v>430</v>
      </c>
      <c r="D215" s="76" t="s">
        <v>458</v>
      </c>
      <c r="E215" s="76" t="s">
        <v>426</v>
      </c>
      <c r="F215" s="77">
        <v>-14675</v>
      </c>
      <c r="G215" s="77">
        <v>0</v>
      </c>
      <c r="H215" s="77">
        <v>-14675</v>
      </c>
      <c r="I215" s="76" t="s">
        <v>427</v>
      </c>
      <c r="J215" s="77">
        <v>0</v>
      </c>
      <c r="K215" s="78">
        <v>0</v>
      </c>
      <c r="M215" s="79" t="str">
        <f t="shared" si="11"/>
        <v>430-3248</v>
      </c>
      <c r="N215" s="79" t="str">
        <f t="shared" si="9"/>
        <v/>
      </c>
      <c r="O215" s="79" t="str">
        <f t="shared" si="10"/>
        <v>430</v>
      </c>
      <c r="P215" s="79" t="str">
        <f>IFERROR(VLOOKUP($M215,Export!$P:$R,2,FALSE),"-")</f>
        <v>Parts</v>
      </c>
      <c r="Q215" s="79" t="str">
        <f>IFERROR(VLOOKUP($M215,Export!$P:$R,3,FALSE),"-")</f>
        <v>PartsIncentive</v>
      </c>
      <c r="R215" s="80" t="str" cm="1">
        <f t="array" ref="R215">_xlfn.IFS(P215="Service", _xlfn.IFS(I215="SALES","GP",I215="SERVICE SALES","GP",I215="PARTS SALES","GP",I215="SERVICE COS","GP",I215="PARTS COS","GP",I215="SELLING EXPENSES","Selling Expenses",I215="EMPLOYMENT EXPENSES","Selling Expenses",I215="EMPLOYMENT EXPENSES","Selling Expenses",I215="DIRECT EXPENSES","Selling Expenses",I215="INDIRECT EXPENSES","Selling Expenses"),P215="Parts",_xlfn.IFS(I215="SALES","GP",I215="SERVICE SALES","GP",I215="PARTS SALES","GP",I215="SERVICE COS","GP",I215="PARTS COS","GP",I215="SELLING EXPENSES","Selling Expenses",I215="EMPLOYMENT EXPENSES","Selling Expenses",I215="EMPLOYMENT EXPENSES","Selling Expenses",I215="DIRECT EXPENSES","Selling Expenses",I215="INDIRECT EXPENSES","Selling Expenses"))</f>
        <v>GP</v>
      </c>
    </row>
    <row r="216" spans="1:18" x14ac:dyDescent="0.2">
      <c r="A216" s="75">
        <v>3248</v>
      </c>
      <c r="B216" s="76" t="s">
        <v>451</v>
      </c>
      <c r="C216" s="76">
        <v>440</v>
      </c>
      <c r="D216" s="76" t="s">
        <v>441</v>
      </c>
      <c r="E216" s="76" t="s">
        <v>426</v>
      </c>
      <c r="F216" s="77">
        <v>-14400</v>
      </c>
      <c r="G216" s="77">
        <v>0</v>
      </c>
      <c r="H216" s="77">
        <v>-14400</v>
      </c>
      <c r="I216" s="76" t="s">
        <v>427</v>
      </c>
      <c r="J216" s="77">
        <v>0</v>
      </c>
      <c r="K216" s="78">
        <v>0</v>
      </c>
      <c r="M216" s="79" t="str">
        <f t="shared" si="11"/>
        <v>440-3248</v>
      </c>
      <c r="N216" s="79" t="str">
        <f t="shared" si="9"/>
        <v/>
      </c>
      <c r="O216" s="79" t="str">
        <f t="shared" si="10"/>
        <v>440</v>
      </c>
      <c r="P216" s="79" t="str">
        <f>IFERROR(VLOOKUP($M216,Export!$P:$R,2,FALSE),"-")</f>
        <v>Parts</v>
      </c>
      <c r="Q216" s="79" t="str">
        <f>IFERROR(VLOOKUP($M216,Export!$P:$R,3,FALSE),"-")</f>
        <v>PartsIncentive</v>
      </c>
      <c r="R216" s="80" t="str" cm="1">
        <f t="array" ref="R216">_xlfn.IFS(P216="Service", _xlfn.IFS(I216="SALES","GP",I216="SERVICE SALES","GP",I216="PARTS SALES","GP",I216="SERVICE COS","GP",I216="PARTS COS","GP",I216="SELLING EXPENSES","Selling Expenses",I216="EMPLOYMENT EXPENSES","Selling Expenses",I216="EMPLOYMENT EXPENSES","Selling Expenses",I216="DIRECT EXPENSES","Selling Expenses",I216="INDIRECT EXPENSES","Selling Expenses"),P216="Parts",_xlfn.IFS(I216="SALES","GP",I216="SERVICE SALES","GP",I216="PARTS SALES","GP",I216="SERVICE COS","GP",I216="PARTS COS","GP",I216="SELLING EXPENSES","Selling Expenses",I216="EMPLOYMENT EXPENSES","Selling Expenses",I216="EMPLOYMENT EXPENSES","Selling Expenses",I216="DIRECT EXPENSES","Selling Expenses",I216="INDIRECT EXPENSES","Selling Expenses"))</f>
        <v>GP</v>
      </c>
    </row>
    <row r="217" spans="1:18" x14ac:dyDescent="0.2">
      <c r="A217" s="75">
        <v>3248</v>
      </c>
      <c r="B217" s="76" t="s">
        <v>451</v>
      </c>
      <c r="C217" s="76">
        <v>935</v>
      </c>
      <c r="D217" s="76" t="s">
        <v>442</v>
      </c>
      <c r="E217" s="76" t="s">
        <v>426</v>
      </c>
      <c r="F217" s="77">
        <v>-6724.29</v>
      </c>
      <c r="G217" s="77">
        <v>-3116.8</v>
      </c>
      <c r="H217" s="77">
        <v>-9841.09</v>
      </c>
      <c r="I217" s="76" t="s">
        <v>427</v>
      </c>
      <c r="J217" s="77">
        <v>0</v>
      </c>
      <c r="K217" s="78">
        <v>0</v>
      </c>
      <c r="M217" s="79" t="str">
        <f t="shared" si="11"/>
        <v>935-3248</v>
      </c>
      <c r="N217" s="79" t="str">
        <f t="shared" si="9"/>
        <v/>
      </c>
      <c r="O217" s="79" t="str">
        <f t="shared" si="10"/>
        <v>935</v>
      </c>
      <c r="P217" s="79" t="str">
        <f>IFERROR(VLOOKUP($M217,Export!$P:$R,2,FALSE),"-")</f>
        <v>Bridgestone</v>
      </c>
      <c r="Q217" s="79" t="str">
        <f>IFERROR(VLOOKUP($M217,Export!$P:$R,3,FALSE),"-")</f>
        <v>BridgestoneIncentive</v>
      </c>
      <c r="R217" s="80" t="e" cm="1">
        <f t="array" ref="R217">_xlfn.IFS(P217="Service", _xlfn.IFS(I217="SALES","GP",I217="SERVICE SALES","GP",I217="PARTS SALES","GP",I217="SERVICE COS","GP",I217="PARTS COS","GP",I217="SELLING EXPENSES","Selling Expenses",I217="EMPLOYMENT EXPENSES","Selling Expenses",I217="EMPLOYMENT EXPENSES","Selling Expenses",I217="DIRECT EXPENSES","Selling Expenses",I217="INDIRECT EXPENSES","Selling Expenses"),P217="Parts",_xlfn.IFS(I217="SALES","GP",I217="SERVICE SALES","GP",I217="PARTS SALES","GP",I217="SERVICE COS","GP",I217="PARTS COS","GP",I217="SELLING EXPENSES","Selling Expenses",I217="EMPLOYMENT EXPENSES","Selling Expenses",I217="EMPLOYMENT EXPENSES","Selling Expenses",I217="DIRECT EXPENSES","Selling Expenses",I217="INDIRECT EXPENSES","Selling Expenses"))</f>
        <v>#N/A</v>
      </c>
    </row>
    <row r="218" spans="1:18" x14ac:dyDescent="0.2">
      <c r="A218" s="75">
        <v>3248</v>
      </c>
      <c r="B218" s="76" t="s">
        <v>451</v>
      </c>
      <c r="C218" s="76">
        <v>936</v>
      </c>
      <c r="D218" s="76" t="s">
        <v>443</v>
      </c>
      <c r="E218" s="76" t="s">
        <v>426</v>
      </c>
      <c r="F218" s="77">
        <v>-4244.79</v>
      </c>
      <c r="G218" s="77">
        <v>-1964.76</v>
      </c>
      <c r="H218" s="77">
        <v>-6209.55</v>
      </c>
      <c r="I218" s="76" t="s">
        <v>427</v>
      </c>
      <c r="J218" s="77">
        <v>0</v>
      </c>
      <c r="K218" s="78">
        <v>0</v>
      </c>
      <c r="M218" s="79" t="str">
        <f t="shared" si="11"/>
        <v>936-3248</v>
      </c>
      <c r="N218" s="79" t="str">
        <f t="shared" si="9"/>
        <v/>
      </c>
      <c r="O218" s="79" t="str">
        <f t="shared" si="10"/>
        <v>936</v>
      </c>
      <c r="P218" s="79" t="str">
        <f>IFERROR(VLOOKUP($M218,Export!$P:$R,2,FALSE),"-")</f>
        <v>Bridgestone</v>
      </c>
      <c r="Q218" s="79" t="str">
        <f>IFERROR(VLOOKUP($M218,Export!$P:$R,3,FALSE),"-")</f>
        <v>BridgestoneIncentive</v>
      </c>
      <c r="R218" s="80" t="e" cm="1">
        <f t="array" ref="R218">_xlfn.IFS(P218="Service", _xlfn.IFS(I218="SALES","GP",I218="SERVICE SALES","GP",I218="PARTS SALES","GP",I218="SERVICE COS","GP",I218="PARTS COS","GP",I218="SELLING EXPENSES","Selling Expenses",I218="EMPLOYMENT EXPENSES","Selling Expenses",I218="EMPLOYMENT EXPENSES","Selling Expenses",I218="DIRECT EXPENSES","Selling Expenses",I218="INDIRECT EXPENSES","Selling Expenses"),P218="Parts",_xlfn.IFS(I218="SALES","GP",I218="SERVICE SALES","GP",I218="PARTS SALES","GP",I218="SERVICE COS","GP",I218="PARTS COS","GP",I218="SELLING EXPENSES","Selling Expenses",I218="EMPLOYMENT EXPENSES","Selling Expenses",I218="EMPLOYMENT EXPENSES","Selling Expenses",I218="DIRECT EXPENSES","Selling Expenses",I218="INDIRECT EXPENSES","Selling Expenses"))</f>
        <v>#N/A</v>
      </c>
    </row>
    <row r="219" spans="1:18" x14ac:dyDescent="0.2">
      <c r="A219" s="75">
        <v>3305</v>
      </c>
      <c r="B219" s="76" t="s">
        <v>459</v>
      </c>
      <c r="C219" s="76">
        <v>140</v>
      </c>
      <c r="D219" s="76" t="s">
        <v>433</v>
      </c>
      <c r="E219" s="76" t="s">
        <v>426</v>
      </c>
      <c r="F219" s="77">
        <v>930.64</v>
      </c>
      <c r="G219" s="77">
        <v>92.31</v>
      </c>
      <c r="H219" s="77">
        <v>1022.95</v>
      </c>
      <c r="I219" s="76" t="s">
        <v>427</v>
      </c>
      <c r="J219" s="77">
        <v>0</v>
      </c>
      <c r="K219" s="78">
        <v>5076.25</v>
      </c>
      <c r="M219" s="79" t="str">
        <f t="shared" si="11"/>
        <v>140-3305</v>
      </c>
      <c r="N219" s="79" t="str">
        <f t="shared" si="9"/>
        <v/>
      </c>
      <c r="O219" s="79" t="str">
        <f t="shared" si="10"/>
        <v>140</v>
      </c>
      <c r="P219" s="79" t="str">
        <f>IFERROR(VLOOKUP($M219,Export!$P:$R,2,FALSE),"-")</f>
        <v>Service</v>
      </c>
      <c r="Q219" s="79" t="str">
        <f>IFERROR(VLOOKUP($M219,Export!$P:$R,3,FALSE),"-")</f>
        <v>ServiceRetail % of Labour Sales</v>
      </c>
      <c r="R219" s="80" t="str" cm="1">
        <f t="array" ref="R219">_xlfn.IFS(P219="Service", _xlfn.IFS(I219="SALES","GP",I219="SERVICE SALES","GP",I219="PARTS SALES","GP",I219="SERVICE COS","GP",I219="PARTS COS","GP",I219="SELLING EXPENSES","Selling Expenses",I219="EMPLOYMENT EXPENSES","Selling Expenses",I219="EMPLOYMENT EXPENSES","Selling Expenses",I219="DIRECT EXPENSES","Selling Expenses",I219="INDIRECT EXPENSES","Selling Expenses"),P219="Parts",_xlfn.IFS(I219="SALES","GP",I219="SERVICE SALES","GP",I219="PARTS SALES","GP",I219="SERVICE COS","GP",I219="PARTS COS","GP",I219="SELLING EXPENSES","Selling Expenses",I219="EMPLOYMENT EXPENSES","Selling Expenses",I219="EMPLOYMENT EXPENSES","Selling Expenses",I219="DIRECT EXPENSES","Selling Expenses",I219="INDIRECT EXPENSES","Selling Expenses"))</f>
        <v>GP</v>
      </c>
    </row>
    <row r="220" spans="1:18" x14ac:dyDescent="0.2">
      <c r="A220" s="75">
        <v>3305</v>
      </c>
      <c r="B220" s="76" t="s">
        <v>459</v>
      </c>
      <c r="C220" s="76">
        <v>240</v>
      </c>
      <c r="D220" s="76" t="s">
        <v>439</v>
      </c>
      <c r="E220" s="76" t="s">
        <v>426</v>
      </c>
      <c r="F220" s="77">
        <v>3199.37</v>
      </c>
      <c r="G220" s="77">
        <v>356.49</v>
      </c>
      <c r="H220" s="77">
        <v>3555.86</v>
      </c>
      <c r="I220" s="76" t="s">
        <v>427</v>
      </c>
      <c r="J220" s="77">
        <v>0</v>
      </c>
      <c r="K220" s="78">
        <v>2714.64</v>
      </c>
      <c r="M220" s="79" t="str">
        <f t="shared" si="11"/>
        <v>240-3305</v>
      </c>
      <c r="N220" s="79" t="str">
        <f t="shared" si="9"/>
        <v/>
      </c>
      <c r="O220" s="79" t="str">
        <f t="shared" si="10"/>
        <v>240</v>
      </c>
      <c r="P220" s="79" t="str">
        <f>IFERROR(VLOOKUP($M220,Export!$P:$R,2,FALSE),"-")</f>
        <v>Service</v>
      </c>
      <c r="Q220" s="79" t="str">
        <f>IFERROR(VLOOKUP($M220,Export!$P:$R,3,FALSE),"-")</f>
        <v>ServiceRetail % of Labour Sales</v>
      </c>
      <c r="R220" s="80" t="str" cm="1">
        <f t="array" ref="R220">_xlfn.IFS(P220="Service", _xlfn.IFS(I220="SALES","GP",I220="SERVICE SALES","GP",I220="PARTS SALES","GP",I220="SERVICE COS","GP",I220="PARTS COS","GP",I220="SELLING EXPENSES","Selling Expenses",I220="EMPLOYMENT EXPENSES","Selling Expenses",I220="EMPLOYMENT EXPENSES","Selling Expenses",I220="DIRECT EXPENSES","Selling Expenses",I220="INDIRECT EXPENSES","Selling Expenses"),P220="Parts",_xlfn.IFS(I220="SALES","GP",I220="SERVICE SALES","GP",I220="PARTS SALES","GP",I220="SERVICE COS","GP",I220="PARTS COS","GP",I220="SELLING EXPENSES","Selling Expenses",I220="EMPLOYMENT EXPENSES","Selling Expenses",I220="EMPLOYMENT EXPENSES","Selling Expenses",I220="DIRECT EXPENSES","Selling Expenses",I220="INDIRECT EXPENSES","Selling Expenses"))</f>
        <v>GP</v>
      </c>
    </row>
    <row r="221" spans="1:18" x14ac:dyDescent="0.2">
      <c r="A221" s="75">
        <v>3305</v>
      </c>
      <c r="B221" s="76" t="s">
        <v>459</v>
      </c>
      <c r="C221" s="76">
        <v>340</v>
      </c>
      <c r="D221" s="76" t="s">
        <v>440</v>
      </c>
      <c r="E221" s="76" t="s">
        <v>426</v>
      </c>
      <c r="F221" s="77">
        <v>8550.6</v>
      </c>
      <c r="G221" s="77">
        <v>1021.35</v>
      </c>
      <c r="H221" s="77">
        <v>9571.9500000000007</v>
      </c>
      <c r="I221" s="76" t="s">
        <v>427</v>
      </c>
      <c r="J221" s="77">
        <v>0</v>
      </c>
      <c r="K221" s="78">
        <v>420.39</v>
      </c>
      <c r="M221" s="79" t="str">
        <f t="shared" si="11"/>
        <v>340-3305</v>
      </c>
      <c r="N221" s="79" t="str">
        <f t="shared" si="9"/>
        <v/>
      </c>
      <c r="O221" s="79" t="str">
        <f t="shared" si="10"/>
        <v>340</v>
      </c>
      <c r="P221" s="79" t="str">
        <f>IFERROR(VLOOKUP($M221,Export!$P:$R,2,FALSE),"-")</f>
        <v>Service</v>
      </c>
      <c r="Q221" s="79" t="str">
        <f>IFERROR(VLOOKUP($M221,Export!$P:$R,3,FALSE),"-")</f>
        <v>ServiceRetail % of Labour Sales</v>
      </c>
      <c r="R221" s="80" t="str" cm="1">
        <f t="array" ref="R221">_xlfn.IFS(P221="Service", _xlfn.IFS(I221="SALES","GP",I221="SERVICE SALES","GP",I221="PARTS SALES","GP",I221="SERVICE COS","GP",I221="PARTS COS","GP",I221="SELLING EXPENSES","Selling Expenses",I221="EMPLOYMENT EXPENSES","Selling Expenses",I221="EMPLOYMENT EXPENSES","Selling Expenses",I221="DIRECT EXPENSES","Selling Expenses",I221="INDIRECT EXPENSES","Selling Expenses"),P221="Parts",_xlfn.IFS(I221="SALES","GP",I221="SERVICE SALES","GP",I221="PARTS SALES","GP",I221="SERVICE COS","GP",I221="PARTS COS","GP",I221="SELLING EXPENSES","Selling Expenses",I221="EMPLOYMENT EXPENSES","Selling Expenses",I221="EMPLOYMENT EXPENSES","Selling Expenses",I221="DIRECT EXPENSES","Selling Expenses",I221="INDIRECT EXPENSES","Selling Expenses"))</f>
        <v>GP</v>
      </c>
    </row>
    <row r="222" spans="1:18" x14ac:dyDescent="0.2">
      <c r="A222" s="75">
        <v>3305</v>
      </c>
      <c r="B222" s="76" t="s">
        <v>459</v>
      </c>
      <c r="C222" s="76">
        <v>440</v>
      </c>
      <c r="D222" s="76" t="s">
        <v>441</v>
      </c>
      <c r="E222" s="76" t="s">
        <v>426</v>
      </c>
      <c r="F222" s="77">
        <v>2872.14</v>
      </c>
      <c r="G222" s="77">
        <v>80.790000000000006</v>
      </c>
      <c r="H222" s="77">
        <v>2952.93</v>
      </c>
      <c r="I222" s="76" t="s">
        <v>427</v>
      </c>
      <c r="J222" s="77">
        <v>0</v>
      </c>
      <c r="K222" s="78">
        <v>1616.42</v>
      </c>
      <c r="M222" s="79" t="str">
        <f t="shared" si="11"/>
        <v>440-3305</v>
      </c>
      <c r="N222" s="79" t="str">
        <f t="shared" si="9"/>
        <v/>
      </c>
      <c r="O222" s="79" t="str">
        <f t="shared" si="10"/>
        <v>440</v>
      </c>
      <c r="P222" s="79" t="str">
        <f>IFERROR(VLOOKUP($M222,Export!$P:$R,2,FALSE),"-")</f>
        <v>Service</v>
      </c>
      <c r="Q222" s="79" t="str">
        <f>IFERROR(VLOOKUP($M222,Export!$P:$R,3,FALSE),"-")</f>
        <v>ServiceRetail % of Labour Sales</v>
      </c>
      <c r="R222" s="80" t="str" cm="1">
        <f t="array" ref="R222">_xlfn.IFS(P222="Service", _xlfn.IFS(I222="SALES","GP",I222="SERVICE SALES","GP",I222="PARTS SALES","GP",I222="SERVICE COS","GP",I222="PARTS COS","GP",I222="SELLING EXPENSES","Selling Expenses",I222="EMPLOYMENT EXPENSES","Selling Expenses",I222="EMPLOYMENT EXPENSES","Selling Expenses",I222="DIRECT EXPENSES","Selling Expenses",I222="INDIRECT EXPENSES","Selling Expenses"),P222="Parts",_xlfn.IFS(I222="SALES","GP",I222="SERVICE SALES","GP",I222="PARTS SALES","GP",I222="SERVICE COS","GP",I222="PARTS COS","GP",I222="SELLING EXPENSES","Selling Expenses",I222="EMPLOYMENT EXPENSES","Selling Expenses",I222="EMPLOYMENT EXPENSES","Selling Expenses",I222="DIRECT EXPENSES","Selling Expenses",I222="INDIRECT EXPENSES","Selling Expenses"))</f>
        <v>GP</v>
      </c>
    </row>
    <row r="223" spans="1:18" x14ac:dyDescent="0.2">
      <c r="A223" s="75">
        <v>8540</v>
      </c>
      <c r="B223" s="76" t="s">
        <v>460</v>
      </c>
      <c r="C223" s="76">
        <v>130</v>
      </c>
      <c r="D223" s="76" t="s">
        <v>432</v>
      </c>
      <c r="E223" s="76" t="s">
        <v>426</v>
      </c>
      <c r="F223" s="77">
        <v>-323.27999999999997</v>
      </c>
      <c r="G223" s="77">
        <v>-1681.57</v>
      </c>
      <c r="H223" s="77">
        <v>-2004.85</v>
      </c>
      <c r="I223" s="76" t="s">
        <v>427</v>
      </c>
      <c r="J223" s="77">
        <v>0</v>
      </c>
      <c r="K223" s="78">
        <v>-491.75</v>
      </c>
      <c r="M223" s="79" t="str">
        <f t="shared" si="11"/>
        <v>130-8540</v>
      </c>
      <c r="N223" s="79" t="str">
        <f t="shared" si="9"/>
        <v/>
      </c>
      <c r="O223" s="79" t="str">
        <f t="shared" si="10"/>
        <v>130</v>
      </c>
      <c r="P223" s="79" t="str">
        <f>IFERROR(VLOOKUP($M223,Export!$P:$R,2,FALSE),"-")</f>
        <v>Parts</v>
      </c>
      <c r="Q223" s="79" t="str">
        <f>IFERROR(VLOOKUP($M223,Export!$P:$R,3,FALSE),"-")</f>
        <v>PartsOther Sales %  Sales</v>
      </c>
      <c r="R223" s="80" t="str" cm="1">
        <f t="array" ref="R223">_xlfn.IFS(P223="Service", _xlfn.IFS(I223="SALES","GP",I223="SERVICE SALES","GP",I223="PARTS SALES","GP",I223="SERVICE COS","GP",I223="PARTS COS","GP",I223="SELLING EXPENSES","Selling Expenses",I223="EMPLOYMENT EXPENSES","Selling Expenses",I223="EMPLOYMENT EXPENSES","Selling Expenses",I223="DIRECT EXPENSES","Selling Expenses",I223="INDIRECT EXPENSES","Selling Expenses"),P223="Parts",_xlfn.IFS(I223="SALES","GP",I223="SERVICE SALES","GP",I223="PARTS SALES","GP",I223="SERVICE COS","GP",I223="PARTS COS","GP",I223="SELLING EXPENSES","Selling Expenses",I223="EMPLOYMENT EXPENSES","Selling Expenses",I223="EMPLOYMENT EXPENSES","Selling Expenses",I223="DIRECT EXPENSES","Selling Expenses",I223="INDIRECT EXPENSES","Selling Expenses"))</f>
        <v>GP</v>
      </c>
    </row>
    <row r="224" spans="1:18" x14ac:dyDescent="0.2">
      <c r="A224" s="75">
        <v>8540</v>
      </c>
      <c r="B224" s="76" t="s">
        <v>460</v>
      </c>
      <c r="C224" s="76">
        <v>140</v>
      </c>
      <c r="D224" s="76" t="s">
        <v>433</v>
      </c>
      <c r="E224" s="76" t="s">
        <v>426</v>
      </c>
      <c r="F224" s="77">
        <v>1.69</v>
      </c>
      <c r="G224" s="77">
        <v>-0.28000000000000003</v>
      </c>
      <c r="H224" s="77">
        <v>1.41</v>
      </c>
      <c r="I224" s="76" t="s">
        <v>427</v>
      </c>
      <c r="J224" s="77">
        <v>0</v>
      </c>
      <c r="K224" s="78">
        <v>-995.42</v>
      </c>
      <c r="M224" s="79" t="str">
        <f t="shared" si="11"/>
        <v>140-8540</v>
      </c>
      <c r="N224" s="79" t="str">
        <f t="shared" si="9"/>
        <v/>
      </c>
      <c r="O224" s="79" t="str">
        <f t="shared" si="10"/>
        <v>140</v>
      </c>
      <c r="P224" s="79" t="str">
        <f>IFERROR(VLOOKUP($M224,Export!$P:$R,2,FALSE),"-")</f>
        <v>Service</v>
      </c>
      <c r="Q224" s="79" t="str">
        <f>IFERROR(VLOOKUP($M224,Export!$P:$R,3,FALSE),"-")</f>
        <v>ServiceMiscellaneous % of Total Sales</v>
      </c>
      <c r="R224" s="80" t="str" cm="1">
        <f t="array" ref="R224">_xlfn.IFS(P224="Service", _xlfn.IFS(I224="SALES","GP",I224="SERVICE SALES","GP",I224="PARTS SALES","GP",I224="SERVICE COS","GP",I224="PARTS COS","GP",I224="SELLING EXPENSES","Selling Expenses",I224="EMPLOYMENT EXPENSES","Selling Expenses",I224="EMPLOYMENT EXPENSES","Selling Expenses",I224="DIRECT EXPENSES","Selling Expenses",I224="INDIRECT EXPENSES","Selling Expenses"),P224="Parts",_xlfn.IFS(I224="SALES","GP",I224="SERVICE SALES","GP",I224="PARTS SALES","GP",I224="SERVICE COS","GP",I224="PARTS COS","GP",I224="SELLING EXPENSES","Selling Expenses",I224="EMPLOYMENT EXPENSES","Selling Expenses",I224="EMPLOYMENT EXPENSES","Selling Expenses",I224="DIRECT EXPENSES","Selling Expenses",I224="INDIRECT EXPENSES","Selling Expenses"))</f>
        <v>GP</v>
      </c>
    </row>
    <row r="225" spans="1:18" x14ac:dyDescent="0.2">
      <c r="A225" s="75">
        <v>8540</v>
      </c>
      <c r="B225" s="76" t="s">
        <v>460</v>
      </c>
      <c r="C225" s="76">
        <v>160</v>
      </c>
      <c r="D225" s="76" t="s">
        <v>434</v>
      </c>
      <c r="E225" s="76" t="s">
        <v>426</v>
      </c>
      <c r="F225" s="77">
        <v>0</v>
      </c>
      <c r="G225" s="77">
        <v>0</v>
      </c>
      <c r="H225" s="77">
        <v>0</v>
      </c>
      <c r="I225" s="76" t="s">
        <v>427</v>
      </c>
      <c r="J225" s="77">
        <v>0</v>
      </c>
      <c r="K225" s="78">
        <v>94</v>
      </c>
      <c r="M225" s="79" t="str">
        <f t="shared" si="11"/>
        <v>160-8540</v>
      </c>
      <c r="N225" s="79" t="str">
        <f t="shared" si="9"/>
        <v/>
      </c>
      <c r="O225" s="79" t="str">
        <f t="shared" si="10"/>
        <v>160</v>
      </c>
      <c r="P225" s="79" t="str">
        <f>IFERROR(VLOOKUP($M225,Export!$P:$R,2,FALSE),"-")</f>
        <v>F&amp;I</v>
      </c>
      <c r="Q225" s="79" t="str">
        <f>IFERROR(VLOOKUP($M225,Export!$P:$R,3,FALSE),"-")</f>
        <v>F&amp;IF&amp;I Other Income per vehicle retailed</v>
      </c>
      <c r="R225" s="80" t="e" cm="1">
        <f t="array" ref="R225">_xlfn.IFS(P225="Service", _xlfn.IFS(I225="SALES","GP",I225="SERVICE SALES","GP",I225="PARTS SALES","GP",I225="SERVICE COS","GP",I225="PARTS COS","GP",I225="SELLING EXPENSES","Selling Expenses",I225="EMPLOYMENT EXPENSES","Selling Expenses",I225="EMPLOYMENT EXPENSES","Selling Expenses",I225="DIRECT EXPENSES","Selling Expenses",I225="INDIRECT EXPENSES","Selling Expenses"),P225="Parts",_xlfn.IFS(I225="SALES","GP",I225="SERVICE SALES","GP",I225="PARTS SALES","GP",I225="SERVICE COS","GP",I225="PARTS COS","GP",I225="SELLING EXPENSES","Selling Expenses",I225="EMPLOYMENT EXPENSES","Selling Expenses",I225="EMPLOYMENT EXPENSES","Selling Expenses",I225="DIRECT EXPENSES","Selling Expenses",I225="INDIRECT EXPENSES","Selling Expenses"))</f>
        <v>#N/A</v>
      </c>
    </row>
    <row r="226" spans="1:18" x14ac:dyDescent="0.2">
      <c r="A226" s="75">
        <v>8540</v>
      </c>
      <c r="B226" s="76" t="s">
        <v>460</v>
      </c>
      <c r="C226" s="76">
        <v>230</v>
      </c>
      <c r="D226" s="76" t="s">
        <v>438</v>
      </c>
      <c r="E226" s="76" t="s">
        <v>426</v>
      </c>
      <c r="F226" s="77">
        <v>0</v>
      </c>
      <c r="G226" s="77">
        <v>-4.57</v>
      </c>
      <c r="H226" s="77">
        <v>-4.57</v>
      </c>
      <c r="I226" s="76" t="s">
        <v>427</v>
      </c>
      <c r="J226" s="77">
        <v>0</v>
      </c>
      <c r="K226" s="78">
        <v>0</v>
      </c>
      <c r="M226" s="79" t="str">
        <f t="shared" si="11"/>
        <v>230-8540</v>
      </c>
      <c r="N226" s="79" t="str">
        <f t="shared" si="9"/>
        <v/>
      </c>
      <c r="O226" s="79" t="str">
        <f t="shared" si="10"/>
        <v>230</v>
      </c>
      <c r="P226" s="79" t="str">
        <f>IFERROR(VLOOKUP($M226,Export!$P:$R,2,FALSE),"-")</f>
        <v>Parts</v>
      </c>
      <c r="Q226" s="79" t="str">
        <f>IFERROR(VLOOKUP($M226,Export!$P:$R,3,FALSE),"-")</f>
        <v>PartsOther Sales %  Sales</v>
      </c>
      <c r="R226" s="80" t="str" cm="1">
        <f t="array" ref="R226">_xlfn.IFS(P226="Service", _xlfn.IFS(I226="SALES","GP",I226="SERVICE SALES","GP",I226="PARTS SALES","GP",I226="SERVICE COS","GP",I226="PARTS COS","GP",I226="SELLING EXPENSES","Selling Expenses",I226="EMPLOYMENT EXPENSES","Selling Expenses",I226="EMPLOYMENT EXPENSES","Selling Expenses",I226="DIRECT EXPENSES","Selling Expenses",I226="INDIRECT EXPENSES","Selling Expenses"),P226="Parts",_xlfn.IFS(I226="SALES","GP",I226="SERVICE SALES","GP",I226="PARTS SALES","GP",I226="SERVICE COS","GP",I226="PARTS COS","GP",I226="SELLING EXPENSES","Selling Expenses",I226="EMPLOYMENT EXPENSES","Selling Expenses",I226="EMPLOYMENT EXPENSES","Selling Expenses",I226="DIRECT EXPENSES","Selling Expenses",I226="INDIRECT EXPENSES","Selling Expenses"))</f>
        <v>GP</v>
      </c>
    </row>
    <row r="227" spans="1:18" x14ac:dyDescent="0.2">
      <c r="A227" s="75">
        <v>8540</v>
      </c>
      <c r="B227" s="76" t="s">
        <v>460</v>
      </c>
      <c r="C227" s="76">
        <v>240</v>
      </c>
      <c r="D227" s="76" t="s">
        <v>439</v>
      </c>
      <c r="E227" s="76" t="s">
        <v>426</v>
      </c>
      <c r="F227" s="77">
        <v>-1936.24</v>
      </c>
      <c r="G227" s="77">
        <v>0</v>
      </c>
      <c r="H227" s="77">
        <v>-1936.24</v>
      </c>
      <c r="I227" s="76" t="s">
        <v>427</v>
      </c>
      <c r="J227" s="77">
        <v>0</v>
      </c>
      <c r="K227" s="78">
        <v>-2214.1999999999998</v>
      </c>
      <c r="M227" s="79" t="str">
        <f t="shared" si="11"/>
        <v>240-8540</v>
      </c>
      <c r="N227" s="79" t="str">
        <f t="shared" si="9"/>
        <v/>
      </c>
      <c r="O227" s="79" t="str">
        <f t="shared" si="10"/>
        <v>240</v>
      </c>
      <c r="P227" s="79" t="str">
        <f>IFERROR(VLOOKUP($M227,Export!$P:$R,2,FALSE),"-")</f>
        <v>Service</v>
      </c>
      <c r="Q227" s="79" t="str">
        <f>IFERROR(VLOOKUP($M227,Export!$P:$R,3,FALSE),"-")</f>
        <v>ServiceMiscellaneous % of Total Sales</v>
      </c>
      <c r="R227" s="80" t="str" cm="1">
        <f t="array" ref="R227">_xlfn.IFS(P227="Service", _xlfn.IFS(I227="SALES","GP",I227="SERVICE SALES","GP",I227="PARTS SALES","GP",I227="SERVICE COS","GP",I227="PARTS COS","GP",I227="SELLING EXPENSES","Selling Expenses",I227="EMPLOYMENT EXPENSES","Selling Expenses",I227="EMPLOYMENT EXPENSES","Selling Expenses",I227="DIRECT EXPENSES","Selling Expenses",I227="INDIRECT EXPENSES","Selling Expenses"),P227="Parts",_xlfn.IFS(I227="SALES","GP",I227="SERVICE SALES","GP",I227="PARTS SALES","GP",I227="SERVICE COS","GP",I227="PARTS COS","GP",I227="SELLING EXPENSES","Selling Expenses",I227="EMPLOYMENT EXPENSES","Selling Expenses",I227="EMPLOYMENT EXPENSES","Selling Expenses",I227="DIRECT EXPENSES","Selling Expenses",I227="INDIRECT EXPENSES","Selling Expenses"))</f>
        <v>GP</v>
      </c>
    </row>
    <row r="228" spans="1:18" x14ac:dyDescent="0.2">
      <c r="A228" s="75" t="s">
        <v>461</v>
      </c>
      <c r="B228" s="76" t="s">
        <v>462</v>
      </c>
      <c r="C228" s="76">
        <v>100</v>
      </c>
      <c r="D228" s="76" t="s">
        <v>227</v>
      </c>
      <c r="E228" s="76" t="s">
        <v>426</v>
      </c>
      <c r="F228" s="77">
        <v>-11866.2</v>
      </c>
      <c r="G228" s="77">
        <v>0</v>
      </c>
      <c r="H228" s="77">
        <v>-11866.2</v>
      </c>
      <c r="I228" s="76" t="s">
        <v>463</v>
      </c>
      <c r="J228" s="77">
        <v>0</v>
      </c>
      <c r="K228" s="78">
        <v>-13693.68</v>
      </c>
      <c r="M228" s="79" t="str">
        <f t="shared" si="11"/>
        <v>100-3076R</v>
      </c>
      <c r="N228" s="79" t="str">
        <f t="shared" si="9"/>
        <v/>
      </c>
      <c r="O228" s="79" t="str">
        <f t="shared" si="10"/>
        <v>100</v>
      </c>
      <c r="P228" s="79" t="str">
        <f>IFERROR(VLOOKUP($M228,Export!$P:$R,2,FALSE),"-")</f>
        <v>New Vehicle</v>
      </c>
      <c r="Q228" s="79" t="str">
        <f>IFERROR(VLOOKUP($M228,Export!$P:$R,3,FALSE),"-")</f>
        <v>New VehicleOther Income per NV unit</v>
      </c>
      <c r="R228" s="80" t="e" cm="1">
        <f t="array" ref="R228">_xlfn.IFS(P228="Service", _xlfn.IFS(I228="SALES","GP",I228="SERVICE SALES","GP",I228="PARTS SALES","GP",I228="SERVICE COS","GP",I228="PARTS COS","GP",I228="SELLING EXPENSES","Selling Expenses",I228="EMPLOYMENT EXPENSES","Selling Expenses",I228="EMPLOYMENT EXPENSES","Selling Expenses",I228="DIRECT EXPENSES","Selling Expenses",I228="INDIRECT EXPENSES","Selling Expenses"),P228="Parts",_xlfn.IFS(I228="SALES","GP",I228="SERVICE SALES","GP",I228="PARTS SALES","GP",I228="SERVICE COS","GP",I228="PARTS COS","GP",I228="SELLING EXPENSES","Selling Expenses",I228="EMPLOYMENT EXPENSES","Selling Expenses",I228="EMPLOYMENT EXPENSES","Selling Expenses",I228="DIRECT EXPENSES","Selling Expenses",I228="INDIRECT EXPENSES","Selling Expenses"))</f>
        <v>#N/A</v>
      </c>
    </row>
    <row r="229" spans="1:18" x14ac:dyDescent="0.2">
      <c r="A229" s="75" t="s">
        <v>461</v>
      </c>
      <c r="B229" s="76" t="s">
        <v>462</v>
      </c>
      <c r="C229" s="76">
        <v>110</v>
      </c>
      <c r="D229" s="76" t="s">
        <v>430</v>
      </c>
      <c r="E229" s="76" t="s">
        <v>426</v>
      </c>
      <c r="F229" s="77">
        <v>-100390.18</v>
      </c>
      <c r="G229" s="77">
        <v>0</v>
      </c>
      <c r="H229" s="77">
        <v>-100390.18</v>
      </c>
      <c r="I229" s="76" t="s">
        <v>463</v>
      </c>
      <c r="J229" s="77">
        <v>0</v>
      </c>
      <c r="K229" s="78">
        <v>0</v>
      </c>
      <c r="M229" s="79" t="str">
        <f t="shared" si="11"/>
        <v>110-3076R</v>
      </c>
      <c r="N229" s="79" t="str">
        <f t="shared" si="9"/>
        <v/>
      </c>
      <c r="O229" s="79" t="str">
        <f t="shared" si="10"/>
        <v>110</v>
      </c>
      <c r="P229" s="79" t="str">
        <f>IFERROR(VLOOKUP($M229,Export!$P:$R,2,FALSE),"-")</f>
        <v>Used Vehicle</v>
      </c>
      <c r="Q229" s="79" t="str">
        <f>IFERROR(VLOOKUP($M229,Export!$P:$R,3,FALSE),"-")</f>
        <v>Used VehicleEx NV demonstrators gross profit p.u.</v>
      </c>
      <c r="R229" s="80" t="e" cm="1">
        <f t="array" ref="R229">_xlfn.IFS(P229="Service", _xlfn.IFS(I229="SALES","GP",I229="SERVICE SALES","GP",I229="PARTS SALES","GP",I229="SERVICE COS","GP",I229="PARTS COS","GP",I229="SELLING EXPENSES","Selling Expenses",I229="EMPLOYMENT EXPENSES","Selling Expenses",I229="EMPLOYMENT EXPENSES","Selling Expenses",I229="DIRECT EXPENSES","Selling Expenses",I229="INDIRECT EXPENSES","Selling Expenses"),P229="Parts",_xlfn.IFS(I229="SALES","GP",I229="SERVICE SALES","GP",I229="PARTS SALES","GP",I229="SERVICE COS","GP",I229="PARTS COS","GP",I229="SELLING EXPENSES","Selling Expenses",I229="EMPLOYMENT EXPENSES","Selling Expenses",I229="EMPLOYMENT EXPENSES","Selling Expenses",I229="DIRECT EXPENSES","Selling Expenses",I229="INDIRECT EXPENSES","Selling Expenses"))</f>
        <v>#N/A</v>
      </c>
    </row>
    <row r="230" spans="1:18" x14ac:dyDescent="0.2">
      <c r="A230" s="75" t="s">
        <v>461</v>
      </c>
      <c r="B230" s="76" t="s">
        <v>462</v>
      </c>
      <c r="C230" s="76">
        <v>200</v>
      </c>
      <c r="D230" s="76" t="s">
        <v>428</v>
      </c>
      <c r="E230" s="76" t="s">
        <v>426</v>
      </c>
      <c r="F230" s="77">
        <v>-41273.68</v>
      </c>
      <c r="G230" s="77">
        <v>-6038.04</v>
      </c>
      <c r="H230" s="77">
        <v>-47311.72</v>
      </c>
      <c r="I230" s="76" t="s">
        <v>463</v>
      </c>
      <c r="J230" s="77">
        <v>0</v>
      </c>
      <c r="K230" s="78">
        <v>-22065.46</v>
      </c>
      <c r="M230" s="79" t="str">
        <f t="shared" si="11"/>
        <v>200-3076R</v>
      </c>
      <c r="N230" s="79" t="str">
        <f t="shared" si="9"/>
        <v/>
      </c>
      <c r="O230" s="79" t="str">
        <f t="shared" si="10"/>
        <v>200</v>
      </c>
      <c r="P230" s="79" t="str">
        <f>IFERROR(VLOOKUP($M230,Export!$P:$R,2,FALSE),"-")</f>
        <v>New Vehicle</v>
      </c>
      <c r="Q230" s="79" t="str">
        <f>IFERROR(VLOOKUP($M230,Export!$P:$R,3,FALSE),"-")</f>
        <v>New VehicleOther Income per NV unit</v>
      </c>
      <c r="R230" s="80" t="e" cm="1">
        <f t="array" ref="R230">_xlfn.IFS(P230="Service", _xlfn.IFS(I230="SALES","GP",I230="SERVICE SALES","GP",I230="PARTS SALES","GP",I230="SERVICE COS","GP",I230="PARTS COS","GP",I230="SELLING EXPENSES","Selling Expenses",I230="EMPLOYMENT EXPENSES","Selling Expenses",I230="EMPLOYMENT EXPENSES","Selling Expenses",I230="DIRECT EXPENSES","Selling Expenses",I230="INDIRECT EXPENSES","Selling Expenses"),P230="Parts",_xlfn.IFS(I230="SALES","GP",I230="SERVICE SALES","GP",I230="PARTS SALES","GP",I230="SERVICE COS","GP",I230="PARTS COS","GP",I230="SELLING EXPENSES","Selling Expenses",I230="EMPLOYMENT EXPENSES","Selling Expenses",I230="EMPLOYMENT EXPENSES","Selling Expenses",I230="DIRECT EXPENSES","Selling Expenses",I230="INDIRECT EXPENSES","Selling Expenses"))</f>
        <v>#N/A</v>
      </c>
    </row>
    <row r="231" spans="1:18" x14ac:dyDescent="0.2">
      <c r="A231" s="75" t="s">
        <v>87</v>
      </c>
      <c r="B231" s="76" t="s">
        <v>88</v>
      </c>
      <c r="C231" s="76">
        <v>100</v>
      </c>
      <c r="D231" s="76" t="s">
        <v>227</v>
      </c>
      <c r="E231" s="76" t="s">
        <v>426</v>
      </c>
      <c r="F231" s="77">
        <v>-237865.09</v>
      </c>
      <c r="G231" s="77">
        <v>-16630.68</v>
      </c>
      <c r="H231" s="77">
        <v>-254495.77</v>
      </c>
      <c r="I231" s="76" t="s">
        <v>463</v>
      </c>
      <c r="J231" s="77">
        <v>0</v>
      </c>
      <c r="K231" s="78">
        <v>-171145.82</v>
      </c>
      <c r="M231" s="79" t="str">
        <f t="shared" si="11"/>
        <v>100-3090R</v>
      </c>
      <c r="N231" s="79" t="str">
        <f t="shared" si="9"/>
        <v/>
      </c>
      <c r="O231" s="79" t="str">
        <f t="shared" si="10"/>
        <v>100</v>
      </c>
      <c r="P231" s="79" t="str">
        <f>IFERROR(VLOOKUP($M231,Export!$P:$R,2,FALSE),"-")</f>
        <v>New Vehicle</v>
      </c>
      <c r="Q231" s="79" t="str">
        <f>IFERROR(VLOOKUP($M231,Export!$P:$R,3,FALSE),"-")</f>
        <v>New VehicleOther Income per NV unit</v>
      </c>
      <c r="R231" s="80" t="e" cm="1">
        <f t="array" ref="R231">_xlfn.IFS(P231="Service", _xlfn.IFS(I231="SALES","GP",I231="SERVICE SALES","GP",I231="PARTS SALES","GP",I231="SERVICE COS","GP",I231="PARTS COS","GP",I231="SELLING EXPENSES","Selling Expenses",I231="EMPLOYMENT EXPENSES","Selling Expenses",I231="EMPLOYMENT EXPENSES","Selling Expenses",I231="DIRECT EXPENSES","Selling Expenses",I231="INDIRECT EXPENSES","Selling Expenses"),P231="Parts",_xlfn.IFS(I231="SALES","GP",I231="SERVICE SALES","GP",I231="PARTS SALES","GP",I231="SERVICE COS","GP",I231="PARTS COS","GP",I231="SELLING EXPENSES","Selling Expenses",I231="EMPLOYMENT EXPENSES","Selling Expenses",I231="EMPLOYMENT EXPENSES","Selling Expenses",I231="DIRECT EXPENSES","Selling Expenses",I231="INDIRECT EXPENSES","Selling Expenses"))</f>
        <v>#N/A</v>
      </c>
    </row>
    <row r="232" spans="1:18" x14ac:dyDescent="0.2">
      <c r="A232" s="75" t="s">
        <v>87</v>
      </c>
      <c r="B232" s="76" t="s">
        <v>88</v>
      </c>
      <c r="C232" s="76">
        <v>110</v>
      </c>
      <c r="D232" s="76" t="s">
        <v>430</v>
      </c>
      <c r="E232" s="76" t="s">
        <v>426</v>
      </c>
      <c r="F232" s="77">
        <v>-241452.18</v>
      </c>
      <c r="G232" s="77">
        <v>0</v>
      </c>
      <c r="H232" s="77">
        <v>-241452.18</v>
      </c>
      <c r="I232" s="76" t="s">
        <v>463</v>
      </c>
      <c r="J232" s="77">
        <v>-34522.14</v>
      </c>
      <c r="K232" s="78">
        <v>-238697.67</v>
      </c>
      <c r="M232" s="79" t="str">
        <f t="shared" si="11"/>
        <v>110-3090R</v>
      </c>
      <c r="N232" s="79" t="str">
        <f t="shared" si="9"/>
        <v/>
      </c>
      <c r="O232" s="79" t="str">
        <f t="shared" si="10"/>
        <v>110</v>
      </c>
      <c r="P232" s="79" t="str">
        <f>IFERROR(VLOOKUP($M232,Export!$P:$R,2,FALSE),"-")</f>
        <v>Used Vehicle</v>
      </c>
      <c r="Q232" s="79" t="str">
        <f>IFERROR(VLOOKUP($M232,Export!$P:$R,3,FALSE),"-")</f>
        <v>Used VehicleEx NV demonstrators gross profit p.u.</v>
      </c>
      <c r="R232" s="80" t="e" cm="1">
        <f t="array" ref="R232">_xlfn.IFS(P232="Service", _xlfn.IFS(I232="SALES","GP",I232="SERVICE SALES","GP",I232="PARTS SALES","GP",I232="SERVICE COS","GP",I232="PARTS COS","GP",I232="SELLING EXPENSES","Selling Expenses",I232="EMPLOYMENT EXPENSES","Selling Expenses",I232="EMPLOYMENT EXPENSES","Selling Expenses",I232="DIRECT EXPENSES","Selling Expenses",I232="INDIRECT EXPENSES","Selling Expenses"),P232="Parts",_xlfn.IFS(I232="SALES","GP",I232="SERVICE SALES","GP",I232="PARTS SALES","GP",I232="SERVICE COS","GP",I232="PARTS COS","GP",I232="SELLING EXPENSES","Selling Expenses",I232="EMPLOYMENT EXPENSES","Selling Expenses",I232="EMPLOYMENT EXPENSES","Selling Expenses",I232="DIRECT EXPENSES","Selling Expenses",I232="INDIRECT EXPENSES","Selling Expenses"))</f>
        <v>#N/A</v>
      </c>
    </row>
    <row r="233" spans="1:18" x14ac:dyDescent="0.2">
      <c r="A233" s="75" t="s">
        <v>87</v>
      </c>
      <c r="B233" s="76" t="s">
        <v>88</v>
      </c>
      <c r="C233" s="76">
        <v>200</v>
      </c>
      <c r="D233" s="76" t="s">
        <v>428</v>
      </c>
      <c r="E233" s="76" t="s">
        <v>426</v>
      </c>
      <c r="F233" s="77">
        <v>-281210.48</v>
      </c>
      <c r="G233" s="77">
        <v>-39295.660000000003</v>
      </c>
      <c r="H233" s="77">
        <v>-320506.14</v>
      </c>
      <c r="I233" s="76" t="s">
        <v>463</v>
      </c>
      <c r="J233" s="77">
        <v>0</v>
      </c>
      <c r="K233" s="78">
        <v>-121575.58</v>
      </c>
      <c r="M233" s="79" t="str">
        <f t="shared" si="11"/>
        <v>200-3090R</v>
      </c>
      <c r="N233" s="79" t="str">
        <f t="shared" si="9"/>
        <v/>
      </c>
      <c r="O233" s="79" t="str">
        <f t="shared" si="10"/>
        <v>200</v>
      </c>
      <c r="P233" s="79" t="str">
        <f>IFERROR(VLOOKUP($M233,Export!$P:$R,2,FALSE),"-")</f>
        <v>New Vehicle</v>
      </c>
      <c r="Q233" s="79" t="str">
        <f>IFERROR(VLOOKUP($M233,Export!$P:$R,3,FALSE),"-")</f>
        <v>New VehicleOther Income per NV unit</v>
      </c>
      <c r="R233" s="80" t="e" cm="1">
        <f t="array" ref="R233">_xlfn.IFS(P233="Service", _xlfn.IFS(I233="SALES","GP",I233="SERVICE SALES","GP",I233="PARTS SALES","GP",I233="SERVICE COS","GP",I233="PARTS COS","GP",I233="SELLING EXPENSES","Selling Expenses",I233="EMPLOYMENT EXPENSES","Selling Expenses",I233="EMPLOYMENT EXPENSES","Selling Expenses",I233="DIRECT EXPENSES","Selling Expenses",I233="INDIRECT EXPENSES","Selling Expenses"),P233="Parts",_xlfn.IFS(I233="SALES","GP",I233="SERVICE SALES","GP",I233="PARTS SALES","GP",I233="SERVICE COS","GP",I233="PARTS COS","GP",I233="SELLING EXPENSES","Selling Expenses",I233="EMPLOYMENT EXPENSES","Selling Expenses",I233="EMPLOYMENT EXPENSES","Selling Expenses",I233="DIRECT EXPENSES","Selling Expenses",I233="INDIRECT EXPENSES","Selling Expenses"))</f>
        <v>#N/A</v>
      </c>
    </row>
    <row r="234" spans="1:18" x14ac:dyDescent="0.2">
      <c r="A234" s="75" t="s">
        <v>87</v>
      </c>
      <c r="B234" s="76" t="s">
        <v>88</v>
      </c>
      <c r="C234" s="76">
        <v>210</v>
      </c>
      <c r="D234" s="76" t="s">
        <v>436</v>
      </c>
      <c r="E234" s="76" t="s">
        <v>426</v>
      </c>
      <c r="F234" s="77">
        <v>-324573.92</v>
      </c>
      <c r="G234" s="77">
        <v>0</v>
      </c>
      <c r="H234" s="77">
        <v>-324573.92</v>
      </c>
      <c r="I234" s="76" t="s">
        <v>463</v>
      </c>
      <c r="J234" s="77">
        <v>-50000.42</v>
      </c>
      <c r="K234" s="78">
        <v>-349532.44</v>
      </c>
      <c r="M234" s="79" t="str">
        <f t="shared" si="11"/>
        <v>210-3090R</v>
      </c>
      <c r="N234" s="79" t="str">
        <f t="shared" si="9"/>
        <v/>
      </c>
      <c r="O234" s="79" t="str">
        <f t="shared" si="10"/>
        <v>210</v>
      </c>
      <c r="P234" s="79" t="str">
        <f>IFERROR(VLOOKUP($M234,Export!$P:$R,2,FALSE),"-")</f>
        <v>Used Vehicle</v>
      </c>
      <c r="Q234" s="79" t="str">
        <f>IFERROR(VLOOKUP($M234,Export!$P:$R,3,FALSE),"-")</f>
        <v>Used VehicleEx NV demonstrators gross profit p.u.</v>
      </c>
      <c r="R234" s="80" t="e" cm="1">
        <f t="array" ref="R234">_xlfn.IFS(P234="Service", _xlfn.IFS(I234="SALES","GP",I234="SERVICE SALES","GP",I234="PARTS SALES","GP",I234="SERVICE COS","GP",I234="PARTS COS","GP",I234="SELLING EXPENSES","Selling Expenses",I234="EMPLOYMENT EXPENSES","Selling Expenses",I234="EMPLOYMENT EXPENSES","Selling Expenses",I234="DIRECT EXPENSES","Selling Expenses",I234="INDIRECT EXPENSES","Selling Expenses"),P234="Parts",_xlfn.IFS(I234="SALES","GP",I234="SERVICE SALES","GP",I234="PARTS SALES","GP",I234="SERVICE COS","GP",I234="PARTS COS","GP",I234="SELLING EXPENSES","Selling Expenses",I234="EMPLOYMENT EXPENSES","Selling Expenses",I234="EMPLOYMENT EXPENSES","Selling Expenses",I234="DIRECT EXPENSES","Selling Expenses",I234="INDIRECT EXPENSES","Selling Expenses"))</f>
        <v>#N/A</v>
      </c>
    </row>
    <row r="235" spans="1:18" x14ac:dyDescent="0.2">
      <c r="A235" s="75" t="s">
        <v>464</v>
      </c>
      <c r="B235" s="76" t="s">
        <v>465</v>
      </c>
      <c r="C235" s="76">
        <v>100</v>
      </c>
      <c r="D235" s="76" t="s">
        <v>227</v>
      </c>
      <c r="E235" s="76" t="s">
        <v>426</v>
      </c>
      <c r="F235" s="77">
        <v>2466.09</v>
      </c>
      <c r="G235" s="77">
        <v>0</v>
      </c>
      <c r="H235" s="77">
        <v>2466.09</v>
      </c>
      <c r="I235" s="76" t="s">
        <v>463</v>
      </c>
      <c r="J235" s="77">
        <v>0</v>
      </c>
      <c r="K235" s="78">
        <v>0</v>
      </c>
      <c r="M235" s="79" t="str">
        <f t="shared" si="11"/>
        <v>100-3090RD</v>
      </c>
      <c r="N235" s="79" t="str">
        <f t="shared" si="9"/>
        <v/>
      </c>
      <c r="O235" s="79" t="str">
        <f t="shared" si="10"/>
        <v>100</v>
      </c>
      <c r="P235" s="79" t="str">
        <f>IFERROR(VLOOKUP($M235,Export!$P:$R,2,FALSE),"-")</f>
        <v>New Vehicle</v>
      </c>
      <c r="Q235" s="79" t="str">
        <f>IFERROR(VLOOKUP($M235,Export!$P:$R,3,FALSE),"-")</f>
        <v>New VehicleOther Income per NV unit</v>
      </c>
      <c r="R235" s="80" t="e" cm="1">
        <f t="array" ref="R235">_xlfn.IFS(P235="Service", _xlfn.IFS(I235="SALES","GP",I235="SERVICE SALES","GP",I235="PARTS SALES","GP",I235="SERVICE COS","GP",I235="PARTS COS","GP",I235="SELLING EXPENSES","Selling Expenses",I235="EMPLOYMENT EXPENSES","Selling Expenses",I235="EMPLOYMENT EXPENSES","Selling Expenses",I235="DIRECT EXPENSES","Selling Expenses",I235="INDIRECT EXPENSES","Selling Expenses"),P235="Parts",_xlfn.IFS(I235="SALES","GP",I235="SERVICE SALES","GP",I235="PARTS SALES","GP",I235="SERVICE COS","GP",I235="PARTS COS","GP",I235="SELLING EXPENSES","Selling Expenses",I235="EMPLOYMENT EXPENSES","Selling Expenses",I235="EMPLOYMENT EXPENSES","Selling Expenses",I235="DIRECT EXPENSES","Selling Expenses",I235="INDIRECT EXPENSES","Selling Expenses"))</f>
        <v>#N/A</v>
      </c>
    </row>
    <row r="236" spans="1:18" x14ac:dyDescent="0.2">
      <c r="A236" s="75" t="s">
        <v>464</v>
      </c>
      <c r="B236" s="76" t="s">
        <v>465</v>
      </c>
      <c r="C236" s="76">
        <v>110</v>
      </c>
      <c r="D236" s="76" t="s">
        <v>430</v>
      </c>
      <c r="E236" s="76" t="s">
        <v>426</v>
      </c>
      <c r="F236" s="77">
        <v>860.87</v>
      </c>
      <c r="G236" s="77">
        <v>0</v>
      </c>
      <c r="H236" s="77">
        <v>860.87</v>
      </c>
      <c r="I236" s="76" t="s">
        <v>463</v>
      </c>
      <c r="J236" s="77">
        <v>0</v>
      </c>
      <c r="K236" s="78">
        <v>0</v>
      </c>
      <c r="M236" s="79" t="str">
        <f t="shared" si="11"/>
        <v>110-3090RD</v>
      </c>
      <c r="N236" s="79" t="str">
        <f t="shared" si="9"/>
        <v/>
      </c>
      <c r="O236" s="79" t="str">
        <f t="shared" si="10"/>
        <v>110</v>
      </c>
      <c r="P236" s="79" t="str">
        <f>IFERROR(VLOOKUP($M236,Export!$P:$R,2,FALSE),"-")</f>
        <v>Used Vehicle</v>
      </c>
      <c r="Q236" s="79" t="str">
        <f>IFERROR(VLOOKUP($M236,Export!$P:$R,3,FALSE),"-")</f>
        <v>Used VehicleEx NV demonstrators gross profit p.u.</v>
      </c>
      <c r="R236" s="80" t="e" cm="1">
        <f t="array" ref="R236">_xlfn.IFS(P236="Service", _xlfn.IFS(I236="SALES","GP",I236="SERVICE SALES","GP",I236="PARTS SALES","GP",I236="SERVICE COS","GP",I236="PARTS COS","GP",I236="SELLING EXPENSES","Selling Expenses",I236="EMPLOYMENT EXPENSES","Selling Expenses",I236="EMPLOYMENT EXPENSES","Selling Expenses",I236="DIRECT EXPENSES","Selling Expenses",I236="INDIRECT EXPENSES","Selling Expenses"),P236="Parts",_xlfn.IFS(I236="SALES","GP",I236="SERVICE SALES","GP",I236="PARTS SALES","GP",I236="SERVICE COS","GP",I236="PARTS COS","GP",I236="SELLING EXPENSES","Selling Expenses",I236="EMPLOYMENT EXPENSES","Selling Expenses",I236="EMPLOYMENT EXPENSES","Selling Expenses",I236="DIRECT EXPENSES","Selling Expenses",I236="INDIRECT EXPENSES","Selling Expenses"))</f>
        <v>#N/A</v>
      </c>
    </row>
    <row r="237" spans="1:18" x14ac:dyDescent="0.2">
      <c r="A237" s="75" t="s">
        <v>464</v>
      </c>
      <c r="B237" s="76" t="s">
        <v>465</v>
      </c>
      <c r="C237" s="76">
        <v>210</v>
      </c>
      <c r="D237" s="76" t="s">
        <v>436</v>
      </c>
      <c r="E237" s="76" t="s">
        <v>426</v>
      </c>
      <c r="F237" s="77">
        <v>865.22</v>
      </c>
      <c r="G237" s="77">
        <v>0</v>
      </c>
      <c r="H237" s="77">
        <v>865.22</v>
      </c>
      <c r="I237" s="76" t="s">
        <v>463</v>
      </c>
      <c r="J237" s="77">
        <v>0</v>
      </c>
      <c r="K237" s="78">
        <v>0</v>
      </c>
      <c r="M237" s="79" t="str">
        <f t="shared" si="11"/>
        <v>210-3090RD</v>
      </c>
      <c r="N237" s="79" t="str">
        <f t="shared" si="9"/>
        <v/>
      </c>
      <c r="O237" s="79" t="str">
        <f t="shared" si="10"/>
        <v>210</v>
      </c>
      <c r="P237" s="79" t="str">
        <f>IFERROR(VLOOKUP($M237,Export!$P:$R,2,FALSE),"-")</f>
        <v>Used Vehicle</v>
      </c>
      <c r="Q237" s="79" t="str">
        <f>IFERROR(VLOOKUP($M237,Export!$P:$R,3,FALSE),"-")</f>
        <v>Used VehicleEx NV demonstrators gross profit p.u.</v>
      </c>
      <c r="R237" s="80" t="e" cm="1">
        <f t="array" ref="R237">_xlfn.IFS(P237="Service", _xlfn.IFS(I237="SALES","GP",I237="SERVICE SALES","GP",I237="PARTS SALES","GP",I237="SERVICE COS","GP",I237="PARTS COS","GP",I237="SELLING EXPENSES","Selling Expenses",I237="EMPLOYMENT EXPENSES","Selling Expenses",I237="EMPLOYMENT EXPENSES","Selling Expenses",I237="DIRECT EXPENSES","Selling Expenses",I237="INDIRECT EXPENSES","Selling Expenses"),P237="Parts",_xlfn.IFS(I237="SALES","GP",I237="SERVICE SALES","GP",I237="PARTS SALES","GP",I237="SERVICE COS","GP",I237="PARTS COS","GP",I237="SELLING EXPENSES","Selling Expenses",I237="EMPLOYMENT EXPENSES","Selling Expenses",I237="EMPLOYMENT EXPENSES","Selling Expenses",I237="DIRECT EXPENSES","Selling Expenses",I237="INDIRECT EXPENSES","Selling Expenses"))</f>
        <v>#N/A</v>
      </c>
    </row>
    <row r="238" spans="1:18" x14ac:dyDescent="0.2">
      <c r="A238" s="75" t="s">
        <v>466</v>
      </c>
      <c r="B238" s="76" t="s">
        <v>467</v>
      </c>
      <c r="C238" s="76">
        <v>100</v>
      </c>
      <c r="D238" s="76" t="s">
        <v>227</v>
      </c>
      <c r="E238" s="76" t="s">
        <v>426</v>
      </c>
      <c r="F238" s="77">
        <v>-144552.19</v>
      </c>
      <c r="G238" s="77">
        <v>-2931.28</v>
      </c>
      <c r="H238" s="77">
        <v>-147483.47</v>
      </c>
      <c r="I238" s="76" t="s">
        <v>463</v>
      </c>
      <c r="J238" s="77">
        <v>0</v>
      </c>
      <c r="K238" s="78">
        <v>-30344.51</v>
      </c>
      <c r="M238" s="79" t="str">
        <f t="shared" si="11"/>
        <v>100-3095R</v>
      </c>
      <c r="N238" s="79" t="str">
        <f t="shared" si="9"/>
        <v/>
      </c>
      <c r="O238" s="79" t="str">
        <f t="shared" si="10"/>
        <v>100</v>
      </c>
      <c r="P238" s="79" t="str">
        <f>IFERROR(VLOOKUP($M238,Export!$P:$R,2,FALSE),"-")</f>
        <v>New Vehicle</v>
      </c>
      <c r="Q238" s="79" t="str">
        <f>IFERROR(VLOOKUP($M238,Export!$P:$R,3,FALSE),"-")</f>
        <v>New VehicleOther Income per NV unit</v>
      </c>
      <c r="R238" s="80" t="e" cm="1">
        <f t="array" ref="R238">_xlfn.IFS(P238="Service", _xlfn.IFS(I238="SALES","GP",I238="SERVICE SALES","GP",I238="PARTS SALES","GP",I238="SERVICE COS","GP",I238="PARTS COS","GP",I238="SELLING EXPENSES","Selling Expenses",I238="EMPLOYMENT EXPENSES","Selling Expenses",I238="EMPLOYMENT EXPENSES","Selling Expenses",I238="DIRECT EXPENSES","Selling Expenses",I238="INDIRECT EXPENSES","Selling Expenses"),P238="Parts",_xlfn.IFS(I238="SALES","GP",I238="SERVICE SALES","GP",I238="PARTS SALES","GP",I238="SERVICE COS","GP",I238="PARTS COS","GP",I238="SELLING EXPENSES","Selling Expenses",I238="EMPLOYMENT EXPENSES","Selling Expenses",I238="EMPLOYMENT EXPENSES","Selling Expenses",I238="DIRECT EXPENSES","Selling Expenses",I238="INDIRECT EXPENSES","Selling Expenses"))</f>
        <v>#N/A</v>
      </c>
    </row>
    <row r="239" spans="1:18" x14ac:dyDescent="0.2">
      <c r="A239" s="75" t="s">
        <v>466</v>
      </c>
      <c r="B239" s="76" t="s">
        <v>467</v>
      </c>
      <c r="C239" s="76">
        <v>110</v>
      </c>
      <c r="D239" s="76" t="s">
        <v>430</v>
      </c>
      <c r="E239" s="76" t="s">
        <v>426</v>
      </c>
      <c r="F239" s="77">
        <v>-186044.88</v>
      </c>
      <c r="G239" s="77">
        <v>0</v>
      </c>
      <c r="H239" s="77">
        <v>-186044.88</v>
      </c>
      <c r="I239" s="76" t="s">
        <v>463</v>
      </c>
      <c r="J239" s="77">
        <v>0</v>
      </c>
      <c r="K239" s="78">
        <v>-147609.32</v>
      </c>
      <c r="M239" s="79" t="str">
        <f t="shared" si="11"/>
        <v>110-3095R</v>
      </c>
      <c r="N239" s="79" t="str">
        <f t="shared" si="9"/>
        <v/>
      </c>
      <c r="O239" s="79" t="str">
        <f t="shared" si="10"/>
        <v>110</v>
      </c>
      <c r="P239" s="79" t="str">
        <f>IFERROR(VLOOKUP($M239,Export!$P:$R,2,FALSE),"-")</f>
        <v>Used Vehicle</v>
      </c>
      <c r="Q239" s="79" t="str">
        <f>IFERROR(VLOOKUP($M239,Export!$P:$R,3,FALSE),"-")</f>
        <v>Used VehicleEx NV demonstrators gross profit p.u.</v>
      </c>
      <c r="R239" s="80" t="e" cm="1">
        <f t="array" ref="R239">_xlfn.IFS(P239="Service", _xlfn.IFS(I239="SALES","GP",I239="SERVICE SALES","GP",I239="PARTS SALES","GP",I239="SERVICE COS","GP",I239="PARTS COS","GP",I239="SELLING EXPENSES","Selling Expenses",I239="EMPLOYMENT EXPENSES","Selling Expenses",I239="EMPLOYMENT EXPENSES","Selling Expenses",I239="DIRECT EXPENSES","Selling Expenses",I239="INDIRECT EXPENSES","Selling Expenses"),P239="Parts",_xlfn.IFS(I239="SALES","GP",I239="SERVICE SALES","GP",I239="PARTS SALES","GP",I239="SERVICE COS","GP",I239="PARTS COS","GP",I239="SELLING EXPENSES","Selling Expenses",I239="EMPLOYMENT EXPENSES","Selling Expenses",I239="EMPLOYMENT EXPENSES","Selling Expenses",I239="DIRECT EXPENSES","Selling Expenses",I239="INDIRECT EXPENSES","Selling Expenses"))</f>
        <v>#N/A</v>
      </c>
    </row>
    <row r="240" spans="1:18" x14ac:dyDescent="0.2">
      <c r="A240" s="75" t="s">
        <v>466</v>
      </c>
      <c r="B240" s="76" t="s">
        <v>467</v>
      </c>
      <c r="C240" s="76">
        <v>200</v>
      </c>
      <c r="D240" s="76" t="s">
        <v>428</v>
      </c>
      <c r="E240" s="76" t="s">
        <v>426</v>
      </c>
      <c r="F240" s="77">
        <v>-91088.83</v>
      </c>
      <c r="G240" s="77">
        <v>-7792.15</v>
      </c>
      <c r="H240" s="77">
        <v>-98880.98</v>
      </c>
      <c r="I240" s="76" t="s">
        <v>463</v>
      </c>
      <c r="J240" s="77">
        <v>0</v>
      </c>
      <c r="K240" s="78">
        <v>-102841.9</v>
      </c>
      <c r="M240" s="79" t="str">
        <f t="shared" si="11"/>
        <v>200-3095R</v>
      </c>
      <c r="N240" s="79" t="str">
        <f t="shared" si="9"/>
        <v/>
      </c>
      <c r="O240" s="79" t="str">
        <f t="shared" si="10"/>
        <v>200</v>
      </c>
      <c r="P240" s="79" t="str">
        <f>IFERROR(VLOOKUP($M240,Export!$P:$R,2,FALSE),"-")</f>
        <v>New Vehicle</v>
      </c>
      <c r="Q240" s="79" t="str">
        <f>IFERROR(VLOOKUP($M240,Export!$P:$R,3,FALSE),"-")</f>
        <v>New VehicleOther Income per NV unit</v>
      </c>
      <c r="R240" s="80" t="e" cm="1">
        <f t="array" ref="R240">_xlfn.IFS(P240="Service", _xlfn.IFS(I240="SALES","GP",I240="SERVICE SALES","GP",I240="PARTS SALES","GP",I240="SERVICE COS","GP",I240="PARTS COS","GP",I240="SELLING EXPENSES","Selling Expenses",I240="EMPLOYMENT EXPENSES","Selling Expenses",I240="EMPLOYMENT EXPENSES","Selling Expenses",I240="DIRECT EXPENSES","Selling Expenses",I240="INDIRECT EXPENSES","Selling Expenses"),P240="Parts",_xlfn.IFS(I240="SALES","GP",I240="SERVICE SALES","GP",I240="PARTS SALES","GP",I240="SERVICE COS","GP",I240="PARTS COS","GP",I240="SELLING EXPENSES","Selling Expenses",I240="EMPLOYMENT EXPENSES","Selling Expenses",I240="EMPLOYMENT EXPENSES","Selling Expenses",I240="DIRECT EXPENSES","Selling Expenses",I240="INDIRECT EXPENSES","Selling Expenses"))</f>
        <v>#N/A</v>
      </c>
    </row>
    <row r="241" spans="1:18" x14ac:dyDescent="0.2">
      <c r="A241" s="75" t="s">
        <v>466</v>
      </c>
      <c r="B241" s="76" t="s">
        <v>467</v>
      </c>
      <c r="C241" s="76">
        <v>210</v>
      </c>
      <c r="D241" s="76" t="s">
        <v>436</v>
      </c>
      <c r="E241" s="76" t="s">
        <v>426</v>
      </c>
      <c r="F241" s="77">
        <v>-101083.47</v>
      </c>
      <c r="G241" s="77">
        <v>0</v>
      </c>
      <c r="H241" s="77">
        <v>-101083.47</v>
      </c>
      <c r="I241" s="76" t="s">
        <v>463</v>
      </c>
      <c r="J241" s="77">
        <v>0</v>
      </c>
      <c r="K241" s="78">
        <v>-43324.17</v>
      </c>
      <c r="M241" s="79" t="str">
        <f t="shared" si="11"/>
        <v>210-3095R</v>
      </c>
      <c r="N241" s="79" t="str">
        <f t="shared" si="9"/>
        <v/>
      </c>
      <c r="O241" s="79" t="str">
        <f t="shared" si="10"/>
        <v>210</v>
      </c>
      <c r="P241" s="79" t="str">
        <f>IFERROR(VLOOKUP($M241,Export!$P:$R,2,FALSE),"-")</f>
        <v>Used Vehicle</v>
      </c>
      <c r="Q241" s="79" t="str">
        <f>IFERROR(VLOOKUP($M241,Export!$P:$R,3,FALSE),"-")</f>
        <v>Used VehicleEx NV demonstrators gross profit p.u.</v>
      </c>
      <c r="R241" s="80" t="e" cm="1">
        <f t="array" ref="R241">_xlfn.IFS(P241="Service", _xlfn.IFS(I241="SALES","GP",I241="SERVICE SALES","GP",I241="PARTS SALES","GP",I241="SERVICE COS","GP",I241="PARTS COS","GP",I241="SELLING EXPENSES","Selling Expenses",I241="EMPLOYMENT EXPENSES","Selling Expenses",I241="EMPLOYMENT EXPENSES","Selling Expenses",I241="DIRECT EXPENSES","Selling Expenses",I241="INDIRECT EXPENSES","Selling Expenses"),P241="Parts",_xlfn.IFS(I241="SALES","GP",I241="SERVICE SALES","GP",I241="PARTS SALES","GP",I241="SERVICE COS","GP",I241="PARTS COS","GP",I241="SELLING EXPENSES","Selling Expenses",I241="EMPLOYMENT EXPENSES","Selling Expenses",I241="EMPLOYMENT EXPENSES","Selling Expenses",I241="DIRECT EXPENSES","Selling Expenses",I241="INDIRECT EXPENSES","Selling Expenses"))</f>
        <v>#N/A</v>
      </c>
    </row>
    <row r="242" spans="1:18" x14ac:dyDescent="0.2">
      <c r="A242" s="75" t="s">
        <v>468</v>
      </c>
      <c r="B242" s="76" t="s">
        <v>469</v>
      </c>
      <c r="C242" s="76">
        <v>110</v>
      </c>
      <c r="D242" s="76" t="s">
        <v>430</v>
      </c>
      <c r="E242" s="76" t="s">
        <v>426</v>
      </c>
      <c r="F242" s="77">
        <v>3895.65</v>
      </c>
      <c r="G242" s="77">
        <v>0</v>
      </c>
      <c r="H242" s="77">
        <v>3895.65</v>
      </c>
      <c r="I242" s="76" t="s">
        <v>463</v>
      </c>
      <c r="J242" s="77">
        <v>0</v>
      </c>
      <c r="K242" s="78">
        <v>7235.15</v>
      </c>
      <c r="M242" s="79" t="str">
        <f t="shared" si="11"/>
        <v>110-3095RD</v>
      </c>
      <c r="N242" s="79" t="str">
        <f t="shared" si="9"/>
        <v/>
      </c>
      <c r="O242" s="79" t="str">
        <f t="shared" si="10"/>
        <v>110</v>
      </c>
      <c r="P242" s="79" t="str">
        <f>IFERROR(VLOOKUP($M242,Export!$P:$R,2,FALSE),"-")</f>
        <v>Used Vehicle</v>
      </c>
      <c r="Q242" s="79" t="str">
        <f>IFERROR(VLOOKUP($M242,Export!$P:$R,3,FALSE),"-")</f>
        <v>Used VehicleEx NV demonstrators gross profit p.u.</v>
      </c>
      <c r="R242" s="80" t="e" cm="1">
        <f t="array" ref="R242">_xlfn.IFS(P242="Service", _xlfn.IFS(I242="SALES","GP",I242="SERVICE SALES","GP",I242="PARTS SALES","GP",I242="SERVICE COS","GP",I242="PARTS COS","GP",I242="SELLING EXPENSES","Selling Expenses",I242="EMPLOYMENT EXPENSES","Selling Expenses",I242="EMPLOYMENT EXPENSES","Selling Expenses",I242="DIRECT EXPENSES","Selling Expenses",I242="INDIRECT EXPENSES","Selling Expenses"),P242="Parts",_xlfn.IFS(I242="SALES","GP",I242="SERVICE SALES","GP",I242="PARTS SALES","GP",I242="SERVICE COS","GP",I242="PARTS COS","GP",I242="SELLING EXPENSES","Selling Expenses",I242="EMPLOYMENT EXPENSES","Selling Expenses",I242="EMPLOYMENT EXPENSES","Selling Expenses",I242="DIRECT EXPENSES","Selling Expenses",I242="INDIRECT EXPENSES","Selling Expenses"))</f>
        <v>#N/A</v>
      </c>
    </row>
    <row r="243" spans="1:18" x14ac:dyDescent="0.2">
      <c r="A243" s="75" t="s">
        <v>468</v>
      </c>
      <c r="B243" s="76" t="s">
        <v>469</v>
      </c>
      <c r="C243" s="76">
        <v>210</v>
      </c>
      <c r="D243" s="76" t="s">
        <v>436</v>
      </c>
      <c r="E243" s="76" t="s">
        <v>426</v>
      </c>
      <c r="F243" s="77">
        <v>0</v>
      </c>
      <c r="G243" s="77">
        <v>0</v>
      </c>
      <c r="H243" s="77">
        <v>0</v>
      </c>
      <c r="I243" s="76" t="s">
        <v>463</v>
      </c>
      <c r="J243" s="77">
        <v>0</v>
      </c>
      <c r="K243" s="78">
        <v>869.57</v>
      </c>
      <c r="M243" s="79" t="str">
        <f t="shared" si="11"/>
        <v>210-3095RD</v>
      </c>
      <c r="N243" s="79" t="str">
        <f t="shared" si="9"/>
        <v/>
      </c>
      <c r="O243" s="79" t="str">
        <f t="shared" si="10"/>
        <v>210</v>
      </c>
      <c r="P243" s="79" t="str">
        <f>IFERROR(VLOOKUP($M243,Export!$P:$R,2,FALSE),"-")</f>
        <v>Used Vehicle</v>
      </c>
      <c r="Q243" s="79" t="str">
        <f>IFERROR(VLOOKUP($M243,Export!$P:$R,3,FALSE),"-")</f>
        <v>Used VehicleEx NV demonstrators gross profit p.u.</v>
      </c>
      <c r="R243" s="80" t="e" cm="1">
        <f t="array" ref="R243">_xlfn.IFS(P243="Service", _xlfn.IFS(I243="SALES","GP",I243="SERVICE SALES","GP",I243="PARTS SALES","GP",I243="SERVICE COS","GP",I243="PARTS COS","GP",I243="SELLING EXPENSES","Selling Expenses",I243="EMPLOYMENT EXPENSES","Selling Expenses",I243="EMPLOYMENT EXPENSES","Selling Expenses",I243="DIRECT EXPENSES","Selling Expenses",I243="INDIRECT EXPENSES","Selling Expenses"),P243="Parts",_xlfn.IFS(I243="SALES","GP",I243="SERVICE SALES","GP",I243="PARTS SALES","GP",I243="SERVICE COS","GP",I243="PARTS COS","GP",I243="SELLING EXPENSES","Selling Expenses",I243="EMPLOYMENT EXPENSES","Selling Expenses",I243="EMPLOYMENT EXPENSES","Selling Expenses",I243="DIRECT EXPENSES","Selling Expenses",I243="INDIRECT EXPENSES","Selling Expenses"))</f>
        <v>#N/A</v>
      </c>
    </row>
    <row r="244" spans="1:18" x14ac:dyDescent="0.2">
      <c r="A244" s="75" t="s">
        <v>470</v>
      </c>
      <c r="B244" s="76" t="s">
        <v>471</v>
      </c>
      <c r="C244" s="76">
        <v>100</v>
      </c>
      <c r="D244" s="76" t="s">
        <v>227</v>
      </c>
      <c r="E244" s="76" t="s">
        <v>426</v>
      </c>
      <c r="F244" s="77">
        <v>-60371.199999999997</v>
      </c>
      <c r="G244" s="77">
        <v>-8098.04</v>
      </c>
      <c r="H244" s="77">
        <v>-68469.240000000005</v>
      </c>
      <c r="I244" s="76" t="s">
        <v>463</v>
      </c>
      <c r="J244" s="77">
        <v>0</v>
      </c>
      <c r="K244" s="78">
        <v>-57106.82</v>
      </c>
      <c r="M244" s="79" t="str">
        <f t="shared" si="11"/>
        <v>100-3105R</v>
      </c>
      <c r="N244" s="79" t="str">
        <f t="shared" si="9"/>
        <v/>
      </c>
      <c r="O244" s="79" t="str">
        <f t="shared" si="10"/>
        <v>100</v>
      </c>
      <c r="P244" s="79" t="str">
        <f>IFERROR(VLOOKUP($M244,Export!$P:$R,2,FALSE),"-")</f>
        <v>New Vehicle</v>
      </c>
      <c r="Q244" s="79" t="str">
        <f>IFERROR(VLOOKUP($M244,Export!$P:$R,3,FALSE),"-")</f>
        <v>New VehicleOther Income per NV unit</v>
      </c>
      <c r="R244" s="80" t="e" cm="1">
        <f t="array" ref="R244">_xlfn.IFS(P244="Service", _xlfn.IFS(I244="SALES","GP",I244="SERVICE SALES","GP",I244="PARTS SALES","GP",I244="SERVICE COS","GP",I244="PARTS COS","GP",I244="SELLING EXPENSES","Selling Expenses",I244="EMPLOYMENT EXPENSES","Selling Expenses",I244="EMPLOYMENT EXPENSES","Selling Expenses",I244="DIRECT EXPENSES","Selling Expenses",I244="INDIRECT EXPENSES","Selling Expenses"),P244="Parts",_xlfn.IFS(I244="SALES","GP",I244="SERVICE SALES","GP",I244="PARTS SALES","GP",I244="SERVICE COS","GP",I244="PARTS COS","GP",I244="SELLING EXPENSES","Selling Expenses",I244="EMPLOYMENT EXPENSES","Selling Expenses",I244="EMPLOYMENT EXPENSES","Selling Expenses",I244="DIRECT EXPENSES","Selling Expenses",I244="INDIRECT EXPENSES","Selling Expenses"))</f>
        <v>#N/A</v>
      </c>
    </row>
    <row r="245" spans="1:18" x14ac:dyDescent="0.2">
      <c r="A245" s="75" t="s">
        <v>470</v>
      </c>
      <c r="B245" s="76" t="s">
        <v>471</v>
      </c>
      <c r="C245" s="76">
        <v>110</v>
      </c>
      <c r="D245" s="76" t="s">
        <v>430</v>
      </c>
      <c r="E245" s="76" t="s">
        <v>426</v>
      </c>
      <c r="F245" s="77">
        <v>-46252.17</v>
      </c>
      <c r="G245" s="77">
        <v>0</v>
      </c>
      <c r="H245" s="77">
        <v>-46252.17</v>
      </c>
      <c r="I245" s="76" t="s">
        <v>463</v>
      </c>
      <c r="J245" s="77">
        <v>-42074.07</v>
      </c>
      <c r="K245" s="78">
        <v>-184666.23999999999</v>
      </c>
      <c r="M245" s="79" t="str">
        <f t="shared" si="11"/>
        <v>110-3105R</v>
      </c>
      <c r="N245" s="79" t="str">
        <f t="shared" si="9"/>
        <v/>
      </c>
      <c r="O245" s="79" t="str">
        <f t="shared" si="10"/>
        <v>110</v>
      </c>
      <c r="P245" s="79" t="str">
        <f>IFERROR(VLOOKUP($M245,Export!$P:$R,2,FALSE),"-")</f>
        <v>Used Vehicle</v>
      </c>
      <c r="Q245" s="79" t="str">
        <f>IFERROR(VLOOKUP($M245,Export!$P:$R,3,FALSE),"-")</f>
        <v>Used VehicleEx NV demonstrators gross profit p.u.</v>
      </c>
      <c r="R245" s="80" t="e" cm="1">
        <f t="array" ref="R245">_xlfn.IFS(P245="Service", _xlfn.IFS(I245="SALES","GP",I245="SERVICE SALES","GP",I245="PARTS SALES","GP",I245="SERVICE COS","GP",I245="PARTS COS","GP",I245="SELLING EXPENSES","Selling Expenses",I245="EMPLOYMENT EXPENSES","Selling Expenses",I245="EMPLOYMENT EXPENSES","Selling Expenses",I245="DIRECT EXPENSES","Selling Expenses",I245="INDIRECT EXPENSES","Selling Expenses"),P245="Parts",_xlfn.IFS(I245="SALES","GP",I245="SERVICE SALES","GP",I245="PARTS SALES","GP",I245="SERVICE COS","GP",I245="PARTS COS","GP",I245="SELLING EXPENSES","Selling Expenses",I245="EMPLOYMENT EXPENSES","Selling Expenses",I245="EMPLOYMENT EXPENSES","Selling Expenses",I245="DIRECT EXPENSES","Selling Expenses",I245="INDIRECT EXPENSES","Selling Expenses"))</f>
        <v>#N/A</v>
      </c>
    </row>
    <row r="246" spans="1:18" x14ac:dyDescent="0.2">
      <c r="A246" s="75" t="s">
        <v>470</v>
      </c>
      <c r="B246" s="76" t="s">
        <v>471</v>
      </c>
      <c r="C246" s="76">
        <v>200</v>
      </c>
      <c r="D246" s="76" t="s">
        <v>428</v>
      </c>
      <c r="E246" s="76" t="s">
        <v>426</v>
      </c>
      <c r="F246" s="77">
        <v>-80235.55</v>
      </c>
      <c r="G246" s="77">
        <v>-22610.54</v>
      </c>
      <c r="H246" s="77">
        <v>-102846.09</v>
      </c>
      <c r="I246" s="76" t="s">
        <v>463</v>
      </c>
      <c r="J246" s="77">
        <v>0</v>
      </c>
      <c r="K246" s="78">
        <v>-103604.13</v>
      </c>
      <c r="M246" s="79" t="str">
        <f t="shared" si="11"/>
        <v>200-3105R</v>
      </c>
      <c r="N246" s="79" t="str">
        <f t="shared" si="9"/>
        <v/>
      </c>
      <c r="O246" s="79" t="str">
        <f t="shared" si="10"/>
        <v>200</v>
      </c>
      <c r="P246" s="79" t="str">
        <f>IFERROR(VLOOKUP($M246,Export!$P:$R,2,FALSE),"-")</f>
        <v>New Vehicle</v>
      </c>
      <c r="Q246" s="79" t="str">
        <f>IFERROR(VLOOKUP($M246,Export!$P:$R,3,FALSE),"-")</f>
        <v>New VehicleOther Income per NV unit</v>
      </c>
      <c r="R246" s="80" t="e" cm="1">
        <f t="array" ref="R246">_xlfn.IFS(P246="Service", _xlfn.IFS(I246="SALES","GP",I246="SERVICE SALES","GP",I246="PARTS SALES","GP",I246="SERVICE COS","GP",I246="PARTS COS","GP",I246="SELLING EXPENSES","Selling Expenses",I246="EMPLOYMENT EXPENSES","Selling Expenses",I246="EMPLOYMENT EXPENSES","Selling Expenses",I246="DIRECT EXPENSES","Selling Expenses",I246="INDIRECT EXPENSES","Selling Expenses"),P246="Parts",_xlfn.IFS(I246="SALES","GP",I246="SERVICE SALES","GP",I246="PARTS SALES","GP",I246="SERVICE COS","GP",I246="PARTS COS","GP",I246="SELLING EXPENSES","Selling Expenses",I246="EMPLOYMENT EXPENSES","Selling Expenses",I246="EMPLOYMENT EXPENSES","Selling Expenses",I246="DIRECT EXPENSES","Selling Expenses",I246="INDIRECT EXPENSES","Selling Expenses"))</f>
        <v>#N/A</v>
      </c>
    </row>
    <row r="247" spans="1:18" x14ac:dyDescent="0.2">
      <c r="A247" s="75" t="s">
        <v>470</v>
      </c>
      <c r="B247" s="76" t="s">
        <v>471</v>
      </c>
      <c r="C247" s="76">
        <v>210</v>
      </c>
      <c r="D247" s="76" t="s">
        <v>436</v>
      </c>
      <c r="E247" s="76" t="s">
        <v>426</v>
      </c>
      <c r="F247" s="77">
        <v>-98899.520000000004</v>
      </c>
      <c r="G247" s="77">
        <v>0</v>
      </c>
      <c r="H247" s="77">
        <v>-98899.520000000004</v>
      </c>
      <c r="I247" s="76" t="s">
        <v>463</v>
      </c>
      <c r="J247" s="77">
        <v>0</v>
      </c>
      <c r="K247" s="78">
        <v>-225441.74</v>
      </c>
      <c r="M247" s="79" t="str">
        <f t="shared" si="11"/>
        <v>210-3105R</v>
      </c>
      <c r="N247" s="79" t="str">
        <f t="shared" si="9"/>
        <v/>
      </c>
      <c r="O247" s="79" t="str">
        <f t="shared" si="10"/>
        <v>210</v>
      </c>
      <c r="P247" s="79" t="str">
        <f>IFERROR(VLOOKUP($M247,Export!$P:$R,2,FALSE),"-")</f>
        <v>Used Vehicle</v>
      </c>
      <c r="Q247" s="79" t="str">
        <f>IFERROR(VLOOKUP($M247,Export!$P:$R,3,FALSE),"-")</f>
        <v>Used VehicleEx NV demonstrators gross profit p.u.</v>
      </c>
      <c r="R247" s="80" t="e" cm="1">
        <f t="array" ref="R247">_xlfn.IFS(P247="Service", _xlfn.IFS(I247="SALES","GP",I247="SERVICE SALES","GP",I247="PARTS SALES","GP",I247="SERVICE COS","GP",I247="PARTS COS","GP",I247="SELLING EXPENSES","Selling Expenses",I247="EMPLOYMENT EXPENSES","Selling Expenses",I247="EMPLOYMENT EXPENSES","Selling Expenses",I247="DIRECT EXPENSES","Selling Expenses",I247="INDIRECT EXPENSES","Selling Expenses"),P247="Parts",_xlfn.IFS(I247="SALES","GP",I247="SERVICE SALES","GP",I247="PARTS SALES","GP",I247="SERVICE COS","GP",I247="PARTS COS","GP",I247="SELLING EXPENSES","Selling Expenses",I247="EMPLOYMENT EXPENSES","Selling Expenses",I247="EMPLOYMENT EXPENSES","Selling Expenses",I247="DIRECT EXPENSES","Selling Expenses",I247="INDIRECT EXPENSES","Selling Expenses"))</f>
        <v>#N/A</v>
      </c>
    </row>
    <row r="248" spans="1:18" x14ac:dyDescent="0.2">
      <c r="A248" s="75" t="s">
        <v>472</v>
      </c>
      <c r="B248" s="76" t="s">
        <v>473</v>
      </c>
      <c r="C248" s="76">
        <v>100</v>
      </c>
      <c r="D248" s="76" t="s">
        <v>227</v>
      </c>
      <c r="E248" s="76" t="s">
        <v>426</v>
      </c>
      <c r="F248" s="77">
        <v>3775.58</v>
      </c>
      <c r="G248" s="77">
        <v>0</v>
      </c>
      <c r="H248" s="77">
        <v>3775.58</v>
      </c>
      <c r="I248" s="76" t="s">
        <v>463</v>
      </c>
      <c r="J248" s="77">
        <v>0</v>
      </c>
      <c r="K248" s="78">
        <v>0</v>
      </c>
      <c r="M248" s="79" t="str">
        <f t="shared" si="11"/>
        <v>100-3105RD</v>
      </c>
      <c r="N248" s="79" t="str">
        <f t="shared" si="9"/>
        <v/>
      </c>
      <c r="O248" s="79" t="str">
        <f t="shared" si="10"/>
        <v>100</v>
      </c>
      <c r="P248" s="79" t="str">
        <f>IFERROR(VLOOKUP($M248,Export!$P:$R,2,FALSE),"-")</f>
        <v>New Vehicle</v>
      </c>
      <c r="Q248" s="79" t="str">
        <f>IFERROR(VLOOKUP($M248,Export!$P:$R,3,FALSE),"-")</f>
        <v>New VehicleOther Income per NV unit</v>
      </c>
      <c r="R248" s="80" t="e" cm="1">
        <f t="array" ref="R248">_xlfn.IFS(P248="Service", _xlfn.IFS(I248="SALES","GP",I248="SERVICE SALES","GP",I248="PARTS SALES","GP",I248="SERVICE COS","GP",I248="PARTS COS","GP",I248="SELLING EXPENSES","Selling Expenses",I248="EMPLOYMENT EXPENSES","Selling Expenses",I248="EMPLOYMENT EXPENSES","Selling Expenses",I248="DIRECT EXPENSES","Selling Expenses",I248="INDIRECT EXPENSES","Selling Expenses"),P248="Parts",_xlfn.IFS(I248="SALES","GP",I248="SERVICE SALES","GP",I248="PARTS SALES","GP",I248="SERVICE COS","GP",I248="PARTS COS","GP",I248="SELLING EXPENSES","Selling Expenses",I248="EMPLOYMENT EXPENSES","Selling Expenses",I248="EMPLOYMENT EXPENSES","Selling Expenses",I248="DIRECT EXPENSES","Selling Expenses",I248="INDIRECT EXPENSES","Selling Expenses"))</f>
        <v>#N/A</v>
      </c>
    </row>
    <row r="249" spans="1:18" x14ac:dyDescent="0.2">
      <c r="A249" s="75" t="s">
        <v>472</v>
      </c>
      <c r="B249" s="76" t="s">
        <v>473</v>
      </c>
      <c r="C249" s="76">
        <v>110</v>
      </c>
      <c r="D249" s="76" t="s">
        <v>430</v>
      </c>
      <c r="E249" s="76" t="s">
        <v>426</v>
      </c>
      <c r="F249" s="77">
        <v>0</v>
      </c>
      <c r="G249" s="77">
        <v>0</v>
      </c>
      <c r="H249" s="77">
        <v>0</v>
      </c>
      <c r="I249" s="76" t="s">
        <v>463</v>
      </c>
      <c r="J249" s="77">
        <v>0</v>
      </c>
      <c r="K249" s="78">
        <v>3034.78</v>
      </c>
      <c r="M249" s="79" t="str">
        <f t="shared" si="11"/>
        <v>110-3105RD</v>
      </c>
      <c r="N249" s="79" t="str">
        <f t="shared" si="9"/>
        <v/>
      </c>
      <c r="O249" s="79" t="str">
        <f t="shared" si="10"/>
        <v>110</v>
      </c>
      <c r="P249" s="79" t="str">
        <f>IFERROR(VLOOKUP($M249,Export!$P:$R,2,FALSE),"-")</f>
        <v>Used Vehicle</v>
      </c>
      <c r="Q249" s="79" t="str">
        <f>IFERROR(VLOOKUP($M249,Export!$P:$R,3,FALSE),"-")</f>
        <v>Used VehicleEx NV demonstrators gross profit p.u.</v>
      </c>
      <c r="R249" s="80" t="e" cm="1">
        <f t="array" ref="R249">_xlfn.IFS(P249="Service", _xlfn.IFS(I249="SALES","GP",I249="SERVICE SALES","GP",I249="PARTS SALES","GP",I249="SERVICE COS","GP",I249="PARTS COS","GP",I249="SELLING EXPENSES","Selling Expenses",I249="EMPLOYMENT EXPENSES","Selling Expenses",I249="EMPLOYMENT EXPENSES","Selling Expenses",I249="DIRECT EXPENSES","Selling Expenses",I249="INDIRECT EXPENSES","Selling Expenses"),P249="Parts",_xlfn.IFS(I249="SALES","GP",I249="SERVICE SALES","GP",I249="PARTS SALES","GP",I249="SERVICE COS","GP",I249="PARTS COS","GP",I249="SELLING EXPENSES","Selling Expenses",I249="EMPLOYMENT EXPENSES","Selling Expenses",I249="EMPLOYMENT EXPENSES","Selling Expenses",I249="DIRECT EXPENSES","Selling Expenses",I249="INDIRECT EXPENSES","Selling Expenses"))</f>
        <v>#N/A</v>
      </c>
    </row>
    <row r="250" spans="1:18" x14ac:dyDescent="0.2">
      <c r="A250" s="75" t="s">
        <v>472</v>
      </c>
      <c r="B250" s="76" t="s">
        <v>473</v>
      </c>
      <c r="C250" s="76">
        <v>210</v>
      </c>
      <c r="D250" s="76" t="s">
        <v>436</v>
      </c>
      <c r="E250" s="76" t="s">
        <v>426</v>
      </c>
      <c r="F250" s="77">
        <v>0</v>
      </c>
      <c r="G250" s="77">
        <v>0</v>
      </c>
      <c r="H250" s="77">
        <v>0</v>
      </c>
      <c r="I250" s="76" t="s">
        <v>463</v>
      </c>
      <c r="J250" s="77">
        <v>0</v>
      </c>
      <c r="K250" s="78">
        <v>1460.87</v>
      </c>
      <c r="M250" s="79" t="str">
        <f t="shared" si="11"/>
        <v>210-3105RD</v>
      </c>
      <c r="N250" s="79" t="str">
        <f t="shared" si="9"/>
        <v/>
      </c>
      <c r="O250" s="79" t="str">
        <f t="shared" si="10"/>
        <v>210</v>
      </c>
      <c r="P250" s="79" t="str">
        <f>IFERROR(VLOOKUP($M250,Export!$P:$R,2,FALSE),"-")</f>
        <v>Used Vehicle</v>
      </c>
      <c r="Q250" s="79" t="str">
        <f>IFERROR(VLOOKUP($M250,Export!$P:$R,3,FALSE),"-")</f>
        <v>Used VehicleEx NV demonstrators gross profit p.u.</v>
      </c>
      <c r="R250" s="80" t="e" cm="1">
        <f t="array" ref="R250">_xlfn.IFS(P250="Service", _xlfn.IFS(I250="SALES","GP",I250="SERVICE SALES","GP",I250="PARTS SALES","GP",I250="SERVICE COS","GP",I250="PARTS COS","GP",I250="SELLING EXPENSES","Selling Expenses",I250="EMPLOYMENT EXPENSES","Selling Expenses",I250="EMPLOYMENT EXPENSES","Selling Expenses",I250="DIRECT EXPENSES","Selling Expenses",I250="INDIRECT EXPENSES","Selling Expenses"),P250="Parts",_xlfn.IFS(I250="SALES","GP",I250="SERVICE SALES","GP",I250="PARTS SALES","GP",I250="SERVICE COS","GP",I250="PARTS COS","GP",I250="SELLING EXPENSES","Selling Expenses",I250="EMPLOYMENT EXPENSES","Selling Expenses",I250="EMPLOYMENT EXPENSES","Selling Expenses",I250="DIRECT EXPENSES","Selling Expenses",I250="INDIRECT EXPENSES","Selling Expenses"))</f>
        <v>#N/A</v>
      </c>
    </row>
    <row r="251" spans="1:18" x14ac:dyDescent="0.2">
      <c r="A251" s="75" t="s">
        <v>474</v>
      </c>
      <c r="B251" s="76" t="s">
        <v>475</v>
      </c>
      <c r="C251" s="76">
        <v>110</v>
      </c>
      <c r="D251" s="76" t="s">
        <v>430</v>
      </c>
      <c r="E251" s="76" t="s">
        <v>247</v>
      </c>
      <c r="F251" s="77">
        <v>1</v>
      </c>
      <c r="G251" s="77">
        <v>0</v>
      </c>
      <c r="H251" s="77">
        <v>1</v>
      </c>
      <c r="I251" s="76" t="s">
        <v>463</v>
      </c>
      <c r="J251" s="77">
        <v>0</v>
      </c>
      <c r="K251" s="78">
        <v>0</v>
      </c>
      <c r="M251" s="79" t="str">
        <f t="shared" si="11"/>
        <v>110-6076R#</v>
      </c>
      <c r="N251" s="79" t="str">
        <f t="shared" si="9"/>
        <v>#</v>
      </c>
      <c r="O251" s="79" t="str">
        <f t="shared" si="10"/>
        <v>110#</v>
      </c>
      <c r="P251" s="79" t="str">
        <f>IFERROR(VLOOKUP($M251,Export!$P:$R,2,FALSE),"-")</f>
        <v>-</v>
      </c>
      <c r="Q251" s="79" t="str">
        <f>IFERROR(VLOOKUP($M251,Export!$P:$R,3,FALSE),"-")</f>
        <v>-</v>
      </c>
      <c r="R251" s="80" t="e" cm="1">
        <f t="array" ref="R251">_xlfn.IFS(P251="Service", _xlfn.IFS(I251="SALES","GP",I251="SERVICE SALES","GP",I251="PARTS SALES","GP",I251="SERVICE COS","GP",I251="PARTS COS","GP",I251="SELLING EXPENSES","Selling Expenses",I251="EMPLOYMENT EXPENSES","Selling Expenses",I251="EMPLOYMENT EXPENSES","Selling Expenses",I251="DIRECT EXPENSES","Selling Expenses",I251="INDIRECT EXPENSES","Selling Expenses"),P251="Parts",_xlfn.IFS(I251="SALES","GP",I251="SERVICE SALES","GP",I251="PARTS SALES","GP",I251="SERVICE COS","GP",I251="PARTS COS","GP",I251="SELLING EXPENSES","Selling Expenses",I251="EMPLOYMENT EXPENSES","Selling Expenses",I251="EMPLOYMENT EXPENSES","Selling Expenses",I251="DIRECT EXPENSES","Selling Expenses",I251="INDIRECT EXPENSES","Selling Expenses"))</f>
        <v>#N/A</v>
      </c>
    </row>
    <row r="252" spans="1:18" x14ac:dyDescent="0.2">
      <c r="A252" s="75" t="s">
        <v>81</v>
      </c>
      <c r="B252" s="76" t="s">
        <v>82</v>
      </c>
      <c r="C252" s="76">
        <v>110</v>
      </c>
      <c r="D252" s="76" t="s">
        <v>430</v>
      </c>
      <c r="E252" s="76" t="s">
        <v>247</v>
      </c>
      <c r="F252" s="77">
        <v>4</v>
      </c>
      <c r="G252" s="77">
        <v>0</v>
      </c>
      <c r="H252" s="77">
        <v>4</v>
      </c>
      <c r="I252" s="76" t="s">
        <v>463</v>
      </c>
      <c r="J252" s="77">
        <v>1</v>
      </c>
      <c r="K252" s="78">
        <v>6</v>
      </c>
      <c r="M252" s="79" t="str">
        <f t="shared" si="11"/>
        <v>110-6090R#</v>
      </c>
      <c r="N252" s="79" t="str">
        <f t="shared" si="9"/>
        <v>#</v>
      </c>
      <c r="O252" s="79" t="str">
        <f t="shared" si="10"/>
        <v>110#</v>
      </c>
      <c r="P252" s="79" t="str">
        <f>IFERROR(VLOOKUP($M252,Export!$P:$R,2,FALSE),"-")</f>
        <v>-</v>
      </c>
      <c r="Q252" s="79" t="str">
        <f>IFERROR(VLOOKUP($M252,Export!$P:$R,3,FALSE),"-")</f>
        <v>-</v>
      </c>
      <c r="R252" s="80" t="e" cm="1">
        <f t="array" ref="R252">_xlfn.IFS(P252="Service", _xlfn.IFS(I252="SALES","GP",I252="SERVICE SALES","GP",I252="PARTS SALES","GP",I252="SERVICE COS","GP",I252="PARTS COS","GP",I252="SELLING EXPENSES","Selling Expenses",I252="EMPLOYMENT EXPENSES","Selling Expenses",I252="EMPLOYMENT EXPENSES","Selling Expenses",I252="DIRECT EXPENSES","Selling Expenses",I252="INDIRECT EXPENSES","Selling Expenses"),P252="Parts",_xlfn.IFS(I252="SALES","GP",I252="SERVICE SALES","GP",I252="PARTS SALES","GP",I252="SERVICE COS","GP",I252="PARTS COS","GP",I252="SELLING EXPENSES","Selling Expenses",I252="EMPLOYMENT EXPENSES","Selling Expenses",I252="EMPLOYMENT EXPENSES","Selling Expenses",I252="DIRECT EXPENSES","Selling Expenses",I252="INDIRECT EXPENSES","Selling Expenses"))</f>
        <v>#N/A</v>
      </c>
    </row>
    <row r="253" spans="1:18" x14ac:dyDescent="0.2">
      <c r="A253" s="75" t="s">
        <v>81</v>
      </c>
      <c r="B253" s="76" t="s">
        <v>82</v>
      </c>
      <c r="C253" s="76">
        <v>210</v>
      </c>
      <c r="D253" s="76" t="s">
        <v>436</v>
      </c>
      <c r="E253" s="76" t="s">
        <v>247</v>
      </c>
      <c r="F253" s="77">
        <v>6</v>
      </c>
      <c r="G253" s="77">
        <v>0</v>
      </c>
      <c r="H253" s="77">
        <v>6</v>
      </c>
      <c r="I253" s="76" t="s">
        <v>463</v>
      </c>
      <c r="J253" s="77">
        <v>1</v>
      </c>
      <c r="K253" s="78">
        <v>7</v>
      </c>
      <c r="M253" s="79" t="str">
        <f t="shared" si="11"/>
        <v>210-6090R#</v>
      </c>
      <c r="N253" s="79" t="str">
        <f t="shared" si="9"/>
        <v>#</v>
      </c>
      <c r="O253" s="79" t="str">
        <f t="shared" si="10"/>
        <v>210#</v>
      </c>
      <c r="P253" s="79" t="str">
        <f>IFERROR(VLOOKUP($M253,Export!$P:$R,2,FALSE),"-")</f>
        <v>-</v>
      </c>
      <c r="Q253" s="79" t="str">
        <f>IFERROR(VLOOKUP($M253,Export!$P:$R,3,FALSE),"-")</f>
        <v>-</v>
      </c>
      <c r="R253" s="80" t="e" cm="1">
        <f t="array" ref="R253">_xlfn.IFS(P253="Service", _xlfn.IFS(I253="SALES","GP",I253="SERVICE SALES","GP",I253="PARTS SALES","GP",I253="SERVICE COS","GP",I253="PARTS COS","GP",I253="SELLING EXPENSES","Selling Expenses",I253="EMPLOYMENT EXPENSES","Selling Expenses",I253="EMPLOYMENT EXPENSES","Selling Expenses",I253="DIRECT EXPENSES","Selling Expenses",I253="INDIRECT EXPENSES","Selling Expenses"),P253="Parts",_xlfn.IFS(I253="SALES","GP",I253="SERVICE SALES","GP",I253="PARTS SALES","GP",I253="SERVICE COS","GP",I253="PARTS COS","GP",I253="SELLING EXPENSES","Selling Expenses",I253="EMPLOYMENT EXPENSES","Selling Expenses",I253="EMPLOYMENT EXPENSES","Selling Expenses",I253="DIRECT EXPENSES","Selling Expenses",I253="INDIRECT EXPENSES","Selling Expenses"))</f>
        <v>#N/A</v>
      </c>
    </row>
    <row r="254" spans="1:18" x14ac:dyDescent="0.2">
      <c r="A254" s="75" t="s">
        <v>476</v>
      </c>
      <c r="B254" s="76" t="s">
        <v>477</v>
      </c>
      <c r="C254" s="76">
        <v>110</v>
      </c>
      <c r="D254" s="76" t="s">
        <v>430</v>
      </c>
      <c r="E254" s="76" t="s">
        <v>247</v>
      </c>
      <c r="F254" s="77">
        <v>4</v>
      </c>
      <c r="G254" s="77">
        <v>0</v>
      </c>
      <c r="H254" s="77">
        <v>4</v>
      </c>
      <c r="I254" s="76" t="s">
        <v>463</v>
      </c>
      <c r="J254" s="77">
        <v>0</v>
      </c>
      <c r="K254" s="78">
        <v>3</v>
      </c>
      <c r="M254" s="79" t="str">
        <f t="shared" si="11"/>
        <v>110-6095R#</v>
      </c>
      <c r="N254" s="79" t="str">
        <f t="shared" si="9"/>
        <v>#</v>
      </c>
      <c r="O254" s="79" t="str">
        <f t="shared" si="10"/>
        <v>110#</v>
      </c>
      <c r="P254" s="79" t="str">
        <f>IFERROR(VLOOKUP($M254,Export!$P:$R,2,FALSE),"-")</f>
        <v>-</v>
      </c>
      <c r="Q254" s="79" t="str">
        <f>IFERROR(VLOOKUP($M254,Export!$P:$R,3,FALSE),"-")</f>
        <v>-</v>
      </c>
      <c r="R254" s="80" t="e" cm="1">
        <f t="array" ref="R254">_xlfn.IFS(P254="Service", _xlfn.IFS(I254="SALES","GP",I254="SERVICE SALES","GP",I254="PARTS SALES","GP",I254="SERVICE COS","GP",I254="PARTS COS","GP",I254="SELLING EXPENSES","Selling Expenses",I254="EMPLOYMENT EXPENSES","Selling Expenses",I254="EMPLOYMENT EXPENSES","Selling Expenses",I254="DIRECT EXPENSES","Selling Expenses",I254="INDIRECT EXPENSES","Selling Expenses"),P254="Parts",_xlfn.IFS(I254="SALES","GP",I254="SERVICE SALES","GP",I254="PARTS SALES","GP",I254="SERVICE COS","GP",I254="PARTS COS","GP",I254="SELLING EXPENSES","Selling Expenses",I254="EMPLOYMENT EXPENSES","Selling Expenses",I254="EMPLOYMENT EXPENSES","Selling Expenses",I254="DIRECT EXPENSES","Selling Expenses",I254="INDIRECT EXPENSES","Selling Expenses"))</f>
        <v>#N/A</v>
      </c>
    </row>
    <row r="255" spans="1:18" x14ac:dyDescent="0.2">
      <c r="A255" s="75" t="s">
        <v>476</v>
      </c>
      <c r="B255" s="76" t="s">
        <v>477</v>
      </c>
      <c r="C255" s="76">
        <v>210</v>
      </c>
      <c r="D255" s="76" t="s">
        <v>436</v>
      </c>
      <c r="E255" s="76" t="s">
        <v>247</v>
      </c>
      <c r="F255" s="77">
        <v>2</v>
      </c>
      <c r="G255" s="77">
        <v>0</v>
      </c>
      <c r="H255" s="77">
        <v>2</v>
      </c>
      <c r="I255" s="76" t="s">
        <v>463</v>
      </c>
      <c r="J255" s="77">
        <v>0</v>
      </c>
      <c r="K255" s="78">
        <v>1</v>
      </c>
      <c r="M255" s="79" t="str">
        <f t="shared" si="11"/>
        <v>210-6095R#</v>
      </c>
      <c r="N255" s="79" t="str">
        <f t="shared" si="9"/>
        <v>#</v>
      </c>
      <c r="O255" s="79" t="str">
        <f t="shared" si="10"/>
        <v>210#</v>
      </c>
      <c r="P255" s="79" t="str">
        <f>IFERROR(VLOOKUP($M255,Export!$P:$R,2,FALSE),"-")</f>
        <v>-</v>
      </c>
      <c r="Q255" s="79" t="str">
        <f>IFERROR(VLOOKUP($M255,Export!$P:$R,3,FALSE),"-")</f>
        <v>-</v>
      </c>
      <c r="R255" s="80" t="e" cm="1">
        <f t="array" ref="R255">_xlfn.IFS(P255="Service", _xlfn.IFS(I255="SALES","GP",I255="SERVICE SALES","GP",I255="PARTS SALES","GP",I255="SERVICE COS","GP",I255="PARTS COS","GP",I255="SELLING EXPENSES","Selling Expenses",I255="EMPLOYMENT EXPENSES","Selling Expenses",I255="EMPLOYMENT EXPENSES","Selling Expenses",I255="DIRECT EXPENSES","Selling Expenses",I255="INDIRECT EXPENSES","Selling Expenses"),P255="Parts",_xlfn.IFS(I255="SALES","GP",I255="SERVICE SALES","GP",I255="PARTS SALES","GP",I255="SERVICE COS","GP",I255="PARTS COS","GP",I255="SELLING EXPENSES","Selling Expenses",I255="EMPLOYMENT EXPENSES","Selling Expenses",I255="EMPLOYMENT EXPENSES","Selling Expenses",I255="DIRECT EXPENSES","Selling Expenses",I255="INDIRECT EXPENSES","Selling Expenses"))</f>
        <v>#N/A</v>
      </c>
    </row>
    <row r="256" spans="1:18" x14ac:dyDescent="0.2">
      <c r="A256" s="75" t="s">
        <v>478</v>
      </c>
      <c r="B256" s="76" t="s">
        <v>479</v>
      </c>
      <c r="C256" s="76">
        <v>110</v>
      </c>
      <c r="D256" s="76" t="s">
        <v>430</v>
      </c>
      <c r="E256" s="76" t="s">
        <v>247</v>
      </c>
      <c r="F256" s="77">
        <v>1</v>
      </c>
      <c r="G256" s="77">
        <v>0</v>
      </c>
      <c r="H256" s="77">
        <v>1</v>
      </c>
      <c r="I256" s="76" t="s">
        <v>463</v>
      </c>
      <c r="J256" s="77">
        <v>1</v>
      </c>
      <c r="K256" s="78">
        <v>4</v>
      </c>
      <c r="M256" s="79" t="str">
        <f t="shared" si="11"/>
        <v>110-6105R#</v>
      </c>
      <c r="N256" s="79" t="str">
        <f t="shared" si="9"/>
        <v>#</v>
      </c>
      <c r="O256" s="79" t="str">
        <f t="shared" si="10"/>
        <v>110#</v>
      </c>
      <c r="P256" s="79" t="str">
        <f>IFERROR(VLOOKUP($M256,Export!$P:$R,2,FALSE),"-")</f>
        <v>-</v>
      </c>
      <c r="Q256" s="79" t="str">
        <f>IFERROR(VLOOKUP($M256,Export!$P:$R,3,FALSE),"-")</f>
        <v>-</v>
      </c>
      <c r="R256" s="80" t="e" cm="1">
        <f t="array" ref="R256">_xlfn.IFS(P256="Service", _xlfn.IFS(I256="SALES","GP",I256="SERVICE SALES","GP",I256="PARTS SALES","GP",I256="SERVICE COS","GP",I256="PARTS COS","GP",I256="SELLING EXPENSES","Selling Expenses",I256="EMPLOYMENT EXPENSES","Selling Expenses",I256="EMPLOYMENT EXPENSES","Selling Expenses",I256="DIRECT EXPENSES","Selling Expenses",I256="INDIRECT EXPENSES","Selling Expenses"),P256="Parts",_xlfn.IFS(I256="SALES","GP",I256="SERVICE SALES","GP",I256="PARTS SALES","GP",I256="SERVICE COS","GP",I256="PARTS COS","GP",I256="SELLING EXPENSES","Selling Expenses",I256="EMPLOYMENT EXPENSES","Selling Expenses",I256="EMPLOYMENT EXPENSES","Selling Expenses",I256="DIRECT EXPENSES","Selling Expenses",I256="INDIRECT EXPENSES","Selling Expenses"))</f>
        <v>#N/A</v>
      </c>
    </row>
    <row r="257" spans="1:18" x14ac:dyDescent="0.2">
      <c r="A257" s="75" t="s">
        <v>478</v>
      </c>
      <c r="B257" s="76" t="s">
        <v>479</v>
      </c>
      <c r="C257" s="76">
        <v>210</v>
      </c>
      <c r="D257" s="76" t="s">
        <v>436</v>
      </c>
      <c r="E257" s="76" t="s">
        <v>247</v>
      </c>
      <c r="F257" s="77">
        <v>2</v>
      </c>
      <c r="G257" s="77">
        <v>0</v>
      </c>
      <c r="H257" s="77">
        <v>2</v>
      </c>
      <c r="I257" s="76" t="s">
        <v>463</v>
      </c>
      <c r="J257" s="77">
        <v>0</v>
      </c>
      <c r="K257" s="78">
        <v>5</v>
      </c>
      <c r="M257" s="79" t="str">
        <f t="shared" si="11"/>
        <v>210-6105R#</v>
      </c>
      <c r="N257" s="79" t="str">
        <f t="shared" si="9"/>
        <v>#</v>
      </c>
      <c r="O257" s="79" t="str">
        <f t="shared" si="10"/>
        <v>210#</v>
      </c>
      <c r="P257" s="79" t="str">
        <f>IFERROR(VLOOKUP($M257,Export!$P:$R,2,FALSE),"-")</f>
        <v>-</v>
      </c>
      <c r="Q257" s="79" t="str">
        <f>IFERROR(VLOOKUP($M257,Export!$P:$R,3,FALSE),"-")</f>
        <v>-</v>
      </c>
      <c r="R257" s="80" t="e" cm="1">
        <f t="array" ref="R257">_xlfn.IFS(P257="Service", _xlfn.IFS(I257="SALES","GP",I257="SERVICE SALES","GP",I257="PARTS SALES","GP",I257="SERVICE COS","GP",I257="PARTS COS","GP",I257="SELLING EXPENSES","Selling Expenses",I257="EMPLOYMENT EXPENSES","Selling Expenses",I257="EMPLOYMENT EXPENSES","Selling Expenses",I257="DIRECT EXPENSES","Selling Expenses",I257="INDIRECT EXPENSES","Selling Expenses"),P257="Parts",_xlfn.IFS(I257="SALES","GP",I257="SERVICE SALES","GP",I257="PARTS SALES","GP",I257="SERVICE COS","GP",I257="PARTS COS","GP",I257="SELLING EXPENSES","Selling Expenses",I257="EMPLOYMENT EXPENSES","Selling Expenses",I257="EMPLOYMENT EXPENSES","Selling Expenses",I257="DIRECT EXPENSES","Selling Expenses",I257="INDIRECT EXPENSES","Selling Expenses"))</f>
        <v>#N/A</v>
      </c>
    </row>
    <row r="258" spans="1:18" x14ac:dyDescent="0.2">
      <c r="A258" s="75" t="s">
        <v>480</v>
      </c>
      <c r="B258" s="76" t="s">
        <v>481</v>
      </c>
      <c r="C258" s="76">
        <v>100</v>
      </c>
      <c r="D258" s="76" t="s">
        <v>227</v>
      </c>
      <c r="E258" s="76" t="s">
        <v>426</v>
      </c>
      <c r="F258" s="77">
        <v>-31515.08</v>
      </c>
      <c r="G258" s="77">
        <v>-419.71</v>
      </c>
      <c r="H258" s="77">
        <v>-31934.79</v>
      </c>
      <c r="I258" s="76" t="s">
        <v>482</v>
      </c>
      <c r="J258" s="77">
        <v>0</v>
      </c>
      <c r="K258" s="78">
        <v>-1539.13</v>
      </c>
      <c r="M258" s="79" t="str">
        <f t="shared" si="11"/>
        <v>100-3002R</v>
      </c>
      <c r="N258" s="79" t="str">
        <f t="shared" ref="N258:N321" si="12">+IF(RIGHT(A258,1)="#","#","")</f>
        <v/>
      </c>
      <c r="O258" s="79" t="str">
        <f t="shared" ref="O258:O321" si="13">+C258&amp;N258</f>
        <v>100</v>
      </c>
      <c r="P258" s="79" t="str">
        <f>IFERROR(VLOOKUP($M258,Export!$P:$R,2,FALSE),"-")</f>
        <v>New Vehicle</v>
      </c>
      <c r="Q258" s="79" t="str">
        <f>IFERROR(VLOOKUP($M258,Export!$P:$R,3,FALSE),"-")</f>
        <v>New VehicleOther Income per NV unit</v>
      </c>
      <c r="R258" s="80" t="e" cm="1">
        <f t="array" ref="R258">_xlfn.IFS(P258="Service", _xlfn.IFS(I258="SALES","GP",I258="SERVICE SALES","GP",I258="PARTS SALES","GP",I258="SERVICE COS","GP",I258="PARTS COS","GP",I258="SELLING EXPENSES","Selling Expenses",I258="EMPLOYMENT EXPENSES","Selling Expenses",I258="EMPLOYMENT EXPENSES","Selling Expenses",I258="DIRECT EXPENSES","Selling Expenses",I258="INDIRECT EXPENSES","Selling Expenses"),P258="Parts",_xlfn.IFS(I258="SALES","GP",I258="SERVICE SALES","GP",I258="PARTS SALES","GP",I258="SERVICE COS","GP",I258="PARTS COS","GP",I258="SELLING EXPENSES","Selling Expenses",I258="EMPLOYMENT EXPENSES","Selling Expenses",I258="EMPLOYMENT EXPENSES","Selling Expenses",I258="DIRECT EXPENSES","Selling Expenses",I258="INDIRECT EXPENSES","Selling Expenses"))</f>
        <v>#N/A</v>
      </c>
    </row>
    <row r="259" spans="1:18" x14ac:dyDescent="0.2">
      <c r="A259" s="75" t="s">
        <v>480</v>
      </c>
      <c r="B259" s="76" t="s">
        <v>481</v>
      </c>
      <c r="C259" s="76">
        <v>110</v>
      </c>
      <c r="D259" s="76" t="s">
        <v>430</v>
      </c>
      <c r="E259" s="76" t="s">
        <v>426</v>
      </c>
      <c r="F259" s="77">
        <v>-157582.48000000001</v>
      </c>
      <c r="G259" s="77">
        <v>0</v>
      </c>
      <c r="H259" s="77">
        <v>-157582.48000000001</v>
      </c>
      <c r="I259" s="76" t="s">
        <v>482</v>
      </c>
      <c r="J259" s="77">
        <v>-48157.55</v>
      </c>
      <c r="K259" s="78">
        <v>-342232.28</v>
      </c>
      <c r="M259" s="79" t="str">
        <f t="shared" ref="M259:M322" si="14">+C259&amp;"-"&amp;A259</f>
        <v>110-3002R</v>
      </c>
      <c r="N259" s="79" t="str">
        <f t="shared" si="12"/>
        <v/>
      </c>
      <c r="O259" s="79" t="str">
        <f t="shared" si="13"/>
        <v>110</v>
      </c>
      <c r="P259" s="79" t="str">
        <f>IFERROR(VLOOKUP($M259,Export!$P:$R,2,FALSE),"-")</f>
        <v>Used Vehicle</v>
      </c>
      <c r="Q259" s="79" t="str">
        <f>IFERROR(VLOOKUP($M259,Export!$P:$R,3,FALSE),"-")</f>
        <v>Used VehicleEx NV demonstrators gross profit p.u.</v>
      </c>
      <c r="R259" s="80" t="e" cm="1">
        <f t="array" ref="R259">_xlfn.IFS(P259="Service", _xlfn.IFS(I259="SALES","GP",I259="SERVICE SALES","GP",I259="PARTS SALES","GP",I259="SERVICE COS","GP",I259="PARTS COS","GP",I259="SELLING EXPENSES","Selling Expenses",I259="EMPLOYMENT EXPENSES","Selling Expenses",I259="EMPLOYMENT EXPENSES","Selling Expenses",I259="DIRECT EXPENSES","Selling Expenses",I259="INDIRECT EXPENSES","Selling Expenses"),P259="Parts",_xlfn.IFS(I259="SALES","GP",I259="SERVICE SALES","GP",I259="PARTS SALES","GP",I259="SERVICE COS","GP",I259="PARTS COS","GP",I259="SELLING EXPENSES","Selling Expenses",I259="EMPLOYMENT EXPENSES","Selling Expenses",I259="EMPLOYMENT EXPENSES","Selling Expenses",I259="DIRECT EXPENSES","Selling Expenses",I259="INDIRECT EXPENSES","Selling Expenses"))</f>
        <v>#N/A</v>
      </c>
    </row>
    <row r="260" spans="1:18" x14ac:dyDescent="0.2">
      <c r="A260" s="75" t="s">
        <v>480</v>
      </c>
      <c r="B260" s="76" t="s">
        <v>481</v>
      </c>
      <c r="C260" s="76">
        <v>200</v>
      </c>
      <c r="D260" s="76" t="s">
        <v>428</v>
      </c>
      <c r="E260" s="76" t="s">
        <v>426</v>
      </c>
      <c r="F260" s="77">
        <v>-5801.44</v>
      </c>
      <c r="G260" s="77">
        <v>0</v>
      </c>
      <c r="H260" s="77">
        <v>-5801.44</v>
      </c>
      <c r="I260" s="76" t="s">
        <v>482</v>
      </c>
      <c r="J260" s="77">
        <v>0</v>
      </c>
      <c r="K260" s="78">
        <v>-2573.7199999999998</v>
      </c>
      <c r="M260" s="79" t="str">
        <f t="shared" si="14"/>
        <v>200-3002R</v>
      </c>
      <c r="N260" s="79" t="str">
        <f t="shared" si="12"/>
        <v/>
      </c>
      <c r="O260" s="79" t="str">
        <f t="shared" si="13"/>
        <v>200</v>
      </c>
      <c r="P260" s="79" t="str">
        <f>IFERROR(VLOOKUP($M260,Export!$P:$R,2,FALSE),"-")</f>
        <v>New Vehicle</v>
      </c>
      <c r="Q260" s="79" t="str">
        <f>IFERROR(VLOOKUP($M260,Export!$P:$R,3,FALSE),"-")</f>
        <v>New VehicleOther Income per NV unit</v>
      </c>
      <c r="R260" s="80" t="e" cm="1">
        <f t="array" ref="R260">_xlfn.IFS(P260="Service", _xlfn.IFS(I260="SALES","GP",I260="SERVICE SALES","GP",I260="PARTS SALES","GP",I260="SERVICE COS","GP",I260="PARTS COS","GP",I260="SELLING EXPENSES","Selling Expenses",I260="EMPLOYMENT EXPENSES","Selling Expenses",I260="EMPLOYMENT EXPENSES","Selling Expenses",I260="DIRECT EXPENSES","Selling Expenses",I260="INDIRECT EXPENSES","Selling Expenses"),P260="Parts",_xlfn.IFS(I260="SALES","GP",I260="SERVICE SALES","GP",I260="PARTS SALES","GP",I260="SERVICE COS","GP",I260="PARTS COS","GP",I260="SELLING EXPENSES","Selling Expenses",I260="EMPLOYMENT EXPENSES","Selling Expenses",I260="EMPLOYMENT EXPENSES","Selling Expenses",I260="DIRECT EXPENSES","Selling Expenses",I260="INDIRECT EXPENSES","Selling Expenses"))</f>
        <v>#N/A</v>
      </c>
    </row>
    <row r="261" spans="1:18" x14ac:dyDescent="0.2">
      <c r="A261" s="75" t="s">
        <v>480</v>
      </c>
      <c r="B261" s="76" t="s">
        <v>481</v>
      </c>
      <c r="C261" s="76">
        <v>210</v>
      </c>
      <c r="D261" s="76" t="s">
        <v>436</v>
      </c>
      <c r="E261" s="76" t="s">
        <v>426</v>
      </c>
      <c r="F261" s="77">
        <v>-118230.43</v>
      </c>
      <c r="G261" s="77">
        <v>-97017.39</v>
      </c>
      <c r="H261" s="77">
        <v>-215247.82</v>
      </c>
      <c r="I261" s="76" t="s">
        <v>482</v>
      </c>
      <c r="J261" s="77">
        <v>-55060.86</v>
      </c>
      <c r="K261" s="78">
        <v>-307524.08</v>
      </c>
      <c r="M261" s="79" t="str">
        <f t="shared" si="14"/>
        <v>210-3002R</v>
      </c>
      <c r="N261" s="79" t="str">
        <f t="shared" si="12"/>
        <v/>
      </c>
      <c r="O261" s="79" t="str">
        <f t="shared" si="13"/>
        <v>210</v>
      </c>
      <c r="P261" s="79" t="str">
        <f>IFERROR(VLOOKUP($M261,Export!$P:$R,2,FALSE),"-")</f>
        <v>Used Vehicle</v>
      </c>
      <c r="Q261" s="79" t="str">
        <f>IFERROR(VLOOKUP($M261,Export!$P:$R,3,FALSE),"-")</f>
        <v>Used VehicleEx NV demonstrators gross profit p.u.</v>
      </c>
      <c r="R261" s="80" t="e" cm="1">
        <f t="array" ref="R261">_xlfn.IFS(P261="Service", _xlfn.IFS(I261="SALES","GP",I261="SERVICE SALES","GP",I261="PARTS SALES","GP",I261="SERVICE COS","GP",I261="PARTS COS","GP",I261="SELLING EXPENSES","Selling Expenses",I261="EMPLOYMENT EXPENSES","Selling Expenses",I261="EMPLOYMENT EXPENSES","Selling Expenses",I261="DIRECT EXPENSES","Selling Expenses",I261="INDIRECT EXPENSES","Selling Expenses"),P261="Parts",_xlfn.IFS(I261="SALES","GP",I261="SERVICE SALES","GP",I261="PARTS SALES","GP",I261="SERVICE COS","GP",I261="PARTS COS","GP",I261="SELLING EXPENSES","Selling Expenses",I261="EMPLOYMENT EXPENSES","Selling Expenses",I261="EMPLOYMENT EXPENSES","Selling Expenses",I261="DIRECT EXPENSES","Selling Expenses",I261="INDIRECT EXPENSES","Selling Expenses"))</f>
        <v>#N/A</v>
      </c>
    </row>
    <row r="262" spans="1:18" x14ac:dyDescent="0.2">
      <c r="A262" s="75" t="s">
        <v>483</v>
      </c>
      <c r="B262" s="76" t="s">
        <v>484</v>
      </c>
      <c r="C262" s="76">
        <v>110</v>
      </c>
      <c r="D262" s="76" t="s">
        <v>430</v>
      </c>
      <c r="E262" s="76" t="s">
        <v>426</v>
      </c>
      <c r="F262" s="77">
        <v>3265.43</v>
      </c>
      <c r="G262" s="77">
        <v>0</v>
      </c>
      <c r="H262" s="77">
        <v>3265.43</v>
      </c>
      <c r="I262" s="76" t="s">
        <v>482</v>
      </c>
      <c r="J262" s="77">
        <v>0</v>
      </c>
      <c r="K262" s="78">
        <v>0</v>
      </c>
      <c r="M262" s="79" t="str">
        <f t="shared" si="14"/>
        <v>110-3002RD</v>
      </c>
      <c r="N262" s="79" t="str">
        <f t="shared" si="12"/>
        <v/>
      </c>
      <c r="O262" s="79" t="str">
        <f t="shared" si="13"/>
        <v>110</v>
      </c>
      <c r="P262" s="79" t="str">
        <f>IFERROR(VLOOKUP($M262,Export!$P:$R,2,FALSE),"-")</f>
        <v>Used Vehicle</v>
      </c>
      <c r="Q262" s="79" t="str">
        <f>IFERROR(VLOOKUP($M262,Export!$P:$R,3,FALSE),"-")</f>
        <v>Used VehicleEx NV demonstrators gross profit p.u.</v>
      </c>
      <c r="R262" s="80" t="e" cm="1">
        <f t="array" ref="R262">_xlfn.IFS(P262="Service", _xlfn.IFS(I262="SALES","GP",I262="SERVICE SALES","GP",I262="PARTS SALES","GP",I262="SERVICE COS","GP",I262="PARTS COS","GP",I262="SELLING EXPENSES","Selling Expenses",I262="EMPLOYMENT EXPENSES","Selling Expenses",I262="EMPLOYMENT EXPENSES","Selling Expenses",I262="DIRECT EXPENSES","Selling Expenses",I262="INDIRECT EXPENSES","Selling Expenses"),P262="Parts",_xlfn.IFS(I262="SALES","GP",I262="SERVICE SALES","GP",I262="PARTS SALES","GP",I262="SERVICE COS","GP",I262="PARTS COS","GP",I262="SELLING EXPENSES","Selling Expenses",I262="EMPLOYMENT EXPENSES","Selling Expenses",I262="EMPLOYMENT EXPENSES","Selling Expenses",I262="DIRECT EXPENSES","Selling Expenses",I262="INDIRECT EXPENSES","Selling Expenses"))</f>
        <v>#N/A</v>
      </c>
    </row>
    <row r="263" spans="1:18" x14ac:dyDescent="0.2">
      <c r="A263" s="75" t="s">
        <v>483</v>
      </c>
      <c r="B263" s="76" t="s">
        <v>484</v>
      </c>
      <c r="C263" s="76">
        <v>210</v>
      </c>
      <c r="D263" s="76" t="s">
        <v>436</v>
      </c>
      <c r="E263" s="76" t="s">
        <v>426</v>
      </c>
      <c r="F263" s="77">
        <v>1452.18</v>
      </c>
      <c r="G263" s="77">
        <v>7217.39</v>
      </c>
      <c r="H263" s="77">
        <v>8669.57</v>
      </c>
      <c r="I263" s="76" t="s">
        <v>482</v>
      </c>
      <c r="J263" s="77">
        <v>0</v>
      </c>
      <c r="K263" s="78">
        <v>1560.87</v>
      </c>
      <c r="M263" s="79" t="str">
        <f t="shared" si="14"/>
        <v>210-3002RD</v>
      </c>
      <c r="N263" s="79" t="str">
        <f t="shared" si="12"/>
        <v/>
      </c>
      <c r="O263" s="79" t="str">
        <f t="shared" si="13"/>
        <v>210</v>
      </c>
      <c r="P263" s="79" t="str">
        <f>IFERROR(VLOOKUP($M263,Export!$P:$R,2,FALSE),"-")</f>
        <v>Used Vehicle</v>
      </c>
      <c r="Q263" s="79" t="str">
        <f>IFERROR(VLOOKUP($M263,Export!$P:$R,3,FALSE),"-")</f>
        <v>Used VehicleEx NV demonstrators gross profit p.u.</v>
      </c>
      <c r="R263" s="80" t="e" cm="1">
        <f t="array" ref="R263">_xlfn.IFS(P263="Service", _xlfn.IFS(I263="SALES","GP",I263="SERVICE SALES","GP",I263="PARTS SALES","GP",I263="SERVICE COS","GP",I263="PARTS COS","GP",I263="SELLING EXPENSES","Selling Expenses",I263="EMPLOYMENT EXPENSES","Selling Expenses",I263="EMPLOYMENT EXPENSES","Selling Expenses",I263="DIRECT EXPENSES","Selling Expenses",I263="INDIRECT EXPENSES","Selling Expenses"),P263="Parts",_xlfn.IFS(I263="SALES","GP",I263="SERVICE SALES","GP",I263="PARTS SALES","GP",I263="SERVICE COS","GP",I263="PARTS COS","GP",I263="SELLING EXPENSES","Selling Expenses",I263="EMPLOYMENT EXPENSES","Selling Expenses",I263="EMPLOYMENT EXPENSES","Selling Expenses",I263="DIRECT EXPENSES","Selling Expenses",I263="INDIRECT EXPENSES","Selling Expenses"))</f>
        <v>#N/A</v>
      </c>
    </row>
    <row r="264" spans="1:18" x14ac:dyDescent="0.2">
      <c r="A264" s="75" t="s">
        <v>485</v>
      </c>
      <c r="B264" s="76" t="s">
        <v>486</v>
      </c>
      <c r="C264" s="76">
        <v>100</v>
      </c>
      <c r="D264" s="76" t="s">
        <v>227</v>
      </c>
      <c r="E264" s="76" t="s">
        <v>426</v>
      </c>
      <c r="F264" s="77">
        <v>-26126.57</v>
      </c>
      <c r="G264" s="77">
        <v>-1919.47</v>
      </c>
      <c r="H264" s="77">
        <v>-28046.04</v>
      </c>
      <c r="I264" s="76" t="s">
        <v>482</v>
      </c>
      <c r="J264" s="77">
        <v>0</v>
      </c>
      <c r="K264" s="78">
        <v>0</v>
      </c>
      <c r="M264" s="79" t="str">
        <f t="shared" si="14"/>
        <v>100-3004R</v>
      </c>
      <c r="N264" s="79" t="str">
        <f t="shared" si="12"/>
        <v/>
      </c>
      <c r="O264" s="79" t="str">
        <f t="shared" si="13"/>
        <v>100</v>
      </c>
      <c r="P264" s="79" t="str">
        <f>IFERROR(VLOOKUP($M264,Export!$P:$R,2,FALSE),"-")</f>
        <v>New Vehicle</v>
      </c>
      <c r="Q264" s="79" t="str">
        <f>IFERROR(VLOOKUP($M264,Export!$P:$R,3,FALSE),"-")</f>
        <v>New VehicleOther Income per NV unit</v>
      </c>
      <c r="R264" s="80" t="e" cm="1">
        <f t="array" ref="R264">_xlfn.IFS(P264="Service", _xlfn.IFS(I264="SALES","GP",I264="SERVICE SALES","GP",I264="PARTS SALES","GP",I264="SERVICE COS","GP",I264="PARTS COS","GP",I264="SELLING EXPENSES","Selling Expenses",I264="EMPLOYMENT EXPENSES","Selling Expenses",I264="EMPLOYMENT EXPENSES","Selling Expenses",I264="DIRECT EXPENSES","Selling Expenses",I264="INDIRECT EXPENSES","Selling Expenses"),P264="Parts",_xlfn.IFS(I264="SALES","GP",I264="SERVICE SALES","GP",I264="PARTS SALES","GP",I264="SERVICE COS","GP",I264="PARTS COS","GP",I264="SELLING EXPENSES","Selling Expenses",I264="EMPLOYMENT EXPENSES","Selling Expenses",I264="EMPLOYMENT EXPENSES","Selling Expenses",I264="DIRECT EXPENSES","Selling Expenses",I264="INDIRECT EXPENSES","Selling Expenses"))</f>
        <v>#N/A</v>
      </c>
    </row>
    <row r="265" spans="1:18" x14ac:dyDescent="0.2">
      <c r="A265" s="75" t="s">
        <v>485</v>
      </c>
      <c r="B265" s="76" t="s">
        <v>486</v>
      </c>
      <c r="C265" s="76">
        <v>110</v>
      </c>
      <c r="D265" s="76" t="s">
        <v>430</v>
      </c>
      <c r="E265" s="76" t="s">
        <v>426</v>
      </c>
      <c r="F265" s="77">
        <v>-101286.96</v>
      </c>
      <c r="G265" s="77">
        <v>0</v>
      </c>
      <c r="H265" s="77">
        <v>-101286.96</v>
      </c>
      <c r="I265" s="76" t="s">
        <v>482</v>
      </c>
      <c r="J265" s="77">
        <v>-32578.67</v>
      </c>
      <c r="K265" s="78">
        <v>-264010.27</v>
      </c>
      <c r="M265" s="79" t="str">
        <f t="shared" si="14"/>
        <v>110-3004R</v>
      </c>
      <c r="N265" s="79" t="str">
        <f t="shared" si="12"/>
        <v/>
      </c>
      <c r="O265" s="79" t="str">
        <f t="shared" si="13"/>
        <v>110</v>
      </c>
      <c r="P265" s="79" t="str">
        <f>IFERROR(VLOOKUP($M265,Export!$P:$R,2,FALSE),"-")</f>
        <v>Used Vehicle</v>
      </c>
      <c r="Q265" s="79" t="str">
        <f>IFERROR(VLOOKUP($M265,Export!$P:$R,3,FALSE),"-")</f>
        <v>Used VehicleEx NV demonstrators gross profit p.u.</v>
      </c>
      <c r="R265" s="80" t="e" cm="1">
        <f t="array" ref="R265">_xlfn.IFS(P265="Service", _xlfn.IFS(I265="SALES","GP",I265="SERVICE SALES","GP",I265="PARTS SALES","GP",I265="SERVICE COS","GP",I265="PARTS COS","GP",I265="SELLING EXPENSES","Selling Expenses",I265="EMPLOYMENT EXPENSES","Selling Expenses",I265="EMPLOYMENT EXPENSES","Selling Expenses",I265="DIRECT EXPENSES","Selling Expenses",I265="INDIRECT EXPENSES","Selling Expenses"),P265="Parts",_xlfn.IFS(I265="SALES","GP",I265="SERVICE SALES","GP",I265="PARTS SALES","GP",I265="SERVICE COS","GP",I265="PARTS COS","GP",I265="SELLING EXPENSES","Selling Expenses",I265="EMPLOYMENT EXPENSES","Selling Expenses",I265="EMPLOYMENT EXPENSES","Selling Expenses",I265="DIRECT EXPENSES","Selling Expenses",I265="INDIRECT EXPENSES","Selling Expenses"))</f>
        <v>#N/A</v>
      </c>
    </row>
    <row r="266" spans="1:18" x14ac:dyDescent="0.2">
      <c r="A266" s="75" t="s">
        <v>485</v>
      </c>
      <c r="B266" s="76" t="s">
        <v>486</v>
      </c>
      <c r="C266" s="76">
        <v>200</v>
      </c>
      <c r="D266" s="76" t="s">
        <v>428</v>
      </c>
      <c r="E266" s="76" t="s">
        <v>426</v>
      </c>
      <c r="F266" s="77">
        <v>-8631.17</v>
      </c>
      <c r="G266" s="77">
        <v>-1439.84</v>
      </c>
      <c r="H266" s="77">
        <v>-10071.01</v>
      </c>
      <c r="I266" s="76" t="s">
        <v>482</v>
      </c>
      <c r="J266" s="77">
        <v>0</v>
      </c>
      <c r="K266" s="78">
        <v>-52.17</v>
      </c>
      <c r="M266" s="79" t="str">
        <f t="shared" si="14"/>
        <v>200-3004R</v>
      </c>
      <c r="N266" s="79" t="str">
        <f t="shared" si="12"/>
        <v/>
      </c>
      <c r="O266" s="79" t="str">
        <f t="shared" si="13"/>
        <v>200</v>
      </c>
      <c r="P266" s="79" t="str">
        <f>IFERROR(VLOOKUP($M266,Export!$P:$R,2,FALSE),"-")</f>
        <v>New Vehicle</v>
      </c>
      <c r="Q266" s="79" t="str">
        <f>IFERROR(VLOOKUP($M266,Export!$P:$R,3,FALSE),"-")</f>
        <v>New VehicleOther Income per NV unit</v>
      </c>
      <c r="R266" s="80" t="e" cm="1">
        <f t="array" ref="R266">_xlfn.IFS(P266="Service", _xlfn.IFS(I266="SALES","GP",I266="SERVICE SALES","GP",I266="PARTS SALES","GP",I266="SERVICE COS","GP",I266="PARTS COS","GP",I266="SELLING EXPENSES","Selling Expenses",I266="EMPLOYMENT EXPENSES","Selling Expenses",I266="EMPLOYMENT EXPENSES","Selling Expenses",I266="DIRECT EXPENSES","Selling Expenses",I266="INDIRECT EXPENSES","Selling Expenses"),P266="Parts",_xlfn.IFS(I266="SALES","GP",I266="SERVICE SALES","GP",I266="PARTS SALES","GP",I266="SERVICE COS","GP",I266="PARTS COS","GP",I266="SELLING EXPENSES","Selling Expenses",I266="EMPLOYMENT EXPENSES","Selling Expenses",I266="EMPLOYMENT EXPENSES","Selling Expenses",I266="DIRECT EXPENSES","Selling Expenses",I266="INDIRECT EXPENSES","Selling Expenses"))</f>
        <v>#N/A</v>
      </c>
    </row>
    <row r="267" spans="1:18" x14ac:dyDescent="0.2">
      <c r="A267" s="75" t="s">
        <v>485</v>
      </c>
      <c r="B267" s="76" t="s">
        <v>486</v>
      </c>
      <c r="C267" s="76">
        <v>210</v>
      </c>
      <c r="D267" s="76" t="s">
        <v>436</v>
      </c>
      <c r="E267" s="76" t="s">
        <v>426</v>
      </c>
      <c r="F267" s="77">
        <v>-107156.52</v>
      </c>
      <c r="G267" s="77">
        <v>-32327.27</v>
      </c>
      <c r="H267" s="77">
        <v>-139483.79</v>
      </c>
      <c r="I267" s="76" t="s">
        <v>482</v>
      </c>
      <c r="J267" s="77">
        <v>-95680.84</v>
      </c>
      <c r="K267" s="78">
        <v>-386473.23</v>
      </c>
      <c r="M267" s="79" t="str">
        <f t="shared" si="14"/>
        <v>210-3004R</v>
      </c>
      <c r="N267" s="79" t="str">
        <f t="shared" si="12"/>
        <v/>
      </c>
      <c r="O267" s="79" t="str">
        <f t="shared" si="13"/>
        <v>210</v>
      </c>
      <c r="P267" s="79" t="str">
        <f>IFERROR(VLOOKUP($M267,Export!$P:$R,2,FALSE),"-")</f>
        <v>Used Vehicle</v>
      </c>
      <c r="Q267" s="79" t="str">
        <f>IFERROR(VLOOKUP($M267,Export!$P:$R,3,FALSE),"-")</f>
        <v>Used VehicleEx NV demonstrators gross profit p.u.</v>
      </c>
      <c r="R267" s="80" t="e" cm="1">
        <f t="array" ref="R267">_xlfn.IFS(P267="Service", _xlfn.IFS(I267="SALES","GP",I267="SERVICE SALES","GP",I267="PARTS SALES","GP",I267="SERVICE COS","GP",I267="PARTS COS","GP",I267="SELLING EXPENSES","Selling Expenses",I267="EMPLOYMENT EXPENSES","Selling Expenses",I267="EMPLOYMENT EXPENSES","Selling Expenses",I267="DIRECT EXPENSES","Selling Expenses",I267="INDIRECT EXPENSES","Selling Expenses"),P267="Parts",_xlfn.IFS(I267="SALES","GP",I267="SERVICE SALES","GP",I267="PARTS SALES","GP",I267="SERVICE COS","GP",I267="PARTS COS","GP",I267="SELLING EXPENSES","Selling Expenses",I267="EMPLOYMENT EXPENSES","Selling Expenses",I267="EMPLOYMENT EXPENSES","Selling Expenses",I267="DIRECT EXPENSES","Selling Expenses",I267="INDIRECT EXPENSES","Selling Expenses"))</f>
        <v>#N/A</v>
      </c>
    </row>
    <row r="268" spans="1:18" x14ac:dyDescent="0.2">
      <c r="A268" s="75" t="s">
        <v>487</v>
      </c>
      <c r="B268" s="76" t="s">
        <v>488</v>
      </c>
      <c r="C268" s="76">
        <v>110</v>
      </c>
      <c r="D268" s="76" t="s">
        <v>430</v>
      </c>
      <c r="E268" s="76" t="s">
        <v>426</v>
      </c>
      <c r="F268" s="77">
        <v>3138.23</v>
      </c>
      <c r="G268" s="77">
        <v>0</v>
      </c>
      <c r="H268" s="77">
        <v>3138.23</v>
      </c>
      <c r="I268" s="76" t="s">
        <v>482</v>
      </c>
      <c r="J268" s="77">
        <v>0</v>
      </c>
      <c r="K268" s="78">
        <v>0</v>
      </c>
      <c r="M268" s="79" t="str">
        <f t="shared" si="14"/>
        <v>110-3004RD</v>
      </c>
      <c r="N268" s="79" t="str">
        <f t="shared" si="12"/>
        <v/>
      </c>
      <c r="O268" s="79" t="str">
        <f t="shared" si="13"/>
        <v>110</v>
      </c>
      <c r="P268" s="79" t="str">
        <f>IFERROR(VLOOKUP($M268,Export!$P:$R,2,FALSE),"-")</f>
        <v>Used Vehicle</v>
      </c>
      <c r="Q268" s="79" t="str">
        <f>IFERROR(VLOOKUP($M268,Export!$P:$R,3,FALSE),"-")</f>
        <v>Used VehicleEx NV demonstrators gross profit p.u.</v>
      </c>
      <c r="R268" s="80" t="e" cm="1">
        <f t="array" ref="R268">_xlfn.IFS(P268="Service", _xlfn.IFS(I268="SALES","GP",I268="SERVICE SALES","GP",I268="PARTS SALES","GP",I268="SERVICE COS","GP",I268="PARTS COS","GP",I268="SELLING EXPENSES","Selling Expenses",I268="EMPLOYMENT EXPENSES","Selling Expenses",I268="EMPLOYMENT EXPENSES","Selling Expenses",I268="DIRECT EXPENSES","Selling Expenses",I268="INDIRECT EXPENSES","Selling Expenses"),P268="Parts",_xlfn.IFS(I268="SALES","GP",I268="SERVICE SALES","GP",I268="PARTS SALES","GP",I268="SERVICE COS","GP",I268="PARTS COS","GP",I268="SELLING EXPENSES","Selling Expenses",I268="EMPLOYMENT EXPENSES","Selling Expenses",I268="EMPLOYMENT EXPENSES","Selling Expenses",I268="DIRECT EXPENSES","Selling Expenses",I268="INDIRECT EXPENSES","Selling Expenses"))</f>
        <v>#N/A</v>
      </c>
    </row>
    <row r="269" spans="1:18" x14ac:dyDescent="0.2">
      <c r="A269" s="75" t="s">
        <v>487</v>
      </c>
      <c r="B269" s="76" t="s">
        <v>488</v>
      </c>
      <c r="C269" s="76">
        <v>210</v>
      </c>
      <c r="D269" s="76" t="s">
        <v>436</v>
      </c>
      <c r="E269" s="76" t="s">
        <v>426</v>
      </c>
      <c r="F269" s="77">
        <v>391.3</v>
      </c>
      <c r="G269" s="77">
        <v>944.66</v>
      </c>
      <c r="H269" s="77">
        <v>1335.96</v>
      </c>
      <c r="I269" s="76" t="s">
        <v>482</v>
      </c>
      <c r="J269" s="77">
        <v>0</v>
      </c>
      <c r="K269" s="78">
        <v>1034.78</v>
      </c>
      <c r="M269" s="79" t="str">
        <f t="shared" si="14"/>
        <v>210-3004RD</v>
      </c>
      <c r="N269" s="79" t="str">
        <f t="shared" si="12"/>
        <v/>
      </c>
      <c r="O269" s="79" t="str">
        <f t="shared" si="13"/>
        <v>210</v>
      </c>
      <c r="P269" s="79" t="str">
        <f>IFERROR(VLOOKUP($M269,Export!$P:$R,2,FALSE),"-")</f>
        <v>Used Vehicle</v>
      </c>
      <c r="Q269" s="79" t="str">
        <f>IFERROR(VLOOKUP($M269,Export!$P:$R,3,FALSE),"-")</f>
        <v>Used VehicleEx NV demonstrators gross profit p.u.</v>
      </c>
      <c r="R269" s="80" t="e" cm="1">
        <f t="array" ref="R269">_xlfn.IFS(P269="Service", _xlfn.IFS(I269="SALES","GP",I269="SERVICE SALES","GP",I269="PARTS SALES","GP",I269="SERVICE COS","GP",I269="PARTS COS","GP",I269="SELLING EXPENSES","Selling Expenses",I269="EMPLOYMENT EXPENSES","Selling Expenses",I269="EMPLOYMENT EXPENSES","Selling Expenses",I269="DIRECT EXPENSES","Selling Expenses",I269="INDIRECT EXPENSES","Selling Expenses"),P269="Parts",_xlfn.IFS(I269="SALES","GP",I269="SERVICE SALES","GP",I269="PARTS SALES","GP",I269="SERVICE COS","GP",I269="PARTS COS","GP",I269="SELLING EXPENSES","Selling Expenses",I269="EMPLOYMENT EXPENSES","Selling Expenses",I269="EMPLOYMENT EXPENSES","Selling Expenses",I269="DIRECT EXPENSES","Selling Expenses",I269="INDIRECT EXPENSES","Selling Expenses"))</f>
        <v>#N/A</v>
      </c>
    </row>
    <row r="270" spans="1:18" x14ac:dyDescent="0.2">
      <c r="A270" s="75" t="s">
        <v>489</v>
      </c>
      <c r="B270" s="76" t="s">
        <v>490</v>
      </c>
      <c r="C270" s="76">
        <v>100</v>
      </c>
      <c r="D270" s="76" t="s">
        <v>227</v>
      </c>
      <c r="E270" s="76" t="s">
        <v>426</v>
      </c>
      <c r="F270" s="77">
        <v>-1114.93</v>
      </c>
      <c r="G270" s="77">
        <v>0</v>
      </c>
      <c r="H270" s="77">
        <v>-1114.93</v>
      </c>
      <c r="I270" s="76" t="s">
        <v>482</v>
      </c>
      <c r="J270" s="77">
        <v>0</v>
      </c>
      <c r="K270" s="78">
        <v>-2500</v>
      </c>
      <c r="M270" s="79" t="str">
        <f t="shared" si="14"/>
        <v>100-3006R</v>
      </c>
      <c r="N270" s="79" t="str">
        <f t="shared" si="12"/>
        <v/>
      </c>
      <c r="O270" s="79" t="str">
        <f t="shared" si="13"/>
        <v>100</v>
      </c>
      <c r="P270" s="79" t="str">
        <f>IFERROR(VLOOKUP($M270,Export!$P:$R,2,FALSE),"-")</f>
        <v>New Vehicle</v>
      </c>
      <c r="Q270" s="79" t="str">
        <f>IFERROR(VLOOKUP($M270,Export!$P:$R,3,FALSE),"-")</f>
        <v>New VehicleOther Income per NV unit</v>
      </c>
      <c r="R270" s="80" t="e" cm="1">
        <f t="array" ref="R270">_xlfn.IFS(P270="Service", _xlfn.IFS(I270="SALES","GP",I270="SERVICE SALES","GP",I270="PARTS SALES","GP",I270="SERVICE COS","GP",I270="PARTS COS","GP",I270="SELLING EXPENSES","Selling Expenses",I270="EMPLOYMENT EXPENSES","Selling Expenses",I270="EMPLOYMENT EXPENSES","Selling Expenses",I270="DIRECT EXPENSES","Selling Expenses",I270="INDIRECT EXPENSES","Selling Expenses"),P270="Parts",_xlfn.IFS(I270="SALES","GP",I270="SERVICE SALES","GP",I270="PARTS SALES","GP",I270="SERVICE COS","GP",I270="PARTS COS","GP",I270="SELLING EXPENSES","Selling Expenses",I270="EMPLOYMENT EXPENSES","Selling Expenses",I270="EMPLOYMENT EXPENSES","Selling Expenses",I270="DIRECT EXPENSES","Selling Expenses",I270="INDIRECT EXPENSES","Selling Expenses"))</f>
        <v>#N/A</v>
      </c>
    </row>
    <row r="271" spans="1:18" x14ac:dyDescent="0.2">
      <c r="A271" s="75" t="s">
        <v>489</v>
      </c>
      <c r="B271" s="76" t="s">
        <v>490</v>
      </c>
      <c r="C271" s="76">
        <v>110</v>
      </c>
      <c r="D271" s="76" t="s">
        <v>430</v>
      </c>
      <c r="E271" s="76" t="s">
        <v>426</v>
      </c>
      <c r="F271" s="77">
        <v>-29560.87</v>
      </c>
      <c r="G271" s="77">
        <v>0</v>
      </c>
      <c r="H271" s="77">
        <v>-29560.87</v>
      </c>
      <c r="I271" s="76" t="s">
        <v>482</v>
      </c>
      <c r="J271" s="77">
        <v>0</v>
      </c>
      <c r="K271" s="78">
        <v>-140226.09</v>
      </c>
      <c r="M271" s="79" t="str">
        <f t="shared" si="14"/>
        <v>110-3006R</v>
      </c>
      <c r="N271" s="79" t="str">
        <f t="shared" si="12"/>
        <v/>
      </c>
      <c r="O271" s="79" t="str">
        <f t="shared" si="13"/>
        <v>110</v>
      </c>
      <c r="P271" s="79" t="str">
        <f>IFERROR(VLOOKUP($M271,Export!$P:$R,2,FALSE),"-")</f>
        <v>Used Vehicle</v>
      </c>
      <c r="Q271" s="79" t="str">
        <f>IFERROR(VLOOKUP($M271,Export!$P:$R,3,FALSE),"-")</f>
        <v>Used VehicleEx NV demonstrators gross profit p.u.</v>
      </c>
      <c r="R271" s="80" t="e" cm="1">
        <f t="array" ref="R271">_xlfn.IFS(P271="Service", _xlfn.IFS(I271="SALES","GP",I271="SERVICE SALES","GP",I271="PARTS SALES","GP",I271="SERVICE COS","GP",I271="PARTS COS","GP",I271="SELLING EXPENSES","Selling Expenses",I271="EMPLOYMENT EXPENSES","Selling Expenses",I271="EMPLOYMENT EXPENSES","Selling Expenses",I271="DIRECT EXPENSES","Selling Expenses",I271="INDIRECT EXPENSES","Selling Expenses"),P271="Parts",_xlfn.IFS(I271="SALES","GP",I271="SERVICE SALES","GP",I271="PARTS SALES","GP",I271="SERVICE COS","GP",I271="PARTS COS","GP",I271="SELLING EXPENSES","Selling Expenses",I271="EMPLOYMENT EXPENSES","Selling Expenses",I271="EMPLOYMENT EXPENSES","Selling Expenses",I271="DIRECT EXPENSES","Selling Expenses",I271="INDIRECT EXPENSES","Selling Expenses"))</f>
        <v>#N/A</v>
      </c>
    </row>
    <row r="272" spans="1:18" x14ac:dyDescent="0.2">
      <c r="A272" s="75" t="s">
        <v>489</v>
      </c>
      <c r="B272" s="76" t="s">
        <v>490</v>
      </c>
      <c r="C272" s="76">
        <v>200</v>
      </c>
      <c r="D272" s="76" t="s">
        <v>428</v>
      </c>
      <c r="E272" s="76" t="s">
        <v>426</v>
      </c>
      <c r="F272" s="77">
        <v>-249.57</v>
      </c>
      <c r="G272" s="77">
        <v>0</v>
      </c>
      <c r="H272" s="77">
        <v>-249.57</v>
      </c>
      <c r="I272" s="76" t="s">
        <v>482</v>
      </c>
      <c r="J272" s="77">
        <v>0</v>
      </c>
      <c r="K272" s="78">
        <v>0</v>
      </c>
      <c r="M272" s="79" t="str">
        <f t="shared" si="14"/>
        <v>200-3006R</v>
      </c>
      <c r="N272" s="79" t="str">
        <f t="shared" si="12"/>
        <v/>
      </c>
      <c r="O272" s="79" t="str">
        <f t="shared" si="13"/>
        <v>200</v>
      </c>
      <c r="P272" s="79" t="str">
        <f>IFERROR(VLOOKUP($M272,Export!$P:$R,2,FALSE),"-")</f>
        <v>New Vehicle</v>
      </c>
      <c r="Q272" s="79" t="str">
        <f>IFERROR(VLOOKUP($M272,Export!$P:$R,3,FALSE),"-")</f>
        <v>New VehicleOther Income per NV unit</v>
      </c>
      <c r="R272" s="80" t="e" cm="1">
        <f t="array" ref="R272">_xlfn.IFS(P272="Service", _xlfn.IFS(I272="SALES","GP",I272="SERVICE SALES","GP",I272="PARTS SALES","GP",I272="SERVICE COS","GP",I272="PARTS COS","GP",I272="SELLING EXPENSES","Selling Expenses",I272="EMPLOYMENT EXPENSES","Selling Expenses",I272="EMPLOYMENT EXPENSES","Selling Expenses",I272="DIRECT EXPENSES","Selling Expenses",I272="INDIRECT EXPENSES","Selling Expenses"),P272="Parts",_xlfn.IFS(I272="SALES","GP",I272="SERVICE SALES","GP",I272="PARTS SALES","GP",I272="SERVICE COS","GP",I272="PARTS COS","GP",I272="SELLING EXPENSES","Selling Expenses",I272="EMPLOYMENT EXPENSES","Selling Expenses",I272="EMPLOYMENT EXPENSES","Selling Expenses",I272="DIRECT EXPENSES","Selling Expenses",I272="INDIRECT EXPENSES","Selling Expenses"))</f>
        <v>#N/A</v>
      </c>
    </row>
    <row r="273" spans="1:18" x14ac:dyDescent="0.2">
      <c r="A273" s="75" t="s">
        <v>489</v>
      </c>
      <c r="B273" s="76" t="s">
        <v>490</v>
      </c>
      <c r="C273" s="76">
        <v>210</v>
      </c>
      <c r="D273" s="76" t="s">
        <v>436</v>
      </c>
      <c r="E273" s="76" t="s">
        <v>426</v>
      </c>
      <c r="F273" s="77">
        <v>0</v>
      </c>
      <c r="G273" s="77">
        <v>0</v>
      </c>
      <c r="H273" s="77">
        <v>0</v>
      </c>
      <c r="I273" s="76" t="s">
        <v>482</v>
      </c>
      <c r="J273" s="77">
        <v>0</v>
      </c>
      <c r="K273" s="78">
        <v>-26082.61</v>
      </c>
      <c r="M273" s="79" t="str">
        <f t="shared" si="14"/>
        <v>210-3006R</v>
      </c>
      <c r="N273" s="79" t="str">
        <f t="shared" si="12"/>
        <v/>
      </c>
      <c r="O273" s="79" t="str">
        <f t="shared" si="13"/>
        <v>210</v>
      </c>
      <c r="P273" s="79" t="str">
        <f>IFERROR(VLOOKUP($M273,Export!$P:$R,2,FALSE),"-")</f>
        <v>Used Vehicle</v>
      </c>
      <c r="Q273" s="79" t="str">
        <f>IFERROR(VLOOKUP($M273,Export!$P:$R,3,FALSE),"-")</f>
        <v>Used VehicleEx NV demonstrators gross profit p.u.</v>
      </c>
      <c r="R273" s="80" t="e" cm="1">
        <f t="array" ref="R273">_xlfn.IFS(P273="Service", _xlfn.IFS(I273="SALES","GP",I273="SERVICE SALES","GP",I273="PARTS SALES","GP",I273="SERVICE COS","GP",I273="PARTS COS","GP",I273="SELLING EXPENSES","Selling Expenses",I273="EMPLOYMENT EXPENSES","Selling Expenses",I273="EMPLOYMENT EXPENSES","Selling Expenses",I273="DIRECT EXPENSES","Selling Expenses",I273="INDIRECT EXPENSES","Selling Expenses"),P273="Parts",_xlfn.IFS(I273="SALES","GP",I273="SERVICE SALES","GP",I273="PARTS SALES","GP",I273="SERVICE COS","GP",I273="PARTS COS","GP",I273="SELLING EXPENSES","Selling Expenses",I273="EMPLOYMENT EXPENSES","Selling Expenses",I273="EMPLOYMENT EXPENSES","Selling Expenses",I273="DIRECT EXPENSES","Selling Expenses",I273="INDIRECT EXPENSES","Selling Expenses"))</f>
        <v>#N/A</v>
      </c>
    </row>
    <row r="274" spans="1:18" x14ac:dyDescent="0.2">
      <c r="A274" s="75" t="s">
        <v>491</v>
      </c>
      <c r="B274" s="76" t="s">
        <v>492</v>
      </c>
      <c r="C274" s="76">
        <v>100</v>
      </c>
      <c r="D274" s="76" t="s">
        <v>227</v>
      </c>
      <c r="E274" s="76" t="s">
        <v>426</v>
      </c>
      <c r="F274" s="77">
        <v>1484.24</v>
      </c>
      <c r="G274" s="77">
        <v>0</v>
      </c>
      <c r="H274" s="77">
        <v>1484.24</v>
      </c>
      <c r="I274" s="76" t="s">
        <v>482</v>
      </c>
      <c r="J274" s="77">
        <v>0</v>
      </c>
      <c r="K274" s="78">
        <v>0</v>
      </c>
      <c r="M274" s="79" t="str">
        <f t="shared" si="14"/>
        <v>100-3006RD</v>
      </c>
      <c r="N274" s="79" t="str">
        <f t="shared" si="12"/>
        <v/>
      </c>
      <c r="O274" s="79" t="str">
        <f t="shared" si="13"/>
        <v>100</v>
      </c>
      <c r="P274" s="79" t="str">
        <f>IFERROR(VLOOKUP($M274,Export!$P:$R,2,FALSE),"-")</f>
        <v>New Vehicle</v>
      </c>
      <c r="Q274" s="79" t="str">
        <f>IFERROR(VLOOKUP($M274,Export!$P:$R,3,FALSE),"-")</f>
        <v>New VehicleOther Income per NV unit</v>
      </c>
      <c r="R274" s="80" t="e" cm="1">
        <f t="array" ref="R274">_xlfn.IFS(P274="Service", _xlfn.IFS(I274="SALES","GP",I274="SERVICE SALES","GP",I274="PARTS SALES","GP",I274="SERVICE COS","GP",I274="PARTS COS","GP",I274="SELLING EXPENSES","Selling Expenses",I274="EMPLOYMENT EXPENSES","Selling Expenses",I274="EMPLOYMENT EXPENSES","Selling Expenses",I274="DIRECT EXPENSES","Selling Expenses",I274="INDIRECT EXPENSES","Selling Expenses"),P274="Parts",_xlfn.IFS(I274="SALES","GP",I274="SERVICE SALES","GP",I274="PARTS SALES","GP",I274="SERVICE COS","GP",I274="PARTS COS","GP",I274="SELLING EXPENSES","Selling Expenses",I274="EMPLOYMENT EXPENSES","Selling Expenses",I274="EMPLOYMENT EXPENSES","Selling Expenses",I274="DIRECT EXPENSES","Selling Expenses",I274="INDIRECT EXPENSES","Selling Expenses"))</f>
        <v>#N/A</v>
      </c>
    </row>
    <row r="275" spans="1:18" x14ac:dyDescent="0.2">
      <c r="A275" s="75" t="s">
        <v>491</v>
      </c>
      <c r="B275" s="76" t="s">
        <v>492</v>
      </c>
      <c r="C275" s="76">
        <v>110</v>
      </c>
      <c r="D275" s="76" t="s">
        <v>430</v>
      </c>
      <c r="E275" s="76" t="s">
        <v>426</v>
      </c>
      <c r="F275" s="77">
        <v>869.57</v>
      </c>
      <c r="G275" s="77">
        <v>0</v>
      </c>
      <c r="H275" s="77">
        <v>869.57</v>
      </c>
      <c r="I275" s="76" t="s">
        <v>482</v>
      </c>
      <c r="J275" s="77">
        <v>0</v>
      </c>
      <c r="K275" s="78">
        <v>1045.22</v>
      </c>
      <c r="M275" s="79" t="str">
        <f t="shared" si="14"/>
        <v>110-3006RD</v>
      </c>
      <c r="N275" s="79" t="str">
        <f t="shared" si="12"/>
        <v/>
      </c>
      <c r="O275" s="79" t="str">
        <f t="shared" si="13"/>
        <v>110</v>
      </c>
      <c r="P275" s="79" t="str">
        <f>IFERROR(VLOOKUP($M275,Export!$P:$R,2,FALSE),"-")</f>
        <v>Used Vehicle</v>
      </c>
      <c r="Q275" s="79" t="str">
        <f>IFERROR(VLOOKUP($M275,Export!$P:$R,3,FALSE),"-")</f>
        <v>Used VehicleEx NV demonstrators gross profit p.u.</v>
      </c>
      <c r="R275" s="80" t="e" cm="1">
        <f t="array" ref="R275">_xlfn.IFS(P275="Service", _xlfn.IFS(I275="SALES","GP",I275="SERVICE SALES","GP",I275="PARTS SALES","GP",I275="SERVICE COS","GP",I275="PARTS COS","GP",I275="SELLING EXPENSES","Selling Expenses",I275="EMPLOYMENT EXPENSES","Selling Expenses",I275="EMPLOYMENT EXPENSES","Selling Expenses",I275="DIRECT EXPENSES","Selling Expenses",I275="INDIRECT EXPENSES","Selling Expenses"),P275="Parts",_xlfn.IFS(I275="SALES","GP",I275="SERVICE SALES","GP",I275="PARTS SALES","GP",I275="SERVICE COS","GP",I275="PARTS COS","GP",I275="SELLING EXPENSES","Selling Expenses",I275="EMPLOYMENT EXPENSES","Selling Expenses",I275="EMPLOYMENT EXPENSES","Selling Expenses",I275="DIRECT EXPENSES","Selling Expenses",I275="INDIRECT EXPENSES","Selling Expenses"))</f>
        <v>#N/A</v>
      </c>
    </row>
    <row r="276" spans="1:18" x14ac:dyDescent="0.2">
      <c r="A276" s="75" t="s">
        <v>491</v>
      </c>
      <c r="B276" s="76" t="s">
        <v>492</v>
      </c>
      <c r="C276" s="76">
        <v>210</v>
      </c>
      <c r="D276" s="76" t="s">
        <v>436</v>
      </c>
      <c r="E276" s="76" t="s">
        <v>426</v>
      </c>
      <c r="F276" s="77">
        <v>0</v>
      </c>
      <c r="G276" s="77">
        <v>0</v>
      </c>
      <c r="H276" s="77">
        <v>0</v>
      </c>
      <c r="I276" s="76" t="s">
        <v>482</v>
      </c>
      <c r="J276" s="77">
        <v>0</v>
      </c>
      <c r="K276" s="78">
        <v>995.65</v>
      </c>
      <c r="M276" s="79" t="str">
        <f t="shared" si="14"/>
        <v>210-3006RD</v>
      </c>
      <c r="N276" s="79" t="str">
        <f t="shared" si="12"/>
        <v/>
      </c>
      <c r="O276" s="79" t="str">
        <f t="shared" si="13"/>
        <v>210</v>
      </c>
      <c r="P276" s="79" t="str">
        <f>IFERROR(VLOOKUP($M276,Export!$P:$R,2,FALSE),"-")</f>
        <v>Used Vehicle</v>
      </c>
      <c r="Q276" s="79" t="str">
        <f>IFERROR(VLOOKUP($M276,Export!$P:$R,3,FALSE),"-")</f>
        <v>Used VehicleEx NV demonstrators gross profit p.u.</v>
      </c>
      <c r="R276" s="80" t="e" cm="1">
        <f t="array" ref="R276">_xlfn.IFS(P276="Service", _xlfn.IFS(I276="SALES","GP",I276="SERVICE SALES","GP",I276="PARTS SALES","GP",I276="SERVICE COS","GP",I276="PARTS COS","GP",I276="SELLING EXPENSES","Selling Expenses",I276="EMPLOYMENT EXPENSES","Selling Expenses",I276="EMPLOYMENT EXPENSES","Selling Expenses",I276="DIRECT EXPENSES","Selling Expenses",I276="INDIRECT EXPENSES","Selling Expenses"),P276="Parts",_xlfn.IFS(I276="SALES","GP",I276="SERVICE SALES","GP",I276="PARTS SALES","GP",I276="SERVICE COS","GP",I276="PARTS COS","GP",I276="SELLING EXPENSES","Selling Expenses",I276="EMPLOYMENT EXPENSES","Selling Expenses",I276="EMPLOYMENT EXPENSES","Selling Expenses",I276="DIRECT EXPENSES","Selling Expenses",I276="INDIRECT EXPENSES","Selling Expenses"))</f>
        <v>#N/A</v>
      </c>
    </row>
    <row r="277" spans="1:18" x14ac:dyDescent="0.2">
      <c r="A277" s="75" t="s">
        <v>493</v>
      </c>
      <c r="B277" s="76" t="s">
        <v>494</v>
      </c>
      <c r="C277" s="76">
        <v>110</v>
      </c>
      <c r="D277" s="76" t="s">
        <v>430</v>
      </c>
      <c r="E277" s="76" t="s">
        <v>426</v>
      </c>
      <c r="F277" s="77">
        <v>0</v>
      </c>
      <c r="G277" s="77">
        <v>0</v>
      </c>
      <c r="H277" s="77">
        <v>0</v>
      </c>
      <c r="I277" s="76" t="s">
        <v>482</v>
      </c>
      <c r="J277" s="77">
        <v>0</v>
      </c>
      <c r="K277" s="78">
        <v>-30119.88</v>
      </c>
      <c r="M277" s="79" t="str">
        <f t="shared" si="14"/>
        <v>110-3007R</v>
      </c>
      <c r="N277" s="79" t="str">
        <f t="shared" si="12"/>
        <v/>
      </c>
      <c r="O277" s="79" t="str">
        <f t="shared" si="13"/>
        <v>110</v>
      </c>
      <c r="P277" s="79" t="str">
        <f>IFERROR(VLOOKUP($M277,Export!$P:$R,2,FALSE),"-")</f>
        <v>Used Vehicle</v>
      </c>
      <c r="Q277" s="79" t="str">
        <f>IFERROR(VLOOKUP($M277,Export!$P:$R,3,FALSE),"-")</f>
        <v>Used VehicleEx NV demonstrators gross profit p.u.</v>
      </c>
      <c r="R277" s="80" t="e" cm="1">
        <f t="array" ref="R277">_xlfn.IFS(P277="Service", _xlfn.IFS(I277="SALES","GP",I277="SERVICE SALES","GP",I277="PARTS SALES","GP",I277="SERVICE COS","GP",I277="PARTS COS","GP",I277="SELLING EXPENSES","Selling Expenses",I277="EMPLOYMENT EXPENSES","Selling Expenses",I277="EMPLOYMENT EXPENSES","Selling Expenses",I277="DIRECT EXPENSES","Selling Expenses",I277="INDIRECT EXPENSES","Selling Expenses"),P277="Parts",_xlfn.IFS(I277="SALES","GP",I277="SERVICE SALES","GP",I277="PARTS SALES","GP",I277="SERVICE COS","GP",I277="PARTS COS","GP",I277="SELLING EXPENSES","Selling Expenses",I277="EMPLOYMENT EXPENSES","Selling Expenses",I277="EMPLOYMENT EXPENSES","Selling Expenses",I277="DIRECT EXPENSES","Selling Expenses",I277="INDIRECT EXPENSES","Selling Expenses"))</f>
        <v>#N/A</v>
      </c>
    </row>
    <row r="278" spans="1:18" x14ac:dyDescent="0.2">
      <c r="A278" s="75" t="s">
        <v>495</v>
      </c>
      <c r="B278" s="76" t="s">
        <v>496</v>
      </c>
      <c r="C278" s="76">
        <v>110</v>
      </c>
      <c r="D278" s="76" t="s">
        <v>430</v>
      </c>
      <c r="E278" s="76" t="s">
        <v>426</v>
      </c>
      <c r="F278" s="77">
        <v>0</v>
      </c>
      <c r="G278" s="77">
        <v>0</v>
      </c>
      <c r="H278" s="77">
        <v>0</v>
      </c>
      <c r="I278" s="76" t="s">
        <v>482</v>
      </c>
      <c r="J278" s="77">
        <v>0</v>
      </c>
      <c r="K278" s="78">
        <v>1432.92</v>
      </c>
      <c r="M278" s="79" t="str">
        <f t="shared" si="14"/>
        <v>110-3007RD</v>
      </c>
      <c r="N278" s="79" t="str">
        <f t="shared" si="12"/>
        <v/>
      </c>
      <c r="O278" s="79" t="str">
        <f t="shared" si="13"/>
        <v>110</v>
      </c>
      <c r="P278" s="79" t="str">
        <f>IFERROR(VLOOKUP($M278,Export!$P:$R,2,FALSE),"-")</f>
        <v>Used Vehicle</v>
      </c>
      <c r="Q278" s="79" t="str">
        <f>IFERROR(VLOOKUP($M278,Export!$P:$R,3,FALSE),"-")</f>
        <v>Used VehicleEx NV demonstrators gross profit p.u.</v>
      </c>
      <c r="R278" s="80" t="e" cm="1">
        <f t="array" ref="R278">_xlfn.IFS(P278="Service", _xlfn.IFS(I278="SALES","GP",I278="SERVICE SALES","GP",I278="PARTS SALES","GP",I278="SERVICE COS","GP",I278="PARTS COS","GP",I278="SELLING EXPENSES","Selling Expenses",I278="EMPLOYMENT EXPENSES","Selling Expenses",I278="EMPLOYMENT EXPENSES","Selling Expenses",I278="DIRECT EXPENSES","Selling Expenses",I278="INDIRECT EXPENSES","Selling Expenses"),P278="Parts",_xlfn.IFS(I278="SALES","GP",I278="SERVICE SALES","GP",I278="PARTS SALES","GP",I278="SERVICE COS","GP",I278="PARTS COS","GP",I278="SELLING EXPENSES","Selling Expenses",I278="EMPLOYMENT EXPENSES","Selling Expenses",I278="EMPLOYMENT EXPENSES","Selling Expenses",I278="DIRECT EXPENSES","Selling Expenses",I278="INDIRECT EXPENSES","Selling Expenses"))</f>
        <v>#N/A</v>
      </c>
    </row>
    <row r="279" spans="1:18" x14ac:dyDescent="0.2">
      <c r="A279" s="75" t="s">
        <v>497</v>
      </c>
      <c r="B279" s="76" t="s">
        <v>498</v>
      </c>
      <c r="C279" s="76">
        <v>110</v>
      </c>
      <c r="D279" s="76" t="s">
        <v>430</v>
      </c>
      <c r="E279" s="76" t="s">
        <v>426</v>
      </c>
      <c r="F279" s="77">
        <v>0</v>
      </c>
      <c r="G279" s="77">
        <v>0</v>
      </c>
      <c r="H279" s="77">
        <v>0</v>
      </c>
      <c r="I279" s="76" t="s">
        <v>482</v>
      </c>
      <c r="J279" s="77">
        <v>0</v>
      </c>
      <c r="K279" s="78">
        <v>-27052.2</v>
      </c>
      <c r="M279" s="79" t="str">
        <f t="shared" si="14"/>
        <v>110-3008R</v>
      </c>
      <c r="N279" s="79" t="str">
        <f t="shared" si="12"/>
        <v/>
      </c>
      <c r="O279" s="79" t="str">
        <f t="shared" si="13"/>
        <v>110</v>
      </c>
      <c r="P279" s="79" t="str">
        <f>IFERROR(VLOOKUP($M279,Export!$P:$R,2,FALSE),"-")</f>
        <v>Used Vehicle</v>
      </c>
      <c r="Q279" s="79" t="str">
        <f>IFERROR(VLOOKUP($M279,Export!$P:$R,3,FALSE),"-")</f>
        <v>Used VehicleEx NV demonstrators gross profit p.u.</v>
      </c>
      <c r="R279" s="80" t="e" cm="1">
        <f t="array" ref="R279">_xlfn.IFS(P279="Service", _xlfn.IFS(I279="SALES","GP",I279="SERVICE SALES","GP",I279="PARTS SALES","GP",I279="SERVICE COS","GP",I279="PARTS COS","GP",I279="SELLING EXPENSES","Selling Expenses",I279="EMPLOYMENT EXPENSES","Selling Expenses",I279="EMPLOYMENT EXPENSES","Selling Expenses",I279="DIRECT EXPENSES","Selling Expenses",I279="INDIRECT EXPENSES","Selling Expenses"),P279="Parts",_xlfn.IFS(I279="SALES","GP",I279="SERVICE SALES","GP",I279="PARTS SALES","GP",I279="SERVICE COS","GP",I279="PARTS COS","GP",I279="SELLING EXPENSES","Selling Expenses",I279="EMPLOYMENT EXPENSES","Selling Expenses",I279="EMPLOYMENT EXPENSES","Selling Expenses",I279="DIRECT EXPENSES","Selling Expenses",I279="INDIRECT EXPENSES","Selling Expenses"))</f>
        <v>#N/A</v>
      </c>
    </row>
    <row r="280" spans="1:18" x14ac:dyDescent="0.2">
      <c r="A280" s="75" t="s">
        <v>497</v>
      </c>
      <c r="B280" s="76" t="s">
        <v>498</v>
      </c>
      <c r="C280" s="76">
        <v>210</v>
      </c>
      <c r="D280" s="76" t="s">
        <v>436</v>
      </c>
      <c r="E280" s="76" t="s">
        <v>426</v>
      </c>
      <c r="F280" s="77">
        <v>-27821.74</v>
      </c>
      <c r="G280" s="77">
        <v>0</v>
      </c>
      <c r="H280" s="77">
        <v>-27821.74</v>
      </c>
      <c r="I280" s="76" t="s">
        <v>482</v>
      </c>
      <c r="J280" s="77">
        <v>0</v>
      </c>
      <c r="K280" s="78">
        <v>-26078.26</v>
      </c>
      <c r="M280" s="79" t="str">
        <f t="shared" si="14"/>
        <v>210-3008R</v>
      </c>
      <c r="N280" s="79" t="str">
        <f t="shared" si="12"/>
        <v/>
      </c>
      <c r="O280" s="79" t="str">
        <f t="shared" si="13"/>
        <v>210</v>
      </c>
      <c r="P280" s="79" t="str">
        <f>IFERROR(VLOOKUP($M280,Export!$P:$R,2,FALSE),"-")</f>
        <v>Used Vehicle</v>
      </c>
      <c r="Q280" s="79" t="str">
        <f>IFERROR(VLOOKUP($M280,Export!$P:$R,3,FALSE),"-")</f>
        <v>Used VehicleEx NV demonstrators gross profit p.u.</v>
      </c>
      <c r="R280" s="80" t="e" cm="1">
        <f t="array" ref="R280">_xlfn.IFS(P280="Service", _xlfn.IFS(I280="SALES","GP",I280="SERVICE SALES","GP",I280="PARTS SALES","GP",I280="SERVICE COS","GP",I280="PARTS COS","GP",I280="SELLING EXPENSES","Selling Expenses",I280="EMPLOYMENT EXPENSES","Selling Expenses",I280="EMPLOYMENT EXPENSES","Selling Expenses",I280="DIRECT EXPENSES","Selling Expenses",I280="INDIRECT EXPENSES","Selling Expenses"),P280="Parts",_xlfn.IFS(I280="SALES","GP",I280="SERVICE SALES","GP",I280="PARTS SALES","GP",I280="SERVICE COS","GP",I280="PARTS COS","GP",I280="SELLING EXPENSES","Selling Expenses",I280="EMPLOYMENT EXPENSES","Selling Expenses",I280="EMPLOYMENT EXPENSES","Selling Expenses",I280="DIRECT EXPENSES","Selling Expenses",I280="INDIRECT EXPENSES","Selling Expenses"))</f>
        <v>#N/A</v>
      </c>
    </row>
    <row r="281" spans="1:18" x14ac:dyDescent="0.2">
      <c r="A281" s="75" t="s">
        <v>499</v>
      </c>
      <c r="B281" s="76" t="s">
        <v>500</v>
      </c>
      <c r="C281" s="76">
        <v>210</v>
      </c>
      <c r="D281" s="76" t="s">
        <v>436</v>
      </c>
      <c r="E281" s="76" t="s">
        <v>426</v>
      </c>
      <c r="F281" s="77">
        <v>0</v>
      </c>
      <c r="G281" s="77">
        <v>0</v>
      </c>
      <c r="H281" s="77">
        <v>0</v>
      </c>
      <c r="I281" s="76" t="s">
        <v>482</v>
      </c>
      <c r="J281" s="77">
        <v>0</v>
      </c>
      <c r="K281" s="78">
        <v>1295.6500000000001</v>
      </c>
      <c r="M281" s="79" t="str">
        <f t="shared" si="14"/>
        <v>210-3008RD</v>
      </c>
      <c r="N281" s="79" t="str">
        <f t="shared" si="12"/>
        <v/>
      </c>
      <c r="O281" s="79" t="str">
        <f t="shared" si="13"/>
        <v>210</v>
      </c>
      <c r="P281" s="79" t="str">
        <f>IFERROR(VLOOKUP($M281,Export!$P:$R,2,FALSE),"-")</f>
        <v>Used Vehicle</v>
      </c>
      <c r="Q281" s="79" t="str">
        <f>IFERROR(VLOOKUP($M281,Export!$P:$R,3,FALSE),"-")</f>
        <v>Used VehicleEx NV demonstrators gross profit p.u.</v>
      </c>
      <c r="R281" s="80" t="e" cm="1">
        <f t="array" ref="R281">_xlfn.IFS(P281="Service", _xlfn.IFS(I281="SALES","GP",I281="SERVICE SALES","GP",I281="PARTS SALES","GP",I281="SERVICE COS","GP",I281="PARTS COS","GP",I281="SELLING EXPENSES","Selling Expenses",I281="EMPLOYMENT EXPENSES","Selling Expenses",I281="EMPLOYMENT EXPENSES","Selling Expenses",I281="DIRECT EXPENSES","Selling Expenses",I281="INDIRECT EXPENSES","Selling Expenses"),P281="Parts",_xlfn.IFS(I281="SALES","GP",I281="SERVICE SALES","GP",I281="PARTS SALES","GP",I281="SERVICE COS","GP",I281="PARTS COS","GP",I281="SELLING EXPENSES","Selling Expenses",I281="EMPLOYMENT EXPENSES","Selling Expenses",I281="EMPLOYMENT EXPENSES","Selling Expenses",I281="DIRECT EXPENSES","Selling Expenses",I281="INDIRECT EXPENSES","Selling Expenses"))</f>
        <v>#N/A</v>
      </c>
    </row>
    <row r="282" spans="1:18" x14ac:dyDescent="0.2">
      <c r="A282" s="75" t="s">
        <v>501</v>
      </c>
      <c r="B282" s="76" t="s">
        <v>502</v>
      </c>
      <c r="C282" s="76">
        <v>100</v>
      </c>
      <c r="D282" s="76" t="s">
        <v>227</v>
      </c>
      <c r="E282" s="76" t="s">
        <v>426</v>
      </c>
      <c r="F282" s="77">
        <v>-519.39</v>
      </c>
      <c r="G282" s="77">
        <v>-213.84</v>
      </c>
      <c r="H282" s="77">
        <v>-733.23</v>
      </c>
      <c r="I282" s="76" t="s">
        <v>482</v>
      </c>
      <c r="J282" s="77">
        <v>0</v>
      </c>
      <c r="K282" s="78">
        <v>0</v>
      </c>
      <c r="M282" s="79" t="str">
        <f t="shared" si="14"/>
        <v>100-3010R</v>
      </c>
      <c r="N282" s="79" t="str">
        <f t="shared" si="12"/>
        <v/>
      </c>
      <c r="O282" s="79" t="str">
        <f t="shared" si="13"/>
        <v>100</v>
      </c>
      <c r="P282" s="79" t="str">
        <f>IFERROR(VLOOKUP($M282,Export!$P:$R,2,FALSE),"-")</f>
        <v>New Vehicle</v>
      </c>
      <c r="Q282" s="79" t="str">
        <f>IFERROR(VLOOKUP($M282,Export!$P:$R,3,FALSE),"-")</f>
        <v>New VehicleOther Income per NV unit</v>
      </c>
      <c r="R282" s="80" t="e" cm="1">
        <f t="array" ref="R282">_xlfn.IFS(P282="Service", _xlfn.IFS(I282="SALES","GP",I282="SERVICE SALES","GP",I282="PARTS SALES","GP",I282="SERVICE COS","GP",I282="PARTS COS","GP",I282="SELLING EXPENSES","Selling Expenses",I282="EMPLOYMENT EXPENSES","Selling Expenses",I282="EMPLOYMENT EXPENSES","Selling Expenses",I282="DIRECT EXPENSES","Selling Expenses",I282="INDIRECT EXPENSES","Selling Expenses"),P282="Parts",_xlfn.IFS(I282="SALES","GP",I282="SERVICE SALES","GP",I282="PARTS SALES","GP",I282="SERVICE COS","GP",I282="PARTS COS","GP",I282="SELLING EXPENSES","Selling Expenses",I282="EMPLOYMENT EXPENSES","Selling Expenses",I282="EMPLOYMENT EXPENSES","Selling Expenses",I282="DIRECT EXPENSES","Selling Expenses",I282="INDIRECT EXPENSES","Selling Expenses"))</f>
        <v>#N/A</v>
      </c>
    </row>
    <row r="283" spans="1:18" x14ac:dyDescent="0.2">
      <c r="A283" s="75" t="s">
        <v>501</v>
      </c>
      <c r="B283" s="76" t="s">
        <v>502</v>
      </c>
      <c r="C283" s="76">
        <v>110</v>
      </c>
      <c r="D283" s="76" t="s">
        <v>430</v>
      </c>
      <c r="E283" s="76" t="s">
        <v>426</v>
      </c>
      <c r="F283" s="77">
        <v>0</v>
      </c>
      <c r="G283" s="77">
        <v>0</v>
      </c>
      <c r="H283" s="77">
        <v>0</v>
      </c>
      <c r="I283" s="76" t="s">
        <v>482</v>
      </c>
      <c r="J283" s="77">
        <v>-47821.74</v>
      </c>
      <c r="K283" s="78">
        <v>-139982.60999999999</v>
      </c>
      <c r="M283" s="79" t="str">
        <f t="shared" si="14"/>
        <v>110-3010R</v>
      </c>
      <c r="N283" s="79" t="str">
        <f t="shared" si="12"/>
        <v/>
      </c>
      <c r="O283" s="79" t="str">
        <f t="shared" si="13"/>
        <v>110</v>
      </c>
      <c r="P283" s="79" t="str">
        <f>IFERROR(VLOOKUP($M283,Export!$P:$R,2,FALSE),"-")</f>
        <v>Used Vehicle</v>
      </c>
      <c r="Q283" s="79" t="str">
        <f>IFERROR(VLOOKUP($M283,Export!$P:$R,3,FALSE),"-")</f>
        <v>Used VehicleEx NV demonstrators gross profit p.u.</v>
      </c>
      <c r="R283" s="80" t="e" cm="1">
        <f t="array" ref="R283">_xlfn.IFS(P283="Service", _xlfn.IFS(I283="SALES","GP",I283="SERVICE SALES","GP",I283="PARTS SALES","GP",I283="SERVICE COS","GP",I283="PARTS COS","GP",I283="SELLING EXPENSES","Selling Expenses",I283="EMPLOYMENT EXPENSES","Selling Expenses",I283="EMPLOYMENT EXPENSES","Selling Expenses",I283="DIRECT EXPENSES","Selling Expenses",I283="INDIRECT EXPENSES","Selling Expenses"),P283="Parts",_xlfn.IFS(I283="SALES","GP",I283="SERVICE SALES","GP",I283="PARTS SALES","GP",I283="SERVICE COS","GP",I283="PARTS COS","GP",I283="SELLING EXPENSES","Selling Expenses",I283="EMPLOYMENT EXPENSES","Selling Expenses",I283="EMPLOYMENT EXPENSES","Selling Expenses",I283="DIRECT EXPENSES","Selling Expenses",I283="INDIRECT EXPENSES","Selling Expenses"))</f>
        <v>#N/A</v>
      </c>
    </row>
    <row r="284" spans="1:18" x14ac:dyDescent="0.2">
      <c r="A284" s="75" t="s">
        <v>501</v>
      </c>
      <c r="B284" s="76" t="s">
        <v>502</v>
      </c>
      <c r="C284" s="76">
        <v>200</v>
      </c>
      <c r="D284" s="76" t="s">
        <v>428</v>
      </c>
      <c r="E284" s="76" t="s">
        <v>426</v>
      </c>
      <c r="F284" s="77">
        <v>0</v>
      </c>
      <c r="G284" s="77">
        <v>0</v>
      </c>
      <c r="H284" s="77">
        <v>0</v>
      </c>
      <c r="I284" s="76" t="s">
        <v>482</v>
      </c>
      <c r="J284" s="77">
        <v>0</v>
      </c>
      <c r="K284" s="78">
        <v>-237.89</v>
      </c>
      <c r="M284" s="79" t="str">
        <f t="shared" si="14"/>
        <v>200-3010R</v>
      </c>
      <c r="N284" s="79" t="str">
        <f t="shared" si="12"/>
        <v/>
      </c>
      <c r="O284" s="79" t="str">
        <f t="shared" si="13"/>
        <v>200</v>
      </c>
      <c r="P284" s="79" t="str">
        <f>IFERROR(VLOOKUP($M284,Export!$P:$R,2,FALSE),"-")</f>
        <v>New Vehicle</v>
      </c>
      <c r="Q284" s="79" t="str">
        <f>IFERROR(VLOOKUP($M284,Export!$P:$R,3,FALSE),"-")</f>
        <v>New VehicleOther Income per NV unit</v>
      </c>
      <c r="R284" s="80" t="e" cm="1">
        <f t="array" ref="R284">_xlfn.IFS(P284="Service", _xlfn.IFS(I284="SALES","GP",I284="SERVICE SALES","GP",I284="PARTS SALES","GP",I284="SERVICE COS","GP",I284="PARTS COS","GP",I284="SELLING EXPENSES","Selling Expenses",I284="EMPLOYMENT EXPENSES","Selling Expenses",I284="EMPLOYMENT EXPENSES","Selling Expenses",I284="DIRECT EXPENSES","Selling Expenses",I284="INDIRECT EXPENSES","Selling Expenses"),P284="Parts",_xlfn.IFS(I284="SALES","GP",I284="SERVICE SALES","GP",I284="PARTS SALES","GP",I284="SERVICE COS","GP",I284="PARTS COS","GP",I284="SELLING EXPENSES","Selling Expenses",I284="EMPLOYMENT EXPENSES","Selling Expenses",I284="EMPLOYMENT EXPENSES","Selling Expenses",I284="DIRECT EXPENSES","Selling Expenses",I284="INDIRECT EXPENSES","Selling Expenses"))</f>
        <v>#N/A</v>
      </c>
    </row>
    <row r="285" spans="1:18" x14ac:dyDescent="0.2">
      <c r="A285" s="75" t="s">
        <v>503</v>
      </c>
      <c r="B285" s="76" t="s">
        <v>504</v>
      </c>
      <c r="C285" s="76">
        <v>100</v>
      </c>
      <c r="D285" s="76" t="s">
        <v>227</v>
      </c>
      <c r="E285" s="76" t="s">
        <v>426</v>
      </c>
      <c r="F285" s="77">
        <v>525.29</v>
      </c>
      <c r="G285" s="77">
        <v>0</v>
      </c>
      <c r="H285" s="77">
        <v>525.29</v>
      </c>
      <c r="I285" s="76" t="s">
        <v>482</v>
      </c>
      <c r="J285" s="77">
        <v>0</v>
      </c>
      <c r="K285" s="78">
        <v>0</v>
      </c>
      <c r="M285" s="79" t="str">
        <f t="shared" si="14"/>
        <v>100-3010RD</v>
      </c>
      <c r="N285" s="79" t="str">
        <f t="shared" si="12"/>
        <v/>
      </c>
      <c r="O285" s="79" t="str">
        <f t="shared" si="13"/>
        <v>100</v>
      </c>
      <c r="P285" s="79" t="str">
        <f>IFERROR(VLOOKUP($M285,Export!$P:$R,2,FALSE),"-")</f>
        <v>New Vehicle</v>
      </c>
      <c r="Q285" s="79" t="str">
        <f>IFERROR(VLOOKUP($M285,Export!$P:$R,3,FALSE),"-")</f>
        <v>New VehicleOther Income per NV unit</v>
      </c>
      <c r="R285" s="80" t="e" cm="1">
        <f t="array" ref="R285">_xlfn.IFS(P285="Service", _xlfn.IFS(I285="SALES","GP",I285="SERVICE SALES","GP",I285="PARTS SALES","GP",I285="SERVICE COS","GP",I285="PARTS COS","GP",I285="SELLING EXPENSES","Selling Expenses",I285="EMPLOYMENT EXPENSES","Selling Expenses",I285="EMPLOYMENT EXPENSES","Selling Expenses",I285="DIRECT EXPENSES","Selling Expenses",I285="INDIRECT EXPENSES","Selling Expenses"),P285="Parts",_xlfn.IFS(I285="SALES","GP",I285="SERVICE SALES","GP",I285="PARTS SALES","GP",I285="SERVICE COS","GP",I285="PARTS COS","GP",I285="SELLING EXPENSES","Selling Expenses",I285="EMPLOYMENT EXPENSES","Selling Expenses",I285="EMPLOYMENT EXPENSES","Selling Expenses",I285="DIRECT EXPENSES","Selling Expenses",I285="INDIRECT EXPENSES","Selling Expenses"))</f>
        <v>#N/A</v>
      </c>
    </row>
    <row r="286" spans="1:18" x14ac:dyDescent="0.2">
      <c r="A286" s="75" t="s">
        <v>505</v>
      </c>
      <c r="B286" s="76" t="s">
        <v>506</v>
      </c>
      <c r="C286" s="76">
        <v>110</v>
      </c>
      <c r="D286" s="76" t="s">
        <v>430</v>
      </c>
      <c r="E286" s="76" t="s">
        <v>426</v>
      </c>
      <c r="F286" s="77">
        <v>-40860.870000000003</v>
      </c>
      <c r="G286" s="77">
        <v>0</v>
      </c>
      <c r="H286" s="77">
        <v>-40860.870000000003</v>
      </c>
      <c r="I286" s="76" t="s">
        <v>482</v>
      </c>
      <c r="J286" s="77">
        <v>0</v>
      </c>
      <c r="K286" s="78">
        <v>0</v>
      </c>
      <c r="M286" s="79" t="str">
        <f t="shared" si="14"/>
        <v>110-3011R</v>
      </c>
      <c r="N286" s="79" t="str">
        <f t="shared" si="12"/>
        <v/>
      </c>
      <c r="O286" s="79" t="str">
        <f t="shared" si="13"/>
        <v>110</v>
      </c>
      <c r="P286" s="79" t="str">
        <f>IFERROR(VLOOKUP($M286,Export!$P:$R,2,FALSE),"-")</f>
        <v>Used Vehicle</v>
      </c>
      <c r="Q286" s="79" t="str">
        <f>IFERROR(VLOOKUP($M286,Export!$P:$R,3,FALSE),"-")</f>
        <v>Used VehicleEx NV demonstrators gross profit p.u.</v>
      </c>
      <c r="R286" s="80" t="e" cm="1">
        <f t="array" ref="R286">_xlfn.IFS(P286="Service", _xlfn.IFS(I286="SALES","GP",I286="SERVICE SALES","GP",I286="PARTS SALES","GP",I286="SERVICE COS","GP",I286="PARTS COS","GP",I286="SELLING EXPENSES","Selling Expenses",I286="EMPLOYMENT EXPENSES","Selling Expenses",I286="EMPLOYMENT EXPENSES","Selling Expenses",I286="DIRECT EXPENSES","Selling Expenses",I286="INDIRECT EXPENSES","Selling Expenses"),P286="Parts",_xlfn.IFS(I286="SALES","GP",I286="SERVICE SALES","GP",I286="PARTS SALES","GP",I286="SERVICE COS","GP",I286="PARTS COS","GP",I286="SELLING EXPENSES","Selling Expenses",I286="EMPLOYMENT EXPENSES","Selling Expenses",I286="EMPLOYMENT EXPENSES","Selling Expenses",I286="DIRECT EXPENSES","Selling Expenses",I286="INDIRECT EXPENSES","Selling Expenses"))</f>
        <v>#N/A</v>
      </c>
    </row>
    <row r="287" spans="1:18" x14ac:dyDescent="0.2">
      <c r="A287" s="75" t="s">
        <v>505</v>
      </c>
      <c r="B287" s="76" t="s">
        <v>506</v>
      </c>
      <c r="C287" s="76">
        <v>210</v>
      </c>
      <c r="D287" s="76" t="s">
        <v>436</v>
      </c>
      <c r="E287" s="76" t="s">
        <v>426</v>
      </c>
      <c r="F287" s="77">
        <v>0</v>
      </c>
      <c r="G287" s="77">
        <v>0</v>
      </c>
      <c r="H287" s="77">
        <v>0</v>
      </c>
      <c r="I287" s="76" t="s">
        <v>482</v>
      </c>
      <c r="J287" s="77">
        <v>0</v>
      </c>
      <c r="K287" s="78">
        <v>-44339.13</v>
      </c>
      <c r="M287" s="79" t="str">
        <f t="shared" si="14"/>
        <v>210-3011R</v>
      </c>
      <c r="N287" s="79" t="str">
        <f t="shared" si="12"/>
        <v/>
      </c>
      <c r="O287" s="79" t="str">
        <f t="shared" si="13"/>
        <v>210</v>
      </c>
      <c r="P287" s="79" t="str">
        <f>IFERROR(VLOOKUP($M287,Export!$P:$R,2,FALSE),"-")</f>
        <v>Used Vehicle</v>
      </c>
      <c r="Q287" s="79" t="str">
        <f>IFERROR(VLOOKUP($M287,Export!$P:$R,3,FALSE),"-")</f>
        <v>Used VehicleEx NV demonstrators gross profit p.u.</v>
      </c>
      <c r="R287" s="80" t="e" cm="1">
        <f t="array" ref="R287">_xlfn.IFS(P287="Service", _xlfn.IFS(I287="SALES","GP",I287="SERVICE SALES","GP",I287="PARTS SALES","GP",I287="SERVICE COS","GP",I287="PARTS COS","GP",I287="SELLING EXPENSES","Selling Expenses",I287="EMPLOYMENT EXPENSES","Selling Expenses",I287="EMPLOYMENT EXPENSES","Selling Expenses",I287="DIRECT EXPENSES","Selling Expenses",I287="INDIRECT EXPENSES","Selling Expenses"),P287="Parts",_xlfn.IFS(I287="SALES","GP",I287="SERVICE SALES","GP",I287="PARTS SALES","GP",I287="SERVICE COS","GP",I287="PARTS COS","GP",I287="SELLING EXPENSES","Selling Expenses",I287="EMPLOYMENT EXPENSES","Selling Expenses",I287="EMPLOYMENT EXPENSES","Selling Expenses",I287="DIRECT EXPENSES","Selling Expenses",I287="INDIRECT EXPENSES","Selling Expenses"))</f>
        <v>#N/A</v>
      </c>
    </row>
    <row r="288" spans="1:18" x14ac:dyDescent="0.2">
      <c r="A288" s="75" t="s">
        <v>507</v>
      </c>
      <c r="B288" s="76" t="s">
        <v>508</v>
      </c>
      <c r="C288" s="76">
        <v>110</v>
      </c>
      <c r="D288" s="76" t="s">
        <v>430</v>
      </c>
      <c r="E288" s="76" t="s">
        <v>426</v>
      </c>
      <c r="F288" s="77">
        <v>860.87</v>
      </c>
      <c r="G288" s="77">
        <v>0</v>
      </c>
      <c r="H288" s="77">
        <v>860.87</v>
      </c>
      <c r="I288" s="76" t="s">
        <v>482</v>
      </c>
      <c r="J288" s="77">
        <v>0</v>
      </c>
      <c r="K288" s="78">
        <v>0</v>
      </c>
      <c r="M288" s="79" t="str">
        <f t="shared" si="14"/>
        <v>110-3011RD</v>
      </c>
      <c r="N288" s="79" t="str">
        <f t="shared" si="12"/>
        <v/>
      </c>
      <c r="O288" s="79" t="str">
        <f t="shared" si="13"/>
        <v>110</v>
      </c>
      <c r="P288" s="79" t="str">
        <f>IFERROR(VLOOKUP($M288,Export!$P:$R,2,FALSE),"-")</f>
        <v>Used Vehicle</v>
      </c>
      <c r="Q288" s="79" t="str">
        <f>IFERROR(VLOOKUP($M288,Export!$P:$R,3,FALSE),"-")</f>
        <v>Used VehicleEx NV demonstrators gross profit p.u.</v>
      </c>
      <c r="R288" s="80" t="e" cm="1">
        <f t="array" ref="R288">_xlfn.IFS(P288="Service", _xlfn.IFS(I288="SALES","GP",I288="SERVICE SALES","GP",I288="PARTS SALES","GP",I288="SERVICE COS","GP",I288="PARTS COS","GP",I288="SELLING EXPENSES","Selling Expenses",I288="EMPLOYMENT EXPENSES","Selling Expenses",I288="EMPLOYMENT EXPENSES","Selling Expenses",I288="DIRECT EXPENSES","Selling Expenses",I288="INDIRECT EXPENSES","Selling Expenses"),P288="Parts",_xlfn.IFS(I288="SALES","GP",I288="SERVICE SALES","GP",I288="PARTS SALES","GP",I288="SERVICE COS","GP",I288="PARTS COS","GP",I288="SELLING EXPENSES","Selling Expenses",I288="EMPLOYMENT EXPENSES","Selling Expenses",I288="EMPLOYMENT EXPENSES","Selling Expenses",I288="DIRECT EXPENSES","Selling Expenses",I288="INDIRECT EXPENSES","Selling Expenses"))</f>
        <v>#N/A</v>
      </c>
    </row>
    <row r="289" spans="1:18" x14ac:dyDescent="0.2">
      <c r="A289" s="75" t="s">
        <v>509</v>
      </c>
      <c r="B289" s="76" t="s">
        <v>510</v>
      </c>
      <c r="C289" s="76">
        <v>110</v>
      </c>
      <c r="D289" s="76" t="s">
        <v>430</v>
      </c>
      <c r="E289" s="76" t="s">
        <v>426</v>
      </c>
      <c r="F289" s="77">
        <v>0</v>
      </c>
      <c r="G289" s="77">
        <v>0</v>
      </c>
      <c r="H289" s="77">
        <v>0</v>
      </c>
      <c r="I289" s="76" t="s">
        <v>482</v>
      </c>
      <c r="J289" s="77">
        <v>-45050</v>
      </c>
      <c r="K289" s="78">
        <v>-90100</v>
      </c>
      <c r="M289" s="79" t="str">
        <f t="shared" si="14"/>
        <v>110-3037R</v>
      </c>
      <c r="N289" s="79" t="str">
        <f t="shared" si="12"/>
        <v/>
      </c>
      <c r="O289" s="79" t="str">
        <f t="shared" si="13"/>
        <v>110</v>
      </c>
      <c r="P289" s="79" t="str">
        <f>IFERROR(VLOOKUP($M289,Export!$P:$R,2,FALSE),"-")</f>
        <v>Used Vehicle</v>
      </c>
      <c r="Q289" s="79" t="str">
        <f>IFERROR(VLOOKUP($M289,Export!$P:$R,3,FALSE),"-")</f>
        <v>Used VehicleEx NV demonstrators gross profit p.u.</v>
      </c>
      <c r="R289" s="80" t="e" cm="1">
        <f t="array" ref="R289">_xlfn.IFS(P289="Service", _xlfn.IFS(I289="SALES","GP",I289="SERVICE SALES","GP",I289="PARTS SALES","GP",I289="SERVICE COS","GP",I289="PARTS COS","GP",I289="SELLING EXPENSES","Selling Expenses",I289="EMPLOYMENT EXPENSES","Selling Expenses",I289="EMPLOYMENT EXPENSES","Selling Expenses",I289="DIRECT EXPENSES","Selling Expenses",I289="INDIRECT EXPENSES","Selling Expenses"),P289="Parts",_xlfn.IFS(I289="SALES","GP",I289="SERVICE SALES","GP",I289="PARTS SALES","GP",I289="SERVICE COS","GP",I289="PARTS COS","GP",I289="SELLING EXPENSES","Selling Expenses",I289="EMPLOYMENT EXPENSES","Selling Expenses",I289="EMPLOYMENT EXPENSES","Selling Expenses",I289="DIRECT EXPENSES","Selling Expenses",I289="INDIRECT EXPENSES","Selling Expenses"))</f>
        <v>#N/A</v>
      </c>
    </row>
    <row r="290" spans="1:18" x14ac:dyDescent="0.2">
      <c r="A290" s="75" t="s">
        <v>511</v>
      </c>
      <c r="B290" s="76" t="s">
        <v>512</v>
      </c>
      <c r="C290" s="76">
        <v>112</v>
      </c>
      <c r="D290" s="76" t="s">
        <v>349</v>
      </c>
      <c r="E290" s="76" t="s">
        <v>426</v>
      </c>
      <c r="F290" s="77">
        <v>0</v>
      </c>
      <c r="G290" s="77">
        <v>0</v>
      </c>
      <c r="H290" s="77">
        <v>0</v>
      </c>
      <c r="I290" s="76" t="s">
        <v>482</v>
      </c>
      <c r="J290" s="77">
        <v>0</v>
      </c>
      <c r="K290" s="78">
        <v>-178604.35</v>
      </c>
      <c r="M290" s="79" t="str">
        <f t="shared" si="14"/>
        <v>112-3039R</v>
      </c>
      <c r="N290" s="79" t="str">
        <f t="shared" si="12"/>
        <v/>
      </c>
      <c r="O290" s="79" t="str">
        <f t="shared" si="13"/>
        <v>112</v>
      </c>
      <c r="P290" s="79" t="str">
        <f>IFERROR(VLOOKUP($M290,Export!$P:$R,2,FALSE),"-")</f>
        <v>LEX New Vehicle</v>
      </c>
      <c r="Q290" s="79" t="str">
        <f>IFERROR(VLOOKUP($M290,Export!$P:$R,3,FALSE),"-")</f>
        <v>LEX New VehicleRetail Gross p.u.</v>
      </c>
      <c r="R290" s="80" t="e" cm="1">
        <f t="array" ref="R290">_xlfn.IFS(P290="Service", _xlfn.IFS(I290="SALES","GP",I290="SERVICE SALES","GP",I290="PARTS SALES","GP",I290="SERVICE COS","GP",I290="PARTS COS","GP",I290="SELLING EXPENSES","Selling Expenses",I290="EMPLOYMENT EXPENSES","Selling Expenses",I290="EMPLOYMENT EXPENSES","Selling Expenses",I290="DIRECT EXPENSES","Selling Expenses",I290="INDIRECT EXPENSES","Selling Expenses"),P290="Parts",_xlfn.IFS(I290="SALES","GP",I290="SERVICE SALES","GP",I290="PARTS SALES","GP",I290="SERVICE COS","GP",I290="PARTS COS","GP",I290="SELLING EXPENSES","Selling Expenses",I290="EMPLOYMENT EXPENSES","Selling Expenses",I290="EMPLOYMENT EXPENSES","Selling Expenses",I290="DIRECT EXPENSES","Selling Expenses",I290="INDIRECT EXPENSES","Selling Expenses"))</f>
        <v>#N/A</v>
      </c>
    </row>
    <row r="291" spans="1:18" x14ac:dyDescent="0.2">
      <c r="A291" s="75" t="s">
        <v>513</v>
      </c>
      <c r="B291" s="76" t="s">
        <v>514</v>
      </c>
      <c r="C291" s="76">
        <v>112</v>
      </c>
      <c r="D291" s="76" t="s">
        <v>349</v>
      </c>
      <c r="E291" s="76" t="s">
        <v>426</v>
      </c>
      <c r="F291" s="77">
        <v>0</v>
      </c>
      <c r="G291" s="77">
        <v>0</v>
      </c>
      <c r="H291" s="77">
        <v>0</v>
      </c>
      <c r="I291" s="76" t="s">
        <v>482</v>
      </c>
      <c r="J291" s="77">
        <v>0</v>
      </c>
      <c r="K291" s="78">
        <v>11626.09</v>
      </c>
      <c r="M291" s="79" t="str">
        <f t="shared" si="14"/>
        <v>112-3039RD</v>
      </c>
      <c r="N291" s="79" t="str">
        <f t="shared" si="12"/>
        <v/>
      </c>
      <c r="O291" s="79" t="str">
        <f t="shared" si="13"/>
        <v>112</v>
      </c>
      <c r="P291" s="79" t="str">
        <f>IFERROR(VLOOKUP($M291,Export!$P:$R,2,FALSE),"-")</f>
        <v>LEX New Vehicle</v>
      </c>
      <c r="Q291" s="79" t="str">
        <f>IFERROR(VLOOKUP($M291,Export!$P:$R,3,FALSE),"-")</f>
        <v>LEX New VehicleRetail Gross p.u.</v>
      </c>
      <c r="R291" s="80" t="e" cm="1">
        <f t="array" ref="R291">_xlfn.IFS(P291="Service", _xlfn.IFS(I291="SALES","GP",I291="SERVICE SALES","GP",I291="PARTS SALES","GP",I291="SERVICE COS","GP",I291="PARTS COS","GP",I291="SELLING EXPENSES","Selling Expenses",I291="EMPLOYMENT EXPENSES","Selling Expenses",I291="EMPLOYMENT EXPENSES","Selling Expenses",I291="DIRECT EXPENSES","Selling Expenses",I291="INDIRECT EXPENSES","Selling Expenses"),P291="Parts",_xlfn.IFS(I291="SALES","GP",I291="SERVICE SALES","GP",I291="PARTS SALES","GP",I291="SERVICE COS","GP",I291="PARTS COS","GP",I291="SELLING EXPENSES","Selling Expenses",I291="EMPLOYMENT EXPENSES","Selling Expenses",I291="EMPLOYMENT EXPENSES","Selling Expenses",I291="DIRECT EXPENSES","Selling Expenses",I291="INDIRECT EXPENSES","Selling Expenses"))</f>
        <v>#N/A</v>
      </c>
    </row>
    <row r="292" spans="1:18" x14ac:dyDescent="0.2">
      <c r="A292" s="75" t="s">
        <v>515</v>
      </c>
      <c r="B292" s="76" t="s">
        <v>516</v>
      </c>
      <c r="C292" s="76">
        <v>112</v>
      </c>
      <c r="D292" s="76" t="s">
        <v>349</v>
      </c>
      <c r="E292" s="76" t="s">
        <v>426</v>
      </c>
      <c r="F292" s="77">
        <v>-761817.37</v>
      </c>
      <c r="G292" s="77">
        <v>-66869.570000000007</v>
      </c>
      <c r="H292" s="77">
        <v>-828686.94</v>
      </c>
      <c r="I292" s="76" t="s">
        <v>482</v>
      </c>
      <c r="J292" s="77">
        <v>-75000</v>
      </c>
      <c r="K292" s="78">
        <v>-374913.04</v>
      </c>
      <c r="M292" s="79" t="str">
        <f t="shared" si="14"/>
        <v>112-3040R</v>
      </c>
      <c r="N292" s="79" t="str">
        <f t="shared" si="12"/>
        <v/>
      </c>
      <c r="O292" s="79" t="str">
        <f t="shared" si="13"/>
        <v>112</v>
      </c>
      <c r="P292" s="79" t="str">
        <f>IFERROR(VLOOKUP($M292,Export!$P:$R,2,FALSE),"-")</f>
        <v>LEX New Vehicle</v>
      </c>
      <c r="Q292" s="79" t="str">
        <f>IFERROR(VLOOKUP($M292,Export!$P:$R,3,FALSE),"-")</f>
        <v>LEX New VehicleRetail Gross p.u.</v>
      </c>
      <c r="R292" s="80" t="e" cm="1">
        <f t="array" ref="R292">_xlfn.IFS(P292="Service", _xlfn.IFS(I292="SALES","GP",I292="SERVICE SALES","GP",I292="PARTS SALES","GP",I292="SERVICE COS","GP",I292="PARTS COS","GP",I292="SELLING EXPENSES","Selling Expenses",I292="EMPLOYMENT EXPENSES","Selling Expenses",I292="EMPLOYMENT EXPENSES","Selling Expenses",I292="DIRECT EXPENSES","Selling Expenses",I292="INDIRECT EXPENSES","Selling Expenses"),P292="Parts",_xlfn.IFS(I292="SALES","GP",I292="SERVICE SALES","GP",I292="PARTS SALES","GP",I292="SERVICE COS","GP",I292="PARTS COS","GP",I292="SELLING EXPENSES","Selling Expenses",I292="EMPLOYMENT EXPENSES","Selling Expenses",I292="EMPLOYMENT EXPENSES","Selling Expenses",I292="DIRECT EXPENSES","Selling Expenses",I292="INDIRECT EXPENSES","Selling Expenses"))</f>
        <v>#N/A</v>
      </c>
    </row>
    <row r="293" spans="1:18" x14ac:dyDescent="0.2">
      <c r="A293" s="75" t="s">
        <v>517</v>
      </c>
      <c r="B293" s="76" t="s">
        <v>518</v>
      </c>
      <c r="C293" s="76">
        <v>112</v>
      </c>
      <c r="D293" s="76" t="s">
        <v>349</v>
      </c>
      <c r="E293" s="76" t="s">
        <v>426</v>
      </c>
      <c r="F293" s="77">
        <v>16269.57</v>
      </c>
      <c r="G293" s="77">
        <v>2256.52</v>
      </c>
      <c r="H293" s="77">
        <v>18526.09</v>
      </c>
      <c r="I293" s="76" t="s">
        <v>482</v>
      </c>
      <c r="J293" s="77">
        <v>9700</v>
      </c>
      <c r="K293" s="78">
        <v>38752.17</v>
      </c>
      <c r="M293" s="79" t="str">
        <f t="shared" si="14"/>
        <v>112-3040RD</v>
      </c>
      <c r="N293" s="79" t="str">
        <f t="shared" si="12"/>
        <v/>
      </c>
      <c r="O293" s="79" t="str">
        <f t="shared" si="13"/>
        <v>112</v>
      </c>
      <c r="P293" s="79" t="str">
        <f>IFERROR(VLOOKUP($M293,Export!$P:$R,2,FALSE),"-")</f>
        <v>LEX New Vehicle</v>
      </c>
      <c r="Q293" s="79" t="str">
        <f>IFERROR(VLOOKUP($M293,Export!$P:$R,3,FALSE),"-")</f>
        <v>LEX New VehicleRetail Gross p.u.</v>
      </c>
      <c r="R293" s="80" t="e" cm="1">
        <f t="array" ref="R293">_xlfn.IFS(P293="Service", _xlfn.IFS(I293="SALES","GP",I293="SERVICE SALES","GP",I293="PARTS SALES","GP",I293="SERVICE COS","GP",I293="PARTS COS","GP",I293="SELLING EXPENSES","Selling Expenses",I293="EMPLOYMENT EXPENSES","Selling Expenses",I293="EMPLOYMENT EXPENSES","Selling Expenses",I293="DIRECT EXPENSES","Selling Expenses",I293="INDIRECT EXPENSES","Selling Expenses"),P293="Parts",_xlfn.IFS(I293="SALES","GP",I293="SERVICE SALES","GP",I293="PARTS SALES","GP",I293="SERVICE COS","GP",I293="PARTS COS","GP",I293="SELLING EXPENSES","Selling Expenses",I293="EMPLOYMENT EXPENSES","Selling Expenses",I293="EMPLOYMENT EXPENSES","Selling Expenses",I293="DIRECT EXPENSES","Selling Expenses",I293="INDIRECT EXPENSES","Selling Expenses"))</f>
        <v>#N/A</v>
      </c>
    </row>
    <row r="294" spans="1:18" x14ac:dyDescent="0.2">
      <c r="A294" s="75" t="s">
        <v>519</v>
      </c>
      <c r="B294" s="76" t="s">
        <v>520</v>
      </c>
      <c r="C294" s="76">
        <v>112</v>
      </c>
      <c r="D294" s="76" t="s">
        <v>349</v>
      </c>
      <c r="E294" s="76" t="s">
        <v>426</v>
      </c>
      <c r="F294" s="77">
        <v>-1208580.8400000001</v>
      </c>
      <c r="G294" s="77">
        <v>0</v>
      </c>
      <c r="H294" s="77">
        <v>-1208580.8400000001</v>
      </c>
      <c r="I294" s="76" t="s">
        <v>482</v>
      </c>
      <c r="J294" s="77">
        <v>0</v>
      </c>
      <c r="K294" s="78">
        <v>-898469.57</v>
      </c>
      <c r="M294" s="79" t="str">
        <f t="shared" si="14"/>
        <v>112-3042R</v>
      </c>
      <c r="N294" s="79" t="str">
        <f t="shared" si="12"/>
        <v/>
      </c>
      <c r="O294" s="79" t="str">
        <f t="shared" si="13"/>
        <v>112</v>
      </c>
      <c r="P294" s="79" t="str">
        <f>IFERROR(VLOOKUP($M294,Export!$P:$R,2,FALSE),"-")</f>
        <v>LEX New Vehicle</v>
      </c>
      <c r="Q294" s="79" t="str">
        <f>IFERROR(VLOOKUP($M294,Export!$P:$R,3,FALSE),"-")</f>
        <v>LEX New VehicleRetail Gross p.u.</v>
      </c>
      <c r="R294" s="80" t="e" cm="1">
        <f t="array" ref="R294">_xlfn.IFS(P294="Service", _xlfn.IFS(I294="SALES","GP",I294="SERVICE SALES","GP",I294="PARTS SALES","GP",I294="SERVICE COS","GP",I294="PARTS COS","GP",I294="SELLING EXPENSES","Selling Expenses",I294="EMPLOYMENT EXPENSES","Selling Expenses",I294="EMPLOYMENT EXPENSES","Selling Expenses",I294="DIRECT EXPENSES","Selling Expenses",I294="INDIRECT EXPENSES","Selling Expenses"),P294="Parts",_xlfn.IFS(I294="SALES","GP",I294="SERVICE SALES","GP",I294="PARTS SALES","GP",I294="SERVICE COS","GP",I294="PARTS COS","GP",I294="SELLING EXPENSES","Selling Expenses",I294="EMPLOYMENT EXPENSES","Selling Expenses",I294="EMPLOYMENT EXPENSES","Selling Expenses",I294="DIRECT EXPENSES","Selling Expenses",I294="INDIRECT EXPENSES","Selling Expenses"))</f>
        <v>#N/A</v>
      </c>
    </row>
    <row r="295" spans="1:18" x14ac:dyDescent="0.2">
      <c r="A295" s="75" t="s">
        <v>521</v>
      </c>
      <c r="B295" s="76" t="s">
        <v>522</v>
      </c>
      <c r="C295" s="76">
        <v>112</v>
      </c>
      <c r="D295" s="76" t="s">
        <v>349</v>
      </c>
      <c r="E295" s="76" t="s">
        <v>426</v>
      </c>
      <c r="F295" s="77">
        <v>36708.53</v>
      </c>
      <c r="G295" s="77">
        <v>0</v>
      </c>
      <c r="H295" s="77">
        <v>36708.53</v>
      </c>
      <c r="I295" s="76" t="s">
        <v>482</v>
      </c>
      <c r="J295" s="77">
        <v>0</v>
      </c>
      <c r="K295" s="78">
        <v>21895.65</v>
      </c>
      <c r="M295" s="79" t="str">
        <f t="shared" si="14"/>
        <v>112-3042RD</v>
      </c>
      <c r="N295" s="79" t="str">
        <f t="shared" si="12"/>
        <v/>
      </c>
      <c r="O295" s="79" t="str">
        <f t="shared" si="13"/>
        <v>112</v>
      </c>
      <c r="P295" s="79" t="str">
        <f>IFERROR(VLOOKUP($M295,Export!$P:$R,2,FALSE),"-")</f>
        <v>LEX New Vehicle</v>
      </c>
      <c r="Q295" s="79" t="str">
        <f>IFERROR(VLOOKUP($M295,Export!$P:$R,3,FALSE),"-")</f>
        <v>LEX New VehicleRetail Gross p.u.</v>
      </c>
      <c r="R295" s="80" t="e" cm="1">
        <f t="array" ref="R295">_xlfn.IFS(P295="Service", _xlfn.IFS(I295="SALES","GP",I295="SERVICE SALES","GP",I295="PARTS SALES","GP",I295="SERVICE COS","GP",I295="PARTS COS","GP",I295="SELLING EXPENSES","Selling Expenses",I295="EMPLOYMENT EXPENSES","Selling Expenses",I295="EMPLOYMENT EXPENSES","Selling Expenses",I295="DIRECT EXPENSES","Selling Expenses",I295="INDIRECT EXPENSES","Selling Expenses"),P295="Parts",_xlfn.IFS(I295="SALES","GP",I295="SERVICE SALES","GP",I295="PARTS SALES","GP",I295="SERVICE COS","GP",I295="PARTS COS","GP",I295="SELLING EXPENSES","Selling Expenses",I295="EMPLOYMENT EXPENSES","Selling Expenses",I295="EMPLOYMENT EXPENSES","Selling Expenses",I295="DIRECT EXPENSES","Selling Expenses",I295="INDIRECT EXPENSES","Selling Expenses"))</f>
        <v>#N/A</v>
      </c>
    </row>
    <row r="296" spans="1:18" x14ac:dyDescent="0.2">
      <c r="A296" s="75" t="s">
        <v>523</v>
      </c>
      <c r="B296" s="76" t="s">
        <v>524</v>
      </c>
      <c r="C296" s="76">
        <v>112</v>
      </c>
      <c r="D296" s="76" t="s">
        <v>349</v>
      </c>
      <c r="E296" s="76" t="s">
        <v>426</v>
      </c>
      <c r="F296" s="77">
        <v>0</v>
      </c>
      <c r="G296" s="77">
        <v>0</v>
      </c>
      <c r="H296" s="77">
        <v>0</v>
      </c>
      <c r="I296" s="76" t="s">
        <v>482</v>
      </c>
      <c r="J296" s="77">
        <v>0</v>
      </c>
      <c r="K296" s="78">
        <v>-113600</v>
      </c>
      <c r="M296" s="79" t="str">
        <f t="shared" si="14"/>
        <v>112-3046R</v>
      </c>
      <c r="N296" s="79" t="str">
        <f t="shared" si="12"/>
        <v/>
      </c>
      <c r="O296" s="79" t="str">
        <f t="shared" si="13"/>
        <v>112</v>
      </c>
      <c r="P296" s="79" t="str">
        <f>IFERROR(VLOOKUP($M296,Export!$P:$R,2,FALSE),"-")</f>
        <v>LEX New Vehicle</v>
      </c>
      <c r="Q296" s="79" t="str">
        <f>IFERROR(VLOOKUP($M296,Export!$P:$R,3,FALSE),"-")</f>
        <v>LEX New VehicleRetail Gross p.u.</v>
      </c>
      <c r="R296" s="80" t="e" cm="1">
        <f t="array" ref="R296">_xlfn.IFS(P296="Service", _xlfn.IFS(I296="SALES","GP",I296="SERVICE SALES","GP",I296="PARTS SALES","GP",I296="SERVICE COS","GP",I296="PARTS COS","GP",I296="SELLING EXPENSES","Selling Expenses",I296="EMPLOYMENT EXPENSES","Selling Expenses",I296="EMPLOYMENT EXPENSES","Selling Expenses",I296="DIRECT EXPENSES","Selling Expenses",I296="INDIRECT EXPENSES","Selling Expenses"),P296="Parts",_xlfn.IFS(I296="SALES","GP",I296="SERVICE SALES","GP",I296="PARTS SALES","GP",I296="SERVICE COS","GP",I296="PARTS COS","GP",I296="SELLING EXPENSES","Selling Expenses",I296="EMPLOYMENT EXPENSES","Selling Expenses",I296="EMPLOYMENT EXPENSES","Selling Expenses",I296="DIRECT EXPENSES","Selling Expenses",I296="INDIRECT EXPENSES","Selling Expenses"))</f>
        <v>#N/A</v>
      </c>
    </row>
    <row r="297" spans="1:18" x14ac:dyDescent="0.2">
      <c r="A297" s="75" t="s">
        <v>525</v>
      </c>
      <c r="B297" s="76" t="s">
        <v>526</v>
      </c>
      <c r="C297" s="76">
        <v>112</v>
      </c>
      <c r="D297" s="76" t="s">
        <v>349</v>
      </c>
      <c r="E297" s="76" t="s">
        <v>426</v>
      </c>
      <c r="F297" s="77">
        <v>0</v>
      </c>
      <c r="G297" s="77">
        <v>0</v>
      </c>
      <c r="H297" s="77">
        <v>0</v>
      </c>
      <c r="I297" s="76" t="s">
        <v>482</v>
      </c>
      <c r="J297" s="77">
        <v>0</v>
      </c>
      <c r="K297" s="78">
        <v>24400</v>
      </c>
      <c r="M297" s="79" t="str">
        <f t="shared" si="14"/>
        <v>112-3046RD</v>
      </c>
      <c r="N297" s="79" t="str">
        <f t="shared" si="12"/>
        <v/>
      </c>
      <c r="O297" s="79" t="str">
        <f t="shared" si="13"/>
        <v>112</v>
      </c>
      <c r="P297" s="79" t="str">
        <f>IFERROR(VLOOKUP($M297,Export!$P:$R,2,FALSE),"-")</f>
        <v>LEX New Vehicle</v>
      </c>
      <c r="Q297" s="79" t="str">
        <f>IFERROR(VLOOKUP($M297,Export!$P:$R,3,FALSE),"-")</f>
        <v>LEX New VehicleRetail Gross p.u.</v>
      </c>
      <c r="R297" s="80" t="e" cm="1">
        <f t="array" ref="R297">_xlfn.IFS(P297="Service", _xlfn.IFS(I297="SALES","GP",I297="SERVICE SALES","GP",I297="PARTS SALES","GP",I297="SERVICE COS","GP",I297="PARTS COS","GP",I297="SELLING EXPENSES","Selling Expenses",I297="EMPLOYMENT EXPENSES","Selling Expenses",I297="EMPLOYMENT EXPENSES","Selling Expenses",I297="DIRECT EXPENSES","Selling Expenses",I297="INDIRECT EXPENSES","Selling Expenses"),P297="Parts",_xlfn.IFS(I297="SALES","GP",I297="SERVICE SALES","GP",I297="PARTS SALES","GP",I297="SERVICE COS","GP",I297="PARTS COS","GP",I297="SELLING EXPENSES","Selling Expenses",I297="EMPLOYMENT EXPENSES","Selling Expenses",I297="EMPLOYMENT EXPENSES","Selling Expenses",I297="DIRECT EXPENSES","Selling Expenses",I297="INDIRECT EXPENSES","Selling Expenses"))</f>
        <v>#N/A</v>
      </c>
    </row>
    <row r="298" spans="1:18" x14ac:dyDescent="0.2">
      <c r="A298" s="75" t="s">
        <v>527</v>
      </c>
      <c r="B298" s="76" t="s">
        <v>528</v>
      </c>
      <c r="C298" s="76">
        <v>112</v>
      </c>
      <c r="D298" s="76" t="s">
        <v>349</v>
      </c>
      <c r="E298" s="76" t="s">
        <v>426</v>
      </c>
      <c r="F298" s="77">
        <v>-6250</v>
      </c>
      <c r="G298" s="77">
        <v>0</v>
      </c>
      <c r="H298" s="77">
        <v>-6250</v>
      </c>
      <c r="I298" s="76" t="s">
        <v>482</v>
      </c>
      <c r="J298" s="77">
        <v>0</v>
      </c>
      <c r="K298" s="78">
        <v>0</v>
      </c>
      <c r="M298" s="79" t="str">
        <f t="shared" si="14"/>
        <v>112-3048R</v>
      </c>
      <c r="N298" s="79" t="str">
        <f t="shared" si="12"/>
        <v/>
      </c>
      <c r="O298" s="79" t="str">
        <f t="shared" si="13"/>
        <v>112</v>
      </c>
      <c r="P298" s="79" t="str">
        <f>IFERROR(VLOOKUP($M298,Export!$P:$R,2,FALSE),"-")</f>
        <v>LEX New Vehicle</v>
      </c>
      <c r="Q298" s="79" t="str">
        <f>IFERROR(VLOOKUP($M298,Export!$P:$R,3,FALSE),"-")</f>
        <v>LEX New VehicleRetail Gross p.u.</v>
      </c>
      <c r="R298" s="80" t="e" cm="1">
        <f t="array" ref="R298">_xlfn.IFS(P298="Service", _xlfn.IFS(I298="SALES","GP",I298="SERVICE SALES","GP",I298="PARTS SALES","GP",I298="SERVICE COS","GP",I298="PARTS COS","GP",I298="SELLING EXPENSES","Selling Expenses",I298="EMPLOYMENT EXPENSES","Selling Expenses",I298="EMPLOYMENT EXPENSES","Selling Expenses",I298="DIRECT EXPENSES","Selling Expenses",I298="INDIRECT EXPENSES","Selling Expenses"),P298="Parts",_xlfn.IFS(I298="SALES","GP",I298="SERVICE SALES","GP",I298="PARTS SALES","GP",I298="SERVICE COS","GP",I298="PARTS COS","GP",I298="SELLING EXPENSES","Selling Expenses",I298="EMPLOYMENT EXPENSES","Selling Expenses",I298="EMPLOYMENT EXPENSES","Selling Expenses",I298="DIRECT EXPENSES","Selling Expenses",I298="INDIRECT EXPENSES","Selling Expenses"))</f>
        <v>#N/A</v>
      </c>
    </row>
    <row r="299" spans="1:18" x14ac:dyDescent="0.2">
      <c r="A299" s="75" t="s">
        <v>529</v>
      </c>
      <c r="B299" s="76" t="s">
        <v>530</v>
      </c>
      <c r="C299" s="76">
        <v>112</v>
      </c>
      <c r="D299" s="76" t="s">
        <v>349</v>
      </c>
      <c r="E299" s="76" t="s">
        <v>426</v>
      </c>
      <c r="F299" s="77">
        <v>-430930.43</v>
      </c>
      <c r="G299" s="77">
        <v>0</v>
      </c>
      <c r="H299" s="77">
        <v>-430930.43</v>
      </c>
      <c r="I299" s="76" t="s">
        <v>482</v>
      </c>
      <c r="J299" s="77">
        <v>-469500</v>
      </c>
      <c r="K299" s="78">
        <v>-3485548.49</v>
      </c>
      <c r="M299" s="79" t="str">
        <f t="shared" si="14"/>
        <v>112-3049R</v>
      </c>
      <c r="N299" s="79" t="str">
        <f t="shared" si="12"/>
        <v/>
      </c>
      <c r="O299" s="79" t="str">
        <f t="shared" si="13"/>
        <v>112</v>
      </c>
      <c r="P299" s="79" t="str">
        <f>IFERROR(VLOOKUP($M299,Export!$P:$R,2,FALSE),"-")</f>
        <v>LEX New Vehicle</v>
      </c>
      <c r="Q299" s="79" t="str">
        <f>IFERROR(VLOOKUP($M299,Export!$P:$R,3,FALSE),"-")</f>
        <v>LEX New VehicleRetail Gross p.u.</v>
      </c>
      <c r="R299" s="80" t="e" cm="1">
        <f t="array" ref="R299">_xlfn.IFS(P299="Service", _xlfn.IFS(I299="SALES","GP",I299="SERVICE SALES","GP",I299="PARTS SALES","GP",I299="SERVICE COS","GP",I299="PARTS COS","GP",I299="SELLING EXPENSES","Selling Expenses",I299="EMPLOYMENT EXPENSES","Selling Expenses",I299="EMPLOYMENT EXPENSES","Selling Expenses",I299="DIRECT EXPENSES","Selling Expenses",I299="INDIRECT EXPENSES","Selling Expenses"),P299="Parts",_xlfn.IFS(I299="SALES","GP",I299="SERVICE SALES","GP",I299="PARTS SALES","GP",I299="SERVICE COS","GP",I299="PARTS COS","GP",I299="SELLING EXPENSES","Selling Expenses",I299="EMPLOYMENT EXPENSES","Selling Expenses",I299="EMPLOYMENT EXPENSES","Selling Expenses",I299="DIRECT EXPENSES","Selling Expenses",I299="INDIRECT EXPENSES","Selling Expenses"))</f>
        <v>#N/A</v>
      </c>
    </row>
    <row r="300" spans="1:18" x14ac:dyDescent="0.2">
      <c r="A300" s="75" t="s">
        <v>531</v>
      </c>
      <c r="B300" s="76" t="s">
        <v>532</v>
      </c>
      <c r="C300" s="76">
        <v>112</v>
      </c>
      <c r="D300" s="76" t="s">
        <v>349</v>
      </c>
      <c r="E300" s="76" t="s">
        <v>426</v>
      </c>
      <c r="F300" s="77">
        <v>22339.14</v>
      </c>
      <c r="G300" s="77">
        <v>0</v>
      </c>
      <c r="H300" s="77">
        <v>22339.14</v>
      </c>
      <c r="I300" s="76" t="s">
        <v>482</v>
      </c>
      <c r="J300" s="77">
        <v>42000</v>
      </c>
      <c r="K300" s="78">
        <v>306599.99</v>
      </c>
      <c r="M300" s="79" t="str">
        <f t="shared" si="14"/>
        <v>112-3049RD</v>
      </c>
      <c r="N300" s="79" t="str">
        <f t="shared" si="12"/>
        <v/>
      </c>
      <c r="O300" s="79" t="str">
        <f t="shared" si="13"/>
        <v>112</v>
      </c>
      <c r="P300" s="79" t="str">
        <f>IFERROR(VLOOKUP($M300,Export!$P:$R,2,FALSE),"-")</f>
        <v>LEX New Vehicle</v>
      </c>
      <c r="Q300" s="79" t="str">
        <f>IFERROR(VLOOKUP($M300,Export!$P:$R,3,FALSE),"-")</f>
        <v>LEX New VehicleRetail Gross p.u.</v>
      </c>
      <c r="R300" s="80" t="e" cm="1">
        <f t="array" ref="R300">_xlfn.IFS(P300="Service", _xlfn.IFS(I300="SALES","GP",I300="SERVICE SALES","GP",I300="PARTS SALES","GP",I300="SERVICE COS","GP",I300="PARTS COS","GP",I300="SELLING EXPENSES","Selling Expenses",I300="EMPLOYMENT EXPENSES","Selling Expenses",I300="EMPLOYMENT EXPENSES","Selling Expenses",I300="DIRECT EXPENSES","Selling Expenses",I300="INDIRECT EXPENSES","Selling Expenses"),P300="Parts",_xlfn.IFS(I300="SALES","GP",I300="SERVICE SALES","GP",I300="PARTS SALES","GP",I300="SERVICE COS","GP",I300="PARTS COS","GP",I300="SELLING EXPENSES","Selling Expenses",I300="EMPLOYMENT EXPENSES","Selling Expenses",I300="EMPLOYMENT EXPENSES","Selling Expenses",I300="DIRECT EXPENSES","Selling Expenses",I300="INDIRECT EXPENSES","Selling Expenses"))</f>
        <v>#N/A</v>
      </c>
    </row>
    <row r="301" spans="1:18" x14ac:dyDescent="0.2">
      <c r="A301" s="75" t="s">
        <v>138</v>
      </c>
      <c r="B301" s="76" t="s">
        <v>533</v>
      </c>
      <c r="C301" s="76">
        <v>112</v>
      </c>
      <c r="D301" s="76" t="s">
        <v>349</v>
      </c>
      <c r="E301" s="76" t="s">
        <v>426</v>
      </c>
      <c r="F301" s="77">
        <v>-2702556.8</v>
      </c>
      <c r="G301" s="77">
        <v>-463465.32</v>
      </c>
      <c r="H301" s="77">
        <v>-3166022.12</v>
      </c>
      <c r="I301" s="76" t="s">
        <v>482</v>
      </c>
      <c r="J301" s="77">
        <v>-544000</v>
      </c>
      <c r="K301" s="78">
        <v>-5026860.82</v>
      </c>
      <c r="M301" s="79" t="str">
        <f t="shared" si="14"/>
        <v>112-3050R</v>
      </c>
      <c r="N301" s="79" t="str">
        <f t="shared" si="12"/>
        <v/>
      </c>
      <c r="O301" s="79" t="str">
        <f t="shared" si="13"/>
        <v>112</v>
      </c>
      <c r="P301" s="79" t="str">
        <f>IFERROR(VLOOKUP($M301,Export!$P:$R,2,FALSE),"-")</f>
        <v>LEX New Vehicle</v>
      </c>
      <c r="Q301" s="79" t="str">
        <f>IFERROR(VLOOKUP($M301,Export!$P:$R,3,FALSE),"-")</f>
        <v>LEX New VehicleRetail Gross p.u.</v>
      </c>
      <c r="R301" s="80" t="e" cm="1">
        <f t="array" ref="R301">_xlfn.IFS(P301="Service", _xlfn.IFS(I301="SALES","GP",I301="SERVICE SALES","GP",I301="PARTS SALES","GP",I301="SERVICE COS","GP",I301="PARTS COS","GP",I301="SELLING EXPENSES","Selling Expenses",I301="EMPLOYMENT EXPENSES","Selling Expenses",I301="EMPLOYMENT EXPENSES","Selling Expenses",I301="DIRECT EXPENSES","Selling Expenses",I301="INDIRECT EXPENSES","Selling Expenses"),P301="Parts",_xlfn.IFS(I301="SALES","GP",I301="SERVICE SALES","GP",I301="PARTS SALES","GP",I301="SERVICE COS","GP",I301="PARTS COS","GP",I301="SELLING EXPENSES","Selling Expenses",I301="EMPLOYMENT EXPENSES","Selling Expenses",I301="EMPLOYMENT EXPENSES","Selling Expenses",I301="DIRECT EXPENSES","Selling Expenses",I301="INDIRECT EXPENSES","Selling Expenses"))</f>
        <v>#N/A</v>
      </c>
    </row>
    <row r="302" spans="1:18" x14ac:dyDescent="0.2">
      <c r="A302" s="75" t="s">
        <v>534</v>
      </c>
      <c r="B302" s="76" t="s">
        <v>535</v>
      </c>
      <c r="C302" s="76">
        <v>112</v>
      </c>
      <c r="D302" s="76" t="s">
        <v>349</v>
      </c>
      <c r="E302" s="76" t="s">
        <v>426</v>
      </c>
      <c r="F302" s="77">
        <v>70197.84</v>
      </c>
      <c r="G302" s="77">
        <v>22521.74</v>
      </c>
      <c r="H302" s="77">
        <v>92719.58</v>
      </c>
      <c r="I302" s="76" t="s">
        <v>482</v>
      </c>
      <c r="J302" s="77">
        <v>25000</v>
      </c>
      <c r="K302" s="78">
        <v>206795.65</v>
      </c>
      <c r="M302" s="79" t="str">
        <f t="shared" si="14"/>
        <v>112-3050RD</v>
      </c>
      <c r="N302" s="79" t="str">
        <f t="shared" si="12"/>
        <v/>
      </c>
      <c r="O302" s="79" t="str">
        <f t="shared" si="13"/>
        <v>112</v>
      </c>
      <c r="P302" s="79" t="str">
        <f>IFERROR(VLOOKUP($M302,Export!$P:$R,2,FALSE),"-")</f>
        <v>LEX New Vehicle</v>
      </c>
      <c r="Q302" s="79" t="str">
        <f>IFERROR(VLOOKUP($M302,Export!$P:$R,3,FALSE),"-")</f>
        <v>LEX New VehicleRetail Gross p.u.</v>
      </c>
      <c r="R302" s="80" t="e" cm="1">
        <f t="array" ref="R302">_xlfn.IFS(P302="Service", _xlfn.IFS(I302="SALES","GP",I302="SERVICE SALES","GP",I302="PARTS SALES","GP",I302="SERVICE COS","GP",I302="PARTS COS","GP",I302="SELLING EXPENSES","Selling Expenses",I302="EMPLOYMENT EXPENSES","Selling Expenses",I302="EMPLOYMENT EXPENSES","Selling Expenses",I302="DIRECT EXPENSES","Selling Expenses",I302="INDIRECT EXPENSES","Selling Expenses"),P302="Parts",_xlfn.IFS(I302="SALES","GP",I302="SERVICE SALES","GP",I302="PARTS SALES","GP",I302="SERVICE COS","GP",I302="PARTS COS","GP",I302="SELLING EXPENSES","Selling Expenses",I302="EMPLOYMENT EXPENSES","Selling Expenses",I302="EMPLOYMENT EXPENSES","Selling Expenses",I302="DIRECT EXPENSES","Selling Expenses",I302="INDIRECT EXPENSES","Selling Expenses"))</f>
        <v>#N/A</v>
      </c>
    </row>
    <row r="303" spans="1:18" x14ac:dyDescent="0.2">
      <c r="A303" s="75" t="s">
        <v>536</v>
      </c>
      <c r="B303" s="76" t="s">
        <v>537</v>
      </c>
      <c r="C303" s="76">
        <v>112</v>
      </c>
      <c r="D303" s="76" t="s">
        <v>349</v>
      </c>
      <c r="E303" s="76" t="s">
        <v>426</v>
      </c>
      <c r="F303" s="77">
        <v>0</v>
      </c>
      <c r="G303" s="77">
        <v>0</v>
      </c>
      <c r="H303" s="77">
        <v>0</v>
      </c>
      <c r="I303" s="76" t="s">
        <v>482</v>
      </c>
      <c r="J303" s="77">
        <v>-159300</v>
      </c>
      <c r="K303" s="78">
        <v>-637204.35</v>
      </c>
      <c r="M303" s="79" t="str">
        <f t="shared" si="14"/>
        <v>112-3051R</v>
      </c>
      <c r="N303" s="79" t="str">
        <f t="shared" si="12"/>
        <v/>
      </c>
      <c r="O303" s="79" t="str">
        <f t="shared" si="13"/>
        <v>112</v>
      </c>
      <c r="P303" s="79" t="str">
        <f>IFERROR(VLOOKUP($M303,Export!$P:$R,2,FALSE),"-")</f>
        <v>LEX New Vehicle</v>
      </c>
      <c r="Q303" s="79" t="str">
        <f>IFERROR(VLOOKUP($M303,Export!$P:$R,3,FALSE),"-")</f>
        <v>LEX New VehicleRetail Gross p.u.</v>
      </c>
      <c r="R303" s="80" t="e" cm="1">
        <f t="array" ref="R303">_xlfn.IFS(P303="Service", _xlfn.IFS(I303="SALES","GP",I303="SERVICE SALES","GP",I303="PARTS SALES","GP",I303="SERVICE COS","GP",I303="PARTS COS","GP",I303="SELLING EXPENSES","Selling Expenses",I303="EMPLOYMENT EXPENSES","Selling Expenses",I303="EMPLOYMENT EXPENSES","Selling Expenses",I303="DIRECT EXPENSES","Selling Expenses",I303="INDIRECT EXPENSES","Selling Expenses"),P303="Parts",_xlfn.IFS(I303="SALES","GP",I303="SERVICE SALES","GP",I303="PARTS SALES","GP",I303="SERVICE COS","GP",I303="PARTS COS","GP",I303="SELLING EXPENSES","Selling Expenses",I303="EMPLOYMENT EXPENSES","Selling Expenses",I303="EMPLOYMENT EXPENSES","Selling Expenses",I303="DIRECT EXPENSES","Selling Expenses",I303="INDIRECT EXPENSES","Selling Expenses"))</f>
        <v>#N/A</v>
      </c>
    </row>
    <row r="304" spans="1:18" x14ac:dyDescent="0.2">
      <c r="A304" s="75" t="s">
        <v>538</v>
      </c>
      <c r="B304" s="76" t="s">
        <v>539</v>
      </c>
      <c r="C304" s="76">
        <v>112</v>
      </c>
      <c r="D304" s="76" t="s">
        <v>349</v>
      </c>
      <c r="E304" s="76" t="s">
        <v>426</v>
      </c>
      <c r="F304" s="77">
        <v>0</v>
      </c>
      <c r="G304" s="77">
        <v>0</v>
      </c>
      <c r="H304" s="77">
        <v>0</v>
      </c>
      <c r="I304" s="76" t="s">
        <v>482</v>
      </c>
      <c r="J304" s="77">
        <v>20500</v>
      </c>
      <c r="K304" s="78">
        <v>61500</v>
      </c>
      <c r="M304" s="79" t="str">
        <f t="shared" si="14"/>
        <v>112-3051RD</v>
      </c>
      <c r="N304" s="79" t="str">
        <f t="shared" si="12"/>
        <v/>
      </c>
      <c r="O304" s="79" t="str">
        <f t="shared" si="13"/>
        <v>112</v>
      </c>
      <c r="P304" s="79" t="str">
        <f>IFERROR(VLOOKUP($M304,Export!$P:$R,2,FALSE),"-")</f>
        <v>LEX New Vehicle</v>
      </c>
      <c r="Q304" s="79" t="str">
        <f>IFERROR(VLOOKUP($M304,Export!$P:$R,3,FALSE),"-")</f>
        <v>LEX New VehicleRetail Gross p.u.</v>
      </c>
      <c r="R304" s="80" t="e" cm="1">
        <f t="array" ref="R304">_xlfn.IFS(P304="Service", _xlfn.IFS(I304="SALES","GP",I304="SERVICE SALES","GP",I304="PARTS SALES","GP",I304="SERVICE COS","GP",I304="PARTS COS","GP",I304="SELLING EXPENSES","Selling Expenses",I304="EMPLOYMENT EXPENSES","Selling Expenses",I304="EMPLOYMENT EXPENSES","Selling Expenses",I304="DIRECT EXPENSES","Selling Expenses",I304="INDIRECT EXPENSES","Selling Expenses"),P304="Parts",_xlfn.IFS(I304="SALES","GP",I304="SERVICE SALES","GP",I304="PARTS SALES","GP",I304="SERVICE COS","GP",I304="PARTS COS","GP",I304="SELLING EXPENSES","Selling Expenses",I304="EMPLOYMENT EXPENSES","Selling Expenses",I304="EMPLOYMENT EXPENSES","Selling Expenses",I304="DIRECT EXPENSES","Selling Expenses",I304="INDIRECT EXPENSES","Selling Expenses"))</f>
        <v>#N/A</v>
      </c>
    </row>
    <row r="305" spans="1:18" x14ac:dyDescent="0.2">
      <c r="A305" s="75" t="s">
        <v>540</v>
      </c>
      <c r="B305" s="76" t="s">
        <v>541</v>
      </c>
      <c r="C305" s="76">
        <v>112</v>
      </c>
      <c r="D305" s="76" t="s">
        <v>349</v>
      </c>
      <c r="E305" s="76" t="s">
        <v>426</v>
      </c>
      <c r="F305" s="77">
        <v>0</v>
      </c>
      <c r="G305" s="77">
        <v>0</v>
      </c>
      <c r="H305" s="77">
        <v>0</v>
      </c>
      <c r="I305" s="76" t="s">
        <v>482</v>
      </c>
      <c r="J305" s="77">
        <v>0</v>
      </c>
      <c r="K305" s="78">
        <v>-368313.05</v>
      </c>
      <c r="M305" s="79" t="str">
        <f t="shared" si="14"/>
        <v>112-3052R</v>
      </c>
      <c r="N305" s="79" t="str">
        <f t="shared" si="12"/>
        <v/>
      </c>
      <c r="O305" s="79" t="str">
        <f t="shared" si="13"/>
        <v>112</v>
      </c>
      <c r="P305" s="79" t="str">
        <f>IFERROR(VLOOKUP($M305,Export!$P:$R,2,FALSE),"-")</f>
        <v>LEX New Vehicle</v>
      </c>
      <c r="Q305" s="79" t="str">
        <f>IFERROR(VLOOKUP($M305,Export!$P:$R,3,FALSE),"-")</f>
        <v>LEX New VehicleRetail Gross p.u.</v>
      </c>
      <c r="R305" s="80" t="e" cm="1">
        <f t="array" ref="R305">_xlfn.IFS(P305="Service", _xlfn.IFS(I305="SALES","GP",I305="SERVICE SALES","GP",I305="PARTS SALES","GP",I305="SERVICE COS","GP",I305="PARTS COS","GP",I305="SELLING EXPENSES","Selling Expenses",I305="EMPLOYMENT EXPENSES","Selling Expenses",I305="EMPLOYMENT EXPENSES","Selling Expenses",I305="DIRECT EXPENSES","Selling Expenses",I305="INDIRECT EXPENSES","Selling Expenses"),P305="Parts",_xlfn.IFS(I305="SALES","GP",I305="SERVICE SALES","GP",I305="PARTS SALES","GP",I305="SERVICE COS","GP",I305="PARTS COS","GP",I305="SELLING EXPENSES","Selling Expenses",I305="EMPLOYMENT EXPENSES","Selling Expenses",I305="EMPLOYMENT EXPENSES","Selling Expenses",I305="DIRECT EXPENSES","Selling Expenses",I305="INDIRECT EXPENSES","Selling Expenses"))</f>
        <v>#N/A</v>
      </c>
    </row>
    <row r="306" spans="1:18" x14ac:dyDescent="0.2">
      <c r="A306" s="75" t="s">
        <v>542</v>
      </c>
      <c r="B306" s="76" t="s">
        <v>543</v>
      </c>
      <c r="C306" s="76">
        <v>112</v>
      </c>
      <c r="D306" s="76" t="s">
        <v>349</v>
      </c>
      <c r="E306" s="76" t="s">
        <v>426</v>
      </c>
      <c r="F306" s="77">
        <v>0</v>
      </c>
      <c r="G306" s="77">
        <v>0</v>
      </c>
      <c r="H306" s="77">
        <v>0</v>
      </c>
      <c r="I306" s="76" t="s">
        <v>482</v>
      </c>
      <c r="J306" s="77">
        <v>0</v>
      </c>
      <c r="K306" s="78">
        <v>23208.7</v>
      </c>
      <c r="M306" s="79" t="str">
        <f t="shared" si="14"/>
        <v>112-3052RD</v>
      </c>
      <c r="N306" s="79" t="str">
        <f t="shared" si="12"/>
        <v/>
      </c>
      <c r="O306" s="79" t="str">
        <f t="shared" si="13"/>
        <v>112</v>
      </c>
      <c r="P306" s="79" t="str">
        <f>IFERROR(VLOOKUP($M306,Export!$P:$R,2,FALSE),"-")</f>
        <v>LEX New Vehicle</v>
      </c>
      <c r="Q306" s="79" t="str">
        <f>IFERROR(VLOOKUP($M306,Export!$P:$R,3,FALSE),"-")</f>
        <v>LEX New VehicleRetail Gross p.u.</v>
      </c>
      <c r="R306" s="80" t="e" cm="1">
        <f t="array" ref="R306">_xlfn.IFS(P306="Service", _xlfn.IFS(I306="SALES","GP",I306="SERVICE SALES","GP",I306="PARTS SALES","GP",I306="SERVICE COS","GP",I306="PARTS COS","GP",I306="SELLING EXPENSES","Selling Expenses",I306="EMPLOYMENT EXPENSES","Selling Expenses",I306="EMPLOYMENT EXPENSES","Selling Expenses",I306="DIRECT EXPENSES","Selling Expenses",I306="INDIRECT EXPENSES","Selling Expenses"),P306="Parts",_xlfn.IFS(I306="SALES","GP",I306="SERVICE SALES","GP",I306="PARTS SALES","GP",I306="SERVICE COS","GP",I306="PARTS COS","GP",I306="SELLING EXPENSES","Selling Expenses",I306="EMPLOYMENT EXPENSES","Selling Expenses",I306="EMPLOYMENT EXPENSES","Selling Expenses",I306="DIRECT EXPENSES","Selling Expenses",I306="INDIRECT EXPENSES","Selling Expenses"))</f>
        <v>#N/A</v>
      </c>
    </row>
    <row r="307" spans="1:18" x14ac:dyDescent="0.2">
      <c r="A307" s="75" t="s">
        <v>544</v>
      </c>
      <c r="B307" s="76" t="s">
        <v>545</v>
      </c>
      <c r="C307" s="76">
        <v>112</v>
      </c>
      <c r="D307" s="76" t="s">
        <v>349</v>
      </c>
      <c r="E307" s="76" t="s">
        <v>426</v>
      </c>
      <c r="F307" s="77">
        <v>-2443583.0299999998</v>
      </c>
      <c r="G307" s="77">
        <v>-432290.77</v>
      </c>
      <c r="H307" s="77">
        <v>-2875873.8</v>
      </c>
      <c r="I307" s="76" t="s">
        <v>482</v>
      </c>
      <c r="J307" s="77">
        <v>-79000</v>
      </c>
      <c r="K307" s="78">
        <v>-1182504.3500000001</v>
      </c>
      <c r="M307" s="79" t="str">
        <f t="shared" si="14"/>
        <v>112-3054R</v>
      </c>
      <c r="N307" s="79" t="str">
        <f t="shared" si="12"/>
        <v/>
      </c>
      <c r="O307" s="79" t="str">
        <f t="shared" si="13"/>
        <v>112</v>
      </c>
      <c r="P307" s="79" t="str">
        <f>IFERROR(VLOOKUP($M307,Export!$P:$R,2,FALSE),"-")</f>
        <v>LEX New Vehicle</v>
      </c>
      <c r="Q307" s="79" t="str">
        <f>IFERROR(VLOOKUP($M307,Export!$P:$R,3,FALSE),"-")</f>
        <v>LEX New VehicleRetail Gross p.u.</v>
      </c>
      <c r="R307" s="80" t="e" cm="1">
        <f t="array" ref="R307">_xlfn.IFS(P307="Service", _xlfn.IFS(I307="SALES","GP",I307="SERVICE SALES","GP",I307="PARTS SALES","GP",I307="SERVICE COS","GP",I307="PARTS COS","GP",I307="SELLING EXPENSES","Selling Expenses",I307="EMPLOYMENT EXPENSES","Selling Expenses",I307="EMPLOYMENT EXPENSES","Selling Expenses",I307="DIRECT EXPENSES","Selling Expenses",I307="INDIRECT EXPENSES","Selling Expenses"),P307="Parts",_xlfn.IFS(I307="SALES","GP",I307="SERVICE SALES","GP",I307="PARTS SALES","GP",I307="SERVICE COS","GP",I307="PARTS COS","GP",I307="SELLING EXPENSES","Selling Expenses",I307="EMPLOYMENT EXPENSES","Selling Expenses",I307="EMPLOYMENT EXPENSES","Selling Expenses",I307="DIRECT EXPENSES","Selling Expenses",I307="INDIRECT EXPENSES","Selling Expenses"))</f>
        <v>#N/A</v>
      </c>
    </row>
    <row r="308" spans="1:18" x14ac:dyDescent="0.2">
      <c r="A308" s="75" t="s">
        <v>546</v>
      </c>
      <c r="B308" s="76" t="s">
        <v>547</v>
      </c>
      <c r="C308" s="76">
        <v>112</v>
      </c>
      <c r="D308" s="76" t="s">
        <v>349</v>
      </c>
      <c r="E308" s="76" t="s">
        <v>426</v>
      </c>
      <c r="F308" s="77">
        <v>59038.77</v>
      </c>
      <c r="G308" s="77">
        <v>10860.87</v>
      </c>
      <c r="H308" s="77">
        <v>69899.64</v>
      </c>
      <c r="I308" s="76" t="s">
        <v>482</v>
      </c>
      <c r="J308" s="77">
        <v>7600</v>
      </c>
      <c r="K308" s="78">
        <v>104765.22</v>
      </c>
      <c r="M308" s="79" t="str">
        <f t="shared" si="14"/>
        <v>112-3054RD</v>
      </c>
      <c r="N308" s="79" t="str">
        <f t="shared" si="12"/>
        <v/>
      </c>
      <c r="O308" s="79" t="str">
        <f t="shared" si="13"/>
        <v>112</v>
      </c>
      <c r="P308" s="79" t="str">
        <f>IFERROR(VLOOKUP($M308,Export!$P:$R,2,FALSE),"-")</f>
        <v>LEX New Vehicle</v>
      </c>
      <c r="Q308" s="79" t="str">
        <f>IFERROR(VLOOKUP($M308,Export!$P:$R,3,FALSE),"-")</f>
        <v>LEX New VehicleRetail Gross p.u.</v>
      </c>
      <c r="R308" s="80" t="e" cm="1">
        <f t="array" ref="R308">_xlfn.IFS(P308="Service", _xlfn.IFS(I308="SALES","GP",I308="SERVICE SALES","GP",I308="PARTS SALES","GP",I308="SERVICE COS","GP",I308="PARTS COS","GP",I308="SELLING EXPENSES","Selling Expenses",I308="EMPLOYMENT EXPENSES","Selling Expenses",I308="EMPLOYMENT EXPENSES","Selling Expenses",I308="DIRECT EXPENSES","Selling Expenses",I308="INDIRECT EXPENSES","Selling Expenses"),P308="Parts",_xlfn.IFS(I308="SALES","GP",I308="SERVICE SALES","GP",I308="PARTS SALES","GP",I308="SERVICE COS","GP",I308="PARTS COS","GP",I308="SELLING EXPENSES","Selling Expenses",I308="EMPLOYMENT EXPENSES","Selling Expenses",I308="EMPLOYMENT EXPENSES","Selling Expenses",I308="DIRECT EXPENSES","Selling Expenses",I308="INDIRECT EXPENSES","Selling Expenses"))</f>
        <v>#N/A</v>
      </c>
    </row>
    <row r="309" spans="1:18" x14ac:dyDescent="0.2">
      <c r="A309" s="75">
        <v>3060</v>
      </c>
      <c r="B309" s="76" t="s">
        <v>77</v>
      </c>
      <c r="C309" s="76">
        <v>110</v>
      </c>
      <c r="D309" s="76" t="s">
        <v>430</v>
      </c>
      <c r="E309" s="76" t="s">
        <v>426</v>
      </c>
      <c r="F309" s="77">
        <v>-176283.69</v>
      </c>
      <c r="G309" s="77">
        <v>-5316.38</v>
      </c>
      <c r="H309" s="77">
        <v>-181600.07</v>
      </c>
      <c r="I309" s="76" t="s">
        <v>482</v>
      </c>
      <c r="J309" s="77">
        <v>-1070.31</v>
      </c>
      <c r="K309" s="78">
        <v>-69713.490000000005</v>
      </c>
      <c r="M309" s="79" t="str">
        <f t="shared" si="14"/>
        <v>110-3060</v>
      </c>
      <c r="N309" s="79" t="str">
        <f t="shared" si="12"/>
        <v/>
      </c>
      <c r="O309" s="79" t="str">
        <f t="shared" si="13"/>
        <v>110</v>
      </c>
      <c r="P309" s="79" t="str">
        <f>IFERROR(VLOOKUP($M309,Export!$P:$R,2,FALSE),"-")</f>
        <v>New Vehicle</v>
      </c>
      <c r="Q309" s="79" t="str">
        <f>IFERROR(VLOOKUP($M309,Export!$P:$R,3,FALSE),"-")</f>
        <v>New VehicleDirect Delivery Fees (net)</v>
      </c>
      <c r="R309" s="80" t="e" cm="1">
        <f t="array" ref="R309">_xlfn.IFS(P309="Service", _xlfn.IFS(I309="SALES","GP",I309="SERVICE SALES","GP",I309="PARTS SALES","GP",I309="SERVICE COS","GP",I309="PARTS COS","GP",I309="SELLING EXPENSES","Selling Expenses",I309="EMPLOYMENT EXPENSES","Selling Expenses",I309="EMPLOYMENT EXPENSES","Selling Expenses",I309="DIRECT EXPENSES","Selling Expenses",I309="INDIRECT EXPENSES","Selling Expenses"),P309="Parts",_xlfn.IFS(I309="SALES","GP",I309="SERVICE SALES","GP",I309="PARTS SALES","GP",I309="SERVICE COS","GP",I309="PARTS COS","GP",I309="SELLING EXPENSES","Selling Expenses",I309="EMPLOYMENT EXPENSES","Selling Expenses",I309="EMPLOYMENT EXPENSES","Selling Expenses",I309="DIRECT EXPENSES","Selling Expenses",I309="INDIRECT EXPENSES","Selling Expenses"))</f>
        <v>#N/A</v>
      </c>
    </row>
    <row r="310" spans="1:18" x14ac:dyDescent="0.2">
      <c r="A310" s="75">
        <v>3060</v>
      </c>
      <c r="B310" s="76" t="s">
        <v>77</v>
      </c>
      <c r="C310" s="76">
        <v>210</v>
      </c>
      <c r="D310" s="76" t="s">
        <v>436</v>
      </c>
      <c r="E310" s="76" t="s">
        <v>426</v>
      </c>
      <c r="F310" s="77">
        <v>-140647.32999999999</v>
      </c>
      <c r="G310" s="77">
        <v>-8390.3700000000008</v>
      </c>
      <c r="H310" s="77">
        <v>-149037.70000000001</v>
      </c>
      <c r="I310" s="76" t="s">
        <v>482</v>
      </c>
      <c r="J310" s="77">
        <v>-4737.8100000000004</v>
      </c>
      <c r="K310" s="78">
        <v>-106979.55</v>
      </c>
      <c r="M310" s="79" t="str">
        <f t="shared" si="14"/>
        <v>210-3060</v>
      </c>
      <c r="N310" s="79" t="str">
        <f t="shared" si="12"/>
        <v/>
      </c>
      <c r="O310" s="79" t="str">
        <f t="shared" si="13"/>
        <v>210</v>
      </c>
      <c r="P310" s="79" t="str">
        <f>IFERROR(VLOOKUP($M310,Export!$P:$R,2,FALSE),"-")</f>
        <v>New Vehicle</v>
      </c>
      <c r="Q310" s="79" t="str">
        <f>IFERROR(VLOOKUP($M310,Export!$P:$R,3,FALSE),"-")</f>
        <v>New VehicleDirect Delivery Fees (net)</v>
      </c>
      <c r="R310" s="80" t="e" cm="1">
        <f t="array" ref="R310">_xlfn.IFS(P310="Service", _xlfn.IFS(I310="SALES","GP",I310="SERVICE SALES","GP",I310="PARTS SALES","GP",I310="SERVICE COS","GP",I310="PARTS COS","GP",I310="SELLING EXPENSES","Selling Expenses",I310="EMPLOYMENT EXPENSES","Selling Expenses",I310="EMPLOYMENT EXPENSES","Selling Expenses",I310="DIRECT EXPENSES","Selling Expenses",I310="INDIRECT EXPENSES","Selling Expenses"),P310="Parts",_xlfn.IFS(I310="SALES","GP",I310="SERVICE SALES","GP",I310="PARTS SALES","GP",I310="SERVICE COS","GP",I310="PARTS COS","GP",I310="SELLING EXPENSES","Selling Expenses",I310="EMPLOYMENT EXPENSES","Selling Expenses",I310="EMPLOYMENT EXPENSES","Selling Expenses",I310="DIRECT EXPENSES","Selling Expenses",I310="INDIRECT EXPENSES","Selling Expenses"))</f>
        <v>#N/A</v>
      </c>
    </row>
    <row r="311" spans="1:18" x14ac:dyDescent="0.2">
      <c r="A311" s="75" t="s">
        <v>548</v>
      </c>
      <c r="B311" s="76" t="s">
        <v>549</v>
      </c>
      <c r="C311" s="76">
        <v>112</v>
      </c>
      <c r="D311" s="76" t="s">
        <v>349</v>
      </c>
      <c r="E311" s="76" t="s">
        <v>426</v>
      </c>
      <c r="F311" s="77">
        <v>-6023484.3899999997</v>
      </c>
      <c r="G311" s="77">
        <v>-825706.8</v>
      </c>
      <c r="H311" s="77">
        <v>-6849191.1900000004</v>
      </c>
      <c r="I311" s="76" t="s">
        <v>482</v>
      </c>
      <c r="J311" s="77">
        <v>0</v>
      </c>
      <c r="K311" s="78">
        <v>-563182.61</v>
      </c>
      <c r="M311" s="79" t="str">
        <f t="shared" si="14"/>
        <v>112-3061R</v>
      </c>
      <c r="N311" s="79" t="str">
        <f t="shared" si="12"/>
        <v/>
      </c>
      <c r="O311" s="79" t="str">
        <f t="shared" si="13"/>
        <v>112</v>
      </c>
      <c r="P311" s="79" t="str">
        <f>IFERROR(VLOOKUP($M311,Export!$P:$R,2,FALSE),"-")</f>
        <v>LEX New Vehicle</v>
      </c>
      <c r="Q311" s="79" t="str">
        <f>IFERROR(VLOOKUP($M311,Export!$P:$R,3,FALSE),"-")</f>
        <v>LEX New VehicleRetail Gross p.u.</v>
      </c>
      <c r="R311" s="80" t="e" cm="1">
        <f t="array" ref="R311">_xlfn.IFS(P311="Service", _xlfn.IFS(I311="SALES","GP",I311="SERVICE SALES","GP",I311="PARTS SALES","GP",I311="SERVICE COS","GP",I311="PARTS COS","GP",I311="SELLING EXPENSES","Selling Expenses",I311="EMPLOYMENT EXPENSES","Selling Expenses",I311="EMPLOYMENT EXPENSES","Selling Expenses",I311="DIRECT EXPENSES","Selling Expenses",I311="INDIRECT EXPENSES","Selling Expenses"),P311="Parts",_xlfn.IFS(I311="SALES","GP",I311="SERVICE SALES","GP",I311="PARTS SALES","GP",I311="SERVICE COS","GP",I311="PARTS COS","GP",I311="SELLING EXPENSES","Selling Expenses",I311="EMPLOYMENT EXPENSES","Selling Expenses",I311="EMPLOYMENT EXPENSES","Selling Expenses",I311="DIRECT EXPENSES","Selling Expenses",I311="INDIRECT EXPENSES","Selling Expenses"))</f>
        <v>#N/A</v>
      </c>
    </row>
    <row r="312" spans="1:18" x14ac:dyDescent="0.2">
      <c r="A312" s="75" t="s">
        <v>550</v>
      </c>
      <c r="B312" s="76" t="s">
        <v>551</v>
      </c>
      <c r="C312" s="76">
        <v>112</v>
      </c>
      <c r="D312" s="76" t="s">
        <v>349</v>
      </c>
      <c r="E312" s="76" t="s">
        <v>426</v>
      </c>
      <c r="F312" s="77">
        <v>50523.95</v>
      </c>
      <c r="G312" s="77">
        <v>21999.99</v>
      </c>
      <c r="H312" s="77">
        <v>72523.94</v>
      </c>
      <c r="I312" s="76" t="s">
        <v>482</v>
      </c>
      <c r="J312" s="77">
        <v>0</v>
      </c>
      <c r="K312" s="78">
        <v>27956.52</v>
      </c>
      <c r="M312" s="79" t="str">
        <f t="shared" si="14"/>
        <v>112-3061RD</v>
      </c>
      <c r="N312" s="79" t="str">
        <f t="shared" si="12"/>
        <v/>
      </c>
      <c r="O312" s="79" t="str">
        <f t="shared" si="13"/>
        <v>112</v>
      </c>
      <c r="P312" s="79" t="str">
        <f>IFERROR(VLOOKUP($M312,Export!$P:$R,2,FALSE),"-")</f>
        <v>LEX New Vehicle</v>
      </c>
      <c r="Q312" s="79" t="str">
        <f>IFERROR(VLOOKUP($M312,Export!$P:$R,3,FALSE),"-")</f>
        <v>LEX New VehicleRetail Gross p.u.</v>
      </c>
      <c r="R312" s="80" t="e" cm="1">
        <f t="array" ref="R312">_xlfn.IFS(P312="Service", _xlfn.IFS(I312="SALES","GP",I312="SERVICE SALES","GP",I312="PARTS SALES","GP",I312="SERVICE COS","GP",I312="PARTS COS","GP",I312="SELLING EXPENSES","Selling Expenses",I312="EMPLOYMENT EXPENSES","Selling Expenses",I312="EMPLOYMENT EXPENSES","Selling Expenses",I312="DIRECT EXPENSES","Selling Expenses",I312="INDIRECT EXPENSES","Selling Expenses"),P312="Parts",_xlfn.IFS(I312="SALES","GP",I312="SERVICE SALES","GP",I312="PARTS SALES","GP",I312="SERVICE COS","GP",I312="PARTS COS","GP",I312="SELLING EXPENSES","Selling Expenses",I312="EMPLOYMENT EXPENSES","Selling Expenses",I312="EMPLOYMENT EXPENSES","Selling Expenses",I312="DIRECT EXPENSES","Selling Expenses",I312="INDIRECT EXPENSES","Selling Expenses"))</f>
        <v>#N/A</v>
      </c>
    </row>
    <row r="313" spans="1:18" x14ac:dyDescent="0.2">
      <c r="A313" s="75" t="s">
        <v>552</v>
      </c>
      <c r="B313" s="76" t="s">
        <v>553</v>
      </c>
      <c r="C313" s="76">
        <v>112</v>
      </c>
      <c r="D313" s="76" t="s">
        <v>349</v>
      </c>
      <c r="E313" s="76" t="s">
        <v>426</v>
      </c>
      <c r="F313" s="77">
        <v>-56513.04</v>
      </c>
      <c r="G313" s="77">
        <v>0</v>
      </c>
      <c r="H313" s="77">
        <v>-56513.04</v>
      </c>
      <c r="I313" s="76" t="s">
        <v>482</v>
      </c>
      <c r="J313" s="77">
        <v>0</v>
      </c>
      <c r="K313" s="78">
        <v>0</v>
      </c>
      <c r="M313" s="79" t="str">
        <f t="shared" si="14"/>
        <v>112-3063R</v>
      </c>
      <c r="N313" s="79" t="str">
        <f t="shared" si="12"/>
        <v/>
      </c>
      <c r="O313" s="79" t="str">
        <f t="shared" si="13"/>
        <v>112</v>
      </c>
      <c r="P313" s="79" t="str">
        <f>IFERROR(VLOOKUP($M313,Export!$P:$R,2,FALSE),"-")</f>
        <v>LEX New Vehicle</v>
      </c>
      <c r="Q313" s="79" t="str">
        <f>IFERROR(VLOOKUP($M313,Export!$P:$R,3,FALSE),"-")</f>
        <v>LEX New VehicleRetail Gross p.u.</v>
      </c>
      <c r="R313" s="80" t="e" cm="1">
        <f t="array" ref="R313">_xlfn.IFS(P313="Service", _xlfn.IFS(I313="SALES","GP",I313="SERVICE SALES","GP",I313="PARTS SALES","GP",I313="SERVICE COS","GP",I313="PARTS COS","GP",I313="SELLING EXPENSES","Selling Expenses",I313="EMPLOYMENT EXPENSES","Selling Expenses",I313="EMPLOYMENT EXPENSES","Selling Expenses",I313="DIRECT EXPENSES","Selling Expenses",I313="INDIRECT EXPENSES","Selling Expenses"),P313="Parts",_xlfn.IFS(I313="SALES","GP",I313="SERVICE SALES","GP",I313="PARTS SALES","GP",I313="SERVICE COS","GP",I313="PARTS COS","GP",I313="SELLING EXPENSES","Selling Expenses",I313="EMPLOYMENT EXPENSES","Selling Expenses",I313="EMPLOYMENT EXPENSES","Selling Expenses",I313="DIRECT EXPENSES","Selling Expenses",I313="INDIRECT EXPENSES","Selling Expenses"))</f>
        <v>#N/A</v>
      </c>
    </row>
    <row r="314" spans="1:18" x14ac:dyDescent="0.2">
      <c r="A314" s="75" t="s">
        <v>554</v>
      </c>
      <c r="B314" s="76" t="s">
        <v>555</v>
      </c>
      <c r="C314" s="76">
        <v>112</v>
      </c>
      <c r="D314" s="76" t="s">
        <v>349</v>
      </c>
      <c r="E314" s="76" t="s">
        <v>426</v>
      </c>
      <c r="F314" s="77">
        <v>869.57</v>
      </c>
      <c r="G314" s="77">
        <v>0</v>
      </c>
      <c r="H314" s="77">
        <v>869.57</v>
      </c>
      <c r="I314" s="76" t="s">
        <v>482</v>
      </c>
      <c r="J314" s="77">
        <v>0</v>
      </c>
      <c r="K314" s="78">
        <v>0</v>
      </c>
      <c r="M314" s="79" t="str">
        <f t="shared" si="14"/>
        <v>112-3063RD</v>
      </c>
      <c r="N314" s="79" t="str">
        <f t="shared" si="12"/>
        <v/>
      </c>
      <c r="O314" s="79" t="str">
        <f t="shared" si="13"/>
        <v>112</v>
      </c>
      <c r="P314" s="79" t="str">
        <f>IFERROR(VLOOKUP($M314,Export!$P:$R,2,FALSE),"-")</f>
        <v>LEX New Vehicle</v>
      </c>
      <c r="Q314" s="79" t="str">
        <f>IFERROR(VLOOKUP($M314,Export!$P:$R,3,FALSE),"-")</f>
        <v>LEX New VehicleRetail Gross p.u.</v>
      </c>
      <c r="R314" s="80" t="e" cm="1">
        <f t="array" ref="R314">_xlfn.IFS(P314="Service", _xlfn.IFS(I314="SALES","GP",I314="SERVICE SALES","GP",I314="PARTS SALES","GP",I314="SERVICE COS","GP",I314="PARTS COS","GP",I314="SELLING EXPENSES","Selling Expenses",I314="EMPLOYMENT EXPENSES","Selling Expenses",I314="EMPLOYMENT EXPENSES","Selling Expenses",I314="DIRECT EXPENSES","Selling Expenses",I314="INDIRECT EXPENSES","Selling Expenses"),P314="Parts",_xlfn.IFS(I314="SALES","GP",I314="SERVICE SALES","GP",I314="PARTS SALES","GP",I314="SERVICE COS","GP",I314="PARTS COS","GP",I314="SELLING EXPENSES","Selling Expenses",I314="EMPLOYMENT EXPENSES","Selling Expenses",I314="EMPLOYMENT EXPENSES","Selling Expenses",I314="DIRECT EXPENSES","Selling Expenses",I314="INDIRECT EXPENSES","Selling Expenses"))</f>
        <v>#N/A</v>
      </c>
    </row>
    <row r="315" spans="1:18" x14ac:dyDescent="0.2">
      <c r="A315" s="75" t="s">
        <v>556</v>
      </c>
      <c r="B315" s="76" t="s">
        <v>557</v>
      </c>
      <c r="C315" s="76">
        <v>112</v>
      </c>
      <c r="D315" s="76" t="s">
        <v>349</v>
      </c>
      <c r="E315" s="76" t="s">
        <v>426</v>
      </c>
      <c r="F315" s="77">
        <v>-52165.22</v>
      </c>
      <c r="G315" s="77">
        <v>0</v>
      </c>
      <c r="H315" s="77">
        <v>-52165.22</v>
      </c>
      <c r="I315" s="76" t="s">
        <v>482</v>
      </c>
      <c r="J315" s="77">
        <v>0</v>
      </c>
      <c r="K315" s="78">
        <v>0</v>
      </c>
      <c r="M315" s="79" t="str">
        <f t="shared" si="14"/>
        <v>112-3064R</v>
      </c>
      <c r="N315" s="79" t="str">
        <f t="shared" si="12"/>
        <v/>
      </c>
      <c r="O315" s="79" t="str">
        <f t="shared" si="13"/>
        <v>112</v>
      </c>
      <c r="P315" s="79" t="str">
        <f>IFERROR(VLOOKUP($M315,Export!$P:$R,2,FALSE),"-")</f>
        <v>LEX New Vehicle</v>
      </c>
      <c r="Q315" s="79" t="str">
        <f>IFERROR(VLOOKUP($M315,Export!$P:$R,3,FALSE),"-")</f>
        <v>LEX New VehicleRetail Gross p.u.</v>
      </c>
      <c r="R315" s="80" t="e" cm="1">
        <f t="array" ref="R315">_xlfn.IFS(P315="Service", _xlfn.IFS(I315="SALES","GP",I315="SERVICE SALES","GP",I315="PARTS SALES","GP",I315="SERVICE COS","GP",I315="PARTS COS","GP",I315="SELLING EXPENSES","Selling Expenses",I315="EMPLOYMENT EXPENSES","Selling Expenses",I315="EMPLOYMENT EXPENSES","Selling Expenses",I315="DIRECT EXPENSES","Selling Expenses",I315="INDIRECT EXPENSES","Selling Expenses"),P315="Parts",_xlfn.IFS(I315="SALES","GP",I315="SERVICE SALES","GP",I315="PARTS SALES","GP",I315="SERVICE COS","GP",I315="PARTS COS","GP",I315="SELLING EXPENSES","Selling Expenses",I315="EMPLOYMENT EXPENSES","Selling Expenses",I315="EMPLOYMENT EXPENSES","Selling Expenses",I315="DIRECT EXPENSES","Selling Expenses",I315="INDIRECT EXPENSES","Selling Expenses"))</f>
        <v>#N/A</v>
      </c>
    </row>
    <row r="316" spans="1:18" x14ac:dyDescent="0.2">
      <c r="A316" s="75" t="s">
        <v>558</v>
      </c>
      <c r="B316" s="76" t="s">
        <v>559</v>
      </c>
      <c r="C316" s="76">
        <v>112</v>
      </c>
      <c r="D316" s="76" t="s">
        <v>349</v>
      </c>
      <c r="E316" s="76" t="s">
        <v>426</v>
      </c>
      <c r="F316" s="77">
        <v>426.09</v>
      </c>
      <c r="G316" s="77">
        <v>0</v>
      </c>
      <c r="H316" s="77">
        <v>426.09</v>
      </c>
      <c r="I316" s="76" t="s">
        <v>482</v>
      </c>
      <c r="J316" s="77">
        <v>0</v>
      </c>
      <c r="K316" s="78">
        <v>0</v>
      </c>
      <c r="M316" s="79" t="str">
        <f t="shared" si="14"/>
        <v>112-3064RD</v>
      </c>
      <c r="N316" s="79" t="str">
        <f t="shared" si="12"/>
        <v/>
      </c>
      <c r="O316" s="79" t="str">
        <f t="shared" si="13"/>
        <v>112</v>
      </c>
      <c r="P316" s="79" t="str">
        <f>IFERROR(VLOOKUP($M316,Export!$P:$R,2,FALSE),"-")</f>
        <v>LEX New Vehicle</v>
      </c>
      <c r="Q316" s="79" t="str">
        <f>IFERROR(VLOOKUP($M316,Export!$P:$R,3,FALSE),"-")</f>
        <v>LEX New VehicleRetail Gross p.u.</v>
      </c>
      <c r="R316" s="80" t="e" cm="1">
        <f t="array" ref="R316">_xlfn.IFS(P316="Service", _xlfn.IFS(I316="SALES","GP",I316="SERVICE SALES","GP",I316="PARTS SALES","GP",I316="SERVICE COS","GP",I316="PARTS COS","GP",I316="SELLING EXPENSES","Selling Expenses",I316="EMPLOYMENT EXPENSES","Selling Expenses",I316="EMPLOYMENT EXPENSES","Selling Expenses",I316="DIRECT EXPENSES","Selling Expenses",I316="INDIRECT EXPENSES","Selling Expenses"),P316="Parts",_xlfn.IFS(I316="SALES","GP",I316="SERVICE SALES","GP",I316="PARTS SALES","GP",I316="SERVICE COS","GP",I316="PARTS COS","GP",I316="SELLING EXPENSES","Selling Expenses",I316="EMPLOYMENT EXPENSES","Selling Expenses",I316="EMPLOYMENT EXPENSES","Selling Expenses",I316="DIRECT EXPENSES","Selling Expenses",I316="INDIRECT EXPENSES","Selling Expenses"))</f>
        <v>#N/A</v>
      </c>
    </row>
    <row r="317" spans="1:18" x14ac:dyDescent="0.2">
      <c r="A317" s="75" t="s">
        <v>560</v>
      </c>
      <c r="B317" s="76" t="s">
        <v>561</v>
      </c>
      <c r="C317" s="76">
        <v>112</v>
      </c>
      <c r="D317" s="76" t="s">
        <v>349</v>
      </c>
      <c r="E317" s="76" t="s">
        <v>426</v>
      </c>
      <c r="F317" s="77">
        <v>-3827818.5</v>
      </c>
      <c r="G317" s="77">
        <v>-57739.27</v>
      </c>
      <c r="H317" s="77">
        <v>-3885557.77</v>
      </c>
      <c r="I317" s="76" t="s">
        <v>482</v>
      </c>
      <c r="J317" s="77">
        <v>-126800</v>
      </c>
      <c r="K317" s="78">
        <v>-1387686.95</v>
      </c>
      <c r="M317" s="79" t="str">
        <f t="shared" si="14"/>
        <v>112-3070R</v>
      </c>
      <c r="N317" s="79" t="str">
        <f t="shared" si="12"/>
        <v/>
      </c>
      <c r="O317" s="79" t="str">
        <f t="shared" si="13"/>
        <v>112</v>
      </c>
      <c r="P317" s="79" t="str">
        <f>IFERROR(VLOOKUP($M317,Export!$P:$R,2,FALSE),"-")</f>
        <v>LEX New Vehicle</v>
      </c>
      <c r="Q317" s="79" t="str">
        <f>IFERROR(VLOOKUP($M317,Export!$P:$R,3,FALSE),"-")</f>
        <v>LEX New VehicleRetail Gross p.u.</v>
      </c>
      <c r="R317" s="80" t="e" cm="1">
        <f t="array" ref="R317">_xlfn.IFS(P317="Service", _xlfn.IFS(I317="SALES","GP",I317="SERVICE SALES","GP",I317="PARTS SALES","GP",I317="SERVICE COS","GP",I317="PARTS COS","GP",I317="SELLING EXPENSES","Selling Expenses",I317="EMPLOYMENT EXPENSES","Selling Expenses",I317="EMPLOYMENT EXPENSES","Selling Expenses",I317="DIRECT EXPENSES","Selling Expenses",I317="INDIRECT EXPENSES","Selling Expenses"),P317="Parts",_xlfn.IFS(I317="SALES","GP",I317="SERVICE SALES","GP",I317="PARTS SALES","GP",I317="SERVICE COS","GP",I317="PARTS COS","GP",I317="SELLING EXPENSES","Selling Expenses",I317="EMPLOYMENT EXPENSES","Selling Expenses",I317="EMPLOYMENT EXPENSES","Selling Expenses",I317="DIRECT EXPENSES","Selling Expenses",I317="INDIRECT EXPENSES","Selling Expenses"))</f>
        <v>#N/A</v>
      </c>
    </row>
    <row r="318" spans="1:18" x14ac:dyDescent="0.2">
      <c r="A318" s="75" t="s">
        <v>562</v>
      </c>
      <c r="B318" s="76" t="s">
        <v>563</v>
      </c>
      <c r="C318" s="76">
        <v>112</v>
      </c>
      <c r="D318" s="76" t="s">
        <v>349</v>
      </c>
      <c r="E318" s="76" t="s">
        <v>426</v>
      </c>
      <c r="F318" s="77">
        <v>102009.23</v>
      </c>
      <c r="G318" s="77">
        <v>3913.04</v>
      </c>
      <c r="H318" s="77">
        <v>105922.27</v>
      </c>
      <c r="I318" s="76" t="s">
        <v>482</v>
      </c>
      <c r="J318" s="77">
        <v>2400</v>
      </c>
      <c r="K318" s="78">
        <v>26365.23</v>
      </c>
      <c r="M318" s="79" t="str">
        <f t="shared" si="14"/>
        <v>112-3070RD</v>
      </c>
      <c r="N318" s="79" t="str">
        <f t="shared" si="12"/>
        <v/>
      </c>
      <c r="O318" s="79" t="str">
        <f t="shared" si="13"/>
        <v>112</v>
      </c>
      <c r="P318" s="79" t="str">
        <f>IFERROR(VLOOKUP($M318,Export!$P:$R,2,FALSE),"-")</f>
        <v>LEX New Vehicle</v>
      </c>
      <c r="Q318" s="79" t="str">
        <f>IFERROR(VLOOKUP($M318,Export!$P:$R,3,FALSE),"-")</f>
        <v>LEX New VehicleRetail Gross p.u.</v>
      </c>
      <c r="R318" s="80" t="e" cm="1">
        <f t="array" ref="R318">_xlfn.IFS(P318="Service", _xlfn.IFS(I318="SALES","GP",I318="SERVICE SALES","GP",I318="PARTS SALES","GP",I318="SERVICE COS","GP",I318="PARTS COS","GP",I318="SELLING EXPENSES","Selling Expenses",I318="EMPLOYMENT EXPENSES","Selling Expenses",I318="EMPLOYMENT EXPENSES","Selling Expenses",I318="DIRECT EXPENSES","Selling Expenses",I318="INDIRECT EXPENSES","Selling Expenses"),P318="Parts",_xlfn.IFS(I318="SALES","GP",I318="SERVICE SALES","GP",I318="PARTS SALES","GP",I318="SERVICE COS","GP",I318="PARTS COS","GP",I318="SELLING EXPENSES","Selling Expenses",I318="EMPLOYMENT EXPENSES","Selling Expenses",I318="EMPLOYMENT EXPENSES","Selling Expenses",I318="DIRECT EXPENSES","Selling Expenses",I318="INDIRECT EXPENSES","Selling Expenses"))</f>
        <v>#N/A</v>
      </c>
    </row>
    <row r="319" spans="1:18" x14ac:dyDescent="0.2">
      <c r="A319" s="75" t="s">
        <v>564</v>
      </c>
      <c r="B319" s="76" t="s">
        <v>565</v>
      </c>
      <c r="C319" s="76">
        <v>112</v>
      </c>
      <c r="D319" s="76" t="s">
        <v>349</v>
      </c>
      <c r="E319" s="76" t="s">
        <v>426</v>
      </c>
      <c r="F319" s="77">
        <v>-1268373.8899999999</v>
      </c>
      <c r="G319" s="77">
        <v>-56521.74</v>
      </c>
      <c r="H319" s="77">
        <v>-1324895.6299999999</v>
      </c>
      <c r="I319" s="76" t="s">
        <v>482</v>
      </c>
      <c r="J319" s="77">
        <v>0</v>
      </c>
      <c r="K319" s="78">
        <v>-545033.9</v>
      </c>
      <c r="M319" s="79" t="str">
        <f t="shared" si="14"/>
        <v>112-3071R</v>
      </c>
      <c r="N319" s="79" t="str">
        <f t="shared" si="12"/>
        <v/>
      </c>
      <c r="O319" s="79" t="str">
        <f t="shared" si="13"/>
        <v>112</v>
      </c>
      <c r="P319" s="79" t="str">
        <f>IFERROR(VLOOKUP($M319,Export!$P:$R,2,FALSE),"-")</f>
        <v>LEX New Vehicle</v>
      </c>
      <c r="Q319" s="79" t="str">
        <f>IFERROR(VLOOKUP($M319,Export!$P:$R,3,FALSE),"-")</f>
        <v>LEX New VehicleRetail Gross p.u.</v>
      </c>
      <c r="R319" s="80" t="e" cm="1">
        <f t="array" ref="R319">_xlfn.IFS(P319="Service", _xlfn.IFS(I319="SALES","GP",I319="SERVICE SALES","GP",I319="PARTS SALES","GP",I319="SERVICE COS","GP",I319="PARTS COS","GP",I319="SELLING EXPENSES","Selling Expenses",I319="EMPLOYMENT EXPENSES","Selling Expenses",I319="EMPLOYMENT EXPENSES","Selling Expenses",I319="DIRECT EXPENSES","Selling Expenses",I319="INDIRECT EXPENSES","Selling Expenses"),P319="Parts",_xlfn.IFS(I319="SALES","GP",I319="SERVICE SALES","GP",I319="PARTS SALES","GP",I319="SERVICE COS","GP",I319="PARTS COS","GP",I319="SELLING EXPENSES","Selling Expenses",I319="EMPLOYMENT EXPENSES","Selling Expenses",I319="EMPLOYMENT EXPENSES","Selling Expenses",I319="DIRECT EXPENSES","Selling Expenses",I319="INDIRECT EXPENSES","Selling Expenses"))</f>
        <v>#N/A</v>
      </c>
    </row>
    <row r="320" spans="1:18" x14ac:dyDescent="0.2">
      <c r="A320" s="75" t="s">
        <v>566</v>
      </c>
      <c r="B320" s="76" t="s">
        <v>567</v>
      </c>
      <c r="C320" s="76">
        <v>112</v>
      </c>
      <c r="D320" s="76" t="s">
        <v>349</v>
      </c>
      <c r="E320" s="76" t="s">
        <v>426</v>
      </c>
      <c r="F320" s="77">
        <v>31029.13</v>
      </c>
      <c r="G320" s="77">
        <v>0</v>
      </c>
      <c r="H320" s="77">
        <v>31029.13</v>
      </c>
      <c r="I320" s="76" t="s">
        <v>482</v>
      </c>
      <c r="J320" s="77">
        <v>0</v>
      </c>
      <c r="K320" s="78">
        <v>7217.39</v>
      </c>
      <c r="M320" s="79" t="str">
        <f t="shared" si="14"/>
        <v>112-3071RD</v>
      </c>
      <c r="N320" s="79" t="str">
        <f t="shared" si="12"/>
        <v/>
      </c>
      <c r="O320" s="79" t="str">
        <f t="shared" si="13"/>
        <v>112</v>
      </c>
      <c r="P320" s="79" t="str">
        <f>IFERROR(VLOOKUP($M320,Export!$P:$R,2,FALSE),"-")</f>
        <v>LEX New Vehicle</v>
      </c>
      <c r="Q320" s="79" t="str">
        <f>IFERROR(VLOOKUP($M320,Export!$P:$R,3,FALSE),"-")</f>
        <v>LEX New VehicleRetail Gross p.u.</v>
      </c>
      <c r="R320" s="80" t="e" cm="1">
        <f t="array" ref="R320">_xlfn.IFS(P320="Service", _xlfn.IFS(I320="SALES","GP",I320="SERVICE SALES","GP",I320="PARTS SALES","GP",I320="SERVICE COS","GP",I320="PARTS COS","GP",I320="SELLING EXPENSES","Selling Expenses",I320="EMPLOYMENT EXPENSES","Selling Expenses",I320="EMPLOYMENT EXPENSES","Selling Expenses",I320="DIRECT EXPENSES","Selling Expenses",I320="INDIRECT EXPENSES","Selling Expenses"),P320="Parts",_xlfn.IFS(I320="SALES","GP",I320="SERVICE SALES","GP",I320="PARTS SALES","GP",I320="SERVICE COS","GP",I320="PARTS COS","GP",I320="SELLING EXPENSES","Selling Expenses",I320="EMPLOYMENT EXPENSES","Selling Expenses",I320="EMPLOYMENT EXPENSES","Selling Expenses",I320="DIRECT EXPENSES","Selling Expenses",I320="INDIRECT EXPENSES","Selling Expenses"))</f>
        <v>#N/A</v>
      </c>
    </row>
    <row r="321" spans="1:18" x14ac:dyDescent="0.2">
      <c r="A321" s="75" t="s">
        <v>568</v>
      </c>
      <c r="B321" s="76" t="s">
        <v>569</v>
      </c>
      <c r="C321" s="76">
        <v>112</v>
      </c>
      <c r="D321" s="76" t="s">
        <v>349</v>
      </c>
      <c r="E321" s="76" t="s">
        <v>426</v>
      </c>
      <c r="F321" s="77">
        <v>-2445026.91</v>
      </c>
      <c r="G321" s="77">
        <v>0</v>
      </c>
      <c r="H321" s="77">
        <v>-2445026.91</v>
      </c>
      <c r="I321" s="76" t="s">
        <v>482</v>
      </c>
      <c r="J321" s="77">
        <v>0</v>
      </c>
      <c r="K321" s="78">
        <v>0</v>
      </c>
      <c r="M321" s="79" t="str">
        <f t="shared" si="14"/>
        <v>112-3074R</v>
      </c>
      <c r="N321" s="79" t="str">
        <f t="shared" si="12"/>
        <v/>
      </c>
      <c r="O321" s="79" t="str">
        <f t="shared" si="13"/>
        <v>112</v>
      </c>
      <c r="P321" s="79" t="str">
        <f>IFERROR(VLOOKUP($M321,Export!$P:$R,2,FALSE),"-")</f>
        <v>LEX New Vehicle</v>
      </c>
      <c r="Q321" s="79" t="str">
        <f>IFERROR(VLOOKUP($M321,Export!$P:$R,3,FALSE),"-")</f>
        <v>LEX New VehicleRetail Gross p.u.</v>
      </c>
      <c r="R321" s="80" t="e" cm="1">
        <f t="array" ref="R321">_xlfn.IFS(P321="Service", _xlfn.IFS(I321="SALES","GP",I321="SERVICE SALES","GP",I321="PARTS SALES","GP",I321="SERVICE COS","GP",I321="PARTS COS","GP",I321="SELLING EXPENSES","Selling Expenses",I321="EMPLOYMENT EXPENSES","Selling Expenses",I321="EMPLOYMENT EXPENSES","Selling Expenses",I321="DIRECT EXPENSES","Selling Expenses",I321="INDIRECT EXPENSES","Selling Expenses"),P321="Parts",_xlfn.IFS(I321="SALES","GP",I321="SERVICE SALES","GP",I321="PARTS SALES","GP",I321="SERVICE COS","GP",I321="PARTS COS","GP",I321="SELLING EXPENSES","Selling Expenses",I321="EMPLOYMENT EXPENSES","Selling Expenses",I321="EMPLOYMENT EXPENSES","Selling Expenses",I321="DIRECT EXPENSES","Selling Expenses",I321="INDIRECT EXPENSES","Selling Expenses"))</f>
        <v>#N/A</v>
      </c>
    </row>
    <row r="322" spans="1:18" x14ac:dyDescent="0.2">
      <c r="A322" s="75" t="s">
        <v>570</v>
      </c>
      <c r="B322" s="76" t="s">
        <v>571</v>
      </c>
      <c r="C322" s="76">
        <v>112</v>
      </c>
      <c r="D322" s="76" t="s">
        <v>349</v>
      </c>
      <c r="E322" s="76" t="s">
        <v>426</v>
      </c>
      <c r="F322" s="77">
        <v>40357.81</v>
      </c>
      <c r="G322" s="77">
        <v>0</v>
      </c>
      <c r="H322" s="77">
        <v>40357.81</v>
      </c>
      <c r="I322" s="76" t="s">
        <v>482</v>
      </c>
      <c r="J322" s="77">
        <v>0</v>
      </c>
      <c r="K322" s="78">
        <v>0</v>
      </c>
      <c r="M322" s="79" t="str">
        <f t="shared" si="14"/>
        <v>112-3074RD</v>
      </c>
      <c r="N322" s="79" t="str">
        <f t="shared" ref="N322:N385" si="15">+IF(RIGHT(A322,1)="#","#","")</f>
        <v/>
      </c>
      <c r="O322" s="79" t="str">
        <f t="shared" ref="O322:O385" si="16">+C322&amp;N322</f>
        <v>112</v>
      </c>
      <c r="P322" s="79" t="str">
        <f>IFERROR(VLOOKUP($M322,Export!$P:$R,2,FALSE),"-")</f>
        <v>LEX New Vehicle</v>
      </c>
      <c r="Q322" s="79" t="str">
        <f>IFERROR(VLOOKUP($M322,Export!$P:$R,3,FALSE),"-")</f>
        <v>LEX New VehicleRetail Gross p.u.</v>
      </c>
      <c r="R322" s="80" t="e" cm="1">
        <f t="array" ref="R322">_xlfn.IFS(P322="Service", _xlfn.IFS(I322="SALES","GP",I322="SERVICE SALES","GP",I322="PARTS SALES","GP",I322="SERVICE COS","GP",I322="PARTS COS","GP",I322="SELLING EXPENSES","Selling Expenses",I322="EMPLOYMENT EXPENSES","Selling Expenses",I322="EMPLOYMENT EXPENSES","Selling Expenses",I322="DIRECT EXPENSES","Selling Expenses",I322="INDIRECT EXPENSES","Selling Expenses"),P322="Parts",_xlfn.IFS(I322="SALES","GP",I322="SERVICE SALES","GP",I322="PARTS SALES","GP",I322="SERVICE COS","GP",I322="PARTS COS","GP",I322="SELLING EXPENSES","Selling Expenses",I322="EMPLOYMENT EXPENSES","Selling Expenses",I322="EMPLOYMENT EXPENSES","Selling Expenses",I322="DIRECT EXPENSES","Selling Expenses",I322="INDIRECT EXPENSES","Selling Expenses"))</f>
        <v>#N/A</v>
      </c>
    </row>
    <row r="323" spans="1:18" x14ac:dyDescent="0.2">
      <c r="A323" s="75" t="s">
        <v>572</v>
      </c>
      <c r="B323" s="76" t="s">
        <v>573</v>
      </c>
      <c r="C323" s="76">
        <v>100</v>
      </c>
      <c r="D323" s="76" t="s">
        <v>227</v>
      </c>
      <c r="E323" s="76" t="s">
        <v>426</v>
      </c>
      <c r="F323" s="77">
        <v>-6111</v>
      </c>
      <c r="G323" s="77">
        <v>-2301.29</v>
      </c>
      <c r="H323" s="77">
        <v>-8412.2900000000009</v>
      </c>
      <c r="I323" s="76" t="s">
        <v>482</v>
      </c>
      <c r="J323" s="77">
        <v>0</v>
      </c>
      <c r="K323" s="78">
        <v>-3878</v>
      </c>
      <c r="M323" s="79" t="str">
        <f t="shared" ref="M323:M386" si="17">+C323&amp;"-"&amp;A323</f>
        <v>100-3075R</v>
      </c>
      <c r="N323" s="79" t="str">
        <f t="shared" si="15"/>
        <v/>
      </c>
      <c r="O323" s="79" t="str">
        <f t="shared" si="16"/>
        <v>100</v>
      </c>
      <c r="P323" s="79" t="str">
        <f>IFERROR(VLOOKUP($M323,Export!$P:$R,2,FALSE),"-")</f>
        <v>New Vehicle</v>
      </c>
      <c r="Q323" s="79" t="str">
        <f>IFERROR(VLOOKUP($M323,Export!$P:$R,3,FALSE),"-")</f>
        <v>New VehicleOther Income per NV unit</v>
      </c>
      <c r="R323" s="80" t="e" cm="1">
        <f t="array" ref="R323">_xlfn.IFS(P323="Service", _xlfn.IFS(I323="SALES","GP",I323="SERVICE SALES","GP",I323="PARTS SALES","GP",I323="SERVICE COS","GP",I323="PARTS COS","GP",I323="SELLING EXPENSES","Selling Expenses",I323="EMPLOYMENT EXPENSES","Selling Expenses",I323="EMPLOYMENT EXPENSES","Selling Expenses",I323="DIRECT EXPENSES","Selling Expenses",I323="INDIRECT EXPENSES","Selling Expenses"),P323="Parts",_xlfn.IFS(I323="SALES","GP",I323="SERVICE SALES","GP",I323="PARTS SALES","GP",I323="SERVICE COS","GP",I323="PARTS COS","GP",I323="SELLING EXPENSES","Selling Expenses",I323="EMPLOYMENT EXPENSES","Selling Expenses",I323="EMPLOYMENT EXPENSES","Selling Expenses",I323="DIRECT EXPENSES","Selling Expenses",I323="INDIRECT EXPENSES","Selling Expenses"))</f>
        <v>#N/A</v>
      </c>
    </row>
    <row r="324" spans="1:18" x14ac:dyDescent="0.2">
      <c r="A324" s="75" t="s">
        <v>572</v>
      </c>
      <c r="B324" s="76" t="s">
        <v>573</v>
      </c>
      <c r="C324" s="76">
        <v>110</v>
      </c>
      <c r="D324" s="76" t="s">
        <v>430</v>
      </c>
      <c r="E324" s="76" t="s">
        <v>426</v>
      </c>
      <c r="F324" s="77">
        <v>-126947.83</v>
      </c>
      <c r="G324" s="77">
        <v>0</v>
      </c>
      <c r="H324" s="77">
        <v>-126947.83</v>
      </c>
      <c r="I324" s="76" t="s">
        <v>482</v>
      </c>
      <c r="J324" s="77">
        <v>0</v>
      </c>
      <c r="K324" s="78">
        <v>0</v>
      </c>
      <c r="M324" s="79" t="str">
        <f t="shared" si="17"/>
        <v>110-3075R</v>
      </c>
      <c r="N324" s="79" t="str">
        <f t="shared" si="15"/>
        <v/>
      </c>
      <c r="O324" s="79" t="str">
        <f t="shared" si="16"/>
        <v>110</v>
      </c>
      <c r="P324" s="79" t="str">
        <f>IFERROR(VLOOKUP($M324,Export!$P:$R,2,FALSE),"-")</f>
        <v>Used Vehicle</v>
      </c>
      <c r="Q324" s="79" t="str">
        <f>IFERROR(VLOOKUP($M324,Export!$P:$R,3,FALSE),"-")</f>
        <v>Used VehicleEx NV demonstrators gross profit p.u.</v>
      </c>
      <c r="R324" s="80" t="e" cm="1">
        <f t="array" ref="R324">_xlfn.IFS(P324="Service", _xlfn.IFS(I324="SALES","GP",I324="SERVICE SALES","GP",I324="PARTS SALES","GP",I324="SERVICE COS","GP",I324="PARTS COS","GP",I324="SELLING EXPENSES","Selling Expenses",I324="EMPLOYMENT EXPENSES","Selling Expenses",I324="EMPLOYMENT EXPENSES","Selling Expenses",I324="DIRECT EXPENSES","Selling Expenses",I324="INDIRECT EXPENSES","Selling Expenses"),P324="Parts",_xlfn.IFS(I324="SALES","GP",I324="SERVICE SALES","GP",I324="PARTS SALES","GP",I324="SERVICE COS","GP",I324="PARTS COS","GP",I324="SELLING EXPENSES","Selling Expenses",I324="EMPLOYMENT EXPENSES","Selling Expenses",I324="EMPLOYMENT EXPENSES","Selling Expenses",I324="DIRECT EXPENSES","Selling Expenses",I324="INDIRECT EXPENSES","Selling Expenses"))</f>
        <v>#N/A</v>
      </c>
    </row>
    <row r="325" spans="1:18" x14ac:dyDescent="0.2">
      <c r="A325" s="75" t="s">
        <v>572</v>
      </c>
      <c r="B325" s="76" t="s">
        <v>573</v>
      </c>
      <c r="C325" s="76">
        <v>200</v>
      </c>
      <c r="D325" s="76" t="s">
        <v>428</v>
      </c>
      <c r="E325" s="76" t="s">
        <v>426</v>
      </c>
      <c r="F325" s="77">
        <v>-14963.93</v>
      </c>
      <c r="G325" s="77">
        <v>-3083.24</v>
      </c>
      <c r="H325" s="77">
        <v>-18047.169999999998</v>
      </c>
      <c r="I325" s="76" t="s">
        <v>482</v>
      </c>
      <c r="J325" s="77">
        <v>0</v>
      </c>
      <c r="K325" s="78">
        <v>-300</v>
      </c>
      <c r="M325" s="79" t="str">
        <f t="shared" si="17"/>
        <v>200-3075R</v>
      </c>
      <c r="N325" s="79" t="str">
        <f t="shared" si="15"/>
        <v/>
      </c>
      <c r="O325" s="79" t="str">
        <f t="shared" si="16"/>
        <v>200</v>
      </c>
      <c r="P325" s="79" t="str">
        <f>IFERROR(VLOOKUP($M325,Export!$P:$R,2,FALSE),"-")</f>
        <v>New Vehicle</v>
      </c>
      <c r="Q325" s="79" t="str">
        <f>IFERROR(VLOOKUP($M325,Export!$P:$R,3,FALSE),"-")</f>
        <v>New VehicleOther Income per NV unit</v>
      </c>
      <c r="R325" s="80" t="e" cm="1">
        <f t="array" ref="R325">_xlfn.IFS(P325="Service", _xlfn.IFS(I325="SALES","GP",I325="SERVICE SALES","GP",I325="PARTS SALES","GP",I325="SERVICE COS","GP",I325="PARTS COS","GP",I325="SELLING EXPENSES","Selling Expenses",I325="EMPLOYMENT EXPENSES","Selling Expenses",I325="EMPLOYMENT EXPENSES","Selling Expenses",I325="DIRECT EXPENSES","Selling Expenses",I325="INDIRECT EXPENSES","Selling Expenses"),P325="Parts",_xlfn.IFS(I325="SALES","GP",I325="SERVICE SALES","GP",I325="PARTS SALES","GP",I325="SERVICE COS","GP",I325="PARTS COS","GP",I325="SELLING EXPENSES","Selling Expenses",I325="EMPLOYMENT EXPENSES","Selling Expenses",I325="EMPLOYMENT EXPENSES","Selling Expenses",I325="DIRECT EXPENSES","Selling Expenses",I325="INDIRECT EXPENSES","Selling Expenses"))</f>
        <v>#N/A</v>
      </c>
    </row>
    <row r="326" spans="1:18" x14ac:dyDescent="0.2">
      <c r="A326" s="75" t="s">
        <v>572</v>
      </c>
      <c r="B326" s="76" t="s">
        <v>573</v>
      </c>
      <c r="C326" s="76">
        <v>210</v>
      </c>
      <c r="D326" s="76" t="s">
        <v>436</v>
      </c>
      <c r="E326" s="76" t="s">
        <v>426</v>
      </c>
      <c r="F326" s="77">
        <v>-75643.48</v>
      </c>
      <c r="G326" s="77">
        <v>0</v>
      </c>
      <c r="H326" s="77">
        <v>-75643.48</v>
      </c>
      <c r="I326" s="76" t="s">
        <v>482</v>
      </c>
      <c r="J326" s="77">
        <v>0</v>
      </c>
      <c r="K326" s="78">
        <v>0</v>
      </c>
      <c r="M326" s="79" t="str">
        <f t="shared" si="17"/>
        <v>210-3075R</v>
      </c>
      <c r="N326" s="79" t="str">
        <f t="shared" si="15"/>
        <v/>
      </c>
      <c r="O326" s="79" t="str">
        <f t="shared" si="16"/>
        <v>210</v>
      </c>
      <c r="P326" s="79" t="str">
        <f>IFERROR(VLOOKUP($M326,Export!$P:$R,2,FALSE),"-")</f>
        <v>Used Vehicle</v>
      </c>
      <c r="Q326" s="79" t="str">
        <f>IFERROR(VLOOKUP($M326,Export!$P:$R,3,FALSE),"-")</f>
        <v>Used VehicleEx NV demonstrators gross profit p.u.</v>
      </c>
      <c r="R326" s="80" t="e" cm="1">
        <f t="array" ref="R326">_xlfn.IFS(P326="Service", _xlfn.IFS(I326="SALES","GP",I326="SERVICE SALES","GP",I326="PARTS SALES","GP",I326="SERVICE COS","GP",I326="PARTS COS","GP",I326="SELLING EXPENSES","Selling Expenses",I326="EMPLOYMENT EXPENSES","Selling Expenses",I326="EMPLOYMENT EXPENSES","Selling Expenses",I326="DIRECT EXPENSES","Selling Expenses",I326="INDIRECT EXPENSES","Selling Expenses"),P326="Parts",_xlfn.IFS(I326="SALES","GP",I326="SERVICE SALES","GP",I326="PARTS SALES","GP",I326="SERVICE COS","GP",I326="PARTS COS","GP",I326="SELLING EXPENSES","Selling Expenses",I326="EMPLOYMENT EXPENSES","Selling Expenses",I326="EMPLOYMENT EXPENSES","Selling Expenses",I326="DIRECT EXPENSES","Selling Expenses",I326="INDIRECT EXPENSES","Selling Expenses"))</f>
        <v>#N/A</v>
      </c>
    </row>
    <row r="327" spans="1:18" x14ac:dyDescent="0.2">
      <c r="A327" s="75" t="s">
        <v>574</v>
      </c>
      <c r="B327" s="76" t="s">
        <v>575</v>
      </c>
      <c r="C327" s="76">
        <v>100</v>
      </c>
      <c r="D327" s="76" t="s">
        <v>227</v>
      </c>
      <c r="E327" s="76" t="s">
        <v>426</v>
      </c>
      <c r="F327" s="77">
        <v>-13725.89</v>
      </c>
      <c r="G327" s="77">
        <v>0</v>
      </c>
      <c r="H327" s="77">
        <v>-13725.89</v>
      </c>
      <c r="I327" s="76" t="s">
        <v>482</v>
      </c>
      <c r="J327" s="77">
        <v>0</v>
      </c>
      <c r="K327" s="78">
        <v>-18826.71</v>
      </c>
      <c r="M327" s="79" t="str">
        <f t="shared" si="17"/>
        <v>100-3080R</v>
      </c>
      <c r="N327" s="79" t="str">
        <f t="shared" si="15"/>
        <v/>
      </c>
      <c r="O327" s="79" t="str">
        <f t="shared" si="16"/>
        <v>100</v>
      </c>
      <c r="P327" s="79" t="str">
        <f>IFERROR(VLOOKUP($M327,Export!$P:$R,2,FALSE),"-")</f>
        <v>New Vehicle</v>
      </c>
      <c r="Q327" s="79" t="str">
        <f>IFERROR(VLOOKUP($M327,Export!$P:$R,3,FALSE),"-")</f>
        <v>New VehicleOther Income per NV unit</v>
      </c>
      <c r="R327" s="80" t="e" cm="1">
        <f t="array" ref="R327">_xlfn.IFS(P327="Service", _xlfn.IFS(I327="SALES","GP",I327="SERVICE SALES","GP",I327="PARTS SALES","GP",I327="SERVICE COS","GP",I327="PARTS COS","GP",I327="SELLING EXPENSES","Selling Expenses",I327="EMPLOYMENT EXPENSES","Selling Expenses",I327="EMPLOYMENT EXPENSES","Selling Expenses",I327="DIRECT EXPENSES","Selling Expenses",I327="INDIRECT EXPENSES","Selling Expenses"),P327="Parts",_xlfn.IFS(I327="SALES","GP",I327="SERVICE SALES","GP",I327="PARTS SALES","GP",I327="SERVICE COS","GP",I327="PARTS COS","GP",I327="SELLING EXPENSES","Selling Expenses",I327="EMPLOYMENT EXPENSES","Selling Expenses",I327="EMPLOYMENT EXPENSES","Selling Expenses",I327="DIRECT EXPENSES","Selling Expenses",I327="INDIRECT EXPENSES","Selling Expenses"))</f>
        <v>#N/A</v>
      </c>
    </row>
    <row r="328" spans="1:18" x14ac:dyDescent="0.2">
      <c r="A328" s="75" t="s">
        <v>574</v>
      </c>
      <c r="B328" s="76" t="s">
        <v>575</v>
      </c>
      <c r="C328" s="76">
        <v>110</v>
      </c>
      <c r="D328" s="76" t="s">
        <v>430</v>
      </c>
      <c r="E328" s="76" t="s">
        <v>426</v>
      </c>
      <c r="F328" s="77">
        <v>-159982.60999999999</v>
      </c>
      <c r="G328" s="77">
        <v>0</v>
      </c>
      <c r="H328" s="77">
        <v>-159982.60999999999</v>
      </c>
      <c r="I328" s="76" t="s">
        <v>482</v>
      </c>
      <c r="J328" s="77">
        <v>-79995.649999999994</v>
      </c>
      <c r="K328" s="78">
        <v>-159991.29999999999</v>
      </c>
      <c r="M328" s="79" t="str">
        <f t="shared" si="17"/>
        <v>110-3080R</v>
      </c>
      <c r="N328" s="79" t="str">
        <f t="shared" si="15"/>
        <v/>
      </c>
      <c r="O328" s="79" t="str">
        <f t="shared" si="16"/>
        <v>110</v>
      </c>
      <c r="P328" s="79" t="str">
        <f>IFERROR(VLOOKUP($M328,Export!$P:$R,2,FALSE),"-")</f>
        <v>Used Vehicle</v>
      </c>
      <c r="Q328" s="79" t="str">
        <f>IFERROR(VLOOKUP($M328,Export!$P:$R,3,FALSE),"-")</f>
        <v>Used VehicleEx NV demonstrators gross profit p.u.</v>
      </c>
      <c r="R328" s="80" t="e" cm="1">
        <f t="array" ref="R328">_xlfn.IFS(P328="Service", _xlfn.IFS(I328="SALES","GP",I328="SERVICE SALES","GP",I328="PARTS SALES","GP",I328="SERVICE COS","GP",I328="PARTS COS","GP",I328="SELLING EXPENSES","Selling Expenses",I328="EMPLOYMENT EXPENSES","Selling Expenses",I328="EMPLOYMENT EXPENSES","Selling Expenses",I328="DIRECT EXPENSES","Selling Expenses",I328="INDIRECT EXPENSES","Selling Expenses"),P328="Parts",_xlfn.IFS(I328="SALES","GP",I328="SERVICE SALES","GP",I328="PARTS SALES","GP",I328="SERVICE COS","GP",I328="PARTS COS","GP",I328="SELLING EXPENSES","Selling Expenses",I328="EMPLOYMENT EXPENSES","Selling Expenses",I328="EMPLOYMENT EXPENSES","Selling Expenses",I328="DIRECT EXPENSES","Selling Expenses",I328="INDIRECT EXPENSES","Selling Expenses"))</f>
        <v>#N/A</v>
      </c>
    </row>
    <row r="329" spans="1:18" x14ac:dyDescent="0.2">
      <c r="A329" s="75" t="s">
        <v>574</v>
      </c>
      <c r="B329" s="76" t="s">
        <v>575</v>
      </c>
      <c r="C329" s="76">
        <v>200</v>
      </c>
      <c r="D329" s="76" t="s">
        <v>428</v>
      </c>
      <c r="E329" s="76" t="s">
        <v>426</v>
      </c>
      <c r="F329" s="77">
        <v>-11061.93</v>
      </c>
      <c r="G329" s="77">
        <v>0</v>
      </c>
      <c r="H329" s="77">
        <v>-11061.93</v>
      </c>
      <c r="I329" s="76" t="s">
        <v>482</v>
      </c>
      <c r="J329" s="77">
        <v>0</v>
      </c>
      <c r="K329" s="78">
        <v>-11214.82</v>
      </c>
      <c r="M329" s="79" t="str">
        <f t="shared" si="17"/>
        <v>200-3080R</v>
      </c>
      <c r="N329" s="79" t="str">
        <f t="shared" si="15"/>
        <v/>
      </c>
      <c r="O329" s="79" t="str">
        <f t="shared" si="16"/>
        <v>200</v>
      </c>
      <c r="P329" s="79" t="str">
        <f>IFERROR(VLOOKUP($M329,Export!$P:$R,2,FALSE),"-")</f>
        <v>New Vehicle</v>
      </c>
      <c r="Q329" s="79" t="str">
        <f>IFERROR(VLOOKUP($M329,Export!$P:$R,3,FALSE),"-")</f>
        <v>New VehicleOther Income per NV unit</v>
      </c>
      <c r="R329" s="80" t="e" cm="1">
        <f t="array" ref="R329">_xlfn.IFS(P329="Service", _xlfn.IFS(I329="SALES","GP",I329="SERVICE SALES","GP",I329="PARTS SALES","GP",I329="SERVICE COS","GP",I329="PARTS COS","GP",I329="SELLING EXPENSES","Selling Expenses",I329="EMPLOYMENT EXPENSES","Selling Expenses",I329="EMPLOYMENT EXPENSES","Selling Expenses",I329="DIRECT EXPENSES","Selling Expenses",I329="INDIRECT EXPENSES","Selling Expenses"),P329="Parts",_xlfn.IFS(I329="SALES","GP",I329="SERVICE SALES","GP",I329="PARTS SALES","GP",I329="SERVICE COS","GP",I329="PARTS COS","GP",I329="SELLING EXPENSES","Selling Expenses",I329="EMPLOYMENT EXPENSES","Selling Expenses",I329="EMPLOYMENT EXPENSES","Selling Expenses",I329="DIRECT EXPENSES","Selling Expenses",I329="INDIRECT EXPENSES","Selling Expenses"))</f>
        <v>#N/A</v>
      </c>
    </row>
    <row r="330" spans="1:18" x14ac:dyDescent="0.2">
      <c r="A330" s="75" t="s">
        <v>574</v>
      </c>
      <c r="B330" s="76" t="s">
        <v>575</v>
      </c>
      <c r="C330" s="76">
        <v>210</v>
      </c>
      <c r="D330" s="76" t="s">
        <v>436</v>
      </c>
      <c r="E330" s="76" t="s">
        <v>426</v>
      </c>
      <c r="F330" s="77">
        <v>-75652.17</v>
      </c>
      <c r="G330" s="77">
        <v>0</v>
      </c>
      <c r="H330" s="77">
        <v>-75652.17</v>
      </c>
      <c r="I330" s="76" t="s">
        <v>482</v>
      </c>
      <c r="J330" s="77">
        <v>-73904.350000000006</v>
      </c>
      <c r="K330" s="78">
        <v>-295617.40000000002</v>
      </c>
      <c r="M330" s="79" t="str">
        <f t="shared" si="17"/>
        <v>210-3080R</v>
      </c>
      <c r="N330" s="79" t="str">
        <f t="shared" si="15"/>
        <v/>
      </c>
      <c r="O330" s="79" t="str">
        <f t="shared" si="16"/>
        <v>210</v>
      </c>
      <c r="P330" s="79" t="str">
        <f>IFERROR(VLOOKUP($M330,Export!$P:$R,2,FALSE),"-")</f>
        <v>Used Vehicle</v>
      </c>
      <c r="Q330" s="79" t="str">
        <f>IFERROR(VLOOKUP($M330,Export!$P:$R,3,FALSE),"-")</f>
        <v>Used VehicleEx NV demonstrators gross profit p.u.</v>
      </c>
      <c r="R330" s="80" t="e" cm="1">
        <f t="array" ref="R330">_xlfn.IFS(P330="Service", _xlfn.IFS(I330="SALES","GP",I330="SERVICE SALES","GP",I330="PARTS SALES","GP",I330="SERVICE COS","GP",I330="PARTS COS","GP",I330="SELLING EXPENSES","Selling Expenses",I330="EMPLOYMENT EXPENSES","Selling Expenses",I330="EMPLOYMENT EXPENSES","Selling Expenses",I330="DIRECT EXPENSES","Selling Expenses",I330="INDIRECT EXPENSES","Selling Expenses"),P330="Parts",_xlfn.IFS(I330="SALES","GP",I330="SERVICE SALES","GP",I330="PARTS SALES","GP",I330="SERVICE COS","GP",I330="PARTS COS","GP",I330="SELLING EXPENSES","Selling Expenses",I330="EMPLOYMENT EXPENSES","Selling Expenses",I330="EMPLOYMENT EXPENSES","Selling Expenses",I330="DIRECT EXPENSES","Selling Expenses",I330="INDIRECT EXPENSES","Selling Expenses"))</f>
        <v>#N/A</v>
      </c>
    </row>
    <row r="331" spans="1:18" x14ac:dyDescent="0.2">
      <c r="A331" s="75" t="s">
        <v>576</v>
      </c>
      <c r="B331" s="76" t="s">
        <v>577</v>
      </c>
      <c r="C331" s="76">
        <v>100</v>
      </c>
      <c r="D331" s="76" t="s">
        <v>227</v>
      </c>
      <c r="E331" s="76" t="s">
        <v>426</v>
      </c>
      <c r="F331" s="77">
        <v>1764.11</v>
      </c>
      <c r="G331" s="77">
        <v>0</v>
      </c>
      <c r="H331" s="77">
        <v>1764.11</v>
      </c>
      <c r="I331" s="76" t="s">
        <v>482</v>
      </c>
      <c r="J331" s="77">
        <v>0</v>
      </c>
      <c r="K331" s="78">
        <v>0</v>
      </c>
      <c r="M331" s="79" t="str">
        <f t="shared" si="17"/>
        <v>100-3080RD</v>
      </c>
      <c r="N331" s="79" t="str">
        <f t="shared" si="15"/>
        <v/>
      </c>
      <c r="O331" s="79" t="str">
        <f t="shared" si="16"/>
        <v>100</v>
      </c>
      <c r="P331" s="79" t="str">
        <f>IFERROR(VLOOKUP($M331,Export!$P:$R,2,FALSE),"-")</f>
        <v>New Vehicle</v>
      </c>
      <c r="Q331" s="79" t="str">
        <f>IFERROR(VLOOKUP($M331,Export!$P:$R,3,FALSE),"-")</f>
        <v>New VehicleOther Income per NV unit</v>
      </c>
      <c r="R331" s="80" t="e" cm="1">
        <f t="array" ref="R331">_xlfn.IFS(P331="Service", _xlfn.IFS(I331="SALES","GP",I331="SERVICE SALES","GP",I331="PARTS SALES","GP",I331="SERVICE COS","GP",I331="PARTS COS","GP",I331="SELLING EXPENSES","Selling Expenses",I331="EMPLOYMENT EXPENSES","Selling Expenses",I331="EMPLOYMENT EXPENSES","Selling Expenses",I331="DIRECT EXPENSES","Selling Expenses",I331="INDIRECT EXPENSES","Selling Expenses"),P331="Parts",_xlfn.IFS(I331="SALES","GP",I331="SERVICE SALES","GP",I331="PARTS SALES","GP",I331="SERVICE COS","GP",I331="PARTS COS","GP",I331="SELLING EXPENSES","Selling Expenses",I331="EMPLOYMENT EXPENSES","Selling Expenses",I331="EMPLOYMENT EXPENSES","Selling Expenses",I331="DIRECT EXPENSES","Selling Expenses",I331="INDIRECT EXPENSES","Selling Expenses"))</f>
        <v>#N/A</v>
      </c>
    </row>
    <row r="332" spans="1:18" x14ac:dyDescent="0.2">
      <c r="A332" s="75" t="s">
        <v>576</v>
      </c>
      <c r="B332" s="76" t="s">
        <v>577</v>
      </c>
      <c r="C332" s="76">
        <v>110</v>
      </c>
      <c r="D332" s="76" t="s">
        <v>430</v>
      </c>
      <c r="E332" s="76" t="s">
        <v>426</v>
      </c>
      <c r="F332" s="77">
        <v>339.13</v>
      </c>
      <c r="G332" s="77">
        <v>0</v>
      </c>
      <c r="H332" s="77">
        <v>339.13</v>
      </c>
      <c r="I332" s="76" t="s">
        <v>482</v>
      </c>
      <c r="J332" s="77">
        <v>0</v>
      </c>
      <c r="K332" s="78">
        <v>0</v>
      </c>
      <c r="M332" s="79" t="str">
        <f t="shared" si="17"/>
        <v>110-3080RD</v>
      </c>
      <c r="N332" s="79" t="str">
        <f t="shared" si="15"/>
        <v/>
      </c>
      <c r="O332" s="79" t="str">
        <f t="shared" si="16"/>
        <v>110</v>
      </c>
      <c r="P332" s="79" t="str">
        <f>IFERROR(VLOOKUP($M332,Export!$P:$R,2,FALSE),"-")</f>
        <v>Used Vehicle</v>
      </c>
      <c r="Q332" s="79" t="str">
        <f>IFERROR(VLOOKUP($M332,Export!$P:$R,3,FALSE),"-")</f>
        <v>Used VehicleEx NV demonstrators gross profit p.u.</v>
      </c>
      <c r="R332" s="80" t="e" cm="1">
        <f t="array" ref="R332">_xlfn.IFS(P332="Service", _xlfn.IFS(I332="SALES","GP",I332="SERVICE SALES","GP",I332="PARTS SALES","GP",I332="SERVICE COS","GP",I332="PARTS COS","GP",I332="SELLING EXPENSES","Selling Expenses",I332="EMPLOYMENT EXPENSES","Selling Expenses",I332="EMPLOYMENT EXPENSES","Selling Expenses",I332="DIRECT EXPENSES","Selling Expenses",I332="INDIRECT EXPENSES","Selling Expenses"),P332="Parts",_xlfn.IFS(I332="SALES","GP",I332="SERVICE SALES","GP",I332="PARTS SALES","GP",I332="SERVICE COS","GP",I332="PARTS COS","GP",I332="SELLING EXPENSES","Selling Expenses",I332="EMPLOYMENT EXPENSES","Selling Expenses",I332="EMPLOYMENT EXPENSES","Selling Expenses",I332="DIRECT EXPENSES","Selling Expenses",I332="INDIRECT EXPENSES","Selling Expenses"))</f>
        <v>#N/A</v>
      </c>
    </row>
    <row r="333" spans="1:18" x14ac:dyDescent="0.2">
      <c r="A333" s="75" t="s">
        <v>576</v>
      </c>
      <c r="B333" s="76" t="s">
        <v>577</v>
      </c>
      <c r="C333" s="76">
        <v>210</v>
      </c>
      <c r="D333" s="76" t="s">
        <v>436</v>
      </c>
      <c r="E333" s="76" t="s">
        <v>426</v>
      </c>
      <c r="F333" s="77">
        <v>1739.13</v>
      </c>
      <c r="G333" s="77">
        <v>0</v>
      </c>
      <c r="H333" s="77">
        <v>1739.13</v>
      </c>
      <c r="I333" s="76" t="s">
        <v>482</v>
      </c>
      <c r="J333" s="77">
        <v>0</v>
      </c>
      <c r="K333" s="78">
        <v>0</v>
      </c>
      <c r="M333" s="79" t="str">
        <f t="shared" si="17"/>
        <v>210-3080RD</v>
      </c>
      <c r="N333" s="79" t="str">
        <f t="shared" si="15"/>
        <v/>
      </c>
      <c r="O333" s="79" t="str">
        <f t="shared" si="16"/>
        <v>210</v>
      </c>
      <c r="P333" s="79" t="str">
        <f>IFERROR(VLOOKUP($M333,Export!$P:$R,2,FALSE),"-")</f>
        <v>Used Vehicle</v>
      </c>
      <c r="Q333" s="79" t="str">
        <f>IFERROR(VLOOKUP($M333,Export!$P:$R,3,FALSE),"-")</f>
        <v>Used VehicleEx NV demonstrators gross profit p.u.</v>
      </c>
      <c r="R333" s="80" t="e" cm="1">
        <f t="array" ref="R333">_xlfn.IFS(P333="Service", _xlfn.IFS(I333="SALES","GP",I333="SERVICE SALES","GP",I333="PARTS SALES","GP",I333="SERVICE COS","GP",I333="PARTS COS","GP",I333="SELLING EXPENSES","Selling Expenses",I333="EMPLOYMENT EXPENSES","Selling Expenses",I333="EMPLOYMENT EXPENSES","Selling Expenses",I333="DIRECT EXPENSES","Selling Expenses",I333="INDIRECT EXPENSES","Selling Expenses"),P333="Parts",_xlfn.IFS(I333="SALES","GP",I333="SERVICE SALES","GP",I333="PARTS SALES","GP",I333="SERVICE COS","GP",I333="PARTS COS","GP",I333="SELLING EXPENSES","Selling Expenses",I333="EMPLOYMENT EXPENSES","Selling Expenses",I333="EMPLOYMENT EXPENSES","Selling Expenses",I333="DIRECT EXPENSES","Selling Expenses",I333="INDIRECT EXPENSES","Selling Expenses"))</f>
        <v>#N/A</v>
      </c>
    </row>
    <row r="334" spans="1:18" x14ac:dyDescent="0.2">
      <c r="A334" s="75" t="s">
        <v>578</v>
      </c>
      <c r="B334" s="76" t="s">
        <v>579</v>
      </c>
      <c r="C334" s="76">
        <v>112</v>
      </c>
      <c r="D334" s="76" t="s">
        <v>349</v>
      </c>
      <c r="E334" s="76" t="s">
        <v>426</v>
      </c>
      <c r="F334" s="77">
        <v>-1764273.02</v>
      </c>
      <c r="G334" s="77">
        <v>-123967.39</v>
      </c>
      <c r="H334" s="77">
        <v>-1888240.41</v>
      </c>
      <c r="I334" s="76" t="s">
        <v>482</v>
      </c>
      <c r="J334" s="77">
        <v>0</v>
      </c>
      <c r="K334" s="78">
        <v>0</v>
      </c>
      <c r="M334" s="79" t="str">
        <f t="shared" si="17"/>
        <v>112-3082R</v>
      </c>
      <c r="N334" s="79" t="str">
        <f t="shared" si="15"/>
        <v/>
      </c>
      <c r="O334" s="79" t="str">
        <f t="shared" si="16"/>
        <v>112</v>
      </c>
      <c r="P334" s="79" t="str">
        <f>IFERROR(VLOOKUP($M334,Export!$P:$R,2,FALSE),"-")</f>
        <v>LEX New Vehicle</v>
      </c>
      <c r="Q334" s="79" t="str">
        <f>IFERROR(VLOOKUP($M334,Export!$P:$R,3,FALSE),"-")</f>
        <v>LEX New VehicleRetail Gross p.u.</v>
      </c>
      <c r="R334" s="80" t="e" cm="1">
        <f t="array" ref="R334">_xlfn.IFS(P334="Service", _xlfn.IFS(I334="SALES","GP",I334="SERVICE SALES","GP",I334="PARTS SALES","GP",I334="SERVICE COS","GP",I334="PARTS COS","GP",I334="SELLING EXPENSES","Selling Expenses",I334="EMPLOYMENT EXPENSES","Selling Expenses",I334="EMPLOYMENT EXPENSES","Selling Expenses",I334="DIRECT EXPENSES","Selling Expenses",I334="INDIRECT EXPENSES","Selling Expenses"),P334="Parts",_xlfn.IFS(I334="SALES","GP",I334="SERVICE SALES","GP",I334="PARTS SALES","GP",I334="SERVICE COS","GP",I334="PARTS COS","GP",I334="SELLING EXPENSES","Selling Expenses",I334="EMPLOYMENT EXPENSES","Selling Expenses",I334="EMPLOYMENT EXPENSES","Selling Expenses",I334="DIRECT EXPENSES","Selling Expenses",I334="INDIRECT EXPENSES","Selling Expenses"))</f>
        <v>#N/A</v>
      </c>
    </row>
    <row r="335" spans="1:18" x14ac:dyDescent="0.2">
      <c r="A335" s="75" t="s">
        <v>580</v>
      </c>
      <c r="B335" s="76" t="s">
        <v>581</v>
      </c>
      <c r="C335" s="76">
        <v>112</v>
      </c>
      <c r="D335" s="76" t="s">
        <v>349</v>
      </c>
      <c r="E335" s="76" t="s">
        <v>426</v>
      </c>
      <c r="F335" s="77">
        <v>25499.14</v>
      </c>
      <c r="G335" s="77">
        <v>3478.26</v>
      </c>
      <c r="H335" s="77">
        <v>28977.4</v>
      </c>
      <c r="I335" s="76" t="s">
        <v>482</v>
      </c>
      <c r="J335" s="77">
        <v>0</v>
      </c>
      <c r="K335" s="78">
        <v>0</v>
      </c>
      <c r="M335" s="79" t="str">
        <f t="shared" si="17"/>
        <v>112-3082rd</v>
      </c>
      <c r="N335" s="79" t="str">
        <f t="shared" si="15"/>
        <v/>
      </c>
      <c r="O335" s="79" t="str">
        <f t="shared" si="16"/>
        <v>112</v>
      </c>
      <c r="P335" s="79" t="str">
        <f>IFERROR(VLOOKUP($M335,Export!$P:$R,2,FALSE),"-")</f>
        <v>LEX New Vehicle</v>
      </c>
      <c r="Q335" s="79" t="str">
        <f>IFERROR(VLOOKUP($M335,Export!$P:$R,3,FALSE),"-")</f>
        <v>LEX New VehicleRetail Gross p.u.</v>
      </c>
      <c r="R335" s="80" t="e" cm="1">
        <f t="array" ref="R335">_xlfn.IFS(P335="Service", _xlfn.IFS(I335="SALES","GP",I335="SERVICE SALES","GP",I335="PARTS SALES","GP",I335="SERVICE COS","GP",I335="PARTS COS","GP",I335="SELLING EXPENSES","Selling Expenses",I335="EMPLOYMENT EXPENSES","Selling Expenses",I335="EMPLOYMENT EXPENSES","Selling Expenses",I335="DIRECT EXPENSES","Selling Expenses",I335="INDIRECT EXPENSES","Selling Expenses"),P335="Parts",_xlfn.IFS(I335="SALES","GP",I335="SERVICE SALES","GP",I335="PARTS SALES","GP",I335="SERVICE COS","GP",I335="PARTS COS","GP",I335="SELLING EXPENSES","Selling Expenses",I335="EMPLOYMENT EXPENSES","Selling Expenses",I335="EMPLOYMENT EXPENSES","Selling Expenses",I335="DIRECT EXPENSES","Selling Expenses",I335="INDIRECT EXPENSES","Selling Expenses"))</f>
        <v>#N/A</v>
      </c>
    </row>
    <row r="336" spans="1:18" x14ac:dyDescent="0.2">
      <c r="A336" s="75" t="s">
        <v>582</v>
      </c>
      <c r="B336" s="76" t="s">
        <v>583</v>
      </c>
      <c r="C336" s="76">
        <v>100</v>
      </c>
      <c r="D336" s="76" t="s">
        <v>227</v>
      </c>
      <c r="E336" s="76" t="s">
        <v>426</v>
      </c>
      <c r="F336" s="77">
        <v>-7878.46</v>
      </c>
      <c r="G336" s="77">
        <v>0</v>
      </c>
      <c r="H336" s="77">
        <v>-7878.46</v>
      </c>
      <c r="I336" s="76" t="s">
        <v>482</v>
      </c>
      <c r="J336" s="77">
        <v>0</v>
      </c>
      <c r="K336" s="78">
        <v>-1036.52</v>
      </c>
      <c r="M336" s="79" t="str">
        <f t="shared" si="17"/>
        <v>100-3083R</v>
      </c>
      <c r="N336" s="79" t="str">
        <f t="shared" si="15"/>
        <v/>
      </c>
      <c r="O336" s="79" t="str">
        <f t="shared" si="16"/>
        <v>100</v>
      </c>
      <c r="P336" s="79" t="str">
        <f>IFERROR(VLOOKUP($M336,Export!$P:$R,2,FALSE),"-")</f>
        <v>New Vehicle</v>
      </c>
      <c r="Q336" s="79" t="str">
        <f>IFERROR(VLOOKUP($M336,Export!$P:$R,3,FALSE),"-")</f>
        <v>New VehicleOther Income per NV unit</v>
      </c>
      <c r="R336" s="80" t="e" cm="1">
        <f t="array" ref="R336">_xlfn.IFS(P336="Service", _xlfn.IFS(I336="SALES","GP",I336="SERVICE SALES","GP",I336="PARTS SALES","GP",I336="SERVICE COS","GP",I336="PARTS COS","GP",I336="SELLING EXPENSES","Selling Expenses",I336="EMPLOYMENT EXPENSES","Selling Expenses",I336="EMPLOYMENT EXPENSES","Selling Expenses",I336="DIRECT EXPENSES","Selling Expenses",I336="INDIRECT EXPENSES","Selling Expenses"),P336="Parts",_xlfn.IFS(I336="SALES","GP",I336="SERVICE SALES","GP",I336="PARTS SALES","GP",I336="SERVICE COS","GP",I336="PARTS COS","GP",I336="SELLING EXPENSES","Selling Expenses",I336="EMPLOYMENT EXPENSES","Selling Expenses",I336="EMPLOYMENT EXPENSES","Selling Expenses",I336="DIRECT EXPENSES","Selling Expenses",I336="INDIRECT EXPENSES","Selling Expenses"))</f>
        <v>#N/A</v>
      </c>
    </row>
    <row r="337" spans="1:18" x14ac:dyDescent="0.2">
      <c r="A337" s="75" t="s">
        <v>582</v>
      </c>
      <c r="B337" s="76" t="s">
        <v>583</v>
      </c>
      <c r="C337" s="76">
        <v>110</v>
      </c>
      <c r="D337" s="76" t="s">
        <v>430</v>
      </c>
      <c r="E337" s="76" t="s">
        <v>426</v>
      </c>
      <c r="F337" s="77">
        <v>-150934.79</v>
      </c>
      <c r="G337" s="77">
        <v>-40252.17</v>
      </c>
      <c r="H337" s="77">
        <v>-191186.96</v>
      </c>
      <c r="I337" s="76" t="s">
        <v>482</v>
      </c>
      <c r="J337" s="77">
        <v>-36655.599999999999</v>
      </c>
      <c r="K337" s="78">
        <v>-142132.01999999999</v>
      </c>
      <c r="M337" s="79" t="str">
        <f t="shared" si="17"/>
        <v>110-3083R</v>
      </c>
      <c r="N337" s="79" t="str">
        <f t="shared" si="15"/>
        <v/>
      </c>
      <c r="O337" s="79" t="str">
        <f t="shared" si="16"/>
        <v>110</v>
      </c>
      <c r="P337" s="79" t="str">
        <f>IFERROR(VLOOKUP($M337,Export!$P:$R,2,FALSE),"-")</f>
        <v>Used Vehicle</v>
      </c>
      <c r="Q337" s="79" t="str">
        <f>IFERROR(VLOOKUP($M337,Export!$P:$R,3,FALSE),"-")</f>
        <v>Used VehicleEx NV demonstrators gross profit p.u.</v>
      </c>
      <c r="R337" s="80" t="e" cm="1">
        <f t="array" ref="R337">_xlfn.IFS(P337="Service", _xlfn.IFS(I337="SALES","GP",I337="SERVICE SALES","GP",I337="PARTS SALES","GP",I337="SERVICE COS","GP",I337="PARTS COS","GP",I337="SELLING EXPENSES","Selling Expenses",I337="EMPLOYMENT EXPENSES","Selling Expenses",I337="EMPLOYMENT EXPENSES","Selling Expenses",I337="DIRECT EXPENSES","Selling Expenses",I337="INDIRECT EXPENSES","Selling Expenses"),P337="Parts",_xlfn.IFS(I337="SALES","GP",I337="SERVICE SALES","GP",I337="PARTS SALES","GP",I337="SERVICE COS","GP",I337="PARTS COS","GP",I337="SELLING EXPENSES","Selling Expenses",I337="EMPLOYMENT EXPENSES","Selling Expenses",I337="EMPLOYMENT EXPENSES","Selling Expenses",I337="DIRECT EXPENSES","Selling Expenses",I337="INDIRECT EXPENSES","Selling Expenses"))</f>
        <v>#N/A</v>
      </c>
    </row>
    <row r="338" spans="1:18" x14ac:dyDescent="0.2">
      <c r="A338" s="75" t="s">
        <v>582</v>
      </c>
      <c r="B338" s="76" t="s">
        <v>583</v>
      </c>
      <c r="C338" s="76">
        <v>200</v>
      </c>
      <c r="D338" s="76" t="s">
        <v>428</v>
      </c>
      <c r="E338" s="76" t="s">
        <v>426</v>
      </c>
      <c r="F338" s="77">
        <v>-2364.54</v>
      </c>
      <c r="G338" s="77">
        <v>0</v>
      </c>
      <c r="H338" s="77">
        <v>-2364.54</v>
      </c>
      <c r="I338" s="76" t="s">
        <v>482</v>
      </c>
      <c r="J338" s="77">
        <v>0</v>
      </c>
      <c r="K338" s="78">
        <v>-413.91</v>
      </c>
      <c r="M338" s="79" t="str">
        <f t="shared" si="17"/>
        <v>200-3083R</v>
      </c>
      <c r="N338" s="79" t="str">
        <f t="shared" si="15"/>
        <v/>
      </c>
      <c r="O338" s="79" t="str">
        <f t="shared" si="16"/>
        <v>200</v>
      </c>
      <c r="P338" s="79" t="str">
        <f>IFERROR(VLOOKUP($M338,Export!$P:$R,2,FALSE),"-")</f>
        <v>New Vehicle</v>
      </c>
      <c r="Q338" s="79" t="str">
        <f>IFERROR(VLOOKUP($M338,Export!$P:$R,3,FALSE),"-")</f>
        <v>New VehicleOther Income per NV unit</v>
      </c>
      <c r="R338" s="80" t="e" cm="1">
        <f t="array" ref="R338">_xlfn.IFS(P338="Service", _xlfn.IFS(I338="SALES","GP",I338="SERVICE SALES","GP",I338="PARTS SALES","GP",I338="SERVICE COS","GP",I338="PARTS COS","GP",I338="SELLING EXPENSES","Selling Expenses",I338="EMPLOYMENT EXPENSES","Selling Expenses",I338="EMPLOYMENT EXPENSES","Selling Expenses",I338="DIRECT EXPENSES","Selling Expenses",I338="INDIRECT EXPENSES","Selling Expenses"),P338="Parts",_xlfn.IFS(I338="SALES","GP",I338="SERVICE SALES","GP",I338="PARTS SALES","GP",I338="SERVICE COS","GP",I338="PARTS COS","GP",I338="SELLING EXPENSES","Selling Expenses",I338="EMPLOYMENT EXPENSES","Selling Expenses",I338="EMPLOYMENT EXPENSES","Selling Expenses",I338="DIRECT EXPENSES","Selling Expenses",I338="INDIRECT EXPENSES","Selling Expenses"))</f>
        <v>#N/A</v>
      </c>
    </row>
    <row r="339" spans="1:18" x14ac:dyDescent="0.2">
      <c r="A339" s="75" t="s">
        <v>582</v>
      </c>
      <c r="B339" s="76" t="s">
        <v>583</v>
      </c>
      <c r="C339" s="76">
        <v>210</v>
      </c>
      <c r="D339" s="76" t="s">
        <v>436</v>
      </c>
      <c r="E339" s="76" t="s">
        <v>426</v>
      </c>
      <c r="F339" s="77">
        <v>-270197.25</v>
      </c>
      <c r="G339" s="77">
        <v>-972.03</v>
      </c>
      <c r="H339" s="77">
        <v>-271169.28000000003</v>
      </c>
      <c r="I339" s="76" t="s">
        <v>482</v>
      </c>
      <c r="J339" s="77">
        <v>0</v>
      </c>
      <c r="K339" s="78">
        <v>-106069.56</v>
      </c>
      <c r="M339" s="79" t="str">
        <f t="shared" si="17"/>
        <v>210-3083R</v>
      </c>
      <c r="N339" s="79" t="str">
        <f t="shared" si="15"/>
        <v/>
      </c>
      <c r="O339" s="79" t="str">
        <f t="shared" si="16"/>
        <v>210</v>
      </c>
      <c r="P339" s="79" t="str">
        <f>IFERROR(VLOOKUP($M339,Export!$P:$R,2,FALSE),"-")</f>
        <v>Used Vehicle</v>
      </c>
      <c r="Q339" s="79" t="str">
        <f>IFERROR(VLOOKUP($M339,Export!$P:$R,3,FALSE),"-")</f>
        <v>Used VehicleEx NV demonstrators gross profit p.u.</v>
      </c>
      <c r="R339" s="80" t="e" cm="1">
        <f t="array" ref="R339">_xlfn.IFS(P339="Service", _xlfn.IFS(I339="SALES","GP",I339="SERVICE SALES","GP",I339="PARTS SALES","GP",I339="SERVICE COS","GP",I339="PARTS COS","GP",I339="SELLING EXPENSES","Selling Expenses",I339="EMPLOYMENT EXPENSES","Selling Expenses",I339="EMPLOYMENT EXPENSES","Selling Expenses",I339="DIRECT EXPENSES","Selling Expenses",I339="INDIRECT EXPENSES","Selling Expenses"),P339="Parts",_xlfn.IFS(I339="SALES","GP",I339="SERVICE SALES","GP",I339="PARTS SALES","GP",I339="SERVICE COS","GP",I339="PARTS COS","GP",I339="SELLING EXPENSES","Selling Expenses",I339="EMPLOYMENT EXPENSES","Selling Expenses",I339="EMPLOYMENT EXPENSES","Selling Expenses",I339="DIRECT EXPENSES","Selling Expenses",I339="INDIRECT EXPENSES","Selling Expenses"))</f>
        <v>#N/A</v>
      </c>
    </row>
    <row r="340" spans="1:18" x14ac:dyDescent="0.2">
      <c r="A340" s="75" t="s">
        <v>584</v>
      </c>
      <c r="B340" s="76" t="s">
        <v>585</v>
      </c>
      <c r="C340" s="76">
        <v>110</v>
      </c>
      <c r="D340" s="76" t="s">
        <v>430</v>
      </c>
      <c r="E340" s="76" t="s">
        <v>426</v>
      </c>
      <c r="F340" s="77">
        <v>600</v>
      </c>
      <c r="G340" s="77">
        <v>0</v>
      </c>
      <c r="H340" s="77">
        <v>600</v>
      </c>
      <c r="I340" s="76" t="s">
        <v>482</v>
      </c>
      <c r="J340" s="77">
        <v>0</v>
      </c>
      <c r="K340" s="78">
        <v>0</v>
      </c>
      <c r="M340" s="79" t="str">
        <f t="shared" si="17"/>
        <v>110-3083RD</v>
      </c>
      <c r="N340" s="79" t="str">
        <f t="shared" si="15"/>
        <v/>
      </c>
      <c r="O340" s="79" t="str">
        <f t="shared" si="16"/>
        <v>110</v>
      </c>
      <c r="P340" s="79" t="str">
        <f>IFERROR(VLOOKUP($M340,Export!$P:$R,2,FALSE),"-")</f>
        <v>Used Vehicle</v>
      </c>
      <c r="Q340" s="79" t="str">
        <f>IFERROR(VLOOKUP($M340,Export!$P:$R,3,FALSE),"-")</f>
        <v>Used VehicleEx NV demonstrators gross profit p.u.</v>
      </c>
      <c r="R340" s="80" t="e" cm="1">
        <f t="array" ref="R340">_xlfn.IFS(P340="Service", _xlfn.IFS(I340="SALES","GP",I340="SERVICE SALES","GP",I340="PARTS SALES","GP",I340="SERVICE COS","GP",I340="PARTS COS","GP",I340="SELLING EXPENSES","Selling Expenses",I340="EMPLOYMENT EXPENSES","Selling Expenses",I340="EMPLOYMENT EXPENSES","Selling Expenses",I340="DIRECT EXPENSES","Selling Expenses",I340="INDIRECT EXPENSES","Selling Expenses"),P340="Parts",_xlfn.IFS(I340="SALES","GP",I340="SERVICE SALES","GP",I340="PARTS SALES","GP",I340="SERVICE COS","GP",I340="PARTS COS","GP",I340="SELLING EXPENSES","Selling Expenses",I340="EMPLOYMENT EXPENSES","Selling Expenses",I340="EMPLOYMENT EXPENSES","Selling Expenses",I340="DIRECT EXPENSES","Selling Expenses",I340="INDIRECT EXPENSES","Selling Expenses"))</f>
        <v>#N/A</v>
      </c>
    </row>
    <row r="341" spans="1:18" x14ac:dyDescent="0.2">
      <c r="A341" s="75" t="s">
        <v>584</v>
      </c>
      <c r="B341" s="76" t="s">
        <v>585</v>
      </c>
      <c r="C341" s="76">
        <v>210</v>
      </c>
      <c r="D341" s="76" t="s">
        <v>436</v>
      </c>
      <c r="E341" s="76" t="s">
        <v>426</v>
      </c>
      <c r="F341" s="77">
        <v>1465.22</v>
      </c>
      <c r="G341" s="77">
        <v>0</v>
      </c>
      <c r="H341" s="77">
        <v>1465.22</v>
      </c>
      <c r="I341" s="76" t="s">
        <v>482</v>
      </c>
      <c r="J341" s="77">
        <v>0</v>
      </c>
      <c r="K341" s="78">
        <v>1291.3</v>
      </c>
      <c r="M341" s="79" t="str">
        <f t="shared" si="17"/>
        <v>210-3083RD</v>
      </c>
      <c r="N341" s="79" t="str">
        <f t="shared" si="15"/>
        <v/>
      </c>
      <c r="O341" s="79" t="str">
        <f t="shared" si="16"/>
        <v>210</v>
      </c>
      <c r="P341" s="79" t="str">
        <f>IFERROR(VLOOKUP($M341,Export!$P:$R,2,FALSE),"-")</f>
        <v>Used Vehicle</v>
      </c>
      <c r="Q341" s="79" t="str">
        <f>IFERROR(VLOOKUP($M341,Export!$P:$R,3,FALSE),"-")</f>
        <v>Used VehicleEx NV demonstrators gross profit p.u.</v>
      </c>
      <c r="R341" s="80" t="e" cm="1">
        <f t="array" ref="R341">_xlfn.IFS(P341="Service", _xlfn.IFS(I341="SALES","GP",I341="SERVICE SALES","GP",I341="PARTS SALES","GP",I341="SERVICE COS","GP",I341="PARTS COS","GP",I341="SELLING EXPENSES","Selling Expenses",I341="EMPLOYMENT EXPENSES","Selling Expenses",I341="EMPLOYMENT EXPENSES","Selling Expenses",I341="DIRECT EXPENSES","Selling Expenses",I341="INDIRECT EXPENSES","Selling Expenses"),P341="Parts",_xlfn.IFS(I341="SALES","GP",I341="SERVICE SALES","GP",I341="PARTS SALES","GP",I341="SERVICE COS","GP",I341="PARTS COS","GP",I341="SELLING EXPENSES","Selling Expenses",I341="EMPLOYMENT EXPENSES","Selling Expenses",I341="EMPLOYMENT EXPENSES","Selling Expenses",I341="DIRECT EXPENSES","Selling Expenses",I341="INDIRECT EXPENSES","Selling Expenses"))</f>
        <v>#N/A</v>
      </c>
    </row>
    <row r="342" spans="1:18" x14ac:dyDescent="0.2">
      <c r="A342" s="75" t="s">
        <v>586</v>
      </c>
      <c r="B342" s="76" t="s">
        <v>587</v>
      </c>
      <c r="C342" s="76">
        <v>100</v>
      </c>
      <c r="D342" s="76" t="s">
        <v>227</v>
      </c>
      <c r="E342" s="76" t="s">
        <v>426</v>
      </c>
      <c r="F342" s="77">
        <v>-96263.2</v>
      </c>
      <c r="G342" s="77">
        <v>-15641.82</v>
      </c>
      <c r="H342" s="77">
        <v>-111905.02</v>
      </c>
      <c r="I342" s="76" t="s">
        <v>482</v>
      </c>
      <c r="J342" s="77">
        <v>0</v>
      </c>
      <c r="K342" s="78">
        <v>-23976.95</v>
      </c>
      <c r="M342" s="79" t="str">
        <f t="shared" si="17"/>
        <v>100-3085R</v>
      </c>
      <c r="N342" s="79" t="str">
        <f t="shared" si="15"/>
        <v/>
      </c>
      <c r="O342" s="79" t="str">
        <f t="shared" si="16"/>
        <v>100</v>
      </c>
      <c r="P342" s="79" t="str">
        <f>IFERROR(VLOOKUP($M342,Export!$P:$R,2,FALSE),"-")</f>
        <v>New Vehicle</v>
      </c>
      <c r="Q342" s="79" t="str">
        <f>IFERROR(VLOOKUP($M342,Export!$P:$R,3,FALSE),"-")</f>
        <v>New VehicleOther Income per NV unit</v>
      </c>
      <c r="R342" s="80" t="e" cm="1">
        <f t="array" ref="R342">_xlfn.IFS(P342="Service", _xlfn.IFS(I342="SALES","GP",I342="SERVICE SALES","GP",I342="PARTS SALES","GP",I342="SERVICE COS","GP",I342="PARTS COS","GP",I342="SELLING EXPENSES","Selling Expenses",I342="EMPLOYMENT EXPENSES","Selling Expenses",I342="EMPLOYMENT EXPENSES","Selling Expenses",I342="DIRECT EXPENSES","Selling Expenses",I342="INDIRECT EXPENSES","Selling Expenses"),P342="Parts",_xlfn.IFS(I342="SALES","GP",I342="SERVICE SALES","GP",I342="PARTS SALES","GP",I342="SERVICE COS","GP",I342="PARTS COS","GP",I342="SELLING EXPENSES","Selling Expenses",I342="EMPLOYMENT EXPENSES","Selling Expenses",I342="EMPLOYMENT EXPENSES","Selling Expenses",I342="DIRECT EXPENSES","Selling Expenses",I342="INDIRECT EXPENSES","Selling Expenses"))</f>
        <v>#N/A</v>
      </c>
    </row>
    <row r="343" spans="1:18" x14ac:dyDescent="0.2">
      <c r="A343" s="75" t="s">
        <v>586</v>
      </c>
      <c r="B343" s="76" t="s">
        <v>587</v>
      </c>
      <c r="C343" s="76">
        <v>110</v>
      </c>
      <c r="D343" s="76" t="s">
        <v>430</v>
      </c>
      <c r="E343" s="76" t="s">
        <v>426</v>
      </c>
      <c r="F343" s="77">
        <v>-291934.89</v>
      </c>
      <c r="G343" s="77">
        <v>0</v>
      </c>
      <c r="H343" s="77">
        <v>-291934.89</v>
      </c>
      <c r="I343" s="76" t="s">
        <v>482</v>
      </c>
      <c r="J343" s="77">
        <v>-139218.15</v>
      </c>
      <c r="K343" s="78">
        <v>-1041555.95</v>
      </c>
      <c r="M343" s="79" t="str">
        <f t="shared" si="17"/>
        <v>110-3085R</v>
      </c>
      <c r="N343" s="79" t="str">
        <f t="shared" si="15"/>
        <v/>
      </c>
      <c r="O343" s="79" t="str">
        <f t="shared" si="16"/>
        <v>110</v>
      </c>
      <c r="P343" s="79" t="str">
        <f>IFERROR(VLOOKUP($M343,Export!$P:$R,2,FALSE),"-")</f>
        <v>Used Vehicle</v>
      </c>
      <c r="Q343" s="79" t="str">
        <f>IFERROR(VLOOKUP($M343,Export!$P:$R,3,FALSE),"-")</f>
        <v>Used VehicleEx NV demonstrators gross profit p.u.</v>
      </c>
      <c r="R343" s="80" t="e" cm="1">
        <f t="array" ref="R343">_xlfn.IFS(P343="Service", _xlfn.IFS(I343="SALES","GP",I343="SERVICE SALES","GP",I343="PARTS SALES","GP",I343="SERVICE COS","GP",I343="PARTS COS","GP",I343="SELLING EXPENSES","Selling Expenses",I343="EMPLOYMENT EXPENSES","Selling Expenses",I343="EMPLOYMENT EXPENSES","Selling Expenses",I343="DIRECT EXPENSES","Selling Expenses",I343="INDIRECT EXPENSES","Selling Expenses"),P343="Parts",_xlfn.IFS(I343="SALES","GP",I343="SERVICE SALES","GP",I343="PARTS SALES","GP",I343="SERVICE COS","GP",I343="PARTS COS","GP",I343="SELLING EXPENSES","Selling Expenses",I343="EMPLOYMENT EXPENSES","Selling Expenses",I343="EMPLOYMENT EXPENSES","Selling Expenses",I343="DIRECT EXPENSES","Selling Expenses",I343="INDIRECT EXPENSES","Selling Expenses"))</f>
        <v>#N/A</v>
      </c>
    </row>
    <row r="344" spans="1:18" x14ac:dyDescent="0.2">
      <c r="A344" s="75" t="s">
        <v>586</v>
      </c>
      <c r="B344" s="76" t="s">
        <v>587</v>
      </c>
      <c r="C344" s="76">
        <v>200</v>
      </c>
      <c r="D344" s="76" t="s">
        <v>428</v>
      </c>
      <c r="E344" s="76" t="s">
        <v>426</v>
      </c>
      <c r="F344" s="77">
        <v>-48917.83</v>
      </c>
      <c r="G344" s="77">
        <v>-6087.02</v>
      </c>
      <c r="H344" s="77">
        <v>-55004.85</v>
      </c>
      <c r="I344" s="76" t="s">
        <v>482</v>
      </c>
      <c r="J344" s="77">
        <v>0</v>
      </c>
      <c r="K344" s="78">
        <v>-10148.39</v>
      </c>
      <c r="M344" s="79" t="str">
        <f t="shared" si="17"/>
        <v>200-3085R</v>
      </c>
      <c r="N344" s="79" t="str">
        <f t="shared" si="15"/>
        <v/>
      </c>
      <c r="O344" s="79" t="str">
        <f t="shared" si="16"/>
        <v>200</v>
      </c>
      <c r="P344" s="79" t="str">
        <f>IFERROR(VLOOKUP($M344,Export!$P:$R,2,FALSE),"-")</f>
        <v>New Vehicle</v>
      </c>
      <c r="Q344" s="79" t="str">
        <f>IFERROR(VLOOKUP($M344,Export!$P:$R,3,FALSE),"-")</f>
        <v>New VehicleOther Income per NV unit</v>
      </c>
      <c r="R344" s="80" t="e" cm="1">
        <f t="array" ref="R344">_xlfn.IFS(P344="Service", _xlfn.IFS(I344="SALES","GP",I344="SERVICE SALES","GP",I344="PARTS SALES","GP",I344="SERVICE COS","GP",I344="PARTS COS","GP",I344="SELLING EXPENSES","Selling Expenses",I344="EMPLOYMENT EXPENSES","Selling Expenses",I344="EMPLOYMENT EXPENSES","Selling Expenses",I344="DIRECT EXPENSES","Selling Expenses",I344="INDIRECT EXPENSES","Selling Expenses"),P344="Parts",_xlfn.IFS(I344="SALES","GP",I344="SERVICE SALES","GP",I344="PARTS SALES","GP",I344="SERVICE COS","GP",I344="PARTS COS","GP",I344="SELLING EXPENSES","Selling Expenses",I344="EMPLOYMENT EXPENSES","Selling Expenses",I344="EMPLOYMENT EXPENSES","Selling Expenses",I344="DIRECT EXPENSES","Selling Expenses",I344="INDIRECT EXPENSES","Selling Expenses"))</f>
        <v>#N/A</v>
      </c>
    </row>
    <row r="345" spans="1:18" x14ac:dyDescent="0.2">
      <c r="A345" s="75" t="s">
        <v>586</v>
      </c>
      <c r="B345" s="76" t="s">
        <v>587</v>
      </c>
      <c r="C345" s="76">
        <v>210</v>
      </c>
      <c r="D345" s="76" t="s">
        <v>436</v>
      </c>
      <c r="E345" s="76" t="s">
        <v>426</v>
      </c>
      <c r="F345" s="77">
        <v>-395724.29</v>
      </c>
      <c r="G345" s="77">
        <v>-137485.78</v>
      </c>
      <c r="H345" s="77">
        <v>-533210.06999999995</v>
      </c>
      <c r="I345" s="76" t="s">
        <v>482</v>
      </c>
      <c r="J345" s="77">
        <v>-135958.5</v>
      </c>
      <c r="K345" s="78">
        <v>-851566.73</v>
      </c>
      <c r="M345" s="79" t="str">
        <f t="shared" si="17"/>
        <v>210-3085R</v>
      </c>
      <c r="N345" s="79" t="str">
        <f t="shared" si="15"/>
        <v/>
      </c>
      <c r="O345" s="79" t="str">
        <f t="shared" si="16"/>
        <v>210</v>
      </c>
      <c r="P345" s="79" t="str">
        <f>IFERROR(VLOOKUP($M345,Export!$P:$R,2,FALSE),"-")</f>
        <v>Used Vehicle</v>
      </c>
      <c r="Q345" s="79" t="str">
        <f>IFERROR(VLOOKUP($M345,Export!$P:$R,3,FALSE),"-")</f>
        <v>Used VehicleEx NV demonstrators gross profit p.u.</v>
      </c>
      <c r="R345" s="80" t="e" cm="1">
        <f t="array" ref="R345">_xlfn.IFS(P345="Service", _xlfn.IFS(I345="SALES","GP",I345="SERVICE SALES","GP",I345="PARTS SALES","GP",I345="SERVICE COS","GP",I345="PARTS COS","GP",I345="SELLING EXPENSES","Selling Expenses",I345="EMPLOYMENT EXPENSES","Selling Expenses",I345="EMPLOYMENT EXPENSES","Selling Expenses",I345="DIRECT EXPENSES","Selling Expenses",I345="INDIRECT EXPENSES","Selling Expenses"),P345="Parts",_xlfn.IFS(I345="SALES","GP",I345="SERVICE SALES","GP",I345="PARTS SALES","GP",I345="SERVICE COS","GP",I345="PARTS COS","GP",I345="SELLING EXPENSES","Selling Expenses",I345="EMPLOYMENT EXPENSES","Selling Expenses",I345="EMPLOYMENT EXPENSES","Selling Expenses",I345="DIRECT EXPENSES","Selling Expenses",I345="INDIRECT EXPENSES","Selling Expenses"))</f>
        <v>#N/A</v>
      </c>
    </row>
    <row r="346" spans="1:18" x14ac:dyDescent="0.2">
      <c r="A346" s="75" t="s">
        <v>588</v>
      </c>
      <c r="B346" s="76" t="s">
        <v>589</v>
      </c>
      <c r="C346" s="76">
        <v>110</v>
      </c>
      <c r="D346" s="76" t="s">
        <v>430</v>
      </c>
      <c r="E346" s="76" t="s">
        <v>426</v>
      </c>
      <c r="F346" s="77">
        <v>12765.21</v>
      </c>
      <c r="G346" s="77">
        <v>0</v>
      </c>
      <c r="H346" s="77">
        <v>12765.21</v>
      </c>
      <c r="I346" s="76" t="s">
        <v>482</v>
      </c>
      <c r="J346" s="77">
        <v>0</v>
      </c>
      <c r="K346" s="78">
        <v>1133.94</v>
      </c>
      <c r="M346" s="79" t="str">
        <f t="shared" si="17"/>
        <v>110-3085RD</v>
      </c>
      <c r="N346" s="79" t="str">
        <f t="shared" si="15"/>
        <v/>
      </c>
      <c r="O346" s="79" t="str">
        <f t="shared" si="16"/>
        <v>110</v>
      </c>
      <c r="P346" s="79" t="str">
        <f>IFERROR(VLOOKUP($M346,Export!$P:$R,2,FALSE),"-")</f>
        <v>Used Vehicle</v>
      </c>
      <c r="Q346" s="79" t="str">
        <f>IFERROR(VLOOKUP($M346,Export!$P:$R,3,FALSE),"-")</f>
        <v>Used VehicleEx NV demonstrators gross profit p.u.</v>
      </c>
      <c r="R346" s="80" t="e" cm="1">
        <f t="array" ref="R346">_xlfn.IFS(P346="Service", _xlfn.IFS(I346="SALES","GP",I346="SERVICE SALES","GP",I346="PARTS SALES","GP",I346="SERVICE COS","GP",I346="PARTS COS","GP",I346="SELLING EXPENSES","Selling Expenses",I346="EMPLOYMENT EXPENSES","Selling Expenses",I346="EMPLOYMENT EXPENSES","Selling Expenses",I346="DIRECT EXPENSES","Selling Expenses",I346="INDIRECT EXPENSES","Selling Expenses"),P346="Parts",_xlfn.IFS(I346="SALES","GP",I346="SERVICE SALES","GP",I346="PARTS SALES","GP",I346="SERVICE COS","GP",I346="PARTS COS","GP",I346="SELLING EXPENSES","Selling Expenses",I346="EMPLOYMENT EXPENSES","Selling Expenses",I346="EMPLOYMENT EXPENSES","Selling Expenses",I346="DIRECT EXPENSES","Selling Expenses",I346="INDIRECT EXPENSES","Selling Expenses"))</f>
        <v>#N/A</v>
      </c>
    </row>
    <row r="347" spans="1:18" x14ac:dyDescent="0.2">
      <c r="A347" s="75" t="s">
        <v>588</v>
      </c>
      <c r="B347" s="76" t="s">
        <v>589</v>
      </c>
      <c r="C347" s="76">
        <v>210</v>
      </c>
      <c r="D347" s="76" t="s">
        <v>436</v>
      </c>
      <c r="E347" s="76" t="s">
        <v>426</v>
      </c>
      <c r="F347" s="77">
        <v>4765.57</v>
      </c>
      <c r="G347" s="77">
        <v>981.43</v>
      </c>
      <c r="H347" s="77">
        <v>5747</v>
      </c>
      <c r="I347" s="76" t="s">
        <v>482</v>
      </c>
      <c r="J347" s="77">
        <v>0</v>
      </c>
      <c r="K347" s="78">
        <v>170.02</v>
      </c>
      <c r="M347" s="79" t="str">
        <f t="shared" si="17"/>
        <v>210-3085RD</v>
      </c>
      <c r="N347" s="79" t="str">
        <f t="shared" si="15"/>
        <v/>
      </c>
      <c r="O347" s="79" t="str">
        <f t="shared" si="16"/>
        <v>210</v>
      </c>
      <c r="P347" s="79" t="str">
        <f>IFERROR(VLOOKUP($M347,Export!$P:$R,2,FALSE),"-")</f>
        <v>Used Vehicle</v>
      </c>
      <c r="Q347" s="79" t="str">
        <f>IFERROR(VLOOKUP($M347,Export!$P:$R,3,FALSE),"-")</f>
        <v>Used VehicleEx NV demonstrators gross profit p.u.</v>
      </c>
      <c r="R347" s="80" t="e" cm="1">
        <f t="array" ref="R347">_xlfn.IFS(P347="Service", _xlfn.IFS(I347="SALES","GP",I347="SERVICE SALES","GP",I347="PARTS SALES","GP",I347="SERVICE COS","GP",I347="PARTS COS","GP",I347="SELLING EXPENSES","Selling Expenses",I347="EMPLOYMENT EXPENSES","Selling Expenses",I347="EMPLOYMENT EXPENSES","Selling Expenses",I347="DIRECT EXPENSES","Selling Expenses",I347="INDIRECT EXPENSES","Selling Expenses"),P347="Parts",_xlfn.IFS(I347="SALES","GP",I347="SERVICE SALES","GP",I347="PARTS SALES","GP",I347="SERVICE COS","GP",I347="PARTS COS","GP",I347="SELLING EXPENSES","Selling Expenses",I347="EMPLOYMENT EXPENSES","Selling Expenses",I347="EMPLOYMENT EXPENSES","Selling Expenses",I347="DIRECT EXPENSES","Selling Expenses",I347="INDIRECT EXPENSES","Selling Expenses"))</f>
        <v>#N/A</v>
      </c>
    </row>
    <row r="348" spans="1:18" x14ac:dyDescent="0.2">
      <c r="A348" s="75" t="s">
        <v>590</v>
      </c>
      <c r="B348" s="76" t="s">
        <v>591</v>
      </c>
      <c r="C348" s="76">
        <v>100</v>
      </c>
      <c r="D348" s="76" t="s">
        <v>227</v>
      </c>
      <c r="E348" s="76" t="s">
        <v>426</v>
      </c>
      <c r="F348" s="77">
        <v>-60343.9</v>
      </c>
      <c r="G348" s="77">
        <v>-14418.88</v>
      </c>
      <c r="H348" s="77">
        <v>-74762.78</v>
      </c>
      <c r="I348" s="76" t="s">
        <v>482</v>
      </c>
      <c r="J348" s="77">
        <v>0</v>
      </c>
      <c r="K348" s="78">
        <v>-4353.87</v>
      </c>
      <c r="M348" s="79" t="str">
        <f t="shared" si="17"/>
        <v>100-3087R</v>
      </c>
      <c r="N348" s="79" t="str">
        <f t="shared" si="15"/>
        <v/>
      </c>
      <c r="O348" s="79" t="str">
        <f t="shared" si="16"/>
        <v>100</v>
      </c>
      <c r="P348" s="79" t="str">
        <f>IFERROR(VLOOKUP($M348,Export!$P:$R,2,FALSE),"-")</f>
        <v>New Vehicle</v>
      </c>
      <c r="Q348" s="79" t="str">
        <f>IFERROR(VLOOKUP($M348,Export!$P:$R,3,FALSE),"-")</f>
        <v>New VehicleOther Income per NV unit</v>
      </c>
      <c r="R348" s="80" t="e" cm="1">
        <f t="array" ref="R348">_xlfn.IFS(P348="Service", _xlfn.IFS(I348="SALES","GP",I348="SERVICE SALES","GP",I348="PARTS SALES","GP",I348="SERVICE COS","GP",I348="PARTS COS","GP",I348="SELLING EXPENSES","Selling Expenses",I348="EMPLOYMENT EXPENSES","Selling Expenses",I348="EMPLOYMENT EXPENSES","Selling Expenses",I348="DIRECT EXPENSES","Selling Expenses",I348="INDIRECT EXPENSES","Selling Expenses"),P348="Parts",_xlfn.IFS(I348="SALES","GP",I348="SERVICE SALES","GP",I348="PARTS SALES","GP",I348="SERVICE COS","GP",I348="PARTS COS","GP",I348="SELLING EXPENSES","Selling Expenses",I348="EMPLOYMENT EXPENSES","Selling Expenses",I348="EMPLOYMENT EXPENSES","Selling Expenses",I348="DIRECT EXPENSES","Selling Expenses",I348="INDIRECT EXPENSES","Selling Expenses"))</f>
        <v>#N/A</v>
      </c>
    </row>
    <row r="349" spans="1:18" x14ac:dyDescent="0.2">
      <c r="A349" s="75" t="s">
        <v>590</v>
      </c>
      <c r="B349" s="76" t="s">
        <v>591</v>
      </c>
      <c r="C349" s="76">
        <v>110</v>
      </c>
      <c r="D349" s="76" t="s">
        <v>430</v>
      </c>
      <c r="E349" s="76" t="s">
        <v>426</v>
      </c>
      <c r="F349" s="77">
        <v>-291017.39</v>
      </c>
      <c r="G349" s="77">
        <v>0</v>
      </c>
      <c r="H349" s="77">
        <v>-291017.39</v>
      </c>
      <c r="I349" s="76" t="s">
        <v>482</v>
      </c>
      <c r="J349" s="77">
        <v>-185817.78</v>
      </c>
      <c r="K349" s="78">
        <v>-854248</v>
      </c>
      <c r="M349" s="79" t="str">
        <f t="shared" si="17"/>
        <v>110-3087R</v>
      </c>
      <c r="N349" s="79" t="str">
        <f t="shared" si="15"/>
        <v/>
      </c>
      <c r="O349" s="79" t="str">
        <f t="shared" si="16"/>
        <v>110</v>
      </c>
      <c r="P349" s="79" t="str">
        <f>IFERROR(VLOOKUP($M349,Export!$P:$R,2,FALSE),"-")</f>
        <v>Used Vehicle</v>
      </c>
      <c r="Q349" s="79" t="str">
        <f>IFERROR(VLOOKUP($M349,Export!$P:$R,3,FALSE),"-")</f>
        <v>Used VehicleEx NV demonstrators gross profit p.u.</v>
      </c>
      <c r="R349" s="80" t="e" cm="1">
        <f t="array" ref="R349">_xlfn.IFS(P349="Service", _xlfn.IFS(I349="SALES","GP",I349="SERVICE SALES","GP",I349="PARTS SALES","GP",I349="SERVICE COS","GP",I349="PARTS COS","GP",I349="SELLING EXPENSES","Selling Expenses",I349="EMPLOYMENT EXPENSES","Selling Expenses",I349="EMPLOYMENT EXPENSES","Selling Expenses",I349="DIRECT EXPENSES","Selling Expenses",I349="INDIRECT EXPENSES","Selling Expenses"),P349="Parts",_xlfn.IFS(I349="SALES","GP",I349="SERVICE SALES","GP",I349="PARTS SALES","GP",I349="SERVICE COS","GP",I349="PARTS COS","GP",I349="SELLING EXPENSES","Selling Expenses",I349="EMPLOYMENT EXPENSES","Selling Expenses",I349="EMPLOYMENT EXPENSES","Selling Expenses",I349="DIRECT EXPENSES","Selling Expenses",I349="INDIRECT EXPENSES","Selling Expenses"))</f>
        <v>#N/A</v>
      </c>
    </row>
    <row r="350" spans="1:18" x14ac:dyDescent="0.2">
      <c r="A350" s="75" t="s">
        <v>590</v>
      </c>
      <c r="B350" s="76" t="s">
        <v>591</v>
      </c>
      <c r="C350" s="76">
        <v>200</v>
      </c>
      <c r="D350" s="76" t="s">
        <v>428</v>
      </c>
      <c r="E350" s="76" t="s">
        <v>426</v>
      </c>
      <c r="F350" s="77">
        <v>-22792.52</v>
      </c>
      <c r="G350" s="77">
        <v>-8323.89</v>
      </c>
      <c r="H350" s="77">
        <v>-31116.41</v>
      </c>
      <c r="I350" s="76" t="s">
        <v>482</v>
      </c>
      <c r="J350" s="77">
        <v>0</v>
      </c>
      <c r="K350" s="78">
        <v>-6208.53</v>
      </c>
      <c r="M350" s="79" t="str">
        <f t="shared" si="17"/>
        <v>200-3087R</v>
      </c>
      <c r="N350" s="79" t="str">
        <f t="shared" si="15"/>
        <v/>
      </c>
      <c r="O350" s="79" t="str">
        <f t="shared" si="16"/>
        <v>200</v>
      </c>
      <c r="P350" s="79" t="str">
        <f>IFERROR(VLOOKUP($M350,Export!$P:$R,2,FALSE),"-")</f>
        <v>New Vehicle</v>
      </c>
      <c r="Q350" s="79" t="str">
        <f>IFERROR(VLOOKUP($M350,Export!$P:$R,3,FALSE),"-")</f>
        <v>New VehicleOther Income per NV unit</v>
      </c>
      <c r="R350" s="80" t="e" cm="1">
        <f t="array" ref="R350">_xlfn.IFS(P350="Service", _xlfn.IFS(I350="SALES","GP",I350="SERVICE SALES","GP",I350="PARTS SALES","GP",I350="SERVICE COS","GP",I350="PARTS COS","GP",I350="SELLING EXPENSES","Selling Expenses",I350="EMPLOYMENT EXPENSES","Selling Expenses",I350="EMPLOYMENT EXPENSES","Selling Expenses",I350="DIRECT EXPENSES","Selling Expenses",I350="INDIRECT EXPENSES","Selling Expenses"),P350="Parts",_xlfn.IFS(I350="SALES","GP",I350="SERVICE SALES","GP",I350="PARTS SALES","GP",I350="SERVICE COS","GP",I350="PARTS COS","GP",I350="SELLING EXPENSES","Selling Expenses",I350="EMPLOYMENT EXPENSES","Selling Expenses",I350="EMPLOYMENT EXPENSES","Selling Expenses",I350="DIRECT EXPENSES","Selling Expenses",I350="INDIRECT EXPENSES","Selling Expenses"))</f>
        <v>#N/A</v>
      </c>
    </row>
    <row r="351" spans="1:18" x14ac:dyDescent="0.2">
      <c r="A351" s="75" t="s">
        <v>590</v>
      </c>
      <c r="B351" s="76" t="s">
        <v>591</v>
      </c>
      <c r="C351" s="76">
        <v>210</v>
      </c>
      <c r="D351" s="76" t="s">
        <v>436</v>
      </c>
      <c r="E351" s="76" t="s">
        <v>426</v>
      </c>
      <c r="F351" s="77">
        <v>-276658.03000000003</v>
      </c>
      <c r="G351" s="77">
        <v>0</v>
      </c>
      <c r="H351" s="77">
        <v>-276658.03000000003</v>
      </c>
      <c r="I351" s="76" t="s">
        <v>482</v>
      </c>
      <c r="J351" s="77">
        <v>-66078.259999999995</v>
      </c>
      <c r="K351" s="78">
        <v>-313202.69</v>
      </c>
      <c r="M351" s="79" t="str">
        <f t="shared" si="17"/>
        <v>210-3087R</v>
      </c>
      <c r="N351" s="79" t="str">
        <f t="shared" si="15"/>
        <v/>
      </c>
      <c r="O351" s="79" t="str">
        <f t="shared" si="16"/>
        <v>210</v>
      </c>
      <c r="P351" s="79" t="str">
        <f>IFERROR(VLOOKUP($M351,Export!$P:$R,2,FALSE),"-")</f>
        <v>Used Vehicle</v>
      </c>
      <c r="Q351" s="79" t="str">
        <f>IFERROR(VLOOKUP($M351,Export!$P:$R,3,FALSE),"-")</f>
        <v>Used VehicleEx NV demonstrators gross profit p.u.</v>
      </c>
      <c r="R351" s="80" t="e" cm="1">
        <f t="array" ref="R351">_xlfn.IFS(P351="Service", _xlfn.IFS(I351="SALES","GP",I351="SERVICE SALES","GP",I351="PARTS SALES","GP",I351="SERVICE COS","GP",I351="PARTS COS","GP",I351="SELLING EXPENSES","Selling Expenses",I351="EMPLOYMENT EXPENSES","Selling Expenses",I351="EMPLOYMENT EXPENSES","Selling Expenses",I351="DIRECT EXPENSES","Selling Expenses",I351="INDIRECT EXPENSES","Selling Expenses"),P351="Parts",_xlfn.IFS(I351="SALES","GP",I351="SERVICE SALES","GP",I351="PARTS SALES","GP",I351="SERVICE COS","GP",I351="PARTS COS","GP",I351="SELLING EXPENSES","Selling Expenses",I351="EMPLOYMENT EXPENSES","Selling Expenses",I351="EMPLOYMENT EXPENSES","Selling Expenses",I351="DIRECT EXPENSES","Selling Expenses",I351="INDIRECT EXPENSES","Selling Expenses"))</f>
        <v>#N/A</v>
      </c>
    </row>
    <row r="352" spans="1:18" x14ac:dyDescent="0.2">
      <c r="A352" s="75" t="s">
        <v>592</v>
      </c>
      <c r="B352" s="76" t="s">
        <v>593</v>
      </c>
      <c r="C352" s="76">
        <v>110</v>
      </c>
      <c r="D352" s="76" t="s">
        <v>430</v>
      </c>
      <c r="E352" s="76" t="s">
        <v>426</v>
      </c>
      <c r="F352" s="77">
        <v>852.18</v>
      </c>
      <c r="G352" s="77">
        <v>0</v>
      </c>
      <c r="H352" s="77">
        <v>852.18</v>
      </c>
      <c r="I352" s="76" t="s">
        <v>482</v>
      </c>
      <c r="J352" s="77">
        <v>0</v>
      </c>
      <c r="K352" s="78">
        <v>694.4</v>
      </c>
      <c r="M352" s="79" t="str">
        <f t="shared" si="17"/>
        <v>110-3087RD</v>
      </c>
      <c r="N352" s="79" t="str">
        <f t="shared" si="15"/>
        <v/>
      </c>
      <c r="O352" s="79" t="str">
        <f t="shared" si="16"/>
        <v>110</v>
      </c>
      <c r="P352" s="79" t="str">
        <f>IFERROR(VLOOKUP($M352,Export!$P:$R,2,FALSE),"-")</f>
        <v>Used Vehicle</v>
      </c>
      <c r="Q352" s="79" t="str">
        <f>IFERROR(VLOOKUP($M352,Export!$P:$R,3,FALSE),"-")</f>
        <v>Used VehicleEx NV demonstrators gross profit p.u.</v>
      </c>
      <c r="R352" s="80" t="e" cm="1">
        <f t="array" ref="R352">_xlfn.IFS(P352="Service", _xlfn.IFS(I352="SALES","GP",I352="SERVICE SALES","GP",I352="PARTS SALES","GP",I352="SERVICE COS","GP",I352="PARTS COS","GP",I352="SELLING EXPENSES","Selling Expenses",I352="EMPLOYMENT EXPENSES","Selling Expenses",I352="EMPLOYMENT EXPENSES","Selling Expenses",I352="DIRECT EXPENSES","Selling Expenses",I352="INDIRECT EXPENSES","Selling Expenses"),P352="Parts",_xlfn.IFS(I352="SALES","GP",I352="SERVICE SALES","GP",I352="PARTS SALES","GP",I352="SERVICE COS","GP",I352="PARTS COS","GP",I352="SELLING EXPENSES","Selling Expenses",I352="EMPLOYMENT EXPENSES","Selling Expenses",I352="EMPLOYMENT EXPENSES","Selling Expenses",I352="DIRECT EXPENSES","Selling Expenses",I352="INDIRECT EXPENSES","Selling Expenses"))</f>
        <v>#N/A</v>
      </c>
    </row>
    <row r="353" spans="1:18" x14ac:dyDescent="0.2">
      <c r="A353" s="75" t="s">
        <v>592</v>
      </c>
      <c r="B353" s="76" t="s">
        <v>593</v>
      </c>
      <c r="C353" s="76">
        <v>210</v>
      </c>
      <c r="D353" s="76" t="s">
        <v>436</v>
      </c>
      <c r="E353" s="76" t="s">
        <v>426</v>
      </c>
      <c r="F353" s="77">
        <v>10575.42</v>
      </c>
      <c r="G353" s="77">
        <v>0</v>
      </c>
      <c r="H353" s="77">
        <v>10575.42</v>
      </c>
      <c r="I353" s="76" t="s">
        <v>482</v>
      </c>
      <c r="J353" s="77">
        <v>0</v>
      </c>
      <c r="K353" s="78">
        <v>1933.12</v>
      </c>
      <c r="M353" s="79" t="str">
        <f t="shared" si="17"/>
        <v>210-3087RD</v>
      </c>
      <c r="N353" s="79" t="str">
        <f t="shared" si="15"/>
        <v/>
      </c>
      <c r="O353" s="79" t="str">
        <f t="shared" si="16"/>
        <v>210</v>
      </c>
      <c r="P353" s="79" t="str">
        <f>IFERROR(VLOOKUP($M353,Export!$P:$R,2,FALSE),"-")</f>
        <v>Used Vehicle</v>
      </c>
      <c r="Q353" s="79" t="str">
        <f>IFERROR(VLOOKUP($M353,Export!$P:$R,3,FALSE),"-")</f>
        <v>Used VehicleEx NV demonstrators gross profit p.u.</v>
      </c>
      <c r="R353" s="80" t="e" cm="1">
        <f t="array" ref="R353">_xlfn.IFS(P353="Service", _xlfn.IFS(I353="SALES","GP",I353="SERVICE SALES","GP",I353="PARTS SALES","GP",I353="SERVICE COS","GP",I353="PARTS COS","GP",I353="SELLING EXPENSES","Selling Expenses",I353="EMPLOYMENT EXPENSES","Selling Expenses",I353="EMPLOYMENT EXPENSES","Selling Expenses",I353="DIRECT EXPENSES","Selling Expenses",I353="INDIRECT EXPENSES","Selling Expenses"),P353="Parts",_xlfn.IFS(I353="SALES","GP",I353="SERVICE SALES","GP",I353="PARTS SALES","GP",I353="SERVICE COS","GP",I353="PARTS COS","GP",I353="SELLING EXPENSES","Selling Expenses",I353="EMPLOYMENT EXPENSES","Selling Expenses",I353="EMPLOYMENT EXPENSES","Selling Expenses",I353="DIRECT EXPENSES","Selling Expenses",I353="INDIRECT EXPENSES","Selling Expenses"))</f>
        <v>#N/A</v>
      </c>
    </row>
    <row r="354" spans="1:18" x14ac:dyDescent="0.2">
      <c r="A354" s="75" t="s">
        <v>594</v>
      </c>
      <c r="B354" s="76" t="s">
        <v>595</v>
      </c>
      <c r="C354" s="76">
        <v>100</v>
      </c>
      <c r="D354" s="76" t="s">
        <v>227</v>
      </c>
      <c r="E354" s="76" t="s">
        <v>426</v>
      </c>
      <c r="F354" s="77">
        <v>-3287.21</v>
      </c>
      <c r="G354" s="77">
        <v>0</v>
      </c>
      <c r="H354" s="77">
        <v>-3287.21</v>
      </c>
      <c r="I354" s="76" t="s">
        <v>482</v>
      </c>
      <c r="J354" s="77">
        <v>0</v>
      </c>
      <c r="K354" s="78">
        <v>-7139.45</v>
      </c>
      <c r="M354" s="79" t="str">
        <f t="shared" si="17"/>
        <v>100-3088R</v>
      </c>
      <c r="N354" s="79" t="str">
        <f t="shared" si="15"/>
        <v/>
      </c>
      <c r="O354" s="79" t="str">
        <f t="shared" si="16"/>
        <v>100</v>
      </c>
      <c r="P354" s="79" t="str">
        <f>IFERROR(VLOOKUP($M354,Export!$P:$R,2,FALSE),"-")</f>
        <v>New Vehicle</v>
      </c>
      <c r="Q354" s="79" t="str">
        <f>IFERROR(VLOOKUP($M354,Export!$P:$R,3,FALSE),"-")</f>
        <v>New VehicleOther Income per NV unit</v>
      </c>
      <c r="R354" s="80" t="e" cm="1">
        <f t="array" ref="R354">_xlfn.IFS(P354="Service", _xlfn.IFS(I354="SALES","GP",I354="SERVICE SALES","GP",I354="PARTS SALES","GP",I354="SERVICE COS","GP",I354="PARTS COS","GP",I354="SELLING EXPENSES","Selling Expenses",I354="EMPLOYMENT EXPENSES","Selling Expenses",I354="EMPLOYMENT EXPENSES","Selling Expenses",I354="DIRECT EXPENSES","Selling Expenses",I354="INDIRECT EXPENSES","Selling Expenses"),P354="Parts",_xlfn.IFS(I354="SALES","GP",I354="SERVICE SALES","GP",I354="PARTS SALES","GP",I354="SERVICE COS","GP",I354="PARTS COS","GP",I354="SELLING EXPENSES","Selling Expenses",I354="EMPLOYMENT EXPENSES","Selling Expenses",I354="EMPLOYMENT EXPENSES","Selling Expenses",I354="DIRECT EXPENSES","Selling Expenses",I354="INDIRECT EXPENSES","Selling Expenses"))</f>
        <v>#N/A</v>
      </c>
    </row>
    <row r="355" spans="1:18" x14ac:dyDescent="0.2">
      <c r="A355" s="75" t="s">
        <v>594</v>
      </c>
      <c r="B355" s="76" t="s">
        <v>595</v>
      </c>
      <c r="C355" s="76">
        <v>110</v>
      </c>
      <c r="D355" s="76" t="s">
        <v>430</v>
      </c>
      <c r="E355" s="76" t="s">
        <v>426</v>
      </c>
      <c r="F355" s="77">
        <v>-119982.61</v>
      </c>
      <c r="G355" s="77">
        <v>0</v>
      </c>
      <c r="H355" s="77">
        <v>-119982.61</v>
      </c>
      <c r="I355" s="76" t="s">
        <v>482</v>
      </c>
      <c r="J355" s="77">
        <v>0</v>
      </c>
      <c r="K355" s="78">
        <v>-53337.29</v>
      </c>
      <c r="M355" s="79" t="str">
        <f t="shared" si="17"/>
        <v>110-3088R</v>
      </c>
      <c r="N355" s="79" t="str">
        <f t="shared" si="15"/>
        <v/>
      </c>
      <c r="O355" s="79" t="str">
        <f t="shared" si="16"/>
        <v>110</v>
      </c>
      <c r="P355" s="79" t="str">
        <f>IFERROR(VLOOKUP($M355,Export!$P:$R,2,FALSE),"-")</f>
        <v>Used Vehicle</v>
      </c>
      <c r="Q355" s="79" t="str">
        <f>IFERROR(VLOOKUP($M355,Export!$P:$R,3,FALSE),"-")</f>
        <v>Used VehicleEx NV demonstrators gross profit p.u.</v>
      </c>
      <c r="R355" s="80" t="e" cm="1">
        <f t="array" ref="R355">_xlfn.IFS(P355="Service", _xlfn.IFS(I355="SALES","GP",I355="SERVICE SALES","GP",I355="PARTS SALES","GP",I355="SERVICE COS","GP",I355="PARTS COS","GP",I355="SELLING EXPENSES","Selling Expenses",I355="EMPLOYMENT EXPENSES","Selling Expenses",I355="EMPLOYMENT EXPENSES","Selling Expenses",I355="DIRECT EXPENSES","Selling Expenses",I355="INDIRECT EXPENSES","Selling Expenses"),P355="Parts",_xlfn.IFS(I355="SALES","GP",I355="SERVICE SALES","GP",I355="PARTS SALES","GP",I355="SERVICE COS","GP",I355="PARTS COS","GP",I355="SELLING EXPENSES","Selling Expenses",I355="EMPLOYMENT EXPENSES","Selling Expenses",I355="EMPLOYMENT EXPENSES","Selling Expenses",I355="DIRECT EXPENSES","Selling Expenses",I355="INDIRECT EXPENSES","Selling Expenses"))</f>
        <v>#N/A</v>
      </c>
    </row>
    <row r="356" spans="1:18" x14ac:dyDescent="0.2">
      <c r="A356" s="75" t="s">
        <v>594</v>
      </c>
      <c r="B356" s="76" t="s">
        <v>595</v>
      </c>
      <c r="C356" s="76">
        <v>200</v>
      </c>
      <c r="D356" s="76" t="s">
        <v>428</v>
      </c>
      <c r="E356" s="76" t="s">
        <v>426</v>
      </c>
      <c r="F356" s="77">
        <v>-7094.62</v>
      </c>
      <c r="G356" s="77">
        <v>0</v>
      </c>
      <c r="H356" s="77">
        <v>-7094.62</v>
      </c>
      <c r="I356" s="76" t="s">
        <v>482</v>
      </c>
      <c r="J356" s="77">
        <v>0</v>
      </c>
      <c r="K356" s="78">
        <v>-4983.76</v>
      </c>
      <c r="M356" s="79" t="str">
        <f t="shared" si="17"/>
        <v>200-3088R</v>
      </c>
      <c r="N356" s="79" t="str">
        <f t="shared" si="15"/>
        <v/>
      </c>
      <c r="O356" s="79" t="str">
        <f t="shared" si="16"/>
        <v>200</v>
      </c>
      <c r="P356" s="79" t="str">
        <f>IFERROR(VLOOKUP($M356,Export!$P:$R,2,FALSE),"-")</f>
        <v>New Vehicle</v>
      </c>
      <c r="Q356" s="79" t="str">
        <f>IFERROR(VLOOKUP($M356,Export!$P:$R,3,FALSE),"-")</f>
        <v>New VehicleOther Income per NV unit</v>
      </c>
      <c r="R356" s="80" t="e" cm="1">
        <f t="array" ref="R356">_xlfn.IFS(P356="Service", _xlfn.IFS(I356="SALES","GP",I356="SERVICE SALES","GP",I356="PARTS SALES","GP",I356="SERVICE COS","GP",I356="PARTS COS","GP",I356="SELLING EXPENSES","Selling Expenses",I356="EMPLOYMENT EXPENSES","Selling Expenses",I356="EMPLOYMENT EXPENSES","Selling Expenses",I356="DIRECT EXPENSES","Selling Expenses",I356="INDIRECT EXPENSES","Selling Expenses"),P356="Parts",_xlfn.IFS(I356="SALES","GP",I356="SERVICE SALES","GP",I356="PARTS SALES","GP",I356="SERVICE COS","GP",I356="PARTS COS","GP",I356="SELLING EXPENSES","Selling Expenses",I356="EMPLOYMENT EXPENSES","Selling Expenses",I356="EMPLOYMENT EXPENSES","Selling Expenses",I356="DIRECT EXPENSES","Selling Expenses",I356="INDIRECT EXPENSES","Selling Expenses"))</f>
        <v>#N/A</v>
      </c>
    </row>
    <row r="357" spans="1:18" x14ac:dyDescent="0.2">
      <c r="A357" s="75" t="s">
        <v>594</v>
      </c>
      <c r="B357" s="76" t="s">
        <v>595</v>
      </c>
      <c r="C357" s="76">
        <v>210</v>
      </c>
      <c r="D357" s="76" t="s">
        <v>436</v>
      </c>
      <c r="E357" s="76" t="s">
        <v>426</v>
      </c>
      <c r="F357" s="77">
        <v>-108549.41</v>
      </c>
      <c r="G357" s="77">
        <v>0</v>
      </c>
      <c r="H357" s="77">
        <v>-108549.41</v>
      </c>
      <c r="I357" s="76" t="s">
        <v>482</v>
      </c>
      <c r="J357" s="77">
        <v>0</v>
      </c>
      <c r="K357" s="78">
        <v>-50295.65</v>
      </c>
      <c r="M357" s="79" t="str">
        <f t="shared" si="17"/>
        <v>210-3088R</v>
      </c>
      <c r="N357" s="79" t="str">
        <f t="shared" si="15"/>
        <v/>
      </c>
      <c r="O357" s="79" t="str">
        <f t="shared" si="16"/>
        <v>210</v>
      </c>
      <c r="P357" s="79" t="str">
        <f>IFERROR(VLOOKUP($M357,Export!$P:$R,2,FALSE),"-")</f>
        <v>Used Vehicle</v>
      </c>
      <c r="Q357" s="79" t="str">
        <f>IFERROR(VLOOKUP($M357,Export!$P:$R,3,FALSE),"-")</f>
        <v>Used VehicleEx NV demonstrators gross profit p.u.</v>
      </c>
      <c r="R357" s="80" t="e" cm="1">
        <f t="array" ref="R357">_xlfn.IFS(P357="Service", _xlfn.IFS(I357="SALES","GP",I357="SERVICE SALES","GP",I357="PARTS SALES","GP",I357="SERVICE COS","GP",I357="PARTS COS","GP",I357="SELLING EXPENSES","Selling Expenses",I357="EMPLOYMENT EXPENSES","Selling Expenses",I357="EMPLOYMENT EXPENSES","Selling Expenses",I357="DIRECT EXPENSES","Selling Expenses",I357="INDIRECT EXPENSES","Selling Expenses"),P357="Parts",_xlfn.IFS(I357="SALES","GP",I357="SERVICE SALES","GP",I357="PARTS SALES","GP",I357="SERVICE COS","GP",I357="PARTS COS","GP",I357="SELLING EXPENSES","Selling Expenses",I357="EMPLOYMENT EXPENSES","Selling Expenses",I357="EMPLOYMENT EXPENSES","Selling Expenses",I357="DIRECT EXPENSES","Selling Expenses",I357="INDIRECT EXPENSES","Selling Expenses"))</f>
        <v>#N/A</v>
      </c>
    </row>
    <row r="358" spans="1:18" x14ac:dyDescent="0.2">
      <c r="A358" s="75" t="s">
        <v>596</v>
      </c>
      <c r="B358" s="76" t="s">
        <v>597</v>
      </c>
      <c r="C358" s="76">
        <v>110</v>
      </c>
      <c r="D358" s="76" t="s">
        <v>430</v>
      </c>
      <c r="E358" s="76" t="s">
        <v>426</v>
      </c>
      <c r="F358" s="77">
        <v>4782.6099999999997</v>
      </c>
      <c r="G358" s="77">
        <v>0</v>
      </c>
      <c r="H358" s="77">
        <v>4782.6099999999997</v>
      </c>
      <c r="I358" s="76" t="s">
        <v>482</v>
      </c>
      <c r="J358" s="77">
        <v>0</v>
      </c>
      <c r="K358" s="78">
        <v>0</v>
      </c>
      <c r="M358" s="79" t="str">
        <f t="shared" si="17"/>
        <v>110-3088RD</v>
      </c>
      <c r="N358" s="79" t="str">
        <f t="shared" si="15"/>
        <v/>
      </c>
      <c r="O358" s="79" t="str">
        <f t="shared" si="16"/>
        <v>110</v>
      </c>
      <c r="P358" s="79" t="str">
        <f>IFERROR(VLOOKUP($M358,Export!$P:$R,2,FALSE),"-")</f>
        <v>Used Vehicle</v>
      </c>
      <c r="Q358" s="79" t="str">
        <f>IFERROR(VLOOKUP($M358,Export!$P:$R,3,FALSE),"-")</f>
        <v>Used VehicleEx NV demonstrators gross profit p.u.</v>
      </c>
      <c r="R358" s="80" t="e" cm="1">
        <f t="array" ref="R358">_xlfn.IFS(P358="Service", _xlfn.IFS(I358="SALES","GP",I358="SERVICE SALES","GP",I358="PARTS SALES","GP",I358="SERVICE COS","GP",I358="PARTS COS","GP",I358="SELLING EXPENSES","Selling Expenses",I358="EMPLOYMENT EXPENSES","Selling Expenses",I358="EMPLOYMENT EXPENSES","Selling Expenses",I358="DIRECT EXPENSES","Selling Expenses",I358="INDIRECT EXPENSES","Selling Expenses"),P358="Parts",_xlfn.IFS(I358="SALES","GP",I358="SERVICE SALES","GP",I358="PARTS SALES","GP",I358="SERVICE COS","GP",I358="PARTS COS","GP",I358="SELLING EXPENSES","Selling Expenses",I358="EMPLOYMENT EXPENSES","Selling Expenses",I358="EMPLOYMENT EXPENSES","Selling Expenses",I358="DIRECT EXPENSES","Selling Expenses",I358="INDIRECT EXPENSES","Selling Expenses"))</f>
        <v>#N/A</v>
      </c>
    </row>
    <row r="359" spans="1:18" x14ac:dyDescent="0.2">
      <c r="A359" s="75" t="s">
        <v>596</v>
      </c>
      <c r="B359" s="76" t="s">
        <v>597</v>
      </c>
      <c r="C359" s="76">
        <v>210</v>
      </c>
      <c r="D359" s="76" t="s">
        <v>436</v>
      </c>
      <c r="E359" s="76" t="s">
        <v>426</v>
      </c>
      <c r="F359" s="77">
        <v>2086.96</v>
      </c>
      <c r="G359" s="77">
        <v>0</v>
      </c>
      <c r="H359" s="77">
        <v>2086.96</v>
      </c>
      <c r="I359" s="76" t="s">
        <v>482</v>
      </c>
      <c r="J359" s="77">
        <v>0</v>
      </c>
      <c r="K359" s="78">
        <v>0</v>
      </c>
      <c r="M359" s="79" t="str">
        <f t="shared" si="17"/>
        <v>210-3088RD</v>
      </c>
      <c r="N359" s="79" t="str">
        <f t="shared" si="15"/>
        <v/>
      </c>
      <c r="O359" s="79" t="str">
        <f t="shared" si="16"/>
        <v>210</v>
      </c>
      <c r="P359" s="79" t="str">
        <f>IFERROR(VLOOKUP($M359,Export!$P:$R,2,FALSE),"-")</f>
        <v>Used Vehicle</v>
      </c>
      <c r="Q359" s="79" t="str">
        <f>IFERROR(VLOOKUP($M359,Export!$P:$R,3,FALSE),"-")</f>
        <v>Used VehicleEx NV demonstrators gross profit p.u.</v>
      </c>
      <c r="R359" s="80" t="e" cm="1">
        <f t="array" ref="R359">_xlfn.IFS(P359="Service", _xlfn.IFS(I359="SALES","GP",I359="SERVICE SALES","GP",I359="PARTS SALES","GP",I359="SERVICE COS","GP",I359="PARTS COS","GP",I359="SELLING EXPENSES","Selling Expenses",I359="EMPLOYMENT EXPENSES","Selling Expenses",I359="EMPLOYMENT EXPENSES","Selling Expenses",I359="DIRECT EXPENSES","Selling Expenses",I359="INDIRECT EXPENSES","Selling Expenses"),P359="Parts",_xlfn.IFS(I359="SALES","GP",I359="SERVICE SALES","GP",I359="PARTS SALES","GP",I359="SERVICE COS","GP",I359="PARTS COS","GP",I359="SELLING EXPENSES","Selling Expenses",I359="EMPLOYMENT EXPENSES","Selling Expenses",I359="EMPLOYMENT EXPENSES","Selling Expenses",I359="DIRECT EXPENSES","Selling Expenses",I359="INDIRECT EXPENSES","Selling Expenses"))</f>
        <v>#N/A</v>
      </c>
    </row>
    <row r="360" spans="1:18" x14ac:dyDescent="0.2">
      <c r="A360" s="75" t="s">
        <v>598</v>
      </c>
      <c r="B360" s="76" t="s">
        <v>599</v>
      </c>
      <c r="C360" s="76">
        <v>112</v>
      </c>
      <c r="D360" s="76" t="s">
        <v>349</v>
      </c>
      <c r="E360" s="76" t="s">
        <v>426</v>
      </c>
      <c r="F360" s="77">
        <v>-111304.35</v>
      </c>
      <c r="G360" s="77">
        <v>0</v>
      </c>
      <c r="H360" s="77">
        <v>-111304.35</v>
      </c>
      <c r="I360" s="76" t="s">
        <v>482</v>
      </c>
      <c r="J360" s="77">
        <v>0</v>
      </c>
      <c r="K360" s="78">
        <v>0</v>
      </c>
      <c r="M360" s="79" t="str">
        <f t="shared" si="17"/>
        <v>112-3144R</v>
      </c>
      <c r="N360" s="79" t="str">
        <f t="shared" si="15"/>
        <v/>
      </c>
      <c r="O360" s="79" t="str">
        <f t="shared" si="16"/>
        <v>112</v>
      </c>
      <c r="P360" s="79" t="str">
        <f>IFERROR(VLOOKUP($M360,Export!$P:$R,2,FALSE),"-")</f>
        <v>LEX New Vehicle</v>
      </c>
      <c r="Q360" s="79" t="str">
        <f>IFERROR(VLOOKUP($M360,Export!$P:$R,3,FALSE),"-")</f>
        <v>LEX New VehicleRetail Gross p.u.</v>
      </c>
      <c r="R360" s="80" t="e" cm="1">
        <f t="array" ref="R360">_xlfn.IFS(P360="Service", _xlfn.IFS(I360="SALES","GP",I360="SERVICE SALES","GP",I360="PARTS SALES","GP",I360="SERVICE COS","GP",I360="PARTS COS","GP",I360="SELLING EXPENSES","Selling Expenses",I360="EMPLOYMENT EXPENSES","Selling Expenses",I360="EMPLOYMENT EXPENSES","Selling Expenses",I360="DIRECT EXPENSES","Selling Expenses",I360="INDIRECT EXPENSES","Selling Expenses"),P360="Parts",_xlfn.IFS(I360="SALES","GP",I360="SERVICE SALES","GP",I360="PARTS SALES","GP",I360="SERVICE COS","GP",I360="PARTS COS","GP",I360="SELLING EXPENSES","Selling Expenses",I360="EMPLOYMENT EXPENSES","Selling Expenses",I360="EMPLOYMENT EXPENSES","Selling Expenses",I360="DIRECT EXPENSES","Selling Expenses",I360="INDIRECT EXPENSES","Selling Expenses"))</f>
        <v>#N/A</v>
      </c>
    </row>
    <row r="361" spans="1:18" x14ac:dyDescent="0.2">
      <c r="A361" s="75" t="s">
        <v>600</v>
      </c>
      <c r="B361" s="76" t="s">
        <v>601</v>
      </c>
      <c r="C361" s="76">
        <v>110</v>
      </c>
      <c r="D361" s="76" t="s">
        <v>430</v>
      </c>
      <c r="E361" s="76" t="s">
        <v>247</v>
      </c>
      <c r="F361" s="77">
        <v>5</v>
      </c>
      <c r="G361" s="77">
        <v>0</v>
      </c>
      <c r="H361" s="77">
        <v>5</v>
      </c>
      <c r="I361" s="76" t="s">
        <v>482</v>
      </c>
      <c r="J361" s="77">
        <v>2</v>
      </c>
      <c r="K361" s="78">
        <v>14</v>
      </c>
      <c r="M361" s="79" t="str">
        <f t="shared" si="17"/>
        <v>110-6002R#</v>
      </c>
      <c r="N361" s="79" t="str">
        <f t="shared" si="15"/>
        <v>#</v>
      </c>
      <c r="O361" s="79" t="str">
        <f t="shared" si="16"/>
        <v>110#</v>
      </c>
      <c r="P361" s="79" t="str">
        <f>IFERROR(VLOOKUP($M361,Export!$P:$R,2,FALSE),"-")</f>
        <v>-</v>
      </c>
      <c r="Q361" s="79" t="str">
        <f>IFERROR(VLOOKUP($M361,Export!$P:$R,3,FALSE),"-")</f>
        <v>-</v>
      </c>
      <c r="R361" s="80" t="e" cm="1">
        <f t="array" ref="R361">_xlfn.IFS(P361="Service", _xlfn.IFS(I361="SALES","GP",I361="SERVICE SALES","GP",I361="PARTS SALES","GP",I361="SERVICE COS","GP",I361="PARTS COS","GP",I361="SELLING EXPENSES","Selling Expenses",I361="EMPLOYMENT EXPENSES","Selling Expenses",I361="EMPLOYMENT EXPENSES","Selling Expenses",I361="DIRECT EXPENSES","Selling Expenses",I361="INDIRECT EXPENSES","Selling Expenses"),P361="Parts",_xlfn.IFS(I361="SALES","GP",I361="SERVICE SALES","GP",I361="PARTS SALES","GP",I361="SERVICE COS","GP",I361="PARTS COS","GP",I361="SELLING EXPENSES","Selling Expenses",I361="EMPLOYMENT EXPENSES","Selling Expenses",I361="EMPLOYMENT EXPENSES","Selling Expenses",I361="DIRECT EXPENSES","Selling Expenses",I361="INDIRECT EXPENSES","Selling Expenses"))</f>
        <v>#N/A</v>
      </c>
    </row>
    <row r="362" spans="1:18" x14ac:dyDescent="0.2">
      <c r="A362" s="75" t="s">
        <v>600</v>
      </c>
      <c r="B362" s="76" t="s">
        <v>601</v>
      </c>
      <c r="C362" s="76">
        <v>210</v>
      </c>
      <c r="D362" s="76" t="s">
        <v>436</v>
      </c>
      <c r="E362" s="76" t="s">
        <v>247</v>
      </c>
      <c r="F362" s="77">
        <v>4</v>
      </c>
      <c r="G362" s="77">
        <v>3</v>
      </c>
      <c r="H362" s="77">
        <v>7</v>
      </c>
      <c r="I362" s="76" t="s">
        <v>482</v>
      </c>
      <c r="J362" s="77">
        <v>2</v>
      </c>
      <c r="K362" s="78">
        <v>11</v>
      </c>
      <c r="M362" s="79" t="str">
        <f t="shared" si="17"/>
        <v>210-6002R#</v>
      </c>
      <c r="N362" s="79" t="str">
        <f t="shared" si="15"/>
        <v>#</v>
      </c>
      <c r="O362" s="79" t="str">
        <f t="shared" si="16"/>
        <v>210#</v>
      </c>
      <c r="P362" s="79" t="str">
        <f>IFERROR(VLOOKUP($M362,Export!$P:$R,2,FALSE),"-")</f>
        <v>-</v>
      </c>
      <c r="Q362" s="79" t="str">
        <f>IFERROR(VLOOKUP($M362,Export!$P:$R,3,FALSE),"-")</f>
        <v>-</v>
      </c>
      <c r="R362" s="80" t="e" cm="1">
        <f t="array" ref="R362">_xlfn.IFS(P362="Service", _xlfn.IFS(I362="SALES","GP",I362="SERVICE SALES","GP",I362="PARTS SALES","GP",I362="SERVICE COS","GP",I362="PARTS COS","GP",I362="SELLING EXPENSES","Selling Expenses",I362="EMPLOYMENT EXPENSES","Selling Expenses",I362="EMPLOYMENT EXPENSES","Selling Expenses",I362="DIRECT EXPENSES","Selling Expenses",I362="INDIRECT EXPENSES","Selling Expenses"),P362="Parts",_xlfn.IFS(I362="SALES","GP",I362="SERVICE SALES","GP",I362="PARTS SALES","GP",I362="SERVICE COS","GP",I362="PARTS COS","GP",I362="SELLING EXPENSES","Selling Expenses",I362="EMPLOYMENT EXPENSES","Selling Expenses",I362="EMPLOYMENT EXPENSES","Selling Expenses",I362="DIRECT EXPENSES","Selling Expenses",I362="INDIRECT EXPENSES","Selling Expenses"))</f>
        <v>#N/A</v>
      </c>
    </row>
    <row r="363" spans="1:18" x14ac:dyDescent="0.2">
      <c r="A363" s="75" t="s">
        <v>602</v>
      </c>
      <c r="B363" s="76" t="s">
        <v>603</v>
      </c>
      <c r="C363" s="76">
        <v>110</v>
      </c>
      <c r="D363" s="76" t="s">
        <v>430</v>
      </c>
      <c r="E363" s="76" t="s">
        <v>247</v>
      </c>
      <c r="F363" s="77">
        <v>3</v>
      </c>
      <c r="G363" s="77">
        <v>0</v>
      </c>
      <c r="H363" s="77">
        <v>3</v>
      </c>
      <c r="I363" s="76" t="s">
        <v>482</v>
      </c>
      <c r="J363" s="77">
        <v>1</v>
      </c>
      <c r="K363" s="78">
        <v>8</v>
      </c>
      <c r="M363" s="79" t="str">
        <f t="shared" si="17"/>
        <v>110-6004R#</v>
      </c>
      <c r="N363" s="79" t="str">
        <f t="shared" si="15"/>
        <v>#</v>
      </c>
      <c r="O363" s="79" t="str">
        <f t="shared" si="16"/>
        <v>110#</v>
      </c>
      <c r="P363" s="79" t="str">
        <f>IFERROR(VLOOKUP($M363,Export!$P:$R,2,FALSE),"-")</f>
        <v>-</v>
      </c>
      <c r="Q363" s="79" t="str">
        <f>IFERROR(VLOOKUP($M363,Export!$P:$R,3,FALSE),"-")</f>
        <v>-</v>
      </c>
      <c r="R363" s="80" t="e" cm="1">
        <f t="array" ref="R363">_xlfn.IFS(P363="Service", _xlfn.IFS(I363="SALES","GP",I363="SERVICE SALES","GP",I363="PARTS SALES","GP",I363="SERVICE COS","GP",I363="PARTS COS","GP",I363="SELLING EXPENSES","Selling Expenses",I363="EMPLOYMENT EXPENSES","Selling Expenses",I363="EMPLOYMENT EXPENSES","Selling Expenses",I363="DIRECT EXPENSES","Selling Expenses",I363="INDIRECT EXPENSES","Selling Expenses"),P363="Parts",_xlfn.IFS(I363="SALES","GP",I363="SERVICE SALES","GP",I363="PARTS SALES","GP",I363="SERVICE COS","GP",I363="PARTS COS","GP",I363="SELLING EXPENSES","Selling Expenses",I363="EMPLOYMENT EXPENSES","Selling Expenses",I363="EMPLOYMENT EXPENSES","Selling Expenses",I363="DIRECT EXPENSES","Selling Expenses",I363="INDIRECT EXPENSES","Selling Expenses"))</f>
        <v>#N/A</v>
      </c>
    </row>
    <row r="364" spans="1:18" x14ac:dyDescent="0.2">
      <c r="A364" s="75" t="s">
        <v>602</v>
      </c>
      <c r="B364" s="76" t="s">
        <v>603</v>
      </c>
      <c r="C364" s="76">
        <v>210</v>
      </c>
      <c r="D364" s="76" t="s">
        <v>436</v>
      </c>
      <c r="E364" s="76" t="s">
        <v>247</v>
      </c>
      <c r="F364" s="77">
        <v>3</v>
      </c>
      <c r="G364" s="77">
        <v>1</v>
      </c>
      <c r="H364" s="77">
        <v>4</v>
      </c>
      <c r="I364" s="76" t="s">
        <v>482</v>
      </c>
      <c r="J364" s="77">
        <v>3</v>
      </c>
      <c r="K364" s="78">
        <v>12</v>
      </c>
      <c r="M364" s="79" t="str">
        <f t="shared" si="17"/>
        <v>210-6004R#</v>
      </c>
      <c r="N364" s="79" t="str">
        <f t="shared" si="15"/>
        <v>#</v>
      </c>
      <c r="O364" s="79" t="str">
        <f t="shared" si="16"/>
        <v>210#</v>
      </c>
      <c r="P364" s="79" t="str">
        <f>IFERROR(VLOOKUP($M364,Export!$P:$R,2,FALSE),"-")</f>
        <v>-</v>
      </c>
      <c r="Q364" s="79" t="str">
        <f>IFERROR(VLOOKUP($M364,Export!$P:$R,3,FALSE),"-")</f>
        <v>-</v>
      </c>
      <c r="R364" s="80" t="e" cm="1">
        <f t="array" ref="R364">_xlfn.IFS(P364="Service", _xlfn.IFS(I364="SALES","GP",I364="SERVICE SALES","GP",I364="PARTS SALES","GP",I364="SERVICE COS","GP",I364="PARTS COS","GP",I364="SELLING EXPENSES","Selling Expenses",I364="EMPLOYMENT EXPENSES","Selling Expenses",I364="EMPLOYMENT EXPENSES","Selling Expenses",I364="DIRECT EXPENSES","Selling Expenses",I364="INDIRECT EXPENSES","Selling Expenses"),P364="Parts",_xlfn.IFS(I364="SALES","GP",I364="SERVICE SALES","GP",I364="PARTS SALES","GP",I364="SERVICE COS","GP",I364="PARTS COS","GP",I364="SELLING EXPENSES","Selling Expenses",I364="EMPLOYMENT EXPENSES","Selling Expenses",I364="EMPLOYMENT EXPENSES","Selling Expenses",I364="DIRECT EXPENSES","Selling Expenses",I364="INDIRECT EXPENSES","Selling Expenses"))</f>
        <v>#N/A</v>
      </c>
    </row>
    <row r="365" spans="1:18" x14ac:dyDescent="0.2">
      <c r="A365" s="75" t="s">
        <v>604</v>
      </c>
      <c r="B365" s="76" t="s">
        <v>605</v>
      </c>
      <c r="C365" s="76">
        <v>110</v>
      </c>
      <c r="D365" s="76" t="s">
        <v>430</v>
      </c>
      <c r="E365" s="76" t="s">
        <v>247</v>
      </c>
      <c r="F365" s="77">
        <v>1</v>
      </c>
      <c r="G365" s="77">
        <v>0</v>
      </c>
      <c r="H365" s="77">
        <v>1</v>
      </c>
      <c r="I365" s="76" t="s">
        <v>482</v>
      </c>
      <c r="J365" s="77">
        <v>0</v>
      </c>
      <c r="K365" s="78">
        <v>5</v>
      </c>
      <c r="M365" s="79" t="str">
        <f t="shared" si="17"/>
        <v>110-6006R#</v>
      </c>
      <c r="N365" s="79" t="str">
        <f t="shared" si="15"/>
        <v>#</v>
      </c>
      <c r="O365" s="79" t="str">
        <f t="shared" si="16"/>
        <v>110#</v>
      </c>
      <c r="P365" s="79" t="str">
        <f>IFERROR(VLOOKUP($M365,Export!$P:$R,2,FALSE),"-")</f>
        <v>-</v>
      </c>
      <c r="Q365" s="79" t="str">
        <f>IFERROR(VLOOKUP($M365,Export!$P:$R,3,FALSE),"-")</f>
        <v>-</v>
      </c>
      <c r="R365" s="80" t="e" cm="1">
        <f t="array" ref="R365">_xlfn.IFS(P365="Service", _xlfn.IFS(I365="SALES","GP",I365="SERVICE SALES","GP",I365="PARTS SALES","GP",I365="SERVICE COS","GP",I365="PARTS COS","GP",I365="SELLING EXPENSES","Selling Expenses",I365="EMPLOYMENT EXPENSES","Selling Expenses",I365="EMPLOYMENT EXPENSES","Selling Expenses",I365="DIRECT EXPENSES","Selling Expenses",I365="INDIRECT EXPENSES","Selling Expenses"),P365="Parts",_xlfn.IFS(I365="SALES","GP",I365="SERVICE SALES","GP",I365="PARTS SALES","GP",I365="SERVICE COS","GP",I365="PARTS COS","GP",I365="SELLING EXPENSES","Selling Expenses",I365="EMPLOYMENT EXPENSES","Selling Expenses",I365="EMPLOYMENT EXPENSES","Selling Expenses",I365="DIRECT EXPENSES","Selling Expenses",I365="INDIRECT EXPENSES","Selling Expenses"))</f>
        <v>#N/A</v>
      </c>
    </row>
    <row r="366" spans="1:18" x14ac:dyDescent="0.2">
      <c r="A366" s="75" t="s">
        <v>604</v>
      </c>
      <c r="B366" s="76" t="s">
        <v>605</v>
      </c>
      <c r="C366" s="76">
        <v>210</v>
      </c>
      <c r="D366" s="76" t="s">
        <v>436</v>
      </c>
      <c r="E366" s="76" t="s">
        <v>247</v>
      </c>
      <c r="F366" s="77">
        <v>0</v>
      </c>
      <c r="G366" s="77">
        <v>0</v>
      </c>
      <c r="H366" s="77">
        <v>0</v>
      </c>
      <c r="I366" s="76" t="s">
        <v>482</v>
      </c>
      <c r="J366" s="77">
        <v>0</v>
      </c>
      <c r="K366" s="78">
        <v>1</v>
      </c>
      <c r="M366" s="79" t="str">
        <f t="shared" si="17"/>
        <v>210-6006R#</v>
      </c>
      <c r="N366" s="79" t="str">
        <f t="shared" si="15"/>
        <v>#</v>
      </c>
      <c r="O366" s="79" t="str">
        <f t="shared" si="16"/>
        <v>210#</v>
      </c>
      <c r="P366" s="79" t="str">
        <f>IFERROR(VLOOKUP($M366,Export!$P:$R,2,FALSE),"-")</f>
        <v>-</v>
      </c>
      <c r="Q366" s="79" t="str">
        <f>IFERROR(VLOOKUP($M366,Export!$P:$R,3,FALSE),"-")</f>
        <v>-</v>
      </c>
      <c r="R366" s="80" t="e" cm="1">
        <f t="array" ref="R366">_xlfn.IFS(P366="Service", _xlfn.IFS(I366="SALES","GP",I366="SERVICE SALES","GP",I366="PARTS SALES","GP",I366="SERVICE COS","GP",I366="PARTS COS","GP",I366="SELLING EXPENSES","Selling Expenses",I366="EMPLOYMENT EXPENSES","Selling Expenses",I366="EMPLOYMENT EXPENSES","Selling Expenses",I366="DIRECT EXPENSES","Selling Expenses",I366="INDIRECT EXPENSES","Selling Expenses"),P366="Parts",_xlfn.IFS(I366="SALES","GP",I366="SERVICE SALES","GP",I366="PARTS SALES","GP",I366="SERVICE COS","GP",I366="PARTS COS","GP",I366="SELLING EXPENSES","Selling Expenses",I366="EMPLOYMENT EXPENSES","Selling Expenses",I366="EMPLOYMENT EXPENSES","Selling Expenses",I366="DIRECT EXPENSES","Selling Expenses",I366="INDIRECT EXPENSES","Selling Expenses"))</f>
        <v>#N/A</v>
      </c>
    </row>
    <row r="367" spans="1:18" x14ac:dyDescent="0.2">
      <c r="A367" s="75" t="s">
        <v>606</v>
      </c>
      <c r="B367" s="76" t="s">
        <v>607</v>
      </c>
      <c r="C367" s="76">
        <v>110</v>
      </c>
      <c r="D367" s="76" t="s">
        <v>430</v>
      </c>
      <c r="E367" s="76" t="s">
        <v>247</v>
      </c>
      <c r="F367" s="77">
        <v>0</v>
      </c>
      <c r="G367" s="77">
        <v>0</v>
      </c>
      <c r="H367" s="77">
        <v>0</v>
      </c>
      <c r="I367" s="76" t="s">
        <v>482</v>
      </c>
      <c r="J367" s="77">
        <v>0</v>
      </c>
      <c r="K367" s="78">
        <v>1</v>
      </c>
      <c r="M367" s="79" t="str">
        <f t="shared" si="17"/>
        <v>110-6007R#</v>
      </c>
      <c r="N367" s="79" t="str">
        <f t="shared" si="15"/>
        <v>#</v>
      </c>
      <c r="O367" s="79" t="str">
        <f t="shared" si="16"/>
        <v>110#</v>
      </c>
      <c r="P367" s="79" t="str">
        <f>IFERROR(VLOOKUP($M367,Export!$P:$R,2,FALSE),"-")</f>
        <v>-</v>
      </c>
      <c r="Q367" s="79" t="str">
        <f>IFERROR(VLOOKUP($M367,Export!$P:$R,3,FALSE),"-")</f>
        <v>-</v>
      </c>
      <c r="R367" s="80" t="e" cm="1">
        <f t="array" ref="R367">_xlfn.IFS(P367="Service", _xlfn.IFS(I367="SALES","GP",I367="SERVICE SALES","GP",I367="PARTS SALES","GP",I367="SERVICE COS","GP",I367="PARTS COS","GP",I367="SELLING EXPENSES","Selling Expenses",I367="EMPLOYMENT EXPENSES","Selling Expenses",I367="EMPLOYMENT EXPENSES","Selling Expenses",I367="DIRECT EXPENSES","Selling Expenses",I367="INDIRECT EXPENSES","Selling Expenses"),P367="Parts",_xlfn.IFS(I367="SALES","GP",I367="SERVICE SALES","GP",I367="PARTS SALES","GP",I367="SERVICE COS","GP",I367="PARTS COS","GP",I367="SELLING EXPENSES","Selling Expenses",I367="EMPLOYMENT EXPENSES","Selling Expenses",I367="EMPLOYMENT EXPENSES","Selling Expenses",I367="DIRECT EXPENSES","Selling Expenses",I367="INDIRECT EXPENSES","Selling Expenses"))</f>
        <v>#N/A</v>
      </c>
    </row>
    <row r="368" spans="1:18" x14ac:dyDescent="0.2">
      <c r="A368" s="75" t="s">
        <v>608</v>
      </c>
      <c r="B368" s="76" t="s">
        <v>609</v>
      </c>
      <c r="C368" s="76">
        <v>110</v>
      </c>
      <c r="D368" s="76" t="s">
        <v>430</v>
      </c>
      <c r="E368" s="76" t="s">
        <v>247</v>
      </c>
      <c r="F368" s="77">
        <v>0</v>
      </c>
      <c r="G368" s="77">
        <v>0</v>
      </c>
      <c r="H368" s="77">
        <v>0</v>
      </c>
      <c r="I368" s="76" t="s">
        <v>482</v>
      </c>
      <c r="J368" s="77">
        <v>0</v>
      </c>
      <c r="K368" s="78">
        <v>1</v>
      </c>
      <c r="M368" s="79" t="str">
        <f t="shared" si="17"/>
        <v>110-6008R#</v>
      </c>
      <c r="N368" s="79" t="str">
        <f t="shared" si="15"/>
        <v>#</v>
      </c>
      <c r="O368" s="79" t="str">
        <f t="shared" si="16"/>
        <v>110#</v>
      </c>
      <c r="P368" s="79" t="str">
        <f>IFERROR(VLOOKUP($M368,Export!$P:$R,2,FALSE),"-")</f>
        <v>-</v>
      </c>
      <c r="Q368" s="79" t="str">
        <f>IFERROR(VLOOKUP($M368,Export!$P:$R,3,FALSE),"-")</f>
        <v>-</v>
      </c>
      <c r="R368" s="80" t="e" cm="1">
        <f t="array" ref="R368">_xlfn.IFS(P368="Service", _xlfn.IFS(I368="SALES","GP",I368="SERVICE SALES","GP",I368="PARTS SALES","GP",I368="SERVICE COS","GP",I368="PARTS COS","GP",I368="SELLING EXPENSES","Selling Expenses",I368="EMPLOYMENT EXPENSES","Selling Expenses",I368="EMPLOYMENT EXPENSES","Selling Expenses",I368="DIRECT EXPENSES","Selling Expenses",I368="INDIRECT EXPENSES","Selling Expenses"),P368="Parts",_xlfn.IFS(I368="SALES","GP",I368="SERVICE SALES","GP",I368="PARTS SALES","GP",I368="SERVICE COS","GP",I368="PARTS COS","GP",I368="SELLING EXPENSES","Selling Expenses",I368="EMPLOYMENT EXPENSES","Selling Expenses",I368="EMPLOYMENT EXPENSES","Selling Expenses",I368="DIRECT EXPENSES","Selling Expenses",I368="INDIRECT EXPENSES","Selling Expenses"))</f>
        <v>#N/A</v>
      </c>
    </row>
    <row r="369" spans="1:18" x14ac:dyDescent="0.2">
      <c r="A369" s="75" t="s">
        <v>608</v>
      </c>
      <c r="B369" s="76" t="s">
        <v>609</v>
      </c>
      <c r="C369" s="76">
        <v>210</v>
      </c>
      <c r="D369" s="76" t="s">
        <v>436</v>
      </c>
      <c r="E369" s="76" t="s">
        <v>247</v>
      </c>
      <c r="F369" s="77">
        <v>1</v>
      </c>
      <c r="G369" s="77">
        <v>0</v>
      </c>
      <c r="H369" s="77">
        <v>1</v>
      </c>
      <c r="I369" s="76" t="s">
        <v>482</v>
      </c>
      <c r="J369" s="77">
        <v>0</v>
      </c>
      <c r="K369" s="78">
        <v>1</v>
      </c>
      <c r="M369" s="79" t="str">
        <f t="shared" si="17"/>
        <v>210-6008R#</v>
      </c>
      <c r="N369" s="79" t="str">
        <f t="shared" si="15"/>
        <v>#</v>
      </c>
      <c r="O369" s="79" t="str">
        <f t="shared" si="16"/>
        <v>210#</v>
      </c>
      <c r="P369" s="79" t="str">
        <f>IFERROR(VLOOKUP($M369,Export!$P:$R,2,FALSE),"-")</f>
        <v>-</v>
      </c>
      <c r="Q369" s="79" t="str">
        <f>IFERROR(VLOOKUP($M369,Export!$P:$R,3,FALSE),"-")</f>
        <v>-</v>
      </c>
      <c r="R369" s="80" t="e" cm="1">
        <f t="array" ref="R369">_xlfn.IFS(P369="Service", _xlfn.IFS(I369="SALES","GP",I369="SERVICE SALES","GP",I369="PARTS SALES","GP",I369="SERVICE COS","GP",I369="PARTS COS","GP",I369="SELLING EXPENSES","Selling Expenses",I369="EMPLOYMENT EXPENSES","Selling Expenses",I369="EMPLOYMENT EXPENSES","Selling Expenses",I369="DIRECT EXPENSES","Selling Expenses",I369="INDIRECT EXPENSES","Selling Expenses"),P369="Parts",_xlfn.IFS(I369="SALES","GP",I369="SERVICE SALES","GP",I369="PARTS SALES","GP",I369="SERVICE COS","GP",I369="PARTS COS","GP",I369="SELLING EXPENSES","Selling Expenses",I369="EMPLOYMENT EXPENSES","Selling Expenses",I369="EMPLOYMENT EXPENSES","Selling Expenses",I369="DIRECT EXPENSES","Selling Expenses",I369="INDIRECT EXPENSES","Selling Expenses"))</f>
        <v>#N/A</v>
      </c>
    </row>
    <row r="370" spans="1:18" x14ac:dyDescent="0.2">
      <c r="A370" s="75" t="s">
        <v>610</v>
      </c>
      <c r="B370" s="76" t="s">
        <v>611</v>
      </c>
      <c r="C370" s="76">
        <v>110</v>
      </c>
      <c r="D370" s="76" t="s">
        <v>430</v>
      </c>
      <c r="E370" s="76" t="s">
        <v>247</v>
      </c>
      <c r="F370" s="77">
        <v>0</v>
      </c>
      <c r="G370" s="77">
        <v>0</v>
      </c>
      <c r="H370" s="77">
        <v>0</v>
      </c>
      <c r="I370" s="76" t="s">
        <v>482</v>
      </c>
      <c r="J370" s="77">
        <v>1</v>
      </c>
      <c r="K370" s="78">
        <v>3</v>
      </c>
      <c r="M370" s="79" t="str">
        <f t="shared" si="17"/>
        <v>110-6010R#</v>
      </c>
      <c r="N370" s="79" t="str">
        <f t="shared" si="15"/>
        <v>#</v>
      </c>
      <c r="O370" s="79" t="str">
        <f t="shared" si="16"/>
        <v>110#</v>
      </c>
      <c r="P370" s="79" t="str">
        <f>IFERROR(VLOOKUP($M370,Export!$P:$R,2,FALSE),"-")</f>
        <v>-</v>
      </c>
      <c r="Q370" s="79" t="str">
        <f>IFERROR(VLOOKUP($M370,Export!$P:$R,3,FALSE),"-")</f>
        <v>-</v>
      </c>
      <c r="R370" s="80" t="e" cm="1">
        <f t="array" ref="R370">_xlfn.IFS(P370="Service", _xlfn.IFS(I370="SALES","GP",I370="SERVICE SALES","GP",I370="PARTS SALES","GP",I370="SERVICE COS","GP",I370="PARTS COS","GP",I370="SELLING EXPENSES","Selling Expenses",I370="EMPLOYMENT EXPENSES","Selling Expenses",I370="EMPLOYMENT EXPENSES","Selling Expenses",I370="DIRECT EXPENSES","Selling Expenses",I370="INDIRECT EXPENSES","Selling Expenses"),P370="Parts",_xlfn.IFS(I370="SALES","GP",I370="SERVICE SALES","GP",I370="PARTS SALES","GP",I370="SERVICE COS","GP",I370="PARTS COS","GP",I370="SELLING EXPENSES","Selling Expenses",I370="EMPLOYMENT EXPENSES","Selling Expenses",I370="EMPLOYMENT EXPENSES","Selling Expenses",I370="DIRECT EXPENSES","Selling Expenses",I370="INDIRECT EXPENSES","Selling Expenses"))</f>
        <v>#N/A</v>
      </c>
    </row>
    <row r="371" spans="1:18" x14ac:dyDescent="0.2">
      <c r="A371" s="75" t="s">
        <v>612</v>
      </c>
      <c r="B371" s="76" t="s">
        <v>613</v>
      </c>
      <c r="C371" s="76">
        <v>110</v>
      </c>
      <c r="D371" s="76" t="s">
        <v>430</v>
      </c>
      <c r="E371" s="76" t="s">
        <v>247</v>
      </c>
      <c r="F371" s="77">
        <v>1</v>
      </c>
      <c r="G371" s="77">
        <v>0</v>
      </c>
      <c r="H371" s="77">
        <v>1</v>
      </c>
      <c r="I371" s="76" t="s">
        <v>482</v>
      </c>
      <c r="J371" s="77">
        <v>0</v>
      </c>
      <c r="K371" s="78">
        <v>0</v>
      </c>
      <c r="M371" s="79" t="str">
        <f t="shared" si="17"/>
        <v>110-6011R#</v>
      </c>
      <c r="N371" s="79" t="str">
        <f t="shared" si="15"/>
        <v>#</v>
      </c>
      <c r="O371" s="79" t="str">
        <f t="shared" si="16"/>
        <v>110#</v>
      </c>
      <c r="P371" s="79" t="str">
        <f>IFERROR(VLOOKUP($M371,Export!$P:$R,2,FALSE),"-")</f>
        <v>-</v>
      </c>
      <c r="Q371" s="79" t="str">
        <f>IFERROR(VLOOKUP($M371,Export!$P:$R,3,FALSE),"-")</f>
        <v>-</v>
      </c>
      <c r="R371" s="80" t="e" cm="1">
        <f t="array" ref="R371">_xlfn.IFS(P371="Service", _xlfn.IFS(I371="SALES","GP",I371="SERVICE SALES","GP",I371="PARTS SALES","GP",I371="SERVICE COS","GP",I371="PARTS COS","GP",I371="SELLING EXPENSES","Selling Expenses",I371="EMPLOYMENT EXPENSES","Selling Expenses",I371="EMPLOYMENT EXPENSES","Selling Expenses",I371="DIRECT EXPENSES","Selling Expenses",I371="INDIRECT EXPENSES","Selling Expenses"),P371="Parts",_xlfn.IFS(I371="SALES","GP",I371="SERVICE SALES","GP",I371="PARTS SALES","GP",I371="SERVICE COS","GP",I371="PARTS COS","GP",I371="SELLING EXPENSES","Selling Expenses",I371="EMPLOYMENT EXPENSES","Selling Expenses",I371="EMPLOYMENT EXPENSES","Selling Expenses",I371="DIRECT EXPENSES","Selling Expenses",I371="INDIRECT EXPENSES","Selling Expenses"))</f>
        <v>#N/A</v>
      </c>
    </row>
    <row r="372" spans="1:18" x14ac:dyDescent="0.2">
      <c r="A372" s="75" t="s">
        <v>612</v>
      </c>
      <c r="B372" s="76" t="s">
        <v>613</v>
      </c>
      <c r="C372" s="76">
        <v>210</v>
      </c>
      <c r="D372" s="76" t="s">
        <v>436</v>
      </c>
      <c r="E372" s="76" t="s">
        <v>247</v>
      </c>
      <c r="F372" s="77">
        <v>0</v>
      </c>
      <c r="G372" s="77">
        <v>0</v>
      </c>
      <c r="H372" s="77">
        <v>0</v>
      </c>
      <c r="I372" s="76" t="s">
        <v>482</v>
      </c>
      <c r="J372" s="77">
        <v>0</v>
      </c>
      <c r="K372" s="78">
        <v>1</v>
      </c>
      <c r="M372" s="79" t="str">
        <f t="shared" si="17"/>
        <v>210-6011R#</v>
      </c>
      <c r="N372" s="79" t="str">
        <f t="shared" si="15"/>
        <v>#</v>
      </c>
      <c r="O372" s="79" t="str">
        <f t="shared" si="16"/>
        <v>210#</v>
      </c>
      <c r="P372" s="79" t="str">
        <f>IFERROR(VLOOKUP($M372,Export!$P:$R,2,FALSE),"-")</f>
        <v>-</v>
      </c>
      <c r="Q372" s="79" t="str">
        <f>IFERROR(VLOOKUP($M372,Export!$P:$R,3,FALSE),"-")</f>
        <v>-</v>
      </c>
      <c r="R372" s="80" t="e" cm="1">
        <f t="array" ref="R372">_xlfn.IFS(P372="Service", _xlfn.IFS(I372="SALES","GP",I372="SERVICE SALES","GP",I372="PARTS SALES","GP",I372="SERVICE COS","GP",I372="PARTS COS","GP",I372="SELLING EXPENSES","Selling Expenses",I372="EMPLOYMENT EXPENSES","Selling Expenses",I372="EMPLOYMENT EXPENSES","Selling Expenses",I372="DIRECT EXPENSES","Selling Expenses",I372="INDIRECT EXPENSES","Selling Expenses"),P372="Parts",_xlfn.IFS(I372="SALES","GP",I372="SERVICE SALES","GP",I372="PARTS SALES","GP",I372="SERVICE COS","GP",I372="PARTS COS","GP",I372="SELLING EXPENSES","Selling Expenses",I372="EMPLOYMENT EXPENSES","Selling Expenses",I372="EMPLOYMENT EXPENSES","Selling Expenses",I372="DIRECT EXPENSES","Selling Expenses",I372="INDIRECT EXPENSES","Selling Expenses"))</f>
        <v>#N/A</v>
      </c>
    </row>
    <row r="373" spans="1:18" x14ac:dyDescent="0.2">
      <c r="A373" s="75" t="s">
        <v>614</v>
      </c>
      <c r="B373" s="76" t="s">
        <v>615</v>
      </c>
      <c r="C373" s="76">
        <v>110</v>
      </c>
      <c r="D373" s="76" t="s">
        <v>430</v>
      </c>
      <c r="E373" s="76" t="s">
        <v>247</v>
      </c>
      <c r="F373" s="77">
        <v>0</v>
      </c>
      <c r="G373" s="77">
        <v>0</v>
      </c>
      <c r="H373" s="77">
        <v>0</v>
      </c>
      <c r="I373" s="76" t="s">
        <v>482</v>
      </c>
      <c r="J373" s="77">
        <v>1</v>
      </c>
      <c r="K373" s="78">
        <v>2</v>
      </c>
      <c r="M373" s="79" t="str">
        <f t="shared" si="17"/>
        <v>110-6037R#</v>
      </c>
      <c r="N373" s="79" t="str">
        <f t="shared" si="15"/>
        <v>#</v>
      </c>
      <c r="O373" s="79" t="str">
        <f t="shared" si="16"/>
        <v>110#</v>
      </c>
      <c r="P373" s="79" t="str">
        <f>IFERROR(VLOOKUP($M373,Export!$P:$R,2,FALSE),"-")</f>
        <v>-</v>
      </c>
      <c r="Q373" s="79" t="str">
        <f>IFERROR(VLOOKUP($M373,Export!$P:$R,3,FALSE),"-")</f>
        <v>-</v>
      </c>
      <c r="R373" s="80" t="e" cm="1">
        <f t="array" ref="R373">_xlfn.IFS(P373="Service", _xlfn.IFS(I373="SALES","GP",I373="SERVICE SALES","GP",I373="PARTS SALES","GP",I373="SERVICE COS","GP",I373="PARTS COS","GP",I373="SELLING EXPENSES","Selling Expenses",I373="EMPLOYMENT EXPENSES","Selling Expenses",I373="EMPLOYMENT EXPENSES","Selling Expenses",I373="DIRECT EXPENSES","Selling Expenses",I373="INDIRECT EXPENSES","Selling Expenses"),P373="Parts",_xlfn.IFS(I373="SALES","GP",I373="SERVICE SALES","GP",I373="PARTS SALES","GP",I373="SERVICE COS","GP",I373="PARTS COS","GP",I373="SELLING EXPENSES","Selling Expenses",I373="EMPLOYMENT EXPENSES","Selling Expenses",I373="EMPLOYMENT EXPENSES","Selling Expenses",I373="DIRECT EXPENSES","Selling Expenses",I373="INDIRECT EXPENSES","Selling Expenses"))</f>
        <v>#N/A</v>
      </c>
    </row>
    <row r="374" spans="1:18" x14ac:dyDescent="0.2">
      <c r="A374" s="75" t="s">
        <v>616</v>
      </c>
      <c r="B374" s="76" t="s">
        <v>617</v>
      </c>
      <c r="C374" s="76">
        <v>112</v>
      </c>
      <c r="D374" s="76" t="s">
        <v>349</v>
      </c>
      <c r="E374" s="76" t="s">
        <v>247</v>
      </c>
      <c r="F374" s="77">
        <v>0</v>
      </c>
      <c r="G374" s="77">
        <v>0</v>
      </c>
      <c r="H374" s="77">
        <v>0</v>
      </c>
      <c r="I374" s="76" t="s">
        <v>482</v>
      </c>
      <c r="J374" s="77">
        <v>0</v>
      </c>
      <c r="K374" s="78">
        <v>2</v>
      </c>
      <c r="M374" s="79" t="str">
        <f t="shared" si="17"/>
        <v>112-6039R#</v>
      </c>
      <c r="N374" s="79" t="str">
        <f t="shared" si="15"/>
        <v>#</v>
      </c>
      <c r="O374" s="79" t="str">
        <f t="shared" si="16"/>
        <v>112#</v>
      </c>
      <c r="P374" s="79" t="str">
        <f>IFERROR(VLOOKUP($M374,Export!$P:$R,2,FALSE),"-")</f>
        <v>-</v>
      </c>
      <c r="Q374" s="79" t="str">
        <f>IFERROR(VLOOKUP($M374,Export!$P:$R,3,FALSE),"-")</f>
        <v>-</v>
      </c>
      <c r="R374" s="80" t="e" cm="1">
        <f t="array" ref="R374">_xlfn.IFS(P374="Service", _xlfn.IFS(I374="SALES","GP",I374="SERVICE SALES","GP",I374="PARTS SALES","GP",I374="SERVICE COS","GP",I374="PARTS COS","GP",I374="SELLING EXPENSES","Selling Expenses",I374="EMPLOYMENT EXPENSES","Selling Expenses",I374="EMPLOYMENT EXPENSES","Selling Expenses",I374="DIRECT EXPENSES","Selling Expenses",I374="INDIRECT EXPENSES","Selling Expenses"),P374="Parts",_xlfn.IFS(I374="SALES","GP",I374="SERVICE SALES","GP",I374="PARTS SALES","GP",I374="SERVICE COS","GP",I374="PARTS COS","GP",I374="SELLING EXPENSES","Selling Expenses",I374="EMPLOYMENT EXPENSES","Selling Expenses",I374="EMPLOYMENT EXPENSES","Selling Expenses",I374="DIRECT EXPENSES","Selling Expenses",I374="INDIRECT EXPENSES","Selling Expenses"))</f>
        <v>#N/A</v>
      </c>
    </row>
    <row r="375" spans="1:18" x14ac:dyDescent="0.2">
      <c r="A375" s="75" t="s">
        <v>618</v>
      </c>
      <c r="B375" s="76" t="s">
        <v>619</v>
      </c>
      <c r="C375" s="76">
        <v>112</v>
      </c>
      <c r="D375" s="76" t="s">
        <v>349</v>
      </c>
      <c r="E375" s="76" t="s">
        <v>247</v>
      </c>
      <c r="F375" s="77">
        <v>8</v>
      </c>
      <c r="G375" s="77">
        <v>0</v>
      </c>
      <c r="H375" s="77">
        <v>8</v>
      </c>
      <c r="I375" s="76" t="s">
        <v>482</v>
      </c>
      <c r="J375" s="77">
        <v>1</v>
      </c>
      <c r="K375" s="78">
        <v>4</v>
      </c>
      <c r="M375" s="79" t="str">
        <f t="shared" si="17"/>
        <v>112-6040R#</v>
      </c>
      <c r="N375" s="79" t="str">
        <f t="shared" si="15"/>
        <v>#</v>
      </c>
      <c r="O375" s="79" t="str">
        <f t="shared" si="16"/>
        <v>112#</v>
      </c>
      <c r="P375" s="79" t="str">
        <f>IFERROR(VLOOKUP($M375,Export!$P:$R,2,FALSE),"-")</f>
        <v>-</v>
      </c>
      <c r="Q375" s="79" t="str">
        <f>IFERROR(VLOOKUP($M375,Export!$P:$R,3,FALSE),"-")</f>
        <v>-</v>
      </c>
      <c r="R375" s="80" t="e" cm="1">
        <f t="array" ref="R375">_xlfn.IFS(P375="Service", _xlfn.IFS(I375="SALES","GP",I375="SERVICE SALES","GP",I375="PARTS SALES","GP",I375="SERVICE COS","GP",I375="PARTS COS","GP",I375="SELLING EXPENSES","Selling Expenses",I375="EMPLOYMENT EXPENSES","Selling Expenses",I375="EMPLOYMENT EXPENSES","Selling Expenses",I375="DIRECT EXPENSES","Selling Expenses",I375="INDIRECT EXPENSES","Selling Expenses"),P375="Parts",_xlfn.IFS(I375="SALES","GP",I375="SERVICE SALES","GP",I375="PARTS SALES","GP",I375="SERVICE COS","GP",I375="PARTS COS","GP",I375="SELLING EXPENSES","Selling Expenses",I375="EMPLOYMENT EXPENSES","Selling Expenses",I375="EMPLOYMENT EXPENSES","Selling Expenses",I375="DIRECT EXPENSES","Selling Expenses",I375="INDIRECT EXPENSES","Selling Expenses"))</f>
        <v>#N/A</v>
      </c>
    </row>
    <row r="376" spans="1:18" x14ac:dyDescent="0.2">
      <c r="A376" s="75" t="s">
        <v>620</v>
      </c>
      <c r="B376" s="76" t="s">
        <v>621</v>
      </c>
      <c r="C376" s="76">
        <v>112</v>
      </c>
      <c r="D376" s="76" t="s">
        <v>349</v>
      </c>
      <c r="E376" s="76" t="s">
        <v>247</v>
      </c>
      <c r="F376" s="77">
        <v>17</v>
      </c>
      <c r="G376" s="77">
        <v>0</v>
      </c>
      <c r="H376" s="77">
        <v>17</v>
      </c>
      <c r="I376" s="76" t="s">
        <v>482</v>
      </c>
      <c r="J376" s="77">
        <v>0</v>
      </c>
      <c r="K376" s="78">
        <v>11</v>
      </c>
      <c r="M376" s="79" t="str">
        <f t="shared" si="17"/>
        <v>112-6042R#</v>
      </c>
      <c r="N376" s="79" t="str">
        <f t="shared" si="15"/>
        <v>#</v>
      </c>
      <c r="O376" s="79" t="str">
        <f t="shared" si="16"/>
        <v>112#</v>
      </c>
      <c r="P376" s="79" t="str">
        <f>IFERROR(VLOOKUP($M376,Export!$P:$R,2,FALSE),"-")</f>
        <v>-</v>
      </c>
      <c r="Q376" s="79" t="str">
        <f>IFERROR(VLOOKUP($M376,Export!$P:$R,3,FALSE),"-")</f>
        <v>-</v>
      </c>
      <c r="R376" s="80" t="e" cm="1">
        <f t="array" ref="R376">_xlfn.IFS(P376="Service", _xlfn.IFS(I376="SALES","GP",I376="SERVICE SALES","GP",I376="PARTS SALES","GP",I376="SERVICE COS","GP",I376="PARTS COS","GP",I376="SELLING EXPENSES","Selling Expenses",I376="EMPLOYMENT EXPENSES","Selling Expenses",I376="EMPLOYMENT EXPENSES","Selling Expenses",I376="DIRECT EXPENSES","Selling Expenses",I376="INDIRECT EXPENSES","Selling Expenses"),P376="Parts",_xlfn.IFS(I376="SALES","GP",I376="SERVICE SALES","GP",I376="PARTS SALES","GP",I376="SERVICE COS","GP",I376="PARTS COS","GP",I376="SELLING EXPENSES","Selling Expenses",I376="EMPLOYMENT EXPENSES","Selling Expenses",I376="EMPLOYMENT EXPENSES","Selling Expenses",I376="DIRECT EXPENSES","Selling Expenses",I376="INDIRECT EXPENSES","Selling Expenses"))</f>
        <v>#N/A</v>
      </c>
    </row>
    <row r="377" spans="1:18" x14ac:dyDescent="0.2">
      <c r="A377" s="75" t="s">
        <v>622</v>
      </c>
      <c r="B377" s="76" t="s">
        <v>623</v>
      </c>
      <c r="C377" s="76">
        <v>112</v>
      </c>
      <c r="D377" s="76" t="s">
        <v>349</v>
      </c>
      <c r="E377" s="76" t="s">
        <v>247</v>
      </c>
      <c r="F377" s="77">
        <v>2</v>
      </c>
      <c r="G377" s="77">
        <v>1</v>
      </c>
      <c r="H377" s="77">
        <v>3</v>
      </c>
      <c r="I377" s="76" t="s">
        <v>482</v>
      </c>
      <c r="J377" s="77">
        <v>0</v>
      </c>
      <c r="K377" s="78">
        <v>2</v>
      </c>
      <c r="M377" s="79" t="str">
        <f t="shared" si="17"/>
        <v>112-6046R#</v>
      </c>
      <c r="N377" s="79" t="str">
        <f t="shared" si="15"/>
        <v>#</v>
      </c>
      <c r="O377" s="79" t="str">
        <f t="shared" si="16"/>
        <v>112#</v>
      </c>
      <c r="P377" s="79" t="str">
        <f>IFERROR(VLOOKUP($M377,Export!$P:$R,2,FALSE),"-")</f>
        <v>-</v>
      </c>
      <c r="Q377" s="79" t="str">
        <f>IFERROR(VLOOKUP($M377,Export!$P:$R,3,FALSE),"-")</f>
        <v>-</v>
      </c>
      <c r="R377" s="80" t="e" cm="1">
        <f t="array" ref="R377">_xlfn.IFS(P377="Service", _xlfn.IFS(I377="SALES","GP",I377="SERVICE SALES","GP",I377="PARTS SALES","GP",I377="SERVICE COS","GP",I377="PARTS COS","GP",I377="SELLING EXPENSES","Selling Expenses",I377="EMPLOYMENT EXPENSES","Selling Expenses",I377="EMPLOYMENT EXPENSES","Selling Expenses",I377="DIRECT EXPENSES","Selling Expenses",I377="INDIRECT EXPENSES","Selling Expenses"),P377="Parts",_xlfn.IFS(I377="SALES","GP",I377="SERVICE SALES","GP",I377="PARTS SALES","GP",I377="SERVICE COS","GP",I377="PARTS COS","GP",I377="SELLING EXPENSES","Selling Expenses",I377="EMPLOYMENT EXPENSES","Selling Expenses",I377="EMPLOYMENT EXPENSES","Selling Expenses",I377="DIRECT EXPENSES","Selling Expenses",I377="INDIRECT EXPENSES","Selling Expenses"))</f>
        <v>#N/A</v>
      </c>
    </row>
    <row r="378" spans="1:18" x14ac:dyDescent="0.2">
      <c r="A378" s="75" t="s">
        <v>624</v>
      </c>
      <c r="B378" s="76" t="s">
        <v>625</v>
      </c>
      <c r="C378" s="76">
        <v>112</v>
      </c>
      <c r="D378" s="76" t="s">
        <v>349</v>
      </c>
      <c r="E378" s="76" t="s">
        <v>247</v>
      </c>
      <c r="F378" s="77">
        <v>5</v>
      </c>
      <c r="G378" s="77">
        <v>0</v>
      </c>
      <c r="H378" s="77">
        <v>5</v>
      </c>
      <c r="I378" s="76" t="s">
        <v>482</v>
      </c>
      <c r="J378" s="77">
        <v>5</v>
      </c>
      <c r="K378" s="78">
        <v>37</v>
      </c>
      <c r="M378" s="79" t="str">
        <f t="shared" si="17"/>
        <v>112-6049R#</v>
      </c>
      <c r="N378" s="79" t="str">
        <f t="shared" si="15"/>
        <v>#</v>
      </c>
      <c r="O378" s="79" t="str">
        <f t="shared" si="16"/>
        <v>112#</v>
      </c>
      <c r="P378" s="79" t="str">
        <f>IFERROR(VLOOKUP($M378,Export!$P:$R,2,FALSE),"-")</f>
        <v>-</v>
      </c>
      <c r="Q378" s="79" t="str">
        <f>IFERROR(VLOOKUP($M378,Export!$P:$R,3,FALSE),"-")</f>
        <v>-</v>
      </c>
      <c r="R378" s="80" t="e" cm="1">
        <f t="array" ref="R378">_xlfn.IFS(P378="Service", _xlfn.IFS(I378="SALES","GP",I378="SERVICE SALES","GP",I378="PARTS SALES","GP",I378="SERVICE COS","GP",I378="PARTS COS","GP",I378="SELLING EXPENSES","Selling Expenses",I378="EMPLOYMENT EXPENSES","Selling Expenses",I378="EMPLOYMENT EXPENSES","Selling Expenses",I378="DIRECT EXPENSES","Selling Expenses",I378="INDIRECT EXPENSES","Selling Expenses"),P378="Parts",_xlfn.IFS(I378="SALES","GP",I378="SERVICE SALES","GP",I378="PARTS SALES","GP",I378="SERVICE COS","GP",I378="PARTS COS","GP",I378="SELLING EXPENSES","Selling Expenses",I378="EMPLOYMENT EXPENSES","Selling Expenses",I378="EMPLOYMENT EXPENSES","Selling Expenses",I378="DIRECT EXPENSES","Selling Expenses",I378="INDIRECT EXPENSES","Selling Expenses"))</f>
        <v>#N/A</v>
      </c>
    </row>
    <row r="379" spans="1:18" x14ac:dyDescent="0.2">
      <c r="A379" s="75" t="s">
        <v>626</v>
      </c>
      <c r="B379" s="76" t="s">
        <v>627</v>
      </c>
      <c r="C379" s="76">
        <v>112</v>
      </c>
      <c r="D379" s="76" t="s">
        <v>349</v>
      </c>
      <c r="E379" s="76" t="s">
        <v>247</v>
      </c>
      <c r="F379" s="77">
        <v>25</v>
      </c>
      <c r="G379" s="77">
        <v>4</v>
      </c>
      <c r="H379" s="77">
        <v>29</v>
      </c>
      <c r="I379" s="76" t="s">
        <v>482</v>
      </c>
      <c r="J379" s="77">
        <v>5</v>
      </c>
      <c r="K379" s="78">
        <v>46</v>
      </c>
      <c r="M379" s="79" t="str">
        <f t="shared" si="17"/>
        <v>112-6050R#</v>
      </c>
      <c r="N379" s="79" t="str">
        <f t="shared" si="15"/>
        <v>#</v>
      </c>
      <c r="O379" s="79" t="str">
        <f t="shared" si="16"/>
        <v>112#</v>
      </c>
      <c r="P379" s="79" t="str">
        <f>IFERROR(VLOOKUP($M379,Export!$P:$R,2,FALSE),"-")</f>
        <v>-</v>
      </c>
      <c r="Q379" s="79" t="str">
        <f>IFERROR(VLOOKUP($M379,Export!$P:$R,3,FALSE),"-")</f>
        <v>-</v>
      </c>
      <c r="R379" s="80" t="e" cm="1">
        <f t="array" ref="R379">_xlfn.IFS(P379="Service", _xlfn.IFS(I379="SALES","GP",I379="SERVICE SALES","GP",I379="PARTS SALES","GP",I379="SERVICE COS","GP",I379="PARTS COS","GP",I379="SELLING EXPENSES","Selling Expenses",I379="EMPLOYMENT EXPENSES","Selling Expenses",I379="EMPLOYMENT EXPENSES","Selling Expenses",I379="DIRECT EXPENSES","Selling Expenses",I379="INDIRECT EXPENSES","Selling Expenses"),P379="Parts",_xlfn.IFS(I379="SALES","GP",I379="SERVICE SALES","GP",I379="PARTS SALES","GP",I379="SERVICE COS","GP",I379="PARTS COS","GP",I379="SELLING EXPENSES","Selling Expenses",I379="EMPLOYMENT EXPENSES","Selling Expenses",I379="EMPLOYMENT EXPENSES","Selling Expenses",I379="DIRECT EXPENSES","Selling Expenses",I379="INDIRECT EXPENSES","Selling Expenses"))</f>
        <v>#N/A</v>
      </c>
    </row>
    <row r="380" spans="1:18" x14ac:dyDescent="0.2">
      <c r="A380" s="75" t="s">
        <v>628</v>
      </c>
      <c r="B380" s="76" t="s">
        <v>629</v>
      </c>
      <c r="C380" s="76">
        <v>112</v>
      </c>
      <c r="D380" s="76" t="s">
        <v>349</v>
      </c>
      <c r="E380" s="76" t="s">
        <v>247</v>
      </c>
      <c r="F380" s="77">
        <v>0</v>
      </c>
      <c r="G380" s="77">
        <v>0</v>
      </c>
      <c r="H380" s="77">
        <v>0</v>
      </c>
      <c r="I380" s="76" t="s">
        <v>482</v>
      </c>
      <c r="J380" s="77">
        <v>1</v>
      </c>
      <c r="K380" s="78">
        <v>4</v>
      </c>
      <c r="M380" s="79" t="str">
        <f t="shared" si="17"/>
        <v>112-6051R#</v>
      </c>
      <c r="N380" s="79" t="str">
        <f t="shared" si="15"/>
        <v>#</v>
      </c>
      <c r="O380" s="79" t="str">
        <f t="shared" si="16"/>
        <v>112#</v>
      </c>
      <c r="P380" s="79" t="str">
        <f>IFERROR(VLOOKUP($M380,Export!$P:$R,2,FALSE),"-")</f>
        <v>-</v>
      </c>
      <c r="Q380" s="79" t="str">
        <f>IFERROR(VLOOKUP($M380,Export!$P:$R,3,FALSE),"-")</f>
        <v>-</v>
      </c>
      <c r="R380" s="80" t="e" cm="1">
        <f t="array" ref="R380">_xlfn.IFS(P380="Service", _xlfn.IFS(I380="SALES","GP",I380="SERVICE SALES","GP",I380="PARTS SALES","GP",I380="SERVICE COS","GP",I380="PARTS COS","GP",I380="SELLING EXPENSES","Selling Expenses",I380="EMPLOYMENT EXPENSES","Selling Expenses",I380="EMPLOYMENT EXPENSES","Selling Expenses",I380="DIRECT EXPENSES","Selling Expenses",I380="INDIRECT EXPENSES","Selling Expenses"),P380="Parts",_xlfn.IFS(I380="SALES","GP",I380="SERVICE SALES","GP",I380="PARTS SALES","GP",I380="SERVICE COS","GP",I380="PARTS COS","GP",I380="SELLING EXPENSES","Selling Expenses",I380="EMPLOYMENT EXPENSES","Selling Expenses",I380="EMPLOYMENT EXPENSES","Selling Expenses",I380="DIRECT EXPENSES","Selling Expenses",I380="INDIRECT EXPENSES","Selling Expenses"))</f>
        <v>#N/A</v>
      </c>
    </row>
    <row r="381" spans="1:18" x14ac:dyDescent="0.2">
      <c r="A381" s="75" t="s">
        <v>630</v>
      </c>
      <c r="B381" s="76" t="s">
        <v>631</v>
      </c>
      <c r="C381" s="76">
        <v>112</v>
      </c>
      <c r="D381" s="76" t="s">
        <v>349</v>
      </c>
      <c r="E381" s="76" t="s">
        <v>247</v>
      </c>
      <c r="F381" s="77">
        <v>0</v>
      </c>
      <c r="G381" s="77">
        <v>0</v>
      </c>
      <c r="H381" s="77">
        <v>0</v>
      </c>
      <c r="I381" s="76" t="s">
        <v>482</v>
      </c>
      <c r="J381" s="77">
        <v>0</v>
      </c>
      <c r="K381" s="78">
        <v>7</v>
      </c>
      <c r="M381" s="79" t="str">
        <f t="shared" si="17"/>
        <v>112-6052R#</v>
      </c>
      <c r="N381" s="79" t="str">
        <f t="shared" si="15"/>
        <v>#</v>
      </c>
      <c r="O381" s="79" t="str">
        <f t="shared" si="16"/>
        <v>112#</v>
      </c>
      <c r="P381" s="79" t="str">
        <f>IFERROR(VLOOKUP($M381,Export!$P:$R,2,FALSE),"-")</f>
        <v>-</v>
      </c>
      <c r="Q381" s="79" t="str">
        <f>IFERROR(VLOOKUP($M381,Export!$P:$R,3,FALSE),"-")</f>
        <v>-</v>
      </c>
      <c r="R381" s="80" t="e" cm="1">
        <f t="array" ref="R381">_xlfn.IFS(P381="Service", _xlfn.IFS(I381="SALES","GP",I381="SERVICE SALES","GP",I381="PARTS SALES","GP",I381="SERVICE COS","GP",I381="PARTS COS","GP",I381="SELLING EXPENSES","Selling Expenses",I381="EMPLOYMENT EXPENSES","Selling Expenses",I381="EMPLOYMENT EXPENSES","Selling Expenses",I381="DIRECT EXPENSES","Selling Expenses",I381="INDIRECT EXPENSES","Selling Expenses"),P381="Parts",_xlfn.IFS(I381="SALES","GP",I381="SERVICE SALES","GP",I381="PARTS SALES","GP",I381="SERVICE COS","GP",I381="PARTS COS","GP",I381="SELLING EXPENSES","Selling Expenses",I381="EMPLOYMENT EXPENSES","Selling Expenses",I381="EMPLOYMENT EXPENSES","Selling Expenses",I381="DIRECT EXPENSES","Selling Expenses",I381="INDIRECT EXPENSES","Selling Expenses"))</f>
        <v>#N/A</v>
      </c>
    </row>
    <row r="382" spans="1:18" x14ac:dyDescent="0.2">
      <c r="A382" s="75" t="s">
        <v>632</v>
      </c>
      <c r="B382" s="76" t="s">
        <v>633</v>
      </c>
      <c r="C382" s="76">
        <v>112</v>
      </c>
      <c r="D382" s="76" t="s">
        <v>349</v>
      </c>
      <c r="E382" s="76" t="s">
        <v>247</v>
      </c>
      <c r="F382" s="77">
        <v>30</v>
      </c>
      <c r="G382" s="77">
        <v>5</v>
      </c>
      <c r="H382" s="77">
        <v>35</v>
      </c>
      <c r="I382" s="76" t="s">
        <v>482</v>
      </c>
      <c r="J382" s="77">
        <v>1</v>
      </c>
      <c r="K382" s="78">
        <v>15</v>
      </c>
      <c r="M382" s="79" t="str">
        <f t="shared" si="17"/>
        <v>112-6054R#</v>
      </c>
      <c r="N382" s="79" t="str">
        <f t="shared" si="15"/>
        <v>#</v>
      </c>
      <c r="O382" s="79" t="str">
        <f t="shared" si="16"/>
        <v>112#</v>
      </c>
      <c r="P382" s="79" t="str">
        <f>IFERROR(VLOOKUP($M382,Export!$P:$R,2,FALSE),"-")</f>
        <v>-</v>
      </c>
      <c r="Q382" s="79" t="str">
        <f>IFERROR(VLOOKUP($M382,Export!$P:$R,3,FALSE),"-")</f>
        <v>-</v>
      </c>
      <c r="R382" s="80" t="e" cm="1">
        <f t="array" ref="R382">_xlfn.IFS(P382="Service", _xlfn.IFS(I382="SALES","GP",I382="SERVICE SALES","GP",I382="PARTS SALES","GP",I382="SERVICE COS","GP",I382="PARTS COS","GP",I382="SELLING EXPENSES","Selling Expenses",I382="EMPLOYMENT EXPENSES","Selling Expenses",I382="EMPLOYMENT EXPENSES","Selling Expenses",I382="DIRECT EXPENSES","Selling Expenses",I382="INDIRECT EXPENSES","Selling Expenses"),P382="Parts",_xlfn.IFS(I382="SALES","GP",I382="SERVICE SALES","GP",I382="PARTS SALES","GP",I382="SERVICE COS","GP",I382="PARTS COS","GP",I382="SELLING EXPENSES","Selling Expenses",I382="EMPLOYMENT EXPENSES","Selling Expenses",I382="EMPLOYMENT EXPENSES","Selling Expenses",I382="DIRECT EXPENSES","Selling Expenses",I382="INDIRECT EXPENSES","Selling Expenses"))</f>
        <v>#N/A</v>
      </c>
    </row>
    <row r="383" spans="1:18" x14ac:dyDescent="0.2">
      <c r="A383" s="75" t="s">
        <v>634</v>
      </c>
      <c r="B383" s="76" t="s">
        <v>635</v>
      </c>
      <c r="C383" s="76">
        <v>112</v>
      </c>
      <c r="D383" s="76" t="s">
        <v>349</v>
      </c>
      <c r="E383" s="76" t="s">
        <v>247</v>
      </c>
      <c r="F383" s="77">
        <v>0</v>
      </c>
      <c r="G383" s="77">
        <v>0</v>
      </c>
      <c r="H383" s="77">
        <v>0</v>
      </c>
      <c r="I383" s="76" t="s">
        <v>482</v>
      </c>
      <c r="J383" s="77">
        <v>1</v>
      </c>
      <c r="K383" s="78">
        <v>2</v>
      </c>
      <c r="M383" s="79" t="str">
        <f t="shared" si="17"/>
        <v>112-6058R#</v>
      </c>
      <c r="N383" s="79" t="str">
        <f t="shared" si="15"/>
        <v>#</v>
      </c>
      <c r="O383" s="79" t="str">
        <f t="shared" si="16"/>
        <v>112#</v>
      </c>
      <c r="P383" s="79" t="str">
        <f>IFERROR(VLOOKUP($M383,Export!$P:$R,2,FALSE),"-")</f>
        <v>-</v>
      </c>
      <c r="Q383" s="79" t="str">
        <f>IFERROR(VLOOKUP($M383,Export!$P:$R,3,FALSE),"-")</f>
        <v>-</v>
      </c>
      <c r="R383" s="80" t="e" cm="1">
        <f t="array" ref="R383">_xlfn.IFS(P383="Service", _xlfn.IFS(I383="SALES","GP",I383="SERVICE SALES","GP",I383="PARTS SALES","GP",I383="SERVICE COS","GP",I383="PARTS COS","GP",I383="SELLING EXPENSES","Selling Expenses",I383="EMPLOYMENT EXPENSES","Selling Expenses",I383="EMPLOYMENT EXPENSES","Selling Expenses",I383="DIRECT EXPENSES","Selling Expenses",I383="INDIRECT EXPENSES","Selling Expenses"),P383="Parts",_xlfn.IFS(I383="SALES","GP",I383="SERVICE SALES","GP",I383="PARTS SALES","GP",I383="SERVICE COS","GP",I383="PARTS COS","GP",I383="SELLING EXPENSES","Selling Expenses",I383="EMPLOYMENT EXPENSES","Selling Expenses",I383="EMPLOYMENT EXPENSES","Selling Expenses",I383="DIRECT EXPENSES","Selling Expenses",I383="INDIRECT EXPENSES","Selling Expenses"))</f>
        <v>#N/A</v>
      </c>
    </row>
    <row r="384" spans="1:18" x14ac:dyDescent="0.2">
      <c r="A384" s="75" t="s">
        <v>636</v>
      </c>
      <c r="B384" s="76" t="s">
        <v>637</v>
      </c>
      <c r="C384" s="76">
        <v>110</v>
      </c>
      <c r="D384" s="76" t="s">
        <v>430</v>
      </c>
      <c r="E384" s="76" t="s">
        <v>247</v>
      </c>
      <c r="F384" s="77">
        <v>64</v>
      </c>
      <c r="G384" s="77">
        <v>3</v>
      </c>
      <c r="H384" s="77">
        <v>67</v>
      </c>
      <c r="I384" s="76" t="s">
        <v>482</v>
      </c>
      <c r="J384" s="77">
        <v>1</v>
      </c>
      <c r="K384" s="78">
        <v>48</v>
      </c>
      <c r="M384" s="79" t="str">
        <f t="shared" si="17"/>
        <v>110-6060#</v>
      </c>
      <c r="N384" s="79" t="str">
        <f t="shared" si="15"/>
        <v>#</v>
      </c>
      <c r="O384" s="79" t="str">
        <f t="shared" si="16"/>
        <v>110#</v>
      </c>
      <c r="P384" s="79" t="str">
        <f>IFERROR(VLOOKUP($M384,Export!$P:$R,2,FALSE),"-")</f>
        <v>-</v>
      </c>
      <c r="Q384" s="79" t="str">
        <f>IFERROR(VLOOKUP($M384,Export!$P:$R,3,FALSE),"-")</f>
        <v>-</v>
      </c>
      <c r="R384" s="80" t="e" cm="1">
        <f t="array" ref="R384">_xlfn.IFS(P384="Service", _xlfn.IFS(I384="SALES","GP",I384="SERVICE SALES","GP",I384="PARTS SALES","GP",I384="SERVICE COS","GP",I384="PARTS COS","GP",I384="SELLING EXPENSES","Selling Expenses",I384="EMPLOYMENT EXPENSES","Selling Expenses",I384="EMPLOYMENT EXPENSES","Selling Expenses",I384="DIRECT EXPENSES","Selling Expenses",I384="INDIRECT EXPENSES","Selling Expenses"),P384="Parts",_xlfn.IFS(I384="SALES","GP",I384="SERVICE SALES","GP",I384="PARTS SALES","GP",I384="SERVICE COS","GP",I384="PARTS COS","GP",I384="SELLING EXPENSES","Selling Expenses",I384="EMPLOYMENT EXPENSES","Selling Expenses",I384="EMPLOYMENT EXPENSES","Selling Expenses",I384="DIRECT EXPENSES","Selling Expenses",I384="INDIRECT EXPENSES","Selling Expenses"))</f>
        <v>#N/A</v>
      </c>
    </row>
    <row r="385" spans="1:18" x14ac:dyDescent="0.2">
      <c r="A385" s="75" t="s">
        <v>636</v>
      </c>
      <c r="B385" s="76" t="s">
        <v>637</v>
      </c>
      <c r="C385" s="76">
        <v>210</v>
      </c>
      <c r="D385" s="76" t="s">
        <v>436</v>
      </c>
      <c r="E385" s="76" t="s">
        <v>247</v>
      </c>
      <c r="F385" s="77">
        <v>53</v>
      </c>
      <c r="G385" s="77">
        <v>6</v>
      </c>
      <c r="H385" s="77">
        <v>59</v>
      </c>
      <c r="I385" s="76" t="s">
        <v>482</v>
      </c>
      <c r="J385" s="77">
        <v>3</v>
      </c>
      <c r="K385" s="78">
        <v>72</v>
      </c>
      <c r="M385" s="79" t="str">
        <f t="shared" si="17"/>
        <v>210-6060#</v>
      </c>
      <c r="N385" s="79" t="str">
        <f t="shared" si="15"/>
        <v>#</v>
      </c>
      <c r="O385" s="79" t="str">
        <f t="shared" si="16"/>
        <v>210#</v>
      </c>
      <c r="P385" s="79" t="str">
        <f>IFERROR(VLOOKUP($M385,Export!$P:$R,2,FALSE),"-")</f>
        <v>-</v>
      </c>
      <c r="Q385" s="79" t="str">
        <f>IFERROR(VLOOKUP($M385,Export!$P:$R,3,FALSE),"-")</f>
        <v>-</v>
      </c>
      <c r="R385" s="80" t="e" cm="1">
        <f t="array" ref="R385">_xlfn.IFS(P385="Service", _xlfn.IFS(I385="SALES","GP",I385="SERVICE SALES","GP",I385="PARTS SALES","GP",I385="SERVICE COS","GP",I385="PARTS COS","GP",I385="SELLING EXPENSES","Selling Expenses",I385="EMPLOYMENT EXPENSES","Selling Expenses",I385="EMPLOYMENT EXPENSES","Selling Expenses",I385="DIRECT EXPENSES","Selling Expenses",I385="INDIRECT EXPENSES","Selling Expenses"),P385="Parts",_xlfn.IFS(I385="SALES","GP",I385="SERVICE SALES","GP",I385="PARTS SALES","GP",I385="SERVICE COS","GP",I385="PARTS COS","GP",I385="SELLING EXPENSES","Selling Expenses",I385="EMPLOYMENT EXPENSES","Selling Expenses",I385="EMPLOYMENT EXPENSES","Selling Expenses",I385="DIRECT EXPENSES","Selling Expenses",I385="INDIRECT EXPENSES","Selling Expenses"))</f>
        <v>#N/A</v>
      </c>
    </row>
    <row r="386" spans="1:18" x14ac:dyDescent="0.2">
      <c r="A386" s="75" t="s">
        <v>638</v>
      </c>
      <c r="B386" s="76" t="s">
        <v>639</v>
      </c>
      <c r="C386" s="76">
        <v>112</v>
      </c>
      <c r="D386" s="76" t="s">
        <v>349</v>
      </c>
      <c r="E386" s="76" t="s">
        <v>247</v>
      </c>
      <c r="F386" s="77">
        <v>36</v>
      </c>
      <c r="G386" s="77">
        <v>6</v>
      </c>
      <c r="H386" s="77">
        <v>42</v>
      </c>
      <c r="I386" s="76" t="s">
        <v>482</v>
      </c>
      <c r="J386" s="77">
        <v>0</v>
      </c>
      <c r="K386" s="78">
        <v>4</v>
      </c>
      <c r="M386" s="79" t="str">
        <f t="shared" si="17"/>
        <v>112-6061R#</v>
      </c>
      <c r="N386" s="79" t="str">
        <f t="shared" ref="N386:N449" si="18">+IF(RIGHT(A386,1)="#","#","")</f>
        <v>#</v>
      </c>
      <c r="O386" s="79" t="str">
        <f t="shared" ref="O386:O449" si="19">+C386&amp;N386</f>
        <v>112#</v>
      </c>
      <c r="P386" s="79" t="str">
        <f>IFERROR(VLOOKUP($M386,Export!$P:$R,2,FALSE),"-")</f>
        <v>-</v>
      </c>
      <c r="Q386" s="79" t="str">
        <f>IFERROR(VLOOKUP($M386,Export!$P:$R,3,FALSE),"-")</f>
        <v>-</v>
      </c>
      <c r="R386" s="80" t="e" cm="1">
        <f t="array" ref="R386">_xlfn.IFS(P386="Service", _xlfn.IFS(I386="SALES","GP",I386="SERVICE SALES","GP",I386="PARTS SALES","GP",I386="SERVICE COS","GP",I386="PARTS COS","GP",I386="SELLING EXPENSES","Selling Expenses",I386="EMPLOYMENT EXPENSES","Selling Expenses",I386="EMPLOYMENT EXPENSES","Selling Expenses",I386="DIRECT EXPENSES","Selling Expenses",I386="INDIRECT EXPENSES","Selling Expenses"),P386="Parts",_xlfn.IFS(I386="SALES","GP",I386="SERVICE SALES","GP",I386="PARTS SALES","GP",I386="SERVICE COS","GP",I386="PARTS COS","GP",I386="SELLING EXPENSES","Selling Expenses",I386="EMPLOYMENT EXPENSES","Selling Expenses",I386="EMPLOYMENT EXPENSES","Selling Expenses",I386="DIRECT EXPENSES","Selling Expenses",I386="INDIRECT EXPENSES","Selling Expenses"))</f>
        <v>#N/A</v>
      </c>
    </row>
    <row r="387" spans="1:18" x14ac:dyDescent="0.2">
      <c r="A387" s="75" t="s">
        <v>640</v>
      </c>
      <c r="B387" s="76" t="s">
        <v>641</v>
      </c>
      <c r="C387" s="76">
        <v>112</v>
      </c>
      <c r="D387" s="76" t="s">
        <v>349</v>
      </c>
      <c r="E387" s="76" t="s">
        <v>247</v>
      </c>
      <c r="F387" s="77">
        <v>1</v>
      </c>
      <c r="G387" s="77">
        <v>0</v>
      </c>
      <c r="H387" s="77">
        <v>1</v>
      </c>
      <c r="I387" s="76" t="s">
        <v>482</v>
      </c>
      <c r="J387" s="77">
        <v>0</v>
      </c>
      <c r="K387" s="78">
        <v>0</v>
      </c>
      <c r="M387" s="79" t="str">
        <f t="shared" ref="M387:M450" si="20">+C387&amp;"-"&amp;A387</f>
        <v>112-6063R#</v>
      </c>
      <c r="N387" s="79" t="str">
        <f t="shared" si="18"/>
        <v>#</v>
      </c>
      <c r="O387" s="79" t="str">
        <f t="shared" si="19"/>
        <v>112#</v>
      </c>
      <c r="P387" s="79" t="str">
        <f>IFERROR(VLOOKUP($M387,Export!$P:$R,2,FALSE),"-")</f>
        <v>-</v>
      </c>
      <c r="Q387" s="79" t="str">
        <f>IFERROR(VLOOKUP($M387,Export!$P:$R,3,FALSE),"-")</f>
        <v>-</v>
      </c>
      <c r="R387" s="80" t="e" cm="1">
        <f t="array" ref="R387">_xlfn.IFS(P387="Service", _xlfn.IFS(I387="SALES","GP",I387="SERVICE SALES","GP",I387="PARTS SALES","GP",I387="SERVICE COS","GP",I387="PARTS COS","GP",I387="SELLING EXPENSES","Selling Expenses",I387="EMPLOYMENT EXPENSES","Selling Expenses",I387="EMPLOYMENT EXPENSES","Selling Expenses",I387="DIRECT EXPENSES","Selling Expenses",I387="INDIRECT EXPENSES","Selling Expenses"),P387="Parts",_xlfn.IFS(I387="SALES","GP",I387="SERVICE SALES","GP",I387="PARTS SALES","GP",I387="SERVICE COS","GP",I387="PARTS COS","GP",I387="SELLING EXPENSES","Selling Expenses",I387="EMPLOYMENT EXPENSES","Selling Expenses",I387="EMPLOYMENT EXPENSES","Selling Expenses",I387="DIRECT EXPENSES","Selling Expenses",I387="INDIRECT EXPENSES","Selling Expenses"))</f>
        <v>#N/A</v>
      </c>
    </row>
    <row r="388" spans="1:18" x14ac:dyDescent="0.2">
      <c r="A388" s="75" t="s">
        <v>642</v>
      </c>
      <c r="B388" s="76" t="s">
        <v>643</v>
      </c>
      <c r="C388" s="76">
        <v>112</v>
      </c>
      <c r="D388" s="76" t="s">
        <v>349</v>
      </c>
      <c r="E388" s="76" t="s">
        <v>247</v>
      </c>
      <c r="F388" s="77">
        <v>63</v>
      </c>
      <c r="G388" s="77">
        <v>2</v>
      </c>
      <c r="H388" s="77">
        <v>65</v>
      </c>
      <c r="I388" s="76" t="s">
        <v>482</v>
      </c>
      <c r="J388" s="77">
        <v>2</v>
      </c>
      <c r="K388" s="78">
        <v>22</v>
      </c>
      <c r="M388" s="79" t="str">
        <f t="shared" si="20"/>
        <v>112-6070R#</v>
      </c>
      <c r="N388" s="79" t="str">
        <f t="shared" si="18"/>
        <v>#</v>
      </c>
      <c r="O388" s="79" t="str">
        <f t="shared" si="19"/>
        <v>112#</v>
      </c>
      <c r="P388" s="79" t="str">
        <f>IFERROR(VLOOKUP($M388,Export!$P:$R,2,FALSE),"-")</f>
        <v>-</v>
      </c>
      <c r="Q388" s="79" t="str">
        <f>IFERROR(VLOOKUP($M388,Export!$P:$R,3,FALSE),"-")</f>
        <v>-</v>
      </c>
      <c r="R388" s="80" t="e" cm="1">
        <f t="array" ref="R388">_xlfn.IFS(P388="Service", _xlfn.IFS(I388="SALES","GP",I388="SERVICE SALES","GP",I388="PARTS SALES","GP",I388="SERVICE COS","GP",I388="PARTS COS","GP",I388="SELLING EXPENSES","Selling Expenses",I388="EMPLOYMENT EXPENSES","Selling Expenses",I388="EMPLOYMENT EXPENSES","Selling Expenses",I388="DIRECT EXPENSES","Selling Expenses",I388="INDIRECT EXPENSES","Selling Expenses"),P388="Parts",_xlfn.IFS(I388="SALES","GP",I388="SERVICE SALES","GP",I388="PARTS SALES","GP",I388="SERVICE COS","GP",I388="PARTS COS","GP",I388="SELLING EXPENSES","Selling Expenses",I388="EMPLOYMENT EXPENSES","Selling Expenses",I388="EMPLOYMENT EXPENSES","Selling Expenses",I388="DIRECT EXPENSES","Selling Expenses",I388="INDIRECT EXPENSES","Selling Expenses"))</f>
        <v>#N/A</v>
      </c>
    </row>
    <row r="389" spans="1:18" x14ac:dyDescent="0.2">
      <c r="A389" s="75" t="s">
        <v>644</v>
      </c>
      <c r="B389" s="76" t="s">
        <v>645</v>
      </c>
      <c r="C389" s="76">
        <v>112</v>
      </c>
      <c r="D389" s="76" t="s">
        <v>349</v>
      </c>
      <c r="E389" s="76" t="s">
        <v>247</v>
      </c>
      <c r="F389" s="77">
        <v>20</v>
      </c>
      <c r="G389" s="77">
        <v>1</v>
      </c>
      <c r="H389" s="77">
        <v>21</v>
      </c>
      <c r="I389" s="76" t="s">
        <v>482</v>
      </c>
      <c r="J389" s="77">
        <v>0</v>
      </c>
      <c r="K389" s="78">
        <v>0</v>
      </c>
      <c r="M389" s="79" t="str">
        <f t="shared" si="20"/>
        <v>112-6071R#</v>
      </c>
      <c r="N389" s="79" t="str">
        <f t="shared" si="18"/>
        <v>#</v>
      </c>
      <c r="O389" s="79" t="str">
        <f t="shared" si="19"/>
        <v>112#</v>
      </c>
      <c r="P389" s="79" t="str">
        <f>IFERROR(VLOOKUP($M389,Export!$P:$R,2,FALSE),"-")</f>
        <v>-</v>
      </c>
      <c r="Q389" s="79" t="str">
        <f>IFERROR(VLOOKUP($M389,Export!$P:$R,3,FALSE),"-")</f>
        <v>-</v>
      </c>
      <c r="R389" s="80" t="e" cm="1">
        <f t="array" ref="R389">_xlfn.IFS(P389="Service", _xlfn.IFS(I389="SALES","GP",I389="SERVICE SALES","GP",I389="PARTS SALES","GP",I389="SERVICE COS","GP",I389="PARTS COS","GP",I389="SELLING EXPENSES","Selling Expenses",I389="EMPLOYMENT EXPENSES","Selling Expenses",I389="EMPLOYMENT EXPENSES","Selling Expenses",I389="DIRECT EXPENSES","Selling Expenses",I389="INDIRECT EXPENSES","Selling Expenses"),P389="Parts",_xlfn.IFS(I389="SALES","GP",I389="SERVICE SALES","GP",I389="PARTS SALES","GP",I389="SERVICE COS","GP",I389="PARTS COS","GP",I389="SELLING EXPENSES","Selling Expenses",I389="EMPLOYMENT EXPENSES","Selling Expenses",I389="EMPLOYMENT EXPENSES","Selling Expenses",I389="DIRECT EXPENSES","Selling Expenses",I389="INDIRECT EXPENSES","Selling Expenses"))</f>
        <v>#N/A</v>
      </c>
    </row>
    <row r="390" spans="1:18" x14ac:dyDescent="0.2">
      <c r="A390" s="75" t="s">
        <v>646</v>
      </c>
      <c r="B390" s="76" t="s">
        <v>647</v>
      </c>
      <c r="C390" s="76">
        <v>112</v>
      </c>
      <c r="D390" s="76" t="s">
        <v>349</v>
      </c>
      <c r="E390" s="76" t="s">
        <v>247</v>
      </c>
      <c r="F390" s="77">
        <v>25</v>
      </c>
      <c r="G390" s="77">
        <v>0</v>
      </c>
      <c r="H390" s="77">
        <v>25</v>
      </c>
      <c r="I390" s="76" t="s">
        <v>482</v>
      </c>
      <c r="J390" s="77">
        <v>0</v>
      </c>
      <c r="K390" s="78">
        <v>0</v>
      </c>
      <c r="M390" s="79" t="str">
        <f t="shared" si="20"/>
        <v>112-6074R#</v>
      </c>
      <c r="N390" s="79" t="str">
        <f t="shared" si="18"/>
        <v>#</v>
      </c>
      <c r="O390" s="79" t="str">
        <f t="shared" si="19"/>
        <v>112#</v>
      </c>
      <c r="P390" s="79" t="str">
        <f>IFERROR(VLOOKUP($M390,Export!$P:$R,2,FALSE),"-")</f>
        <v>-</v>
      </c>
      <c r="Q390" s="79" t="str">
        <f>IFERROR(VLOOKUP($M390,Export!$P:$R,3,FALSE),"-")</f>
        <v>-</v>
      </c>
      <c r="R390" s="80" t="e" cm="1">
        <f t="array" ref="R390">_xlfn.IFS(P390="Service", _xlfn.IFS(I390="SALES","GP",I390="SERVICE SALES","GP",I390="PARTS SALES","GP",I390="SERVICE COS","GP",I390="PARTS COS","GP",I390="SELLING EXPENSES","Selling Expenses",I390="EMPLOYMENT EXPENSES","Selling Expenses",I390="EMPLOYMENT EXPENSES","Selling Expenses",I390="DIRECT EXPENSES","Selling Expenses",I390="INDIRECT EXPENSES","Selling Expenses"),P390="Parts",_xlfn.IFS(I390="SALES","GP",I390="SERVICE SALES","GP",I390="PARTS SALES","GP",I390="SERVICE COS","GP",I390="PARTS COS","GP",I390="SELLING EXPENSES","Selling Expenses",I390="EMPLOYMENT EXPENSES","Selling Expenses",I390="EMPLOYMENT EXPENSES","Selling Expenses",I390="DIRECT EXPENSES","Selling Expenses",I390="INDIRECT EXPENSES","Selling Expenses"))</f>
        <v>#N/A</v>
      </c>
    </row>
    <row r="391" spans="1:18" x14ac:dyDescent="0.2">
      <c r="A391" s="75" t="s">
        <v>648</v>
      </c>
      <c r="B391" s="76" t="s">
        <v>649</v>
      </c>
      <c r="C391" s="76">
        <v>110</v>
      </c>
      <c r="D391" s="76" t="s">
        <v>430</v>
      </c>
      <c r="E391" s="76" t="s">
        <v>247</v>
      </c>
      <c r="F391" s="77">
        <v>1</v>
      </c>
      <c r="G391" s="77">
        <v>0</v>
      </c>
      <c r="H391" s="77">
        <v>1</v>
      </c>
      <c r="I391" s="76" t="s">
        <v>482</v>
      </c>
      <c r="J391" s="77">
        <v>0</v>
      </c>
      <c r="K391" s="78">
        <v>0</v>
      </c>
      <c r="M391" s="79" t="str">
        <f t="shared" si="20"/>
        <v>110-6075R#</v>
      </c>
      <c r="N391" s="79" t="str">
        <f t="shared" si="18"/>
        <v>#</v>
      </c>
      <c r="O391" s="79" t="str">
        <f t="shared" si="19"/>
        <v>110#</v>
      </c>
      <c r="P391" s="79" t="str">
        <f>IFERROR(VLOOKUP($M391,Export!$P:$R,2,FALSE),"-")</f>
        <v>-</v>
      </c>
      <c r="Q391" s="79" t="str">
        <f>IFERROR(VLOOKUP($M391,Export!$P:$R,3,FALSE),"-")</f>
        <v>-</v>
      </c>
      <c r="R391" s="80" t="e" cm="1">
        <f t="array" ref="R391">_xlfn.IFS(P391="Service", _xlfn.IFS(I391="SALES","GP",I391="SERVICE SALES","GP",I391="PARTS SALES","GP",I391="SERVICE COS","GP",I391="PARTS COS","GP",I391="SELLING EXPENSES","Selling Expenses",I391="EMPLOYMENT EXPENSES","Selling Expenses",I391="EMPLOYMENT EXPENSES","Selling Expenses",I391="DIRECT EXPENSES","Selling Expenses",I391="INDIRECT EXPENSES","Selling Expenses"),P391="Parts",_xlfn.IFS(I391="SALES","GP",I391="SERVICE SALES","GP",I391="PARTS SALES","GP",I391="SERVICE COS","GP",I391="PARTS COS","GP",I391="SELLING EXPENSES","Selling Expenses",I391="EMPLOYMENT EXPENSES","Selling Expenses",I391="EMPLOYMENT EXPENSES","Selling Expenses",I391="DIRECT EXPENSES","Selling Expenses",I391="INDIRECT EXPENSES","Selling Expenses"))</f>
        <v>#N/A</v>
      </c>
    </row>
    <row r="392" spans="1:18" x14ac:dyDescent="0.2">
      <c r="A392" s="75" t="s">
        <v>648</v>
      </c>
      <c r="B392" s="76" t="s">
        <v>649</v>
      </c>
      <c r="C392" s="76">
        <v>210</v>
      </c>
      <c r="D392" s="76" t="s">
        <v>436</v>
      </c>
      <c r="E392" s="76" t="s">
        <v>247</v>
      </c>
      <c r="F392" s="77">
        <v>1</v>
      </c>
      <c r="G392" s="77">
        <v>0</v>
      </c>
      <c r="H392" s="77">
        <v>1</v>
      </c>
      <c r="I392" s="76" t="s">
        <v>482</v>
      </c>
      <c r="J392" s="77">
        <v>0</v>
      </c>
      <c r="K392" s="78">
        <v>0</v>
      </c>
      <c r="M392" s="79" t="str">
        <f t="shared" si="20"/>
        <v>210-6075R#</v>
      </c>
      <c r="N392" s="79" t="str">
        <f t="shared" si="18"/>
        <v>#</v>
      </c>
      <c r="O392" s="79" t="str">
        <f t="shared" si="19"/>
        <v>210#</v>
      </c>
      <c r="P392" s="79" t="str">
        <f>IFERROR(VLOOKUP($M392,Export!$P:$R,2,FALSE),"-")</f>
        <v>-</v>
      </c>
      <c r="Q392" s="79" t="str">
        <f>IFERROR(VLOOKUP($M392,Export!$P:$R,3,FALSE),"-")</f>
        <v>-</v>
      </c>
      <c r="R392" s="80" t="e" cm="1">
        <f t="array" ref="R392">_xlfn.IFS(P392="Service", _xlfn.IFS(I392="SALES","GP",I392="SERVICE SALES","GP",I392="PARTS SALES","GP",I392="SERVICE COS","GP",I392="PARTS COS","GP",I392="SELLING EXPENSES","Selling Expenses",I392="EMPLOYMENT EXPENSES","Selling Expenses",I392="EMPLOYMENT EXPENSES","Selling Expenses",I392="DIRECT EXPENSES","Selling Expenses",I392="INDIRECT EXPENSES","Selling Expenses"),P392="Parts",_xlfn.IFS(I392="SALES","GP",I392="SERVICE SALES","GP",I392="PARTS SALES","GP",I392="SERVICE COS","GP",I392="PARTS COS","GP",I392="SELLING EXPENSES","Selling Expenses",I392="EMPLOYMENT EXPENSES","Selling Expenses",I392="EMPLOYMENT EXPENSES","Selling Expenses",I392="DIRECT EXPENSES","Selling Expenses",I392="INDIRECT EXPENSES","Selling Expenses"))</f>
        <v>#N/A</v>
      </c>
    </row>
    <row r="393" spans="1:18" x14ac:dyDescent="0.2">
      <c r="A393" s="75" t="s">
        <v>650</v>
      </c>
      <c r="B393" s="76" t="s">
        <v>651</v>
      </c>
      <c r="C393" s="76">
        <v>110</v>
      </c>
      <c r="D393" s="76" t="s">
        <v>430</v>
      </c>
      <c r="E393" s="76" t="s">
        <v>247</v>
      </c>
      <c r="F393" s="77">
        <v>2</v>
      </c>
      <c r="G393" s="77">
        <v>0</v>
      </c>
      <c r="H393" s="77">
        <v>2</v>
      </c>
      <c r="I393" s="76" t="s">
        <v>482</v>
      </c>
      <c r="J393" s="77">
        <v>1</v>
      </c>
      <c r="K393" s="78">
        <v>2</v>
      </c>
      <c r="M393" s="79" t="str">
        <f t="shared" si="20"/>
        <v>110-6080R#</v>
      </c>
      <c r="N393" s="79" t="str">
        <f t="shared" si="18"/>
        <v>#</v>
      </c>
      <c r="O393" s="79" t="str">
        <f t="shared" si="19"/>
        <v>110#</v>
      </c>
      <c r="P393" s="79" t="str">
        <f>IFERROR(VLOOKUP($M393,Export!$P:$R,2,FALSE),"-")</f>
        <v>-</v>
      </c>
      <c r="Q393" s="79" t="str">
        <f>IFERROR(VLOOKUP($M393,Export!$P:$R,3,FALSE),"-")</f>
        <v>-</v>
      </c>
      <c r="R393" s="80" t="e" cm="1">
        <f t="array" ref="R393">_xlfn.IFS(P393="Service", _xlfn.IFS(I393="SALES","GP",I393="SERVICE SALES","GP",I393="PARTS SALES","GP",I393="SERVICE COS","GP",I393="PARTS COS","GP",I393="SELLING EXPENSES","Selling Expenses",I393="EMPLOYMENT EXPENSES","Selling Expenses",I393="EMPLOYMENT EXPENSES","Selling Expenses",I393="DIRECT EXPENSES","Selling Expenses",I393="INDIRECT EXPENSES","Selling Expenses"),P393="Parts",_xlfn.IFS(I393="SALES","GP",I393="SERVICE SALES","GP",I393="PARTS SALES","GP",I393="SERVICE COS","GP",I393="PARTS COS","GP",I393="SELLING EXPENSES","Selling Expenses",I393="EMPLOYMENT EXPENSES","Selling Expenses",I393="EMPLOYMENT EXPENSES","Selling Expenses",I393="DIRECT EXPENSES","Selling Expenses",I393="INDIRECT EXPENSES","Selling Expenses"))</f>
        <v>#N/A</v>
      </c>
    </row>
    <row r="394" spans="1:18" x14ac:dyDescent="0.2">
      <c r="A394" s="75" t="s">
        <v>650</v>
      </c>
      <c r="B394" s="76" t="s">
        <v>651</v>
      </c>
      <c r="C394" s="76">
        <v>210</v>
      </c>
      <c r="D394" s="76" t="s">
        <v>436</v>
      </c>
      <c r="E394" s="76" t="s">
        <v>247</v>
      </c>
      <c r="F394" s="77">
        <v>1</v>
      </c>
      <c r="G394" s="77">
        <v>0</v>
      </c>
      <c r="H394" s="77">
        <v>1</v>
      </c>
      <c r="I394" s="76" t="s">
        <v>482</v>
      </c>
      <c r="J394" s="77">
        <v>1</v>
      </c>
      <c r="K394" s="78">
        <v>4</v>
      </c>
      <c r="M394" s="79" t="str">
        <f t="shared" si="20"/>
        <v>210-6080R#</v>
      </c>
      <c r="N394" s="79" t="str">
        <f t="shared" si="18"/>
        <v>#</v>
      </c>
      <c r="O394" s="79" t="str">
        <f t="shared" si="19"/>
        <v>210#</v>
      </c>
      <c r="P394" s="79" t="str">
        <f>IFERROR(VLOOKUP($M394,Export!$P:$R,2,FALSE),"-")</f>
        <v>-</v>
      </c>
      <c r="Q394" s="79" t="str">
        <f>IFERROR(VLOOKUP($M394,Export!$P:$R,3,FALSE),"-")</f>
        <v>-</v>
      </c>
      <c r="R394" s="80" t="e" cm="1">
        <f t="array" ref="R394">_xlfn.IFS(P394="Service", _xlfn.IFS(I394="SALES","GP",I394="SERVICE SALES","GP",I394="PARTS SALES","GP",I394="SERVICE COS","GP",I394="PARTS COS","GP",I394="SELLING EXPENSES","Selling Expenses",I394="EMPLOYMENT EXPENSES","Selling Expenses",I394="EMPLOYMENT EXPENSES","Selling Expenses",I394="DIRECT EXPENSES","Selling Expenses",I394="INDIRECT EXPENSES","Selling Expenses"),P394="Parts",_xlfn.IFS(I394="SALES","GP",I394="SERVICE SALES","GP",I394="PARTS SALES","GP",I394="SERVICE COS","GP",I394="PARTS COS","GP",I394="SELLING EXPENSES","Selling Expenses",I394="EMPLOYMENT EXPENSES","Selling Expenses",I394="EMPLOYMENT EXPENSES","Selling Expenses",I394="DIRECT EXPENSES","Selling Expenses",I394="INDIRECT EXPENSES","Selling Expenses"))</f>
        <v>#N/A</v>
      </c>
    </row>
    <row r="395" spans="1:18" x14ac:dyDescent="0.2">
      <c r="A395" s="75" t="s">
        <v>652</v>
      </c>
      <c r="B395" s="76" t="s">
        <v>653</v>
      </c>
      <c r="C395" s="76">
        <v>112</v>
      </c>
      <c r="D395" s="76" t="s">
        <v>349</v>
      </c>
      <c r="E395" s="76" t="s">
        <v>247</v>
      </c>
      <c r="F395" s="77">
        <v>14</v>
      </c>
      <c r="G395" s="77">
        <v>1</v>
      </c>
      <c r="H395" s="77">
        <v>15</v>
      </c>
      <c r="I395" s="76" t="s">
        <v>482</v>
      </c>
      <c r="J395" s="77">
        <v>0</v>
      </c>
      <c r="K395" s="78">
        <v>0</v>
      </c>
      <c r="M395" s="79" t="str">
        <f t="shared" si="20"/>
        <v>112-6082R#</v>
      </c>
      <c r="N395" s="79" t="str">
        <f t="shared" si="18"/>
        <v>#</v>
      </c>
      <c r="O395" s="79" t="str">
        <f t="shared" si="19"/>
        <v>112#</v>
      </c>
      <c r="P395" s="79" t="str">
        <f>IFERROR(VLOOKUP($M395,Export!$P:$R,2,FALSE),"-")</f>
        <v>-</v>
      </c>
      <c r="Q395" s="79" t="str">
        <f>IFERROR(VLOOKUP($M395,Export!$P:$R,3,FALSE),"-")</f>
        <v>-</v>
      </c>
      <c r="R395" s="80" t="e" cm="1">
        <f t="array" ref="R395">_xlfn.IFS(P395="Service", _xlfn.IFS(I395="SALES","GP",I395="SERVICE SALES","GP",I395="PARTS SALES","GP",I395="SERVICE COS","GP",I395="PARTS COS","GP",I395="SELLING EXPENSES","Selling Expenses",I395="EMPLOYMENT EXPENSES","Selling Expenses",I395="EMPLOYMENT EXPENSES","Selling Expenses",I395="DIRECT EXPENSES","Selling Expenses",I395="INDIRECT EXPENSES","Selling Expenses"),P395="Parts",_xlfn.IFS(I395="SALES","GP",I395="SERVICE SALES","GP",I395="PARTS SALES","GP",I395="SERVICE COS","GP",I395="PARTS COS","GP",I395="SELLING EXPENSES","Selling Expenses",I395="EMPLOYMENT EXPENSES","Selling Expenses",I395="EMPLOYMENT EXPENSES","Selling Expenses",I395="DIRECT EXPENSES","Selling Expenses",I395="INDIRECT EXPENSES","Selling Expenses"))</f>
        <v>#N/A</v>
      </c>
    </row>
    <row r="396" spans="1:18" x14ac:dyDescent="0.2">
      <c r="A396" s="75" t="s">
        <v>654</v>
      </c>
      <c r="B396" s="76" t="s">
        <v>655</v>
      </c>
      <c r="C396" s="76">
        <v>110</v>
      </c>
      <c r="D396" s="76" t="s">
        <v>430</v>
      </c>
      <c r="E396" s="76" t="s">
        <v>247</v>
      </c>
      <c r="F396" s="77">
        <v>4</v>
      </c>
      <c r="G396" s="77">
        <v>1</v>
      </c>
      <c r="H396" s="77">
        <v>5</v>
      </c>
      <c r="I396" s="76" t="s">
        <v>482</v>
      </c>
      <c r="J396" s="77">
        <v>1</v>
      </c>
      <c r="K396" s="78">
        <v>4</v>
      </c>
      <c r="M396" s="79" t="str">
        <f t="shared" si="20"/>
        <v>110-6083R#</v>
      </c>
      <c r="N396" s="79" t="str">
        <f t="shared" si="18"/>
        <v>#</v>
      </c>
      <c r="O396" s="79" t="str">
        <f t="shared" si="19"/>
        <v>110#</v>
      </c>
      <c r="P396" s="79" t="str">
        <f>IFERROR(VLOOKUP($M396,Export!$P:$R,2,FALSE),"-")</f>
        <v>-</v>
      </c>
      <c r="Q396" s="79" t="str">
        <f>IFERROR(VLOOKUP($M396,Export!$P:$R,3,FALSE),"-")</f>
        <v>-</v>
      </c>
      <c r="R396" s="80" t="e" cm="1">
        <f t="array" ref="R396">_xlfn.IFS(P396="Service", _xlfn.IFS(I396="SALES","GP",I396="SERVICE SALES","GP",I396="PARTS SALES","GP",I396="SERVICE COS","GP",I396="PARTS COS","GP",I396="SELLING EXPENSES","Selling Expenses",I396="EMPLOYMENT EXPENSES","Selling Expenses",I396="EMPLOYMENT EXPENSES","Selling Expenses",I396="DIRECT EXPENSES","Selling Expenses",I396="INDIRECT EXPENSES","Selling Expenses"),P396="Parts",_xlfn.IFS(I396="SALES","GP",I396="SERVICE SALES","GP",I396="PARTS SALES","GP",I396="SERVICE COS","GP",I396="PARTS COS","GP",I396="SELLING EXPENSES","Selling Expenses",I396="EMPLOYMENT EXPENSES","Selling Expenses",I396="EMPLOYMENT EXPENSES","Selling Expenses",I396="DIRECT EXPENSES","Selling Expenses",I396="INDIRECT EXPENSES","Selling Expenses"))</f>
        <v>#N/A</v>
      </c>
    </row>
    <row r="397" spans="1:18" x14ac:dyDescent="0.2">
      <c r="A397" s="75" t="s">
        <v>654</v>
      </c>
      <c r="B397" s="76" t="s">
        <v>655</v>
      </c>
      <c r="C397" s="76">
        <v>210</v>
      </c>
      <c r="D397" s="76" t="s">
        <v>436</v>
      </c>
      <c r="E397" s="76" t="s">
        <v>247</v>
      </c>
      <c r="F397" s="77">
        <v>7</v>
      </c>
      <c r="G397" s="77">
        <v>0</v>
      </c>
      <c r="H397" s="77">
        <v>7</v>
      </c>
      <c r="I397" s="76" t="s">
        <v>482</v>
      </c>
      <c r="J397" s="77">
        <v>0</v>
      </c>
      <c r="K397" s="78">
        <v>3</v>
      </c>
      <c r="M397" s="79" t="str">
        <f t="shared" si="20"/>
        <v>210-6083R#</v>
      </c>
      <c r="N397" s="79" t="str">
        <f t="shared" si="18"/>
        <v>#</v>
      </c>
      <c r="O397" s="79" t="str">
        <f t="shared" si="19"/>
        <v>210#</v>
      </c>
      <c r="P397" s="79" t="str">
        <f>IFERROR(VLOOKUP($M397,Export!$P:$R,2,FALSE),"-")</f>
        <v>-</v>
      </c>
      <c r="Q397" s="79" t="str">
        <f>IFERROR(VLOOKUP($M397,Export!$P:$R,3,FALSE),"-")</f>
        <v>-</v>
      </c>
      <c r="R397" s="80" t="e" cm="1">
        <f t="array" ref="R397">_xlfn.IFS(P397="Service", _xlfn.IFS(I397="SALES","GP",I397="SERVICE SALES","GP",I397="PARTS SALES","GP",I397="SERVICE COS","GP",I397="PARTS COS","GP",I397="SELLING EXPENSES","Selling Expenses",I397="EMPLOYMENT EXPENSES","Selling Expenses",I397="EMPLOYMENT EXPENSES","Selling Expenses",I397="DIRECT EXPENSES","Selling Expenses",I397="INDIRECT EXPENSES","Selling Expenses"),P397="Parts",_xlfn.IFS(I397="SALES","GP",I397="SERVICE SALES","GP",I397="PARTS SALES","GP",I397="SERVICE COS","GP",I397="PARTS COS","GP",I397="SELLING EXPENSES","Selling Expenses",I397="EMPLOYMENT EXPENSES","Selling Expenses",I397="EMPLOYMENT EXPENSES","Selling Expenses",I397="DIRECT EXPENSES","Selling Expenses",I397="INDIRECT EXPENSES","Selling Expenses"))</f>
        <v>#N/A</v>
      </c>
    </row>
    <row r="398" spans="1:18" x14ac:dyDescent="0.2">
      <c r="A398" s="75" t="s">
        <v>656</v>
      </c>
      <c r="B398" s="76" t="s">
        <v>657</v>
      </c>
      <c r="C398" s="76">
        <v>110</v>
      </c>
      <c r="D398" s="76" t="s">
        <v>430</v>
      </c>
      <c r="E398" s="76" t="s">
        <v>247</v>
      </c>
      <c r="F398" s="77">
        <v>6</v>
      </c>
      <c r="G398" s="77">
        <v>0</v>
      </c>
      <c r="H398" s="77">
        <v>6</v>
      </c>
      <c r="I398" s="76" t="s">
        <v>482</v>
      </c>
      <c r="J398" s="77">
        <v>3</v>
      </c>
      <c r="K398" s="78">
        <v>21</v>
      </c>
      <c r="M398" s="79" t="str">
        <f t="shared" si="20"/>
        <v>110-6085R#</v>
      </c>
      <c r="N398" s="79" t="str">
        <f t="shared" si="18"/>
        <v>#</v>
      </c>
      <c r="O398" s="79" t="str">
        <f t="shared" si="19"/>
        <v>110#</v>
      </c>
      <c r="P398" s="79" t="str">
        <f>IFERROR(VLOOKUP($M398,Export!$P:$R,2,FALSE),"-")</f>
        <v>-</v>
      </c>
      <c r="Q398" s="79" t="str">
        <f>IFERROR(VLOOKUP($M398,Export!$P:$R,3,FALSE),"-")</f>
        <v>-</v>
      </c>
      <c r="R398" s="80" t="e" cm="1">
        <f t="array" ref="R398">_xlfn.IFS(P398="Service", _xlfn.IFS(I398="SALES","GP",I398="SERVICE SALES","GP",I398="PARTS SALES","GP",I398="SERVICE COS","GP",I398="PARTS COS","GP",I398="SELLING EXPENSES","Selling Expenses",I398="EMPLOYMENT EXPENSES","Selling Expenses",I398="EMPLOYMENT EXPENSES","Selling Expenses",I398="DIRECT EXPENSES","Selling Expenses",I398="INDIRECT EXPENSES","Selling Expenses"),P398="Parts",_xlfn.IFS(I398="SALES","GP",I398="SERVICE SALES","GP",I398="PARTS SALES","GP",I398="SERVICE COS","GP",I398="PARTS COS","GP",I398="SELLING EXPENSES","Selling Expenses",I398="EMPLOYMENT EXPENSES","Selling Expenses",I398="EMPLOYMENT EXPENSES","Selling Expenses",I398="DIRECT EXPENSES","Selling Expenses",I398="INDIRECT EXPENSES","Selling Expenses"))</f>
        <v>#N/A</v>
      </c>
    </row>
    <row r="399" spans="1:18" x14ac:dyDescent="0.2">
      <c r="A399" s="75" t="s">
        <v>656</v>
      </c>
      <c r="B399" s="76" t="s">
        <v>657</v>
      </c>
      <c r="C399" s="76">
        <v>210</v>
      </c>
      <c r="D399" s="76" t="s">
        <v>436</v>
      </c>
      <c r="E399" s="76" t="s">
        <v>247</v>
      </c>
      <c r="F399" s="77">
        <v>9</v>
      </c>
      <c r="G399" s="77">
        <v>3</v>
      </c>
      <c r="H399" s="77">
        <v>12</v>
      </c>
      <c r="I399" s="76" t="s">
        <v>482</v>
      </c>
      <c r="J399" s="77">
        <v>3</v>
      </c>
      <c r="K399" s="78">
        <v>19</v>
      </c>
      <c r="M399" s="79" t="str">
        <f t="shared" si="20"/>
        <v>210-6085R#</v>
      </c>
      <c r="N399" s="79" t="str">
        <f t="shared" si="18"/>
        <v>#</v>
      </c>
      <c r="O399" s="79" t="str">
        <f t="shared" si="19"/>
        <v>210#</v>
      </c>
      <c r="P399" s="79" t="str">
        <f>IFERROR(VLOOKUP($M399,Export!$P:$R,2,FALSE),"-")</f>
        <v>-</v>
      </c>
      <c r="Q399" s="79" t="str">
        <f>IFERROR(VLOOKUP($M399,Export!$P:$R,3,FALSE),"-")</f>
        <v>-</v>
      </c>
      <c r="R399" s="80" t="e" cm="1">
        <f t="array" ref="R399">_xlfn.IFS(P399="Service", _xlfn.IFS(I399="SALES","GP",I399="SERVICE SALES","GP",I399="PARTS SALES","GP",I399="SERVICE COS","GP",I399="PARTS COS","GP",I399="SELLING EXPENSES","Selling Expenses",I399="EMPLOYMENT EXPENSES","Selling Expenses",I399="EMPLOYMENT EXPENSES","Selling Expenses",I399="DIRECT EXPENSES","Selling Expenses",I399="INDIRECT EXPENSES","Selling Expenses"),P399="Parts",_xlfn.IFS(I399="SALES","GP",I399="SERVICE SALES","GP",I399="PARTS SALES","GP",I399="SERVICE COS","GP",I399="PARTS COS","GP",I399="SELLING EXPENSES","Selling Expenses",I399="EMPLOYMENT EXPENSES","Selling Expenses",I399="EMPLOYMENT EXPENSES","Selling Expenses",I399="DIRECT EXPENSES","Selling Expenses",I399="INDIRECT EXPENSES","Selling Expenses"))</f>
        <v>#N/A</v>
      </c>
    </row>
    <row r="400" spans="1:18" x14ac:dyDescent="0.2">
      <c r="A400" s="75" t="s">
        <v>658</v>
      </c>
      <c r="B400" s="76" t="s">
        <v>659</v>
      </c>
      <c r="C400" s="76">
        <v>110</v>
      </c>
      <c r="D400" s="76" t="s">
        <v>430</v>
      </c>
      <c r="E400" s="76" t="s">
        <v>247</v>
      </c>
      <c r="F400" s="77">
        <v>4</v>
      </c>
      <c r="G400" s="77">
        <v>0</v>
      </c>
      <c r="H400" s="77">
        <v>4</v>
      </c>
      <c r="I400" s="76" t="s">
        <v>482</v>
      </c>
      <c r="J400" s="77">
        <v>3</v>
      </c>
      <c r="K400" s="78">
        <v>14</v>
      </c>
      <c r="M400" s="79" t="str">
        <f t="shared" si="20"/>
        <v>110-6087R#</v>
      </c>
      <c r="N400" s="79" t="str">
        <f t="shared" si="18"/>
        <v>#</v>
      </c>
      <c r="O400" s="79" t="str">
        <f t="shared" si="19"/>
        <v>110#</v>
      </c>
      <c r="P400" s="79" t="str">
        <f>IFERROR(VLOOKUP($M400,Export!$P:$R,2,FALSE),"-")</f>
        <v>-</v>
      </c>
      <c r="Q400" s="79" t="str">
        <f>IFERROR(VLOOKUP($M400,Export!$P:$R,3,FALSE),"-")</f>
        <v>-</v>
      </c>
      <c r="R400" s="80" t="e" cm="1">
        <f t="array" ref="R400">_xlfn.IFS(P400="Service", _xlfn.IFS(I400="SALES","GP",I400="SERVICE SALES","GP",I400="PARTS SALES","GP",I400="SERVICE COS","GP",I400="PARTS COS","GP",I400="SELLING EXPENSES","Selling Expenses",I400="EMPLOYMENT EXPENSES","Selling Expenses",I400="EMPLOYMENT EXPENSES","Selling Expenses",I400="DIRECT EXPENSES","Selling Expenses",I400="INDIRECT EXPENSES","Selling Expenses"),P400="Parts",_xlfn.IFS(I400="SALES","GP",I400="SERVICE SALES","GP",I400="PARTS SALES","GP",I400="SERVICE COS","GP",I400="PARTS COS","GP",I400="SELLING EXPENSES","Selling Expenses",I400="EMPLOYMENT EXPENSES","Selling Expenses",I400="EMPLOYMENT EXPENSES","Selling Expenses",I400="DIRECT EXPENSES","Selling Expenses",I400="INDIRECT EXPENSES","Selling Expenses"))</f>
        <v>#N/A</v>
      </c>
    </row>
    <row r="401" spans="1:18" x14ac:dyDescent="0.2">
      <c r="A401" s="75" t="s">
        <v>658</v>
      </c>
      <c r="B401" s="76" t="s">
        <v>659</v>
      </c>
      <c r="C401" s="76">
        <v>210</v>
      </c>
      <c r="D401" s="76" t="s">
        <v>436</v>
      </c>
      <c r="E401" s="76" t="s">
        <v>247</v>
      </c>
      <c r="F401" s="77">
        <v>4</v>
      </c>
      <c r="G401" s="77">
        <v>0</v>
      </c>
      <c r="H401" s="77">
        <v>4</v>
      </c>
      <c r="I401" s="76" t="s">
        <v>482</v>
      </c>
      <c r="J401" s="77">
        <v>1</v>
      </c>
      <c r="K401" s="78">
        <v>5</v>
      </c>
      <c r="M401" s="79" t="str">
        <f t="shared" si="20"/>
        <v>210-6087R#</v>
      </c>
      <c r="N401" s="79" t="str">
        <f t="shared" si="18"/>
        <v>#</v>
      </c>
      <c r="O401" s="79" t="str">
        <f t="shared" si="19"/>
        <v>210#</v>
      </c>
      <c r="P401" s="79" t="str">
        <f>IFERROR(VLOOKUP($M401,Export!$P:$R,2,FALSE),"-")</f>
        <v>-</v>
      </c>
      <c r="Q401" s="79" t="str">
        <f>IFERROR(VLOOKUP($M401,Export!$P:$R,3,FALSE),"-")</f>
        <v>-</v>
      </c>
      <c r="R401" s="80" t="e" cm="1">
        <f t="array" ref="R401">_xlfn.IFS(P401="Service", _xlfn.IFS(I401="SALES","GP",I401="SERVICE SALES","GP",I401="PARTS SALES","GP",I401="SERVICE COS","GP",I401="PARTS COS","GP",I401="SELLING EXPENSES","Selling Expenses",I401="EMPLOYMENT EXPENSES","Selling Expenses",I401="EMPLOYMENT EXPENSES","Selling Expenses",I401="DIRECT EXPENSES","Selling Expenses",I401="INDIRECT EXPENSES","Selling Expenses"),P401="Parts",_xlfn.IFS(I401="SALES","GP",I401="SERVICE SALES","GP",I401="PARTS SALES","GP",I401="SERVICE COS","GP",I401="PARTS COS","GP",I401="SELLING EXPENSES","Selling Expenses",I401="EMPLOYMENT EXPENSES","Selling Expenses",I401="EMPLOYMENT EXPENSES","Selling Expenses",I401="DIRECT EXPENSES","Selling Expenses",I401="INDIRECT EXPENSES","Selling Expenses"))</f>
        <v>#N/A</v>
      </c>
    </row>
    <row r="402" spans="1:18" x14ac:dyDescent="0.2">
      <c r="A402" s="75" t="s">
        <v>660</v>
      </c>
      <c r="B402" s="76" t="s">
        <v>661</v>
      </c>
      <c r="C402" s="76">
        <v>110</v>
      </c>
      <c r="D402" s="76" t="s">
        <v>430</v>
      </c>
      <c r="E402" s="76" t="s">
        <v>247</v>
      </c>
      <c r="F402" s="77">
        <v>2</v>
      </c>
      <c r="G402" s="77">
        <v>0</v>
      </c>
      <c r="H402" s="77">
        <v>2</v>
      </c>
      <c r="I402" s="76" t="s">
        <v>482</v>
      </c>
      <c r="J402" s="77">
        <v>0</v>
      </c>
      <c r="K402" s="78">
        <v>1</v>
      </c>
      <c r="M402" s="79" t="str">
        <f t="shared" si="20"/>
        <v>110-6088R#</v>
      </c>
      <c r="N402" s="79" t="str">
        <f t="shared" si="18"/>
        <v>#</v>
      </c>
      <c r="O402" s="79" t="str">
        <f t="shared" si="19"/>
        <v>110#</v>
      </c>
      <c r="P402" s="79" t="str">
        <f>IFERROR(VLOOKUP($M402,Export!$P:$R,2,FALSE),"-")</f>
        <v>-</v>
      </c>
      <c r="Q402" s="79" t="str">
        <f>IFERROR(VLOOKUP($M402,Export!$P:$R,3,FALSE),"-")</f>
        <v>-</v>
      </c>
      <c r="R402" s="80" t="e" cm="1">
        <f t="array" ref="R402">_xlfn.IFS(P402="Service", _xlfn.IFS(I402="SALES","GP",I402="SERVICE SALES","GP",I402="PARTS SALES","GP",I402="SERVICE COS","GP",I402="PARTS COS","GP",I402="SELLING EXPENSES","Selling Expenses",I402="EMPLOYMENT EXPENSES","Selling Expenses",I402="EMPLOYMENT EXPENSES","Selling Expenses",I402="DIRECT EXPENSES","Selling Expenses",I402="INDIRECT EXPENSES","Selling Expenses"),P402="Parts",_xlfn.IFS(I402="SALES","GP",I402="SERVICE SALES","GP",I402="PARTS SALES","GP",I402="SERVICE COS","GP",I402="PARTS COS","GP",I402="SELLING EXPENSES","Selling Expenses",I402="EMPLOYMENT EXPENSES","Selling Expenses",I402="EMPLOYMENT EXPENSES","Selling Expenses",I402="DIRECT EXPENSES","Selling Expenses",I402="INDIRECT EXPENSES","Selling Expenses"))</f>
        <v>#N/A</v>
      </c>
    </row>
    <row r="403" spans="1:18" x14ac:dyDescent="0.2">
      <c r="A403" s="75" t="s">
        <v>660</v>
      </c>
      <c r="B403" s="76" t="s">
        <v>661</v>
      </c>
      <c r="C403" s="76">
        <v>210</v>
      </c>
      <c r="D403" s="76" t="s">
        <v>436</v>
      </c>
      <c r="E403" s="76" t="s">
        <v>247</v>
      </c>
      <c r="F403" s="77">
        <v>2</v>
      </c>
      <c r="G403" s="77">
        <v>0</v>
      </c>
      <c r="H403" s="77">
        <v>2</v>
      </c>
      <c r="I403" s="76" t="s">
        <v>482</v>
      </c>
      <c r="J403" s="77">
        <v>0</v>
      </c>
      <c r="K403" s="78">
        <v>1</v>
      </c>
      <c r="M403" s="79" t="str">
        <f t="shared" si="20"/>
        <v>210-6088R#</v>
      </c>
      <c r="N403" s="79" t="str">
        <f t="shared" si="18"/>
        <v>#</v>
      </c>
      <c r="O403" s="79" t="str">
        <f t="shared" si="19"/>
        <v>210#</v>
      </c>
      <c r="P403" s="79" t="str">
        <f>IFERROR(VLOOKUP($M403,Export!$P:$R,2,FALSE),"-")</f>
        <v>-</v>
      </c>
      <c r="Q403" s="79" t="str">
        <f>IFERROR(VLOOKUP($M403,Export!$P:$R,3,FALSE),"-")</f>
        <v>-</v>
      </c>
      <c r="R403" s="80" t="e" cm="1">
        <f t="array" ref="R403">_xlfn.IFS(P403="Service", _xlfn.IFS(I403="SALES","GP",I403="SERVICE SALES","GP",I403="PARTS SALES","GP",I403="SERVICE COS","GP",I403="PARTS COS","GP",I403="SELLING EXPENSES","Selling Expenses",I403="EMPLOYMENT EXPENSES","Selling Expenses",I403="EMPLOYMENT EXPENSES","Selling Expenses",I403="DIRECT EXPENSES","Selling Expenses",I403="INDIRECT EXPENSES","Selling Expenses"),P403="Parts",_xlfn.IFS(I403="SALES","GP",I403="SERVICE SALES","GP",I403="PARTS SALES","GP",I403="SERVICE COS","GP",I403="PARTS COS","GP",I403="SELLING EXPENSES","Selling Expenses",I403="EMPLOYMENT EXPENSES","Selling Expenses",I403="EMPLOYMENT EXPENSES","Selling Expenses",I403="DIRECT EXPENSES","Selling Expenses",I403="INDIRECT EXPENSES","Selling Expenses"))</f>
        <v>#N/A</v>
      </c>
    </row>
    <row r="404" spans="1:18" x14ac:dyDescent="0.2">
      <c r="A404" s="75" t="s">
        <v>69</v>
      </c>
      <c r="B404" s="76" t="s">
        <v>71</v>
      </c>
      <c r="C404" s="76">
        <v>100</v>
      </c>
      <c r="D404" s="76" t="s">
        <v>227</v>
      </c>
      <c r="E404" s="76" t="s">
        <v>247</v>
      </c>
      <c r="F404" s="77">
        <v>593</v>
      </c>
      <c r="G404" s="77">
        <v>64</v>
      </c>
      <c r="H404" s="77">
        <v>657</v>
      </c>
      <c r="I404" s="76" t="s">
        <v>482</v>
      </c>
      <c r="J404" s="77">
        <v>70</v>
      </c>
      <c r="K404" s="78">
        <v>560</v>
      </c>
      <c r="M404" s="79" t="str">
        <f t="shared" si="20"/>
        <v>100-6142#</v>
      </c>
      <c r="N404" s="79" t="str">
        <f t="shared" si="18"/>
        <v>#</v>
      </c>
      <c r="O404" s="79" t="str">
        <f t="shared" si="19"/>
        <v>100#</v>
      </c>
      <c r="P404" s="79" t="str">
        <f>IFERROR(VLOOKUP($M404,Export!$P:$R,2,FALSE),"-")</f>
        <v>-</v>
      </c>
      <c r="Q404" s="79" t="str">
        <f>IFERROR(VLOOKUP($M404,Export!$P:$R,3,FALSE),"-")</f>
        <v>-</v>
      </c>
      <c r="R404" s="80" t="e" cm="1">
        <f t="array" ref="R404">_xlfn.IFS(P404="Service", _xlfn.IFS(I404="SALES","GP",I404="SERVICE SALES","GP",I404="PARTS SALES","GP",I404="SERVICE COS","GP",I404="PARTS COS","GP",I404="SELLING EXPENSES","Selling Expenses",I404="EMPLOYMENT EXPENSES","Selling Expenses",I404="EMPLOYMENT EXPENSES","Selling Expenses",I404="DIRECT EXPENSES","Selling Expenses",I404="INDIRECT EXPENSES","Selling Expenses"),P404="Parts",_xlfn.IFS(I404="SALES","GP",I404="SERVICE SALES","GP",I404="PARTS SALES","GP",I404="SERVICE COS","GP",I404="PARTS COS","GP",I404="SELLING EXPENSES","Selling Expenses",I404="EMPLOYMENT EXPENSES","Selling Expenses",I404="EMPLOYMENT EXPENSES","Selling Expenses",I404="DIRECT EXPENSES","Selling Expenses",I404="INDIRECT EXPENSES","Selling Expenses"))</f>
        <v>#N/A</v>
      </c>
    </row>
    <row r="405" spans="1:18" x14ac:dyDescent="0.2">
      <c r="A405" s="75" t="s">
        <v>69</v>
      </c>
      <c r="B405" s="76" t="s">
        <v>71</v>
      </c>
      <c r="C405" s="76">
        <v>200</v>
      </c>
      <c r="D405" s="76" t="s">
        <v>428</v>
      </c>
      <c r="E405" s="76" t="s">
        <v>247</v>
      </c>
      <c r="F405" s="77">
        <v>529</v>
      </c>
      <c r="G405" s="77">
        <v>60</v>
      </c>
      <c r="H405" s="77">
        <v>589</v>
      </c>
      <c r="I405" s="76" t="s">
        <v>482</v>
      </c>
      <c r="J405" s="77">
        <v>70</v>
      </c>
      <c r="K405" s="78">
        <v>533</v>
      </c>
      <c r="M405" s="79" t="str">
        <f t="shared" si="20"/>
        <v>200-6142#</v>
      </c>
      <c r="N405" s="79" t="str">
        <f t="shared" si="18"/>
        <v>#</v>
      </c>
      <c r="O405" s="79" t="str">
        <f t="shared" si="19"/>
        <v>200#</v>
      </c>
      <c r="P405" s="79" t="str">
        <f>IFERROR(VLOOKUP($M405,Export!$P:$R,2,FALSE),"-")</f>
        <v>-</v>
      </c>
      <c r="Q405" s="79" t="str">
        <f>IFERROR(VLOOKUP($M405,Export!$P:$R,3,FALSE),"-")</f>
        <v>-</v>
      </c>
      <c r="R405" s="80" t="e" cm="1">
        <f t="array" ref="R405">_xlfn.IFS(P405="Service", _xlfn.IFS(I405="SALES","GP",I405="SERVICE SALES","GP",I405="PARTS SALES","GP",I405="SERVICE COS","GP",I405="PARTS COS","GP",I405="SELLING EXPENSES","Selling Expenses",I405="EMPLOYMENT EXPENSES","Selling Expenses",I405="EMPLOYMENT EXPENSES","Selling Expenses",I405="DIRECT EXPENSES","Selling Expenses",I405="INDIRECT EXPENSES","Selling Expenses"),P405="Parts",_xlfn.IFS(I405="SALES","GP",I405="SERVICE SALES","GP",I405="PARTS SALES","GP",I405="SERVICE COS","GP",I405="PARTS COS","GP",I405="SELLING EXPENSES","Selling Expenses",I405="EMPLOYMENT EXPENSES","Selling Expenses",I405="EMPLOYMENT EXPENSES","Selling Expenses",I405="DIRECT EXPENSES","Selling Expenses",I405="INDIRECT EXPENSES","Selling Expenses"))</f>
        <v>#N/A</v>
      </c>
    </row>
    <row r="406" spans="1:18" x14ac:dyDescent="0.2">
      <c r="A406" s="75" t="s">
        <v>95</v>
      </c>
      <c r="B406" s="76" t="s">
        <v>96</v>
      </c>
      <c r="C406" s="76">
        <v>160</v>
      </c>
      <c r="D406" s="76" t="s">
        <v>434</v>
      </c>
      <c r="E406" s="76" t="s">
        <v>426</v>
      </c>
      <c r="F406" s="77">
        <v>-197338.04</v>
      </c>
      <c r="G406" s="77">
        <v>-33300.339999999997</v>
      </c>
      <c r="H406" s="77">
        <v>-230638.38</v>
      </c>
      <c r="I406" s="76" t="s">
        <v>662</v>
      </c>
      <c r="J406" s="77">
        <v>-40425</v>
      </c>
      <c r="K406" s="78">
        <v>-326234</v>
      </c>
      <c r="M406" s="79" t="str">
        <f t="shared" si="20"/>
        <v>160-3165R</v>
      </c>
      <c r="N406" s="79" t="str">
        <f t="shared" si="18"/>
        <v/>
      </c>
      <c r="O406" s="79" t="str">
        <f t="shared" si="19"/>
        <v>160</v>
      </c>
      <c r="P406" s="79" t="str">
        <f>IFERROR(VLOOKUP($M406,Export!$P:$R,2,FALSE),"-")</f>
        <v>F&amp;I</v>
      </c>
      <c r="Q406" s="79" t="str">
        <f>IFERROR(VLOOKUP($M406,Export!$P:$R,3,FALSE),"-")</f>
        <v>F&amp;IFinance Income per vehicle retailed</v>
      </c>
      <c r="R406" s="80" t="e" cm="1">
        <f t="array" ref="R406">_xlfn.IFS(P406="Service", _xlfn.IFS(I406="SALES","GP",I406="SERVICE SALES","GP",I406="PARTS SALES","GP",I406="SERVICE COS","GP",I406="PARTS COS","GP",I406="SELLING EXPENSES","Selling Expenses",I406="EMPLOYMENT EXPENSES","Selling Expenses",I406="EMPLOYMENT EXPENSES","Selling Expenses",I406="DIRECT EXPENSES","Selling Expenses",I406="INDIRECT EXPENSES","Selling Expenses"),P406="Parts",_xlfn.IFS(I406="SALES","GP",I406="SERVICE SALES","GP",I406="PARTS SALES","GP",I406="SERVICE COS","GP",I406="PARTS COS","GP",I406="SELLING EXPENSES","Selling Expenses",I406="EMPLOYMENT EXPENSES","Selling Expenses",I406="EMPLOYMENT EXPENSES","Selling Expenses",I406="DIRECT EXPENSES","Selling Expenses",I406="INDIRECT EXPENSES","Selling Expenses"))</f>
        <v>#N/A</v>
      </c>
    </row>
    <row r="407" spans="1:18" x14ac:dyDescent="0.2">
      <c r="A407" s="75" t="s">
        <v>95</v>
      </c>
      <c r="B407" s="76" t="s">
        <v>96</v>
      </c>
      <c r="C407" s="76">
        <v>162</v>
      </c>
      <c r="D407" s="76" t="s">
        <v>455</v>
      </c>
      <c r="E407" s="76" t="s">
        <v>426</v>
      </c>
      <c r="F407" s="77">
        <v>-132080.1</v>
      </c>
      <c r="G407" s="77">
        <v>-22329.34</v>
      </c>
      <c r="H407" s="77">
        <v>-154409.44</v>
      </c>
      <c r="I407" s="76" t="s">
        <v>662</v>
      </c>
      <c r="J407" s="77">
        <v>-16800</v>
      </c>
      <c r="K407" s="78">
        <v>-155700.24</v>
      </c>
      <c r="M407" s="79" t="str">
        <f t="shared" si="20"/>
        <v>162-3165R</v>
      </c>
      <c r="N407" s="79" t="str">
        <f t="shared" si="18"/>
        <v/>
      </c>
      <c r="O407" s="79" t="str">
        <f t="shared" si="19"/>
        <v>162</v>
      </c>
      <c r="P407" s="79" t="str">
        <f>IFERROR(VLOOKUP($M407,Export!$P:$R,2,FALSE),"-")</f>
        <v>LEX F&amp;I</v>
      </c>
      <c r="Q407" s="79" t="str">
        <f>IFERROR(VLOOKUP($M407,Export!$P:$R,3,FALSE),"-")</f>
        <v>LEX F&amp;IFinance Income per vehicle retailed</v>
      </c>
      <c r="R407" s="80" t="e" cm="1">
        <f t="array" ref="R407">_xlfn.IFS(P407="Service", _xlfn.IFS(I407="SALES","GP",I407="SERVICE SALES","GP",I407="PARTS SALES","GP",I407="SERVICE COS","GP",I407="PARTS COS","GP",I407="SELLING EXPENSES","Selling Expenses",I407="EMPLOYMENT EXPENSES","Selling Expenses",I407="EMPLOYMENT EXPENSES","Selling Expenses",I407="DIRECT EXPENSES","Selling Expenses",I407="INDIRECT EXPENSES","Selling Expenses"),P407="Parts",_xlfn.IFS(I407="SALES","GP",I407="SERVICE SALES","GP",I407="PARTS SALES","GP",I407="SERVICE COS","GP",I407="PARTS COS","GP",I407="SELLING EXPENSES","Selling Expenses",I407="EMPLOYMENT EXPENSES","Selling Expenses",I407="EMPLOYMENT EXPENSES","Selling Expenses",I407="DIRECT EXPENSES","Selling Expenses",I407="INDIRECT EXPENSES","Selling Expenses"))</f>
        <v>#N/A</v>
      </c>
    </row>
    <row r="408" spans="1:18" x14ac:dyDescent="0.2">
      <c r="A408" s="75" t="s">
        <v>95</v>
      </c>
      <c r="B408" s="76" t="s">
        <v>96</v>
      </c>
      <c r="C408" s="76">
        <v>260</v>
      </c>
      <c r="D408" s="76" t="s">
        <v>456</v>
      </c>
      <c r="E408" s="76" t="s">
        <v>426</v>
      </c>
      <c r="F408" s="77">
        <v>-272913.53000000003</v>
      </c>
      <c r="G408" s="77">
        <v>-33723.870000000003</v>
      </c>
      <c r="H408" s="77">
        <v>-306637.40000000002</v>
      </c>
      <c r="I408" s="76" t="s">
        <v>662</v>
      </c>
      <c r="J408" s="77">
        <v>-42826.54</v>
      </c>
      <c r="K408" s="78">
        <v>-280859.34000000003</v>
      </c>
      <c r="M408" s="79" t="str">
        <f t="shared" si="20"/>
        <v>260-3165R</v>
      </c>
      <c r="N408" s="79" t="str">
        <f t="shared" si="18"/>
        <v/>
      </c>
      <c r="O408" s="79" t="str">
        <f t="shared" si="19"/>
        <v>260</v>
      </c>
      <c r="P408" s="79" t="str">
        <f>IFERROR(VLOOKUP($M408,Export!$P:$R,2,FALSE),"-")</f>
        <v>F&amp;I</v>
      </c>
      <c r="Q408" s="79" t="str">
        <f>IFERROR(VLOOKUP($M408,Export!$P:$R,3,FALSE),"-")</f>
        <v>F&amp;IFinance Income per vehicle retailed</v>
      </c>
      <c r="R408" s="80" t="e" cm="1">
        <f t="array" ref="R408">_xlfn.IFS(P408="Service", _xlfn.IFS(I408="SALES","GP",I408="SERVICE SALES","GP",I408="PARTS SALES","GP",I408="SERVICE COS","GP",I408="PARTS COS","GP",I408="SELLING EXPENSES","Selling Expenses",I408="EMPLOYMENT EXPENSES","Selling Expenses",I408="EMPLOYMENT EXPENSES","Selling Expenses",I408="DIRECT EXPENSES","Selling Expenses",I408="INDIRECT EXPENSES","Selling Expenses"),P408="Parts",_xlfn.IFS(I408="SALES","GP",I408="SERVICE SALES","GP",I408="PARTS SALES","GP",I408="SERVICE COS","GP",I408="PARTS COS","GP",I408="SELLING EXPENSES","Selling Expenses",I408="EMPLOYMENT EXPENSES","Selling Expenses",I408="EMPLOYMENT EXPENSES","Selling Expenses",I408="DIRECT EXPENSES","Selling Expenses",I408="INDIRECT EXPENSES","Selling Expenses"))</f>
        <v>#N/A</v>
      </c>
    </row>
    <row r="409" spans="1:18" x14ac:dyDescent="0.2">
      <c r="A409" s="75" t="s">
        <v>663</v>
      </c>
      <c r="B409" s="76" t="s">
        <v>664</v>
      </c>
      <c r="C409" s="76">
        <v>160</v>
      </c>
      <c r="D409" s="76" t="s">
        <v>434</v>
      </c>
      <c r="E409" s="76" t="s">
        <v>426</v>
      </c>
      <c r="F409" s="77">
        <v>-27167.33</v>
      </c>
      <c r="G409" s="77">
        <v>-2572.5</v>
      </c>
      <c r="H409" s="77">
        <v>-29739.83</v>
      </c>
      <c r="I409" s="76" t="s">
        <v>662</v>
      </c>
      <c r="J409" s="77">
        <v>-2156</v>
      </c>
      <c r="K409" s="78">
        <v>-19760.98</v>
      </c>
      <c r="M409" s="79" t="str">
        <f t="shared" si="20"/>
        <v>160-3175R</v>
      </c>
      <c r="N409" s="79" t="str">
        <f t="shared" si="18"/>
        <v/>
      </c>
      <c r="O409" s="79" t="str">
        <f t="shared" si="19"/>
        <v>160</v>
      </c>
      <c r="P409" s="79" t="str">
        <f>IFERROR(VLOOKUP($M409,Export!$P:$R,2,FALSE),"-")</f>
        <v>F&amp;I</v>
      </c>
      <c r="Q409" s="79" t="str">
        <f>IFERROR(VLOOKUP($M409,Export!$P:$R,3,FALSE),"-")</f>
        <v>F&amp;IInsurance Income per vehicle retailed</v>
      </c>
      <c r="R409" s="80" t="e" cm="1">
        <f t="array" ref="R409">_xlfn.IFS(P409="Service", _xlfn.IFS(I409="SALES","GP",I409="SERVICE SALES","GP",I409="PARTS SALES","GP",I409="SERVICE COS","GP",I409="PARTS COS","GP",I409="SELLING EXPENSES","Selling Expenses",I409="EMPLOYMENT EXPENSES","Selling Expenses",I409="EMPLOYMENT EXPENSES","Selling Expenses",I409="DIRECT EXPENSES","Selling Expenses",I409="INDIRECT EXPENSES","Selling Expenses"),P409="Parts",_xlfn.IFS(I409="SALES","GP",I409="SERVICE SALES","GP",I409="PARTS SALES","GP",I409="SERVICE COS","GP",I409="PARTS COS","GP",I409="SELLING EXPENSES","Selling Expenses",I409="EMPLOYMENT EXPENSES","Selling Expenses",I409="EMPLOYMENT EXPENSES","Selling Expenses",I409="DIRECT EXPENSES","Selling Expenses",I409="INDIRECT EXPENSES","Selling Expenses"))</f>
        <v>#N/A</v>
      </c>
    </row>
    <row r="410" spans="1:18" x14ac:dyDescent="0.2">
      <c r="A410" s="75" t="s">
        <v>663</v>
      </c>
      <c r="B410" s="76" t="s">
        <v>664</v>
      </c>
      <c r="C410" s="76">
        <v>162</v>
      </c>
      <c r="D410" s="76" t="s">
        <v>455</v>
      </c>
      <c r="E410" s="76" t="s">
        <v>426</v>
      </c>
      <c r="F410" s="77">
        <v>-7106.64</v>
      </c>
      <c r="G410" s="77">
        <v>-857.5</v>
      </c>
      <c r="H410" s="77">
        <v>-7964.14</v>
      </c>
      <c r="I410" s="76" t="s">
        <v>662</v>
      </c>
      <c r="J410" s="77">
        <v>-1400</v>
      </c>
      <c r="K410" s="78">
        <v>-12665.16</v>
      </c>
      <c r="M410" s="79" t="str">
        <f t="shared" si="20"/>
        <v>162-3175R</v>
      </c>
      <c r="N410" s="79" t="str">
        <f t="shared" si="18"/>
        <v/>
      </c>
      <c r="O410" s="79" t="str">
        <f t="shared" si="19"/>
        <v>162</v>
      </c>
      <c r="P410" s="79" t="str">
        <f>IFERROR(VLOOKUP($M410,Export!$P:$R,2,FALSE),"-")</f>
        <v>LEX F&amp;I</v>
      </c>
      <c r="Q410" s="79" t="str">
        <f>IFERROR(VLOOKUP($M410,Export!$P:$R,3,FALSE),"-")</f>
        <v>LEX F&amp;IInsurance Income per vehicle retailed</v>
      </c>
      <c r="R410" s="80" t="e" cm="1">
        <f t="array" ref="R410">_xlfn.IFS(P410="Service", _xlfn.IFS(I410="SALES","GP",I410="SERVICE SALES","GP",I410="PARTS SALES","GP",I410="SERVICE COS","GP",I410="PARTS COS","GP",I410="SELLING EXPENSES","Selling Expenses",I410="EMPLOYMENT EXPENSES","Selling Expenses",I410="EMPLOYMENT EXPENSES","Selling Expenses",I410="DIRECT EXPENSES","Selling Expenses",I410="INDIRECT EXPENSES","Selling Expenses"),P410="Parts",_xlfn.IFS(I410="SALES","GP",I410="SERVICE SALES","GP",I410="PARTS SALES","GP",I410="SERVICE COS","GP",I410="PARTS COS","GP",I410="SELLING EXPENSES","Selling Expenses",I410="EMPLOYMENT EXPENSES","Selling Expenses",I410="EMPLOYMENT EXPENSES","Selling Expenses",I410="DIRECT EXPENSES","Selling Expenses",I410="INDIRECT EXPENSES","Selling Expenses"))</f>
        <v>#N/A</v>
      </c>
    </row>
    <row r="411" spans="1:18" x14ac:dyDescent="0.2">
      <c r="A411" s="75" t="s">
        <v>663</v>
      </c>
      <c r="B411" s="76" t="s">
        <v>664</v>
      </c>
      <c r="C411" s="76">
        <v>260</v>
      </c>
      <c r="D411" s="76" t="s">
        <v>456</v>
      </c>
      <c r="E411" s="76" t="s">
        <v>426</v>
      </c>
      <c r="F411" s="77">
        <v>-22584.52</v>
      </c>
      <c r="G411" s="77">
        <v>-1625.37</v>
      </c>
      <c r="H411" s="77">
        <v>-24209.89</v>
      </c>
      <c r="I411" s="76" t="s">
        <v>662</v>
      </c>
      <c r="J411" s="77">
        <v>-1606</v>
      </c>
      <c r="K411" s="78">
        <v>-17187.82</v>
      </c>
      <c r="M411" s="79" t="str">
        <f t="shared" si="20"/>
        <v>260-3175R</v>
      </c>
      <c r="N411" s="79" t="str">
        <f t="shared" si="18"/>
        <v/>
      </c>
      <c r="O411" s="79" t="str">
        <f t="shared" si="19"/>
        <v>260</v>
      </c>
      <c r="P411" s="79" t="str">
        <f>IFERROR(VLOOKUP($M411,Export!$P:$R,2,FALSE),"-")</f>
        <v>F&amp;I</v>
      </c>
      <c r="Q411" s="79" t="str">
        <f>IFERROR(VLOOKUP($M411,Export!$P:$R,3,FALSE),"-")</f>
        <v>F&amp;IInsurance Income per vehicle retailed</v>
      </c>
      <c r="R411" s="80" t="e" cm="1">
        <f t="array" ref="R411">_xlfn.IFS(P411="Service", _xlfn.IFS(I411="SALES","GP",I411="SERVICE SALES","GP",I411="PARTS SALES","GP",I411="SERVICE COS","GP",I411="PARTS COS","GP",I411="SELLING EXPENSES","Selling Expenses",I411="EMPLOYMENT EXPENSES","Selling Expenses",I411="EMPLOYMENT EXPENSES","Selling Expenses",I411="DIRECT EXPENSES","Selling Expenses",I411="INDIRECT EXPENSES","Selling Expenses"),P411="Parts",_xlfn.IFS(I411="SALES","GP",I411="SERVICE SALES","GP",I411="PARTS SALES","GP",I411="SERVICE COS","GP",I411="PARTS COS","GP",I411="SELLING EXPENSES","Selling Expenses",I411="EMPLOYMENT EXPENSES","Selling Expenses",I411="EMPLOYMENT EXPENSES","Selling Expenses",I411="DIRECT EXPENSES","Selling Expenses",I411="INDIRECT EXPENSES","Selling Expenses"))</f>
        <v>#N/A</v>
      </c>
    </row>
    <row r="412" spans="1:18" x14ac:dyDescent="0.2">
      <c r="A412" s="75" t="s">
        <v>665</v>
      </c>
      <c r="B412" s="76" t="s">
        <v>666</v>
      </c>
      <c r="C412" s="76">
        <v>160</v>
      </c>
      <c r="D412" s="76" t="s">
        <v>434</v>
      </c>
      <c r="E412" s="76" t="s">
        <v>426</v>
      </c>
      <c r="F412" s="77">
        <v>-133256.01</v>
      </c>
      <c r="G412" s="77">
        <v>-10686.15</v>
      </c>
      <c r="H412" s="77">
        <v>-143942.16</v>
      </c>
      <c r="I412" s="76" t="s">
        <v>662</v>
      </c>
      <c r="J412" s="77">
        <v>0</v>
      </c>
      <c r="K412" s="78">
        <v>-130523.41</v>
      </c>
      <c r="M412" s="79" t="str">
        <f t="shared" si="20"/>
        <v>160-3180R</v>
      </c>
      <c r="N412" s="79" t="str">
        <f t="shared" si="18"/>
        <v/>
      </c>
      <c r="O412" s="79" t="str">
        <f t="shared" si="19"/>
        <v>160</v>
      </c>
      <c r="P412" s="79" t="str">
        <f>IFERROR(VLOOKUP($M412,Export!$P:$R,2,FALSE),"-")</f>
        <v>F&amp;I</v>
      </c>
      <c r="Q412" s="79" t="str">
        <f>IFERROR(VLOOKUP($M412,Export!$P:$R,3,FALSE),"-")</f>
        <v>F&amp;IToyota Care Income per vehicle retailed</v>
      </c>
      <c r="R412" s="80" t="e" cm="1">
        <f t="array" ref="R412">_xlfn.IFS(P412="Service", _xlfn.IFS(I412="SALES","GP",I412="SERVICE SALES","GP",I412="PARTS SALES","GP",I412="SERVICE COS","GP",I412="PARTS COS","GP",I412="SELLING EXPENSES","Selling Expenses",I412="EMPLOYMENT EXPENSES","Selling Expenses",I412="EMPLOYMENT EXPENSES","Selling Expenses",I412="DIRECT EXPENSES","Selling Expenses",I412="INDIRECT EXPENSES","Selling Expenses"),P412="Parts",_xlfn.IFS(I412="SALES","GP",I412="SERVICE SALES","GP",I412="PARTS SALES","GP",I412="SERVICE COS","GP",I412="PARTS COS","GP",I412="SELLING EXPENSES","Selling Expenses",I412="EMPLOYMENT EXPENSES","Selling Expenses",I412="EMPLOYMENT EXPENSES","Selling Expenses",I412="DIRECT EXPENSES","Selling Expenses",I412="INDIRECT EXPENSES","Selling Expenses"))</f>
        <v>#N/A</v>
      </c>
    </row>
    <row r="413" spans="1:18" x14ac:dyDescent="0.2">
      <c r="A413" s="75" t="s">
        <v>665</v>
      </c>
      <c r="B413" s="76" t="s">
        <v>666</v>
      </c>
      <c r="C413" s="76">
        <v>162</v>
      </c>
      <c r="D413" s="76" t="s">
        <v>455</v>
      </c>
      <c r="E413" s="76" t="s">
        <v>426</v>
      </c>
      <c r="F413" s="77">
        <v>0</v>
      </c>
      <c r="G413" s="77">
        <v>-286.3</v>
      </c>
      <c r="H413" s="77">
        <v>-286.3</v>
      </c>
      <c r="I413" s="76" t="s">
        <v>662</v>
      </c>
      <c r="J413" s="77">
        <v>0</v>
      </c>
      <c r="K413" s="78">
        <v>0</v>
      </c>
      <c r="M413" s="79" t="str">
        <f t="shared" si="20"/>
        <v>162-3180R</v>
      </c>
      <c r="N413" s="79" t="str">
        <f t="shared" si="18"/>
        <v/>
      </c>
      <c r="O413" s="79" t="str">
        <f t="shared" si="19"/>
        <v>162</v>
      </c>
      <c r="P413" s="79" t="str">
        <f>IFERROR(VLOOKUP($M413,Export!$P:$R,2,FALSE),"-")</f>
        <v>LEX F&amp;I</v>
      </c>
      <c r="Q413" s="79" t="str">
        <f>IFERROR(VLOOKUP($M413,Export!$P:$R,3,FALSE),"-")</f>
        <v>LEX F&amp;IToyota Care Income per vehicle retailed</v>
      </c>
      <c r="R413" s="80" t="e" cm="1">
        <f t="array" ref="R413">_xlfn.IFS(P413="Service", _xlfn.IFS(I413="SALES","GP",I413="SERVICE SALES","GP",I413="PARTS SALES","GP",I413="SERVICE COS","GP",I413="PARTS COS","GP",I413="SELLING EXPENSES","Selling Expenses",I413="EMPLOYMENT EXPENSES","Selling Expenses",I413="EMPLOYMENT EXPENSES","Selling Expenses",I413="DIRECT EXPENSES","Selling Expenses",I413="INDIRECT EXPENSES","Selling Expenses"),P413="Parts",_xlfn.IFS(I413="SALES","GP",I413="SERVICE SALES","GP",I413="PARTS SALES","GP",I413="SERVICE COS","GP",I413="PARTS COS","GP",I413="SELLING EXPENSES","Selling Expenses",I413="EMPLOYMENT EXPENSES","Selling Expenses",I413="EMPLOYMENT EXPENSES","Selling Expenses",I413="DIRECT EXPENSES","Selling Expenses",I413="INDIRECT EXPENSES","Selling Expenses"))</f>
        <v>#N/A</v>
      </c>
    </row>
    <row r="414" spans="1:18" x14ac:dyDescent="0.2">
      <c r="A414" s="75" t="s">
        <v>665</v>
      </c>
      <c r="B414" s="76" t="s">
        <v>666</v>
      </c>
      <c r="C414" s="76">
        <v>260</v>
      </c>
      <c r="D414" s="76" t="s">
        <v>456</v>
      </c>
      <c r="E414" s="76" t="s">
        <v>426</v>
      </c>
      <c r="F414" s="77">
        <v>-99096.9</v>
      </c>
      <c r="G414" s="77">
        <v>-2786.96</v>
      </c>
      <c r="H414" s="77">
        <v>-101883.86</v>
      </c>
      <c r="I414" s="76" t="s">
        <v>662</v>
      </c>
      <c r="J414" s="77">
        <v>0</v>
      </c>
      <c r="K414" s="78">
        <v>-67499.070000000007</v>
      </c>
      <c r="M414" s="79" t="str">
        <f t="shared" si="20"/>
        <v>260-3180R</v>
      </c>
      <c r="N414" s="79" t="str">
        <f t="shared" si="18"/>
        <v/>
      </c>
      <c r="O414" s="79" t="str">
        <f t="shared" si="19"/>
        <v>260</v>
      </c>
      <c r="P414" s="79" t="str">
        <f>IFERROR(VLOOKUP($M414,Export!$P:$R,2,FALSE),"-")</f>
        <v>F&amp;I</v>
      </c>
      <c r="Q414" s="79" t="str">
        <f>IFERROR(VLOOKUP($M414,Export!$P:$R,3,FALSE),"-")</f>
        <v>F&amp;IToyota Care Income per vehicle retailed</v>
      </c>
      <c r="R414" s="80" t="e" cm="1">
        <f t="array" ref="R414">_xlfn.IFS(P414="Service", _xlfn.IFS(I414="SALES","GP",I414="SERVICE SALES","GP",I414="PARTS SALES","GP",I414="SERVICE COS","GP",I414="PARTS COS","GP",I414="SELLING EXPENSES","Selling Expenses",I414="EMPLOYMENT EXPENSES","Selling Expenses",I414="EMPLOYMENT EXPENSES","Selling Expenses",I414="DIRECT EXPENSES","Selling Expenses",I414="INDIRECT EXPENSES","Selling Expenses"),P414="Parts",_xlfn.IFS(I414="SALES","GP",I414="SERVICE SALES","GP",I414="PARTS SALES","GP",I414="SERVICE COS","GP",I414="PARTS COS","GP",I414="SELLING EXPENSES","Selling Expenses",I414="EMPLOYMENT EXPENSES","Selling Expenses",I414="EMPLOYMENT EXPENSES","Selling Expenses",I414="DIRECT EXPENSES","Selling Expenses",I414="INDIRECT EXPENSES","Selling Expenses"))</f>
        <v>#N/A</v>
      </c>
    </row>
    <row r="415" spans="1:18" x14ac:dyDescent="0.2">
      <c r="A415" s="75" t="s">
        <v>667</v>
      </c>
      <c r="B415" s="76" t="s">
        <v>668</v>
      </c>
      <c r="C415" s="76">
        <v>260</v>
      </c>
      <c r="D415" s="76" t="s">
        <v>456</v>
      </c>
      <c r="E415" s="76" t="s">
        <v>426</v>
      </c>
      <c r="F415" s="77">
        <v>3700</v>
      </c>
      <c r="G415" s="77">
        <v>0</v>
      </c>
      <c r="H415" s="77">
        <v>3700</v>
      </c>
      <c r="I415" s="76" t="s">
        <v>662</v>
      </c>
      <c r="J415" s="77">
        <v>0</v>
      </c>
      <c r="K415" s="78">
        <v>0</v>
      </c>
      <c r="M415" s="79" t="str">
        <f t="shared" si="20"/>
        <v>260-3185R</v>
      </c>
      <c r="N415" s="79" t="str">
        <f t="shared" si="18"/>
        <v/>
      </c>
      <c r="O415" s="79" t="str">
        <f t="shared" si="19"/>
        <v>260</v>
      </c>
      <c r="P415" s="79" t="str">
        <f>IFERROR(VLOOKUP($M415,Export!$P:$R,2,FALSE),"-")</f>
        <v>F&amp;I</v>
      </c>
      <c r="Q415" s="79" t="str">
        <f>IFERROR(VLOOKUP($M415,Export!$P:$R,3,FALSE),"-")</f>
        <v>F&amp;IToyota Care Income per vehicle retailed</v>
      </c>
      <c r="R415" s="80" t="e" cm="1">
        <f t="array" ref="R415">_xlfn.IFS(P415="Service", _xlfn.IFS(I415="SALES","GP",I415="SERVICE SALES","GP",I415="PARTS SALES","GP",I415="SERVICE COS","GP",I415="PARTS COS","GP",I415="SELLING EXPENSES","Selling Expenses",I415="EMPLOYMENT EXPENSES","Selling Expenses",I415="EMPLOYMENT EXPENSES","Selling Expenses",I415="DIRECT EXPENSES","Selling Expenses",I415="INDIRECT EXPENSES","Selling Expenses"),P415="Parts",_xlfn.IFS(I415="SALES","GP",I415="SERVICE SALES","GP",I415="PARTS SALES","GP",I415="SERVICE COS","GP",I415="PARTS COS","GP",I415="SELLING EXPENSES","Selling Expenses",I415="EMPLOYMENT EXPENSES","Selling Expenses",I415="EMPLOYMENT EXPENSES","Selling Expenses",I415="DIRECT EXPENSES","Selling Expenses",I415="INDIRECT EXPENSES","Selling Expenses"))</f>
        <v>#N/A</v>
      </c>
    </row>
    <row r="416" spans="1:18" x14ac:dyDescent="0.2">
      <c r="A416" s="75">
        <v>3190</v>
      </c>
      <c r="B416" s="76" t="s">
        <v>669</v>
      </c>
      <c r="C416" s="76">
        <v>160</v>
      </c>
      <c r="D416" s="76" t="s">
        <v>434</v>
      </c>
      <c r="E416" s="76" t="s">
        <v>426</v>
      </c>
      <c r="F416" s="77">
        <v>-140283.43</v>
      </c>
      <c r="G416" s="77">
        <v>-18423.86</v>
      </c>
      <c r="H416" s="77">
        <v>-158707.29</v>
      </c>
      <c r="I416" s="76" t="s">
        <v>662</v>
      </c>
      <c r="J416" s="77">
        <v>-9432.5</v>
      </c>
      <c r="K416" s="78">
        <v>-83808.5</v>
      </c>
      <c r="M416" s="79" t="str">
        <f t="shared" si="20"/>
        <v>160-3190</v>
      </c>
      <c r="N416" s="79" t="str">
        <f t="shared" si="18"/>
        <v/>
      </c>
      <c r="O416" s="79" t="str">
        <f t="shared" si="19"/>
        <v>160</v>
      </c>
      <c r="P416" s="79" t="str">
        <f>IFERROR(VLOOKUP($M416,Export!$P:$R,2,FALSE),"-")</f>
        <v>F&amp;I</v>
      </c>
      <c r="Q416" s="79" t="str">
        <f>IFERROR(VLOOKUP($M416,Export!$P:$R,3,FALSE),"-")</f>
        <v>F&amp;IPaint &amp; Fab income per vehicle retailed</v>
      </c>
      <c r="R416" s="80" t="e" cm="1">
        <f t="array" ref="R416">_xlfn.IFS(P416="Service", _xlfn.IFS(I416="SALES","GP",I416="SERVICE SALES","GP",I416="PARTS SALES","GP",I416="SERVICE COS","GP",I416="PARTS COS","GP",I416="SELLING EXPENSES","Selling Expenses",I416="EMPLOYMENT EXPENSES","Selling Expenses",I416="EMPLOYMENT EXPENSES","Selling Expenses",I416="DIRECT EXPENSES","Selling Expenses",I416="INDIRECT EXPENSES","Selling Expenses"),P416="Parts",_xlfn.IFS(I416="SALES","GP",I416="SERVICE SALES","GP",I416="PARTS SALES","GP",I416="SERVICE COS","GP",I416="PARTS COS","GP",I416="SELLING EXPENSES","Selling Expenses",I416="EMPLOYMENT EXPENSES","Selling Expenses",I416="EMPLOYMENT EXPENSES","Selling Expenses",I416="DIRECT EXPENSES","Selling Expenses",I416="INDIRECT EXPENSES","Selling Expenses"))</f>
        <v>#N/A</v>
      </c>
    </row>
    <row r="417" spans="1:18" x14ac:dyDescent="0.2">
      <c r="A417" s="75">
        <v>3190</v>
      </c>
      <c r="B417" s="76" t="s">
        <v>669</v>
      </c>
      <c r="C417" s="76">
        <v>162</v>
      </c>
      <c r="D417" s="76" t="s">
        <v>455</v>
      </c>
      <c r="E417" s="76" t="s">
        <v>426</v>
      </c>
      <c r="F417" s="77">
        <v>-84991.05</v>
      </c>
      <c r="G417" s="77">
        <v>-4621.76</v>
      </c>
      <c r="H417" s="77">
        <v>-89612.81</v>
      </c>
      <c r="I417" s="76" t="s">
        <v>662</v>
      </c>
      <c r="J417" s="77">
        <v>-16800</v>
      </c>
      <c r="K417" s="78">
        <v>-149573.13</v>
      </c>
      <c r="M417" s="79" t="str">
        <f t="shared" si="20"/>
        <v>162-3190</v>
      </c>
      <c r="N417" s="79" t="str">
        <f t="shared" si="18"/>
        <v/>
      </c>
      <c r="O417" s="79" t="str">
        <f t="shared" si="19"/>
        <v>162</v>
      </c>
      <c r="P417" s="79" t="str">
        <f>IFERROR(VLOOKUP($M417,Export!$P:$R,2,FALSE),"-")</f>
        <v>LEX F&amp;I</v>
      </c>
      <c r="Q417" s="79" t="str">
        <f>IFERROR(VLOOKUP($M417,Export!$P:$R,3,FALSE),"-")</f>
        <v>LEX F&amp;IPaint &amp; Fab income per vehicle retailed</v>
      </c>
      <c r="R417" s="80" t="e" cm="1">
        <f t="array" ref="R417">_xlfn.IFS(P417="Service", _xlfn.IFS(I417="SALES","GP",I417="SERVICE SALES","GP",I417="PARTS SALES","GP",I417="SERVICE COS","GP",I417="PARTS COS","GP",I417="SELLING EXPENSES","Selling Expenses",I417="EMPLOYMENT EXPENSES","Selling Expenses",I417="EMPLOYMENT EXPENSES","Selling Expenses",I417="DIRECT EXPENSES","Selling Expenses",I417="INDIRECT EXPENSES","Selling Expenses"),P417="Parts",_xlfn.IFS(I417="SALES","GP",I417="SERVICE SALES","GP",I417="PARTS SALES","GP",I417="SERVICE COS","GP",I417="PARTS COS","GP",I417="SELLING EXPENSES","Selling Expenses",I417="EMPLOYMENT EXPENSES","Selling Expenses",I417="EMPLOYMENT EXPENSES","Selling Expenses",I417="DIRECT EXPENSES","Selling Expenses",I417="INDIRECT EXPENSES","Selling Expenses"))</f>
        <v>#N/A</v>
      </c>
    </row>
    <row r="418" spans="1:18" x14ac:dyDescent="0.2">
      <c r="A418" s="75">
        <v>3190</v>
      </c>
      <c r="B418" s="76" t="s">
        <v>669</v>
      </c>
      <c r="C418" s="76">
        <v>260</v>
      </c>
      <c r="D418" s="76" t="s">
        <v>456</v>
      </c>
      <c r="E418" s="76" t="s">
        <v>426</v>
      </c>
      <c r="F418" s="77">
        <v>-67920.789999999994</v>
      </c>
      <c r="G418" s="77">
        <v>-6386.31</v>
      </c>
      <c r="H418" s="77">
        <v>-74307.100000000006</v>
      </c>
      <c r="I418" s="76" t="s">
        <v>662</v>
      </c>
      <c r="J418" s="77">
        <v>-3211.99</v>
      </c>
      <c r="K418" s="78">
        <v>-40365.19</v>
      </c>
      <c r="M418" s="79" t="str">
        <f t="shared" si="20"/>
        <v>260-3190</v>
      </c>
      <c r="N418" s="79" t="str">
        <f t="shared" si="18"/>
        <v/>
      </c>
      <c r="O418" s="79" t="str">
        <f t="shared" si="19"/>
        <v>260</v>
      </c>
      <c r="P418" s="79" t="str">
        <f>IFERROR(VLOOKUP($M418,Export!$P:$R,2,FALSE),"-")</f>
        <v>F&amp;I</v>
      </c>
      <c r="Q418" s="79" t="str">
        <f>IFERROR(VLOOKUP($M418,Export!$P:$R,3,FALSE),"-")</f>
        <v>F&amp;IPaint &amp; Fab income per vehicle retailed</v>
      </c>
      <c r="R418" s="80" t="e" cm="1">
        <f t="array" ref="R418">_xlfn.IFS(P418="Service", _xlfn.IFS(I418="SALES","GP",I418="SERVICE SALES","GP",I418="PARTS SALES","GP",I418="SERVICE COS","GP",I418="PARTS COS","GP",I418="SELLING EXPENSES","Selling Expenses",I418="EMPLOYMENT EXPENSES","Selling Expenses",I418="EMPLOYMENT EXPENSES","Selling Expenses",I418="DIRECT EXPENSES","Selling Expenses",I418="INDIRECT EXPENSES","Selling Expenses"),P418="Parts",_xlfn.IFS(I418="SALES","GP",I418="SERVICE SALES","GP",I418="PARTS SALES","GP",I418="SERVICE COS","GP",I418="PARTS COS","GP",I418="SELLING EXPENSES","Selling Expenses",I418="EMPLOYMENT EXPENSES","Selling Expenses",I418="EMPLOYMENT EXPENSES","Selling Expenses",I418="DIRECT EXPENSES","Selling Expenses",I418="INDIRECT EXPENSES","Selling Expenses"))</f>
        <v>#N/A</v>
      </c>
    </row>
    <row r="419" spans="1:18" x14ac:dyDescent="0.2">
      <c r="A419" s="75">
        <v>3195</v>
      </c>
      <c r="B419" s="76" t="s">
        <v>670</v>
      </c>
      <c r="C419" s="76">
        <v>160</v>
      </c>
      <c r="D419" s="76" t="s">
        <v>434</v>
      </c>
      <c r="E419" s="76" t="s">
        <v>426</v>
      </c>
      <c r="F419" s="77">
        <v>-14488.68</v>
      </c>
      <c r="G419" s="77">
        <v>0</v>
      </c>
      <c r="H419" s="77">
        <v>-14488.68</v>
      </c>
      <c r="I419" s="76" t="s">
        <v>662</v>
      </c>
      <c r="J419" s="77">
        <v>-3234</v>
      </c>
      <c r="K419" s="78">
        <v>-35959.800000000003</v>
      </c>
      <c r="M419" s="79" t="str">
        <f t="shared" si="20"/>
        <v>160-3195</v>
      </c>
      <c r="N419" s="79" t="str">
        <f t="shared" si="18"/>
        <v/>
      </c>
      <c r="O419" s="79" t="str">
        <f t="shared" si="19"/>
        <v>160</v>
      </c>
      <c r="P419" s="79" t="str">
        <f>IFERROR(VLOOKUP($M419,Export!$P:$R,2,FALSE),"-")</f>
        <v>F&amp;I</v>
      </c>
      <c r="Q419" s="79" t="str">
        <f>IFERROR(VLOOKUP($M419,Export!$P:$R,3,FALSE),"-")</f>
        <v>F&amp;IPaint &amp; Fab income per vehicle retailed</v>
      </c>
      <c r="R419" s="80" t="e" cm="1">
        <f t="array" ref="R419">_xlfn.IFS(P419="Service", _xlfn.IFS(I419="SALES","GP",I419="SERVICE SALES","GP",I419="PARTS SALES","GP",I419="SERVICE COS","GP",I419="PARTS COS","GP",I419="SELLING EXPENSES","Selling Expenses",I419="EMPLOYMENT EXPENSES","Selling Expenses",I419="EMPLOYMENT EXPENSES","Selling Expenses",I419="DIRECT EXPENSES","Selling Expenses",I419="INDIRECT EXPENSES","Selling Expenses"),P419="Parts",_xlfn.IFS(I419="SALES","GP",I419="SERVICE SALES","GP",I419="PARTS SALES","GP",I419="SERVICE COS","GP",I419="PARTS COS","GP",I419="SELLING EXPENSES","Selling Expenses",I419="EMPLOYMENT EXPENSES","Selling Expenses",I419="EMPLOYMENT EXPENSES","Selling Expenses",I419="DIRECT EXPENSES","Selling Expenses",I419="INDIRECT EXPENSES","Selling Expenses"))</f>
        <v>#N/A</v>
      </c>
    </row>
    <row r="420" spans="1:18" x14ac:dyDescent="0.2">
      <c r="A420" s="75">
        <v>3195</v>
      </c>
      <c r="B420" s="76" t="s">
        <v>670</v>
      </c>
      <c r="C420" s="76">
        <v>162</v>
      </c>
      <c r="D420" s="76" t="s">
        <v>455</v>
      </c>
      <c r="E420" s="76" t="s">
        <v>426</v>
      </c>
      <c r="F420" s="77">
        <v>-21583.33</v>
      </c>
      <c r="G420" s="77">
        <v>0</v>
      </c>
      <c r="H420" s="77">
        <v>-21583.33</v>
      </c>
      <c r="I420" s="76" t="s">
        <v>662</v>
      </c>
      <c r="J420" s="77">
        <v>-2520</v>
      </c>
      <c r="K420" s="78">
        <v>6487.24</v>
      </c>
      <c r="M420" s="79" t="str">
        <f t="shared" si="20"/>
        <v>162-3195</v>
      </c>
      <c r="N420" s="79" t="str">
        <f t="shared" si="18"/>
        <v/>
      </c>
      <c r="O420" s="79" t="str">
        <f t="shared" si="19"/>
        <v>162</v>
      </c>
      <c r="P420" s="79" t="str">
        <f>IFERROR(VLOOKUP($M420,Export!$P:$R,2,FALSE),"-")</f>
        <v>LEX F&amp;I</v>
      </c>
      <c r="Q420" s="79" t="str">
        <f>IFERROR(VLOOKUP($M420,Export!$P:$R,3,FALSE),"-")</f>
        <v>LEX F&amp;IPaint &amp; Fab income per vehicle retailed</v>
      </c>
      <c r="R420" s="80" t="e" cm="1">
        <f t="array" ref="R420">_xlfn.IFS(P420="Service", _xlfn.IFS(I420="SALES","GP",I420="SERVICE SALES","GP",I420="PARTS SALES","GP",I420="SERVICE COS","GP",I420="PARTS COS","GP",I420="SELLING EXPENSES","Selling Expenses",I420="EMPLOYMENT EXPENSES","Selling Expenses",I420="EMPLOYMENT EXPENSES","Selling Expenses",I420="DIRECT EXPENSES","Selling Expenses",I420="INDIRECT EXPENSES","Selling Expenses"),P420="Parts",_xlfn.IFS(I420="SALES","GP",I420="SERVICE SALES","GP",I420="PARTS SALES","GP",I420="SERVICE COS","GP",I420="PARTS COS","GP",I420="SELLING EXPENSES","Selling Expenses",I420="EMPLOYMENT EXPENSES","Selling Expenses",I420="EMPLOYMENT EXPENSES","Selling Expenses",I420="DIRECT EXPENSES","Selling Expenses",I420="INDIRECT EXPENSES","Selling Expenses"))</f>
        <v>#N/A</v>
      </c>
    </row>
    <row r="421" spans="1:18" x14ac:dyDescent="0.2">
      <c r="A421" s="75">
        <v>3195</v>
      </c>
      <c r="B421" s="76" t="s">
        <v>670</v>
      </c>
      <c r="C421" s="76">
        <v>260</v>
      </c>
      <c r="D421" s="76" t="s">
        <v>456</v>
      </c>
      <c r="E421" s="76" t="s">
        <v>426</v>
      </c>
      <c r="F421" s="77">
        <v>-3304.83</v>
      </c>
      <c r="G421" s="77">
        <v>0</v>
      </c>
      <c r="H421" s="77">
        <v>-3304.83</v>
      </c>
      <c r="I421" s="76" t="s">
        <v>662</v>
      </c>
      <c r="J421" s="77">
        <v>-3211.99</v>
      </c>
      <c r="K421" s="78">
        <v>-26456.81</v>
      </c>
      <c r="M421" s="79" t="str">
        <f t="shared" si="20"/>
        <v>260-3195</v>
      </c>
      <c r="N421" s="79" t="str">
        <f t="shared" si="18"/>
        <v/>
      </c>
      <c r="O421" s="79" t="str">
        <f t="shared" si="19"/>
        <v>260</v>
      </c>
      <c r="P421" s="79" t="str">
        <f>IFERROR(VLOOKUP($M421,Export!$P:$R,2,FALSE),"-")</f>
        <v>F&amp;I</v>
      </c>
      <c r="Q421" s="79" t="str">
        <f>IFERROR(VLOOKUP($M421,Export!$P:$R,3,FALSE),"-")</f>
        <v>F&amp;IPaint &amp; Fab income per vehicle retailed</v>
      </c>
      <c r="R421" s="80" t="e" cm="1">
        <f t="array" ref="R421">_xlfn.IFS(P421="Service", _xlfn.IFS(I421="SALES","GP",I421="SERVICE SALES","GP",I421="PARTS SALES","GP",I421="SERVICE COS","GP",I421="PARTS COS","GP",I421="SELLING EXPENSES","Selling Expenses",I421="EMPLOYMENT EXPENSES","Selling Expenses",I421="EMPLOYMENT EXPENSES","Selling Expenses",I421="DIRECT EXPENSES","Selling Expenses",I421="INDIRECT EXPENSES","Selling Expenses"),P421="Parts",_xlfn.IFS(I421="SALES","GP",I421="SERVICE SALES","GP",I421="PARTS SALES","GP",I421="SERVICE COS","GP",I421="PARTS COS","GP",I421="SELLING EXPENSES","Selling Expenses",I421="EMPLOYMENT EXPENSES","Selling Expenses",I421="EMPLOYMENT EXPENSES","Selling Expenses",I421="DIRECT EXPENSES","Selling Expenses",I421="INDIRECT EXPENSES","Selling Expenses"))</f>
        <v>#N/A</v>
      </c>
    </row>
    <row r="422" spans="1:18" x14ac:dyDescent="0.2">
      <c r="A422" s="75">
        <v>3260</v>
      </c>
      <c r="B422" s="76" t="s">
        <v>671</v>
      </c>
      <c r="C422" s="76">
        <v>160</v>
      </c>
      <c r="D422" s="76" t="s">
        <v>434</v>
      </c>
      <c r="E422" s="76" t="s">
        <v>426</v>
      </c>
      <c r="F422" s="77">
        <v>-148459.43</v>
      </c>
      <c r="G422" s="77">
        <v>-15625.31</v>
      </c>
      <c r="H422" s="77">
        <v>-164084.74</v>
      </c>
      <c r="I422" s="76" t="s">
        <v>662</v>
      </c>
      <c r="J422" s="77">
        <v>-12950</v>
      </c>
      <c r="K422" s="78">
        <v>-82435.460000000006</v>
      </c>
      <c r="M422" s="79" t="str">
        <f t="shared" si="20"/>
        <v>160-3260</v>
      </c>
      <c r="N422" s="79" t="str">
        <f t="shared" si="18"/>
        <v/>
      </c>
      <c r="O422" s="79" t="str">
        <f t="shared" si="19"/>
        <v>160</v>
      </c>
      <c r="P422" s="79" t="str">
        <f>IFERROR(VLOOKUP($M422,Export!$P:$R,2,FALSE),"-")</f>
        <v>F&amp;I</v>
      </c>
      <c r="Q422" s="79" t="str">
        <f>IFERROR(VLOOKUP($M422,Export!$P:$R,3,FALSE),"-")</f>
        <v>F&amp;IFinance Income per vehicle retailed</v>
      </c>
      <c r="R422" s="80" t="e" cm="1">
        <f t="array" ref="R422">_xlfn.IFS(P422="Service", _xlfn.IFS(I422="SALES","GP",I422="SERVICE SALES","GP",I422="PARTS SALES","GP",I422="SERVICE COS","GP",I422="PARTS COS","GP",I422="SELLING EXPENSES","Selling Expenses",I422="EMPLOYMENT EXPENSES","Selling Expenses",I422="EMPLOYMENT EXPENSES","Selling Expenses",I422="DIRECT EXPENSES","Selling Expenses",I422="INDIRECT EXPENSES","Selling Expenses"),P422="Parts",_xlfn.IFS(I422="SALES","GP",I422="SERVICE SALES","GP",I422="PARTS SALES","GP",I422="SERVICE COS","GP",I422="PARTS COS","GP",I422="SELLING EXPENSES","Selling Expenses",I422="EMPLOYMENT EXPENSES","Selling Expenses",I422="EMPLOYMENT EXPENSES","Selling Expenses",I422="DIRECT EXPENSES","Selling Expenses",I422="INDIRECT EXPENSES","Selling Expenses"))</f>
        <v>#N/A</v>
      </c>
    </row>
    <row r="423" spans="1:18" x14ac:dyDescent="0.2">
      <c r="A423" s="75">
        <v>3260</v>
      </c>
      <c r="B423" s="76" t="s">
        <v>671</v>
      </c>
      <c r="C423" s="76">
        <v>162</v>
      </c>
      <c r="D423" s="76" t="s">
        <v>455</v>
      </c>
      <c r="E423" s="76" t="s">
        <v>426</v>
      </c>
      <c r="F423" s="77">
        <v>-36086.269999999997</v>
      </c>
      <c r="G423" s="77">
        <v>2367.06</v>
      </c>
      <c r="H423" s="77">
        <v>-33719.21</v>
      </c>
      <c r="I423" s="76" t="s">
        <v>662</v>
      </c>
      <c r="J423" s="77">
        <v>-4480</v>
      </c>
      <c r="K423" s="78">
        <v>-75313.87</v>
      </c>
      <c r="M423" s="79" t="str">
        <f t="shared" si="20"/>
        <v>162-3260</v>
      </c>
      <c r="N423" s="79" t="str">
        <f t="shared" si="18"/>
        <v/>
      </c>
      <c r="O423" s="79" t="str">
        <f t="shared" si="19"/>
        <v>162</v>
      </c>
      <c r="P423" s="79" t="str">
        <f>IFERROR(VLOOKUP($M423,Export!$P:$R,2,FALSE),"-")</f>
        <v>LEX F&amp;I</v>
      </c>
      <c r="Q423" s="79" t="str">
        <f>IFERROR(VLOOKUP($M423,Export!$P:$R,3,FALSE),"-")</f>
        <v>LEX F&amp;IFinance Income per vehicle retailed</v>
      </c>
      <c r="R423" s="80" t="e" cm="1">
        <f t="array" ref="R423">_xlfn.IFS(P423="Service", _xlfn.IFS(I423="SALES","GP",I423="SERVICE SALES","GP",I423="PARTS SALES","GP",I423="SERVICE COS","GP",I423="PARTS COS","GP",I423="SELLING EXPENSES","Selling Expenses",I423="EMPLOYMENT EXPENSES","Selling Expenses",I423="EMPLOYMENT EXPENSES","Selling Expenses",I423="DIRECT EXPENSES","Selling Expenses",I423="INDIRECT EXPENSES","Selling Expenses"),P423="Parts",_xlfn.IFS(I423="SALES","GP",I423="SERVICE SALES","GP",I423="PARTS SALES","GP",I423="SERVICE COS","GP",I423="PARTS COS","GP",I423="SELLING EXPENSES","Selling Expenses",I423="EMPLOYMENT EXPENSES","Selling Expenses",I423="EMPLOYMENT EXPENSES","Selling Expenses",I423="DIRECT EXPENSES","Selling Expenses",I423="INDIRECT EXPENSES","Selling Expenses"))</f>
        <v>#N/A</v>
      </c>
    </row>
    <row r="424" spans="1:18" x14ac:dyDescent="0.2">
      <c r="A424" s="75">
        <v>3260</v>
      </c>
      <c r="B424" s="76" t="s">
        <v>671</v>
      </c>
      <c r="C424" s="76">
        <v>260</v>
      </c>
      <c r="D424" s="76" t="s">
        <v>456</v>
      </c>
      <c r="E424" s="76" t="s">
        <v>426</v>
      </c>
      <c r="F424" s="77">
        <v>-103121.69</v>
      </c>
      <c r="G424" s="77">
        <v>-6601.42</v>
      </c>
      <c r="H424" s="77">
        <v>-109723.11</v>
      </c>
      <c r="I424" s="76" t="s">
        <v>662</v>
      </c>
      <c r="J424" s="77">
        <v>-16207.64</v>
      </c>
      <c r="K424" s="78">
        <v>-98858.87</v>
      </c>
      <c r="M424" s="79" t="str">
        <f t="shared" si="20"/>
        <v>260-3260</v>
      </c>
      <c r="N424" s="79" t="str">
        <f t="shared" si="18"/>
        <v/>
      </c>
      <c r="O424" s="79" t="str">
        <f t="shared" si="19"/>
        <v>260</v>
      </c>
      <c r="P424" s="79" t="str">
        <f>IFERROR(VLOOKUP($M424,Export!$P:$R,2,FALSE),"-")</f>
        <v>F&amp;I</v>
      </c>
      <c r="Q424" s="79" t="str">
        <f>IFERROR(VLOOKUP($M424,Export!$P:$R,3,FALSE),"-")</f>
        <v>F&amp;IFinance Income per vehicle retailed</v>
      </c>
      <c r="R424" s="80" t="e" cm="1">
        <f t="array" ref="R424">_xlfn.IFS(P424="Service", _xlfn.IFS(I424="SALES","GP",I424="SERVICE SALES","GP",I424="PARTS SALES","GP",I424="SERVICE COS","GP",I424="PARTS COS","GP",I424="SELLING EXPENSES","Selling Expenses",I424="EMPLOYMENT EXPENSES","Selling Expenses",I424="EMPLOYMENT EXPENSES","Selling Expenses",I424="DIRECT EXPENSES","Selling Expenses",I424="INDIRECT EXPENSES","Selling Expenses"),P424="Parts",_xlfn.IFS(I424="SALES","GP",I424="SERVICE SALES","GP",I424="PARTS SALES","GP",I424="SERVICE COS","GP",I424="PARTS COS","GP",I424="SELLING EXPENSES","Selling Expenses",I424="EMPLOYMENT EXPENSES","Selling Expenses",I424="EMPLOYMENT EXPENSES","Selling Expenses",I424="DIRECT EXPENSES","Selling Expenses",I424="INDIRECT EXPENSES","Selling Expenses"))</f>
        <v>#N/A</v>
      </c>
    </row>
    <row r="425" spans="1:18" x14ac:dyDescent="0.2">
      <c r="A425" s="75">
        <v>3261</v>
      </c>
      <c r="B425" s="76" t="s">
        <v>672</v>
      </c>
      <c r="C425" s="76">
        <v>160</v>
      </c>
      <c r="D425" s="76" t="s">
        <v>434</v>
      </c>
      <c r="E425" s="76" t="s">
        <v>426</v>
      </c>
      <c r="F425" s="77">
        <v>-96935.08</v>
      </c>
      <c r="G425" s="77">
        <v>-7181.89</v>
      </c>
      <c r="H425" s="77">
        <v>-104116.97</v>
      </c>
      <c r="I425" s="76" t="s">
        <v>662</v>
      </c>
      <c r="J425" s="77">
        <v>-4229.17</v>
      </c>
      <c r="K425" s="78">
        <v>-48501.84</v>
      </c>
      <c r="M425" s="79" t="str">
        <f t="shared" si="20"/>
        <v>160-3261</v>
      </c>
      <c r="N425" s="79" t="str">
        <f t="shared" si="18"/>
        <v/>
      </c>
      <c r="O425" s="79" t="str">
        <f t="shared" si="19"/>
        <v>160</v>
      </c>
      <c r="P425" s="79" t="str">
        <f>IFERROR(VLOOKUP($M425,Export!$P:$R,2,FALSE),"-")</f>
        <v>F&amp;I</v>
      </c>
      <c r="Q425" s="79" t="str">
        <f>IFERROR(VLOOKUP($M425,Export!$P:$R,3,FALSE),"-")</f>
        <v>F&amp;IFinance Income per vehicle retailed</v>
      </c>
      <c r="R425" s="80" t="e" cm="1">
        <f t="array" ref="R425">_xlfn.IFS(P425="Service", _xlfn.IFS(I425="SALES","GP",I425="SERVICE SALES","GP",I425="PARTS SALES","GP",I425="SERVICE COS","GP",I425="PARTS COS","GP",I425="SELLING EXPENSES","Selling Expenses",I425="EMPLOYMENT EXPENSES","Selling Expenses",I425="EMPLOYMENT EXPENSES","Selling Expenses",I425="DIRECT EXPENSES","Selling Expenses",I425="INDIRECT EXPENSES","Selling Expenses"),P425="Parts",_xlfn.IFS(I425="SALES","GP",I425="SERVICE SALES","GP",I425="PARTS SALES","GP",I425="SERVICE COS","GP",I425="PARTS COS","GP",I425="SELLING EXPENSES","Selling Expenses",I425="EMPLOYMENT EXPENSES","Selling Expenses",I425="EMPLOYMENT EXPENSES","Selling Expenses",I425="DIRECT EXPENSES","Selling Expenses",I425="INDIRECT EXPENSES","Selling Expenses"))</f>
        <v>#N/A</v>
      </c>
    </row>
    <row r="426" spans="1:18" x14ac:dyDescent="0.2">
      <c r="A426" s="75">
        <v>3270</v>
      </c>
      <c r="B426" s="76" t="s">
        <v>673</v>
      </c>
      <c r="C426" s="76">
        <v>160</v>
      </c>
      <c r="D426" s="76" t="s">
        <v>434</v>
      </c>
      <c r="E426" s="76" t="s">
        <v>426</v>
      </c>
      <c r="F426" s="77">
        <v>-25049.01</v>
      </c>
      <c r="G426" s="77">
        <v>-2358.13</v>
      </c>
      <c r="H426" s="77">
        <v>-27407.14</v>
      </c>
      <c r="I426" s="76" t="s">
        <v>662</v>
      </c>
      <c r="J426" s="77">
        <v>-1079.17</v>
      </c>
      <c r="K426" s="78">
        <v>-11926.1</v>
      </c>
      <c r="M426" s="79" t="str">
        <f t="shared" si="20"/>
        <v>160-3270</v>
      </c>
      <c r="N426" s="79" t="str">
        <f t="shared" si="18"/>
        <v/>
      </c>
      <c r="O426" s="79" t="str">
        <f t="shared" si="19"/>
        <v>160</v>
      </c>
      <c r="P426" s="79" t="str">
        <f>IFERROR(VLOOKUP($M426,Export!$P:$R,2,FALSE),"-")</f>
        <v>F&amp;I</v>
      </c>
      <c r="Q426" s="79" t="str">
        <f>IFERROR(VLOOKUP($M426,Export!$P:$R,3,FALSE),"-")</f>
        <v>F&amp;IInsurance Income per vehicle retailed</v>
      </c>
      <c r="R426" s="80" t="e" cm="1">
        <f t="array" ref="R426">_xlfn.IFS(P426="Service", _xlfn.IFS(I426="SALES","GP",I426="SERVICE SALES","GP",I426="PARTS SALES","GP",I426="SERVICE COS","GP",I426="PARTS COS","GP",I426="SELLING EXPENSES","Selling Expenses",I426="EMPLOYMENT EXPENSES","Selling Expenses",I426="EMPLOYMENT EXPENSES","Selling Expenses",I426="DIRECT EXPENSES","Selling Expenses",I426="INDIRECT EXPENSES","Selling Expenses"),P426="Parts",_xlfn.IFS(I426="SALES","GP",I426="SERVICE SALES","GP",I426="PARTS SALES","GP",I426="SERVICE COS","GP",I426="PARTS COS","GP",I426="SELLING EXPENSES","Selling Expenses",I426="EMPLOYMENT EXPENSES","Selling Expenses",I426="EMPLOYMENT EXPENSES","Selling Expenses",I426="DIRECT EXPENSES","Selling Expenses",I426="INDIRECT EXPENSES","Selling Expenses"))</f>
        <v>#N/A</v>
      </c>
    </row>
    <row r="427" spans="1:18" x14ac:dyDescent="0.2">
      <c r="A427" s="75">
        <v>3270</v>
      </c>
      <c r="B427" s="76" t="s">
        <v>673</v>
      </c>
      <c r="C427" s="76">
        <v>162</v>
      </c>
      <c r="D427" s="76" t="s">
        <v>455</v>
      </c>
      <c r="E427" s="76" t="s">
        <v>426</v>
      </c>
      <c r="F427" s="77">
        <v>-4857.03</v>
      </c>
      <c r="G427" s="77">
        <v>-428.75</v>
      </c>
      <c r="H427" s="77">
        <v>-5285.78</v>
      </c>
      <c r="I427" s="76" t="s">
        <v>662</v>
      </c>
      <c r="J427" s="77">
        <v>-1400</v>
      </c>
      <c r="K427" s="78">
        <v>-10607.58</v>
      </c>
      <c r="M427" s="79" t="str">
        <f t="shared" si="20"/>
        <v>162-3270</v>
      </c>
      <c r="N427" s="79" t="str">
        <f t="shared" si="18"/>
        <v/>
      </c>
      <c r="O427" s="79" t="str">
        <f t="shared" si="19"/>
        <v>162</v>
      </c>
      <c r="P427" s="79" t="str">
        <f>IFERROR(VLOOKUP($M427,Export!$P:$R,2,FALSE),"-")</f>
        <v>LEX F&amp;I</v>
      </c>
      <c r="Q427" s="79" t="str">
        <f>IFERROR(VLOOKUP($M427,Export!$P:$R,3,FALSE),"-")</f>
        <v>LEX F&amp;IInsurance Income per vehicle retailed</v>
      </c>
      <c r="R427" s="80" t="e" cm="1">
        <f t="array" ref="R427">_xlfn.IFS(P427="Service", _xlfn.IFS(I427="SALES","GP",I427="SERVICE SALES","GP",I427="PARTS SALES","GP",I427="SERVICE COS","GP",I427="PARTS COS","GP",I427="SELLING EXPENSES","Selling Expenses",I427="EMPLOYMENT EXPENSES","Selling Expenses",I427="EMPLOYMENT EXPENSES","Selling Expenses",I427="DIRECT EXPENSES","Selling Expenses",I427="INDIRECT EXPENSES","Selling Expenses"),P427="Parts",_xlfn.IFS(I427="SALES","GP",I427="SERVICE SALES","GP",I427="PARTS SALES","GP",I427="SERVICE COS","GP",I427="PARTS COS","GP",I427="SELLING EXPENSES","Selling Expenses",I427="EMPLOYMENT EXPENSES","Selling Expenses",I427="EMPLOYMENT EXPENSES","Selling Expenses",I427="DIRECT EXPENSES","Selling Expenses",I427="INDIRECT EXPENSES","Selling Expenses"))</f>
        <v>#N/A</v>
      </c>
    </row>
    <row r="428" spans="1:18" x14ac:dyDescent="0.2">
      <c r="A428" s="75">
        <v>3270</v>
      </c>
      <c r="B428" s="76" t="s">
        <v>673</v>
      </c>
      <c r="C428" s="76">
        <v>260</v>
      </c>
      <c r="D428" s="76" t="s">
        <v>456</v>
      </c>
      <c r="E428" s="76" t="s">
        <v>426</v>
      </c>
      <c r="F428" s="77">
        <v>-22584.48</v>
      </c>
      <c r="G428" s="77">
        <v>-1625.36</v>
      </c>
      <c r="H428" s="77">
        <v>-24209.84</v>
      </c>
      <c r="I428" s="76" t="s">
        <v>662</v>
      </c>
      <c r="J428" s="77">
        <v>-117.87</v>
      </c>
      <c r="K428" s="78">
        <v>-8371.6299999999992</v>
      </c>
      <c r="M428" s="79" t="str">
        <f t="shared" si="20"/>
        <v>260-3270</v>
      </c>
      <c r="N428" s="79" t="str">
        <f t="shared" si="18"/>
        <v/>
      </c>
      <c r="O428" s="79" t="str">
        <f t="shared" si="19"/>
        <v>260</v>
      </c>
      <c r="P428" s="79" t="str">
        <f>IFERROR(VLOOKUP($M428,Export!$P:$R,2,FALSE),"-")</f>
        <v>F&amp;I</v>
      </c>
      <c r="Q428" s="79" t="str">
        <f>IFERROR(VLOOKUP($M428,Export!$P:$R,3,FALSE),"-")</f>
        <v>F&amp;IInsurance Income per vehicle retailed</v>
      </c>
      <c r="R428" s="80" t="e" cm="1">
        <f t="array" ref="R428">_xlfn.IFS(P428="Service", _xlfn.IFS(I428="SALES","GP",I428="SERVICE SALES","GP",I428="PARTS SALES","GP",I428="SERVICE COS","GP",I428="PARTS COS","GP",I428="SELLING EXPENSES","Selling Expenses",I428="EMPLOYMENT EXPENSES","Selling Expenses",I428="EMPLOYMENT EXPENSES","Selling Expenses",I428="DIRECT EXPENSES","Selling Expenses",I428="INDIRECT EXPENSES","Selling Expenses"),P428="Parts",_xlfn.IFS(I428="SALES","GP",I428="SERVICE SALES","GP",I428="PARTS SALES","GP",I428="SERVICE COS","GP",I428="PARTS COS","GP",I428="SELLING EXPENSES","Selling Expenses",I428="EMPLOYMENT EXPENSES","Selling Expenses",I428="EMPLOYMENT EXPENSES","Selling Expenses",I428="DIRECT EXPENSES","Selling Expenses",I428="INDIRECT EXPENSES","Selling Expenses"))</f>
        <v>#N/A</v>
      </c>
    </row>
    <row r="429" spans="1:18" x14ac:dyDescent="0.2">
      <c r="A429" s="75">
        <v>3272</v>
      </c>
      <c r="B429" s="76" t="s">
        <v>674</v>
      </c>
      <c r="C429" s="76">
        <v>160</v>
      </c>
      <c r="D429" s="76" t="s">
        <v>434</v>
      </c>
      <c r="E429" s="76" t="s">
        <v>426</v>
      </c>
      <c r="F429" s="77">
        <v>-23913.39</v>
      </c>
      <c r="G429" s="77">
        <v>-2358.13</v>
      </c>
      <c r="H429" s="77">
        <v>-26271.52</v>
      </c>
      <c r="I429" s="76" t="s">
        <v>662</v>
      </c>
      <c r="J429" s="77">
        <v>-634.38</v>
      </c>
      <c r="K429" s="78">
        <v>-9195.2099999999991</v>
      </c>
      <c r="M429" s="79" t="str">
        <f t="shared" si="20"/>
        <v>160-3272</v>
      </c>
      <c r="N429" s="79" t="str">
        <f t="shared" si="18"/>
        <v/>
      </c>
      <c r="O429" s="79" t="str">
        <f t="shared" si="19"/>
        <v>160</v>
      </c>
      <c r="P429" s="79" t="str">
        <f>IFERROR(VLOOKUP($M429,Export!$P:$R,2,FALSE),"-")</f>
        <v>F&amp;I</v>
      </c>
      <c r="Q429" s="79" t="str">
        <f>IFERROR(VLOOKUP($M429,Export!$P:$R,3,FALSE),"-")</f>
        <v>F&amp;IInsurance Income per vehicle retailed</v>
      </c>
      <c r="R429" s="80" t="e" cm="1">
        <f t="array" ref="R429">_xlfn.IFS(P429="Service", _xlfn.IFS(I429="SALES","GP",I429="SERVICE SALES","GP",I429="PARTS SALES","GP",I429="SERVICE COS","GP",I429="PARTS COS","GP",I429="SELLING EXPENSES","Selling Expenses",I429="EMPLOYMENT EXPENSES","Selling Expenses",I429="EMPLOYMENT EXPENSES","Selling Expenses",I429="DIRECT EXPENSES","Selling Expenses",I429="INDIRECT EXPENSES","Selling Expenses"),P429="Parts",_xlfn.IFS(I429="SALES","GP",I429="SERVICE SALES","GP",I429="PARTS SALES","GP",I429="SERVICE COS","GP",I429="PARTS COS","GP",I429="SELLING EXPENSES","Selling Expenses",I429="EMPLOYMENT EXPENSES","Selling Expenses",I429="EMPLOYMENT EXPENSES","Selling Expenses",I429="DIRECT EXPENSES","Selling Expenses",I429="INDIRECT EXPENSES","Selling Expenses"))</f>
        <v>#N/A</v>
      </c>
    </row>
    <row r="430" spans="1:18" x14ac:dyDescent="0.2">
      <c r="A430" s="75">
        <v>3275</v>
      </c>
      <c r="B430" s="76" t="s">
        <v>675</v>
      </c>
      <c r="C430" s="76">
        <v>160</v>
      </c>
      <c r="D430" s="76" t="s">
        <v>434</v>
      </c>
      <c r="E430" s="76" t="s">
        <v>426</v>
      </c>
      <c r="F430" s="77">
        <v>-33187.800000000003</v>
      </c>
      <c r="G430" s="77">
        <v>-3692.44</v>
      </c>
      <c r="H430" s="77">
        <v>-36880.239999999998</v>
      </c>
      <c r="I430" s="76" t="s">
        <v>662</v>
      </c>
      <c r="J430" s="77">
        <v>0</v>
      </c>
      <c r="K430" s="78">
        <v>-15524.65</v>
      </c>
      <c r="M430" s="79" t="str">
        <f t="shared" si="20"/>
        <v>160-3275</v>
      </c>
      <c r="N430" s="79" t="str">
        <f t="shared" si="18"/>
        <v/>
      </c>
      <c r="O430" s="79" t="str">
        <f t="shared" si="19"/>
        <v>160</v>
      </c>
      <c r="P430" s="79" t="str">
        <f>IFERROR(VLOOKUP($M430,Export!$P:$R,2,FALSE),"-")</f>
        <v>F&amp;I</v>
      </c>
      <c r="Q430" s="79" t="str">
        <f>IFERROR(VLOOKUP($M430,Export!$P:$R,3,FALSE),"-")</f>
        <v>F&amp;IToyota Care Income per vehicle retailed</v>
      </c>
      <c r="R430" s="80" t="e" cm="1">
        <f t="array" ref="R430">_xlfn.IFS(P430="Service", _xlfn.IFS(I430="SALES","GP",I430="SERVICE SALES","GP",I430="PARTS SALES","GP",I430="SERVICE COS","GP",I430="PARTS COS","GP",I430="SELLING EXPENSES","Selling Expenses",I430="EMPLOYMENT EXPENSES","Selling Expenses",I430="EMPLOYMENT EXPENSES","Selling Expenses",I430="DIRECT EXPENSES","Selling Expenses",I430="INDIRECT EXPENSES","Selling Expenses"),P430="Parts",_xlfn.IFS(I430="SALES","GP",I430="SERVICE SALES","GP",I430="PARTS SALES","GP",I430="SERVICE COS","GP",I430="PARTS COS","GP",I430="SELLING EXPENSES","Selling Expenses",I430="EMPLOYMENT EXPENSES","Selling Expenses",I430="EMPLOYMENT EXPENSES","Selling Expenses",I430="DIRECT EXPENSES","Selling Expenses",I430="INDIRECT EXPENSES","Selling Expenses"))</f>
        <v>#N/A</v>
      </c>
    </row>
    <row r="431" spans="1:18" x14ac:dyDescent="0.2">
      <c r="A431" s="75">
        <v>3275</v>
      </c>
      <c r="B431" s="76" t="s">
        <v>675</v>
      </c>
      <c r="C431" s="76">
        <v>162</v>
      </c>
      <c r="D431" s="76" t="s">
        <v>455</v>
      </c>
      <c r="E431" s="76" t="s">
        <v>426</v>
      </c>
      <c r="F431" s="77">
        <v>-759.89</v>
      </c>
      <c r="G431" s="77">
        <v>-362.32</v>
      </c>
      <c r="H431" s="77">
        <v>-1122.21</v>
      </c>
      <c r="I431" s="76" t="s">
        <v>662</v>
      </c>
      <c r="J431" s="77">
        <v>0</v>
      </c>
      <c r="K431" s="78">
        <v>-2379.7199999999998</v>
      </c>
      <c r="M431" s="79" t="str">
        <f t="shared" si="20"/>
        <v>162-3275</v>
      </c>
      <c r="N431" s="79" t="str">
        <f t="shared" si="18"/>
        <v/>
      </c>
      <c r="O431" s="79" t="str">
        <f t="shared" si="19"/>
        <v>162</v>
      </c>
      <c r="P431" s="79" t="str">
        <f>IFERROR(VLOOKUP($M431,Export!$P:$R,2,FALSE),"-")</f>
        <v>LEX F&amp;I</v>
      </c>
      <c r="Q431" s="79" t="str">
        <f>IFERROR(VLOOKUP($M431,Export!$P:$R,3,FALSE),"-")</f>
        <v>LEX F&amp;IToyota Care Income per vehicle retailed</v>
      </c>
      <c r="R431" s="80" t="e" cm="1">
        <f t="array" ref="R431">_xlfn.IFS(P431="Service", _xlfn.IFS(I431="SALES","GP",I431="SERVICE SALES","GP",I431="PARTS SALES","GP",I431="SERVICE COS","GP",I431="PARTS COS","GP",I431="SELLING EXPENSES","Selling Expenses",I431="EMPLOYMENT EXPENSES","Selling Expenses",I431="EMPLOYMENT EXPENSES","Selling Expenses",I431="DIRECT EXPENSES","Selling Expenses",I431="INDIRECT EXPENSES","Selling Expenses"),P431="Parts",_xlfn.IFS(I431="SALES","GP",I431="SERVICE SALES","GP",I431="PARTS SALES","GP",I431="SERVICE COS","GP",I431="PARTS COS","GP",I431="SELLING EXPENSES","Selling Expenses",I431="EMPLOYMENT EXPENSES","Selling Expenses",I431="EMPLOYMENT EXPENSES","Selling Expenses",I431="DIRECT EXPENSES","Selling Expenses",I431="INDIRECT EXPENSES","Selling Expenses"))</f>
        <v>#N/A</v>
      </c>
    </row>
    <row r="432" spans="1:18" x14ac:dyDescent="0.2">
      <c r="A432" s="75">
        <v>3275</v>
      </c>
      <c r="B432" s="76" t="s">
        <v>675</v>
      </c>
      <c r="C432" s="76">
        <v>170</v>
      </c>
      <c r="D432" s="76" t="s">
        <v>676</v>
      </c>
      <c r="E432" s="76" t="s">
        <v>426</v>
      </c>
      <c r="F432" s="77">
        <v>-507.21</v>
      </c>
      <c r="G432" s="77">
        <v>0</v>
      </c>
      <c r="H432" s="77">
        <v>-507.21</v>
      </c>
      <c r="I432" s="76" t="s">
        <v>662</v>
      </c>
      <c r="J432" s="77">
        <v>0</v>
      </c>
      <c r="K432" s="78">
        <v>6464.46</v>
      </c>
      <c r="M432" s="79" t="str">
        <f t="shared" si="20"/>
        <v>170-3275</v>
      </c>
      <c r="N432" s="79" t="str">
        <f t="shared" si="18"/>
        <v/>
      </c>
      <c r="O432" s="79" t="str">
        <f t="shared" si="19"/>
        <v>170</v>
      </c>
      <c r="P432" s="79" t="str">
        <f>IFERROR(VLOOKUP($M432,Export!$P:$R,2,FALSE),"-")</f>
        <v>F&amp;I</v>
      </c>
      <c r="Q432" s="79" t="str">
        <f>IFERROR(VLOOKUP($M432,Export!$P:$R,3,FALSE),"-")</f>
        <v>F&amp;IToyota Care Income per vehicle retailed</v>
      </c>
      <c r="R432" s="80" t="e" cm="1">
        <f t="array" ref="R432">_xlfn.IFS(P432="Service", _xlfn.IFS(I432="SALES","GP",I432="SERVICE SALES","GP",I432="PARTS SALES","GP",I432="SERVICE COS","GP",I432="PARTS COS","GP",I432="SELLING EXPENSES","Selling Expenses",I432="EMPLOYMENT EXPENSES","Selling Expenses",I432="EMPLOYMENT EXPENSES","Selling Expenses",I432="DIRECT EXPENSES","Selling Expenses",I432="INDIRECT EXPENSES","Selling Expenses"),P432="Parts",_xlfn.IFS(I432="SALES","GP",I432="SERVICE SALES","GP",I432="PARTS SALES","GP",I432="SERVICE COS","GP",I432="PARTS COS","GP",I432="SELLING EXPENSES","Selling Expenses",I432="EMPLOYMENT EXPENSES","Selling Expenses",I432="EMPLOYMENT EXPENSES","Selling Expenses",I432="DIRECT EXPENSES","Selling Expenses",I432="INDIRECT EXPENSES","Selling Expenses"))</f>
        <v>#N/A</v>
      </c>
    </row>
    <row r="433" spans="1:18" x14ac:dyDescent="0.2">
      <c r="A433" s="75">
        <v>3275</v>
      </c>
      <c r="B433" s="76" t="s">
        <v>675</v>
      </c>
      <c r="C433" s="76">
        <v>260</v>
      </c>
      <c r="D433" s="76" t="s">
        <v>456</v>
      </c>
      <c r="E433" s="76" t="s">
        <v>426</v>
      </c>
      <c r="F433" s="77">
        <v>-13640.04</v>
      </c>
      <c r="G433" s="77">
        <v>3837.1</v>
      </c>
      <c r="H433" s="77">
        <v>-9802.94</v>
      </c>
      <c r="I433" s="76" t="s">
        <v>662</v>
      </c>
      <c r="J433" s="77">
        <v>0</v>
      </c>
      <c r="K433" s="78">
        <v>1377.83</v>
      </c>
      <c r="M433" s="79" t="str">
        <f t="shared" si="20"/>
        <v>260-3275</v>
      </c>
      <c r="N433" s="79" t="str">
        <f t="shared" si="18"/>
        <v/>
      </c>
      <c r="O433" s="79" t="str">
        <f t="shared" si="19"/>
        <v>260</v>
      </c>
      <c r="P433" s="79" t="str">
        <f>IFERROR(VLOOKUP($M433,Export!$P:$R,2,FALSE),"-")</f>
        <v>F&amp;I</v>
      </c>
      <c r="Q433" s="79" t="str">
        <f>IFERROR(VLOOKUP($M433,Export!$P:$R,3,FALSE),"-")</f>
        <v>F&amp;IToyota Care Income per vehicle retailed</v>
      </c>
      <c r="R433" s="80" t="e" cm="1">
        <f t="array" ref="R433">_xlfn.IFS(P433="Service", _xlfn.IFS(I433="SALES","GP",I433="SERVICE SALES","GP",I433="PARTS SALES","GP",I433="SERVICE COS","GP",I433="PARTS COS","GP",I433="SELLING EXPENSES","Selling Expenses",I433="EMPLOYMENT EXPENSES","Selling Expenses",I433="EMPLOYMENT EXPENSES","Selling Expenses",I433="DIRECT EXPENSES","Selling Expenses",I433="INDIRECT EXPENSES","Selling Expenses"),P433="Parts",_xlfn.IFS(I433="SALES","GP",I433="SERVICE SALES","GP",I433="PARTS SALES","GP",I433="SERVICE COS","GP",I433="PARTS COS","GP",I433="SELLING EXPENSES","Selling Expenses",I433="EMPLOYMENT EXPENSES","Selling Expenses",I433="EMPLOYMENT EXPENSES","Selling Expenses",I433="DIRECT EXPENSES","Selling Expenses",I433="INDIRECT EXPENSES","Selling Expenses"))</f>
        <v>#N/A</v>
      </c>
    </row>
    <row r="434" spans="1:18" x14ac:dyDescent="0.2">
      <c r="A434" s="75">
        <v>3276</v>
      </c>
      <c r="B434" s="76" t="s">
        <v>677</v>
      </c>
      <c r="C434" s="76">
        <v>160</v>
      </c>
      <c r="D434" s="76" t="s">
        <v>434</v>
      </c>
      <c r="E434" s="76" t="s">
        <v>426</v>
      </c>
      <c r="F434" s="77">
        <v>-1682.38</v>
      </c>
      <c r="G434" s="77">
        <v>419.1</v>
      </c>
      <c r="H434" s="77">
        <v>-1263.28</v>
      </c>
      <c r="I434" s="76" t="s">
        <v>662</v>
      </c>
      <c r="J434" s="77">
        <v>0</v>
      </c>
      <c r="K434" s="78">
        <v>-12640.99</v>
      </c>
      <c r="M434" s="79" t="str">
        <f t="shared" si="20"/>
        <v>160-3276</v>
      </c>
      <c r="N434" s="79" t="str">
        <f t="shared" si="18"/>
        <v/>
      </c>
      <c r="O434" s="79" t="str">
        <f t="shared" si="19"/>
        <v>160</v>
      </c>
      <c r="P434" s="79" t="str">
        <f>IFERROR(VLOOKUP($M434,Export!$P:$R,2,FALSE),"-")</f>
        <v>F&amp;I</v>
      </c>
      <c r="Q434" s="79" t="str">
        <f>IFERROR(VLOOKUP($M434,Export!$P:$R,3,FALSE),"-")</f>
        <v>F&amp;IToyota Care Income per vehicle retailed</v>
      </c>
      <c r="R434" s="80" t="e" cm="1">
        <f t="array" ref="R434">_xlfn.IFS(P434="Service", _xlfn.IFS(I434="SALES","GP",I434="SERVICE SALES","GP",I434="PARTS SALES","GP",I434="SERVICE COS","GP",I434="PARTS COS","GP",I434="SELLING EXPENSES","Selling Expenses",I434="EMPLOYMENT EXPENSES","Selling Expenses",I434="EMPLOYMENT EXPENSES","Selling Expenses",I434="DIRECT EXPENSES","Selling Expenses",I434="INDIRECT EXPENSES","Selling Expenses"),P434="Parts",_xlfn.IFS(I434="SALES","GP",I434="SERVICE SALES","GP",I434="PARTS SALES","GP",I434="SERVICE COS","GP",I434="PARTS COS","GP",I434="SELLING EXPENSES","Selling Expenses",I434="EMPLOYMENT EXPENSES","Selling Expenses",I434="EMPLOYMENT EXPENSES","Selling Expenses",I434="DIRECT EXPENSES","Selling Expenses",I434="INDIRECT EXPENSES","Selling Expenses"))</f>
        <v>#N/A</v>
      </c>
    </row>
    <row r="435" spans="1:18" x14ac:dyDescent="0.2">
      <c r="A435" s="75">
        <v>3280</v>
      </c>
      <c r="B435" s="76" t="s">
        <v>678</v>
      </c>
      <c r="C435" s="76">
        <v>160</v>
      </c>
      <c r="D435" s="76" t="s">
        <v>434</v>
      </c>
      <c r="E435" s="76" t="s">
        <v>426</v>
      </c>
      <c r="F435" s="77">
        <v>-1165</v>
      </c>
      <c r="G435" s="77">
        <v>0</v>
      </c>
      <c r="H435" s="77">
        <v>-1165</v>
      </c>
      <c r="I435" s="76" t="s">
        <v>662</v>
      </c>
      <c r="J435" s="77">
        <v>0</v>
      </c>
      <c r="K435" s="78">
        <v>868.69</v>
      </c>
      <c r="M435" s="79" t="str">
        <f t="shared" si="20"/>
        <v>160-3280</v>
      </c>
      <c r="N435" s="79" t="str">
        <f t="shared" si="18"/>
        <v/>
      </c>
      <c r="O435" s="79" t="str">
        <f t="shared" si="19"/>
        <v>160</v>
      </c>
      <c r="P435" s="79" t="str">
        <f>IFERROR(VLOOKUP($M435,Export!$P:$R,2,FALSE),"-")</f>
        <v>F&amp;I</v>
      </c>
      <c r="Q435" s="79" t="str">
        <f>IFERROR(VLOOKUP($M435,Export!$P:$R,3,FALSE),"-")</f>
        <v>F&amp;IToyota Care Income per vehicle retailed</v>
      </c>
      <c r="R435" s="80" t="e" cm="1">
        <f t="array" ref="R435">_xlfn.IFS(P435="Service", _xlfn.IFS(I435="SALES","GP",I435="SERVICE SALES","GP",I435="PARTS SALES","GP",I435="SERVICE COS","GP",I435="PARTS COS","GP",I435="SELLING EXPENSES","Selling Expenses",I435="EMPLOYMENT EXPENSES","Selling Expenses",I435="EMPLOYMENT EXPENSES","Selling Expenses",I435="DIRECT EXPENSES","Selling Expenses",I435="INDIRECT EXPENSES","Selling Expenses"),P435="Parts",_xlfn.IFS(I435="SALES","GP",I435="SERVICE SALES","GP",I435="PARTS SALES","GP",I435="SERVICE COS","GP",I435="PARTS COS","GP",I435="SELLING EXPENSES","Selling Expenses",I435="EMPLOYMENT EXPENSES","Selling Expenses",I435="EMPLOYMENT EXPENSES","Selling Expenses",I435="DIRECT EXPENSES","Selling Expenses",I435="INDIRECT EXPENSES","Selling Expenses"))</f>
        <v>#N/A</v>
      </c>
    </row>
    <row r="436" spans="1:18" x14ac:dyDescent="0.2">
      <c r="A436" s="75">
        <v>3290</v>
      </c>
      <c r="B436" s="76" t="s">
        <v>679</v>
      </c>
      <c r="C436" s="76">
        <v>160</v>
      </c>
      <c r="D436" s="76" t="s">
        <v>434</v>
      </c>
      <c r="E436" s="76" t="s">
        <v>426</v>
      </c>
      <c r="F436" s="77">
        <v>-24745.09</v>
      </c>
      <c r="G436" s="77">
        <v>-4435.92</v>
      </c>
      <c r="H436" s="77">
        <v>-29181.01</v>
      </c>
      <c r="I436" s="76" t="s">
        <v>662</v>
      </c>
      <c r="J436" s="77">
        <v>-539.58000000000004</v>
      </c>
      <c r="K436" s="78">
        <v>-11155.52</v>
      </c>
      <c r="M436" s="79" t="str">
        <f t="shared" si="20"/>
        <v>160-3290</v>
      </c>
      <c r="N436" s="79" t="str">
        <f t="shared" si="18"/>
        <v/>
      </c>
      <c r="O436" s="79" t="str">
        <f t="shared" si="19"/>
        <v>160</v>
      </c>
      <c r="P436" s="79" t="str">
        <f>IFERROR(VLOOKUP($M436,Export!$P:$R,2,FALSE),"-")</f>
        <v>F&amp;I</v>
      </c>
      <c r="Q436" s="79" t="str">
        <f>IFERROR(VLOOKUP($M436,Export!$P:$R,3,FALSE),"-")</f>
        <v>F&amp;IPaint &amp; Fab income per vehicle retailed</v>
      </c>
      <c r="R436" s="80" t="e" cm="1">
        <f t="array" ref="R436">_xlfn.IFS(P436="Service", _xlfn.IFS(I436="SALES","GP",I436="SERVICE SALES","GP",I436="PARTS SALES","GP",I436="SERVICE COS","GP",I436="PARTS COS","GP",I436="SELLING EXPENSES","Selling Expenses",I436="EMPLOYMENT EXPENSES","Selling Expenses",I436="EMPLOYMENT EXPENSES","Selling Expenses",I436="DIRECT EXPENSES","Selling Expenses",I436="INDIRECT EXPENSES","Selling Expenses"),P436="Parts",_xlfn.IFS(I436="SALES","GP",I436="SERVICE SALES","GP",I436="PARTS SALES","GP",I436="SERVICE COS","GP",I436="PARTS COS","GP",I436="SELLING EXPENSES","Selling Expenses",I436="EMPLOYMENT EXPENSES","Selling Expenses",I436="EMPLOYMENT EXPENSES","Selling Expenses",I436="DIRECT EXPENSES","Selling Expenses",I436="INDIRECT EXPENSES","Selling Expenses"))</f>
        <v>#N/A</v>
      </c>
    </row>
    <row r="437" spans="1:18" x14ac:dyDescent="0.2">
      <c r="A437" s="75">
        <v>3290</v>
      </c>
      <c r="B437" s="76" t="s">
        <v>679</v>
      </c>
      <c r="C437" s="76">
        <v>162</v>
      </c>
      <c r="D437" s="76" t="s">
        <v>455</v>
      </c>
      <c r="E437" s="76" t="s">
        <v>426</v>
      </c>
      <c r="F437" s="77">
        <v>-17203.11</v>
      </c>
      <c r="G437" s="77">
        <v>-769.57</v>
      </c>
      <c r="H437" s="77">
        <v>-17972.68</v>
      </c>
      <c r="I437" s="76" t="s">
        <v>662</v>
      </c>
      <c r="J437" s="77">
        <v>-4480</v>
      </c>
      <c r="K437" s="78">
        <v>-14649.59</v>
      </c>
      <c r="M437" s="79" t="str">
        <f t="shared" si="20"/>
        <v>162-3290</v>
      </c>
      <c r="N437" s="79" t="str">
        <f t="shared" si="18"/>
        <v/>
      </c>
      <c r="O437" s="79" t="str">
        <f t="shared" si="19"/>
        <v>162</v>
      </c>
      <c r="P437" s="79" t="str">
        <f>IFERROR(VLOOKUP($M437,Export!$P:$R,2,FALSE),"-")</f>
        <v>LEX F&amp;I</v>
      </c>
      <c r="Q437" s="79" t="str">
        <f>IFERROR(VLOOKUP($M437,Export!$P:$R,3,FALSE),"-")</f>
        <v>LEX F&amp;IPaint &amp; Fab income per vehicle retailed</v>
      </c>
      <c r="R437" s="80" t="e" cm="1">
        <f t="array" ref="R437">_xlfn.IFS(P437="Service", _xlfn.IFS(I437="SALES","GP",I437="SERVICE SALES","GP",I437="PARTS SALES","GP",I437="SERVICE COS","GP",I437="PARTS COS","GP",I437="SELLING EXPENSES","Selling Expenses",I437="EMPLOYMENT EXPENSES","Selling Expenses",I437="EMPLOYMENT EXPENSES","Selling Expenses",I437="DIRECT EXPENSES","Selling Expenses",I437="INDIRECT EXPENSES","Selling Expenses"),P437="Parts",_xlfn.IFS(I437="SALES","GP",I437="SERVICE SALES","GP",I437="PARTS SALES","GP",I437="SERVICE COS","GP",I437="PARTS COS","GP",I437="SELLING EXPENSES","Selling Expenses",I437="EMPLOYMENT EXPENSES","Selling Expenses",I437="EMPLOYMENT EXPENSES","Selling Expenses",I437="DIRECT EXPENSES","Selling Expenses",I437="INDIRECT EXPENSES","Selling Expenses"))</f>
        <v>#N/A</v>
      </c>
    </row>
    <row r="438" spans="1:18" x14ac:dyDescent="0.2">
      <c r="A438" s="75">
        <v>3290</v>
      </c>
      <c r="B438" s="76" t="s">
        <v>679</v>
      </c>
      <c r="C438" s="76">
        <v>260</v>
      </c>
      <c r="D438" s="76" t="s">
        <v>456</v>
      </c>
      <c r="E438" s="76" t="s">
        <v>426</v>
      </c>
      <c r="F438" s="77">
        <v>-1230.71</v>
      </c>
      <c r="G438" s="77">
        <v>-679.13</v>
      </c>
      <c r="H438" s="77">
        <v>-1909.84</v>
      </c>
      <c r="I438" s="76" t="s">
        <v>662</v>
      </c>
      <c r="J438" s="77">
        <v>-442.03</v>
      </c>
      <c r="K438" s="78">
        <v>-3100.5</v>
      </c>
      <c r="M438" s="79" t="str">
        <f t="shared" si="20"/>
        <v>260-3290</v>
      </c>
      <c r="N438" s="79" t="str">
        <f t="shared" si="18"/>
        <v/>
      </c>
      <c r="O438" s="79" t="str">
        <f t="shared" si="19"/>
        <v>260</v>
      </c>
      <c r="P438" s="79" t="str">
        <f>IFERROR(VLOOKUP($M438,Export!$P:$R,2,FALSE),"-")</f>
        <v>F&amp;I</v>
      </c>
      <c r="Q438" s="79" t="str">
        <f>IFERROR(VLOOKUP($M438,Export!$P:$R,3,FALSE),"-")</f>
        <v>F&amp;IPaint &amp; Fab income per vehicle retailed</v>
      </c>
      <c r="R438" s="80" t="e" cm="1">
        <f t="array" ref="R438">_xlfn.IFS(P438="Service", _xlfn.IFS(I438="SALES","GP",I438="SERVICE SALES","GP",I438="PARTS SALES","GP",I438="SERVICE COS","GP",I438="PARTS COS","GP",I438="SELLING EXPENSES","Selling Expenses",I438="EMPLOYMENT EXPENSES","Selling Expenses",I438="EMPLOYMENT EXPENSES","Selling Expenses",I438="DIRECT EXPENSES","Selling Expenses",I438="INDIRECT EXPENSES","Selling Expenses"),P438="Parts",_xlfn.IFS(I438="SALES","GP",I438="SERVICE SALES","GP",I438="PARTS SALES","GP",I438="SERVICE COS","GP",I438="PARTS COS","GP",I438="SELLING EXPENSES","Selling Expenses",I438="EMPLOYMENT EXPENSES","Selling Expenses",I438="EMPLOYMENT EXPENSES","Selling Expenses",I438="DIRECT EXPENSES","Selling Expenses",I438="INDIRECT EXPENSES","Selling Expenses"))</f>
        <v>#N/A</v>
      </c>
    </row>
    <row r="439" spans="1:18" x14ac:dyDescent="0.2">
      <c r="A439" s="75">
        <v>3291</v>
      </c>
      <c r="B439" s="76" t="s">
        <v>680</v>
      </c>
      <c r="C439" s="76">
        <v>160</v>
      </c>
      <c r="D439" s="76" t="s">
        <v>434</v>
      </c>
      <c r="E439" s="76" t="s">
        <v>426</v>
      </c>
      <c r="F439" s="77">
        <v>-28887.45</v>
      </c>
      <c r="G439" s="77">
        <v>-7617.53</v>
      </c>
      <c r="H439" s="77">
        <v>-36504.980000000003</v>
      </c>
      <c r="I439" s="76" t="s">
        <v>662</v>
      </c>
      <c r="J439" s="77">
        <v>-1015</v>
      </c>
      <c r="K439" s="78">
        <v>-11944.35</v>
      </c>
      <c r="M439" s="79" t="str">
        <f t="shared" si="20"/>
        <v>160-3291</v>
      </c>
      <c r="N439" s="79" t="str">
        <f t="shared" si="18"/>
        <v/>
      </c>
      <c r="O439" s="79" t="str">
        <f t="shared" si="19"/>
        <v>160</v>
      </c>
      <c r="P439" s="79" t="str">
        <f>IFERROR(VLOOKUP($M439,Export!$P:$R,2,FALSE),"-")</f>
        <v>F&amp;I</v>
      </c>
      <c r="Q439" s="79" t="str">
        <f>IFERROR(VLOOKUP($M439,Export!$P:$R,3,FALSE),"-")</f>
        <v>F&amp;IPaint &amp; Fab income per vehicle retailed</v>
      </c>
      <c r="R439" s="80" t="e" cm="1">
        <f t="array" ref="R439">_xlfn.IFS(P439="Service", _xlfn.IFS(I439="SALES","GP",I439="SERVICE SALES","GP",I439="PARTS SALES","GP",I439="SERVICE COS","GP",I439="PARTS COS","GP",I439="SELLING EXPENSES","Selling Expenses",I439="EMPLOYMENT EXPENSES","Selling Expenses",I439="EMPLOYMENT EXPENSES","Selling Expenses",I439="DIRECT EXPENSES","Selling Expenses",I439="INDIRECT EXPENSES","Selling Expenses"),P439="Parts",_xlfn.IFS(I439="SALES","GP",I439="SERVICE SALES","GP",I439="PARTS SALES","GP",I439="SERVICE COS","GP",I439="PARTS COS","GP",I439="SELLING EXPENSES","Selling Expenses",I439="EMPLOYMENT EXPENSES","Selling Expenses",I439="EMPLOYMENT EXPENSES","Selling Expenses",I439="DIRECT EXPENSES","Selling Expenses",I439="INDIRECT EXPENSES","Selling Expenses"))</f>
        <v>#N/A</v>
      </c>
    </row>
    <row r="440" spans="1:18" x14ac:dyDescent="0.2">
      <c r="A440" s="75">
        <v>3295</v>
      </c>
      <c r="B440" s="76" t="s">
        <v>681</v>
      </c>
      <c r="C440" s="76">
        <v>160</v>
      </c>
      <c r="D440" s="76" t="s">
        <v>434</v>
      </c>
      <c r="E440" s="76" t="s">
        <v>426</v>
      </c>
      <c r="F440" s="77">
        <v>-8849.65</v>
      </c>
      <c r="G440" s="77">
        <v>0</v>
      </c>
      <c r="H440" s="77">
        <v>-8849.65</v>
      </c>
      <c r="I440" s="76" t="s">
        <v>662</v>
      </c>
      <c r="J440" s="77">
        <v>-1618.75</v>
      </c>
      <c r="K440" s="78">
        <v>-12718.47</v>
      </c>
      <c r="M440" s="79" t="str">
        <f t="shared" si="20"/>
        <v>160-3295</v>
      </c>
      <c r="N440" s="79" t="str">
        <f t="shared" si="18"/>
        <v/>
      </c>
      <c r="O440" s="79" t="str">
        <f t="shared" si="19"/>
        <v>160</v>
      </c>
      <c r="P440" s="79" t="str">
        <f>IFERROR(VLOOKUP($M440,Export!$P:$R,2,FALSE),"-")</f>
        <v>F&amp;I</v>
      </c>
      <c r="Q440" s="79" t="str">
        <f>IFERROR(VLOOKUP($M440,Export!$P:$R,3,FALSE),"-")</f>
        <v>F&amp;IFinance Income per vehicle retailed</v>
      </c>
      <c r="R440" s="80" t="e" cm="1">
        <f t="array" ref="R440">_xlfn.IFS(P440="Service", _xlfn.IFS(I440="SALES","GP",I440="SERVICE SALES","GP",I440="PARTS SALES","GP",I440="SERVICE COS","GP",I440="PARTS COS","GP",I440="SELLING EXPENSES","Selling Expenses",I440="EMPLOYMENT EXPENSES","Selling Expenses",I440="EMPLOYMENT EXPENSES","Selling Expenses",I440="DIRECT EXPENSES","Selling Expenses",I440="INDIRECT EXPENSES","Selling Expenses"),P440="Parts",_xlfn.IFS(I440="SALES","GP",I440="SERVICE SALES","GP",I440="PARTS SALES","GP",I440="SERVICE COS","GP",I440="PARTS COS","GP",I440="SELLING EXPENSES","Selling Expenses",I440="EMPLOYMENT EXPENSES","Selling Expenses",I440="EMPLOYMENT EXPENSES","Selling Expenses",I440="DIRECT EXPENSES","Selling Expenses",I440="INDIRECT EXPENSES","Selling Expenses"))</f>
        <v>#N/A</v>
      </c>
    </row>
    <row r="441" spans="1:18" x14ac:dyDescent="0.2">
      <c r="A441" s="75">
        <v>3295</v>
      </c>
      <c r="B441" s="76" t="s">
        <v>681</v>
      </c>
      <c r="C441" s="76">
        <v>162</v>
      </c>
      <c r="D441" s="76" t="s">
        <v>455</v>
      </c>
      <c r="E441" s="76" t="s">
        <v>426</v>
      </c>
      <c r="F441" s="77">
        <v>0</v>
      </c>
      <c r="G441" s="77">
        <v>0</v>
      </c>
      <c r="H441" s="77">
        <v>0</v>
      </c>
      <c r="I441" s="76" t="s">
        <v>662</v>
      </c>
      <c r="J441" s="77">
        <v>-1400</v>
      </c>
      <c r="K441" s="78">
        <v>-9154.18</v>
      </c>
      <c r="M441" s="79" t="str">
        <f t="shared" si="20"/>
        <v>162-3295</v>
      </c>
      <c r="N441" s="79" t="str">
        <f t="shared" si="18"/>
        <v/>
      </c>
      <c r="O441" s="79" t="str">
        <f t="shared" si="19"/>
        <v>162</v>
      </c>
      <c r="P441" s="79" t="str">
        <f>IFERROR(VLOOKUP($M441,Export!$P:$R,2,FALSE),"-")</f>
        <v>LEX F&amp;I</v>
      </c>
      <c r="Q441" s="79" t="str">
        <f>IFERROR(VLOOKUP($M441,Export!$P:$R,3,FALSE),"-")</f>
        <v>LEX F&amp;IFinance Income per vehicle retailed</v>
      </c>
      <c r="R441" s="80" t="e" cm="1">
        <f t="array" ref="R441">_xlfn.IFS(P441="Service", _xlfn.IFS(I441="SALES","GP",I441="SERVICE SALES","GP",I441="PARTS SALES","GP",I441="SERVICE COS","GP",I441="PARTS COS","GP",I441="SELLING EXPENSES","Selling Expenses",I441="EMPLOYMENT EXPENSES","Selling Expenses",I441="EMPLOYMENT EXPENSES","Selling Expenses",I441="DIRECT EXPENSES","Selling Expenses",I441="INDIRECT EXPENSES","Selling Expenses"),P441="Parts",_xlfn.IFS(I441="SALES","GP",I441="SERVICE SALES","GP",I441="PARTS SALES","GP",I441="SERVICE COS","GP",I441="PARTS COS","GP",I441="SELLING EXPENSES","Selling Expenses",I441="EMPLOYMENT EXPENSES","Selling Expenses",I441="EMPLOYMENT EXPENSES","Selling Expenses",I441="DIRECT EXPENSES","Selling Expenses",I441="INDIRECT EXPENSES","Selling Expenses"))</f>
        <v>#N/A</v>
      </c>
    </row>
    <row r="442" spans="1:18" x14ac:dyDescent="0.2">
      <c r="A442" s="75">
        <v>3295</v>
      </c>
      <c r="B442" s="76" t="s">
        <v>681</v>
      </c>
      <c r="C442" s="76">
        <v>260</v>
      </c>
      <c r="D442" s="76" t="s">
        <v>456</v>
      </c>
      <c r="E442" s="76" t="s">
        <v>426</v>
      </c>
      <c r="F442" s="77">
        <v>-9900.9699999999993</v>
      </c>
      <c r="G442" s="77">
        <v>-2783.69</v>
      </c>
      <c r="H442" s="77">
        <v>-12684.66</v>
      </c>
      <c r="I442" s="76" t="s">
        <v>662</v>
      </c>
      <c r="J442" s="77">
        <v>-884.05</v>
      </c>
      <c r="K442" s="78">
        <v>-8470.06</v>
      </c>
      <c r="M442" s="79" t="str">
        <f t="shared" si="20"/>
        <v>260-3295</v>
      </c>
      <c r="N442" s="79" t="str">
        <f t="shared" si="18"/>
        <v/>
      </c>
      <c r="O442" s="79" t="str">
        <f t="shared" si="19"/>
        <v>260</v>
      </c>
      <c r="P442" s="79" t="str">
        <f>IFERROR(VLOOKUP($M442,Export!$P:$R,2,FALSE),"-")</f>
        <v>F&amp;I</v>
      </c>
      <c r="Q442" s="79" t="str">
        <f>IFERROR(VLOOKUP($M442,Export!$P:$R,3,FALSE),"-")</f>
        <v>F&amp;IFinance Income per vehicle retailed</v>
      </c>
      <c r="R442" s="80" t="e" cm="1">
        <f t="array" ref="R442">_xlfn.IFS(P442="Service", _xlfn.IFS(I442="SALES","GP",I442="SERVICE SALES","GP",I442="PARTS SALES","GP",I442="SERVICE COS","GP",I442="PARTS COS","GP",I442="SELLING EXPENSES","Selling Expenses",I442="EMPLOYMENT EXPENSES","Selling Expenses",I442="EMPLOYMENT EXPENSES","Selling Expenses",I442="DIRECT EXPENSES","Selling Expenses",I442="INDIRECT EXPENSES","Selling Expenses"),P442="Parts",_xlfn.IFS(I442="SALES","GP",I442="SERVICE SALES","GP",I442="PARTS SALES","GP",I442="SERVICE COS","GP",I442="PARTS COS","GP",I442="SELLING EXPENSES","Selling Expenses",I442="EMPLOYMENT EXPENSES","Selling Expenses",I442="EMPLOYMENT EXPENSES","Selling Expenses",I442="DIRECT EXPENSES","Selling Expenses",I442="INDIRECT EXPENSES","Selling Expenses"))</f>
        <v>#N/A</v>
      </c>
    </row>
    <row r="443" spans="1:18" x14ac:dyDescent="0.2">
      <c r="A443" s="75">
        <v>3296</v>
      </c>
      <c r="B443" s="76" t="s">
        <v>682</v>
      </c>
      <c r="C443" s="76">
        <v>160</v>
      </c>
      <c r="D443" s="76" t="s">
        <v>434</v>
      </c>
      <c r="E443" s="76" t="s">
        <v>426</v>
      </c>
      <c r="F443" s="77">
        <v>-2852.52</v>
      </c>
      <c r="G443" s="77">
        <v>0</v>
      </c>
      <c r="H443" s="77">
        <v>-2852.52</v>
      </c>
      <c r="I443" s="76" t="s">
        <v>662</v>
      </c>
      <c r="J443" s="77">
        <v>-676.67</v>
      </c>
      <c r="K443" s="78">
        <v>-6885.07</v>
      </c>
      <c r="M443" s="79" t="str">
        <f t="shared" si="20"/>
        <v>160-3296</v>
      </c>
      <c r="N443" s="79" t="str">
        <f t="shared" si="18"/>
        <v/>
      </c>
      <c r="O443" s="79" t="str">
        <f t="shared" si="19"/>
        <v>160</v>
      </c>
      <c r="P443" s="79" t="str">
        <f>IFERROR(VLOOKUP($M443,Export!$P:$R,2,FALSE),"-")</f>
        <v>F&amp;I</v>
      </c>
      <c r="Q443" s="79" t="str">
        <f>IFERROR(VLOOKUP($M443,Export!$P:$R,3,FALSE),"-")</f>
        <v>F&amp;IFinance Income per vehicle retailed</v>
      </c>
      <c r="R443" s="80" t="e" cm="1">
        <f t="array" ref="R443">_xlfn.IFS(P443="Service", _xlfn.IFS(I443="SALES","GP",I443="SERVICE SALES","GP",I443="PARTS SALES","GP",I443="SERVICE COS","GP",I443="PARTS COS","GP",I443="SELLING EXPENSES","Selling Expenses",I443="EMPLOYMENT EXPENSES","Selling Expenses",I443="EMPLOYMENT EXPENSES","Selling Expenses",I443="DIRECT EXPENSES","Selling Expenses",I443="INDIRECT EXPENSES","Selling Expenses"),P443="Parts",_xlfn.IFS(I443="SALES","GP",I443="SERVICE SALES","GP",I443="PARTS SALES","GP",I443="SERVICE COS","GP",I443="PARTS COS","GP",I443="SELLING EXPENSES","Selling Expenses",I443="EMPLOYMENT EXPENSES","Selling Expenses",I443="EMPLOYMENT EXPENSES","Selling Expenses",I443="DIRECT EXPENSES","Selling Expenses",I443="INDIRECT EXPENSES","Selling Expenses"))</f>
        <v>#N/A</v>
      </c>
    </row>
    <row r="444" spans="1:18" x14ac:dyDescent="0.2">
      <c r="A444" s="75" t="s">
        <v>683</v>
      </c>
      <c r="B444" s="76" t="s">
        <v>684</v>
      </c>
      <c r="C444" s="76">
        <v>160</v>
      </c>
      <c r="D444" s="76" t="s">
        <v>434</v>
      </c>
      <c r="E444" s="76" t="s">
        <v>426</v>
      </c>
      <c r="F444" s="77">
        <v>139289.76999999999</v>
      </c>
      <c r="G444" s="77">
        <v>8614.24</v>
      </c>
      <c r="H444" s="77">
        <v>147904.01</v>
      </c>
      <c r="I444" s="76" t="s">
        <v>662</v>
      </c>
      <c r="J444" s="77">
        <v>0</v>
      </c>
      <c r="K444" s="78">
        <v>120117.83</v>
      </c>
      <c r="M444" s="79" t="str">
        <f t="shared" si="20"/>
        <v>160-4180R</v>
      </c>
      <c r="N444" s="79" t="str">
        <f t="shared" si="18"/>
        <v/>
      </c>
      <c r="O444" s="79" t="str">
        <f t="shared" si="19"/>
        <v>160</v>
      </c>
      <c r="P444" s="79" t="str">
        <f>IFERROR(VLOOKUP($M444,Export!$P:$R,2,FALSE),"-")</f>
        <v>F&amp;I</v>
      </c>
      <c r="Q444" s="79" t="str">
        <f>IFERROR(VLOOKUP($M444,Export!$P:$R,3,FALSE),"-")</f>
        <v>F&amp;IToyota Care Income per vehicle retailed</v>
      </c>
      <c r="R444" s="80" t="e" cm="1">
        <f t="array" ref="R444">_xlfn.IFS(P444="Service", _xlfn.IFS(I444="SALES","GP",I444="SERVICE SALES","GP",I444="PARTS SALES","GP",I444="SERVICE COS","GP",I444="PARTS COS","GP",I444="SELLING EXPENSES","Selling Expenses",I444="EMPLOYMENT EXPENSES","Selling Expenses",I444="EMPLOYMENT EXPENSES","Selling Expenses",I444="DIRECT EXPENSES","Selling Expenses",I444="INDIRECT EXPENSES","Selling Expenses"),P444="Parts",_xlfn.IFS(I444="SALES","GP",I444="SERVICE SALES","GP",I444="PARTS SALES","GP",I444="SERVICE COS","GP",I444="PARTS COS","GP",I444="SELLING EXPENSES","Selling Expenses",I444="EMPLOYMENT EXPENSES","Selling Expenses",I444="EMPLOYMENT EXPENSES","Selling Expenses",I444="DIRECT EXPENSES","Selling Expenses",I444="INDIRECT EXPENSES","Selling Expenses"))</f>
        <v>#N/A</v>
      </c>
    </row>
    <row r="445" spans="1:18" x14ac:dyDescent="0.2">
      <c r="A445" s="75" t="s">
        <v>683</v>
      </c>
      <c r="B445" s="76" t="s">
        <v>684</v>
      </c>
      <c r="C445" s="76">
        <v>260</v>
      </c>
      <c r="D445" s="76" t="s">
        <v>456</v>
      </c>
      <c r="E445" s="76" t="s">
        <v>426</v>
      </c>
      <c r="F445" s="77">
        <v>68471.77</v>
      </c>
      <c r="G445" s="77">
        <v>0</v>
      </c>
      <c r="H445" s="77">
        <v>68471.77</v>
      </c>
      <c r="I445" s="76" t="s">
        <v>662</v>
      </c>
      <c r="J445" s="77">
        <v>0</v>
      </c>
      <c r="K445" s="78">
        <v>61002.87</v>
      </c>
      <c r="M445" s="79" t="str">
        <f t="shared" si="20"/>
        <v>260-4180R</v>
      </c>
      <c r="N445" s="79" t="str">
        <f t="shared" si="18"/>
        <v/>
      </c>
      <c r="O445" s="79" t="str">
        <f t="shared" si="19"/>
        <v>260</v>
      </c>
      <c r="P445" s="79" t="str">
        <f>IFERROR(VLOOKUP($M445,Export!$P:$R,2,FALSE),"-")</f>
        <v>F&amp;I</v>
      </c>
      <c r="Q445" s="79" t="str">
        <f>IFERROR(VLOOKUP($M445,Export!$P:$R,3,FALSE),"-")</f>
        <v>F&amp;IToyota Care Income per vehicle retailed</v>
      </c>
      <c r="R445" s="80" t="e" cm="1">
        <f t="array" ref="R445">_xlfn.IFS(P445="Service", _xlfn.IFS(I445="SALES","GP",I445="SERVICE SALES","GP",I445="PARTS SALES","GP",I445="SERVICE COS","GP",I445="PARTS COS","GP",I445="SELLING EXPENSES","Selling Expenses",I445="EMPLOYMENT EXPENSES","Selling Expenses",I445="EMPLOYMENT EXPENSES","Selling Expenses",I445="DIRECT EXPENSES","Selling Expenses",I445="INDIRECT EXPENSES","Selling Expenses"),P445="Parts",_xlfn.IFS(I445="SALES","GP",I445="SERVICE SALES","GP",I445="PARTS SALES","GP",I445="SERVICE COS","GP",I445="PARTS COS","GP",I445="SELLING EXPENSES","Selling Expenses",I445="EMPLOYMENT EXPENSES","Selling Expenses",I445="EMPLOYMENT EXPENSES","Selling Expenses",I445="DIRECT EXPENSES","Selling Expenses",I445="INDIRECT EXPENSES","Selling Expenses"))</f>
        <v>#N/A</v>
      </c>
    </row>
    <row r="446" spans="1:18" x14ac:dyDescent="0.2">
      <c r="A446" s="75">
        <v>3205</v>
      </c>
      <c r="B446" s="76" t="s">
        <v>91</v>
      </c>
      <c r="C446" s="76">
        <v>120</v>
      </c>
      <c r="D446" s="76" t="s">
        <v>431</v>
      </c>
      <c r="E446" s="76" t="s">
        <v>426</v>
      </c>
      <c r="F446" s="77">
        <v>-34778.26</v>
      </c>
      <c r="G446" s="77">
        <v>0</v>
      </c>
      <c r="H446" s="77">
        <v>-34778.26</v>
      </c>
      <c r="I446" s="76" t="s">
        <v>685</v>
      </c>
      <c r="J446" s="77">
        <v>0</v>
      </c>
      <c r="K446" s="78">
        <v>0</v>
      </c>
      <c r="M446" s="79" t="str">
        <f t="shared" si="20"/>
        <v>120-3205</v>
      </c>
      <c r="N446" s="79" t="str">
        <f t="shared" si="18"/>
        <v/>
      </c>
      <c r="O446" s="79" t="str">
        <f t="shared" si="19"/>
        <v>120</v>
      </c>
      <c r="P446" s="79" t="str">
        <f>IFERROR(VLOOKUP($M446,Export!$P:$R,2,FALSE),"-")</f>
        <v>Used Vehicle</v>
      </c>
      <c r="Q446" s="79" t="str">
        <f>IFERROR(VLOOKUP($M446,Export!$P:$R,3,FALSE),"-")</f>
        <v>Used VehicleSIG Class retail gross profit p.u.</v>
      </c>
      <c r="R446" s="80" t="e" cm="1">
        <f t="array" ref="R446">_xlfn.IFS(P446="Service", _xlfn.IFS(I446="SALES","GP",I446="SERVICE SALES","GP",I446="PARTS SALES","GP",I446="SERVICE COS","GP",I446="PARTS COS","GP",I446="SELLING EXPENSES","Selling Expenses",I446="EMPLOYMENT EXPENSES","Selling Expenses",I446="EMPLOYMENT EXPENSES","Selling Expenses",I446="DIRECT EXPENSES","Selling Expenses",I446="INDIRECT EXPENSES","Selling Expenses"),P446="Parts",_xlfn.IFS(I446="SALES","GP",I446="SERVICE SALES","GP",I446="PARTS SALES","GP",I446="SERVICE COS","GP",I446="PARTS COS","GP",I446="SELLING EXPENSES","Selling Expenses",I446="EMPLOYMENT EXPENSES","Selling Expenses",I446="EMPLOYMENT EXPENSES","Selling Expenses",I446="DIRECT EXPENSES","Selling Expenses",I446="INDIRECT EXPENSES","Selling Expenses"))</f>
        <v>#N/A</v>
      </c>
    </row>
    <row r="447" spans="1:18" x14ac:dyDescent="0.2">
      <c r="A447" s="75">
        <v>3205</v>
      </c>
      <c r="B447" s="76" t="s">
        <v>91</v>
      </c>
      <c r="C447" s="76">
        <v>121</v>
      </c>
      <c r="D447" s="76" t="s">
        <v>449</v>
      </c>
      <c r="E447" s="76" t="s">
        <v>426</v>
      </c>
      <c r="F447" s="77">
        <v>-2783047.51</v>
      </c>
      <c r="G447" s="77">
        <v>-419273.92</v>
      </c>
      <c r="H447" s="77">
        <v>-3202321.43</v>
      </c>
      <c r="I447" s="76" t="s">
        <v>685</v>
      </c>
      <c r="J447" s="77">
        <v>-125416.67</v>
      </c>
      <c r="K447" s="78">
        <v>-1282699.98</v>
      </c>
      <c r="M447" s="79" t="str">
        <f t="shared" si="20"/>
        <v>121-3205</v>
      </c>
      <c r="N447" s="79" t="str">
        <f t="shared" si="18"/>
        <v/>
      </c>
      <c r="O447" s="79" t="str">
        <f t="shared" si="19"/>
        <v>121</v>
      </c>
      <c r="P447" s="79" t="str">
        <f>IFERROR(VLOOKUP($M447,Export!$P:$R,2,FALSE),"-")</f>
        <v>Used Vehicle</v>
      </c>
      <c r="Q447" s="79" t="str">
        <f>IFERROR(VLOOKUP($M447,Export!$P:$R,3,FALSE),"-")</f>
        <v>Used VehicleSIG Class retail gross profit p.u.</v>
      </c>
      <c r="R447" s="80" t="e" cm="1">
        <f t="array" ref="R447">_xlfn.IFS(P447="Service", _xlfn.IFS(I447="SALES","GP",I447="SERVICE SALES","GP",I447="PARTS SALES","GP",I447="SERVICE COS","GP",I447="PARTS COS","GP",I447="SELLING EXPENSES","Selling Expenses",I447="EMPLOYMENT EXPENSES","Selling Expenses",I447="EMPLOYMENT EXPENSES","Selling Expenses",I447="DIRECT EXPENSES","Selling Expenses",I447="INDIRECT EXPENSES","Selling Expenses"),P447="Parts",_xlfn.IFS(I447="SALES","GP",I447="SERVICE SALES","GP",I447="PARTS SALES","GP",I447="SERVICE COS","GP",I447="PARTS COS","GP",I447="SELLING EXPENSES","Selling Expenses",I447="EMPLOYMENT EXPENSES","Selling Expenses",I447="EMPLOYMENT EXPENSES","Selling Expenses",I447="DIRECT EXPENSES","Selling Expenses",I447="INDIRECT EXPENSES","Selling Expenses"))</f>
        <v>#N/A</v>
      </c>
    </row>
    <row r="448" spans="1:18" x14ac:dyDescent="0.2">
      <c r="A448" s="75">
        <v>3205</v>
      </c>
      <c r="B448" s="76" t="s">
        <v>91</v>
      </c>
      <c r="C448" s="76">
        <v>220</v>
      </c>
      <c r="D448" s="76" t="s">
        <v>437</v>
      </c>
      <c r="E448" s="76" t="s">
        <v>426</v>
      </c>
      <c r="F448" s="77">
        <v>-399826.09</v>
      </c>
      <c r="G448" s="77">
        <v>-76343.48</v>
      </c>
      <c r="H448" s="77">
        <v>-476169.57</v>
      </c>
      <c r="I448" s="76" t="s">
        <v>685</v>
      </c>
      <c r="J448" s="77">
        <v>-40333.33</v>
      </c>
      <c r="K448" s="78">
        <v>-691329.55</v>
      </c>
      <c r="M448" s="79" t="str">
        <f t="shared" si="20"/>
        <v>220-3205</v>
      </c>
      <c r="N448" s="79" t="str">
        <f t="shared" si="18"/>
        <v/>
      </c>
      <c r="O448" s="79" t="str">
        <f t="shared" si="19"/>
        <v>220</v>
      </c>
      <c r="P448" s="79" t="str">
        <f>IFERROR(VLOOKUP($M448,Export!$P:$R,2,FALSE),"-")</f>
        <v>Used Vehicle</v>
      </c>
      <c r="Q448" s="79" t="str">
        <f>IFERROR(VLOOKUP($M448,Export!$P:$R,3,FALSE),"-")</f>
        <v>Used VehicleSIG Class retail gross profit p.u.</v>
      </c>
      <c r="R448" s="80" t="e" cm="1">
        <f t="array" ref="R448">_xlfn.IFS(P448="Service", _xlfn.IFS(I448="SALES","GP",I448="SERVICE SALES","GP",I448="PARTS SALES","GP",I448="SERVICE COS","GP",I448="PARTS COS","GP",I448="SELLING EXPENSES","Selling Expenses",I448="EMPLOYMENT EXPENSES","Selling Expenses",I448="EMPLOYMENT EXPENSES","Selling Expenses",I448="DIRECT EXPENSES","Selling Expenses",I448="INDIRECT EXPENSES","Selling Expenses"),P448="Parts",_xlfn.IFS(I448="SALES","GP",I448="SERVICE SALES","GP",I448="PARTS SALES","GP",I448="SERVICE COS","GP",I448="PARTS COS","GP",I448="SELLING EXPENSES","Selling Expenses",I448="EMPLOYMENT EXPENSES","Selling Expenses",I448="EMPLOYMENT EXPENSES","Selling Expenses",I448="DIRECT EXPENSES","Selling Expenses",I448="INDIRECT EXPENSES","Selling Expenses"))</f>
        <v>#N/A</v>
      </c>
    </row>
    <row r="449" spans="1:18" x14ac:dyDescent="0.2">
      <c r="A449" s="75">
        <v>3206</v>
      </c>
      <c r="B449" s="76" t="s">
        <v>686</v>
      </c>
      <c r="C449" s="76">
        <v>120</v>
      </c>
      <c r="D449" s="76" t="s">
        <v>431</v>
      </c>
      <c r="E449" s="76" t="s">
        <v>426</v>
      </c>
      <c r="F449" s="77">
        <v>-33913.040000000001</v>
      </c>
      <c r="G449" s="77">
        <v>0</v>
      </c>
      <c r="H449" s="77">
        <v>-33913.040000000001</v>
      </c>
      <c r="I449" s="76" t="s">
        <v>685</v>
      </c>
      <c r="J449" s="77">
        <v>0</v>
      </c>
      <c r="K449" s="78">
        <v>0</v>
      </c>
      <c r="M449" s="79" t="str">
        <f t="shared" si="20"/>
        <v>120-3206</v>
      </c>
      <c r="N449" s="79" t="str">
        <f t="shared" si="18"/>
        <v/>
      </c>
      <c r="O449" s="79" t="str">
        <f t="shared" si="19"/>
        <v>120</v>
      </c>
      <c r="P449" s="79" t="str">
        <f>IFERROR(VLOOKUP($M449,Export!$P:$R,2,FALSE),"-")</f>
        <v>Used Vehicle</v>
      </c>
      <c r="Q449" s="79" t="str">
        <f>IFERROR(VLOOKUP($M449,Export!$P:$R,3,FALSE),"-")</f>
        <v>Used VehicleOT retail gross profit p.u.</v>
      </c>
      <c r="R449" s="80" t="e" cm="1">
        <f t="array" ref="R449">_xlfn.IFS(P449="Service", _xlfn.IFS(I449="SALES","GP",I449="SERVICE SALES","GP",I449="PARTS SALES","GP",I449="SERVICE COS","GP",I449="PARTS COS","GP",I449="SELLING EXPENSES","Selling Expenses",I449="EMPLOYMENT EXPENSES","Selling Expenses",I449="EMPLOYMENT EXPENSES","Selling Expenses",I449="DIRECT EXPENSES","Selling Expenses",I449="INDIRECT EXPENSES","Selling Expenses"),P449="Parts",_xlfn.IFS(I449="SALES","GP",I449="SERVICE SALES","GP",I449="PARTS SALES","GP",I449="SERVICE COS","GP",I449="PARTS COS","GP",I449="SELLING EXPENSES","Selling Expenses",I449="EMPLOYMENT EXPENSES","Selling Expenses",I449="EMPLOYMENT EXPENSES","Selling Expenses",I449="DIRECT EXPENSES","Selling Expenses",I449="INDIRECT EXPENSES","Selling Expenses"))</f>
        <v>#N/A</v>
      </c>
    </row>
    <row r="450" spans="1:18" x14ac:dyDescent="0.2">
      <c r="A450" s="75">
        <v>3206</v>
      </c>
      <c r="B450" s="76" t="s">
        <v>686</v>
      </c>
      <c r="C450" s="76">
        <v>121</v>
      </c>
      <c r="D450" s="76" t="s">
        <v>449</v>
      </c>
      <c r="E450" s="76" t="s">
        <v>426</v>
      </c>
      <c r="F450" s="77">
        <v>-6538743.5499999998</v>
      </c>
      <c r="G450" s="77">
        <v>-601197.13</v>
      </c>
      <c r="H450" s="77">
        <v>-7139940.6799999997</v>
      </c>
      <c r="I450" s="76" t="s">
        <v>685</v>
      </c>
      <c r="J450" s="77">
        <v>-434000</v>
      </c>
      <c r="K450" s="78">
        <v>-5034263.43</v>
      </c>
      <c r="M450" s="79" t="str">
        <f t="shared" si="20"/>
        <v>121-3206</v>
      </c>
      <c r="N450" s="79" t="str">
        <f t="shared" ref="N450:N513" si="21">+IF(RIGHT(A450,1)="#","#","")</f>
        <v/>
      </c>
      <c r="O450" s="79" t="str">
        <f t="shared" ref="O450:O513" si="22">+C450&amp;N450</f>
        <v>121</v>
      </c>
      <c r="P450" s="79" t="str">
        <f>IFERROR(VLOOKUP($M450,Export!$P:$R,2,FALSE),"-")</f>
        <v>Used Vehicle</v>
      </c>
      <c r="Q450" s="79" t="str">
        <f>IFERROR(VLOOKUP($M450,Export!$P:$R,3,FALSE),"-")</f>
        <v>Used VehicleOT retail gross profit p.u.</v>
      </c>
      <c r="R450" s="80" t="e" cm="1">
        <f t="array" ref="R450">_xlfn.IFS(P450="Service", _xlfn.IFS(I450="SALES","GP",I450="SERVICE SALES","GP",I450="PARTS SALES","GP",I450="SERVICE COS","GP",I450="PARTS COS","GP",I450="SELLING EXPENSES","Selling Expenses",I450="EMPLOYMENT EXPENSES","Selling Expenses",I450="EMPLOYMENT EXPENSES","Selling Expenses",I450="DIRECT EXPENSES","Selling Expenses",I450="INDIRECT EXPENSES","Selling Expenses"),P450="Parts",_xlfn.IFS(I450="SALES","GP",I450="SERVICE SALES","GP",I450="PARTS SALES","GP",I450="SERVICE COS","GP",I450="PARTS COS","GP",I450="SELLING EXPENSES","Selling Expenses",I450="EMPLOYMENT EXPENSES","Selling Expenses",I450="EMPLOYMENT EXPENSES","Selling Expenses",I450="DIRECT EXPENSES","Selling Expenses",I450="INDIRECT EXPENSES","Selling Expenses"))</f>
        <v>#N/A</v>
      </c>
    </row>
    <row r="451" spans="1:18" x14ac:dyDescent="0.2">
      <c r="A451" s="75">
        <v>3206</v>
      </c>
      <c r="B451" s="76" t="s">
        <v>686</v>
      </c>
      <c r="C451" s="76">
        <v>220</v>
      </c>
      <c r="D451" s="76" t="s">
        <v>437</v>
      </c>
      <c r="E451" s="76" t="s">
        <v>426</v>
      </c>
      <c r="F451" s="77">
        <v>-3600659.42</v>
      </c>
      <c r="G451" s="77">
        <v>-386939.13</v>
      </c>
      <c r="H451" s="77">
        <v>-3987598.55</v>
      </c>
      <c r="I451" s="76" t="s">
        <v>685</v>
      </c>
      <c r="J451" s="77">
        <v>-162400</v>
      </c>
      <c r="K451" s="78">
        <v>-1775292.63</v>
      </c>
      <c r="M451" s="79" t="str">
        <f t="shared" ref="M451:M514" si="23">+C451&amp;"-"&amp;A451</f>
        <v>220-3206</v>
      </c>
      <c r="N451" s="79" t="str">
        <f t="shared" si="21"/>
        <v/>
      </c>
      <c r="O451" s="79" t="str">
        <f t="shared" si="22"/>
        <v>220</v>
      </c>
      <c r="P451" s="79" t="str">
        <f>IFERROR(VLOOKUP($M451,Export!$P:$R,2,FALSE),"-")</f>
        <v>Used Vehicle</v>
      </c>
      <c r="Q451" s="79" t="str">
        <f>IFERROR(VLOOKUP($M451,Export!$P:$R,3,FALSE),"-")</f>
        <v>Used VehicleOT retail gross profit p.u.</v>
      </c>
      <c r="R451" s="80" t="e" cm="1">
        <f t="array" ref="R451">_xlfn.IFS(P451="Service", _xlfn.IFS(I451="SALES","GP",I451="SERVICE SALES","GP",I451="PARTS SALES","GP",I451="SERVICE COS","GP",I451="PARTS COS","GP",I451="SELLING EXPENSES","Selling Expenses",I451="EMPLOYMENT EXPENSES","Selling Expenses",I451="EMPLOYMENT EXPENSES","Selling Expenses",I451="DIRECT EXPENSES","Selling Expenses",I451="INDIRECT EXPENSES","Selling Expenses"),P451="Parts",_xlfn.IFS(I451="SALES","GP",I451="SERVICE SALES","GP",I451="PARTS SALES","GP",I451="SERVICE COS","GP",I451="PARTS COS","GP",I451="SELLING EXPENSES","Selling Expenses",I451="EMPLOYMENT EXPENSES","Selling Expenses",I451="EMPLOYMENT EXPENSES","Selling Expenses",I451="DIRECT EXPENSES","Selling Expenses",I451="INDIRECT EXPENSES","Selling Expenses"))</f>
        <v>#N/A</v>
      </c>
    </row>
    <row r="452" spans="1:18" x14ac:dyDescent="0.2">
      <c r="A452" s="75">
        <v>3209</v>
      </c>
      <c r="B452" s="76" t="s">
        <v>93</v>
      </c>
      <c r="C452" s="76">
        <v>120</v>
      </c>
      <c r="D452" s="76" t="s">
        <v>431</v>
      </c>
      <c r="E452" s="76" t="s">
        <v>426</v>
      </c>
      <c r="F452" s="77">
        <v>-11866074.189999999</v>
      </c>
      <c r="G452" s="77">
        <v>-1383745.55</v>
      </c>
      <c r="H452" s="77">
        <v>-13249819.74</v>
      </c>
      <c r="I452" s="76" t="s">
        <v>685</v>
      </c>
      <c r="J452" s="77">
        <v>-1200000</v>
      </c>
      <c r="K452" s="78">
        <v>-10538654.550000001</v>
      </c>
      <c r="M452" s="79" t="str">
        <f t="shared" si="23"/>
        <v>120-3209</v>
      </c>
      <c r="N452" s="79" t="str">
        <f t="shared" si="21"/>
        <v/>
      </c>
      <c r="O452" s="79" t="str">
        <f t="shared" si="22"/>
        <v>120</v>
      </c>
      <c r="P452" s="79" t="str">
        <f>IFERROR(VLOOKUP($M452,Export!$P:$R,2,FALSE),"-")</f>
        <v>Used Vehicle</v>
      </c>
      <c r="Q452" s="79" t="str">
        <f>IFERROR(VLOOKUP($M452,Export!$P:$R,3,FALSE),"-")</f>
        <v>Used VehicleOverall UV retail gross profit p.u.</v>
      </c>
      <c r="R452" s="80" t="e" cm="1">
        <f t="array" ref="R452">_xlfn.IFS(P452="Service", _xlfn.IFS(I452="SALES","GP",I452="SERVICE SALES","GP",I452="PARTS SALES","GP",I452="SERVICE COS","GP",I452="PARTS COS","GP",I452="SELLING EXPENSES","Selling Expenses",I452="EMPLOYMENT EXPENSES","Selling Expenses",I452="EMPLOYMENT EXPENSES","Selling Expenses",I452="DIRECT EXPENSES","Selling Expenses",I452="INDIRECT EXPENSES","Selling Expenses"),P452="Parts",_xlfn.IFS(I452="SALES","GP",I452="SERVICE SALES","GP",I452="PARTS SALES","GP",I452="SERVICE COS","GP",I452="PARTS COS","GP",I452="SELLING EXPENSES","Selling Expenses",I452="EMPLOYMENT EXPENSES","Selling Expenses",I452="EMPLOYMENT EXPENSES","Selling Expenses",I452="DIRECT EXPENSES","Selling Expenses",I452="INDIRECT EXPENSES","Selling Expenses"))</f>
        <v>#N/A</v>
      </c>
    </row>
    <row r="453" spans="1:18" x14ac:dyDescent="0.2">
      <c r="A453" s="75">
        <v>3209</v>
      </c>
      <c r="B453" s="76" t="s">
        <v>93</v>
      </c>
      <c r="C453" s="76">
        <v>121</v>
      </c>
      <c r="D453" s="76" t="s">
        <v>449</v>
      </c>
      <c r="E453" s="76" t="s">
        <v>426</v>
      </c>
      <c r="F453" s="77">
        <v>-22600</v>
      </c>
      <c r="G453" s="77">
        <v>0</v>
      </c>
      <c r="H453" s="77">
        <v>-22600</v>
      </c>
      <c r="I453" s="76" t="s">
        <v>685</v>
      </c>
      <c r="J453" s="77">
        <v>0</v>
      </c>
      <c r="K453" s="78">
        <v>0</v>
      </c>
      <c r="M453" s="79" t="str">
        <f t="shared" si="23"/>
        <v>121-3209</v>
      </c>
      <c r="N453" s="79" t="str">
        <f t="shared" si="21"/>
        <v/>
      </c>
      <c r="O453" s="79" t="str">
        <f t="shared" si="22"/>
        <v>121</v>
      </c>
      <c r="P453" s="79" t="str">
        <f>IFERROR(VLOOKUP($M453,Export!$P:$R,2,FALSE),"-")</f>
        <v>Used Vehicle</v>
      </c>
      <c r="Q453" s="79" t="str">
        <f>IFERROR(VLOOKUP($M453,Export!$P:$R,3,FALSE),"-")</f>
        <v>Used VehicleOverall UV retail gross profit p.u.</v>
      </c>
      <c r="R453" s="80" t="e" cm="1">
        <f t="array" ref="R453">_xlfn.IFS(P453="Service", _xlfn.IFS(I453="SALES","GP",I453="SERVICE SALES","GP",I453="PARTS SALES","GP",I453="SERVICE COS","GP",I453="PARTS COS","GP",I453="SELLING EXPENSES","Selling Expenses",I453="EMPLOYMENT EXPENSES","Selling Expenses",I453="EMPLOYMENT EXPENSES","Selling Expenses",I453="DIRECT EXPENSES","Selling Expenses",I453="INDIRECT EXPENSES","Selling Expenses"),P453="Parts",_xlfn.IFS(I453="SALES","GP",I453="SERVICE SALES","GP",I453="PARTS SALES","GP",I453="SERVICE COS","GP",I453="PARTS COS","GP",I453="SELLING EXPENSES","Selling Expenses",I453="EMPLOYMENT EXPENSES","Selling Expenses",I453="EMPLOYMENT EXPENSES","Selling Expenses",I453="DIRECT EXPENSES","Selling Expenses",I453="INDIRECT EXPENSES","Selling Expenses"))</f>
        <v>#N/A</v>
      </c>
    </row>
    <row r="454" spans="1:18" x14ac:dyDescent="0.2">
      <c r="A454" s="75">
        <v>3209</v>
      </c>
      <c r="B454" s="76" t="s">
        <v>93</v>
      </c>
      <c r="C454" s="76">
        <v>122</v>
      </c>
      <c r="D454" s="76" t="s">
        <v>452</v>
      </c>
      <c r="E454" s="76" t="s">
        <v>426</v>
      </c>
      <c r="F454" s="77">
        <v>-5638686.7599999998</v>
      </c>
      <c r="G454" s="77">
        <v>-223026.09</v>
      </c>
      <c r="H454" s="77">
        <v>-5861712.8499999996</v>
      </c>
      <c r="I454" s="76" t="s">
        <v>685</v>
      </c>
      <c r="J454" s="77">
        <v>-645000</v>
      </c>
      <c r="K454" s="78">
        <v>-5045623.8499999996</v>
      </c>
      <c r="M454" s="79" t="str">
        <f t="shared" si="23"/>
        <v>122-3209</v>
      </c>
      <c r="N454" s="79" t="str">
        <f t="shared" si="21"/>
        <v/>
      </c>
      <c r="O454" s="79" t="str">
        <f t="shared" si="22"/>
        <v>122</v>
      </c>
      <c r="P454" s="79" t="str">
        <f>IFERROR(VLOOKUP($M454,Export!$P:$R,2,FALSE),"-")</f>
        <v>LEX Used Vehicle</v>
      </c>
      <c r="Q454" s="79" t="str">
        <f>IFERROR(VLOOKUP($M454,Export!$P:$R,3,FALSE),"-")</f>
        <v>LEX Used VehicleOverall UV retail gross profit p.u.</v>
      </c>
      <c r="R454" s="80" t="e" cm="1">
        <f t="array" ref="R454">_xlfn.IFS(P454="Service", _xlfn.IFS(I454="SALES","GP",I454="SERVICE SALES","GP",I454="PARTS SALES","GP",I454="SERVICE COS","GP",I454="PARTS COS","GP",I454="SELLING EXPENSES","Selling Expenses",I454="EMPLOYMENT EXPENSES","Selling Expenses",I454="EMPLOYMENT EXPENSES","Selling Expenses",I454="DIRECT EXPENSES","Selling Expenses",I454="INDIRECT EXPENSES","Selling Expenses"),P454="Parts",_xlfn.IFS(I454="SALES","GP",I454="SERVICE SALES","GP",I454="PARTS SALES","GP",I454="SERVICE COS","GP",I454="PARTS COS","GP",I454="SELLING EXPENSES","Selling Expenses",I454="EMPLOYMENT EXPENSES","Selling Expenses",I454="EMPLOYMENT EXPENSES","Selling Expenses",I454="DIRECT EXPENSES","Selling Expenses",I454="INDIRECT EXPENSES","Selling Expenses"))</f>
        <v>#N/A</v>
      </c>
    </row>
    <row r="455" spans="1:18" x14ac:dyDescent="0.2">
      <c r="A455" s="75">
        <v>3209</v>
      </c>
      <c r="B455" s="76" t="s">
        <v>93</v>
      </c>
      <c r="C455" s="76">
        <v>220</v>
      </c>
      <c r="D455" s="76" t="s">
        <v>437</v>
      </c>
      <c r="E455" s="76" t="s">
        <v>426</v>
      </c>
      <c r="F455" s="77">
        <v>-3508618.19</v>
      </c>
      <c r="G455" s="77">
        <v>-523757.36</v>
      </c>
      <c r="H455" s="77">
        <v>-4032375.55</v>
      </c>
      <c r="I455" s="76" t="s">
        <v>685</v>
      </c>
      <c r="J455" s="77">
        <v>-147000</v>
      </c>
      <c r="K455" s="78">
        <v>-1659768.63</v>
      </c>
      <c r="M455" s="79" t="str">
        <f t="shared" si="23"/>
        <v>220-3209</v>
      </c>
      <c r="N455" s="79" t="str">
        <f t="shared" si="21"/>
        <v/>
      </c>
      <c r="O455" s="79" t="str">
        <f t="shared" si="22"/>
        <v>220</v>
      </c>
      <c r="P455" s="79" t="str">
        <f>IFERROR(VLOOKUP($M455,Export!$P:$R,2,FALSE),"-")</f>
        <v>Used Vehicle</v>
      </c>
      <c r="Q455" s="79" t="str">
        <f>IFERROR(VLOOKUP($M455,Export!$P:$R,3,FALSE),"-")</f>
        <v>Used VehicleOverall UV retail gross profit p.u.</v>
      </c>
      <c r="R455" s="80" t="e" cm="1">
        <f t="array" ref="R455">_xlfn.IFS(P455="Service", _xlfn.IFS(I455="SALES","GP",I455="SERVICE SALES","GP",I455="PARTS SALES","GP",I455="SERVICE COS","GP",I455="PARTS COS","GP",I455="SELLING EXPENSES","Selling Expenses",I455="EMPLOYMENT EXPENSES","Selling Expenses",I455="EMPLOYMENT EXPENSES","Selling Expenses",I455="DIRECT EXPENSES","Selling Expenses",I455="INDIRECT EXPENSES","Selling Expenses"),P455="Parts",_xlfn.IFS(I455="SALES","GP",I455="SERVICE SALES","GP",I455="PARTS SALES","GP",I455="SERVICE COS","GP",I455="PARTS COS","GP",I455="SELLING EXPENSES","Selling Expenses",I455="EMPLOYMENT EXPENSES","Selling Expenses",I455="EMPLOYMENT EXPENSES","Selling Expenses",I455="DIRECT EXPENSES","Selling Expenses",I455="INDIRECT EXPENSES","Selling Expenses"))</f>
        <v>#N/A</v>
      </c>
    </row>
    <row r="456" spans="1:18" x14ac:dyDescent="0.2">
      <c r="A456" s="75">
        <v>3211</v>
      </c>
      <c r="B456" s="76" t="s">
        <v>687</v>
      </c>
      <c r="C456" s="76">
        <v>120</v>
      </c>
      <c r="D456" s="76" t="s">
        <v>431</v>
      </c>
      <c r="E456" s="76" t="s">
        <v>426</v>
      </c>
      <c r="F456" s="77">
        <v>-519226.51</v>
      </c>
      <c r="G456" s="77">
        <v>-38260.870000000003</v>
      </c>
      <c r="H456" s="77">
        <v>-557487.38</v>
      </c>
      <c r="I456" s="76" t="s">
        <v>685</v>
      </c>
      <c r="J456" s="77">
        <v>-47583.33</v>
      </c>
      <c r="K456" s="78">
        <v>-594178.24</v>
      </c>
      <c r="M456" s="79" t="str">
        <f t="shared" si="23"/>
        <v>120-3211</v>
      </c>
      <c r="N456" s="79" t="str">
        <f t="shared" si="21"/>
        <v/>
      </c>
      <c r="O456" s="79" t="str">
        <f t="shared" si="22"/>
        <v>120</v>
      </c>
      <c r="P456" s="79" t="str">
        <f>IFERROR(VLOOKUP($M456,Export!$P:$R,2,FALSE),"-")</f>
        <v>Used Vehicle</v>
      </c>
      <c r="Q456" s="79" t="str">
        <f>IFERROR(VLOOKUP($M456,Export!$P:$R,3,FALSE),"-")</f>
        <v>Used VehicleOverall UV retail gross profit p.u.</v>
      </c>
      <c r="R456" s="80" t="e" cm="1">
        <f t="array" ref="R456">_xlfn.IFS(P456="Service", _xlfn.IFS(I456="SALES","GP",I456="SERVICE SALES","GP",I456="PARTS SALES","GP",I456="SERVICE COS","GP",I456="PARTS COS","GP",I456="SELLING EXPENSES","Selling Expenses",I456="EMPLOYMENT EXPENSES","Selling Expenses",I456="EMPLOYMENT EXPENSES","Selling Expenses",I456="DIRECT EXPENSES","Selling Expenses",I456="INDIRECT EXPENSES","Selling Expenses"),P456="Parts",_xlfn.IFS(I456="SALES","GP",I456="SERVICE SALES","GP",I456="PARTS SALES","GP",I456="SERVICE COS","GP",I456="PARTS COS","GP",I456="SELLING EXPENSES","Selling Expenses",I456="EMPLOYMENT EXPENSES","Selling Expenses",I456="EMPLOYMENT EXPENSES","Selling Expenses",I456="DIRECT EXPENSES","Selling Expenses",I456="INDIRECT EXPENSES","Selling Expenses"))</f>
        <v>#N/A</v>
      </c>
    </row>
    <row r="457" spans="1:18" x14ac:dyDescent="0.2">
      <c r="A457" s="75">
        <v>3211</v>
      </c>
      <c r="B457" s="76" t="s">
        <v>687</v>
      </c>
      <c r="C457" s="76">
        <v>122</v>
      </c>
      <c r="D457" s="76" t="s">
        <v>452</v>
      </c>
      <c r="E457" s="76" t="s">
        <v>426</v>
      </c>
      <c r="F457" s="77">
        <v>0</v>
      </c>
      <c r="G457" s="77">
        <v>0</v>
      </c>
      <c r="H457" s="77">
        <v>0</v>
      </c>
      <c r="I457" s="76" t="s">
        <v>685</v>
      </c>
      <c r="J457" s="77">
        <v>0</v>
      </c>
      <c r="K457" s="78">
        <v>-272078.26</v>
      </c>
      <c r="M457" s="79" t="str">
        <f t="shared" si="23"/>
        <v>122-3211</v>
      </c>
      <c r="N457" s="79" t="str">
        <f t="shared" si="21"/>
        <v/>
      </c>
      <c r="O457" s="79" t="str">
        <f t="shared" si="22"/>
        <v>122</v>
      </c>
      <c r="P457" s="79" t="str">
        <f>IFERROR(VLOOKUP($M457,Export!$P:$R,2,FALSE),"-")</f>
        <v>LEX Used Vehicle</v>
      </c>
      <c r="Q457" s="79" t="str">
        <f>IFERROR(VLOOKUP($M457,Export!$P:$R,3,FALSE),"-")</f>
        <v>LEX Used VehicleOverall UV retail gross profit p.u.</v>
      </c>
      <c r="R457" s="80" t="e" cm="1">
        <f t="array" ref="R457">_xlfn.IFS(P457="Service", _xlfn.IFS(I457="SALES","GP",I457="SERVICE SALES","GP",I457="PARTS SALES","GP",I457="SERVICE COS","GP",I457="PARTS COS","GP",I457="SELLING EXPENSES","Selling Expenses",I457="EMPLOYMENT EXPENSES","Selling Expenses",I457="EMPLOYMENT EXPENSES","Selling Expenses",I457="DIRECT EXPENSES","Selling Expenses",I457="INDIRECT EXPENSES","Selling Expenses"),P457="Parts",_xlfn.IFS(I457="SALES","GP",I457="SERVICE SALES","GP",I457="PARTS SALES","GP",I457="SERVICE COS","GP",I457="PARTS COS","GP",I457="SELLING EXPENSES","Selling Expenses",I457="EMPLOYMENT EXPENSES","Selling Expenses",I457="EMPLOYMENT EXPENSES","Selling Expenses",I457="DIRECT EXPENSES","Selling Expenses",I457="INDIRECT EXPENSES","Selling Expenses"))</f>
        <v>#N/A</v>
      </c>
    </row>
    <row r="458" spans="1:18" x14ac:dyDescent="0.2">
      <c r="A458" s="75">
        <v>3211</v>
      </c>
      <c r="B458" s="76" t="s">
        <v>687</v>
      </c>
      <c r="C458" s="76">
        <v>220</v>
      </c>
      <c r="D458" s="76" t="s">
        <v>437</v>
      </c>
      <c r="E458" s="76" t="s">
        <v>426</v>
      </c>
      <c r="F458" s="77">
        <v>-212414.78</v>
      </c>
      <c r="G458" s="77">
        <v>-50913.919999999998</v>
      </c>
      <c r="H458" s="77">
        <v>-263328.7</v>
      </c>
      <c r="I458" s="76" t="s">
        <v>685</v>
      </c>
      <c r="J458" s="77">
        <v>-31091.67</v>
      </c>
      <c r="K458" s="78">
        <v>-326671.76</v>
      </c>
      <c r="M458" s="79" t="str">
        <f t="shared" si="23"/>
        <v>220-3211</v>
      </c>
      <c r="N458" s="79" t="str">
        <f t="shared" si="21"/>
        <v/>
      </c>
      <c r="O458" s="79" t="str">
        <f t="shared" si="22"/>
        <v>220</v>
      </c>
      <c r="P458" s="79" t="str">
        <f>IFERROR(VLOOKUP($M458,Export!$P:$R,2,FALSE),"-")</f>
        <v>Used Vehicle</v>
      </c>
      <c r="Q458" s="79" t="str">
        <f>IFERROR(VLOOKUP($M458,Export!$P:$R,3,FALSE),"-")</f>
        <v>Used VehicleOverall UV retail gross profit p.u.</v>
      </c>
      <c r="R458" s="80" t="e" cm="1">
        <f t="array" ref="R458">_xlfn.IFS(P458="Service", _xlfn.IFS(I458="SALES","GP",I458="SERVICE SALES","GP",I458="PARTS SALES","GP",I458="SERVICE COS","GP",I458="PARTS COS","GP",I458="SELLING EXPENSES","Selling Expenses",I458="EMPLOYMENT EXPENSES","Selling Expenses",I458="EMPLOYMENT EXPENSES","Selling Expenses",I458="DIRECT EXPENSES","Selling Expenses",I458="INDIRECT EXPENSES","Selling Expenses"),P458="Parts",_xlfn.IFS(I458="SALES","GP",I458="SERVICE SALES","GP",I458="PARTS SALES","GP",I458="SERVICE COS","GP",I458="PARTS COS","GP",I458="SELLING EXPENSES","Selling Expenses",I458="EMPLOYMENT EXPENSES","Selling Expenses",I458="EMPLOYMENT EXPENSES","Selling Expenses",I458="DIRECT EXPENSES","Selling Expenses",I458="INDIRECT EXPENSES","Selling Expenses"))</f>
        <v>#N/A</v>
      </c>
    </row>
    <row r="459" spans="1:18" x14ac:dyDescent="0.2">
      <c r="A459" s="75">
        <v>3230</v>
      </c>
      <c r="B459" s="76" t="s">
        <v>688</v>
      </c>
      <c r="C459" s="76">
        <v>120</v>
      </c>
      <c r="D459" s="76" t="s">
        <v>431</v>
      </c>
      <c r="E459" s="76" t="s">
        <v>426</v>
      </c>
      <c r="F459" s="77">
        <v>-1331940.4099999999</v>
      </c>
      <c r="G459" s="77">
        <v>-71347.839999999997</v>
      </c>
      <c r="H459" s="77">
        <v>-1403288.25</v>
      </c>
      <c r="I459" s="76" t="s">
        <v>685</v>
      </c>
      <c r="J459" s="77">
        <v>-72800</v>
      </c>
      <c r="K459" s="78">
        <v>-728925.28</v>
      </c>
      <c r="M459" s="79" t="str">
        <f t="shared" si="23"/>
        <v>120-3230</v>
      </c>
      <c r="N459" s="79" t="str">
        <f t="shared" si="21"/>
        <v/>
      </c>
      <c r="O459" s="79" t="str">
        <f t="shared" si="22"/>
        <v>120</v>
      </c>
      <c r="P459" s="79" t="str">
        <f>IFERROR(VLOOKUP($M459,Export!$P:$R,2,FALSE),"-")</f>
        <v>Used Vehicle</v>
      </c>
      <c r="Q459" s="79" t="str">
        <f>IFERROR(VLOOKUP($M459,Export!$P:$R,3,FALSE),"-")</f>
        <v>Used VehicleGross profit per wholesale unit</v>
      </c>
      <c r="R459" s="80" t="e" cm="1">
        <f t="array" ref="R459">_xlfn.IFS(P459="Service", _xlfn.IFS(I459="SALES","GP",I459="SERVICE SALES","GP",I459="PARTS SALES","GP",I459="SERVICE COS","GP",I459="PARTS COS","GP",I459="SELLING EXPENSES","Selling Expenses",I459="EMPLOYMENT EXPENSES","Selling Expenses",I459="EMPLOYMENT EXPENSES","Selling Expenses",I459="DIRECT EXPENSES","Selling Expenses",I459="INDIRECT EXPENSES","Selling Expenses"),P459="Parts",_xlfn.IFS(I459="SALES","GP",I459="SERVICE SALES","GP",I459="PARTS SALES","GP",I459="SERVICE COS","GP",I459="PARTS COS","GP",I459="SELLING EXPENSES","Selling Expenses",I459="EMPLOYMENT EXPENSES","Selling Expenses",I459="EMPLOYMENT EXPENSES","Selling Expenses",I459="DIRECT EXPENSES","Selling Expenses",I459="INDIRECT EXPENSES","Selling Expenses"))</f>
        <v>#N/A</v>
      </c>
    </row>
    <row r="460" spans="1:18" x14ac:dyDescent="0.2">
      <c r="A460" s="75">
        <v>3230</v>
      </c>
      <c r="B460" s="76" t="s">
        <v>688</v>
      </c>
      <c r="C460" s="76">
        <v>121</v>
      </c>
      <c r="D460" s="76" t="s">
        <v>449</v>
      </c>
      <c r="E460" s="76" t="s">
        <v>426</v>
      </c>
      <c r="F460" s="77">
        <v>-14347.83</v>
      </c>
      <c r="G460" s="77">
        <v>0</v>
      </c>
      <c r="H460" s="77">
        <v>-14347.83</v>
      </c>
      <c r="I460" s="76" t="s">
        <v>685</v>
      </c>
      <c r="J460" s="77">
        <v>0</v>
      </c>
      <c r="K460" s="78">
        <v>0</v>
      </c>
      <c r="M460" s="79" t="str">
        <f t="shared" si="23"/>
        <v>121-3230</v>
      </c>
      <c r="N460" s="79" t="str">
        <f t="shared" si="21"/>
        <v/>
      </c>
      <c r="O460" s="79" t="str">
        <f t="shared" si="22"/>
        <v>121</v>
      </c>
      <c r="P460" s="79" t="str">
        <f>IFERROR(VLOOKUP($M460,Export!$P:$R,2,FALSE),"-")</f>
        <v>Used Vehicle</v>
      </c>
      <c r="Q460" s="79" t="str">
        <f>IFERROR(VLOOKUP($M460,Export!$P:$R,3,FALSE),"-")</f>
        <v>Used VehicleGross profit per wholesale unit</v>
      </c>
      <c r="R460" s="80" t="e" cm="1">
        <f t="array" ref="R460">_xlfn.IFS(P460="Service", _xlfn.IFS(I460="SALES","GP",I460="SERVICE SALES","GP",I460="PARTS SALES","GP",I460="SERVICE COS","GP",I460="PARTS COS","GP",I460="SELLING EXPENSES","Selling Expenses",I460="EMPLOYMENT EXPENSES","Selling Expenses",I460="EMPLOYMENT EXPENSES","Selling Expenses",I460="DIRECT EXPENSES","Selling Expenses",I460="INDIRECT EXPENSES","Selling Expenses"),P460="Parts",_xlfn.IFS(I460="SALES","GP",I460="SERVICE SALES","GP",I460="PARTS SALES","GP",I460="SERVICE COS","GP",I460="PARTS COS","GP",I460="SELLING EXPENSES","Selling Expenses",I460="EMPLOYMENT EXPENSES","Selling Expenses",I460="EMPLOYMENT EXPENSES","Selling Expenses",I460="DIRECT EXPENSES","Selling Expenses",I460="INDIRECT EXPENSES","Selling Expenses"))</f>
        <v>#N/A</v>
      </c>
    </row>
    <row r="461" spans="1:18" x14ac:dyDescent="0.2">
      <c r="A461" s="75">
        <v>3230</v>
      </c>
      <c r="B461" s="76" t="s">
        <v>688</v>
      </c>
      <c r="C461" s="76">
        <v>122</v>
      </c>
      <c r="D461" s="76" t="s">
        <v>452</v>
      </c>
      <c r="E461" s="76" t="s">
        <v>426</v>
      </c>
      <c r="F461" s="77">
        <v>-40886.44</v>
      </c>
      <c r="G461" s="77">
        <v>0</v>
      </c>
      <c r="H461" s="77">
        <v>-40886.44</v>
      </c>
      <c r="I461" s="76" t="s">
        <v>685</v>
      </c>
      <c r="J461" s="77">
        <v>0</v>
      </c>
      <c r="K461" s="78">
        <v>0</v>
      </c>
      <c r="M461" s="79" t="str">
        <f t="shared" si="23"/>
        <v>122-3230</v>
      </c>
      <c r="N461" s="79" t="str">
        <f t="shared" si="21"/>
        <v/>
      </c>
      <c r="O461" s="79" t="str">
        <f t="shared" si="22"/>
        <v>122</v>
      </c>
      <c r="P461" s="79" t="str">
        <f>IFERROR(VLOOKUP($M461,Export!$P:$R,2,FALSE),"-")</f>
        <v>LEX Used Vehicle</v>
      </c>
      <c r="Q461" s="79" t="str">
        <f>IFERROR(VLOOKUP($M461,Export!$P:$R,3,FALSE),"-")</f>
        <v>LEX Used VehicleGross profit per wholesale unit</v>
      </c>
      <c r="R461" s="80" t="e" cm="1">
        <f t="array" ref="R461">_xlfn.IFS(P461="Service", _xlfn.IFS(I461="SALES","GP",I461="SERVICE SALES","GP",I461="PARTS SALES","GP",I461="SERVICE COS","GP",I461="PARTS COS","GP",I461="SELLING EXPENSES","Selling Expenses",I461="EMPLOYMENT EXPENSES","Selling Expenses",I461="EMPLOYMENT EXPENSES","Selling Expenses",I461="DIRECT EXPENSES","Selling Expenses",I461="INDIRECT EXPENSES","Selling Expenses"),P461="Parts",_xlfn.IFS(I461="SALES","GP",I461="SERVICE SALES","GP",I461="PARTS SALES","GP",I461="SERVICE COS","GP",I461="PARTS COS","GP",I461="SELLING EXPENSES","Selling Expenses",I461="EMPLOYMENT EXPENSES","Selling Expenses",I461="EMPLOYMENT EXPENSES","Selling Expenses",I461="DIRECT EXPENSES","Selling Expenses",I461="INDIRECT EXPENSES","Selling Expenses"))</f>
        <v>#N/A</v>
      </c>
    </row>
    <row r="462" spans="1:18" x14ac:dyDescent="0.2">
      <c r="A462" s="75">
        <v>3230</v>
      </c>
      <c r="B462" s="76" t="s">
        <v>688</v>
      </c>
      <c r="C462" s="76">
        <v>220</v>
      </c>
      <c r="D462" s="76" t="s">
        <v>437</v>
      </c>
      <c r="E462" s="76" t="s">
        <v>426</v>
      </c>
      <c r="F462" s="77">
        <v>-367782.63</v>
      </c>
      <c r="G462" s="77">
        <v>-96921.73</v>
      </c>
      <c r="H462" s="77">
        <v>-464704.36</v>
      </c>
      <c r="I462" s="76" t="s">
        <v>685</v>
      </c>
      <c r="J462" s="77">
        <v>-29000</v>
      </c>
      <c r="K462" s="78">
        <v>-259243.48</v>
      </c>
      <c r="M462" s="79" t="str">
        <f t="shared" si="23"/>
        <v>220-3230</v>
      </c>
      <c r="N462" s="79" t="str">
        <f t="shared" si="21"/>
        <v/>
      </c>
      <c r="O462" s="79" t="str">
        <f t="shared" si="22"/>
        <v>220</v>
      </c>
      <c r="P462" s="79" t="str">
        <f>IFERROR(VLOOKUP($M462,Export!$P:$R,2,FALSE),"-")</f>
        <v>Used Vehicle</v>
      </c>
      <c r="Q462" s="79" t="str">
        <f>IFERROR(VLOOKUP($M462,Export!$P:$R,3,FALSE),"-")</f>
        <v>Used VehicleGross profit per wholesale unit</v>
      </c>
      <c r="R462" s="80" t="e" cm="1">
        <f t="array" ref="R462">_xlfn.IFS(P462="Service", _xlfn.IFS(I462="SALES","GP",I462="SERVICE SALES","GP",I462="PARTS SALES","GP",I462="SERVICE COS","GP",I462="PARTS COS","GP",I462="SELLING EXPENSES","Selling Expenses",I462="EMPLOYMENT EXPENSES","Selling Expenses",I462="EMPLOYMENT EXPENSES","Selling Expenses",I462="DIRECT EXPENSES","Selling Expenses",I462="INDIRECT EXPENSES","Selling Expenses"),P462="Parts",_xlfn.IFS(I462="SALES","GP",I462="SERVICE SALES","GP",I462="PARTS SALES","GP",I462="SERVICE COS","GP",I462="PARTS COS","GP",I462="SELLING EXPENSES","Selling Expenses",I462="EMPLOYMENT EXPENSES","Selling Expenses",I462="EMPLOYMENT EXPENSES","Selling Expenses",I462="DIRECT EXPENSES","Selling Expenses",I462="INDIRECT EXPENSES","Selling Expenses"))</f>
        <v>#N/A</v>
      </c>
    </row>
    <row r="463" spans="1:18" x14ac:dyDescent="0.2">
      <c r="A463" s="75">
        <v>3232</v>
      </c>
      <c r="B463" s="76" t="s">
        <v>689</v>
      </c>
      <c r="C463" s="76">
        <v>120</v>
      </c>
      <c r="D463" s="76" t="s">
        <v>431</v>
      </c>
      <c r="E463" s="76" t="s">
        <v>426</v>
      </c>
      <c r="F463" s="77">
        <v>-109652.16</v>
      </c>
      <c r="G463" s="77">
        <v>0</v>
      </c>
      <c r="H463" s="77">
        <v>-109652.16</v>
      </c>
      <c r="I463" s="76" t="s">
        <v>685</v>
      </c>
      <c r="J463" s="77">
        <v>0</v>
      </c>
      <c r="K463" s="78">
        <v>0</v>
      </c>
      <c r="M463" s="79" t="str">
        <f t="shared" si="23"/>
        <v>120-3232</v>
      </c>
      <c r="N463" s="79" t="str">
        <f t="shared" si="21"/>
        <v/>
      </c>
      <c r="O463" s="79" t="str">
        <f t="shared" si="22"/>
        <v>120</v>
      </c>
      <c r="P463" s="79" t="str">
        <f>IFERROR(VLOOKUP($M463,Export!$P:$R,2,FALSE),"-")</f>
        <v>Used Vehicle</v>
      </c>
      <c r="Q463" s="79" t="str">
        <f>IFERROR(VLOOKUP($M463,Export!$P:$R,3,FALSE),"-")</f>
        <v>Used VehicleGross profit per wholesale unit</v>
      </c>
      <c r="R463" s="80" t="e" cm="1">
        <f t="array" ref="R463">_xlfn.IFS(P463="Service", _xlfn.IFS(I463="SALES","GP",I463="SERVICE SALES","GP",I463="PARTS SALES","GP",I463="SERVICE COS","GP",I463="PARTS COS","GP",I463="SELLING EXPENSES","Selling Expenses",I463="EMPLOYMENT EXPENSES","Selling Expenses",I463="EMPLOYMENT EXPENSES","Selling Expenses",I463="DIRECT EXPENSES","Selling Expenses",I463="INDIRECT EXPENSES","Selling Expenses"),P463="Parts",_xlfn.IFS(I463="SALES","GP",I463="SERVICE SALES","GP",I463="PARTS SALES","GP",I463="SERVICE COS","GP",I463="PARTS COS","GP",I463="SELLING EXPENSES","Selling Expenses",I463="EMPLOYMENT EXPENSES","Selling Expenses",I463="EMPLOYMENT EXPENSES","Selling Expenses",I463="DIRECT EXPENSES","Selling Expenses",I463="INDIRECT EXPENSES","Selling Expenses"))</f>
        <v>#N/A</v>
      </c>
    </row>
    <row r="464" spans="1:18" x14ac:dyDescent="0.2">
      <c r="A464" s="75">
        <v>3232</v>
      </c>
      <c r="B464" s="76" t="s">
        <v>689</v>
      </c>
      <c r="C464" s="76">
        <v>220</v>
      </c>
      <c r="D464" s="76" t="s">
        <v>437</v>
      </c>
      <c r="E464" s="76" t="s">
        <v>426</v>
      </c>
      <c r="F464" s="77">
        <v>-28913.05</v>
      </c>
      <c r="G464" s="77">
        <v>0</v>
      </c>
      <c r="H464" s="77">
        <v>-28913.05</v>
      </c>
      <c r="I464" s="76" t="s">
        <v>685</v>
      </c>
      <c r="J464" s="77">
        <v>0</v>
      </c>
      <c r="K464" s="78">
        <v>-72982.61</v>
      </c>
      <c r="M464" s="79" t="str">
        <f t="shared" si="23"/>
        <v>220-3232</v>
      </c>
      <c r="N464" s="79" t="str">
        <f t="shared" si="21"/>
        <v/>
      </c>
      <c r="O464" s="79" t="str">
        <f t="shared" si="22"/>
        <v>220</v>
      </c>
      <c r="P464" s="79" t="str">
        <f>IFERROR(VLOOKUP($M464,Export!$P:$R,2,FALSE),"-")</f>
        <v>Used Vehicle</v>
      </c>
      <c r="Q464" s="79" t="str">
        <f>IFERROR(VLOOKUP($M464,Export!$P:$R,3,FALSE),"-")</f>
        <v>Used VehicleGross profit per wholesale unit</v>
      </c>
      <c r="R464" s="80" t="e" cm="1">
        <f t="array" ref="R464">_xlfn.IFS(P464="Service", _xlfn.IFS(I464="SALES","GP",I464="SERVICE SALES","GP",I464="PARTS SALES","GP",I464="SERVICE COS","GP",I464="PARTS COS","GP",I464="SELLING EXPENSES","Selling Expenses",I464="EMPLOYMENT EXPENSES","Selling Expenses",I464="EMPLOYMENT EXPENSES","Selling Expenses",I464="DIRECT EXPENSES","Selling Expenses",I464="INDIRECT EXPENSES","Selling Expenses"),P464="Parts",_xlfn.IFS(I464="SALES","GP",I464="SERVICE SALES","GP",I464="PARTS SALES","GP",I464="SERVICE COS","GP",I464="PARTS COS","GP",I464="SELLING EXPENSES","Selling Expenses",I464="EMPLOYMENT EXPENSES","Selling Expenses",I464="EMPLOYMENT EXPENSES","Selling Expenses",I464="DIRECT EXPENSES","Selling Expenses",I464="INDIRECT EXPENSES","Selling Expenses"))</f>
        <v>#N/A</v>
      </c>
    </row>
    <row r="465" spans="1:18" x14ac:dyDescent="0.2">
      <c r="A465" s="75" t="s">
        <v>83</v>
      </c>
      <c r="B465" s="76" t="s">
        <v>84</v>
      </c>
      <c r="C465" s="76">
        <v>120</v>
      </c>
      <c r="D465" s="76" t="s">
        <v>431</v>
      </c>
      <c r="E465" s="76" t="s">
        <v>247</v>
      </c>
      <c r="F465" s="77">
        <v>1</v>
      </c>
      <c r="G465" s="77">
        <v>0</v>
      </c>
      <c r="H465" s="77">
        <v>1</v>
      </c>
      <c r="I465" s="76" t="s">
        <v>685</v>
      </c>
      <c r="J465" s="77">
        <v>0</v>
      </c>
      <c r="K465" s="78">
        <v>0</v>
      </c>
      <c r="M465" s="79" t="str">
        <f t="shared" si="23"/>
        <v>120-6205#</v>
      </c>
      <c r="N465" s="79" t="str">
        <f t="shared" si="21"/>
        <v>#</v>
      </c>
      <c r="O465" s="79" t="str">
        <f t="shared" si="22"/>
        <v>120#</v>
      </c>
      <c r="P465" s="79" t="str">
        <f>IFERROR(VLOOKUP($M465,Export!$P:$R,2,FALSE),"-")</f>
        <v>-</v>
      </c>
      <c r="Q465" s="79" t="str">
        <f>IFERROR(VLOOKUP($M465,Export!$P:$R,3,FALSE),"-")</f>
        <v>-</v>
      </c>
      <c r="R465" s="80" t="e" cm="1">
        <f t="array" ref="R465">_xlfn.IFS(P465="Service", _xlfn.IFS(I465="SALES","GP",I465="SERVICE SALES","GP",I465="PARTS SALES","GP",I465="SERVICE COS","GP",I465="PARTS COS","GP",I465="SELLING EXPENSES","Selling Expenses",I465="EMPLOYMENT EXPENSES","Selling Expenses",I465="EMPLOYMENT EXPENSES","Selling Expenses",I465="DIRECT EXPENSES","Selling Expenses",I465="INDIRECT EXPENSES","Selling Expenses"),P465="Parts",_xlfn.IFS(I465="SALES","GP",I465="SERVICE SALES","GP",I465="PARTS SALES","GP",I465="SERVICE COS","GP",I465="PARTS COS","GP",I465="SELLING EXPENSES","Selling Expenses",I465="EMPLOYMENT EXPENSES","Selling Expenses",I465="EMPLOYMENT EXPENSES","Selling Expenses",I465="DIRECT EXPENSES","Selling Expenses",I465="INDIRECT EXPENSES","Selling Expenses"))</f>
        <v>#N/A</v>
      </c>
    </row>
    <row r="466" spans="1:18" x14ac:dyDescent="0.2">
      <c r="A466" s="75" t="s">
        <v>83</v>
      </c>
      <c r="B466" s="76" t="s">
        <v>84</v>
      </c>
      <c r="C466" s="76">
        <v>121</v>
      </c>
      <c r="D466" s="76" t="s">
        <v>449</v>
      </c>
      <c r="E466" s="76" t="s">
        <v>247</v>
      </c>
      <c r="F466" s="77">
        <v>73</v>
      </c>
      <c r="G466" s="77">
        <v>14</v>
      </c>
      <c r="H466" s="77">
        <v>87</v>
      </c>
      <c r="I466" s="76" t="s">
        <v>685</v>
      </c>
      <c r="J466" s="77">
        <v>4.17</v>
      </c>
      <c r="K466" s="78">
        <v>43.02</v>
      </c>
      <c r="M466" s="79" t="str">
        <f t="shared" si="23"/>
        <v>121-6205#</v>
      </c>
      <c r="N466" s="79" t="str">
        <f t="shared" si="21"/>
        <v>#</v>
      </c>
      <c r="O466" s="79" t="str">
        <f t="shared" si="22"/>
        <v>121#</v>
      </c>
      <c r="P466" s="79" t="str">
        <f>IFERROR(VLOOKUP($M466,Export!$P:$R,2,FALSE),"-")</f>
        <v>-</v>
      </c>
      <c r="Q466" s="79" t="str">
        <f>IFERROR(VLOOKUP($M466,Export!$P:$R,3,FALSE),"-")</f>
        <v>-</v>
      </c>
      <c r="R466" s="80" t="e" cm="1">
        <f t="array" ref="R466">_xlfn.IFS(P466="Service", _xlfn.IFS(I466="SALES","GP",I466="SERVICE SALES","GP",I466="PARTS SALES","GP",I466="SERVICE COS","GP",I466="PARTS COS","GP",I466="SELLING EXPENSES","Selling Expenses",I466="EMPLOYMENT EXPENSES","Selling Expenses",I466="EMPLOYMENT EXPENSES","Selling Expenses",I466="DIRECT EXPENSES","Selling Expenses",I466="INDIRECT EXPENSES","Selling Expenses"),P466="Parts",_xlfn.IFS(I466="SALES","GP",I466="SERVICE SALES","GP",I466="PARTS SALES","GP",I466="SERVICE COS","GP",I466="PARTS COS","GP",I466="SELLING EXPENSES","Selling Expenses",I466="EMPLOYMENT EXPENSES","Selling Expenses",I466="EMPLOYMENT EXPENSES","Selling Expenses",I466="DIRECT EXPENSES","Selling Expenses",I466="INDIRECT EXPENSES","Selling Expenses"))</f>
        <v>#N/A</v>
      </c>
    </row>
    <row r="467" spans="1:18" x14ac:dyDescent="0.2">
      <c r="A467" s="75" t="s">
        <v>83</v>
      </c>
      <c r="B467" s="76" t="s">
        <v>84</v>
      </c>
      <c r="C467" s="76">
        <v>220</v>
      </c>
      <c r="D467" s="76" t="s">
        <v>437</v>
      </c>
      <c r="E467" s="76" t="s">
        <v>247</v>
      </c>
      <c r="F467" s="77">
        <v>13</v>
      </c>
      <c r="G467" s="77">
        <v>3</v>
      </c>
      <c r="H467" s="77">
        <v>16</v>
      </c>
      <c r="I467" s="76" t="s">
        <v>685</v>
      </c>
      <c r="J467" s="77">
        <v>1.67</v>
      </c>
      <c r="K467" s="78">
        <v>22.01</v>
      </c>
      <c r="M467" s="79" t="str">
        <f t="shared" si="23"/>
        <v>220-6205#</v>
      </c>
      <c r="N467" s="79" t="str">
        <f t="shared" si="21"/>
        <v>#</v>
      </c>
      <c r="O467" s="79" t="str">
        <f t="shared" si="22"/>
        <v>220#</v>
      </c>
      <c r="P467" s="79" t="str">
        <f>IFERROR(VLOOKUP($M467,Export!$P:$R,2,FALSE),"-")</f>
        <v>-</v>
      </c>
      <c r="Q467" s="79" t="str">
        <f>IFERROR(VLOOKUP($M467,Export!$P:$R,3,FALSE),"-")</f>
        <v>-</v>
      </c>
      <c r="R467" s="80" t="e" cm="1">
        <f t="array" ref="R467">_xlfn.IFS(P467="Service", _xlfn.IFS(I467="SALES","GP",I467="SERVICE SALES","GP",I467="PARTS SALES","GP",I467="SERVICE COS","GP",I467="PARTS COS","GP",I467="SELLING EXPENSES","Selling Expenses",I467="EMPLOYMENT EXPENSES","Selling Expenses",I467="EMPLOYMENT EXPENSES","Selling Expenses",I467="DIRECT EXPENSES","Selling Expenses",I467="INDIRECT EXPENSES","Selling Expenses"),P467="Parts",_xlfn.IFS(I467="SALES","GP",I467="SERVICE SALES","GP",I467="PARTS SALES","GP",I467="SERVICE COS","GP",I467="PARTS COS","GP",I467="SELLING EXPENSES","Selling Expenses",I467="EMPLOYMENT EXPENSES","Selling Expenses",I467="EMPLOYMENT EXPENSES","Selling Expenses",I467="DIRECT EXPENSES","Selling Expenses",I467="INDIRECT EXPENSES","Selling Expenses"))</f>
        <v>#N/A</v>
      </c>
    </row>
    <row r="468" spans="1:18" x14ac:dyDescent="0.2">
      <c r="A468" s="75" t="s">
        <v>690</v>
      </c>
      <c r="B468" s="76" t="s">
        <v>691</v>
      </c>
      <c r="C468" s="76">
        <v>120</v>
      </c>
      <c r="D468" s="76" t="s">
        <v>431</v>
      </c>
      <c r="E468" s="76" t="s">
        <v>247</v>
      </c>
      <c r="F468" s="77">
        <v>1</v>
      </c>
      <c r="G468" s="77">
        <v>0</v>
      </c>
      <c r="H468" s="77">
        <v>1</v>
      </c>
      <c r="I468" s="76" t="s">
        <v>685</v>
      </c>
      <c r="J468" s="77">
        <v>0</v>
      </c>
      <c r="K468" s="78">
        <v>0</v>
      </c>
      <c r="M468" s="79" t="str">
        <f t="shared" si="23"/>
        <v>120-6206#</v>
      </c>
      <c r="N468" s="79" t="str">
        <f t="shared" si="21"/>
        <v>#</v>
      </c>
      <c r="O468" s="79" t="str">
        <f t="shared" si="22"/>
        <v>120#</v>
      </c>
      <c r="P468" s="79" t="str">
        <f>IFERROR(VLOOKUP($M468,Export!$P:$R,2,FALSE),"-")</f>
        <v>-</v>
      </c>
      <c r="Q468" s="79" t="str">
        <f>IFERROR(VLOOKUP($M468,Export!$P:$R,3,FALSE),"-")</f>
        <v>-</v>
      </c>
      <c r="R468" s="80" t="e" cm="1">
        <f t="array" ref="R468">_xlfn.IFS(P468="Service", _xlfn.IFS(I468="SALES","GP",I468="SERVICE SALES","GP",I468="PARTS SALES","GP",I468="SERVICE COS","GP",I468="PARTS COS","GP",I468="SELLING EXPENSES","Selling Expenses",I468="EMPLOYMENT EXPENSES","Selling Expenses",I468="EMPLOYMENT EXPENSES","Selling Expenses",I468="DIRECT EXPENSES","Selling Expenses",I468="INDIRECT EXPENSES","Selling Expenses"),P468="Parts",_xlfn.IFS(I468="SALES","GP",I468="SERVICE SALES","GP",I468="PARTS SALES","GP",I468="SERVICE COS","GP",I468="PARTS COS","GP",I468="SELLING EXPENSES","Selling Expenses",I468="EMPLOYMENT EXPENSES","Selling Expenses",I468="EMPLOYMENT EXPENSES","Selling Expenses",I468="DIRECT EXPENSES","Selling Expenses",I468="INDIRECT EXPENSES","Selling Expenses"))</f>
        <v>#N/A</v>
      </c>
    </row>
    <row r="469" spans="1:18" x14ac:dyDescent="0.2">
      <c r="A469" s="75" t="s">
        <v>690</v>
      </c>
      <c r="B469" s="76" t="s">
        <v>691</v>
      </c>
      <c r="C469" s="76">
        <v>121</v>
      </c>
      <c r="D469" s="76" t="s">
        <v>449</v>
      </c>
      <c r="E469" s="76" t="s">
        <v>247</v>
      </c>
      <c r="F469" s="77">
        <v>247</v>
      </c>
      <c r="G469" s="77">
        <v>20</v>
      </c>
      <c r="H469" s="77">
        <v>267</v>
      </c>
      <c r="I469" s="76" t="s">
        <v>685</v>
      </c>
      <c r="J469" s="77">
        <v>20</v>
      </c>
      <c r="K469" s="78">
        <v>231.84</v>
      </c>
      <c r="M469" s="79" t="str">
        <f t="shared" si="23"/>
        <v>121-6206#</v>
      </c>
      <c r="N469" s="79" t="str">
        <f t="shared" si="21"/>
        <v>#</v>
      </c>
      <c r="O469" s="79" t="str">
        <f t="shared" si="22"/>
        <v>121#</v>
      </c>
      <c r="P469" s="79" t="str">
        <f>IFERROR(VLOOKUP($M469,Export!$P:$R,2,FALSE),"-")</f>
        <v>-</v>
      </c>
      <c r="Q469" s="79" t="str">
        <f>IFERROR(VLOOKUP($M469,Export!$P:$R,3,FALSE),"-")</f>
        <v>-</v>
      </c>
      <c r="R469" s="80" t="e" cm="1">
        <f t="array" ref="R469">_xlfn.IFS(P469="Service", _xlfn.IFS(I469="SALES","GP",I469="SERVICE SALES","GP",I469="PARTS SALES","GP",I469="SERVICE COS","GP",I469="PARTS COS","GP",I469="SELLING EXPENSES","Selling Expenses",I469="EMPLOYMENT EXPENSES","Selling Expenses",I469="EMPLOYMENT EXPENSES","Selling Expenses",I469="DIRECT EXPENSES","Selling Expenses",I469="INDIRECT EXPENSES","Selling Expenses"),P469="Parts",_xlfn.IFS(I469="SALES","GP",I469="SERVICE SALES","GP",I469="PARTS SALES","GP",I469="SERVICE COS","GP",I469="PARTS COS","GP",I469="SELLING EXPENSES","Selling Expenses",I469="EMPLOYMENT EXPENSES","Selling Expenses",I469="EMPLOYMENT EXPENSES","Selling Expenses",I469="DIRECT EXPENSES","Selling Expenses",I469="INDIRECT EXPENSES","Selling Expenses"))</f>
        <v>#N/A</v>
      </c>
    </row>
    <row r="470" spans="1:18" x14ac:dyDescent="0.2">
      <c r="A470" s="75" t="s">
        <v>690</v>
      </c>
      <c r="B470" s="76" t="s">
        <v>691</v>
      </c>
      <c r="C470" s="76">
        <v>220</v>
      </c>
      <c r="D470" s="76" t="s">
        <v>437</v>
      </c>
      <c r="E470" s="76" t="s">
        <v>247</v>
      </c>
      <c r="F470" s="77">
        <v>135</v>
      </c>
      <c r="G470" s="77">
        <v>12</v>
      </c>
      <c r="H470" s="77">
        <v>147</v>
      </c>
      <c r="I470" s="76" t="s">
        <v>685</v>
      </c>
      <c r="J470" s="77">
        <v>7</v>
      </c>
      <c r="K470" s="78">
        <v>77</v>
      </c>
      <c r="M470" s="79" t="str">
        <f t="shared" si="23"/>
        <v>220-6206#</v>
      </c>
      <c r="N470" s="79" t="str">
        <f t="shared" si="21"/>
        <v>#</v>
      </c>
      <c r="O470" s="79" t="str">
        <f t="shared" si="22"/>
        <v>220#</v>
      </c>
      <c r="P470" s="79" t="str">
        <f>IFERROR(VLOOKUP($M470,Export!$P:$R,2,FALSE),"-")</f>
        <v>-</v>
      </c>
      <c r="Q470" s="79" t="str">
        <f>IFERROR(VLOOKUP($M470,Export!$P:$R,3,FALSE),"-")</f>
        <v>-</v>
      </c>
      <c r="R470" s="80" t="e" cm="1">
        <f t="array" ref="R470">_xlfn.IFS(P470="Service", _xlfn.IFS(I470="SALES","GP",I470="SERVICE SALES","GP",I470="PARTS SALES","GP",I470="SERVICE COS","GP",I470="PARTS COS","GP",I470="SELLING EXPENSES","Selling Expenses",I470="EMPLOYMENT EXPENSES","Selling Expenses",I470="EMPLOYMENT EXPENSES","Selling Expenses",I470="DIRECT EXPENSES","Selling Expenses",I470="INDIRECT EXPENSES","Selling Expenses"),P470="Parts",_xlfn.IFS(I470="SALES","GP",I470="SERVICE SALES","GP",I470="PARTS SALES","GP",I470="SERVICE COS","GP",I470="PARTS COS","GP",I470="SELLING EXPENSES","Selling Expenses",I470="EMPLOYMENT EXPENSES","Selling Expenses",I470="EMPLOYMENT EXPENSES","Selling Expenses",I470="DIRECT EXPENSES","Selling Expenses",I470="INDIRECT EXPENSES","Selling Expenses"))</f>
        <v>#N/A</v>
      </c>
    </row>
    <row r="471" spans="1:18" x14ac:dyDescent="0.2">
      <c r="A471" s="75" t="s">
        <v>85</v>
      </c>
      <c r="B471" s="76" t="s">
        <v>86</v>
      </c>
      <c r="C471" s="76">
        <v>120</v>
      </c>
      <c r="D471" s="76" t="s">
        <v>431</v>
      </c>
      <c r="E471" s="76" t="s">
        <v>247</v>
      </c>
      <c r="F471" s="77">
        <v>373</v>
      </c>
      <c r="G471" s="77">
        <v>41</v>
      </c>
      <c r="H471" s="77">
        <v>414</v>
      </c>
      <c r="I471" s="76" t="s">
        <v>685</v>
      </c>
      <c r="J471" s="77">
        <v>30</v>
      </c>
      <c r="K471" s="78">
        <v>287</v>
      </c>
      <c r="M471" s="79" t="str">
        <f t="shared" si="23"/>
        <v>120-6209#</v>
      </c>
      <c r="N471" s="79" t="str">
        <f t="shared" si="21"/>
        <v>#</v>
      </c>
      <c r="O471" s="79" t="str">
        <f t="shared" si="22"/>
        <v>120#</v>
      </c>
      <c r="P471" s="79" t="str">
        <f>IFERROR(VLOOKUP($M471,Export!$P:$R,2,FALSE),"-")</f>
        <v>-</v>
      </c>
      <c r="Q471" s="79" t="str">
        <f>IFERROR(VLOOKUP($M471,Export!$P:$R,3,FALSE),"-")</f>
        <v>-</v>
      </c>
      <c r="R471" s="80" t="e" cm="1">
        <f t="array" ref="R471">_xlfn.IFS(P471="Service", _xlfn.IFS(I471="SALES","GP",I471="SERVICE SALES","GP",I471="PARTS SALES","GP",I471="SERVICE COS","GP",I471="PARTS COS","GP",I471="SELLING EXPENSES","Selling Expenses",I471="EMPLOYMENT EXPENSES","Selling Expenses",I471="EMPLOYMENT EXPENSES","Selling Expenses",I471="DIRECT EXPENSES","Selling Expenses",I471="INDIRECT EXPENSES","Selling Expenses"),P471="Parts",_xlfn.IFS(I471="SALES","GP",I471="SERVICE SALES","GP",I471="PARTS SALES","GP",I471="SERVICE COS","GP",I471="PARTS COS","GP",I471="SELLING EXPENSES","Selling Expenses",I471="EMPLOYMENT EXPENSES","Selling Expenses",I471="EMPLOYMENT EXPENSES","Selling Expenses",I471="DIRECT EXPENSES","Selling Expenses",I471="INDIRECT EXPENSES","Selling Expenses"))</f>
        <v>#N/A</v>
      </c>
    </row>
    <row r="472" spans="1:18" x14ac:dyDescent="0.2">
      <c r="A472" s="75" t="s">
        <v>85</v>
      </c>
      <c r="B472" s="76" t="s">
        <v>86</v>
      </c>
      <c r="C472" s="76">
        <v>121</v>
      </c>
      <c r="D472" s="76" t="s">
        <v>449</v>
      </c>
      <c r="E472" s="76" t="s">
        <v>247</v>
      </c>
      <c r="F472" s="77">
        <v>1</v>
      </c>
      <c r="G472" s="77">
        <v>0</v>
      </c>
      <c r="H472" s="77">
        <v>1</v>
      </c>
      <c r="I472" s="76" t="s">
        <v>685</v>
      </c>
      <c r="J472" s="77">
        <v>0</v>
      </c>
      <c r="K472" s="78">
        <v>0</v>
      </c>
      <c r="M472" s="79" t="str">
        <f t="shared" si="23"/>
        <v>121-6209#</v>
      </c>
      <c r="N472" s="79" t="str">
        <f t="shared" si="21"/>
        <v>#</v>
      </c>
      <c r="O472" s="79" t="str">
        <f t="shared" si="22"/>
        <v>121#</v>
      </c>
      <c r="P472" s="79" t="str">
        <f>IFERROR(VLOOKUP($M472,Export!$P:$R,2,FALSE),"-")</f>
        <v>-</v>
      </c>
      <c r="Q472" s="79" t="str">
        <f>IFERROR(VLOOKUP($M472,Export!$P:$R,3,FALSE),"-")</f>
        <v>-</v>
      </c>
      <c r="R472" s="80" t="e" cm="1">
        <f t="array" ref="R472">_xlfn.IFS(P472="Service", _xlfn.IFS(I472="SALES","GP",I472="SERVICE SALES","GP",I472="PARTS SALES","GP",I472="SERVICE COS","GP",I472="PARTS COS","GP",I472="SELLING EXPENSES","Selling Expenses",I472="EMPLOYMENT EXPENSES","Selling Expenses",I472="EMPLOYMENT EXPENSES","Selling Expenses",I472="DIRECT EXPENSES","Selling Expenses",I472="INDIRECT EXPENSES","Selling Expenses"),P472="Parts",_xlfn.IFS(I472="SALES","GP",I472="SERVICE SALES","GP",I472="PARTS SALES","GP",I472="SERVICE COS","GP",I472="PARTS COS","GP",I472="SELLING EXPENSES","Selling Expenses",I472="EMPLOYMENT EXPENSES","Selling Expenses",I472="EMPLOYMENT EXPENSES","Selling Expenses",I472="DIRECT EXPENSES","Selling Expenses",I472="INDIRECT EXPENSES","Selling Expenses"))</f>
        <v>#N/A</v>
      </c>
    </row>
    <row r="473" spans="1:18" x14ac:dyDescent="0.2">
      <c r="A473" s="75" t="s">
        <v>85</v>
      </c>
      <c r="B473" s="76" t="s">
        <v>86</v>
      </c>
      <c r="C473" s="76">
        <v>122</v>
      </c>
      <c r="D473" s="76" t="s">
        <v>452</v>
      </c>
      <c r="E473" s="76" t="s">
        <v>247</v>
      </c>
      <c r="F473" s="77">
        <v>98</v>
      </c>
      <c r="G473" s="77">
        <v>7</v>
      </c>
      <c r="H473" s="77">
        <v>105</v>
      </c>
      <c r="I473" s="76" t="s">
        <v>685</v>
      </c>
      <c r="J473" s="77">
        <v>10</v>
      </c>
      <c r="K473" s="78">
        <v>77.849999999999994</v>
      </c>
      <c r="M473" s="79" t="str">
        <f t="shared" si="23"/>
        <v>122-6209#</v>
      </c>
      <c r="N473" s="79" t="str">
        <f t="shared" si="21"/>
        <v>#</v>
      </c>
      <c r="O473" s="79" t="str">
        <f t="shared" si="22"/>
        <v>122#</v>
      </c>
      <c r="P473" s="79" t="str">
        <f>IFERROR(VLOOKUP($M473,Export!$P:$R,2,FALSE),"-")</f>
        <v>-</v>
      </c>
      <c r="Q473" s="79" t="str">
        <f>IFERROR(VLOOKUP($M473,Export!$P:$R,3,FALSE),"-")</f>
        <v>-</v>
      </c>
      <c r="R473" s="80" t="e" cm="1">
        <f t="array" ref="R473">_xlfn.IFS(P473="Service", _xlfn.IFS(I473="SALES","GP",I473="SERVICE SALES","GP",I473="PARTS SALES","GP",I473="SERVICE COS","GP",I473="PARTS COS","GP",I473="SELLING EXPENSES","Selling Expenses",I473="EMPLOYMENT EXPENSES","Selling Expenses",I473="EMPLOYMENT EXPENSES","Selling Expenses",I473="DIRECT EXPENSES","Selling Expenses",I473="INDIRECT EXPENSES","Selling Expenses"),P473="Parts",_xlfn.IFS(I473="SALES","GP",I473="SERVICE SALES","GP",I473="PARTS SALES","GP",I473="SERVICE COS","GP",I473="PARTS COS","GP",I473="SELLING EXPENSES","Selling Expenses",I473="EMPLOYMENT EXPENSES","Selling Expenses",I473="EMPLOYMENT EXPENSES","Selling Expenses",I473="DIRECT EXPENSES","Selling Expenses",I473="INDIRECT EXPENSES","Selling Expenses"))</f>
        <v>#N/A</v>
      </c>
    </row>
    <row r="474" spans="1:18" x14ac:dyDescent="0.2">
      <c r="A474" s="75" t="s">
        <v>85</v>
      </c>
      <c r="B474" s="76" t="s">
        <v>86</v>
      </c>
      <c r="C474" s="76">
        <v>220</v>
      </c>
      <c r="D474" s="76" t="s">
        <v>437</v>
      </c>
      <c r="E474" s="76" t="s">
        <v>247</v>
      </c>
      <c r="F474" s="77">
        <v>151</v>
      </c>
      <c r="G474" s="77">
        <v>19</v>
      </c>
      <c r="H474" s="77">
        <v>170</v>
      </c>
      <c r="I474" s="76" t="s">
        <v>685</v>
      </c>
      <c r="J474" s="77">
        <v>7</v>
      </c>
      <c r="K474" s="78">
        <v>68</v>
      </c>
      <c r="M474" s="79" t="str">
        <f t="shared" si="23"/>
        <v>220-6209#</v>
      </c>
      <c r="N474" s="79" t="str">
        <f t="shared" si="21"/>
        <v>#</v>
      </c>
      <c r="O474" s="79" t="str">
        <f t="shared" si="22"/>
        <v>220#</v>
      </c>
      <c r="P474" s="79" t="str">
        <f>IFERROR(VLOOKUP($M474,Export!$P:$R,2,FALSE),"-")</f>
        <v>-</v>
      </c>
      <c r="Q474" s="79" t="str">
        <f>IFERROR(VLOOKUP($M474,Export!$P:$R,3,FALSE),"-")</f>
        <v>-</v>
      </c>
      <c r="R474" s="80" t="e" cm="1">
        <f t="array" ref="R474">_xlfn.IFS(P474="Service", _xlfn.IFS(I474="SALES","GP",I474="SERVICE SALES","GP",I474="PARTS SALES","GP",I474="SERVICE COS","GP",I474="PARTS COS","GP",I474="SELLING EXPENSES","Selling Expenses",I474="EMPLOYMENT EXPENSES","Selling Expenses",I474="EMPLOYMENT EXPENSES","Selling Expenses",I474="DIRECT EXPENSES","Selling Expenses",I474="INDIRECT EXPENSES","Selling Expenses"),P474="Parts",_xlfn.IFS(I474="SALES","GP",I474="SERVICE SALES","GP",I474="PARTS SALES","GP",I474="SERVICE COS","GP",I474="PARTS COS","GP",I474="SELLING EXPENSES","Selling Expenses",I474="EMPLOYMENT EXPENSES","Selling Expenses",I474="EMPLOYMENT EXPENSES","Selling Expenses",I474="DIRECT EXPENSES","Selling Expenses",I474="INDIRECT EXPENSES","Selling Expenses"))</f>
        <v>#N/A</v>
      </c>
    </row>
    <row r="475" spans="1:18" x14ac:dyDescent="0.2">
      <c r="A475" s="75" t="s">
        <v>692</v>
      </c>
      <c r="B475" s="76" t="s">
        <v>693</v>
      </c>
      <c r="C475" s="76">
        <v>120</v>
      </c>
      <c r="D475" s="76" t="s">
        <v>431</v>
      </c>
      <c r="E475" s="76" t="s">
        <v>247</v>
      </c>
      <c r="F475" s="77">
        <v>12</v>
      </c>
      <c r="G475" s="77">
        <v>1</v>
      </c>
      <c r="H475" s="77">
        <v>13</v>
      </c>
      <c r="I475" s="76" t="s">
        <v>685</v>
      </c>
      <c r="J475" s="77">
        <v>0.83</v>
      </c>
      <c r="K475" s="78">
        <v>10.98</v>
      </c>
      <c r="M475" s="79" t="str">
        <f t="shared" si="23"/>
        <v>120-6211#</v>
      </c>
      <c r="N475" s="79" t="str">
        <f t="shared" si="21"/>
        <v>#</v>
      </c>
      <c r="O475" s="79" t="str">
        <f t="shared" si="22"/>
        <v>120#</v>
      </c>
      <c r="P475" s="79" t="str">
        <f>IFERROR(VLOOKUP($M475,Export!$P:$R,2,FALSE),"-")</f>
        <v>-</v>
      </c>
      <c r="Q475" s="79" t="str">
        <f>IFERROR(VLOOKUP($M475,Export!$P:$R,3,FALSE),"-")</f>
        <v>-</v>
      </c>
      <c r="R475" s="80" t="e" cm="1">
        <f t="array" ref="R475">_xlfn.IFS(P475="Service", _xlfn.IFS(I475="SALES","GP",I475="SERVICE SALES","GP",I475="PARTS SALES","GP",I475="SERVICE COS","GP",I475="PARTS COS","GP",I475="SELLING EXPENSES","Selling Expenses",I475="EMPLOYMENT EXPENSES","Selling Expenses",I475="EMPLOYMENT EXPENSES","Selling Expenses",I475="DIRECT EXPENSES","Selling Expenses",I475="INDIRECT EXPENSES","Selling Expenses"),P475="Parts",_xlfn.IFS(I475="SALES","GP",I475="SERVICE SALES","GP",I475="PARTS SALES","GP",I475="SERVICE COS","GP",I475="PARTS COS","GP",I475="SELLING EXPENSES","Selling Expenses",I475="EMPLOYMENT EXPENSES","Selling Expenses",I475="EMPLOYMENT EXPENSES","Selling Expenses",I475="DIRECT EXPENSES","Selling Expenses",I475="INDIRECT EXPENSES","Selling Expenses"))</f>
        <v>#N/A</v>
      </c>
    </row>
    <row r="476" spans="1:18" x14ac:dyDescent="0.2">
      <c r="A476" s="75" t="s">
        <v>692</v>
      </c>
      <c r="B476" s="76" t="s">
        <v>693</v>
      </c>
      <c r="C476" s="76">
        <v>122</v>
      </c>
      <c r="D476" s="76" t="s">
        <v>452</v>
      </c>
      <c r="E476" s="76" t="s">
        <v>247</v>
      </c>
      <c r="F476" s="77">
        <v>0</v>
      </c>
      <c r="G476" s="77">
        <v>0</v>
      </c>
      <c r="H476" s="77">
        <v>0</v>
      </c>
      <c r="I476" s="76" t="s">
        <v>685</v>
      </c>
      <c r="J476" s="77">
        <v>0</v>
      </c>
      <c r="K476" s="78">
        <v>4</v>
      </c>
      <c r="M476" s="79" t="str">
        <f t="shared" si="23"/>
        <v>122-6211#</v>
      </c>
      <c r="N476" s="79" t="str">
        <f t="shared" si="21"/>
        <v>#</v>
      </c>
      <c r="O476" s="79" t="str">
        <f t="shared" si="22"/>
        <v>122#</v>
      </c>
      <c r="P476" s="79" t="str">
        <f>IFERROR(VLOOKUP($M476,Export!$P:$R,2,FALSE),"-")</f>
        <v>-</v>
      </c>
      <c r="Q476" s="79" t="str">
        <f>IFERROR(VLOOKUP($M476,Export!$P:$R,3,FALSE),"-")</f>
        <v>-</v>
      </c>
      <c r="R476" s="80" t="e" cm="1">
        <f t="array" ref="R476">_xlfn.IFS(P476="Service", _xlfn.IFS(I476="SALES","GP",I476="SERVICE SALES","GP",I476="PARTS SALES","GP",I476="SERVICE COS","GP",I476="PARTS COS","GP",I476="SELLING EXPENSES","Selling Expenses",I476="EMPLOYMENT EXPENSES","Selling Expenses",I476="EMPLOYMENT EXPENSES","Selling Expenses",I476="DIRECT EXPENSES","Selling Expenses",I476="INDIRECT EXPENSES","Selling Expenses"),P476="Parts",_xlfn.IFS(I476="SALES","GP",I476="SERVICE SALES","GP",I476="PARTS SALES","GP",I476="SERVICE COS","GP",I476="PARTS COS","GP",I476="SELLING EXPENSES","Selling Expenses",I476="EMPLOYMENT EXPENSES","Selling Expenses",I476="EMPLOYMENT EXPENSES","Selling Expenses",I476="DIRECT EXPENSES","Selling Expenses",I476="INDIRECT EXPENSES","Selling Expenses"))</f>
        <v>#N/A</v>
      </c>
    </row>
    <row r="477" spans="1:18" x14ac:dyDescent="0.2">
      <c r="A477" s="75" t="s">
        <v>692</v>
      </c>
      <c r="B477" s="76" t="s">
        <v>693</v>
      </c>
      <c r="C477" s="76">
        <v>220</v>
      </c>
      <c r="D477" s="76" t="s">
        <v>437</v>
      </c>
      <c r="E477" s="76" t="s">
        <v>247</v>
      </c>
      <c r="F477" s="77">
        <v>7</v>
      </c>
      <c r="G477" s="77">
        <v>1</v>
      </c>
      <c r="H477" s="77">
        <v>8</v>
      </c>
      <c r="I477" s="76" t="s">
        <v>685</v>
      </c>
      <c r="J477" s="77">
        <v>1.08</v>
      </c>
      <c r="K477" s="78">
        <v>10.48</v>
      </c>
      <c r="M477" s="79" t="str">
        <f t="shared" si="23"/>
        <v>220-6211#</v>
      </c>
      <c r="N477" s="79" t="str">
        <f t="shared" si="21"/>
        <v>#</v>
      </c>
      <c r="O477" s="79" t="str">
        <f t="shared" si="22"/>
        <v>220#</v>
      </c>
      <c r="P477" s="79" t="str">
        <f>IFERROR(VLOOKUP($M477,Export!$P:$R,2,FALSE),"-")</f>
        <v>-</v>
      </c>
      <c r="Q477" s="79" t="str">
        <f>IFERROR(VLOOKUP($M477,Export!$P:$R,3,FALSE),"-")</f>
        <v>-</v>
      </c>
      <c r="R477" s="80" t="e" cm="1">
        <f t="array" ref="R477">_xlfn.IFS(P477="Service", _xlfn.IFS(I477="SALES","GP",I477="SERVICE SALES","GP",I477="PARTS SALES","GP",I477="SERVICE COS","GP",I477="PARTS COS","GP",I477="SELLING EXPENSES","Selling Expenses",I477="EMPLOYMENT EXPENSES","Selling Expenses",I477="EMPLOYMENT EXPENSES","Selling Expenses",I477="DIRECT EXPENSES","Selling Expenses",I477="INDIRECT EXPENSES","Selling Expenses"),P477="Parts",_xlfn.IFS(I477="SALES","GP",I477="SERVICE SALES","GP",I477="PARTS SALES","GP",I477="SERVICE COS","GP",I477="PARTS COS","GP",I477="SELLING EXPENSES","Selling Expenses",I477="EMPLOYMENT EXPENSES","Selling Expenses",I477="EMPLOYMENT EXPENSES","Selling Expenses",I477="DIRECT EXPENSES","Selling Expenses",I477="INDIRECT EXPENSES","Selling Expenses"))</f>
        <v>#N/A</v>
      </c>
    </row>
    <row r="478" spans="1:18" x14ac:dyDescent="0.2">
      <c r="A478" s="75" t="s">
        <v>694</v>
      </c>
      <c r="B478" s="76" t="s">
        <v>695</v>
      </c>
      <c r="C478" s="76">
        <v>120</v>
      </c>
      <c r="D478" s="76" t="s">
        <v>431</v>
      </c>
      <c r="E478" s="76" t="s">
        <v>247</v>
      </c>
      <c r="F478" s="77">
        <v>147</v>
      </c>
      <c r="G478" s="77">
        <v>14</v>
      </c>
      <c r="H478" s="77">
        <v>161</v>
      </c>
      <c r="I478" s="76" t="s">
        <v>685</v>
      </c>
      <c r="J478" s="77">
        <v>13</v>
      </c>
      <c r="K478" s="78">
        <v>137</v>
      </c>
      <c r="M478" s="79" t="str">
        <f t="shared" si="23"/>
        <v>120-6230#</v>
      </c>
      <c r="N478" s="79" t="str">
        <f t="shared" si="21"/>
        <v>#</v>
      </c>
      <c r="O478" s="79" t="str">
        <f t="shared" si="22"/>
        <v>120#</v>
      </c>
      <c r="P478" s="79" t="str">
        <f>IFERROR(VLOOKUP($M478,Export!$P:$R,2,FALSE),"-")</f>
        <v>-</v>
      </c>
      <c r="Q478" s="79" t="str">
        <f>IFERROR(VLOOKUP($M478,Export!$P:$R,3,FALSE),"-")</f>
        <v>-</v>
      </c>
      <c r="R478" s="80" t="e" cm="1">
        <f t="array" ref="R478">_xlfn.IFS(P478="Service", _xlfn.IFS(I478="SALES","GP",I478="SERVICE SALES","GP",I478="PARTS SALES","GP",I478="SERVICE COS","GP",I478="PARTS COS","GP",I478="SELLING EXPENSES","Selling Expenses",I478="EMPLOYMENT EXPENSES","Selling Expenses",I478="EMPLOYMENT EXPENSES","Selling Expenses",I478="DIRECT EXPENSES","Selling Expenses",I478="INDIRECT EXPENSES","Selling Expenses"),P478="Parts",_xlfn.IFS(I478="SALES","GP",I478="SERVICE SALES","GP",I478="PARTS SALES","GP",I478="SERVICE COS","GP",I478="PARTS COS","GP",I478="SELLING EXPENSES","Selling Expenses",I478="EMPLOYMENT EXPENSES","Selling Expenses",I478="EMPLOYMENT EXPENSES","Selling Expenses",I478="DIRECT EXPENSES","Selling Expenses",I478="INDIRECT EXPENSES","Selling Expenses"))</f>
        <v>#N/A</v>
      </c>
    </row>
    <row r="479" spans="1:18" x14ac:dyDescent="0.2">
      <c r="A479" s="75" t="s">
        <v>694</v>
      </c>
      <c r="B479" s="76" t="s">
        <v>695</v>
      </c>
      <c r="C479" s="76">
        <v>121</v>
      </c>
      <c r="D479" s="76" t="s">
        <v>449</v>
      </c>
      <c r="E479" s="76" t="s">
        <v>247</v>
      </c>
      <c r="F479" s="77">
        <v>1</v>
      </c>
      <c r="G479" s="77">
        <v>0</v>
      </c>
      <c r="H479" s="77">
        <v>1</v>
      </c>
      <c r="I479" s="76" t="s">
        <v>685</v>
      </c>
      <c r="J479" s="77">
        <v>0</v>
      </c>
      <c r="K479" s="78">
        <v>0</v>
      </c>
      <c r="M479" s="79" t="str">
        <f t="shared" si="23"/>
        <v>121-6230#</v>
      </c>
      <c r="N479" s="79" t="str">
        <f t="shared" si="21"/>
        <v>#</v>
      </c>
      <c r="O479" s="79" t="str">
        <f t="shared" si="22"/>
        <v>121#</v>
      </c>
      <c r="P479" s="79" t="str">
        <f>IFERROR(VLOOKUP($M479,Export!$P:$R,2,FALSE),"-")</f>
        <v>-</v>
      </c>
      <c r="Q479" s="79" t="str">
        <f>IFERROR(VLOOKUP($M479,Export!$P:$R,3,FALSE),"-")</f>
        <v>-</v>
      </c>
      <c r="R479" s="80" t="e" cm="1">
        <f t="array" ref="R479">_xlfn.IFS(P479="Service", _xlfn.IFS(I479="SALES","GP",I479="SERVICE SALES","GP",I479="PARTS SALES","GP",I479="SERVICE COS","GP",I479="PARTS COS","GP",I479="SELLING EXPENSES","Selling Expenses",I479="EMPLOYMENT EXPENSES","Selling Expenses",I479="EMPLOYMENT EXPENSES","Selling Expenses",I479="DIRECT EXPENSES","Selling Expenses",I479="INDIRECT EXPENSES","Selling Expenses"),P479="Parts",_xlfn.IFS(I479="SALES","GP",I479="SERVICE SALES","GP",I479="PARTS SALES","GP",I479="SERVICE COS","GP",I479="PARTS COS","GP",I479="SELLING EXPENSES","Selling Expenses",I479="EMPLOYMENT EXPENSES","Selling Expenses",I479="EMPLOYMENT EXPENSES","Selling Expenses",I479="DIRECT EXPENSES","Selling Expenses",I479="INDIRECT EXPENSES","Selling Expenses"))</f>
        <v>#N/A</v>
      </c>
    </row>
    <row r="480" spans="1:18" x14ac:dyDescent="0.2">
      <c r="A480" s="75" t="s">
        <v>694</v>
      </c>
      <c r="B480" s="76" t="s">
        <v>695</v>
      </c>
      <c r="C480" s="76">
        <v>122</v>
      </c>
      <c r="D480" s="76" t="s">
        <v>452</v>
      </c>
      <c r="E480" s="76" t="s">
        <v>247</v>
      </c>
      <c r="F480" s="77">
        <v>4</v>
      </c>
      <c r="G480" s="77">
        <v>0</v>
      </c>
      <c r="H480" s="77">
        <v>4</v>
      </c>
      <c r="I480" s="76" t="s">
        <v>685</v>
      </c>
      <c r="J480" s="77">
        <v>0</v>
      </c>
      <c r="K480" s="78">
        <v>0</v>
      </c>
      <c r="M480" s="79" t="str">
        <f t="shared" si="23"/>
        <v>122-6230#</v>
      </c>
      <c r="N480" s="79" t="str">
        <f t="shared" si="21"/>
        <v>#</v>
      </c>
      <c r="O480" s="79" t="str">
        <f t="shared" si="22"/>
        <v>122#</v>
      </c>
      <c r="P480" s="79" t="str">
        <f>IFERROR(VLOOKUP($M480,Export!$P:$R,2,FALSE),"-")</f>
        <v>-</v>
      </c>
      <c r="Q480" s="79" t="str">
        <f>IFERROR(VLOOKUP($M480,Export!$P:$R,3,FALSE),"-")</f>
        <v>-</v>
      </c>
      <c r="R480" s="80" t="e" cm="1">
        <f t="array" ref="R480">_xlfn.IFS(P480="Service", _xlfn.IFS(I480="SALES","GP",I480="SERVICE SALES","GP",I480="PARTS SALES","GP",I480="SERVICE COS","GP",I480="PARTS COS","GP",I480="SELLING EXPENSES","Selling Expenses",I480="EMPLOYMENT EXPENSES","Selling Expenses",I480="EMPLOYMENT EXPENSES","Selling Expenses",I480="DIRECT EXPENSES","Selling Expenses",I480="INDIRECT EXPENSES","Selling Expenses"),P480="Parts",_xlfn.IFS(I480="SALES","GP",I480="SERVICE SALES","GP",I480="PARTS SALES","GP",I480="SERVICE COS","GP",I480="PARTS COS","GP",I480="SELLING EXPENSES","Selling Expenses",I480="EMPLOYMENT EXPENSES","Selling Expenses",I480="EMPLOYMENT EXPENSES","Selling Expenses",I480="DIRECT EXPENSES","Selling Expenses",I480="INDIRECT EXPENSES","Selling Expenses"))</f>
        <v>#N/A</v>
      </c>
    </row>
    <row r="481" spans="1:18" x14ac:dyDescent="0.2">
      <c r="A481" s="75" t="s">
        <v>694</v>
      </c>
      <c r="B481" s="76" t="s">
        <v>695</v>
      </c>
      <c r="C481" s="76">
        <v>220</v>
      </c>
      <c r="D481" s="76" t="s">
        <v>437</v>
      </c>
      <c r="E481" s="76" t="s">
        <v>247</v>
      </c>
      <c r="F481" s="77">
        <v>69</v>
      </c>
      <c r="G481" s="77">
        <v>18</v>
      </c>
      <c r="H481" s="77">
        <v>87</v>
      </c>
      <c r="I481" s="76" t="s">
        <v>685</v>
      </c>
      <c r="J481" s="77">
        <v>5</v>
      </c>
      <c r="K481" s="78">
        <v>47</v>
      </c>
      <c r="M481" s="79" t="str">
        <f t="shared" si="23"/>
        <v>220-6230#</v>
      </c>
      <c r="N481" s="79" t="str">
        <f t="shared" si="21"/>
        <v>#</v>
      </c>
      <c r="O481" s="79" t="str">
        <f t="shared" si="22"/>
        <v>220#</v>
      </c>
      <c r="P481" s="79" t="str">
        <f>IFERROR(VLOOKUP($M481,Export!$P:$R,2,FALSE),"-")</f>
        <v>-</v>
      </c>
      <c r="Q481" s="79" t="str">
        <f>IFERROR(VLOOKUP($M481,Export!$P:$R,3,FALSE),"-")</f>
        <v>-</v>
      </c>
      <c r="R481" s="80" t="e" cm="1">
        <f t="array" ref="R481">_xlfn.IFS(P481="Service", _xlfn.IFS(I481="SALES","GP",I481="SERVICE SALES","GP",I481="PARTS SALES","GP",I481="SERVICE COS","GP",I481="PARTS COS","GP",I481="SELLING EXPENSES","Selling Expenses",I481="EMPLOYMENT EXPENSES","Selling Expenses",I481="EMPLOYMENT EXPENSES","Selling Expenses",I481="DIRECT EXPENSES","Selling Expenses",I481="INDIRECT EXPENSES","Selling Expenses"),P481="Parts",_xlfn.IFS(I481="SALES","GP",I481="SERVICE SALES","GP",I481="PARTS SALES","GP",I481="SERVICE COS","GP",I481="PARTS COS","GP",I481="SELLING EXPENSES","Selling Expenses",I481="EMPLOYMENT EXPENSES","Selling Expenses",I481="EMPLOYMENT EXPENSES","Selling Expenses",I481="DIRECT EXPENSES","Selling Expenses",I481="INDIRECT EXPENSES","Selling Expenses"))</f>
        <v>#N/A</v>
      </c>
    </row>
    <row r="482" spans="1:18" x14ac:dyDescent="0.2">
      <c r="A482" s="75" t="s">
        <v>696</v>
      </c>
      <c r="B482" s="76" t="s">
        <v>697</v>
      </c>
      <c r="C482" s="76">
        <v>120</v>
      </c>
      <c r="D482" s="76" t="s">
        <v>431</v>
      </c>
      <c r="E482" s="76" t="s">
        <v>247</v>
      </c>
      <c r="F482" s="77">
        <v>6</v>
      </c>
      <c r="G482" s="77">
        <v>0</v>
      </c>
      <c r="H482" s="77">
        <v>6</v>
      </c>
      <c r="I482" s="76" t="s">
        <v>685</v>
      </c>
      <c r="J482" s="77">
        <v>0</v>
      </c>
      <c r="K482" s="78">
        <v>0</v>
      </c>
      <c r="M482" s="79" t="str">
        <f t="shared" si="23"/>
        <v>120-6232#</v>
      </c>
      <c r="N482" s="79" t="str">
        <f t="shared" si="21"/>
        <v>#</v>
      </c>
      <c r="O482" s="79" t="str">
        <f t="shared" si="22"/>
        <v>120#</v>
      </c>
      <c r="P482" s="79" t="str">
        <f>IFERROR(VLOOKUP($M482,Export!$P:$R,2,FALSE),"-")</f>
        <v>-</v>
      </c>
      <c r="Q482" s="79" t="str">
        <f>IFERROR(VLOOKUP($M482,Export!$P:$R,3,FALSE),"-")</f>
        <v>-</v>
      </c>
      <c r="R482" s="80" t="e" cm="1">
        <f t="array" ref="R482">_xlfn.IFS(P482="Service", _xlfn.IFS(I482="SALES","GP",I482="SERVICE SALES","GP",I482="PARTS SALES","GP",I482="SERVICE COS","GP",I482="PARTS COS","GP",I482="SELLING EXPENSES","Selling Expenses",I482="EMPLOYMENT EXPENSES","Selling Expenses",I482="EMPLOYMENT EXPENSES","Selling Expenses",I482="DIRECT EXPENSES","Selling Expenses",I482="INDIRECT EXPENSES","Selling Expenses"),P482="Parts",_xlfn.IFS(I482="SALES","GP",I482="SERVICE SALES","GP",I482="PARTS SALES","GP",I482="SERVICE COS","GP",I482="PARTS COS","GP",I482="SELLING EXPENSES","Selling Expenses",I482="EMPLOYMENT EXPENSES","Selling Expenses",I482="EMPLOYMENT EXPENSES","Selling Expenses",I482="DIRECT EXPENSES","Selling Expenses",I482="INDIRECT EXPENSES","Selling Expenses"))</f>
        <v>#N/A</v>
      </c>
    </row>
    <row r="483" spans="1:18" x14ac:dyDescent="0.2">
      <c r="A483" s="75" t="s">
        <v>696</v>
      </c>
      <c r="B483" s="76" t="s">
        <v>697</v>
      </c>
      <c r="C483" s="76">
        <v>220</v>
      </c>
      <c r="D483" s="76" t="s">
        <v>437</v>
      </c>
      <c r="E483" s="76" t="s">
        <v>247</v>
      </c>
      <c r="F483" s="77">
        <v>2</v>
      </c>
      <c r="G483" s="77">
        <v>0</v>
      </c>
      <c r="H483" s="77">
        <v>2</v>
      </c>
      <c r="I483" s="76" t="s">
        <v>685</v>
      </c>
      <c r="J483" s="77">
        <v>0</v>
      </c>
      <c r="K483" s="78">
        <v>5</v>
      </c>
      <c r="M483" s="79" t="str">
        <f t="shared" si="23"/>
        <v>220-6232#</v>
      </c>
      <c r="N483" s="79" t="str">
        <f t="shared" si="21"/>
        <v>#</v>
      </c>
      <c r="O483" s="79" t="str">
        <f t="shared" si="22"/>
        <v>220#</v>
      </c>
      <c r="P483" s="79" t="str">
        <f>IFERROR(VLOOKUP($M483,Export!$P:$R,2,FALSE),"-")</f>
        <v>-</v>
      </c>
      <c r="Q483" s="79" t="str">
        <f>IFERROR(VLOOKUP($M483,Export!$P:$R,3,FALSE),"-")</f>
        <v>-</v>
      </c>
      <c r="R483" s="80" t="e" cm="1">
        <f t="array" ref="R483">_xlfn.IFS(P483="Service", _xlfn.IFS(I483="SALES","GP",I483="SERVICE SALES","GP",I483="PARTS SALES","GP",I483="SERVICE COS","GP",I483="PARTS COS","GP",I483="SELLING EXPENSES","Selling Expenses",I483="EMPLOYMENT EXPENSES","Selling Expenses",I483="EMPLOYMENT EXPENSES","Selling Expenses",I483="DIRECT EXPENSES","Selling Expenses",I483="INDIRECT EXPENSES","Selling Expenses"),P483="Parts",_xlfn.IFS(I483="SALES","GP",I483="SERVICE SALES","GP",I483="PARTS SALES","GP",I483="SERVICE COS","GP",I483="PARTS COS","GP",I483="SELLING EXPENSES","Selling Expenses",I483="EMPLOYMENT EXPENSES","Selling Expenses",I483="EMPLOYMENT EXPENSES","Selling Expenses",I483="DIRECT EXPENSES","Selling Expenses",I483="INDIRECT EXPENSES","Selling Expenses"))</f>
        <v>#N/A</v>
      </c>
    </row>
    <row r="484" spans="1:18" x14ac:dyDescent="0.2">
      <c r="A484" s="75">
        <v>3300</v>
      </c>
      <c r="B484" s="76" t="s">
        <v>113</v>
      </c>
      <c r="C484" s="76">
        <v>140</v>
      </c>
      <c r="D484" s="76" t="s">
        <v>433</v>
      </c>
      <c r="E484" s="76" t="s">
        <v>426</v>
      </c>
      <c r="F484" s="77">
        <v>-1566803.65</v>
      </c>
      <c r="G484" s="77">
        <v>-175800.15</v>
      </c>
      <c r="H484" s="77">
        <v>-1742603.8</v>
      </c>
      <c r="I484" s="76" t="s">
        <v>698</v>
      </c>
      <c r="J484" s="77">
        <v>-147540.04</v>
      </c>
      <c r="K484" s="78">
        <v>-1511803.1</v>
      </c>
      <c r="M484" s="79" t="str">
        <f t="shared" si="23"/>
        <v>140-3300</v>
      </c>
      <c r="N484" s="79" t="str">
        <f t="shared" si="21"/>
        <v/>
      </c>
      <c r="O484" s="79" t="str">
        <f t="shared" si="22"/>
        <v>140</v>
      </c>
      <c r="P484" s="79" t="str">
        <f>IFERROR(VLOOKUP($M484,Export!$P:$R,2,FALSE),"-")</f>
        <v>Service</v>
      </c>
      <c r="Q484" s="79" t="str">
        <f>IFERROR(VLOOKUP($M484,Export!$P:$R,3,FALSE),"-")</f>
        <v>ServiceRetail % of Labour Sales</v>
      </c>
      <c r="R484" s="80" t="str" cm="1">
        <f t="array" ref="R484">_xlfn.IFS(P484="Service", _xlfn.IFS(I484="SALES","GP",I484="SERVICE SALES","GP",I484="PARTS SALES","GP",I484="SERVICE COS","GP",I484="PARTS COS","GP",I484="SELLING EXPENSES","Selling Expenses",I484="EMPLOYMENT EXPENSES","Selling Expenses",I484="EMPLOYMENT EXPENSES","Selling Expenses",I484="DIRECT EXPENSES","Selling Expenses",I484="INDIRECT EXPENSES","Selling Expenses"),P484="Parts",_xlfn.IFS(I484="SALES","GP",I484="SERVICE SALES","GP",I484="PARTS SALES","GP",I484="SERVICE COS","GP",I484="PARTS COS","GP",I484="SELLING EXPENSES","Selling Expenses",I484="EMPLOYMENT EXPENSES","Selling Expenses",I484="EMPLOYMENT EXPENSES","Selling Expenses",I484="DIRECT EXPENSES","Selling Expenses",I484="INDIRECT EXPENSES","Selling Expenses"))</f>
        <v>GP</v>
      </c>
    </row>
    <row r="485" spans="1:18" x14ac:dyDescent="0.2">
      <c r="A485" s="75">
        <v>3300</v>
      </c>
      <c r="B485" s="76" t="s">
        <v>113</v>
      </c>
      <c r="C485" s="76">
        <v>142</v>
      </c>
      <c r="D485" s="76" t="s">
        <v>454</v>
      </c>
      <c r="E485" s="76" t="s">
        <v>426</v>
      </c>
      <c r="F485" s="77">
        <v>-253414.07</v>
      </c>
      <c r="G485" s="77">
        <v>-23413.65</v>
      </c>
      <c r="H485" s="77">
        <v>-276827.71999999997</v>
      </c>
      <c r="I485" s="76" t="s">
        <v>698</v>
      </c>
      <c r="J485" s="77">
        <v>-31280.74</v>
      </c>
      <c r="K485" s="78">
        <v>-275202.61</v>
      </c>
      <c r="M485" s="79" t="str">
        <f t="shared" si="23"/>
        <v>142-3300</v>
      </c>
      <c r="N485" s="79" t="str">
        <f t="shared" si="21"/>
        <v/>
      </c>
      <c r="O485" s="79" t="str">
        <f t="shared" si="22"/>
        <v>142</v>
      </c>
      <c r="P485" s="79" t="str">
        <f>IFERROR(VLOOKUP($M485,Export!$P:$R,2,FALSE),"-")</f>
        <v>Lex Service</v>
      </c>
      <c r="Q485" s="79" t="str">
        <f>IFERROR(VLOOKUP($M485,Export!$P:$R,3,FALSE),"-")</f>
        <v>Lex ServiceRetail % of Labour Sales</v>
      </c>
      <c r="R485" s="80" t="e" cm="1">
        <f t="array" ref="R485">_xlfn.IFS(P485="Service", _xlfn.IFS(I485="SALES","GP",I485="SERVICE SALES","GP",I485="PARTS SALES","GP",I485="SERVICE COS","GP",I485="PARTS COS","GP",I485="SELLING EXPENSES","Selling Expenses",I485="EMPLOYMENT EXPENSES","Selling Expenses",I485="EMPLOYMENT EXPENSES","Selling Expenses",I485="DIRECT EXPENSES","Selling Expenses",I485="INDIRECT EXPENSES","Selling Expenses"),P485="Parts",_xlfn.IFS(I485="SALES","GP",I485="SERVICE SALES","GP",I485="PARTS SALES","GP",I485="SERVICE COS","GP",I485="PARTS COS","GP",I485="SELLING EXPENSES","Selling Expenses",I485="EMPLOYMENT EXPENSES","Selling Expenses",I485="EMPLOYMENT EXPENSES","Selling Expenses",I485="DIRECT EXPENSES","Selling Expenses",I485="INDIRECT EXPENSES","Selling Expenses"))</f>
        <v>#N/A</v>
      </c>
    </row>
    <row r="486" spans="1:18" x14ac:dyDescent="0.2">
      <c r="A486" s="75">
        <v>3300</v>
      </c>
      <c r="B486" s="76" t="s">
        <v>113</v>
      </c>
      <c r="C486" s="76">
        <v>147</v>
      </c>
      <c r="D486" s="76" t="s">
        <v>699</v>
      </c>
      <c r="E486" s="76" t="s">
        <v>426</v>
      </c>
      <c r="F486" s="77">
        <v>-166.17</v>
      </c>
      <c r="G486" s="77">
        <v>0</v>
      </c>
      <c r="H486" s="77">
        <v>-166.17</v>
      </c>
      <c r="I486" s="76" t="s">
        <v>698</v>
      </c>
      <c r="J486" s="77">
        <v>-26720.880000000001</v>
      </c>
      <c r="K486" s="78">
        <v>-326006.99</v>
      </c>
      <c r="M486" s="79" t="str">
        <f t="shared" si="23"/>
        <v>147-3300</v>
      </c>
      <c r="N486" s="79" t="str">
        <f t="shared" si="21"/>
        <v/>
      </c>
      <c r="O486" s="79" t="str">
        <f t="shared" si="22"/>
        <v>147</v>
      </c>
      <c r="P486" s="79" t="str">
        <f>IFERROR(VLOOKUP($M486,Export!$P:$R,2,FALSE),"-")</f>
        <v>Service</v>
      </c>
      <c r="Q486" s="79" t="str">
        <f>IFERROR(VLOOKUP($M486,Export!$P:$R,3,FALSE),"-")</f>
        <v>ServiceRetail % of Labour Sales</v>
      </c>
      <c r="R486" s="80" t="str" cm="1">
        <f t="array" ref="R486">_xlfn.IFS(P486="Service", _xlfn.IFS(I486="SALES","GP",I486="SERVICE SALES","GP",I486="PARTS SALES","GP",I486="SERVICE COS","GP",I486="PARTS COS","GP",I486="SELLING EXPENSES","Selling Expenses",I486="EMPLOYMENT EXPENSES","Selling Expenses",I486="EMPLOYMENT EXPENSES","Selling Expenses",I486="DIRECT EXPENSES","Selling Expenses",I486="INDIRECT EXPENSES","Selling Expenses"),P486="Parts",_xlfn.IFS(I486="SALES","GP",I486="SERVICE SALES","GP",I486="PARTS SALES","GP",I486="SERVICE COS","GP",I486="PARTS COS","GP",I486="SELLING EXPENSES","Selling Expenses",I486="EMPLOYMENT EXPENSES","Selling Expenses",I486="EMPLOYMENT EXPENSES","Selling Expenses",I486="DIRECT EXPENSES","Selling Expenses",I486="INDIRECT EXPENSES","Selling Expenses"))</f>
        <v>GP</v>
      </c>
    </row>
    <row r="487" spans="1:18" x14ac:dyDescent="0.2">
      <c r="A487" s="75">
        <v>3300</v>
      </c>
      <c r="B487" s="76" t="s">
        <v>113</v>
      </c>
      <c r="C487" s="76">
        <v>150</v>
      </c>
      <c r="D487" s="76" t="s">
        <v>700</v>
      </c>
      <c r="E487" s="76" t="s">
        <v>426</v>
      </c>
      <c r="F487" s="77">
        <v>-162627.19</v>
      </c>
      <c r="G487" s="77">
        <v>-12300</v>
      </c>
      <c r="H487" s="77">
        <v>-174927.19</v>
      </c>
      <c r="I487" s="76" t="s">
        <v>698</v>
      </c>
      <c r="J487" s="77">
        <v>0</v>
      </c>
      <c r="K487" s="78">
        <v>0</v>
      </c>
      <c r="M487" s="79" t="str">
        <f t="shared" si="23"/>
        <v>150-3300</v>
      </c>
      <c r="N487" s="79" t="str">
        <f t="shared" si="21"/>
        <v/>
      </c>
      <c r="O487" s="79" t="str">
        <f t="shared" si="22"/>
        <v>150</v>
      </c>
      <c r="P487" s="79" t="str">
        <f>IFERROR(VLOOKUP($M487,Export!$P:$R,2,FALSE),"-")</f>
        <v>Retail Detailing</v>
      </c>
      <c r="Q487" s="79" t="str">
        <f>IFERROR(VLOOKUP($M487,Export!$P:$R,3,FALSE),"-")</f>
        <v>Retail DetailingRetail % of Labour Sales</v>
      </c>
      <c r="R487" s="80" t="e" cm="1">
        <f t="array" ref="R487">_xlfn.IFS(P487="Service", _xlfn.IFS(I487="SALES","GP",I487="SERVICE SALES","GP",I487="PARTS SALES","GP",I487="SERVICE COS","GP",I487="PARTS COS","GP",I487="SELLING EXPENSES","Selling Expenses",I487="EMPLOYMENT EXPENSES","Selling Expenses",I487="EMPLOYMENT EXPENSES","Selling Expenses",I487="DIRECT EXPENSES","Selling Expenses",I487="INDIRECT EXPENSES","Selling Expenses"),P487="Parts",_xlfn.IFS(I487="SALES","GP",I487="SERVICE SALES","GP",I487="PARTS SALES","GP",I487="SERVICE COS","GP",I487="PARTS COS","GP",I487="SELLING EXPENSES","Selling Expenses",I487="EMPLOYMENT EXPENSES","Selling Expenses",I487="EMPLOYMENT EXPENSES","Selling Expenses",I487="DIRECT EXPENSES","Selling Expenses",I487="INDIRECT EXPENSES","Selling Expenses"))</f>
        <v>#N/A</v>
      </c>
    </row>
    <row r="488" spans="1:18" x14ac:dyDescent="0.2">
      <c r="A488" s="75">
        <v>3300</v>
      </c>
      <c r="B488" s="76" t="s">
        <v>113</v>
      </c>
      <c r="C488" s="76">
        <v>170</v>
      </c>
      <c r="D488" s="76" t="s">
        <v>676</v>
      </c>
      <c r="E488" s="76" t="s">
        <v>426</v>
      </c>
      <c r="F488" s="77">
        <v>-1025.8</v>
      </c>
      <c r="G488" s="77">
        <v>0</v>
      </c>
      <c r="H488" s="77">
        <v>-1025.8</v>
      </c>
      <c r="I488" s="76" t="s">
        <v>698</v>
      </c>
      <c r="J488" s="77">
        <v>0</v>
      </c>
      <c r="K488" s="78">
        <v>-6197.61</v>
      </c>
      <c r="M488" s="79" t="str">
        <f t="shared" si="23"/>
        <v>170-3300</v>
      </c>
      <c r="N488" s="79" t="str">
        <f t="shared" si="21"/>
        <v/>
      </c>
      <c r="O488" s="79" t="str">
        <f t="shared" si="22"/>
        <v>170</v>
      </c>
      <c r="P488" s="79" t="str">
        <f>IFERROR(VLOOKUP($M488,Export!$P:$R,2,FALSE),"-")</f>
        <v>Service</v>
      </c>
      <c r="Q488" s="79" t="str">
        <f>IFERROR(VLOOKUP($M488,Export!$P:$R,3,FALSE),"-")</f>
        <v>ServiceRetail % of Labour Sales</v>
      </c>
      <c r="R488" s="80" t="str" cm="1">
        <f t="array" ref="R488">_xlfn.IFS(P488="Service", _xlfn.IFS(I488="SALES","GP",I488="SERVICE SALES","GP",I488="PARTS SALES","GP",I488="SERVICE COS","GP",I488="PARTS COS","GP",I488="SELLING EXPENSES","Selling Expenses",I488="EMPLOYMENT EXPENSES","Selling Expenses",I488="EMPLOYMENT EXPENSES","Selling Expenses",I488="DIRECT EXPENSES","Selling Expenses",I488="INDIRECT EXPENSES","Selling Expenses"),P488="Parts",_xlfn.IFS(I488="SALES","GP",I488="SERVICE SALES","GP",I488="PARTS SALES","GP",I488="SERVICE COS","GP",I488="PARTS COS","GP",I488="SELLING EXPENSES","Selling Expenses",I488="EMPLOYMENT EXPENSES","Selling Expenses",I488="EMPLOYMENT EXPENSES","Selling Expenses",I488="DIRECT EXPENSES","Selling Expenses",I488="INDIRECT EXPENSES","Selling Expenses"))</f>
        <v>GP</v>
      </c>
    </row>
    <row r="489" spans="1:18" x14ac:dyDescent="0.2">
      <c r="A489" s="75">
        <v>3300</v>
      </c>
      <c r="B489" s="76" t="s">
        <v>113</v>
      </c>
      <c r="C489" s="76">
        <v>240</v>
      </c>
      <c r="D489" s="76" t="s">
        <v>439</v>
      </c>
      <c r="E489" s="76" t="s">
        <v>426</v>
      </c>
      <c r="F489" s="77">
        <v>-850173.25</v>
      </c>
      <c r="G489" s="77">
        <v>-80677.37</v>
      </c>
      <c r="H489" s="77">
        <v>-930850.62</v>
      </c>
      <c r="I489" s="76" t="s">
        <v>698</v>
      </c>
      <c r="J489" s="77">
        <v>-106587.51</v>
      </c>
      <c r="K489" s="78">
        <v>-987124.22</v>
      </c>
      <c r="M489" s="79" t="str">
        <f t="shared" si="23"/>
        <v>240-3300</v>
      </c>
      <c r="N489" s="79" t="str">
        <f t="shared" si="21"/>
        <v/>
      </c>
      <c r="O489" s="79" t="str">
        <f t="shared" si="22"/>
        <v>240</v>
      </c>
      <c r="P489" s="79" t="str">
        <f>IFERROR(VLOOKUP($M489,Export!$P:$R,2,FALSE),"-")</f>
        <v>Service</v>
      </c>
      <c r="Q489" s="79" t="str">
        <f>IFERROR(VLOOKUP($M489,Export!$P:$R,3,FALSE),"-")</f>
        <v>ServiceRetail % of Labour Sales</v>
      </c>
      <c r="R489" s="80" t="str" cm="1">
        <f t="array" ref="R489">_xlfn.IFS(P489="Service", _xlfn.IFS(I489="SALES","GP",I489="SERVICE SALES","GP",I489="PARTS SALES","GP",I489="SERVICE COS","GP",I489="PARTS COS","GP",I489="SELLING EXPENSES","Selling Expenses",I489="EMPLOYMENT EXPENSES","Selling Expenses",I489="EMPLOYMENT EXPENSES","Selling Expenses",I489="DIRECT EXPENSES","Selling Expenses",I489="INDIRECT EXPENSES","Selling Expenses"),P489="Parts",_xlfn.IFS(I489="SALES","GP",I489="SERVICE SALES","GP",I489="PARTS SALES","GP",I489="SERVICE COS","GP",I489="PARTS COS","GP",I489="SELLING EXPENSES","Selling Expenses",I489="EMPLOYMENT EXPENSES","Selling Expenses",I489="EMPLOYMENT EXPENSES","Selling Expenses",I489="DIRECT EXPENSES","Selling Expenses",I489="INDIRECT EXPENSES","Selling Expenses"))</f>
        <v>GP</v>
      </c>
    </row>
    <row r="490" spans="1:18" x14ac:dyDescent="0.2">
      <c r="A490" s="75">
        <v>3300</v>
      </c>
      <c r="B490" s="76" t="s">
        <v>113</v>
      </c>
      <c r="C490" s="76">
        <v>340</v>
      </c>
      <c r="D490" s="76" t="s">
        <v>440</v>
      </c>
      <c r="E490" s="76" t="s">
        <v>426</v>
      </c>
      <c r="F490" s="77">
        <v>-590622.63</v>
      </c>
      <c r="G490" s="77">
        <v>-63241.89</v>
      </c>
      <c r="H490" s="77">
        <v>-653864.52</v>
      </c>
      <c r="I490" s="76" t="s">
        <v>698</v>
      </c>
      <c r="J490" s="77">
        <v>-73256.490000000005</v>
      </c>
      <c r="K490" s="78">
        <v>-641954.49</v>
      </c>
      <c r="M490" s="79" t="str">
        <f t="shared" si="23"/>
        <v>340-3300</v>
      </c>
      <c r="N490" s="79" t="str">
        <f t="shared" si="21"/>
        <v/>
      </c>
      <c r="O490" s="79" t="str">
        <f t="shared" si="22"/>
        <v>340</v>
      </c>
      <c r="P490" s="79" t="str">
        <f>IFERROR(VLOOKUP($M490,Export!$P:$R,2,FALSE),"-")</f>
        <v>Service</v>
      </c>
      <c r="Q490" s="79" t="str">
        <f>IFERROR(VLOOKUP($M490,Export!$P:$R,3,FALSE),"-")</f>
        <v>ServiceRetail % of Labour Sales</v>
      </c>
      <c r="R490" s="80" t="str" cm="1">
        <f t="array" ref="R490">_xlfn.IFS(P490="Service", _xlfn.IFS(I490="SALES","GP",I490="SERVICE SALES","GP",I490="PARTS SALES","GP",I490="SERVICE COS","GP",I490="PARTS COS","GP",I490="SELLING EXPENSES","Selling Expenses",I490="EMPLOYMENT EXPENSES","Selling Expenses",I490="EMPLOYMENT EXPENSES","Selling Expenses",I490="DIRECT EXPENSES","Selling Expenses",I490="INDIRECT EXPENSES","Selling Expenses"),P490="Parts",_xlfn.IFS(I490="SALES","GP",I490="SERVICE SALES","GP",I490="PARTS SALES","GP",I490="SERVICE COS","GP",I490="PARTS COS","GP",I490="SELLING EXPENSES","Selling Expenses",I490="EMPLOYMENT EXPENSES","Selling Expenses",I490="EMPLOYMENT EXPENSES","Selling Expenses",I490="DIRECT EXPENSES","Selling Expenses",I490="INDIRECT EXPENSES","Selling Expenses"))</f>
        <v>GP</v>
      </c>
    </row>
    <row r="491" spans="1:18" x14ac:dyDescent="0.2">
      <c r="A491" s="75">
        <v>3300</v>
      </c>
      <c r="B491" s="76" t="s">
        <v>113</v>
      </c>
      <c r="C491" s="76">
        <v>440</v>
      </c>
      <c r="D491" s="76" t="s">
        <v>441</v>
      </c>
      <c r="E491" s="76" t="s">
        <v>426</v>
      </c>
      <c r="F491" s="77">
        <v>-368810.66</v>
      </c>
      <c r="G491" s="77">
        <v>-43251.48</v>
      </c>
      <c r="H491" s="77">
        <v>-412062.14</v>
      </c>
      <c r="I491" s="76" t="s">
        <v>698</v>
      </c>
      <c r="J491" s="77">
        <v>-23270.27</v>
      </c>
      <c r="K491" s="78">
        <v>-218465.75</v>
      </c>
      <c r="M491" s="79" t="str">
        <f t="shared" si="23"/>
        <v>440-3300</v>
      </c>
      <c r="N491" s="79" t="str">
        <f t="shared" si="21"/>
        <v/>
      </c>
      <c r="O491" s="79" t="str">
        <f t="shared" si="22"/>
        <v>440</v>
      </c>
      <c r="P491" s="79" t="str">
        <f>IFERROR(VLOOKUP($M491,Export!$P:$R,2,FALSE),"-")</f>
        <v>Service</v>
      </c>
      <c r="Q491" s="79" t="str">
        <f>IFERROR(VLOOKUP($M491,Export!$P:$R,3,FALSE),"-")</f>
        <v>ServiceRetail % of Labour Sales</v>
      </c>
      <c r="R491" s="80" t="str" cm="1">
        <f t="array" ref="R491">_xlfn.IFS(P491="Service", _xlfn.IFS(I491="SALES","GP",I491="SERVICE SALES","GP",I491="PARTS SALES","GP",I491="SERVICE COS","GP",I491="PARTS COS","GP",I491="SELLING EXPENSES","Selling Expenses",I491="EMPLOYMENT EXPENSES","Selling Expenses",I491="EMPLOYMENT EXPENSES","Selling Expenses",I491="DIRECT EXPENSES","Selling Expenses",I491="INDIRECT EXPENSES","Selling Expenses"),P491="Parts",_xlfn.IFS(I491="SALES","GP",I491="SERVICE SALES","GP",I491="PARTS SALES","GP",I491="SERVICE COS","GP",I491="PARTS COS","GP",I491="SELLING EXPENSES","Selling Expenses",I491="EMPLOYMENT EXPENSES","Selling Expenses",I491="EMPLOYMENT EXPENSES","Selling Expenses",I491="DIRECT EXPENSES","Selling Expenses",I491="INDIRECT EXPENSES","Selling Expenses"))</f>
        <v>GP</v>
      </c>
    </row>
    <row r="492" spans="1:18" x14ac:dyDescent="0.2">
      <c r="A492" s="75" t="s">
        <v>701</v>
      </c>
      <c r="B492" s="76" t="s">
        <v>702</v>
      </c>
      <c r="C492" s="76">
        <v>140</v>
      </c>
      <c r="D492" s="76" t="s">
        <v>433</v>
      </c>
      <c r="E492" s="76" t="s">
        <v>247</v>
      </c>
      <c r="F492" s="77">
        <v>5857</v>
      </c>
      <c r="G492" s="77">
        <v>647</v>
      </c>
      <c r="H492" s="77">
        <v>6504</v>
      </c>
      <c r="I492" s="76" t="s">
        <v>698</v>
      </c>
      <c r="J492" s="77">
        <v>0</v>
      </c>
      <c r="K492" s="78">
        <v>2926</v>
      </c>
      <c r="M492" s="79" t="str">
        <f t="shared" si="23"/>
        <v>140-3300#</v>
      </c>
      <c r="N492" s="79" t="str">
        <f t="shared" si="21"/>
        <v>#</v>
      </c>
      <c r="O492" s="79" t="str">
        <f t="shared" si="22"/>
        <v>140#</v>
      </c>
      <c r="P492" s="79" t="str">
        <f>IFERROR(VLOOKUP($M492,Export!$P:$R,2,FALSE),"-")</f>
        <v>-</v>
      </c>
      <c r="Q492" s="79" t="str">
        <f>IFERROR(VLOOKUP($M492,Export!$P:$R,3,FALSE),"-")</f>
        <v>-</v>
      </c>
      <c r="R492" s="80" t="e" cm="1">
        <f t="array" ref="R492">_xlfn.IFS(P492="Service", _xlfn.IFS(I492="SALES","GP",I492="SERVICE SALES","GP",I492="PARTS SALES","GP",I492="SERVICE COS","GP",I492="PARTS COS","GP",I492="SELLING EXPENSES","Selling Expenses",I492="EMPLOYMENT EXPENSES","Selling Expenses",I492="EMPLOYMENT EXPENSES","Selling Expenses",I492="DIRECT EXPENSES","Selling Expenses",I492="INDIRECT EXPENSES","Selling Expenses"),P492="Parts",_xlfn.IFS(I492="SALES","GP",I492="SERVICE SALES","GP",I492="PARTS SALES","GP",I492="SERVICE COS","GP",I492="PARTS COS","GP",I492="SELLING EXPENSES","Selling Expenses",I492="EMPLOYMENT EXPENSES","Selling Expenses",I492="EMPLOYMENT EXPENSES","Selling Expenses",I492="DIRECT EXPENSES","Selling Expenses",I492="INDIRECT EXPENSES","Selling Expenses"))</f>
        <v>#N/A</v>
      </c>
    </row>
    <row r="493" spans="1:18" x14ac:dyDescent="0.2">
      <c r="A493" s="75" t="s">
        <v>701</v>
      </c>
      <c r="B493" s="76" t="s">
        <v>702</v>
      </c>
      <c r="C493" s="76">
        <v>142</v>
      </c>
      <c r="D493" s="76" t="s">
        <v>454</v>
      </c>
      <c r="E493" s="76" t="s">
        <v>247</v>
      </c>
      <c r="F493" s="77">
        <v>817</v>
      </c>
      <c r="G493" s="77">
        <v>82</v>
      </c>
      <c r="H493" s="77">
        <v>899</v>
      </c>
      <c r="I493" s="76" t="s">
        <v>698</v>
      </c>
      <c r="J493" s="77">
        <v>0</v>
      </c>
      <c r="K493" s="78">
        <v>327</v>
      </c>
      <c r="M493" s="79" t="str">
        <f t="shared" si="23"/>
        <v>142-3300#</v>
      </c>
      <c r="N493" s="79" t="str">
        <f t="shared" si="21"/>
        <v>#</v>
      </c>
      <c r="O493" s="79" t="str">
        <f t="shared" si="22"/>
        <v>142#</v>
      </c>
      <c r="P493" s="79" t="str">
        <f>IFERROR(VLOOKUP($M493,Export!$P:$R,2,FALSE),"-")</f>
        <v>-</v>
      </c>
      <c r="Q493" s="79" t="str">
        <f>IFERROR(VLOOKUP($M493,Export!$P:$R,3,FALSE),"-")</f>
        <v>-</v>
      </c>
      <c r="R493" s="80" t="e" cm="1">
        <f t="array" ref="R493">_xlfn.IFS(P493="Service", _xlfn.IFS(I493="SALES","GP",I493="SERVICE SALES","GP",I493="PARTS SALES","GP",I493="SERVICE COS","GP",I493="PARTS COS","GP",I493="SELLING EXPENSES","Selling Expenses",I493="EMPLOYMENT EXPENSES","Selling Expenses",I493="EMPLOYMENT EXPENSES","Selling Expenses",I493="DIRECT EXPENSES","Selling Expenses",I493="INDIRECT EXPENSES","Selling Expenses"),P493="Parts",_xlfn.IFS(I493="SALES","GP",I493="SERVICE SALES","GP",I493="PARTS SALES","GP",I493="SERVICE COS","GP",I493="PARTS COS","GP",I493="SELLING EXPENSES","Selling Expenses",I493="EMPLOYMENT EXPENSES","Selling Expenses",I493="EMPLOYMENT EXPENSES","Selling Expenses",I493="DIRECT EXPENSES","Selling Expenses",I493="INDIRECT EXPENSES","Selling Expenses"))</f>
        <v>#N/A</v>
      </c>
    </row>
    <row r="494" spans="1:18" x14ac:dyDescent="0.2">
      <c r="A494" s="75" t="s">
        <v>701</v>
      </c>
      <c r="B494" s="76" t="s">
        <v>702</v>
      </c>
      <c r="C494" s="76">
        <v>147</v>
      </c>
      <c r="D494" s="76" t="s">
        <v>699</v>
      </c>
      <c r="E494" s="76" t="s">
        <v>247</v>
      </c>
      <c r="F494" s="77">
        <v>3</v>
      </c>
      <c r="G494" s="77">
        <v>0</v>
      </c>
      <c r="H494" s="77">
        <v>3</v>
      </c>
      <c r="I494" s="76" t="s">
        <v>698</v>
      </c>
      <c r="J494" s="77">
        <v>0</v>
      </c>
      <c r="K494" s="78">
        <v>147</v>
      </c>
      <c r="M494" s="79" t="str">
        <f t="shared" si="23"/>
        <v>147-3300#</v>
      </c>
      <c r="N494" s="79" t="str">
        <f t="shared" si="21"/>
        <v>#</v>
      </c>
      <c r="O494" s="79" t="str">
        <f t="shared" si="22"/>
        <v>147#</v>
      </c>
      <c r="P494" s="79" t="str">
        <f>IFERROR(VLOOKUP($M494,Export!$P:$R,2,FALSE),"-")</f>
        <v>-</v>
      </c>
      <c r="Q494" s="79" t="str">
        <f>IFERROR(VLOOKUP($M494,Export!$P:$R,3,FALSE),"-")</f>
        <v>-</v>
      </c>
      <c r="R494" s="80" t="e" cm="1">
        <f t="array" ref="R494">_xlfn.IFS(P494="Service", _xlfn.IFS(I494="SALES","GP",I494="SERVICE SALES","GP",I494="PARTS SALES","GP",I494="SERVICE COS","GP",I494="PARTS COS","GP",I494="SELLING EXPENSES","Selling Expenses",I494="EMPLOYMENT EXPENSES","Selling Expenses",I494="EMPLOYMENT EXPENSES","Selling Expenses",I494="DIRECT EXPENSES","Selling Expenses",I494="INDIRECT EXPENSES","Selling Expenses"),P494="Parts",_xlfn.IFS(I494="SALES","GP",I494="SERVICE SALES","GP",I494="PARTS SALES","GP",I494="SERVICE COS","GP",I494="PARTS COS","GP",I494="SELLING EXPENSES","Selling Expenses",I494="EMPLOYMENT EXPENSES","Selling Expenses",I494="EMPLOYMENT EXPENSES","Selling Expenses",I494="DIRECT EXPENSES","Selling Expenses",I494="INDIRECT EXPENSES","Selling Expenses"))</f>
        <v>#N/A</v>
      </c>
    </row>
    <row r="495" spans="1:18" x14ac:dyDescent="0.2">
      <c r="A495" s="75" t="s">
        <v>701</v>
      </c>
      <c r="B495" s="76" t="s">
        <v>702</v>
      </c>
      <c r="C495" s="76">
        <v>150</v>
      </c>
      <c r="D495" s="76" t="s">
        <v>700</v>
      </c>
      <c r="E495" s="76" t="s">
        <v>247</v>
      </c>
      <c r="F495" s="77">
        <v>170</v>
      </c>
      <c r="G495" s="77">
        <v>5</v>
      </c>
      <c r="H495" s="77">
        <v>175</v>
      </c>
      <c r="I495" s="76" t="s">
        <v>698</v>
      </c>
      <c r="J495" s="77">
        <v>0</v>
      </c>
      <c r="K495" s="78">
        <v>0</v>
      </c>
      <c r="M495" s="79" t="str">
        <f t="shared" si="23"/>
        <v>150-3300#</v>
      </c>
      <c r="N495" s="79" t="str">
        <f t="shared" si="21"/>
        <v>#</v>
      </c>
      <c r="O495" s="79" t="str">
        <f t="shared" si="22"/>
        <v>150#</v>
      </c>
      <c r="P495" s="79" t="str">
        <f>IFERROR(VLOOKUP($M495,Export!$P:$R,2,FALSE),"-")</f>
        <v>-</v>
      </c>
      <c r="Q495" s="79" t="str">
        <f>IFERROR(VLOOKUP($M495,Export!$P:$R,3,FALSE),"-")</f>
        <v>-</v>
      </c>
      <c r="R495" s="80" t="e" cm="1">
        <f t="array" ref="R495">_xlfn.IFS(P495="Service", _xlfn.IFS(I495="SALES","GP",I495="SERVICE SALES","GP",I495="PARTS SALES","GP",I495="SERVICE COS","GP",I495="PARTS COS","GP",I495="SELLING EXPENSES","Selling Expenses",I495="EMPLOYMENT EXPENSES","Selling Expenses",I495="EMPLOYMENT EXPENSES","Selling Expenses",I495="DIRECT EXPENSES","Selling Expenses",I495="INDIRECT EXPENSES","Selling Expenses"),P495="Parts",_xlfn.IFS(I495="SALES","GP",I495="SERVICE SALES","GP",I495="PARTS SALES","GP",I495="SERVICE COS","GP",I495="PARTS COS","GP",I495="SELLING EXPENSES","Selling Expenses",I495="EMPLOYMENT EXPENSES","Selling Expenses",I495="EMPLOYMENT EXPENSES","Selling Expenses",I495="DIRECT EXPENSES","Selling Expenses",I495="INDIRECT EXPENSES","Selling Expenses"))</f>
        <v>#N/A</v>
      </c>
    </row>
    <row r="496" spans="1:18" x14ac:dyDescent="0.2">
      <c r="A496" s="75" t="s">
        <v>701</v>
      </c>
      <c r="B496" s="76" t="s">
        <v>702</v>
      </c>
      <c r="C496" s="76">
        <v>170</v>
      </c>
      <c r="D496" s="76" t="s">
        <v>676</v>
      </c>
      <c r="E496" s="76" t="s">
        <v>247</v>
      </c>
      <c r="F496" s="77">
        <v>2</v>
      </c>
      <c r="G496" s="77">
        <v>0</v>
      </c>
      <c r="H496" s="77">
        <v>2</v>
      </c>
      <c r="I496" s="76" t="s">
        <v>698</v>
      </c>
      <c r="J496" s="77">
        <v>0</v>
      </c>
      <c r="K496" s="78">
        <v>7</v>
      </c>
      <c r="M496" s="79" t="str">
        <f t="shared" si="23"/>
        <v>170-3300#</v>
      </c>
      <c r="N496" s="79" t="str">
        <f t="shared" si="21"/>
        <v>#</v>
      </c>
      <c r="O496" s="79" t="str">
        <f t="shared" si="22"/>
        <v>170#</v>
      </c>
      <c r="P496" s="79" t="str">
        <f>IFERROR(VLOOKUP($M496,Export!$P:$R,2,FALSE),"-")</f>
        <v>-</v>
      </c>
      <c r="Q496" s="79" t="str">
        <f>IFERROR(VLOOKUP($M496,Export!$P:$R,3,FALSE),"-")</f>
        <v>-</v>
      </c>
      <c r="R496" s="80" t="e" cm="1">
        <f t="array" ref="R496">_xlfn.IFS(P496="Service", _xlfn.IFS(I496="SALES","GP",I496="SERVICE SALES","GP",I496="PARTS SALES","GP",I496="SERVICE COS","GP",I496="PARTS COS","GP",I496="SELLING EXPENSES","Selling Expenses",I496="EMPLOYMENT EXPENSES","Selling Expenses",I496="EMPLOYMENT EXPENSES","Selling Expenses",I496="DIRECT EXPENSES","Selling Expenses",I496="INDIRECT EXPENSES","Selling Expenses"),P496="Parts",_xlfn.IFS(I496="SALES","GP",I496="SERVICE SALES","GP",I496="PARTS SALES","GP",I496="SERVICE COS","GP",I496="PARTS COS","GP",I496="SELLING EXPENSES","Selling Expenses",I496="EMPLOYMENT EXPENSES","Selling Expenses",I496="EMPLOYMENT EXPENSES","Selling Expenses",I496="DIRECT EXPENSES","Selling Expenses",I496="INDIRECT EXPENSES","Selling Expenses"))</f>
        <v>#N/A</v>
      </c>
    </row>
    <row r="497" spans="1:18" x14ac:dyDescent="0.2">
      <c r="A497" s="75" t="s">
        <v>701</v>
      </c>
      <c r="B497" s="76" t="s">
        <v>702</v>
      </c>
      <c r="C497" s="76">
        <v>240</v>
      </c>
      <c r="D497" s="76" t="s">
        <v>439</v>
      </c>
      <c r="E497" s="76" t="s">
        <v>247</v>
      </c>
      <c r="F497" s="77">
        <v>3468</v>
      </c>
      <c r="G497" s="77">
        <v>353</v>
      </c>
      <c r="H497" s="77">
        <v>3821</v>
      </c>
      <c r="I497" s="76" t="s">
        <v>698</v>
      </c>
      <c r="J497" s="77">
        <v>0</v>
      </c>
      <c r="K497" s="78">
        <v>1635</v>
      </c>
      <c r="M497" s="79" t="str">
        <f t="shared" si="23"/>
        <v>240-3300#</v>
      </c>
      <c r="N497" s="79" t="str">
        <f t="shared" si="21"/>
        <v>#</v>
      </c>
      <c r="O497" s="79" t="str">
        <f t="shared" si="22"/>
        <v>240#</v>
      </c>
      <c r="P497" s="79" t="str">
        <f>IFERROR(VLOOKUP($M497,Export!$P:$R,2,FALSE),"-")</f>
        <v>-</v>
      </c>
      <c r="Q497" s="79" t="str">
        <f>IFERROR(VLOOKUP($M497,Export!$P:$R,3,FALSE),"-")</f>
        <v>-</v>
      </c>
      <c r="R497" s="80" t="e" cm="1">
        <f t="array" ref="R497">_xlfn.IFS(P497="Service", _xlfn.IFS(I497="SALES","GP",I497="SERVICE SALES","GP",I497="PARTS SALES","GP",I497="SERVICE COS","GP",I497="PARTS COS","GP",I497="SELLING EXPENSES","Selling Expenses",I497="EMPLOYMENT EXPENSES","Selling Expenses",I497="EMPLOYMENT EXPENSES","Selling Expenses",I497="DIRECT EXPENSES","Selling Expenses",I497="INDIRECT EXPENSES","Selling Expenses"),P497="Parts",_xlfn.IFS(I497="SALES","GP",I497="SERVICE SALES","GP",I497="PARTS SALES","GP",I497="SERVICE COS","GP",I497="PARTS COS","GP",I497="SELLING EXPENSES","Selling Expenses",I497="EMPLOYMENT EXPENSES","Selling Expenses",I497="EMPLOYMENT EXPENSES","Selling Expenses",I497="DIRECT EXPENSES","Selling Expenses",I497="INDIRECT EXPENSES","Selling Expenses"))</f>
        <v>#N/A</v>
      </c>
    </row>
    <row r="498" spans="1:18" x14ac:dyDescent="0.2">
      <c r="A498" s="75" t="s">
        <v>701</v>
      </c>
      <c r="B498" s="76" t="s">
        <v>702</v>
      </c>
      <c r="C498" s="76">
        <v>340</v>
      </c>
      <c r="D498" s="76" t="s">
        <v>440</v>
      </c>
      <c r="E498" s="76" t="s">
        <v>247</v>
      </c>
      <c r="F498" s="77">
        <v>2674</v>
      </c>
      <c r="G498" s="77">
        <v>267</v>
      </c>
      <c r="H498" s="77">
        <v>2941</v>
      </c>
      <c r="I498" s="76" t="s">
        <v>698</v>
      </c>
      <c r="J498" s="77">
        <v>0</v>
      </c>
      <c r="K498" s="78">
        <v>1200</v>
      </c>
      <c r="M498" s="79" t="str">
        <f t="shared" si="23"/>
        <v>340-3300#</v>
      </c>
      <c r="N498" s="79" t="str">
        <f t="shared" si="21"/>
        <v>#</v>
      </c>
      <c r="O498" s="79" t="str">
        <f t="shared" si="22"/>
        <v>340#</v>
      </c>
      <c r="P498" s="79" t="str">
        <f>IFERROR(VLOOKUP($M498,Export!$P:$R,2,FALSE),"-")</f>
        <v>-</v>
      </c>
      <c r="Q498" s="79" t="str">
        <f>IFERROR(VLOOKUP($M498,Export!$P:$R,3,FALSE),"-")</f>
        <v>-</v>
      </c>
      <c r="R498" s="80" t="e" cm="1">
        <f t="array" ref="R498">_xlfn.IFS(P498="Service", _xlfn.IFS(I498="SALES","GP",I498="SERVICE SALES","GP",I498="PARTS SALES","GP",I498="SERVICE COS","GP",I498="PARTS COS","GP",I498="SELLING EXPENSES","Selling Expenses",I498="EMPLOYMENT EXPENSES","Selling Expenses",I498="EMPLOYMENT EXPENSES","Selling Expenses",I498="DIRECT EXPENSES","Selling Expenses",I498="INDIRECT EXPENSES","Selling Expenses"),P498="Parts",_xlfn.IFS(I498="SALES","GP",I498="SERVICE SALES","GP",I498="PARTS SALES","GP",I498="SERVICE COS","GP",I498="PARTS COS","GP",I498="SELLING EXPENSES","Selling Expenses",I498="EMPLOYMENT EXPENSES","Selling Expenses",I498="EMPLOYMENT EXPENSES","Selling Expenses",I498="DIRECT EXPENSES","Selling Expenses",I498="INDIRECT EXPENSES","Selling Expenses"))</f>
        <v>#N/A</v>
      </c>
    </row>
    <row r="499" spans="1:18" x14ac:dyDescent="0.2">
      <c r="A499" s="75" t="s">
        <v>701</v>
      </c>
      <c r="B499" s="76" t="s">
        <v>702</v>
      </c>
      <c r="C499" s="76">
        <v>440</v>
      </c>
      <c r="D499" s="76" t="s">
        <v>441</v>
      </c>
      <c r="E499" s="76" t="s">
        <v>247</v>
      </c>
      <c r="F499" s="77">
        <v>1488</v>
      </c>
      <c r="G499" s="77">
        <v>187</v>
      </c>
      <c r="H499" s="77">
        <v>1675</v>
      </c>
      <c r="I499" s="76" t="s">
        <v>698</v>
      </c>
      <c r="J499" s="77">
        <v>0</v>
      </c>
      <c r="K499" s="78">
        <v>366</v>
      </c>
      <c r="M499" s="79" t="str">
        <f t="shared" si="23"/>
        <v>440-3300#</v>
      </c>
      <c r="N499" s="79" t="str">
        <f t="shared" si="21"/>
        <v>#</v>
      </c>
      <c r="O499" s="79" t="str">
        <f t="shared" si="22"/>
        <v>440#</v>
      </c>
      <c r="P499" s="79" t="str">
        <f>IFERROR(VLOOKUP($M499,Export!$P:$R,2,FALSE),"-")</f>
        <v>-</v>
      </c>
      <c r="Q499" s="79" t="str">
        <f>IFERROR(VLOOKUP($M499,Export!$P:$R,3,FALSE),"-")</f>
        <v>-</v>
      </c>
      <c r="R499" s="80" t="e" cm="1">
        <f t="array" ref="R499">_xlfn.IFS(P499="Service", _xlfn.IFS(I499="SALES","GP",I499="SERVICE SALES","GP",I499="PARTS SALES","GP",I499="SERVICE COS","GP",I499="PARTS COS","GP",I499="SELLING EXPENSES","Selling Expenses",I499="EMPLOYMENT EXPENSES","Selling Expenses",I499="EMPLOYMENT EXPENSES","Selling Expenses",I499="DIRECT EXPENSES","Selling Expenses",I499="INDIRECT EXPENSES","Selling Expenses"),P499="Parts",_xlfn.IFS(I499="SALES","GP",I499="SERVICE SALES","GP",I499="PARTS SALES","GP",I499="SERVICE COS","GP",I499="PARTS COS","GP",I499="SELLING EXPENSES","Selling Expenses",I499="EMPLOYMENT EXPENSES","Selling Expenses",I499="EMPLOYMENT EXPENSES","Selling Expenses",I499="DIRECT EXPENSES","Selling Expenses",I499="INDIRECT EXPENSES","Selling Expenses"))</f>
        <v>#N/A</v>
      </c>
    </row>
    <row r="500" spans="1:18" x14ac:dyDescent="0.2">
      <c r="A500" s="75">
        <v>3301</v>
      </c>
      <c r="B500" s="76" t="s">
        <v>703</v>
      </c>
      <c r="C500" s="76">
        <v>140</v>
      </c>
      <c r="D500" s="76" t="s">
        <v>433</v>
      </c>
      <c r="E500" s="76" t="s">
        <v>426</v>
      </c>
      <c r="F500" s="77">
        <v>-136573.44</v>
      </c>
      <c r="G500" s="77">
        <v>-11943.74</v>
      </c>
      <c r="H500" s="77">
        <v>-148517.18</v>
      </c>
      <c r="I500" s="76" t="s">
        <v>698</v>
      </c>
      <c r="J500" s="77">
        <v>0</v>
      </c>
      <c r="K500" s="78">
        <v>-80128.63</v>
      </c>
      <c r="M500" s="79" t="str">
        <f t="shared" si="23"/>
        <v>140-3301</v>
      </c>
      <c r="N500" s="79" t="str">
        <f t="shared" si="21"/>
        <v/>
      </c>
      <c r="O500" s="79" t="str">
        <f t="shared" si="22"/>
        <v>140</v>
      </c>
      <c r="P500" s="79" t="str">
        <f>IFERROR(VLOOKUP($M500,Export!$P:$R,2,FALSE),"-")</f>
        <v>Service</v>
      </c>
      <c r="Q500" s="79" t="str">
        <f>IFERROR(VLOOKUP($M500,Export!$P:$R,3,FALSE),"-")</f>
        <v>ServiceRetail % of Labour Sales</v>
      </c>
      <c r="R500" s="80" t="str" cm="1">
        <f t="array" ref="R500">_xlfn.IFS(P500="Service", _xlfn.IFS(I500="SALES","GP",I500="SERVICE SALES","GP",I500="PARTS SALES","GP",I500="SERVICE COS","GP",I500="PARTS COS","GP",I500="SELLING EXPENSES","Selling Expenses",I500="EMPLOYMENT EXPENSES","Selling Expenses",I500="EMPLOYMENT EXPENSES","Selling Expenses",I500="DIRECT EXPENSES","Selling Expenses",I500="INDIRECT EXPENSES","Selling Expenses"),P500="Parts",_xlfn.IFS(I500="SALES","GP",I500="SERVICE SALES","GP",I500="PARTS SALES","GP",I500="SERVICE COS","GP",I500="PARTS COS","GP",I500="SELLING EXPENSES","Selling Expenses",I500="EMPLOYMENT EXPENSES","Selling Expenses",I500="EMPLOYMENT EXPENSES","Selling Expenses",I500="DIRECT EXPENSES","Selling Expenses",I500="INDIRECT EXPENSES","Selling Expenses"))</f>
        <v>GP</v>
      </c>
    </row>
    <row r="501" spans="1:18" x14ac:dyDescent="0.2">
      <c r="A501" s="75">
        <v>3301</v>
      </c>
      <c r="B501" s="76" t="s">
        <v>703</v>
      </c>
      <c r="C501" s="76">
        <v>142</v>
      </c>
      <c r="D501" s="76" t="s">
        <v>454</v>
      </c>
      <c r="E501" s="76" t="s">
        <v>426</v>
      </c>
      <c r="F501" s="77">
        <v>-146663.59</v>
      </c>
      <c r="G501" s="77">
        <v>-14965.26</v>
      </c>
      <c r="H501" s="77">
        <v>-161628.85</v>
      </c>
      <c r="I501" s="76" t="s">
        <v>698</v>
      </c>
      <c r="J501" s="77">
        <v>0</v>
      </c>
      <c r="K501" s="78">
        <v>-63737.41</v>
      </c>
      <c r="M501" s="79" t="str">
        <f t="shared" si="23"/>
        <v>142-3301</v>
      </c>
      <c r="N501" s="79" t="str">
        <f t="shared" si="21"/>
        <v/>
      </c>
      <c r="O501" s="79" t="str">
        <f t="shared" si="22"/>
        <v>142</v>
      </c>
      <c r="P501" s="79" t="str">
        <f>IFERROR(VLOOKUP($M501,Export!$P:$R,2,FALSE),"-")</f>
        <v>Lex Service</v>
      </c>
      <c r="Q501" s="79" t="str">
        <f>IFERROR(VLOOKUP($M501,Export!$P:$R,3,FALSE),"-")</f>
        <v>Lex ServiceRetail % of Labour Sales</v>
      </c>
      <c r="R501" s="80" t="e" cm="1">
        <f t="array" ref="R501">_xlfn.IFS(P501="Service", _xlfn.IFS(I501="SALES","GP",I501="SERVICE SALES","GP",I501="PARTS SALES","GP",I501="SERVICE COS","GP",I501="PARTS COS","GP",I501="SELLING EXPENSES","Selling Expenses",I501="EMPLOYMENT EXPENSES","Selling Expenses",I501="EMPLOYMENT EXPENSES","Selling Expenses",I501="DIRECT EXPENSES","Selling Expenses",I501="INDIRECT EXPENSES","Selling Expenses"),P501="Parts",_xlfn.IFS(I501="SALES","GP",I501="SERVICE SALES","GP",I501="PARTS SALES","GP",I501="SERVICE COS","GP",I501="PARTS COS","GP",I501="SELLING EXPENSES","Selling Expenses",I501="EMPLOYMENT EXPENSES","Selling Expenses",I501="EMPLOYMENT EXPENSES","Selling Expenses",I501="DIRECT EXPENSES","Selling Expenses",I501="INDIRECT EXPENSES","Selling Expenses"))</f>
        <v>#N/A</v>
      </c>
    </row>
    <row r="502" spans="1:18" x14ac:dyDescent="0.2">
      <c r="A502" s="75">
        <v>3301</v>
      </c>
      <c r="B502" s="76" t="s">
        <v>703</v>
      </c>
      <c r="C502" s="76">
        <v>147</v>
      </c>
      <c r="D502" s="76" t="s">
        <v>699</v>
      </c>
      <c r="E502" s="76" t="s">
        <v>426</v>
      </c>
      <c r="F502" s="77">
        <v>0</v>
      </c>
      <c r="G502" s="77">
        <v>0</v>
      </c>
      <c r="H502" s="77">
        <v>0</v>
      </c>
      <c r="I502" s="76" t="s">
        <v>698</v>
      </c>
      <c r="J502" s="77">
        <v>0</v>
      </c>
      <c r="K502" s="78">
        <v>-1134.52</v>
      </c>
      <c r="M502" s="79" t="str">
        <f t="shared" si="23"/>
        <v>147-3301</v>
      </c>
      <c r="N502" s="79" t="str">
        <f t="shared" si="21"/>
        <v/>
      </c>
      <c r="O502" s="79" t="str">
        <f t="shared" si="22"/>
        <v>147</v>
      </c>
      <c r="P502" s="79" t="str">
        <f>IFERROR(VLOOKUP($M502,Export!$P:$R,2,FALSE),"-")</f>
        <v>Service</v>
      </c>
      <c r="Q502" s="79" t="str">
        <f>IFERROR(VLOOKUP($M502,Export!$P:$R,3,FALSE),"-")</f>
        <v>ServiceRetail % of Labour Sales</v>
      </c>
      <c r="R502" s="80" t="str" cm="1">
        <f t="array" ref="R502">_xlfn.IFS(P502="Service", _xlfn.IFS(I502="SALES","GP",I502="SERVICE SALES","GP",I502="PARTS SALES","GP",I502="SERVICE COS","GP",I502="PARTS COS","GP",I502="SELLING EXPENSES","Selling Expenses",I502="EMPLOYMENT EXPENSES","Selling Expenses",I502="EMPLOYMENT EXPENSES","Selling Expenses",I502="DIRECT EXPENSES","Selling Expenses",I502="INDIRECT EXPENSES","Selling Expenses"),P502="Parts",_xlfn.IFS(I502="SALES","GP",I502="SERVICE SALES","GP",I502="PARTS SALES","GP",I502="SERVICE COS","GP",I502="PARTS COS","GP",I502="SELLING EXPENSES","Selling Expenses",I502="EMPLOYMENT EXPENSES","Selling Expenses",I502="EMPLOYMENT EXPENSES","Selling Expenses",I502="DIRECT EXPENSES","Selling Expenses",I502="INDIRECT EXPENSES","Selling Expenses"))</f>
        <v>GP</v>
      </c>
    </row>
    <row r="503" spans="1:18" x14ac:dyDescent="0.2">
      <c r="A503" s="75">
        <v>3301</v>
      </c>
      <c r="B503" s="76" t="s">
        <v>703</v>
      </c>
      <c r="C503" s="76">
        <v>240</v>
      </c>
      <c r="D503" s="76" t="s">
        <v>439</v>
      </c>
      <c r="E503" s="76" t="s">
        <v>426</v>
      </c>
      <c r="F503" s="77">
        <v>-75181.22</v>
      </c>
      <c r="G503" s="77">
        <v>-8978.85</v>
      </c>
      <c r="H503" s="77">
        <v>-84160.07</v>
      </c>
      <c r="I503" s="76" t="s">
        <v>698</v>
      </c>
      <c r="J503" s="77">
        <v>0</v>
      </c>
      <c r="K503" s="78">
        <v>-29796.97</v>
      </c>
      <c r="M503" s="79" t="str">
        <f t="shared" si="23"/>
        <v>240-3301</v>
      </c>
      <c r="N503" s="79" t="str">
        <f t="shared" si="21"/>
        <v/>
      </c>
      <c r="O503" s="79" t="str">
        <f t="shared" si="22"/>
        <v>240</v>
      </c>
      <c r="P503" s="79" t="str">
        <f>IFERROR(VLOOKUP($M503,Export!$P:$R,2,FALSE),"-")</f>
        <v>Service</v>
      </c>
      <c r="Q503" s="79" t="str">
        <f>IFERROR(VLOOKUP($M503,Export!$P:$R,3,FALSE),"-")</f>
        <v>ServiceRetail % of Labour Sales</v>
      </c>
      <c r="R503" s="80" t="str" cm="1">
        <f t="array" ref="R503">_xlfn.IFS(P503="Service", _xlfn.IFS(I503="SALES","GP",I503="SERVICE SALES","GP",I503="PARTS SALES","GP",I503="SERVICE COS","GP",I503="PARTS COS","GP",I503="SELLING EXPENSES","Selling Expenses",I503="EMPLOYMENT EXPENSES","Selling Expenses",I503="EMPLOYMENT EXPENSES","Selling Expenses",I503="DIRECT EXPENSES","Selling Expenses",I503="INDIRECT EXPENSES","Selling Expenses"),P503="Parts",_xlfn.IFS(I503="SALES","GP",I503="SERVICE SALES","GP",I503="PARTS SALES","GP",I503="SERVICE COS","GP",I503="PARTS COS","GP",I503="SELLING EXPENSES","Selling Expenses",I503="EMPLOYMENT EXPENSES","Selling Expenses",I503="EMPLOYMENT EXPENSES","Selling Expenses",I503="DIRECT EXPENSES","Selling Expenses",I503="INDIRECT EXPENSES","Selling Expenses"))</f>
        <v>GP</v>
      </c>
    </row>
    <row r="504" spans="1:18" x14ac:dyDescent="0.2">
      <c r="A504" s="75">
        <v>3301</v>
      </c>
      <c r="B504" s="76" t="s">
        <v>703</v>
      </c>
      <c r="C504" s="76">
        <v>340</v>
      </c>
      <c r="D504" s="76" t="s">
        <v>440</v>
      </c>
      <c r="E504" s="76" t="s">
        <v>426</v>
      </c>
      <c r="F504" s="77">
        <v>-37736.269999999997</v>
      </c>
      <c r="G504" s="77">
        <v>-5038.0600000000004</v>
      </c>
      <c r="H504" s="77">
        <v>-42774.33</v>
      </c>
      <c r="I504" s="76" t="s">
        <v>698</v>
      </c>
      <c r="J504" s="77">
        <v>0</v>
      </c>
      <c r="K504" s="78">
        <v>-20138.07</v>
      </c>
      <c r="M504" s="79" t="str">
        <f t="shared" si="23"/>
        <v>340-3301</v>
      </c>
      <c r="N504" s="79" t="str">
        <f t="shared" si="21"/>
        <v/>
      </c>
      <c r="O504" s="79" t="str">
        <f t="shared" si="22"/>
        <v>340</v>
      </c>
      <c r="P504" s="79" t="str">
        <f>IFERROR(VLOOKUP($M504,Export!$P:$R,2,FALSE),"-")</f>
        <v>Service</v>
      </c>
      <c r="Q504" s="79" t="str">
        <f>IFERROR(VLOOKUP($M504,Export!$P:$R,3,FALSE),"-")</f>
        <v>ServiceRetail % of Labour Sales</v>
      </c>
      <c r="R504" s="80" t="str" cm="1">
        <f t="array" ref="R504">_xlfn.IFS(P504="Service", _xlfn.IFS(I504="SALES","GP",I504="SERVICE SALES","GP",I504="PARTS SALES","GP",I504="SERVICE COS","GP",I504="PARTS COS","GP",I504="SELLING EXPENSES","Selling Expenses",I504="EMPLOYMENT EXPENSES","Selling Expenses",I504="EMPLOYMENT EXPENSES","Selling Expenses",I504="DIRECT EXPENSES","Selling Expenses",I504="INDIRECT EXPENSES","Selling Expenses"),P504="Parts",_xlfn.IFS(I504="SALES","GP",I504="SERVICE SALES","GP",I504="PARTS SALES","GP",I504="SERVICE COS","GP",I504="PARTS COS","GP",I504="SELLING EXPENSES","Selling Expenses",I504="EMPLOYMENT EXPENSES","Selling Expenses",I504="EMPLOYMENT EXPENSES","Selling Expenses",I504="DIRECT EXPENSES","Selling Expenses",I504="INDIRECT EXPENSES","Selling Expenses"))</f>
        <v>GP</v>
      </c>
    </row>
    <row r="505" spans="1:18" x14ac:dyDescent="0.2">
      <c r="A505" s="75">
        <v>3301</v>
      </c>
      <c r="B505" s="76" t="s">
        <v>703</v>
      </c>
      <c r="C505" s="76">
        <v>440</v>
      </c>
      <c r="D505" s="76" t="s">
        <v>441</v>
      </c>
      <c r="E505" s="76" t="s">
        <v>426</v>
      </c>
      <c r="F505" s="77">
        <v>-22812.16</v>
      </c>
      <c r="G505" s="77">
        <v>-3708.56</v>
      </c>
      <c r="H505" s="77">
        <v>-26520.720000000001</v>
      </c>
      <c r="I505" s="76" t="s">
        <v>698</v>
      </c>
      <c r="J505" s="77">
        <v>0</v>
      </c>
      <c r="K505" s="78">
        <v>-2995.08</v>
      </c>
      <c r="M505" s="79" t="str">
        <f t="shared" si="23"/>
        <v>440-3301</v>
      </c>
      <c r="N505" s="79" t="str">
        <f t="shared" si="21"/>
        <v/>
      </c>
      <c r="O505" s="79" t="str">
        <f t="shared" si="22"/>
        <v>440</v>
      </c>
      <c r="P505" s="79" t="str">
        <f>IFERROR(VLOOKUP($M505,Export!$P:$R,2,FALSE),"-")</f>
        <v>Service</v>
      </c>
      <c r="Q505" s="79" t="str">
        <f>IFERROR(VLOOKUP($M505,Export!$P:$R,3,FALSE),"-")</f>
        <v>ServiceRetail % of Labour Sales</v>
      </c>
      <c r="R505" s="80" t="str" cm="1">
        <f t="array" ref="R505">_xlfn.IFS(P505="Service", _xlfn.IFS(I505="SALES","GP",I505="SERVICE SALES","GP",I505="PARTS SALES","GP",I505="SERVICE COS","GP",I505="PARTS COS","GP",I505="SELLING EXPENSES","Selling Expenses",I505="EMPLOYMENT EXPENSES","Selling Expenses",I505="EMPLOYMENT EXPENSES","Selling Expenses",I505="DIRECT EXPENSES","Selling Expenses",I505="INDIRECT EXPENSES","Selling Expenses"),P505="Parts",_xlfn.IFS(I505="SALES","GP",I505="SERVICE SALES","GP",I505="PARTS SALES","GP",I505="SERVICE COS","GP",I505="PARTS COS","GP",I505="SELLING EXPENSES","Selling Expenses",I505="EMPLOYMENT EXPENSES","Selling Expenses",I505="EMPLOYMENT EXPENSES","Selling Expenses",I505="DIRECT EXPENSES","Selling Expenses",I505="INDIRECT EXPENSES","Selling Expenses"))</f>
        <v>GP</v>
      </c>
    </row>
    <row r="506" spans="1:18" x14ac:dyDescent="0.2">
      <c r="A506" s="75" t="s">
        <v>704</v>
      </c>
      <c r="B506" s="76" t="s">
        <v>705</v>
      </c>
      <c r="C506" s="76">
        <v>140</v>
      </c>
      <c r="D506" s="76" t="s">
        <v>433</v>
      </c>
      <c r="E506" s="76" t="s">
        <v>247</v>
      </c>
      <c r="F506" s="77">
        <v>959</v>
      </c>
      <c r="G506" s="77">
        <v>121</v>
      </c>
      <c r="H506" s="77">
        <v>1080</v>
      </c>
      <c r="I506" s="76" t="s">
        <v>698</v>
      </c>
      <c r="J506" s="77">
        <v>0</v>
      </c>
      <c r="K506" s="78">
        <v>578</v>
      </c>
      <c r="M506" s="79" t="str">
        <f t="shared" si="23"/>
        <v>140-3301#</v>
      </c>
      <c r="N506" s="79" t="str">
        <f t="shared" si="21"/>
        <v>#</v>
      </c>
      <c r="O506" s="79" t="str">
        <f t="shared" si="22"/>
        <v>140#</v>
      </c>
      <c r="P506" s="79" t="str">
        <f>IFERROR(VLOOKUP($M506,Export!$P:$R,2,FALSE),"-")</f>
        <v>-</v>
      </c>
      <c r="Q506" s="79" t="str">
        <f>IFERROR(VLOOKUP($M506,Export!$P:$R,3,FALSE),"-")</f>
        <v>-</v>
      </c>
      <c r="R506" s="80" t="e" cm="1">
        <f t="array" ref="R506">_xlfn.IFS(P506="Service", _xlfn.IFS(I506="SALES","GP",I506="SERVICE SALES","GP",I506="PARTS SALES","GP",I506="SERVICE COS","GP",I506="PARTS COS","GP",I506="SELLING EXPENSES","Selling Expenses",I506="EMPLOYMENT EXPENSES","Selling Expenses",I506="EMPLOYMENT EXPENSES","Selling Expenses",I506="DIRECT EXPENSES","Selling Expenses",I506="INDIRECT EXPENSES","Selling Expenses"),P506="Parts",_xlfn.IFS(I506="SALES","GP",I506="SERVICE SALES","GP",I506="PARTS SALES","GP",I506="SERVICE COS","GP",I506="PARTS COS","GP",I506="SELLING EXPENSES","Selling Expenses",I506="EMPLOYMENT EXPENSES","Selling Expenses",I506="EMPLOYMENT EXPENSES","Selling Expenses",I506="DIRECT EXPENSES","Selling Expenses",I506="INDIRECT EXPENSES","Selling Expenses"))</f>
        <v>#N/A</v>
      </c>
    </row>
    <row r="507" spans="1:18" x14ac:dyDescent="0.2">
      <c r="A507" s="75" t="s">
        <v>704</v>
      </c>
      <c r="B507" s="76" t="s">
        <v>705</v>
      </c>
      <c r="C507" s="76">
        <v>142</v>
      </c>
      <c r="D507" s="76" t="s">
        <v>454</v>
      </c>
      <c r="E507" s="76" t="s">
        <v>247</v>
      </c>
      <c r="F507" s="77">
        <v>729</v>
      </c>
      <c r="G507" s="77">
        <v>76</v>
      </c>
      <c r="H507" s="77">
        <v>805</v>
      </c>
      <c r="I507" s="76" t="s">
        <v>698</v>
      </c>
      <c r="J507" s="77">
        <v>0</v>
      </c>
      <c r="K507" s="78">
        <v>387</v>
      </c>
      <c r="M507" s="79" t="str">
        <f t="shared" si="23"/>
        <v>142-3301#</v>
      </c>
      <c r="N507" s="79" t="str">
        <f t="shared" si="21"/>
        <v>#</v>
      </c>
      <c r="O507" s="79" t="str">
        <f t="shared" si="22"/>
        <v>142#</v>
      </c>
      <c r="P507" s="79" t="str">
        <f>IFERROR(VLOOKUP($M507,Export!$P:$R,2,FALSE),"-")</f>
        <v>-</v>
      </c>
      <c r="Q507" s="79" t="str">
        <f>IFERROR(VLOOKUP($M507,Export!$P:$R,3,FALSE),"-")</f>
        <v>-</v>
      </c>
      <c r="R507" s="80" t="e" cm="1">
        <f t="array" ref="R507">_xlfn.IFS(P507="Service", _xlfn.IFS(I507="SALES","GP",I507="SERVICE SALES","GP",I507="PARTS SALES","GP",I507="SERVICE COS","GP",I507="PARTS COS","GP",I507="SELLING EXPENSES","Selling Expenses",I507="EMPLOYMENT EXPENSES","Selling Expenses",I507="EMPLOYMENT EXPENSES","Selling Expenses",I507="DIRECT EXPENSES","Selling Expenses",I507="INDIRECT EXPENSES","Selling Expenses"),P507="Parts",_xlfn.IFS(I507="SALES","GP",I507="SERVICE SALES","GP",I507="PARTS SALES","GP",I507="SERVICE COS","GP",I507="PARTS COS","GP",I507="SELLING EXPENSES","Selling Expenses",I507="EMPLOYMENT EXPENSES","Selling Expenses",I507="EMPLOYMENT EXPENSES","Selling Expenses",I507="DIRECT EXPENSES","Selling Expenses",I507="INDIRECT EXPENSES","Selling Expenses"))</f>
        <v>#N/A</v>
      </c>
    </row>
    <row r="508" spans="1:18" x14ac:dyDescent="0.2">
      <c r="A508" s="75" t="s">
        <v>704</v>
      </c>
      <c r="B508" s="76" t="s">
        <v>705</v>
      </c>
      <c r="C508" s="76">
        <v>147</v>
      </c>
      <c r="D508" s="76" t="s">
        <v>699</v>
      </c>
      <c r="E508" s="76" t="s">
        <v>247</v>
      </c>
      <c r="F508" s="77">
        <v>0</v>
      </c>
      <c r="G508" s="77">
        <v>0</v>
      </c>
      <c r="H508" s="77">
        <v>0</v>
      </c>
      <c r="I508" s="76" t="s">
        <v>698</v>
      </c>
      <c r="J508" s="77">
        <v>0</v>
      </c>
      <c r="K508" s="78">
        <v>3</v>
      </c>
      <c r="M508" s="79" t="str">
        <f t="shared" si="23"/>
        <v>147-3301#</v>
      </c>
      <c r="N508" s="79" t="str">
        <f t="shared" si="21"/>
        <v>#</v>
      </c>
      <c r="O508" s="79" t="str">
        <f t="shared" si="22"/>
        <v>147#</v>
      </c>
      <c r="P508" s="79" t="str">
        <f>IFERROR(VLOOKUP($M508,Export!$P:$R,2,FALSE),"-")</f>
        <v>-</v>
      </c>
      <c r="Q508" s="79" t="str">
        <f>IFERROR(VLOOKUP($M508,Export!$P:$R,3,FALSE),"-")</f>
        <v>-</v>
      </c>
      <c r="R508" s="80" t="e" cm="1">
        <f t="array" ref="R508">_xlfn.IFS(P508="Service", _xlfn.IFS(I508="SALES","GP",I508="SERVICE SALES","GP",I508="PARTS SALES","GP",I508="SERVICE COS","GP",I508="PARTS COS","GP",I508="SELLING EXPENSES","Selling Expenses",I508="EMPLOYMENT EXPENSES","Selling Expenses",I508="EMPLOYMENT EXPENSES","Selling Expenses",I508="DIRECT EXPENSES","Selling Expenses",I508="INDIRECT EXPENSES","Selling Expenses"),P508="Parts",_xlfn.IFS(I508="SALES","GP",I508="SERVICE SALES","GP",I508="PARTS SALES","GP",I508="SERVICE COS","GP",I508="PARTS COS","GP",I508="SELLING EXPENSES","Selling Expenses",I508="EMPLOYMENT EXPENSES","Selling Expenses",I508="EMPLOYMENT EXPENSES","Selling Expenses",I508="DIRECT EXPENSES","Selling Expenses",I508="INDIRECT EXPENSES","Selling Expenses"))</f>
        <v>#N/A</v>
      </c>
    </row>
    <row r="509" spans="1:18" x14ac:dyDescent="0.2">
      <c r="A509" s="75" t="s">
        <v>704</v>
      </c>
      <c r="B509" s="76" t="s">
        <v>705</v>
      </c>
      <c r="C509" s="76">
        <v>240</v>
      </c>
      <c r="D509" s="76" t="s">
        <v>439</v>
      </c>
      <c r="E509" s="76" t="s">
        <v>247</v>
      </c>
      <c r="F509" s="77">
        <v>619</v>
      </c>
      <c r="G509" s="77">
        <v>84</v>
      </c>
      <c r="H509" s="77">
        <v>703</v>
      </c>
      <c r="I509" s="76" t="s">
        <v>698</v>
      </c>
      <c r="J509" s="77">
        <v>0</v>
      </c>
      <c r="K509" s="78">
        <v>272</v>
      </c>
      <c r="M509" s="79" t="str">
        <f t="shared" si="23"/>
        <v>240-3301#</v>
      </c>
      <c r="N509" s="79" t="str">
        <f t="shared" si="21"/>
        <v>#</v>
      </c>
      <c r="O509" s="79" t="str">
        <f t="shared" si="22"/>
        <v>240#</v>
      </c>
      <c r="P509" s="79" t="str">
        <f>IFERROR(VLOOKUP($M509,Export!$P:$R,2,FALSE),"-")</f>
        <v>-</v>
      </c>
      <c r="Q509" s="79" t="str">
        <f>IFERROR(VLOOKUP($M509,Export!$P:$R,3,FALSE),"-")</f>
        <v>-</v>
      </c>
      <c r="R509" s="80" t="e" cm="1">
        <f t="array" ref="R509">_xlfn.IFS(P509="Service", _xlfn.IFS(I509="SALES","GP",I509="SERVICE SALES","GP",I509="PARTS SALES","GP",I509="SERVICE COS","GP",I509="PARTS COS","GP",I509="SELLING EXPENSES","Selling Expenses",I509="EMPLOYMENT EXPENSES","Selling Expenses",I509="EMPLOYMENT EXPENSES","Selling Expenses",I509="DIRECT EXPENSES","Selling Expenses",I509="INDIRECT EXPENSES","Selling Expenses"),P509="Parts",_xlfn.IFS(I509="SALES","GP",I509="SERVICE SALES","GP",I509="PARTS SALES","GP",I509="SERVICE COS","GP",I509="PARTS COS","GP",I509="SELLING EXPENSES","Selling Expenses",I509="EMPLOYMENT EXPENSES","Selling Expenses",I509="EMPLOYMENT EXPENSES","Selling Expenses",I509="DIRECT EXPENSES","Selling Expenses",I509="INDIRECT EXPENSES","Selling Expenses"))</f>
        <v>#N/A</v>
      </c>
    </row>
    <row r="510" spans="1:18" x14ac:dyDescent="0.2">
      <c r="A510" s="75" t="s">
        <v>704</v>
      </c>
      <c r="B510" s="76" t="s">
        <v>705</v>
      </c>
      <c r="C510" s="76">
        <v>340</v>
      </c>
      <c r="D510" s="76" t="s">
        <v>440</v>
      </c>
      <c r="E510" s="76" t="s">
        <v>247</v>
      </c>
      <c r="F510" s="77">
        <v>323</v>
      </c>
      <c r="G510" s="77">
        <v>41</v>
      </c>
      <c r="H510" s="77">
        <v>364</v>
      </c>
      <c r="I510" s="76" t="s">
        <v>698</v>
      </c>
      <c r="J510" s="77">
        <v>0</v>
      </c>
      <c r="K510" s="78">
        <v>170</v>
      </c>
      <c r="M510" s="79" t="str">
        <f t="shared" si="23"/>
        <v>340-3301#</v>
      </c>
      <c r="N510" s="79" t="str">
        <f t="shared" si="21"/>
        <v>#</v>
      </c>
      <c r="O510" s="79" t="str">
        <f t="shared" si="22"/>
        <v>340#</v>
      </c>
      <c r="P510" s="79" t="str">
        <f>IFERROR(VLOOKUP($M510,Export!$P:$R,2,FALSE),"-")</f>
        <v>-</v>
      </c>
      <c r="Q510" s="79" t="str">
        <f>IFERROR(VLOOKUP($M510,Export!$P:$R,3,FALSE),"-")</f>
        <v>-</v>
      </c>
      <c r="R510" s="80" t="e" cm="1">
        <f t="array" ref="R510">_xlfn.IFS(P510="Service", _xlfn.IFS(I510="SALES","GP",I510="SERVICE SALES","GP",I510="PARTS SALES","GP",I510="SERVICE COS","GP",I510="PARTS COS","GP",I510="SELLING EXPENSES","Selling Expenses",I510="EMPLOYMENT EXPENSES","Selling Expenses",I510="EMPLOYMENT EXPENSES","Selling Expenses",I510="DIRECT EXPENSES","Selling Expenses",I510="INDIRECT EXPENSES","Selling Expenses"),P510="Parts",_xlfn.IFS(I510="SALES","GP",I510="SERVICE SALES","GP",I510="PARTS SALES","GP",I510="SERVICE COS","GP",I510="PARTS COS","GP",I510="SELLING EXPENSES","Selling Expenses",I510="EMPLOYMENT EXPENSES","Selling Expenses",I510="EMPLOYMENT EXPENSES","Selling Expenses",I510="DIRECT EXPENSES","Selling Expenses",I510="INDIRECT EXPENSES","Selling Expenses"))</f>
        <v>#N/A</v>
      </c>
    </row>
    <row r="511" spans="1:18" x14ac:dyDescent="0.2">
      <c r="A511" s="75" t="s">
        <v>704</v>
      </c>
      <c r="B511" s="76" t="s">
        <v>705</v>
      </c>
      <c r="C511" s="76">
        <v>440</v>
      </c>
      <c r="D511" s="76" t="s">
        <v>441</v>
      </c>
      <c r="E511" s="76" t="s">
        <v>247</v>
      </c>
      <c r="F511" s="77">
        <v>193</v>
      </c>
      <c r="G511" s="77">
        <v>25</v>
      </c>
      <c r="H511" s="77">
        <v>218</v>
      </c>
      <c r="I511" s="76" t="s">
        <v>698</v>
      </c>
      <c r="J511" s="77">
        <v>0</v>
      </c>
      <c r="K511" s="78">
        <v>31</v>
      </c>
      <c r="M511" s="79" t="str">
        <f t="shared" si="23"/>
        <v>440-3301#</v>
      </c>
      <c r="N511" s="79" t="str">
        <f t="shared" si="21"/>
        <v>#</v>
      </c>
      <c r="O511" s="79" t="str">
        <f t="shared" si="22"/>
        <v>440#</v>
      </c>
      <c r="P511" s="79" t="str">
        <f>IFERROR(VLOOKUP($M511,Export!$P:$R,2,FALSE),"-")</f>
        <v>-</v>
      </c>
      <c r="Q511" s="79" t="str">
        <f>IFERROR(VLOOKUP($M511,Export!$P:$R,3,FALSE),"-")</f>
        <v>-</v>
      </c>
      <c r="R511" s="80" t="e" cm="1">
        <f t="array" ref="R511">_xlfn.IFS(P511="Service", _xlfn.IFS(I511="SALES","GP",I511="SERVICE SALES","GP",I511="PARTS SALES","GP",I511="SERVICE COS","GP",I511="PARTS COS","GP",I511="SELLING EXPENSES","Selling Expenses",I511="EMPLOYMENT EXPENSES","Selling Expenses",I511="EMPLOYMENT EXPENSES","Selling Expenses",I511="DIRECT EXPENSES","Selling Expenses",I511="INDIRECT EXPENSES","Selling Expenses"),P511="Parts",_xlfn.IFS(I511="SALES","GP",I511="SERVICE SALES","GP",I511="PARTS SALES","GP",I511="SERVICE COS","GP",I511="PARTS COS","GP",I511="SELLING EXPENSES","Selling Expenses",I511="EMPLOYMENT EXPENSES","Selling Expenses",I511="EMPLOYMENT EXPENSES","Selling Expenses",I511="DIRECT EXPENSES","Selling Expenses",I511="INDIRECT EXPENSES","Selling Expenses"))</f>
        <v>#N/A</v>
      </c>
    </row>
    <row r="512" spans="1:18" x14ac:dyDescent="0.2">
      <c r="A512" s="75">
        <v>3302</v>
      </c>
      <c r="B512" s="76" t="s">
        <v>706</v>
      </c>
      <c r="C512" s="76">
        <v>140</v>
      </c>
      <c r="D512" s="76" t="s">
        <v>433</v>
      </c>
      <c r="E512" s="76" t="s">
        <v>426</v>
      </c>
      <c r="F512" s="77">
        <v>-42536.2</v>
      </c>
      <c r="G512" s="77">
        <v>-3030.89</v>
      </c>
      <c r="H512" s="77">
        <v>-45567.09</v>
      </c>
      <c r="I512" s="76" t="s">
        <v>698</v>
      </c>
      <c r="J512" s="77">
        <v>0</v>
      </c>
      <c r="K512" s="78">
        <v>-11879.74</v>
      </c>
      <c r="M512" s="79" t="str">
        <f t="shared" si="23"/>
        <v>140-3302</v>
      </c>
      <c r="N512" s="79" t="str">
        <f t="shared" si="21"/>
        <v/>
      </c>
      <c r="O512" s="79" t="str">
        <f t="shared" si="22"/>
        <v>140</v>
      </c>
      <c r="P512" s="79" t="str">
        <f>IFERROR(VLOOKUP($M512,Export!$P:$R,2,FALSE),"-")</f>
        <v>Service</v>
      </c>
      <c r="Q512" s="79" t="str">
        <f>IFERROR(VLOOKUP($M512,Export!$P:$R,3,FALSE),"-")</f>
        <v>ServiceRetail % of Labour Sales</v>
      </c>
      <c r="R512" s="80" t="str" cm="1">
        <f t="array" ref="R512">_xlfn.IFS(P512="Service", _xlfn.IFS(I512="SALES","GP",I512="SERVICE SALES","GP",I512="PARTS SALES","GP",I512="SERVICE COS","GP",I512="PARTS COS","GP",I512="SELLING EXPENSES","Selling Expenses",I512="EMPLOYMENT EXPENSES","Selling Expenses",I512="EMPLOYMENT EXPENSES","Selling Expenses",I512="DIRECT EXPENSES","Selling Expenses",I512="INDIRECT EXPENSES","Selling Expenses"),P512="Parts",_xlfn.IFS(I512="SALES","GP",I512="SERVICE SALES","GP",I512="PARTS SALES","GP",I512="SERVICE COS","GP",I512="PARTS COS","GP",I512="SELLING EXPENSES","Selling Expenses",I512="EMPLOYMENT EXPENSES","Selling Expenses",I512="EMPLOYMENT EXPENSES","Selling Expenses",I512="DIRECT EXPENSES","Selling Expenses",I512="INDIRECT EXPENSES","Selling Expenses"))</f>
        <v>GP</v>
      </c>
    </row>
    <row r="513" spans="1:18" x14ac:dyDescent="0.2">
      <c r="A513" s="75">
        <v>3302</v>
      </c>
      <c r="B513" s="76" t="s">
        <v>706</v>
      </c>
      <c r="C513" s="76">
        <v>142</v>
      </c>
      <c r="D513" s="76" t="s">
        <v>454</v>
      </c>
      <c r="E513" s="76" t="s">
        <v>426</v>
      </c>
      <c r="F513" s="77">
        <v>-427.71</v>
      </c>
      <c r="G513" s="77">
        <v>-65.209999999999994</v>
      </c>
      <c r="H513" s="77">
        <v>-492.92</v>
      </c>
      <c r="I513" s="76" t="s">
        <v>698</v>
      </c>
      <c r="J513" s="77">
        <v>0</v>
      </c>
      <c r="K513" s="78">
        <v>0</v>
      </c>
      <c r="M513" s="79" t="str">
        <f t="shared" si="23"/>
        <v>142-3302</v>
      </c>
      <c r="N513" s="79" t="str">
        <f t="shared" si="21"/>
        <v/>
      </c>
      <c r="O513" s="79" t="str">
        <f t="shared" si="22"/>
        <v>142</v>
      </c>
      <c r="P513" s="79" t="str">
        <f>IFERROR(VLOOKUP($M513,Export!$P:$R,2,FALSE),"-")</f>
        <v>Lex Service</v>
      </c>
      <c r="Q513" s="79" t="str">
        <f>IFERROR(VLOOKUP($M513,Export!$P:$R,3,FALSE),"-")</f>
        <v>Lex ServiceRetail % of Labour Sales</v>
      </c>
      <c r="R513" s="80" t="e" cm="1">
        <f t="array" ref="R513">_xlfn.IFS(P513="Service", _xlfn.IFS(I513="SALES","GP",I513="SERVICE SALES","GP",I513="PARTS SALES","GP",I513="SERVICE COS","GP",I513="PARTS COS","GP",I513="SELLING EXPENSES","Selling Expenses",I513="EMPLOYMENT EXPENSES","Selling Expenses",I513="EMPLOYMENT EXPENSES","Selling Expenses",I513="DIRECT EXPENSES","Selling Expenses",I513="INDIRECT EXPENSES","Selling Expenses"),P513="Parts",_xlfn.IFS(I513="SALES","GP",I513="SERVICE SALES","GP",I513="PARTS SALES","GP",I513="SERVICE COS","GP",I513="PARTS COS","GP",I513="SELLING EXPENSES","Selling Expenses",I513="EMPLOYMENT EXPENSES","Selling Expenses",I513="EMPLOYMENT EXPENSES","Selling Expenses",I513="DIRECT EXPENSES","Selling Expenses",I513="INDIRECT EXPENSES","Selling Expenses"))</f>
        <v>#N/A</v>
      </c>
    </row>
    <row r="514" spans="1:18" x14ac:dyDescent="0.2">
      <c r="A514" s="75">
        <v>3302</v>
      </c>
      <c r="B514" s="76" t="s">
        <v>706</v>
      </c>
      <c r="C514" s="76">
        <v>147</v>
      </c>
      <c r="D514" s="76" t="s">
        <v>699</v>
      </c>
      <c r="E514" s="76" t="s">
        <v>426</v>
      </c>
      <c r="F514" s="77">
        <v>-52.17</v>
      </c>
      <c r="G514" s="77">
        <v>0</v>
      </c>
      <c r="H514" s="77">
        <v>-52.17</v>
      </c>
      <c r="I514" s="76" t="s">
        <v>698</v>
      </c>
      <c r="J514" s="77">
        <v>0</v>
      </c>
      <c r="K514" s="78">
        <v>-943.41</v>
      </c>
      <c r="M514" s="79" t="str">
        <f t="shared" si="23"/>
        <v>147-3302</v>
      </c>
      <c r="N514" s="79" t="str">
        <f t="shared" ref="N514:N577" si="24">+IF(RIGHT(A514,1)="#","#","")</f>
        <v/>
      </c>
      <c r="O514" s="79" t="str">
        <f t="shared" ref="O514:O577" si="25">+C514&amp;N514</f>
        <v>147</v>
      </c>
      <c r="P514" s="79" t="str">
        <f>IFERROR(VLOOKUP($M514,Export!$P:$R,2,FALSE),"-")</f>
        <v>Service</v>
      </c>
      <c r="Q514" s="79" t="str">
        <f>IFERROR(VLOOKUP($M514,Export!$P:$R,3,FALSE),"-")</f>
        <v>ServiceRetail % of Labour Sales</v>
      </c>
      <c r="R514" s="80" t="str" cm="1">
        <f t="array" ref="R514">_xlfn.IFS(P514="Service", _xlfn.IFS(I514="SALES","GP",I514="SERVICE SALES","GP",I514="PARTS SALES","GP",I514="SERVICE COS","GP",I514="PARTS COS","GP",I514="SELLING EXPENSES","Selling Expenses",I514="EMPLOYMENT EXPENSES","Selling Expenses",I514="EMPLOYMENT EXPENSES","Selling Expenses",I514="DIRECT EXPENSES","Selling Expenses",I514="INDIRECT EXPENSES","Selling Expenses"),P514="Parts",_xlfn.IFS(I514="SALES","GP",I514="SERVICE SALES","GP",I514="PARTS SALES","GP",I514="SERVICE COS","GP",I514="PARTS COS","GP",I514="SELLING EXPENSES","Selling Expenses",I514="EMPLOYMENT EXPENSES","Selling Expenses",I514="EMPLOYMENT EXPENSES","Selling Expenses",I514="DIRECT EXPENSES","Selling Expenses",I514="INDIRECT EXPENSES","Selling Expenses"))</f>
        <v>GP</v>
      </c>
    </row>
    <row r="515" spans="1:18" x14ac:dyDescent="0.2">
      <c r="A515" s="75">
        <v>3302</v>
      </c>
      <c r="B515" s="76" t="s">
        <v>706</v>
      </c>
      <c r="C515" s="76">
        <v>240</v>
      </c>
      <c r="D515" s="76" t="s">
        <v>439</v>
      </c>
      <c r="E515" s="76" t="s">
        <v>426</v>
      </c>
      <c r="F515" s="77">
        <v>-5524.2</v>
      </c>
      <c r="G515" s="77">
        <v>-117.39</v>
      </c>
      <c r="H515" s="77">
        <v>-5641.59</v>
      </c>
      <c r="I515" s="76" t="s">
        <v>698</v>
      </c>
      <c r="J515" s="77">
        <v>0</v>
      </c>
      <c r="K515" s="78">
        <v>-1105.3599999999999</v>
      </c>
      <c r="M515" s="79" t="str">
        <f t="shared" ref="M515:M578" si="26">+C515&amp;"-"&amp;A515</f>
        <v>240-3302</v>
      </c>
      <c r="N515" s="79" t="str">
        <f t="shared" si="24"/>
        <v/>
      </c>
      <c r="O515" s="79" t="str">
        <f t="shared" si="25"/>
        <v>240</v>
      </c>
      <c r="P515" s="79" t="str">
        <f>IFERROR(VLOOKUP($M515,Export!$P:$R,2,FALSE),"-")</f>
        <v>Service</v>
      </c>
      <c r="Q515" s="79" t="str">
        <f>IFERROR(VLOOKUP($M515,Export!$P:$R,3,FALSE),"-")</f>
        <v>ServiceRetail % of Labour Sales</v>
      </c>
      <c r="R515" s="80" t="str" cm="1">
        <f t="array" ref="R515">_xlfn.IFS(P515="Service", _xlfn.IFS(I515="SALES","GP",I515="SERVICE SALES","GP",I515="PARTS SALES","GP",I515="SERVICE COS","GP",I515="PARTS COS","GP",I515="SELLING EXPENSES","Selling Expenses",I515="EMPLOYMENT EXPENSES","Selling Expenses",I515="EMPLOYMENT EXPENSES","Selling Expenses",I515="DIRECT EXPENSES","Selling Expenses",I515="INDIRECT EXPENSES","Selling Expenses"),P515="Parts",_xlfn.IFS(I515="SALES","GP",I515="SERVICE SALES","GP",I515="PARTS SALES","GP",I515="SERVICE COS","GP",I515="PARTS COS","GP",I515="SELLING EXPENSES","Selling Expenses",I515="EMPLOYMENT EXPENSES","Selling Expenses",I515="EMPLOYMENT EXPENSES","Selling Expenses",I515="DIRECT EXPENSES","Selling Expenses",I515="INDIRECT EXPENSES","Selling Expenses"))</f>
        <v>GP</v>
      </c>
    </row>
    <row r="516" spans="1:18" x14ac:dyDescent="0.2">
      <c r="A516" s="75">
        <v>3302</v>
      </c>
      <c r="B516" s="76" t="s">
        <v>706</v>
      </c>
      <c r="C516" s="76">
        <v>340</v>
      </c>
      <c r="D516" s="76" t="s">
        <v>440</v>
      </c>
      <c r="E516" s="76" t="s">
        <v>426</v>
      </c>
      <c r="F516" s="77">
        <v>-8766.6200000000008</v>
      </c>
      <c r="G516" s="77">
        <v>-511.32</v>
      </c>
      <c r="H516" s="77">
        <v>-9277.94</v>
      </c>
      <c r="I516" s="76" t="s">
        <v>698</v>
      </c>
      <c r="J516" s="77">
        <v>0</v>
      </c>
      <c r="K516" s="78">
        <v>-3231.9</v>
      </c>
      <c r="M516" s="79" t="str">
        <f t="shared" si="26"/>
        <v>340-3302</v>
      </c>
      <c r="N516" s="79" t="str">
        <f t="shared" si="24"/>
        <v/>
      </c>
      <c r="O516" s="79" t="str">
        <f t="shared" si="25"/>
        <v>340</v>
      </c>
      <c r="P516" s="79" t="str">
        <f>IFERROR(VLOOKUP($M516,Export!$P:$R,2,FALSE),"-")</f>
        <v>Service</v>
      </c>
      <c r="Q516" s="79" t="str">
        <f>IFERROR(VLOOKUP($M516,Export!$P:$R,3,FALSE),"-")</f>
        <v>ServiceRetail % of Labour Sales</v>
      </c>
      <c r="R516" s="80" t="str" cm="1">
        <f t="array" ref="R516">_xlfn.IFS(P516="Service", _xlfn.IFS(I516="SALES","GP",I516="SERVICE SALES","GP",I516="PARTS SALES","GP",I516="SERVICE COS","GP",I516="PARTS COS","GP",I516="SELLING EXPENSES","Selling Expenses",I516="EMPLOYMENT EXPENSES","Selling Expenses",I516="EMPLOYMENT EXPENSES","Selling Expenses",I516="DIRECT EXPENSES","Selling Expenses",I516="INDIRECT EXPENSES","Selling Expenses"),P516="Parts",_xlfn.IFS(I516="SALES","GP",I516="SERVICE SALES","GP",I516="PARTS SALES","GP",I516="SERVICE COS","GP",I516="PARTS COS","GP",I516="SELLING EXPENSES","Selling Expenses",I516="EMPLOYMENT EXPENSES","Selling Expenses",I516="EMPLOYMENT EXPENSES","Selling Expenses",I516="DIRECT EXPENSES","Selling Expenses",I516="INDIRECT EXPENSES","Selling Expenses"))</f>
        <v>GP</v>
      </c>
    </row>
    <row r="517" spans="1:18" x14ac:dyDescent="0.2">
      <c r="A517" s="75">
        <v>3302</v>
      </c>
      <c r="B517" s="76" t="s">
        <v>706</v>
      </c>
      <c r="C517" s="76">
        <v>440</v>
      </c>
      <c r="D517" s="76" t="s">
        <v>441</v>
      </c>
      <c r="E517" s="76" t="s">
        <v>426</v>
      </c>
      <c r="F517" s="77">
        <v>-7969.39</v>
      </c>
      <c r="G517" s="77">
        <v>-1304.4000000000001</v>
      </c>
      <c r="H517" s="77">
        <v>-9273.7900000000009</v>
      </c>
      <c r="I517" s="76" t="s">
        <v>698</v>
      </c>
      <c r="J517" s="77">
        <v>0</v>
      </c>
      <c r="K517" s="78">
        <v>-826.03</v>
      </c>
      <c r="M517" s="79" t="str">
        <f t="shared" si="26"/>
        <v>440-3302</v>
      </c>
      <c r="N517" s="79" t="str">
        <f t="shared" si="24"/>
        <v/>
      </c>
      <c r="O517" s="79" t="str">
        <f t="shared" si="25"/>
        <v>440</v>
      </c>
      <c r="P517" s="79" t="str">
        <f>IFERROR(VLOOKUP($M517,Export!$P:$R,2,FALSE),"-")</f>
        <v>Service</v>
      </c>
      <c r="Q517" s="79" t="str">
        <f>IFERROR(VLOOKUP($M517,Export!$P:$R,3,FALSE),"-")</f>
        <v>ServiceRetail % of Labour Sales</v>
      </c>
      <c r="R517" s="80" t="str" cm="1">
        <f t="array" ref="R517">_xlfn.IFS(P517="Service", _xlfn.IFS(I517="SALES","GP",I517="SERVICE SALES","GP",I517="PARTS SALES","GP",I517="SERVICE COS","GP",I517="PARTS COS","GP",I517="SELLING EXPENSES","Selling Expenses",I517="EMPLOYMENT EXPENSES","Selling Expenses",I517="EMPLOYMENT EXPENSES","Selling Expenses",I517="DIRECT EXPENSES","Selling Expenses",I517="INDIRECT EXPENSES","Selling Expenses"),P517="Parts",_xlfn.IFS(I517="SALES","GP",I517="SERVICE SALES","GP",I517="PARTS SALES","GP",I517="SERVICE COS","GP",I517="PARTS COS","GP",I517="SELLING EXPENSES","Selling Expenses",I517="EMPLOYMENT EXPENSES","Selling Expenses",I517="EMPLOYMENT EXPENSES","Selling Expenses",I517="DIRECT EXPENSES","Selling Expenses",I517="INDIRECT EXPENSES","Selling Expenses"))</f>
        <v>GP</v>
      </c>
    </row>
    <row r="518" spans="1:18" x14ac:dyDescent="0.2">
      <c r="A518" s="75" t="s">
        <v>707</v>
      </c>
      <c r="B518" s="76" t="s">
        <v>708</v>
      </c>
      <c r="C518" s="76">
        <v>140</v>
      </c>
      <c r="D518" s="76" t="s">
        <v>433</v>
      </c>
      <c r="E518" s="76" t="s">
        <v>247</v>
      </c>
      <c r="F518" s="77">
        <v>744</v>
      </c>
      <c r="G518" s="77">
        <v>50</v>
      </c>
      <c r="H518" s="77">
        <v>794</v>
      </c>
      <c r="I518" s="76" t="s">
        <v>698</v>
      </c>
      <c r="J518" s="77">
        <v>0</v>
      </c>
      <c r="K518" s="78">
        <v>234</v>
      </c>
      <c r="M518" s="79" t="str">
        <f t="shared" si="26"/>
        <v>140-3302#</v>
      </c>
      <c r="N518" s="79" t="str">
        <f t="shared" si="24"/>
        <v>#</v>
      </c>
      <c r="O518" s="79" t="str">
        <f t="shared" si="25"/>
        <v>140#</v>
      </c>
      <c r="P518" s="79" t="str">
        <f>IFERROR(VLOOKUP($M518,Export!$P:$R,2,FALSE),"-")</f>
        <v>-</v>
      </c>
      <c r="Q518" s="79" t="str">
        <f>IFERROR(VLOOKUP($M518,Export!$P:$R,3,FALSE),"-")</f>
        <v>-</v>
      </c>
      <c r="R518" s="80" t="e" cm="1">
        <f t="array" ref="R518">_xlfn.IFS(P518="Service", _xlfn.IFS(I518="SALES","GP",I518="SERVICE SALES","GP",I518="PARTS SALES","GP",I518="SERVICE COS","GP",I518="PARTS COS","GP",I518="SELLING EXPENSES","Selling Expenses",I518="EMPLOYMENT EXPENSES","Selling Expenses",I518="EMPLOYMENT EXPENSES","Selling Expenses",I518="DIRECT EXPENSES","Selling Expenses",I518="INDIRECT EXPENSES","Selling Expenses"),P518="Parts",_xlfn.IFS(I518="SALES","GP",I518="SERVICE SALES","GP",I518="PARTS SALES","GP",I518="SERVICE COS","GP",I518="PARTS COS","GP",I518="SELLING EXPENSES","Selling Expenses",I518="EMPLOYMENT EXPENSES","Selling Expenses",I518="EMPLOYMENT EXPENSES","Selling Expenses",I518="DIRECT EXPENSES","Selling Expenses",I518="INDIRECT EXPENSES","Selling Expenses"))</f>
        <v>#N/A</v>
      </c>
    </row>
    <row r="519" spans="1:18" x14ac:dyDescent="0.2">
      <c r="A519" s="75" t="s">
        <v>707</v>
      </c>
      <c r="B519" s="76" t="s">
        <v>708</v>
      </c>
      <c r="C519" s="76">
        <v>142</v>
      </c>
      <c r="D519" s="76" t="s">
        <v>454</v>
      </c>
      <c r="E519" s="76" t="s">
        <v>247</v>
      </c>
      <c r="F519" s="77">
        <v>8</v>
      </c>
      <c r="G519" s="77">
        <v>1</v>
      </c>
      <c r="H519" s="77">
        <v>9</v>
      </c>
      <c r="I519" s="76" t="s">
        <v>698</v>
      </c>
      <c r="J519" s="77">
        <v>0</v>
      </c>
      <c r="K519" s="78">
        <v>0</v>
      </c>
      <c r="M519" s="79" t="str">
        <f t="shared" si="26"/>
        <v>142-3302#</v>
      </c>
      <c r="N519" s="79" t="str">
        <f t="shared" si="24"/>
        <v>#</v>
      </c>
      <c r="O519" s="79" t="str">
        <f t="shared" si="25"/>
        <v>142#</v>
      </c>
      <c r="P519" s="79" t="str">
        <f>IFERROR(VLOOKUP($M519,Export!$P:$R,2,FALSE),"-")</f>
        <v>-</v>
      </c>
      <c r="Q519" s="79" t="str">
        <f>IFERROR(VLOOKUP($M519,Export!$P:$R,3,FALSE),"-")</f>
        <v>-</v>
      </c>
      <c r="R519" s="80" t="e" cm="1">
        <f t="array" ref="R519">_xlfn.IFS(P519="Service", _xlfn.IFS(I519="SALES","GP",I519="SERVICE SALES","GP",I519="PARTS SALES","GP",I519="SERVICE COS","GP",I519="PARTS COS","GP",I519="SELLING EXPENSES","Selling Expenses",I519="EMPLOYMENT EXPENSES","Selling Expenses",I519="EMPLOYMENT EXPENSES","Selling Expenses",I519="DIRECT EXPENSES","Selling Expenses",I519="INDIRECT EXPENSES","Selling Expenses"),P519="Parts",_xlfn.IFS(I519="SALES","GP",I519="SERVICE SALES","GP",I519="PARTS SALES","GP",I519="SERVICE COS","GP",I519="PARTS COS","GP",I519="SELLING EXPENSES","Selling Expenses",I519="EMPLOYMENT EXPENSES","Selling Expenses",I519="EMPLOYMENT EXPENSES","Selling Expenses",I519="DIRECT EXPENSES","Selling Expenses",I519="INDIRECT EXPENSES","Selling Expenses"))</f>
        <v>#N/A</v>
      </c>
    </row>
    <row r="520" spans="1:18" x14ac:dyDescent="0.2">
      <c r="A520" s="75" t="s">
        <v>707</v>
      </c>
      <c r="B520" s="76" t="s">
        <v>708</v>
      </c>
      <c r="C520" s="76">
        <v>147</v>
      </c>
      <c r="D520" s="76" t="s">
        <v>699</v>
      </c>
      <c r="E520" s="76" t="s">
        <v>247</v>
      </c>
      <c r="F520" s="77">
        <v>1</v>
      </c>
      <c r="G520" s="77">
        <v>0</v>
      </c>
      <c r="H520" s="77">
        <v>1</v>
      </c>
      <c r="I520" s="76" t="s">
        <v>698</v>
      </c>
      <c r="J520" s="77">
        <v>0</v>
      </c>
      <c r="K520" s="78">
        <v>19</v>
      </c>
      <c r="M520" s="79" t="str">
        <f t="shared" si="26"/>
        <v>147-3302#</v>
      </c>
      <c r="N520" s="79" t="str">
        <f t="shared" si="24"/>
        <v>#</v>
      </c>
      <c r="O520" s="79" t="str">
        <f t="shared" si="25"/>
        <v>147#</v>
      </c>
      <c r="P520" s="79" t="str">
        <f>IFERROR(VLOOKUP($M520,Export!$P:$R,2,FALSE),"-")</f>
        <v>-</v>
      </c>
      <c r="Q520" s="79" t="str">
        <f>IFERROR(VLOOKUP($M520,Export!$P:$R,3,FALSE),"-")</f>
        <v>-</v>
      </c>
      <c r="R520" s="80" t="e" cm="1">
        <f t="array" ref="R520">_xlfn.IFS(P520="Service", _xlfn.IFS(I520="SALES","GP",I520="SERVICE SALES","GP",I520="PARTS SALES","GP",I520="SERVICE COS","GP",I520="PARTS COS","GP",I520="SELLING EXPENSES","Selling Expenses",I520="EMPLOYMENT EXPENSES","Selling Expenses",I520="EMPLOYMENT EXPENSES","Selling Expenses",I520="DIRECT EXPENSES","Selling Expenses",I520="INDIRECT EXPENSES","Selling Expenses"),P520="Parts",_xlfn.IFS(I520="SALES","GP",I520="SERVICE SALES","GP",I520="PARTS SALES","GP",I520="SERVICE COS","GP",I520="PARTS COS","GP",I520="SELLING EXPENSES","Selling Expenses",I520="EMPLOYMENT EXPENSES","Selling Expenses",I520="EMPLOYMENT EXPENSES","Selling Expenses",I520="DIRECT EXPENSES","Selling Expenses",I520="INDIRECT EXPENSES","Selling Expenses"))</f>
        <v>#N/A</v>
      </c>
    </row>
    <row r="521" spans="1:18" x14ac:dyDescent="0.2">
      <c r="A521" s="75" t="s">
        <v>707</v>
      </c>
      <c r="B521" s="76" t="s">
        <v>708</v>
      </c>
      <c r="C521" s="76">
        <v>240</v>
      </c>
      <c r="D521" s="76" t="s">
        <v>439</v>
      </c>
      <c r="E521" s="76" t="s">
        <v>247</v>
      </c>
      <c r="F521" s="77">
        <v>96</v>
      </c>
      <c r="G521" s="77">
        <v>2</v>
      </c>
      <c r="H521" s="77">
        <v>98</v>
      </c>
      <c r="I521" s="76" t="s">
        <v>698</v>
      </c>
      <c r="J521" s="77">
        <v>0</v>
      </c>
      <c r="K521" s="78">
        <v>24</v>
      </c>
      <c r="M521" s="79" t="str">
        <f t="shared" si="26"/>
        <v>240-3302#</v>
      </c>
      <c r="N521" s="79" t="str">
        <f t="shared" si="24"/>
        <v>#</v>
      </c>
      <c r="O521" s="79" t="str">
        <f t="shared" si="25"/>
        <v>240#</v>
      </c>
      <c r="P521" s="79" t="str">
        <f>IFERROR(VLOOKUP($M521,Export!$P:$R,2,FALSE),"-")</f>
        <v>-</v>
      </c>
      <c r="Q521" s="79" t="str">
        <f>IFERROR(VLOOKUP($M521,Export!$P:$R,3,FALSE),"-")</f>
        <v>-</v>
      </c>
      <c r="R521" s="80" t="e" cm="1">
        <f t="array" ref="R521">_xlfn.IFS(P521="Service", _xlfn.IFS(I521="SALES","GP",I521="SERVICE SALES","GP",I521="PARTS SALES","GP",I521="SERVICE COS","GP",I521="PARTS COS","GP",I521="SELLING EXPENSES","Selling Expenses",I521="EMPLOYMENT EXPENSES","Selling Expenses",I521="EMPLOYMENT EXPENSES","Selling Expenses",I521="DIRECT EXPENSES","Selling Expenses",I521="INDIRECT EXPENSES","Selling Expenses"),P521="Parts",_xlfn.IFS(I521="SALES","GP",I521="SERVICE SALES","GP",I521="PARTS SALES","GP",I521="SERVICE COS","GP",I521="PARTS COS","GP",I521="SELLING EXPENSES","Selling Expenses",I521="EMPLOYMENT EXPENSES","Selling Expenses",I521="EMPLOYMENT EXPENSES","Selling Expenses",I521="DIRECT EXPENSES","Selling Expenses",I521="INDIRECT EXPENSES","Selling Expenses"))</f>
        <v>#N/A</v>
      </c>
    </row>
    <row r="522" spans="1:18" x14ac:dyDescent="0.2">
      <c r="A522" s="75" t="s">
        <v>707</v>
      </c>
      <c r="B522" s="76" t="s">
        <v>708</v>
      </c>
      <c r="C522" s="76">
        <v>340</v>
      </c>
      <c r="D522" s="76" t="s">
        <v>440</v>
      </c>
      <c r="E522" s="76" t="s">
        <v>247</v>
      </c>
      <c r="F522" s="77">
        <v>152</v>
      </c>
      <c r="G522" s="77">
        <v>8</v>
      </c>
      <c r="H522" s="77">
        <v>160</v>
      </c>
      <c r="I522" s="76" t="s">
        <v>698</v>
      </c>
      <c r="J522" s="77">
        <v>0</v>
      </c>
      <c r="K522" s="78">
        <v>66</v>
      </c>
      <c r="M522" s="79" t="str">
        <f t="shared" si="26"/>
        <v>340-3302#</v>
      </c>
      <c r="N522" s="79" t="str">
        <f t="shared" si="24"/>
        <v>#</v>
      </c>
      <c r="O522" s="79" t="str">
        <f t="shared" si="25"/>
        <v>340#</v>
      </c>
      <c r="P522" s="79" t="str">
        <f>IFERROR(VLOOKUP($M522,Export!$P:$R,2,FALSE),"-")</f>
        <v>-</v>
      </c>
      <c r="Q522" s="79" t="str">
        <f>IFERROR(VLOOKUP($M522,Export!$P:$R,3,FALSE),"-")</f>
        <v>-</v>
      </c>
      <c r="R522" s="80" t="e" cm="1">
        <f t="array" ref="R522">_xlfn.IFS(P522="Service", _xlfn.IFS(I522="SALES","GP",I522="SERVICE SALES","GP",I522="PARTS SALES","GP",I522="SERVICE COS","GP",I522="PARTS COS","GP",I522="SELLING EXPENSES","Selling Expenses",I522="EMPLOYMENT EXPENSES","Selling Expenses",I522="EMPLOYMENT EXPENSES","Selling Expenses",I522="DIRECT EXPENSES","Selling Expenses",I522="INDIRECT EXPENSES","Selling Expenses"),P522="Parts",_xlfn.IFS(I522="SALES","GP",I522="SERVICE SALES","GP",I522="PARTS SALES","GP",I522="SERVICE COS","GP",I522="PARTS COS","GP",I522="SELLING EXPENSES","Selling Expenses",I522="EMPLOYMENT EXPENSES","Selling Expenses",I522="EMPLOYMENT EXPENSES","Selling Expenses",I522="DIRECT EXPENSES","Selling Expenses",I522="INDIRECT EXPENSES","Selling Expenses"))</f>
        <v>#N/A</v>
      </c>
    </row>
    <row r="523" spans="1:18" x14ac:dyDescent="0.2">
      <c r="A523" s="75" t="s">
        <v>707</v>
      </c>
      <c r="B523" s="76" t="s">
        <v>708</v>
      </c>
      <c r="C523" s="76">
        <v>440</v>
      </c>
      <c r="D523" s="76" t="s">
        <v>441</v>
      </c>
      <c r="E523" s="76" t="s">
        <v>247</v>
      </c>
      <c r="F523" s="77">
        <v>135</v>
      </c>
      <c r="G523" s="77">
        <v>20</v>
      </c>
      <c r="H523" s="77">
        <v>155</v>
      </c>
      <c r="I523" s="76" t="s">
        <v>698</v>
      </c>
      <c r="J523" s="77">
        <v>0</v>
      </c>
      <c r="K523" s="78">
        <v>16</v>
      </c>
      <c r="M523" s="79" t="str">
        <f t="shared" si="26"/>
        <v>440-3302#</v>
      </c>
      <c r="N523" s="79" t="str">
        <f t="shared" si="24"/>
        <v>#</v>
      </c>
      <c r="O523" s="79" t="str">
        <f t="shared" si="25"/>
        <v>440#</v>
      </c>
      <c r="P523" s="79" t="str">
        <f>IFERROR(VLOOKUP($M523,Export!$P:$R,2,FALSE),"-")</f>
        <v>-</v>
      </c>
      <c r="Q523" s="79" t="str">
        <f>IFERROR(VLOOKUP($M523,Export!$P:$R,3,FALSE),"-")</f>
        <v>-</v>
      </c>
      <c r="R523" s="80" t="e" cm="1">
        <f t="array" ref="R523">_xlfn.IFS(P523="Service", _xlfn.IFS(I523="SALES","GP",I523="SERVICE SALES","GP",I523="PARTS SALES","GP",I523="SERVICE COS","GP",I523="PARTS COS","GP",I523="SELLING EXPENSES","Selling Expenses",I523="EMPLOYMENT EXPENSES","Selling Expenses",I523="EMPLOYMENT EXPENSES","Selling Expenses",I523="DIRECT EXPENSES","Selling Expenses",I523="INDIRECT EXPENSES","Selling Expenses"),P523="Parts",_xlfn.IFS(I523="SALES","GP",I523="SERVICE SALES","GP",I523="PARTS SALES","GP",I523="SERVICE COS","GP",I523="PARTS COS","GP",I523="SELLING EXPENSES","Selling Expenses",I523="EMPLOYMENT EXPENSES","Selling Expenses",I523="EMPLOYMENT EXPENSES","Selling Expenses",I523="DIRECT EXPENSES","Selling Expenses",I523="INDIRECT EXPENSES","Selling Expenses"))</f>
        <v>#N/A</v>
      </c>
    </row>
    <row r="524" spans="1:18" x14ac:dyDescent="0.2">
      <c r="A524" s="75">
        <v>3304</v>
      </c>
      <c r="B524" s="76" t="s">
        <v>709</v>
      </c>
      <c r="C524" s="76">
        <v>140</v>
      </c>
      <c r="D524" s="76" t="s">
        <v>433</v>
      </c>
      <c r="E524" s="76" t="s">
        <v>426</v>
      </c>
      <c r="F524" s="77">
        <v>-15680.87</v>
      </c>
      <c r="G524" s="77">
        <v>-2698.12</v>
      </c>
      <c r="H524" s="77">
        <v>-18378.990000000002</v>
      </c>
      <c r="I524" s="76" t="s">
        <v>698</v>
      </c>
      <c r="J524" s="77">
        <v>0</v>
      </c>
      <c r="K524" s="78">
        <v>6670.09</v>
      </c>
      <c r="M524" s="79" t="str">
        <f t="shared" si="26"/>
        <v>140-3304</v>
      </c>
      <c r="N524" s="79" t="str">
        <f t="shared" si="24"/>
        <v/>
      </c>
      <c r="O524" s="79" t="str">
        <f t="shared" si="25"/>
        <v>140</v>
      </c>
      <c r="P524" s="79" t="str">
        <f>IFERROR(VLOOKUP($M524,Export!$P:$R,2,FALSE),"-")</f>
        <v>Service</v>
      </c>
      <c r="Q524" s="79" t="str">
        <f>IFERROR(VLOOKUP($M524,Export!$P:$R,3,FALSE),"-")</f>
        <v>ServiceRetail % of Labour Sales</v>
      </c>
      <c r="R524" s="80" t="str" cm="1">
        <f t="array" ref="R524">_xlfn.IFS(P524="Service", _xlfn.IFS(I524="SALES","GP",I524="SERVICE SALES","GP",I524="PARTS SALES","GP",I524="SERVICE COS","GP",I524="PARTS COS","GP",I524="SELLING EXPENSES","Selling Expenses",I524="EMPLOYMENT EXPENSES","Selling Expenses",I524="EMPLOYMENT EXPENSES","Selling Expenses",I524="DIRECT EXPENSES","Selling Expenses",I524="INDIRECT EXPENSES","Selling Expenses"),P524="Parts",_xlfn.IFS(I524="SALES","GP",I524="SERVICE SALES","GP",I524="PARTS SALES","GP",I524="SERVICE COS","GP",I524="PARTS COS","GP",I524="SELLING EXPENSES","Selling Expenses",I524="EMPLOYMENT EXPENSES","Selling Expenses",I524="EMPLOYMENT EXPENSES","Selling Expenses",I524="DIRECT EXPENSES","Selling Expenses",I524="INDIRECT EXPENSES","Selling Expenses"))</f>
        <v>GP</v>
      </c>
    </row>
    <row r="525" spans="1:18" x14ac:dyDescent="0.2">
      <c r="A525" s="75">
        <v>3304</v>
      </c>
      <c r="B525" s="76" t="s">
        <v>709</v>
      </c>
      <c r="C525" s="76">
        <v>142</v>
      </c>
      <c r="D525" s="76" t="s">
        <v>454</v>
      </c>
      <c r="E525" s="76" t="s">
        <v>426</v>
      </c>
      <c r="F525" s="77">
        <v>-156.04</v>
      </c>
      <c r="G525" s="77">
        <v>0</v>
      </c>
      <c r="H525" s="77">
        <v>-156.04</v>
      </c>
      <c r="I525" s="76" t="s">
        <v>698</v>
      </c>
      <c r="J525" s="77">
        <v>0</v>
      </c>
      <c r="K525" s="78">
        <v>0</v>
      </c>
      <c r="M525" s="79" t="str">
        <f t="shared" si="26"/>
        <v>142-3304</v>
      </c>
      <c r="N525" s="79" t="str">
        <f t="shared" si="24"/>
        <v/>
      </c>
      <c r="O525" s="79" t="str">
        <f t="shared" si="25"/>
        <v>142</v>
      </c>
      <c r="P525" s="79" t="str">
        <f>IFERROR(VLOOKUP($M525,Export!$P:$R,2,FALSE),"-")</f>
        <v>Lex Service</v>
      </c>
      <c r="Q525" s="79" t="str">
        <f>IFERROR(VLOOKUP($M525,Export!$P:$R,3,FALSE),"-")</f>
        <v>Lex ServiceRetail % of Labour Sales</v>
      </c>
      <c r="R525" s="80" t="e" cm="1">
        <f t="array" ref="R525">_xlfn.IFS(P525="Service", _xlfn.IFS(I525="SALES","GP",I525="SERVICE SALES","GP",I525="PARTS SALES","GP",I525="SERVICE COS","GP",I525="PARTS COS","GP",I525="SELLING EXPENSES","Selling Expenses",I525="EMPLOYMENT EXPENSES","Selling Expenses",I525="EMPLOYMENT EXPENSES","Selling Expenses",I525="DIRECT EXPENSES","Selling Expenses",I525="INDIRECT EXPENSES","Selling Expenses"),P525="Parts",_xlfn.IFS(I525="SALES","GP",I525="SERVICE SALES","GP",I525="PARTS SALES","GP",I525="SERVICE COS","GP",I525="PARTS COS","GP",I525="SELLING EXPENSES","Selling Expenses",I525="EMPLOYMENT EXPENSES","Selling Expenses",I525="EMPLOYMENT EXPENSES","Selling Expenses",I525="DIRECT EXPENSES","Selling Expenses",I525="INDIRECT EXPENSES","Selling Expenses"))</f>
        <v>#N/A</v>
      </c>
    </row>
    <row r="526" spans="1:18" x14ac:dyDescent="0.2">
      <c r="A526" s="75">
        <v>3304</v>
      </c>
      <c r="B526" s="76" t="s">
        <v>709</v>
      </c>
      <c r="C526" s="76">
        <v>147</v>
      </c>
      <c r="D526" s="76" t="s">
        <v>699</v>
      </c>
      <c r="E526" s="76" t="s">
        <v>426</v>
      </c>
      <c r="F526" s="77">
        <v>0</v>
      </c>
      <c r="G526" s="77">
        <v>0</v>
      </c>
      <c r="H526" s="77">
        <v>0</v>
      </c>
      <c r="I526" s="76" t="s">
        <v>698</v>
      </c>
      <c r="J526" s="77">
        <v>0</v>
      </c>
      <c r="K526" s="78">
        <v>-115.97</v>
      </c>
      <c r="M526" s="79" t="str">
        <f t="shared" si="26"/>
        <v>147-3304</v>
      </c>
      <c r="N526" s="79" t="str">
        <f t="shared" si="24"/>
        <v/>
      </c>
      <c r="O526" s="79" t="str">
        <f t="shared" si="25"/>
        <v>147</v>
      </c>
      <c r="P526" s="79" t="str">
        <f>IFERROR(VLOOKUP($M526,Export!$P:$R,2,FALSE),"-")</f>
        <v>Service</v>
      </c>
      <c r="Q526" s="79" t="str">
        <f>IFERROR(VLOOKUP($M526,Export!$P:$R,3,FALSE),"-")</f>
        <v>ServiceRetail % of Labour Sales</v>
      </c>
      <c r="R526" s="80" t="str" cm="1">
        <f t="array" ref="R526">_xlfn.IFS(P526="Service", _xlfn.IFS(I526="SALES","GP",I526="SERVICE SALES","GP",I526="PARTS SALES","GP",I526="SERVICE COS","GP",I526="PARTS COS","GP",I526="SELLING EXPENSES","Selling Expenses",I526="EMPLOYMENT EXPENSES","Selling Expenses",I526="EMPLOYMENT EXPENSES","Selling Expenses",I526="DIRECT EXPENSES","Selling Expenses",I526="INDIRECT EXPENSES","Selling Expenses"),P526="Parts",_xlfn.IFS(I526="SALES","GP",I526="SERVICE SALES","GP",I526="PARTS SALES","GP",I526="SERVICE COS","GP",I526="PARTS COS","GP",I526="SELLING EXPENSES","Selling Expenses",I526="EMPLOYMENT EXPENSES","Selling Expenses",I526="EMPLOYMENT EXPENSES","Selling Expenses",I526="DIRECT EXPENSES","Selling Expenses",I526="INDIRECT EXPENSES","Selling Expenses"))</f>
        <v>GP</v>
      </c>
    </row>
    <row r="527" spans="1:18" x14ac:dyDescent="0.2">
      <c r="A527" s="75">
        <v>3304</v>
      </c>
      <c r="B527" s="76" t="s">
        <v>709</v>
      </c>
      <c r="C527" s="76">
        <v>240</v>
      </c>
      <c r="D527" s="76" t="s">
        <v>439</v>
      </c>
      <c r="E527" s="76" t="s">
        <v>426</v>
      </c>
      <c r="F527" s="77">
        <v>-11810.77</v>
      </c>
      <c r="G527" s="77">
        <v>-2523.83</v>
      </c>
      <c r="H527" s="77">
        <v>-14334.6</v>
      </c>
      <c r="I527" s="76" t="s">
        <v>698</v>
      </c>
      <c r="J527" s="77">
        <v>0</v>
      </c>
      <c r="K527" s="78">
        <v>4000.2</v>
      </c>
      <c r="M527" s="79" t="str">
        <f t="shared" si="26"/>
        <v>240-3304</v>
      </c>
      <c r="N527" s="79" t="str">
        <f t="shared" si="24"/>
        <v/>
      </c>
      <c r="O527" s="79" t="str">
        <f t="shared" si="25"/>
        <v>240</v>
      </c>
      <c r="P527" s="79" t="str">
        <f>IFERROR(VLOOKUP($M527,Export!$P:$R,2,FALSE),"-")</f>
        <v>Service</v>
      </c>
      <c r="Q527" s="79" t="str">
        <f>IFERROR(VLOOKUP($M527,Export!$P:$R,3,FALSE),"-")</f>
        <v>ServiceRetail % of Labour Sales</v>
      </c>
      <c r="R527" s="80" t="str" cm="1">
        <f t="array" ref="R527">_xlfn.IFS(P527="Service", _xlfn.IFS(I527="SALES","GP",I527="SERVICE SALES","GP",I527="PARTS SALES","GP",I527="SERVICE COS","GP",I527="PARTS COS","GP",I527="SELLING EXPENSES","Selling Expenses",I527="EMPLOYMENT EXPENSES","Selling Expenses",I527="EMPLOYMENT EXPENSES","Selling Expenses",I527="DIRECT EXPENSES","Selling Expenses",I527="INDIRECT EXPENSES","Selling Expenses"),P527="Parts",_xlfn.IFS(I527="SALES","GP",I527="SERVICE SALES","GP",I527="PARTS SALES","GP",I527="SERVICE COS","GP",I527="PARTS COS","GP",I527="SELLING EXPENSES","Selling Expenses",I527="EMPLOYMENT EXPENSES","Selling Expenses",I527="EMPLOYMENT EXPENSES","Selling Expenses",I527="DIRECT EXPENSES","Selling Expenses",I527="INDIRECT EXPENSES","Selling Expenses"))</f>
        <v>GP</v>
      </c>
    </row>
    <row r="528" spans="1:18" x14ac:dyDescent="0.2">
      <c r="A528" s="75">
        <v>3304</v>
      </c>
      <c r="B528" s="76" t="s">
        <v>709</v>
      </c>
      <c r="C528" s="76">
        <v>340</v>
      </c>
      <c r="D528" s="76" t="s">
        <v>440</v>
      </c>
      <c r="E528" s="76" t="s">
        <v>426</v>
      </c>
      <c r="F528" s="77">
        <v>-5123.75</v>
      </c>
      <c r="G528" s="77">
        <v>-672.7</v>
      </c>
      <c r="H528" s="77">
        <v>-5796.45</v>
      </c>
      <c r="I528" s="76" t="s">
        <v>698</v>
      </c>
      <c r="J528" s="77">
        <v>0</v>
      </c>
      <c r="K528" s="78">
        <v>2274.37</v>
      </c>
      <c r="M528" s="79" t="str">
        <f t="shared" si="26"/>
        <v>340-3304</v>
      </c>
      <c r="N528" s="79" t="str">
        <f t="shared" si="24"/>
        <v/>
      </c>
      <c r="O528" s="79" t="str">
        <f t="shared" si="25"/>
        <v>340</v>
      </c>
      <c r="P528" s="79" t="str">
        <f>IFERROR(VLOOKUP($M528,Export!$P:$R,2,FALSE),"-")</f>
        <v>Service</v>
      </c>
      <c r="Q528" s="79" t="str">
        <f>IFERROR(VLOOKUP($M528,Export!$P:$R,3,FALSE),"-")</f>
        <v>ServiceRetail % of Labour Sales</v>
      </c>
      <c r="R528" s="80" t="str" cm="1">
        <f t="array" ref="R528">_xlfn.IFS(P528="Service", _xlfn.IFS(I528="SALES","GP",I528="SERVICE SALES","GP",I528="PARTS SALES","GP",I528="SERVICE COS","GP",I528="PARTS COS","GP",I528="SELLING EXPENSES","Selling Expenses",I528="EMPLOYMENT EXPENSES","Selling Expenses",I528="EMPLOYMENT EXPENSES","Selling Expenses",I528="DIRECT EXPENSES","Selling Expenses",I528="INDIRECT EXPENSES","Selling Expenses"),P528="Parts",_xlfn.IFS(I528="SALES","GP",I528="SERVICE SALES","GP",I528="PARTS SALES","GP",I528="SERVICE COS","GP",I528="PARTS COS","GP",I528="SELLING EXPENSES","Selling Expenses",I528="EMPLOYMENT EXPENSES","Selling Expenses",I528="EMPLOYMENT EXPENSES","Selling Expenses",I528="DIRECT EXPENSES","Selling Expenses",I528="INDIRECT EXPENSES","Selling Expenses"))</f>
        <v>GP</v>
      </c>
    </row>
    <row r="529" spans="1:18" x14ac:dyDescent="0.2">
      <c r="A529" s="75">
        <v>3304</v>
      </c>
      <c r="B529" s="76" t="s">
        <v>709</v>
      </c>
      <c r="C529" s="76">
        <v>440</v>
      </c>
      <c r="D529" s="76" t="s">
        <v>441</v>
      </c>
      <c r="E529" s="76" t="s">
        <v>426</v>
      </c>
      <c r="F529" s="77">
        <v>-3200.23</v>
      </c>
      <c r="G529" s="77">
        <v>-1945.62</v>
      </c>
      <c r="H529" s="77">
        <v>-5145.8500000000004</v>
      </c>
      <c r="I529" s="76" t="s">
        <v>698</v>
      </c>
      <c r="J529" s="77">
        <v>0</v>
      </c>
      <c r="K529" s="78">
        <v>1961.1</v>
      </c>
      <c r="M529" s="79" t="str">
        <f t="shared" si="26"/>
        <v>440-3304</v>
      </c>
      <c r="N529" s="79" t="str">
        <f t="shared" si="24"/>
        <v/>
      </c>
      <c r="O529" s="79" t="str">
        <f t="shared" si="25"/>
        <v>440</v>
      </c>
      <c r="P529" s="79" t="str">
        <f>IFERROR(VLOOKUP($M529,Export!$P:$R,2,FALSE),"-")</f>
        <v>Service</v>
      </c>
      <c r="Q529" s="79" t="str">
        <f>IFERROR(VLOOKUP($M529,Export!$P:$R,3,FALSE),"-")</f>
        <v>ServiceRetail % of Labour Sales</v>
      </c>
      <c r="R529" s="80" t="str" cm="1">
        <f t="array" ref="R529">_xlfn.IFS(P529="Service", _xlfn.IFS(I529="SALES","GP",I529="SERVICE SALES","GP",I529="PARTS SALES","GP",I529="SERVICE COS","GP",I529="PARTS COS","GP",I529="SELLING EXPENSES","Selling Expenses",I529="EMPLOYMENT EXPENSES","Selling Expenses",I529="EMPLOYMENT EXPENSES","Selling Expenses",I529="DIRECT EXPENSES","Selling Expenses",I529="INDIRECT EXPENSES","Selling Expenses"),P529="Parts",_xlfn.IFS(I529="SALES","GP",I529="SERVICE SALES","GP",I529="PARTS SALES","GP",I529="SERVICE COS","GP",I529="PARTS COS","GP",I529="SELLING EXPENSES","Selling Expenses",I529="EMPLOYMENT EXPENSES","Selling Expenses",I529="EMPLOYMENT EXPENSES","Selling Expenses",I529="DIRECT EXPENSES","Selling Expenses",I529="INDIRECT EXPENSES","Selling Expenses"))</f>
        <v>GP</v>
      </c>
    </row>
    <row r="530" spans="1:18" x14ac:dyDescent="0.2">
      <c r="A530" s="75" t="s">
        <v>710</v>
      </c>
      <c r="B530" s="76" t="s">
        <v>711</v>
      </c>
      <c r="C530" s="76">
        <v>140</v>
      </c>
      <c r="D530" s="76" t="s">
        <v>433</v>
      </c>
      <c r="E530" s="76" t="s">
        <v>247</v>
      </c>
      <c r="F530" s="77">
        <v>38</v>
      </c>
      <c r="G530" s="77">
        <v>14</v>
      </c>
      <c r="H530" s="77">
        <v>52</v>
      </c>
      <c r="I530" s="76" t="s">
        <v>698</v>
      </c>
      <c r="J530" s="77">
        <v>0</v>
      </c>
      <c r="K530" s="78">
        <v>1</v>
      </c>
      <c r="M530" s="79" t="str">
        <f t="shared" si="26"/>
        <v>140-3304#</v>
      </c>
      <c r="N530" s="79" t="str">
        <f t="shared" si="24"/>
        <v>#</v>
      </c>
      <c r="O530" s="79" t="str">
        <f t="shared" si="25"/>
        <v>140#</v>
      </c>
      <c r="P530" s="79" t="str">
        <f>IFERROR(VLOOKUP($M530,Export!$P:$R,2,FALSE),"-")</f>
        <v>-</v>
      </c>
      <c r="Q530" s="79" t="str">
        <f>IFERROR(VLOOKUP($M530,Export!$P:$R,3,FALSE),"-")</f>
        <v>-</v>
      </c>
      <c r="R530" s="80" t="e" cm="1">
        <f t="array" ref="R530">_xlfn.IFS(P530="Service", _xlfn.IFS(I530="SALES","GP",I530="SERVICE SALES","GP",I530="PARTS SALES","GP",I530="SERVICE COS","GP",I530="PARTS COS","GP",I530="SELLING EXPENSES","Selling Expenses",I530="EMPLOYMENT EXPENSES","Selling Expenses",I530="EMPLOYMENT EXPENSES","Selling Expenses",I530="DIRECT EXPENSES","Selling Expenses",I530="INDIRECT EXPENSES","Selling Expenses"),P530="Parts",_xlfn.IFS(I530="SALES","GP",I530="SERVICE SALES","GP",I530="PARTS SALES","GP",I530="SERVICE COS","GP",I530="PARTS COS","GP",I530="SELLING EXPENSES","Selling Expenses",I530="EMPLOYMENT EXPENSES","Selling Expenses",I530="EMPLOYMENT EXPENSES","Selling Expenses",I530="DIRECT EXPENSES","Selling Expenses",I530="INDIRECT EXPENSES","Selling Expenses"))</f>
        <v>#N/A</v>
      </c>
    </row>
    <row r="531" spans="1:18" x14ac:dyDescent="0.2">
      <c r="A531" s="75" t="s">
        <v>710</v>
      </c>
      <c r="B531" s="76" t="s">
        <v>711</v>
      </c>
      <c r="C531" s="76">
        <v>142</v>
      </c>
      <c r="D531" s="76" t="s">
        <v>454</v>
      </c>
      <c r="E531" s="76" t="s">
        <v>247</v>
      </c>
      <c r="F531" s="77">
        <v>2</v>
      </c>
      <c r="G531" s="77">
        <v>0</v>
      </c>
      <c r="H531" s="77">
        <v>2</v>
      </c>
      <c r="I531" s="76" t="s">
        <v>698</v>
      </c>
      <c r="J531" s="77">
        <v>0</v>
      </c>
      <c r="K531" s="78">
        <v>0</v>
      </c>
      <c r="M531" s="79" t="str">
        <f t="shared" si="26"/>
        <v>142-3304#</v>
      </c>
      <c r="N531" s="79" t="str">
        <f t="shared" si="24"/>
        <v>#</v>
      </c>
      <c r="O531" s="79" t="str">
        <f t="shared" si="25"/>
        <v>142#</v>
      </c>
      <c r="P531" s="79" t="str">
        <f>IFERROR(VLOOKUP($M531,Export!$P:$R,2,FALSE),"-")</f>
        <v>-</v>
      </c>
      <c r="Q531" s="79" t="str">
        <f>IFERROR(VLOOKUP($M531,Export!$P:$R,3,FALSE),"-")</f>
        <v>-</v>
      </c>
      <c r="R531" s="80" t="e" cm="1">
        <f t="array" ref="R531">_xlfn.IFS(P531="Service", _xlfn.IFS(I531="SALES","GP",I531="SERVICE SALES","GP",I531="PARTS SALES","GP",I531="SERVICE COS","GP",I531="PARTS COS","GP",I531="SELLING EXPENSES","Selling Expenses",I531="EMPLOYMENT EXPENSES","Selling Expenses",I531="EMPLOYMENT EXPENSES","Selling Expenses",I531="DIRECT EXPENSES","Selling Expenses",I531="INDIRECT EXPENSES","Selling Expenses"),P531="Parts",_xlfn.IFS(I531="SALES","GP",I531="SERVICE SALES","GP",I531="PARTS SALES","GP",I531="SERVICE COS","GP",I531="PARTS COS","GP",I531="SELLING EXPENSES","Selling Expenses",I531="EMPLOYMENT EXPENSES","Selling Expenses",I531="EMPLOYMENT EXPENSES","Selling Expenses",I531="DIRECT EXPENSES","Selling Expenses",I531="INDIRECT EXPENSES","Selling Expenses"))</f>
        <v>#N/A</v>
      </c>
    </row>
    <row r="532" spans="1:18" x14ac:dyDescent="0.2">
      <c r="A532" s="75" t="s">
        <v>710</v>
      </c>
      <c r="B532" s="76" t="s">
        <v>711</v>
      </c>
      <c r="C532" s="76">
        <v>147</v>
      </c>
      <c r="D532" s="76" t="s">
        <v>699</v>
      </c>
      <c r="E532" s="76" t="s">
        <v>247</v>
      </c>
      <c r="F532" s="77">
        <v>0</v>
      </c>
      <c r="G532" s="77">
        <v>0</v>
      </c>
      <c r="H532" s="77">
        <v>0</v>
      </c>
      <c r="I532" s="76" t="s">
        <v>698</v>
      </c>
      <c r="J532" s="77">
        <v>0</v>
      </c>
      <c r="K532" s="78">
        <v>1</v>
      </c>
      <c r="M532" s="79" t="str">
        <f t="shared" si="26"/>
        <v>147-3304#</v>
      </c>
      <c r="N532" s="79" t="str">
        <f t="shared" si="24"/>
        <v>#</v>
      </c>
      <c r="O532" s="79" t="str">
        <f t="shared" si="25"/>
        <v>147#</v>
      </c>
      <c r="P532" s="79" t="str">
        <f>IFERROR(VLOOKUP($M532,Export!$P:$R,2,FALSE),"-")</f>
        <v>-</v>
      </c>
      <c r="Q532" s="79" t="str">
        <f>IFERROR(VLOOKUP($M532,Export!$P:$R,3,FALSE),"-")</f>
        <v>-</v>
      </c>
      <c r="R532" s="80" t="e" cm="1">
        <f t="array" ref="R532">_xlfn.IFS(P532="Service", _xlfn.IFS(I532="SALES","GP",I532="SERVICE SALES","GP",I532="PARTS SALES","GP",I532="SERVICE COS","GP",I532="PARTS COS","GP",I532="SELLING EXPENSES","Selling Expenses",I532="EMPLOYMENT EXPENSES","Selling Expenses",I532="EMPLOYMENT EXPENSES","Selling Expenses",I532="DIRECT EXPENSES","Selling Expenses",I532="INDIRECT EXPENSES","Selling Expenses"),P532="Parts",_xlfn.IFS(I532="SALES","GP",I532="SERVICE SALES","GP",I532="PARTS SALES","GP",I532="SERVICE COS","GP",I532="PARTS COS","GP",I532="SELLING EXPENSES","Selling Expenses",I532="EMPLOYMENT EXPENSES","Selling Expenses",I532="EMPLOYMENT EXPENSES","Selling Expenses",I532="DIRECT EXPENSES","Selling Expenses",I532="INDIRECT EXPENSES","Selling Expenses"))</f>
        <v>#N/A</v>
      </c>
    </row>
    <row r="533" spans="1:18" x14ac:dyDescent="0.2">
      <c r="A533" s="75" t="s">
        <v>710</v>
      </c>
      <c r="B533" s="76" t="s">
        <v>711</v>
      </c>
      <c r="C533" s="76">
        <v>240</v>
      </c>
      <c r="D533" s="76" t="s">
        <v>439</v>
      </c>
      <c r="E533" s="76" t="s">
        <v>247</v>
      </c>
      <c r="F533" s="77">
        <v>98</v>
      </c>
      <c r="G533" s="77">
        <v>25</v>
      </c>
      <c r="H533" s="77">
        <v>123</v>
      </c>
      <c r="I533" s="76" t="s">
        <v>698</v>
      </c>
      <c r="J533" s="77">
        <v>0</v>
      </c>
      <c r="K533" s="78">
        <v>46</v>
      </c>
      <c r="M533" s="79" t="str">
        <f t="shared" si="26"/>
        <v>240-3304#</v>
      </c>
      <c r="N533" s="79" t="str">
        <f t="shared" si="24"/>
        <v>#</v>
      </c>
      <c r="O533" s="79" t="str">
        <f t="shared" si="25"/>
        <v>240#</v>
      </c>
      <c r="P533" s="79" t="str">
        <f>IFERROR(VLOOKUP($M533,Export!$P:$R,2,FALSE),"-")</f>
        <v>-</v>
      </c>
      <c r="Q533" s="79" t="str">
        <f>IFERROR(VLOOKUP($M533,Export!$P:$R,3,FALSE),"-")</f>
        <v>-</v>
      </c>
      <c r="R533" s="80" t="e" cm="1">
        <f t="array" ref="R533">_xlfn.IFS(P533="Service", _xlfn.IFS(I533="SALES","GP",I533="SERVICE SALES","GP",I533="PARTS SALES","GP",I533="SERVICE COS","GP",I533="PARTS COS","GP",I533="SELLING EXPENSES","Selling Expenses",I533="EMPLOYMENT EXPENSES","Selling Expenses",I533="EMPLOYMENT EXPENSES","Selling Expenses",I533="DIRECT EXPENSES","Selling Expenses",I533="INDIRECT EXPENSES","Selling Expenses"),P533="Parts",_xlfn.IFS(I533="SALES","GP",I533="SERVICE SALES","GP",I533="PARTS SALES","GP",I533="SERVICE COS","GP",I533="PARTS COS","GP",I533="SELLING EXPENSES","Selling Expenses",I533="EMPLOYMENT EXPENSES","Selling Expenses",I533="EMPLOYMENT EXPENSES","Selling Expenses",I533="DIRECT EXPENSES","Selling Expenses",I533="INDIRECT EXPENSES","Selling Expenses"))</f>
        <v>#N/A</v>
      </c>
    </row>
    <row r="534" spans="1:18" x14ac:dyDescent="0.2">
      <c r="A534" s="75" t="s">
        <v>710</v>
      </c>
      <c r="B534" s="76" t="s">
        <v>711</v>
      </c>
      <c r="C534" s="76">
        <v>340</v>
      </c>
      <c r="D534" s="76" t="s">
        <v>440</v>
      </c>
      <c r="E534" s="76" t="s">
        <v>247</v>
      </c>
      <c r="F534" s="77">
        <v>36</v>
      </c>
      <c r="G534" s="77">
        <v>1</v>
      </c>
      <c r="H534" s="77">
        <v>37</v>
      </c>
      <c r="I534" s="76" t="s">
        <v>698</v>
      </c>
      <c r="J534" s="77">
        <v>0</v>
      </c>
      <c r="K534" s="78">
        <v>-2</v>
      </c>
      <c r="M534" s="79" t="str">
        <f t="shared" si="26"/>
        <v>340-3304#</v>
      </c>
      <c r="N534" s="79" t="str">
        <f t="shared" si="24"/>
        <v>#</v>
      </c>
      <c r="O534" s="79" t="str">
        <f t="shared" si="25"/>
        <v>340#</v>
      </c>
      <c r="P534" s="79" t="str">
        <f>IFERROR(VLOOKUP($M534,Export!$P:$R,2,FALSE),"-")</f>
        <v>-</v>
      </c>
      <c r="Q534" s="79" t="str">
        <f>IFERROR(VLOOKUP($M534,Export!$P:$R,3,FALSE),"-")</f>
        <v>-</v>
      </c>
      <c r="R534" s="80" t="e" cm="1">
        <f t="array" ref="R534">_xlfn.IFS(P534="Service", _xlfn.IFS(I534="SALES","GP",I534="SERVICE SALES","GP",I534="PARTS SALES","GP",I534="SERVICE COS","GP",I534="PARTS COS","GP",I534="SELLING EXPENSES","Selling Expenses",I534="EMPLOYMENT EXPENSES","Selling Expenses",I534="EMPLOYMENT EXPENSES","Selling Expenses",I534="DIRECT EXPENSES","Selling Expenses",I534="INDIRECT EXPENSES","Selling Expenses"),P534="Parts",_xlfn.IFS(I534="SALES","GP",I534="SERVICE SALES","GP",I534="PARTS SALES","GP",I534="SERVICE COS","GP",I534="PARTS COS","GP",I534="SELLING EXPENSES","Selling Expenses",I534="EMPLOYMENT EXPENSES","Selling Expenses",I534="EMPLOYMENT EXPENSES","Selling Expenses",I534="DIRECT EXPENSES","Selling Expenses",I534="INDIRECT EXPENSES","Selling Expenses"))</f>
        <v>#N/A</v>
      </c>
    </row>
    <row r="535" spans="1:18" x14ac:dyDescent="0.2">
      <c r="A535" s="75" t="s">
        <v>710</v>
      </c>
      <c r="B535" s="76" t="s">
        <v>711</v>
      </c>
      <c r="C535" s="76">
        <v>440</v>
      </c>
      <c r="D535" s="76" t="s">
        <v>441</v>
      </c>
      <c r="E535" s="76" t="s">
        <v>247</v>
      </c>
      <c r="F535" s="77">
        <v>-4</v>
      </c>
      <c r="G535" s="77">
        <v>26</v>
      </c>
      <c r="H535" s="77">
        <v>22</v>
      </c>
      <c r="I535" s="76" t="s">
        <v>698</v>
      </c>
      <c r="J535" s="77">
        <v>0</v>
      </c>
      <c r="K535" s="78">
        <v>-30</v>
      </c>
      <c r="M535" s="79" t="str">
        <f t="shared" si="26"/>
        <v>440-3304#</v>
      </c>
      <c r="N535" s="79" t="str">
        <f t="shared" si="24"/>
        <v>#</v>
      </c>
      <c r="O535" s="79" t="str">
        <f t="shared" si="25"/>
        <v>440#</v>
      </c>
      <c r="P535" s="79" t="str">
        <f>IFERROR(VLOOKUP($M535,Export!$P:$R,2,FALSE),"-")</f>
        <v>-</v>
      </c>
      <c r="Q535" s="79" t="str">
        <f>IFERROR(VLOOKUP($M535,Export!$P:$R,3,FALSE),"-")</f>
        <v>-</v>
      </c>
      <c r="R535" s="80" t="e" cm="1">
        <f t="array" ref="R535">_xlfn.IFS(P535="Service", _xlfn.IFS(I535="SALES","GP",I535="SERVICE SALES","GP",I535="PARTS SALES","GP",I535="SERVICE COS","GP",I535="PARTS COS","GP",I535="SELLING EXPENSES","Selling Expenses",I535="EMPLOYMENT EXPENSES","Selling Expenses",I535="EMPLOYMENT EXPENSES","Selling Expenses",I535="DIRECT EXPENSES","Selling Expenses",I535="INDIRECT EXPENSES","Selling Expenses"),P535="Parts",_xlfn.IFS(I535="SALES","GP",I535="SERVICE SALES","GP",I535="PARTS SALES","GP",I535="SERVICE COS","GP",I535="PARTS COS","GP",I535="SELLING EXPENSES","Selling Expenses",I535="EMPLOYMENT EXPENSES","Selling Expenses",I535="EMPLOYMENT EXPENSES","Selling Expenses",I535="DIRECT EXPENSES","Selling Expenses",I535="INDIRECT EXPENSES","Selling Expenses"))</f>
        <v>#N/A</v>
      </c>
    </row>
    <row r="536" spans="1:18" x14ac:dyDescent="0.2">
      <c r="A536" s="75" t="s">
        <v>712</v>
      </c>
      <c r="B536" s="76" t="s">
        <v>713</v>
      </c>
      <c r="C536" s="76">
        <v>140</v>
      </c>
      <c r="D536" s="76" t="s">
        <v>433</v>
      </c>
      <c r="E536" s="76" t="s">
        <v>247</v>
      </c>
      <c r="F536" s="77">
        <v>-100</v>
      </c>
      <c r="G536" s="77">
        <v>-5</v>
      </c>
      <c r="H536" s="77">
        <v>-105</v>
      </c>
      <c r="I536" s="76" t="s">
        <v>698</v>
      </c>
      <c r="J536" s="77">
        <v>0</v>
      </c>
      <c r="K536" s="78">
        <v>-144</v>
      </c>
      <c r="M536" s="79" t="str">
        <f t="shared" si="26"/>
        <v>140-3305#</v>
      </c>
      <c r="N536" s="79" t="str">
        <f t="shared" si="24"/>
        <v>#</v>
      </c>
      <c r="O536" s="79" t="str">
        <f t="shared" si="25"/>
        <v>140#</v>
      </c>
      <c r="P536" s="79" t="str">
        <f>IFERROR(VLOOKUP($M536,Export!$P:$R,2,FALSE),"-")</f>
        <v>-</v>
      </c>
      <c r="Q536" s="79" t="str">
        <f>IFERROR(VLOOKUP($M536,Export!$P:$R,3,FALSE),"-")</f>
        <v>-</v>
      </c>
      <c r="R536" s="80" t="e" cm="1">
        <f t="array" ref="R536">_xlfn.IFS(P536="Service", _xlfn.IFS(I536="SALES","GP",I536="SERVICE SALES","GP",I536="PARTS SALES","GP",I536="SERVICE COS","GP",I536="PARTS COS","GP",I536="SELLING EXPENSES","Selling Expenses",I536="EMPLOYMENT EXPENSES","Selling Expenses",I536="EMPLOYMENT EXPENSES","Selling Expenses",I536="DIRECT EXPENSES","Selling Expenses",I536="INDIRECT EXPENSES","Selling Expenses"),P536="Parts",_xlfn.IFS(I536="SALES","GP",I536="SERVICE SALES","GP",I536="PARTS SALES","GP",I536="SERVICE COS","GP",I536="PARTS COS","GP",I536="SELLING EXPENSES","Selling Expenses",I536="EMPLOYMENT EXPENSES","Selling Expenses",I536="EMPLOYMENT EXPENSES","Selling Expenses",I536="DIRECT EXPENSES","Selling Expenses",I536="INDIRECT EXPENSES","Selling Expenses"))</f>
        <v>#N/A</v>
      </c>
    </row>
    <row r="537" spans="1:18" x14ac:dyDescent="0.2">
      <c r="A537" s="75" t="s">
        <v>712</v>
      </c>
      <c r="B537" s="76" t="s">
        <v>713</v>
      </c>
      <c r="C537" s="76">
        <v>240</v>
      </c>
      <c r="D537" s="76" t="s">
        <v>439</v>
      </c>
      <c r="E537" s="76" t="s">
        <v>247</v>
      </c>
      <c r="F537" s="77">
        <v>-266</v>
      </c>
      <c r="G537" s="77">
        <v>-30</v>
      </c>
      <c r="H537" s="77">
        <v>-296</v>
      </c>
      <c r="I537" s="76" t="s">
        <v>698</v>
      </c>
      <c r="J537" s="77">
        <v>0</v>
      </c>
      <c r="K537" s="78">
        <v>-62</v>
      </c>
      <c r="M537" s="79" t="str">
        <f t="shared" si="26"/>
        <v>240-3305#</v>
      </c>
      <c r="N537" s="79" t="str">
        <f t="shared" si="24"/>
        <v>#</v>
      </c>
      <c r="O537" s="79" t="str">
        <f t="shared" si="25"/>
        <v>240#</v>
      </c>
      <c r="P537" s="79" t="str">
        <f>IFERROR(VLOOKUP($M537,Export!$P:$R,2,FALSE),"-")</f>
        <v>-</v>
      </c>
      <c r="Q537" s="79" t="str">
        <f>IFERROR(VLOOKUP($M537,Export!$P:$R,3,FALSE),"-")</f>
        <v>-</v>
      </c>
      <c r="R537" s="80" t="e" cm="1">
        <f t="array" ref="R537">_xlfn.IFS(P537="Service", _xlfn.IFS(I537="SALES","GP",I537="SERVICE SALES","GP",I537="PARTS SALES","GP",I537="SERVICE COS","GP",I537="PARTS COS","GP",I537="SELLING EXPENSES","Selling Expenses",I537="EMPLOYMENT EXPENSES","Selling Expenses",I537="EMPLOYMENT EXPENSES","Selling Expenses",I537="DIRECT EXPENSES","Selling Expenses",I537="INDIRECT EXPENSES","Selling Expenses"),P537="Parts",_xlfn.IFS(I537="SALES","GP",I537="SERVICE SALES","GP",I537="PARTS SALES","GP",I537="SERVICE COS","GP",I537="PARTS COS","GP",I537="SELLING EXPENSES","Selling Expenses",I537="EMPLOYMENT EXPENSES","Selling Expenses",I537="EMPLOYMENT EXPENSES","Selling Expenses",I537="DIRECT EXPENSES","Selling Expenses",I537="INDIRECT EXPENSES","Selling Expenses"))</f>
        <v>#N/A</v>
      </c>
    </row>
    <row r="538" spans="1:18" x14ac:dyDescent="0.2">
      <c r="A538" s="75" t="s">
        <v>712</v>
      </c>
      <c r="B538" s="76" t="s">
        <v>713</v>
      </c>
      <c r="C538" s="76">
        <v>340</v>
      </c>
      <c r="D538" s="76" t="s">
        <v>440</v>
      </c>
      <c r="E538" s="76" t="s">
        <v>247</v>
      </c>
      <c r="F538" s="77">
        <v>-144</v>
      </c>
      <c r="G538" s="77">
        <v>-29</v>
      </c>
      <c r="H538" s="77">
        <v>-173</v>
      </c>
      <c r="I538" s="76" t="s">
        <v>698</v>
      </c>
      <c r="J538" s="77">
        <v>0</v>
      </c>
      <c r="K538" s="78">
        <v>-8</v>
      </c>
      <c r="M538" s="79" t="str">
        <f t="shared" si="26"/>
        <v>340-3305#</v>
      </c>
      <c r="N538" s="79" t="str">
        <f t="shared" si="24"/>
        <v>#</v>
      </c>
      <c r="O538" s="79" t="str">
        <f t="shared" si="25"/>
        <v>340#</v>
      </c>
      <c r="P538" s="79" t="str">
        <f>IFERROR(VLOOKUP($M538,Export!$P:$R,2,FALSE),"-")</f>
        <v>-</v>
      </c>
      <c r="Q538" s="79" t="str">
        <f>IFERROR(VLOOKUP($M538,Export!$P:$R,3,FALSE),"-")</f>
        <v>-</v>
      </c>
      <c r="R538" s="80" t="e" cm="1">
        <f t="array" ref="R538">_xlfn.IFS(P538="Service", _xlfn.IFS(I538="SALES","GP",I538="SERVICE SALES","GP",I538="PARTS SALES","GP",I538="SERVICE COS","GP",I538="PARTS COS","GP",I538="SELLING EXPENSES","Selling Expenses",I538="EMPLOYMENT EXPENSES","Selling Expenses",I538="EMPLOYMENT EXPENSES","Selling Expenses",I538="DIRECT EXPENSES","Selling Expenses",I538="INDIRECT EXPENSES","Selling Expenses"),P538="Parts",_xlfn.IFS(I538="SALES","GP",I538="SERVICE SALES","GP",I538="PARTS SALES","GP",I538="SERVICE COS","GP",I538="PARTS COS","GP",I538="SELLING EXPENSES","Selling Expenses",I538="EMPLOYMENT EXPENSES","Selling Expenses",I538="EMPLOYMENT EXPENSES","Selling Expenses",I538="DIRECT EXPENSES","Selling Expenses",I538="INDIRECT EXPENSES","Selling Expenses"))</f>
        <v>#N/A</v>
      </c>
    </row>
    <row r="539" spans="1:18" x14ac:dyDescent="0.2">
      <c r="A539" s="75" t="s">
        <v>712</v>
      </c>
      <c r="B539" s="76" t="s">
        <v>713</v>
      </c>
      <c r="C539" s="76">
        <v>440</v>
      </c>
      <c r="D539" s="76" t="s">
        <v>441</v>
      </c>
      <c r="E539" s="76" t="s">
        <v>247</v>
      </c>
      <c r="F539" s="77">
        <v>-70</v>
      </c>
      <c r="G539" s="77">
        <v>-5</v>
      </c>
      <c r="H539" s="77">
        <v>-75</v>
      </c>
      <c r="I539" s="76" t="s">
        <v>698</v>
      </c>
      <c r="J539" s="77">
        <v>0</v>
      </c>
      <c r="K539" s="78">
        <v>-43</v>
      </c>
      <c r="M539" s="79" t="str">
        <f t="shared" si="26"/>
        <v>440-3305#</v>
      </c>
      <c r="N539" s="79" t="str">
        <f t="shared" si="24"/>
        <v>#</v>
      </c>
      <c r="O539" s="79" t="str">
        <f t="shared" si="25"/>
        <v>440#</v>
      </c>
      <c r="P539" s="79" t="str">
        <f>IFERROR(VLOOKUP($M539,Export!$P:$R,2,FALSE),"-")</f>
        <v>-</v>
      </c>
      <c r="Q539" s="79" t="str">
        <f>IFERROR(VLOOKUP($M539,Export!$P:$R,3,FALSE),"-")</f>
        <v>-</v>
      </c>
      <c r="R539" s="80" t="e" cm="1">
        <f t="array" ref="R539">_xlfn.IFS(P539="Service", _xlfn.IFS(I539="SALES","GP",I539="SERVICE SALES","GP",I539="PARTS SALES","GP",I539="SERVICE COS","GP",I539="PARTS COS","GP",I539="SELLING EXPENSES","Selling Expenses",I539="EMPLOYMENT EXPENSES","Selling Expenses",I539="EMPLOYMENT EXPENSES","Selling Expenses",I539="DIRECT EXPENSES","Selling Expenses",I539="INDIRECT EXPENSES","Selling Expenses"),P539="Parts",_xlfn.IFS(I539="SALES","GP",I539="SERVICE SALES","GP",I539="PARTS SALES","GP",I539="SERVICE COS","GP",I539="PARTS COS","GP",I539="SELLING EXPENSES","Selling Expenses",I539="EMPLOYMENT EXPENSES","Selling Expenses",I539="EMPLOYMENT EXPENSES","Selling Expenses",I539="DIRECT EXPENSES","Selling Expenses",I539="INDIRECT EXPENSES","Selling Expenses"))</f>
        <v>#N/A</v>
      </c>
    </row>
    <row r="540" spans="1:18" x14ac:dyDescent="0.2">
      <c r="A540" s="75">
        <v>3312</v>
      </c>
      <c r="B540" s="76" t="s">
        <v>714</v>
      </c>
      <c r="C540" s="76">
        <v>140</v>
      </c>
      <c r="D540" s="76" t="s">
        <v>433</v>
      </c>
      <c r="E540" s="76" t="s">
        <v>426</v>
      </c>
      <c r="F540" s="77">
        <v>-13714.56</v>
      </c>
      <c r="G540" s="77">
        <v>-831.53</v>
      </c>
      <c r="H540" s="77">
        <v>-14546.09</v>
      </c>
      <c r="I540" s="76" t="s">
        <v>698</v>
      </c>
      <c r="J540" s="77">
        <v>0</v>
      </c>
      <c r="K540" s="78">
        <v>-29688.22</v>
      </c>
      <c r="M540" s="79" t="str">
        <f t="shared" si="26"/>
        <v>140-3312</v>
      </c>
      <c r="N540" s="79" t="str">
        <f t="shared" si="24"/>
        <v/>
      </c>
      <c r="O540" s="79" t="str">
        <f t="shared" si="25"/>
        <v>140</v>
      </c>
      <c r="P540" s="79" t="str">
        <f>IFERROR(VLOOKUP($M540,Export!$P:$R,2,FALSE),"-")</f>
        <v>Service</v>
      </c>
      <c r="Q540" s="79" t="str">
        <f>IFERROR(VLOOKUP($M540,Export!$P:$R,3,FALSE),"-")</f>
        <v>ServiceRetail % of Labour Sales</v>
      </c>
      <c r="R540" s="80" t="str" cm="1">
        <f t="array" ref="R540">_xlfn.IFS(P540="Service", _xlfn.IFS(I540="SALES","GP",I540="SERVICE SALES","GP",I540="PARTS SALES","GP",I540="SERVICE COS","GP",I540="PARTS COS","GP",I540="SELLING EXPENSES","Selling Expenses",I540="EMPLOYMENT EXPENSES","Selling Expenses",I540="EMPLOYMENT EXPENSES","Selling Expenses",I540="DIRECT EXPENSES","Selling Expenses",I540="INDIRECT EXPENSES","Selling Expenses"),P540="Parts",_xlfn.IFS(I540="SALES","GP",I540="SERVICE SALES","GP",I540="PARTS SALES","GP",I540="SERVICE COS","GP",I540="PARTS COS","GP",I540="SELLING EXPENSES","Selling Expenses",I540="EMPLOYMENT EXPENSES","Selling Expenses",I540="EMPLOYMENT EXPENSES","Selling Expenses",I540="DIRECT EXPENSES","Selling Expenses",I540="INDIRECT EXPENSES","Selling Expenses"))</f>
        <v>GP</v>
      </c>
    </row>
    <row r="541" spans="1:18" x14ac:dyDescent="0.2">
      <c r="A541" s="75">
        <v>3312</v>
      </c>
      <c r="B541" s="76" t="s">
        <v>714</v>
      </c>
      <c r="C541" s="76">
        <v>142</v>
      </c>
      <c r="D541" s="76" t="s">
        <v>454</v>
      </c>
      <c r="E541" s="76" t="s">
        <v>426</v>
      </c>
      <c r="F541" s="77">
        <v>-2278.2399999999998</v>
      </c>
      <c r="G541" s="77">
        <v>0</v>
      </c>
      <c r="H541" s="77">
        <v>-2278.2399999999998</v>
      </c>
      <c r="I541" s="76" t="s">
        <v>698</v>
      </c>
      <c r="J541" s="77">
        <v>0</v>
      </c>
      <c r="K541" s="78">
        <v>0</v>
      </c>
      <c r="M541" s="79" t="str">
        <f t="shared" si="26"/>
        <v>142-3312</v>
      </c>
      <c r="N541" s="79" t="str">
        <f t="shared" si="24"/>
        <v/>
      </c>
      <c r="O541" s="79" t="str">
        <f t="shared" si="25"/>
        <v>142</v>
      </c>
      <c r="P541" s="79" t="str">
        <f>IFERROR(VLOOKUP($M541,Export!$P:$R,2,FALSE),"-")</f>
        <v>Lex Service</v>
      </c>
      <c r="Q541" s="79" t="str">
        <f>IFERROR(VLOOKUP($M541,Export!$P:$R,3,FALSE),"-")</f>
        <v>Lex ServiceRetail % of Labour Sales</v>
      </c>
      <c r="R541" s="80" t="e" cm="1">
        <f t="array" ref="R541">_xlfn.IFS(P541="Service", _xlfn.IFS(I541="SALES","GP",I541="SERVICE SALES","GP",I541="PARTS SALES","GP",I541="SERVICE COS","GP",I541="PARTS COS","GP",I541="SELLING EXPENSES","Selling Expenses",I541="EMPLOYMENT EXPENSES","Selling Expenses",I541="EMPLOYMENT EXPENSES","Selling Expenses",I541="DIRECT EXPENSES","Selling Expenses",I541="INDIRECT EXPENSES","Selling Expenses"),P541="Parts",_xlfn.IFS(I541="SALES","GP",I541="SERVICE SALES","GP",I541="PARTS SALES","GP",I541="SERVICE COS","GP",I541="PARTS COS","GP",I541="SELLING EXPENSES","Selling Expenses",I541="EMPLOYMENT EXPENSES","Selling Expenses",I541="EMPLOYMENT EXPENSES","Selling Expenses",I541="DIRECT EXPENSES","Selling Expenses",I541="INDIRECT EXPENSES","Selling Expenses"))</f>
        <v>#N/A</v>
      </c>
    </row>
    <row r="542" spans="1:18" x14ac:dyDescent="0.2">
      <c r="A542" s="75">
        <v>3312</v>
      </c>
      <c r="B542" s="76" t="s">
        <v>714</v>
      </c>
      <c r="C542" s="76">
        <v>147</v>
      </c>
      <c r="D542" s="76" t="s">
        <v>699</v>
      </c>
      <c r="E542" s="76" t="s">
        <v>426</v>
      </c>
      <c r="F542" s="77">
        <v>0</v>
      </c>
      <c r="G542" s="77">
        <v>0</v>
      </c>
      <c r="H542" s="77">
        <v>0</v>
      </c>
      <c r="I542" s="76" t="s">
        <v>698</v>
      </c>
      <c r="J542" s="77">
        <v>0</v>
      </c>
      <c r="K542" s="78">
        <v>-19106.54</v>
      </c>
      <c r="M542" s="79" t="str">
        <f t="shared" si="26"/>
        <v>147-3312</v>
      </c>
      <c r="N542" s="79" t="str">
        <f t="shared" si="24"/>
        <v/>
      </c>
      <c r="O542" s="79" t="str">
        <f t="shared" si="25"/>
        <v>147</v>
      </c>
      <c r="P542" s="79" t="str">
        <f>IFERROR(VLOOKUP($M542,Export!$P:$R,2,FALSE),"-")</f>
        <v>Service</v>
      </c>
      <c r="Q542" s="79" t="str">
        <f>IFERROR(VLOOKUP($M542,Export!$P:$R,3,FALSE),"-")</f>
        <v>ServiceRetail % of Labour Sales</v>
      </c>
      <c r="R542" s="80" t="str" cm="1">
        <f t="array" ref="R542">_xlfn.IFS(P542="Service", _xlfn.IFS(I542="SALES","GP",I542="SERVICE SALES","GP",I542="PARTS SALES","GP",I542="SERVICE COS","GP",I542="PARTS COS","GP",I542="SELLING EXPENSES","Selling Expenses",I542="EMPLOYMENT EXPENSES","Selling Expenses",I542="EMPLOYMENT EXPENSES","Selling Expenses",I542="DIRECT EXPENSES","Selling Expenses",I542="INDIRECT EXPENSES","Selling Expenses"),P542="Parts",_xlfn.IFS(I542="SALES","GP",I542="SERVICE SALES","GP",I542="PARTS SALES","GP",I542="SERVICE COS","GP",I542="PARTS COS","GP",I542="SELLING EXPENSES","Selling Expenses",I542="EMPLOYMENT EXPENSES","Selling Expenses",I542="EMPLOYMENT EXPENSES","Selling Expenses",I542="DIRECT EXPENSES","Selling Expenses",I542="INDIRECT EXPENSES","Selling Expenses"))</f>
        <v>GP</v>
      </c>
    </row>
    <row r="543" spans="1:18" x14ac:dyDescent="0.2">
      <c r="A543" s="75">
        <v>3312</v>
      </c>
      <c r="B543" s="76" t="s">
        <v>714</v>
      </c>
      <c r="C543" s="76">
        <v>170</v>
      </c>
      <c r="D543" s="76" t="s">
        <v>676</v>
      </c>
      <c r="E543" s="76" t="s">
        <v>426</v>
      </c>
      <c r="F543" s="77">
        <v>-1194.92</v>
      </c>
      <c r="G543" s="77">
        <v>0</v>
      </c>
      <c r="H543" s="77">
        <v>-1194.92</v>
      </c>
      <c r="I543" s="76" t="s">
        <v>698</v>
      </c>
      <c r="J543" s="77">
        <v>0</v>
      </c>
      <c r="K543" s="78">
        <v>0</v>
      </c>
      <c r="M543" s="79" t="str">
        <f t="shared" si="26"/>
        <v>170-3312</v>
      </c>
      <c r="N543" s="79" t="str">
        <f t="shared" si="24"/>
        <v/>
      </c>
      <c r="O543" s="79" t="str">
        <f t="shared" si="25"/>
        <v>170</v>
      </c>
      <c r="P543" s="79" t="str">
        <f>IFERROR(VLOOKUP($M543,Export!$P:$R,2,FALSE),"-")</f>
        <v>Admin &amp; Other</v>
      </c>
      <c r="Q543" s="79" t="str">
        <f>IFERROR(VLOOKUP($M543,Export!$P:$R,3,FALSE),"-")</f>
        <v>Admin &amp; OtherOther Overheads as % of Total Gross Profit</v>
      </c>
      <c r="R543" s="80" t="e" cm="1">
        <f t="array" ref="R543">_xlfn.IFS(P543="Service", _xlfn.IFS(I543="SALES","GP",I543="SERVICE SALES","GP",I543="PARTS SALES","GP",I543="SERVICE COS","GP",I543="PARTS COS","GP",I543="SELLING EXPENSES","Selling Expenses",I543="EMPLOYMENT EXPENSES","Selling Expenses",I543="EMPLOYMENT EXPENSES","Selling Expenses",I543="DIRECT EXPENSES","Selling Expenses",I543="INDIRECT EXPENSES","Selling Expenses"),P543="Parts",_xlfn.IFS(I543="SALES","GP",I543="SERVICE SALES","GP",I543="PARTS SALES","GP",I543="SERVICE COS","GP",I543="PARTS COS","GP",I543="SELLING EXPENSES","Selling Expenses",I543="EMPLOYMENT EXPENSES","Selling Expenses",I543="EMPLOYMENT EXPENSES","Selling Expenses",I543="DIRECT EXPENSES","Selling Expenses",I543="INDIRECT EXPENSES","Selling Expenses"))</f>
        <v>#N/A</v>
      </c>
    </row>
    <row r="544" spans="1:18" x14ac:dyDescent="0.2">
      <c r="A544" s="75">
        <v>3312</v>
      </c>
      <c r="B544" s="76" t="s">
        <v>714</v>
      </c>
      <c r="C544" s="76">
        <v>240</v>
      </c>
      <c r="D544" s="76" t="s">
        <v>439</v>
      </c>
      <c r="E544" s="76" t="s">
        <v>426</v>
      </c>
      <c r="F544" s="77">
        <v>-16286.33</v>
      </c>
      <c r="G544" s="77">
        <v>-911.52</v>
      </c>
      <c r="H544" s="77">
        <v>-17197.849999999999</v>
      </c>
      <c r="I544" s="76" t="s">
        <v>698</v>
      </c>
      <c r="J544" s="77">
        <v>0</v>
      </c>
      <c r="K544" s="78">
        <v>-5170.3999999999996</v>
      </c>
      <c r="M544" s="79" t="str">
        <f t="shared" si="26"/>
        <v>240-3312</v>
      </c>
      <c r="N544" s="79" t="str">
        <f t="shared" si="24"/>
        <v/>
      </c>
      <c r="O544" s="79" t="str">
        <f t="shared" si="25"/>
        <v>240</v>
      </c>
      <c r="P544" s="79" t="str">
        <f>IFERROR(VLOOKUP($M544,Export!$P:$R,2,FALSE),"-")</f>
        <v>Service</v>
      </c>
      <c r="Q544" s="79" t="str">
        <f>IFERROR(VLOOKUP($M544,Export!$P:$R,3,FALSE),"-")</f>
        <v>ServiceRetail % of Labour Sales</v>
      </c>
      <c r="R544" s="80" t="str" cm="1">
        <f t="array" ref="R544">_xlfn.IFS(P544="Service", _xlfn.IFS(I544="SALES","GP",I544="SERVICE SALES","GP",I544="PARTS SALES","GP",I544="SERVICE COS","GP",I544="PARTS COS","GP",I544="SELLING EXPENSES","Selling Expenses",I544="EMPLOYMENT EXPENSES","Selling Expenses",I544="EMPLOYMENT EXPENSES","Selling Expenses",I544="DIRECT EXPENSES","Selling Expenses",I544="INDIRECT EXPENSES","Selling Expenses"),P544="Parts",_xlfn.IFS(I544="SALES","GP",I544="SERVICE SALES","GP",I544="PARTS SALES","GP",I544="SERVICE COS","GP",I544="PARTS COS","GP",I544="SELLING EXPENSES","Selling Expenses",I544="EMPLOYMENT EXPENSES","Selling Expenses",I544="EMPLOYMENT EXPENSES","Selling Expenses",I544="DIRECT EXPENSES","Selling Expenses",I544="INDIRECT EXPENSES","Selling Expenses"))</f>
        <v>GP</v>
      </c>
    </row>
    <row r="545" spans="1:18" x14ac:dyDescent="0.2">
      <c r="A545" s="75">
        <v>3312</v>
      </c>
      <c r="B545" s="76" t="s">
        <v>714</v>
      </c>
      <c r="C545" s="76">
        <v>340</v>
      </c>
      <c r="D545" s="76" t="s">
        <v>440</v>
      </c>
      <c r="E545" s="76" t="s">
        <v>426</v>
      </c>
      <c r="F545" s="77">
        <v>-21002.400000000001</v>
      </c>
      <c r="G545" s="77">
        <v>-2545.12</v>
      </c>
      <c r="H545" s="77">
        <v>-23547.52</v>
      </c>
      <c r="I545" s="76" t="s">
        <v>698</v>
      </c>
      <c r="J545" s="77">
        <v>0</v>
      </c>
      <c r="K545" s="78">
        <v>-9656.5499999999993</v>
      </c>
      <c r="M545" s="79" t="str">
        <f t="shared" si="26"/>
        <v>340-3312</v>
      </c>
      <c r="N545" s="79" t="str">
        <f t="shared" si="24"/>
        <v/>
      </c>
      <c r="O545" s="79" t="str">
        <f t="shared" si="25"/>
        <v>340</v>
      </c>
      <c r="P545" s="79" t="str">
        <f>IFERROR(VLOOKUP($M545,Export!$P:$R,2,FALSE),"-")</f>
        <v>Service</v>
      </c>
      <c r="Q545" s="79" t="str">
        <f>IFERROR(VLOOKUP($M545,Export!$P:$R,3,FALSE),"-")</f>
        <v>ServiceRetail % of Labour Sales</v>
      </c>
      <c r="R545" s="80" t="str" cm="1">
        <f t="array" ref="R545">_xlfn.IFS(P545="Service", _xlfn.IFS(I545="SALES","GP",I545="SERVICE SALES","GP",I545="PARTS SALES","GP",I545="SERVICE COS","GP",I545="PARTS COS","GP",I545="SELLING EXPENSES","Selling Expenses",I545="EMPLOYMENT EXPENSES","Selling Expenses",I545="EMPLOYMENT EXPENSES","Selling Expenses",I545="DIRECT EXPENSES","Selling Expenses",I545="INDIRECT EXPENSES","Selling Expenses"),P545="Parts",_xlfn.IFS(I545="SALES","GP",I545="SERVICE SALES","GP",I545="PARTS SALES","GP",I545="SERVICE COS","GP",I545="PARTS COS","GP",I545="SELLING EXPENSES","Selling Expenses",I545="EMPLOYMENT EXPENSES","Selling Expenses",I545="EMPLOYMENT EXPENSES","Selling Expenses",I545="DIRECT EXPENSES","Selling Expenses",I545="INDIRECT EXPENSES","Selling Expenses"))</f>
        <v>GP</v>
      </c>
    </row>
    <row r="546" spans="1:18" x14ac:dyDescent="0.2">
      <c r="A546" s="75">
        <v>3312</v>
      </c>
      <c r="B546" s="76" t="s">
        <v>714</v>
      </c>
      <c r="C546" s="76">
        <v>440</v>
      </c>
      <c r="D546" s="76" t="s">
        <v>441</v>
      </c>
      <c r="E546" s="76" t="s">
        <v>426</v>
      </c>
      <c r="F546" s="77">
        <v>-39771.480000000003</v>
      </c>
      <c r="G546" s="77">
        <v>-4531.38</v>
      </c>
      <c r="H546" s="77">
        <v>-44302.86</v>
      </c>
      <c r="I546" s="76" t="s">
        <v>698</v>
      </c>
      <c r="J546" s="77">
        <v>0</v>
      </c>
      <c r="K546" s="78">
        <v>-7839.4</v>
      </c>
      <c r="M546" s="79" t="str">
        <f t="shared" si="26"/>
        <v>440-3312</v>
      </c>
      <c r="N546" s="79" t="str">
        <f t="shared" si="24"/>
        <v/>
      </c>
      <c r="O546" s="79" t="str">
        <f t="shared" si="25"/>
        <v>440</v>
      </c>
      <c r="P546" s="79" t="str">
        <f>IFERROR(VLOOKUP($M546,Export!$P:$R,2,FALSE),"-")</f>
        <v>Service</v>
      </c>
      <c r="Q546" s="79" t="str">
        <f>IFERROR(VLOOKUP($M546,Export!$P:$R,3,FALSE),"-")</f>
        <v>ServiceRetail % of Labour Sales</v>
      </c>
      <c r="R546" s="80" t="str" cm="1">
        <f t="array" ref="R546">_xlfn.IFS(P546="Service", _xlfn.IFS(I546="SALES","GP",I546="SERVICE SALES","GP",I546="PARTS SALES","GP",I546="SERVICE COS","GP",I546="PARTS COS","GP",I546="SELLING EXPENSES","Selling Expenses",I546="EMPLOYMENT EXPENSES","Selling Expenses",I546="EMPLOYMENT EXPENSES","Selling Expenses",I546="DIRECT EXPENSES","Selling Expenses",I546="INDIRECT EXPENSES","Selling Expenses"),P546="Parts",_xlfn.IFS(I546="SALES","GP",I546="SERVICE SALES","GP",I546="PARTS SALES","GP",I546="SERVICE COS","GP",I546="PARTS COS","GP",I546="SELLING EXPENSES","Selling Expenses",I546="EMPLOYMENT EXPENSES","Selling Expenses",I546="EMPLOYMENT EXPENSES","Selling Expenses",I546="DIRECT EXPENSES","Selling Expenses",I546="INDIRECT EXPENSES","Selling Expenses"))</f>
        <v>GP</v>
      </c>
    </row>
    <row r="547" spans="1:18" x14ac:dyDescent="0.2">
      <c r="A547" s="75" t="s">
        <v>715</v>
      </c>
      <c r="B547" s="76" t="s">
        <v>716</v>
      </c>
      <c r="C547" s="76">
        <v>140</v>
      </c>
      <c r="D547" s="76" t="s">
        <v>433</v>
      </c>
      <c r="E547" s="76" t="s">
        <v>247</v>
      </c>
      <c r="F547" s="77">
        <v>77</v>
      </c>
      <c r="G547" s="77">
        <v>6</v>
      </c>
      <c r="H547" s="77">
        <v>83</v>
      </c>
      <c r="I547" s="76" t="s">
        <v>698</v>
      </c>
      <c r="J547" s="77">
        <v>0</v>
      </c>
      <c r="K547" s="78">
        <v>269</v>
      </c>
      <c r="M547" s="79" t="str">
        <f t="shared" si="26"/>
        <v>140-3312#</v>
      </c>
      <c r="N547" s="79" t="str">
        <f t="shared" si="24"/>
        <v>#</v>
      </c>
      <c r="O547" s="79" t="str">
        <f t="shared" si="25"/>
        <v>140#</v>
      </c>
      <c r="P547" s="79" t="str">
        <f>IFERROR(VLOOKUP($M547,Export!$P:$R,2,FALSE),"-")</f>
        <v>-</v>
      </c>
      <c r="Q547" s="79" t="str">
        <f>IFERROR(VLOOKUP($M547,Export!$P:$R,3,FALSE),"-")</f>
        <v>-</v>
      </c>
      <c r="R547" s="80" t="e" cm="1">
        <f t="array" ref="R547">_xlfn.IFS(P547="Service", _xlfn.IFS(I547="SALES","GP",I547="SERVICE SALES","GP",I547="PARTS SALES","GP",I547="SERVICE COS","GP",I547="PARTS COS","GP",I547="SELLING EXPENSES","Selling Expenses",I547="EMPLOYMENT EXPENSES","Selling Expenses",I547="EMPLOYMENT EXPENSES","Selling Expenses",I547="DIRECT EXPENSES","Selling Expenses",I547="INDIRECT EXPENSES","Selling Expenses"),P547="Parts",_xlfn.IFS(I547="SALES","GP",I547="SERVICE SALES","GP",I547="PARTS SALES","GP",I547="SERVICE COS","GP",I547="PARTS COS","GP",I547="SELLING EXPENSES","Selling Expenses",I547="EMPLOYMENT EXPENSES","Selling Expenses",I547="EMPLOYMENT EXPENSES","Selling Expenses",I547="DIRECT EXPENSES","Selling Expenses",I547="INDIRECT EXPENSES","Selling Expenses"))</f>
        <v>#N/A</v>
      </c>
    </row>
    <row r="548" spans="1:18" x14ac:dyDescent="0.2">
      <c r="A548" s="75" t="s">
        <v>715</v>
      </c>
      <c r="B548" s="76" t="s">
        <v>716</v>
      </c>
      <c r="C548" s="76">
        <v>142</v>
      </c>
      <c r="D548" s="76" t="s">
        <v>454</v>
      </c>
      <c r="E548" s="76" t="s">
        <v>247</v>
      </c>
      <c r="F548" s="77">
        <v>15</v>
      </c>
      <c r="G548" s="77">
        <v>0</v>
      </c>
      <c r="H548" s="77">
        <v>15</v>
      </c>
      <c r="I548" s="76" t="s">
        <v>698</v>
      </c>
      <c r="J548" s="77">
        <v>0</v>
      </c>
      <c r="K548" s="78">
        <v>0</v>
      </c>
      <c r="M548" s="79" t="str">
        <f t="shared" si="26"/>
        <v>142-3312#</v>
      </c>
      <c r="N548" s="79" t="str">
        <f t="shared" si="24"/>
        <v>#</v>
      </c>
      <c r="O548" s="79" t="str">
        <f t="shared" si="25"/>
        <v>142#</v>
      </c>
      <c r="P548" s="79" t="str">
        <f>IFERROR(VLOOKUP($M548,Export!$P:$R,2,FALSE),"-")</f>
        <v>-</v>
      </c>
      <c r="Q548" s="79" t="str">
        <f>IFERROR(VLOOKUP($M548,Export!$P:$R,3,FALSE),"-")</f>
        <v>-</v>
      </c>
      <c r="R548" s="80" t="e" cm="1">
        <f t="array" ref="R548">_xlfn.IFS(P548="Service", _xlfn.IFS(I548="SALES","GP",I548="SERVICE SALES","GP",I548="PARTS SALES","GP",I548="SERVICE COS","GP",I548="PARTS COS","GP",I548="SELLING EXPENSES","Selling Expenses",I548="EMPLOYMENT EXPENSES","Selling Expenses",I548="EMPLOYMENT EXPENSES","Selling Expenses",I548="DIRECT EXPENSES","Selling Expenses",I548="INDIRECT EXPENSES","Selling Expenses"),P548="Parts",_xlfn.IFS(I548="SALES","GP",I548="SERVICE SALES","GP",I548="PARTS SALES","GP",I548="SERVICE COS","GP",I548="PARTS COS","GP",I548="SELLING EXPENSES","Selling Expenses",I548="EMPLOYMENT EXPENSES","Selling Expenses",I548="EMPLOYMENT EXPENSES","Selling Expenses",I548="DIRECT EXPENSES","Selling Expenses",I548="INDIRECT EXPENSES","Selling Expenses"))</f>
        <v>#N/A</v>
      </c>
    </row>
    <row r="549" spans="1:18" x14ac:dyDescent="0.2">
      <c r="A549" s="75" t="s">
        <v>715</v>
      </c>
      <c r="B549" s="76" t="s">
        <v>716</v>
      </c>
      <c r="C549" s="76">
        <v>147</v>
      </c>
      <c r="D549" s="76" t="s">
        <v>699</v>
      </c>
      <c r="E549" s="76" t="s">
        <v>247</v>
      </c>
      <c r="F549" s="77">
        <v>0</v>
      </c>
      <c r="G549" s="77">
        <v>0</v>
      </c>
      <c r="H549" s="77">
        <v>0</v>
      </c>
      <c r="I549" s="76" t="s">
        <v>698</v>
      </c>
      <c r="J549" s="77">
        <v>0</v>
      </c>
      <c r="K549" s="78">
        <v>53</v>
      </c>
      <c r="M549" s="79" t="str">
        <f t="shared" si="26"/>
        <v>147-3312#</v>
      </c>
      <c r="N549" s="79" t="str">
        <f t="shared" si="24"/>
        <v>#</v>
      </c>
      <c r="O549" s="79" t="str">
        <f t="shared" si="25"/>
        <v>147#</v>
      </c>
      <c r="P549" s="79" t="str">
        <f>IFERROR(VLOOKUP($M549,Export!$P:$R,2,FALSE),"-")</f>
        <v>-</v>
      </c>
      <c r="Q549" s="79" t="str">
        <f>IFERROR(VLOOKUP($M549,Export!$P:$R,3,FALSE),"-")</f>
        <v>-</v>
      </c>
      <c r="R549" s="80" t="e" cm="1">
        <f t="array" ref="R549">_xlfn.IFS(P549="Service", _xlfn.IFS(I549="SALES","GP",I549="SERVICE SALES","GP",I549="PARTS SALES","GP",I549="SERVICE COS","GP",I549="PARTS COS","GP",I549="SELLING EXPENSES","Selling Expenses",I549="EMPLOYMENT EXPENSES","Selling Expenses",I549="EMPLOYMENT EXPENSES","Selling Expenses",I549="DIRECT EXPENSES","Selling Expenses",I549="INDIRECT EXPENSES","Selling Expenses"),P549="Parts",_xlfn.IFS(I549="SALES","GP",I549="SERVICE SALES","GP",I549="PARTS SALES","GP",I549="SERVICE COS","GP",I549="PARTS COS","GP",I549="SELLING EXPENSES","Selling Expenses",I549="EMPLOYMENT EXPENSES","Selling Expenses",I549="EMPLOYMENT EXPENSES","Selling Expenses",I549="DIRECT EXPENSES","Selling Expenses",I549="INDIRECT EXPENSES","Selling Expenses"))</f>
        <v>#N/A</v>
      </c>
    </row>
    <row r="550" spans="1:18" x14ac:dyDescent="0.2">
      <c r="A550" s="75" t="s">
        <v>715</v>
      </c>
      <c r="B550" s="76" t="s">
        <v>716</v>
      </c>
      <c r="C550" s="76">
        <v>170</v>
      </c>
      <c r="D550" s="76" t="s">
        <v>676</v>
      </c>
      <c r="E550" s="76" t="s">
        <v>247</v>
      </c>
      <c r="F550" s="77">
        <v>1</v>
      </c>
      <c r="G550" s="77">
        <v>0</v>
      </c>
      <c r="H550" s="77">
        <v>1</v>
      </c>
      <c r="I550" s="76" t="s">
        <v>698</v>
      </c>
      <c r="J550" s="77">
        <v>0</v>
      </c>
      <c r="K550" s="78">
        <v>0</v>
      </c>
      <c r="M550" s="79" t="str">
        <f t="shared" si="26"/>
        <v>170-3312#</v>
      </c>
      <c r="N550" s="79" t="str">
        <f t="shared" si="24"/>
        <v>#</v>
      </c>
      <c r="O550" s="79" t="str">
        <f t="shared" si="25"/>
        <v>170#</v>
      </c>
      <c r="P550" s="79" t="str">
        <f>IFERROR(VLOOKUP($M550,Export!$P:$R,2,FALSE),"-")</f>
        <v>-</v>
      </c>
      <c r="Q550" s="79" t="str">
        <f>IFERROR(VLOOKUP($M550,Export!$P:$R,3,FALSE),"-")</f>
        <v>-</v>
      </c>
      <c r="R550" s="80" t="e" cm="1">
        <f t="array" ref="R550">_xlfn.IFS(P550="Service", _xlfn.IFS(I550="SALES","GP",I550="SERVICE SALES","GP",I550="PARTS SALES","GP",I550="SERVICE COS","GP",I550="PARTS COS","GP",I550="SELLING EXPENSES","Selling Expenses",I550="EMPLOYMENT EXPENSES","Selling Expenses",I550="EMPLOYMENT EXPENSES","Selling Expenses",I550="DIRECT EXPENSES","Selling Expenses",I550="INDIRECT EXPENSES","Selling Expenses"),P550="Parts",_xlfn.IFS(I550="SALES","GP",I550="SERVICE SALES","GP",I550="PARTS SALES","GP",I550="SERVICE COS","GP",I550="PARTS COS","GP",I550="SELLING EXPENSES","Selling Expenses",I550="EMPLOYMENT EXPENSES","Selling Expenses",I550="EMPLOYMENT EXPENSES","Selling Expenses",I550="DIRECT EXPENSES","Selling Expenses",I550="INDIRECT EXPENSES","Selling Expenses"))</f>
        <v>#N/A</v>
      </c>
    </row>
    <row r="551" spans="1:18" x14ac:dyDescent="0.2">
      <c r="A551" s="75" t="s">
        <v>715</v>
      </c>
      <c r="B551" s="76" t="s">
        <v>716</v>
      </c>
      <c r="C551" s="76">
        <v>340</v>
      </c>
      <c r="D551" s="76" t="s">
        <v>440</v>
      </c>
      <c r="E551" s="76" t="s">
        <v>247</v>
      </c>
      <c r="F551" s="77">
        <v>119</v>
      </c>
      <c r="G551" s="77">
        <v>15</v>
      </c>
      <c r="H551" s="77">
        <v>134</v>
      </c>
      <c r="I551" s="76" t="s">
        <v>698</v>
      </c>
      <c r="J551" s="77">
        <v>0</v>
      </c>
      <c r="K551" s="78">
        <v>60</v>
      </c>
      <c r="M551" s="79" t="str">
        <f t="shared" si="26"/>
        <v>340-3312#</v>
      </c>
      <c r="N551" s="79" t="str">
        <f t="shared" si="24"/>
        <v>#</v>
      </c>
      <c r="O551" s="79" t="str">
        <f t="shared" si="25"/>
        <v>340#</v>
      </c>
      <c r="P551" s="79" t="str">
        <f>IFERROR(VLOOKUP($M551,Export!$P:$R,2,FALSE),"-")</f>
        <v>-</v>
      </c>
      <c r="Q551" s="79" t="str">
        <f>IFERROR(VLOOKUP($M551,Export!$P:$R,3,FALSE),"-")</f>
        <v>-</v>
      </c>
      <c r="R551" s="80" t="e" cm="1">
        <f t="array" ref="R551">_xlfn.IFS(P551="Service", _xlfn.IFS(I551="SALES","GP",I551="SERVICE SALES","GP",I551="PARTS SALES","GP",I551="SERVICE COS","GP",I551="PARTS COS","GP",I551="SELLING EXPENSES","Selling Expenses",I551="EMPLOYMENT EXPENSES","Selling Expenses",I551="EMPLOYMENT EXPENSES","Selling Expenses",I551="DIRECT EXPENSES","Selling Expenses",I551="INDIRECT EXPENSES","Selling Expenses"),P551="Parts",_xlfn.IFS(I551="SALES","GP",I551="SERVICE SALES","GP",I551="PARTS SALES","GP",I551="SERVICE COS","GP",I551="PARTS COS","GP",I551="SELLING EXPENSES","Selling Expenses",I551="EMPLOYMENT EXPENSES","Selling Expenses",I551="EMPLOYMENT EXPENSES","Selling Expenses",I551="DIRECT EXPENSES","Selling Expenses",I551="INDIRECT EXPENSES","Selling Expenses"))</f>
        <v>#N/A</v>
      </c>
    </row>
    <row r="552" spans="1:18" x14ac:dyDescent="0.2">
      <c r="A552" s="75" t="s">
        <v>715</v>
      </c>
      <c r="B552" s="76" t="s">
        <v>716</v>
      </c>
      <c r="C552" s="76">
        <v>440</v>
      </c>
      <c r="D552" s="76" t="s">
        <v>441</v>
      </c>
      <c r="E552" s="76" t="s">
        <v>247</v>
      </c>
      <c r="F552" s="77">
        <v>182</v>
      </c>
      <c r="G552" s="77">
        <v>21</v>
      </c>
      <c r="H552" s="77">
        <v>203</v>
      </c>
      <c r="I552" s="76" t="s">
        <v>698</v>
      </c>
      <c r="J552" s="77">
        <v>0</v>
      </c>
      <c r="K552" s="78">
        <v>36</v>
      </c>
      <c r="M552" s="79" t="str">
        <f t="shared" si="26"/>
        <v>440-3312#</v>
      </c>
      <c r="N552" s="79" t="str">
        <f t="shared" si="24"/>
        <v>#</v>
      </c>
      <c r="O552" s="79" t="str">
        <f t="shared" si="25"/>
        <v>440#</v>
      </c>
      <c r="P552" s="79" t="str">
        <f>IFERROR(VLOOKUP($M552,Export!$P:$R,2,FALSE),"-")</f>
        <v>-</v>
      </c>
      <c r="Q552" s="79" t="str">
        <f>IFERROR(VLOOKUP($M552,Export!$P:$R,3,FALSE),"-")</f>
        <v>-</v>
      </c>
      <c r="R552" s="80" t="e" cm="1">
        <f t="array" ref="R552">_xlfn.IFS(P552="Service", _xlfn.IFS(I552="SALES","GP",I552="SERVICE SALES","GP",I552="PARTS SALES","GP",I552="SERVICE COS","GP",I552="PARTS COS","GP",I552="SELLING EXPENSES","Selling Expenses",I552="EMPLOYMENT EXPENSES","Selling Expenses",I552="EMPLOYMENT EXPENSES","Selling Expenses",I552="DIRECT EXPENSES","Selling Expenses",I552="INDIRECT EXPENSES","Selling Expenses"),P552="Parts",_xlfn.IFS(I552="SALES","GP",I552="SERVICE SALES","GP",I552="PARTS SALES","GP",I552="SERVICE COS","GP",I552="PARTS COS","GP",I552="SELLING EXPENSES","Selling Expenses",I552="EMPLOYMENT EXPENSES","Selling Expenses",I552="EMPLOYMENT EXPENSES","Selling Expenses",I552="DIRECT EXPENSES","Selling Expenses",I552="INDIRECT EXPENSES","Selling Expenses"))</f>
        <v>#N/A</v>
      </c>
    </row>
    <row r="553" spans="1:18" x14ac:dyDescent="0.2">
      <c r="A553" s="75">
        <v>3320</v>
      </c>
      <c r="B553" s="76" t="s">
        <v>114</v>
      </c>
      <c r="C553" s="76">
        <v>140</v>
      </c>
      <c r="D553" s="76" t="s">
        <v>433</v>
      </c>
      <c r="E553" s="76" t="s">
        <v>426</v>
      </c>
      <c r="F553" s="77">
        <v>-123732.11</v>
      </c>
      <c r="G553" s="77">
        <v>-13851.57</v>
      </c>
      <c r="H553" s="77">
        <v>-137583.67999999999</v>
      </c>
      <c r="I553" s="76" t="s">
        <v>698</v>
      </c>
      <c r="J553" s="77">
        <v>-23069.9</v>
      </c>
      <c r="K553" s="78">
        <v>-209715.7</v>
      </c>
      <c r="M553" s="79" t="str">
        <f t="shared" si="26"/>
        <v>140-3320</v>
      </c>
      <c r="N553" s="79" t="str">
        <f t="shared" si="24"/>
        <v/>
      </c>
      <c r="O553" s="79" t="str">
        <f t="shared" si="25"/>
        <v>140</v>
      </c>
      <c r="P553" s="79" t="str">
        <f>IFERROR(VLOOKUP($M553,Export!$P:$R,2,FALSE),"-")</f>
        <v>Service</v>
      </c>
      <c r="Q553" s="79" t="str">
        <f>IFERROR(VLOOKUP($M553,Export!$P:$R,3,FALSE),"-")</f>
        <v>ServiceWarranty % of Labour Sales</v>
      </c>
      <c r="R553" s="80" t="str" cm="1">
        <f t="array" ref="R553">_xlfn.IFS(P553="Service", _xlfn.IFS(I553="SALES","GP",I553="SERVICE SALES","GP",I553="PARTS SALES","GP",I553="SERVICE COS","GP",I553="PARTS COS","GP",I553="SELLING EXPENSES","Selling Expenses",I553="EMPLOYMENT EXPENSES","Selling Expenses",I553="EMPLOYMENT EXPENSES","Selling Expenses",I553="DIRECT EXPENSES","Selling Expenses",I553="INDIRECT EXPENSES","Selling Expenses"),P553="Parts",_xlfn.IFS(I553="SALES","GP",I553="SERVICE SALES","GP",I553="PARTS SALES","GP",I553="SERVICE COS","GP",I553="PARTS COS","GP",I553="SELLING EXPENSES","Selling Expenses",I553="EMPLOYMENT EXPENSES","Selling Expenses",I553="EMPLOYMENT EXPENSES","Selling Expenses",I553="DIRECT EXPENSES","Selling Expenses",I553="INDIRECT EXPENSES","Selling Expenses"))</f>
        <v>GP</v>
      </c>
    </row>
    <row r="554" spans="1:18" x14ac:dyDescent="0.2">
      <c r="A554" s="75">
        <v>3320</v>
      </c>
      <c r="B554" s="76" t="s">
        <v>114</v>
      </c>
      <c r="C554" s="76">
        <v>142</v>
      </c>
      <c r="D554" s="76" t="s">
        <v>454</v>
      </c>
      <c r="E554" s="76" t="s">
        <v>426</v>
      </c>
      <c r="F554" s="77">
        <v>-60697.01</v>
      </c>
      <c r="G554" s="77">
        <v>-4925.9799999999996</v>
      </c>
      <c r="H554" s="77">
        <v>-65622.990000000005</v>
      </c>
      <c r="I554" s="76" t="s">
        <v>698</v>
      </c>
      <c r="J554" s="77">
        <v>-5825.81</v>
      </c>
      <c r="K554" s="78">
        <v>-81321.149999999994</v>
      </c>
      <c r="M554" s="79" t="str">
        <f t="shared" si="26"/>
        <v>142-3320</v>
      </c>
      <c r="N554" s="79" t="str">
        <f t="shared" si="24"/>
        <v/>
      </c>
      <c r="O554" s="79" t="str">
        <f t="shared" si="25"/>
        <v>142</v>
      </c>
      <c r="P554" s="79" t="str">
        <f>IFERROR(VLOOKUP($M554,Export!$P:$R,2,FALSE),"-")</f>
        <v>Lex Service</v>
      </c>
      <c r="Q554" s="79" t="str">
        <f>IFERROR(VLOOKUP($M554,Export!$P:$R,3,FALSE),"-")</f>
        <v>Lex ServiceWarranty % of Labour Sales</v>
      </c>
      <c r="R554" s="80" t="e" cm="1">
        <f t="array" ref="R554">_xlfn.IFS(P554="Service", _xlfn.IFS(I554="SALES","GP",I554="SERVICE SALES","GP",I554="PARTS SALES","GP",I554="SERVICE COS","GP",I554="PARTS COS","GP",I554="SELLING EXPENSES","Selling Expenses",I554="EMPLOYMENT EXPENSES","Selling Expenses",I554="EMPLOYMENT EXPENSES","Selling Expenses",I554="DIRECT EXPENSES","Selling Expenses",I554="INDIRECT EXPENSES","Selling Expenses"),P554="Parts",_xlfn.IFS(I554="SALES","GP",I554="SERVICE SALES","GP",I554="PARTS SALES","GP",I554="SERVICE COS","GP",I554="PARTS COS","GP",I554="SELLING EXPENSES","Selling Expenses",I554="EMPLOYMENT EXPENSES","Selling Expenses",I554="EMPLOYMENT EXPENSES","Selling Expenses",I554="DIRECT EXPENSES","Selling Expenses",I554="INDIRECT EXPENSES","Selling Expenses"))</f>
        <v>#N/A</v>
      </c>
    </row>
    <row r="555" spans="1:18" x14ac:dyDescent="0.2">
      <c r="A555" s="75">
        <v>3320</v>
      </c>
      <c r="B555" s="76" t="s">
        <v>114</v>
      </c>
      <c r="C555" s="76">
        <v>147</v>
      </c>
      <c r="D555" s="76" t="s">
        <v>699</v>
      </c>
      <c r="E555" s="76" t="s">
        <v>426</v>
      </c>
      <c r="F555" s="77">
        <v>0</v>
      </c>
      <c r="G555" s="77">
        <v>0</v>
      </c>
      <c r="H555" s="77">
        <v>0</v>
      </c>
      <c r="I555" s="76" t="s">
        <v>698</v>
      </c>
      <c r="J555" s="77">
        <v>-5668.07</v>
      </c>
      <c r="K555" s="78">
        <v>-62280.91</v>
      </c>
      <c r="M555" s="79" t="str">
        <f t="shared" si="26"/>
        <v>147-3320</v>
      </c>
      <c r="N555" s="79" t="str">
        <f t="shared" si="24"/>
        <v/>
      </c>
      <c r="O555" s="79" t="str">
        <f t="shared" si="25"/>
        <v>147</v>
      </c>
      <c r="P555" s="79" t="str">
        <f>IFERROR(VLOOKUP($M555,Export!$P:$R,2,FALSE),"-")</f>
        <v>Service</v>
      </c>
      <c r="Q555" s="79" t="str">
        <f>IFERROR(VLOOKUP($M555,Export!$P:$R,3,FALSE),"-")</f>
        <v>ServiceWarranty % of Labour Sales</v>
      </c>
      <c r="R555" s="80" t="str" cm="1">
        <f t="array" ref="R555">_xlfn.IFS(P555="Service", _xlfn.IFS(I555="SALES","GP",I555="SERVICE SALES","GP",I555="PARTS SALES","GP",I555="SERVICE COS","GP",I555="PARTS COS","GP",I555="SELLING EXPENSES","Selling Expenses",I555="EMPLOYMENT EXPENSES","Selling Expenses",I555="EMPLOYMENT EXPENSES","Selling Expenses",I555="DIRECT EXPENSES","Selling Expenses",I555="INDIRECT EXPENSES","Selling Expenses"),P555="Parts",_xlfn.IFS(I555="SALES","GP",I555="SERVICE SALES","GP",I555="PARTS SALES","GP",I555="SERVICE COS","GP",I555="PARTS COS","GP",I555="SELLING EXPENSES","Selling Expenses",I555="EMPLOYMENT EXPENSES","Selling Expenses",I555="EMPLOYMENT EXPENSES","Selling Expenses",I555="DIRECT EXPENSES","Selling Expenses",I555="INDIRECT EXPENSES","Selling Expenses"))</f>
        <v>GP</v>
      </c>
    </row>
    <row r="556" spans="1:18" x14ac:dyDescent="0.2">
      <c r="A556" s="75">
        <v>3320</v>
      </c>
      <c r="B556" s="76" t="s">
        <v>114</v>
      </c>
      <c r="C556" s="76">
        <v>240</v>
      </c>
      <c r="D556" s="76" t="s">
        <v>439</v>
      </c>
      <c r="E556" s="76" t="s">
        <v>426</v>
      </c>
      <c r="F556" s="77">
        <v>-85181.27</v>
      </c>
      <c r="G556" s="77">
        <v>-7124.88</v>
      </c>
      <c r="H556" s="77">
        <v>-92306.15</v>
      </c>
      <c r="I556" s="76" t="s">
        <v>698</v>
      </c>
      <c r="J556" s="77">
        <v>-4683.5</v>
      </c>
      <c r="K556" s="78">
        <v>-63574.27</v>
      </c>
      <c r="M556" s="79" t="str">
        <f t="shared" si="26"/>
        <v>240-3320</v>
      </c>
      <c r="N556" s="79" t="str">
        <f t="shared" si="24"/>
        <v/>
      </c>
      <c r="O556" s="79" t="str">
        <f t="shared" si="25"/>
        <v>240</v>
      </c>
      <c r="P556" s="79" t="str">
        <f>IFERROR(VLOOKUP($M556,Export!$P:$R,2,FALSE),"-")</f>
        <v>Service</v>
      </c>
      <c r="Q556" s="79" t="str">
        <f>IFERROR(VLOOKUP($M556,Export!$P:$R,3,FALSE),"-")</f>
        <v>ServiceWarranty % of Labour Sales</v>
      </c>
      <c r="R556" s="80" t="str" cm="1">
        <f t="array" ref="R556">_xlfn.IFS(P556="Service", _xlfn.IFS(I556="SALES","GP",I556="SERVICE SALES","GP",I556="PARTS SALES","GP",I556="SERVICE COS","GP",I556="PARTS COS","GP",I556="SELLING EXPENSES","Selling Expenses",I556="EMPLOYMENT EXPENSES","Selling Expenses",I556="EMPLOYMENT EXPENSES","Selling Expenses",I556="DIRECT EXPENSES","Selling Expenses",I556="INDIRECT EXPENSES","Selling Expenses"),P556="Parts",_xlfn.IFS(I556="SALES","GP",I556="SERVICE SALES","GP",I556="PARTS SALES","GP",I556="SERVICE COS","GP",I556="PARTS COS","GP",I556="SELLING EXPENSES","Selling Expenses",I556="EMPLOYMENT EXPENSES","Selling Expenses",I556="EMPLOYMENT EXPENSES","Selling Expenses",I556="DIRECT EXPENSES","Selling Expenses",I556="INDIRECT EXPENSES","Selling Expenses"))</f>
        <v>GP</v>
      </c>
    </row>
    <row r="557" spans="1:18" x14ac:dyDescent="0.2">
      <c r="A557" s="75">
        <v>3320</v>
      </c>
      <c r="B557" s="76" t="s">
        <v>114</v>
      </c>
      <c r="C557" s="76">
        <v>340</v>
      </c>
      <c r="D557" s="76" t="s">
        <v>440</v>
      </c>
      <c r="E557" s="76" t="s">
        <v>426</v>
      </c>
      <c r="F557" s="77">
        <v>-42834.31</v>
      </c>
      <c r="G557" s="77">
        <v>-2908.84</v>
      </c>
      <c r="H557" s="77">
        <v>-45743.15</v>
      </c>
      <c r="I557" s="76" t="s">
        <v>698</v>
      </c>
      <c r="J557" s="77">
        <v>-8583.83</v>
      </c>
      <c r="K557" s="78">
        <v>-73547.679999999993</v>
      </c>
      <c r="M557" s="79" t="str">
        <f t="shared" si="26"/>
        <v>340-3320</v>
      </c>
      <c r="N557" s="79" t="str">
        <f t="shared" si="24"/>
        <v/>
      </c>
      <c r="O557" s="79" t="str">
        <f t="shared" si="25"/>
        <v>340</v>
      </c>
      <c r="P557" s="79" t="str">
        <f>IFERROR(VLOOKUP($M557,Export!$P:$R,2,FALSE),"-")</f>
        <v>Service</v>
      </c>
      <c r="Q557" s="79" t="str">
        <f>IFERROR(VLOOKUP($M557,Export!$P:$R,3,FALSE),"-")</f>
        <v>ServiceWarranty % of Labour Sales</v>
      </c>
      <c r="R557" s="80" t="str" cm="1">
        <f t="array" ref="R557">_xlfn.IFS(P557="Service", _xlfn.IFS(I557="SALES","GP",I557="SERVICE SALES","GP",I557="PARTS SALES","GP",I557="SERVICE COS","GP",I557="PARTS COS","GP",I557="SELLING EXPENSES","Selling Expenses",I557="EMPLOYMENT EXPENSES","Selling Expenses",I557="EMPLOYMENT EXPENSES","Selling Expenses",I557="DIRECT EXPENSES","Selling Expenses",I557="INDIRECT EXPENSES","Selling Expenses"),P557="Parts",_xlfn.IFS(I557="SALES","GP",I557="SERVICE SALES","GP",I557="PARTS SALES","GP",I557="SERVICE COS","GP",I557="PARTS COS","GP",I557="SELLING EXPENSES","Selling Expenses",I557="EMPLOYMENT EXPENSES","Selling Expenses",I557="EMPLOYMENT EXPENSES","Selling Expenses",I557="DIRECT EXPENSES","Selling Expenses",I557="INDIRECT EXPENSES","Selling Expenses"))</f>
        <v>GP</v>
      </c>
    </row>
    <row r="558" spans="1:18" x14ac:dyDescent="0.2">
      <c r="A558" s="75">
        <v>3320</v>
      </c>
      <c r="B558" s="76" t="s">
        <v>114</v>
      </c>
      <c r="C558" s="76">
        <v>440</v>
      </c>
      <c r="D558" s="76" t="s">
        <v>441</v>
      </c>
      <c r="E558" s="76" t="s">
        <v>426</v>
      </c>
      <c r="F558" s="77">
        <v>-28788.58</v>
      </c>
      <c r="G558" s="77">
        <v>-3289.84</v>
      </c>
      <c r="H558" s="77">
        <v>-32078.42</v>
      </c>
      <c r="I558" s="76" t="s">
        <v>698</v>
      </c>
      <c r="J558" s="77">
        <v>-710.42</v>
      </c>
      <c r="K558" s="78">
        <v>-12141.91</v>
      </c>
      <c r="M558" s="79" t="str">
        <f t="shared" si="26"/>
        <v>440-3320</v>
      </c>
      <c r="N558" s="79" t="str">
        <f t="shared" si="24"/>
        <v/>
      </c>
      <c r="O558" s="79" t="str">
        <f t="shared" si="25"/>
        <v>440</v>
      </c>
      <c r="P558" s="79" t="str">
        <f>IFERROR(VLOOKUP($M558,Export!$P:$R,2,FALSE),"-")</f>
        <v>Service</v>
      </c>
      <c r="Q558" s="79" t="str">
        <f>IFERROR(VLOOKUP($M558,Export!$P:$R,3,FALSE),"-")</f>
        <v>ServiceWarranty % of Labour Sales</v>
      </c>
      <c r="R558" s="80" t="str" cm="1">
        <f t="array" ref="R558">_xlfn.IFS(P558="Service", _xlfn.IFS(I558="SALES","GP",I558="SERVICE SALES","GP",I558="PARTS SALES","GP",I558="SERVICE COS","GP",I558="PARTS COS","GP",I558="SELLING EXPENSES","Selling Expenses",I558="EMPLOYMENT EXPENSES","Selling Expenses",I558="EMPLOYMENT EXPENSES","Selling Expenses",I558="DIRECT EXPENSES","Selling Expenses",I558="INDIRECT EXPENSES","Selling Expenses"),P558="Parts",_xlfn.IFS(I558="SALES","GP",I558="SERVICE SALES","GP",I558="PARTS SALES","GP",I558="SERVICE COS","GP",I558="PARTS COS","GP",I558="SELLING EXPENSES","Selling Expenses",I558="EMPLOYMENT EXPENSES","Selling Expenses",I558="EMPLOYMENT EXPENSES","Selling Expenses",I558="DIRECT EXPENSES","Selling Expenses",I558="INDIRECT EXPENSES","Selling Expenses"))</f>
        <v>GP</v>
      </c>
    </row>
    <row r="559" spans="1:18" x14ac:dyDescent="0.2">
      <c r="A559" s="75" t="s">
        <v>717</v>
      </c>
      <c r="B559" s="76" t="s">
        <v>718</v>
      </c>
      <c r="C559" s="76">
        <v>140</v>
      </c>
      <c r="D559" s="76" t="s">
        <v>433</v>
      </c>
      <c r="E559" s="76" t="s">
        <v>247</v>
      </c>
      <c r="F559" s="77">
        <v>769</v>
      </c>
      <c r="G559" s="77">
        <v>95</v>
      </c>
      <c r="H559" s="77">
        <v>864</v>
      </c>
      <c r="I559" s="76" t="s">
        <v>698</v>
      </c>
      <c r="J559" s="77">
        <v>0</v>
      </c>
      <c r="K559" s="78">
        <v>282</v>
      </c>
      <c r="M559" s="79" t="str">
        <f t="shared" si="26"/>
        <v>140-3320#</v>
      </c>
      <c r="N559" s="79" t="str">
        <f t="shared" si="24"/>
        <v>#</v>
      </c>
      <c r="O559" s="79" t="str">
        <f t="shared" si="25"/>
        <v>140#</v>
      </c>
      <c r="P559" s="79" t="str">
        <f>IFERROR(VLOOKUP($M559,Export!$P:$R,2,FALSE),"-")</f>
        <v>-</v>
      </c>
      <c r="Q559" s="79" t="str">
        <f>IFERROR(VLOOKUP($M559,Export!$P:$R,3,FALSE),"-")</f>
        <v>-</v>
      </c>
      <c r="R559" s="80" t="e" cm="1">
        <f t="array" ref="R559">_xlfn.IFS(P559="Service", _xlfn.IFS(I559="SALES","GP",I559="SERVICE SALES","GP",I559="PARTS SALES","GP",I559="SERVICE COS","GP",I559="PARTS COS","GP",I559="SELLING EXPENSES","Selling Expenses",I559="EMPLOYMENT EXPENSES","Selling Expenses",I559="EMPLOYMENT EXPENSES","Selling Expenses",I559="DIRECT EXPENSES","Selling Expenses",I559="INDIRECT EXPENSES","Selling Expenses"),P559="Parts",_xlfn.IFS(I559="SALES","GP",I559="SERVICE SALES","GP",I559="PARTS SALES","GP",I559="SERVICE COS","GP",I559="PARTS COS","GP",I559="SELLING EXPENSES","Selling Expenses",I559="EMPLOYMENT EXPENSES","Selling Expenses",I559="EMPLOYMENT EXPENSES","Selling Expenses",I559="DIRECT EXPENSES","Selling Expenses",I559="INDIRECT EXPENSES","Selling Expenses"))</f>
        <v>#N/A</v>
      </c>
    </row>
    <row r="560" spans="1:18" x14ac:dyDescent="0.2">
      <c r="A560" s="75" t="s">
        <v>717</v>
      </c>
      <c r="B560" s="76" t="s">
        <v>718</v>
      </c>
      <c r="C560" s="76">
        <v>142</v>
      </c>
      <c r="D560" s="76" t="s">
        <v>454</v>
      </c>
      <c r="E560" s="76" t="s">
        <v>247</v>
      </c>
      <c r="F560" s="77">
        <v>361</v>
      </c>
      <c r="G560" s="77">
        <v>26</v>
      </c>
      <c r="H560" s="77">
        <v>387</v>
      </c>
      <c r="I560" s="76" t="s">
        <v>698</v>
      </c>
      <c r="J560" s="77">
        <v>0</v>
      </c>
      <c r="K560" s="78">
        <v>158</v>
      </c>
      <c r="M560" s="79" t="str">
        <f t="shared" si="26"/>
        <v>142-3320#</v>
      </c>
      <c r="N560" s="79" t="str">
        <f t="shared" si="24"/>
        <v>#</v>
      </c>
      <c r="O560" s="79" t="str">
        <f t="shared" si="25"/>
        <v>142#</v>
      </c>
      <c r="P560" s="79" t="str">
        <f>IFERROR(VLOOKUP($M560,Export!$P:$R,2,FALSE),"-")</f>
        <v>-</v>
      </c>
      <c r="Q560" s="79" t="str">
        <f>IFERROR(VLOOKUP($M560,Export!$P:$R,3,FALSE),"-")</f>
        <v>-</v>
      </c>
      <c r="R560" s="80" t="e" cm="1">
        <f t="array" ref="R560">_xlfn.IFS(P560="Service", _xlfn.IFS(I560="SALES","GP",I560="SERVICE SALES","GP",I560="PARTS SALES","GP",I560="SERVICE COS","GP",I560="PARTS COS","GP",I560="SELLING EXPENSES","Selling Expenses",I560="EMPLOYMENT EXPENSES","Selling Expenses",I560="EMPLOYMENT EXPENSES","Selling Expenses",I560="DIRECT EXPENSES","Selling Expenses",I560="INDIRECT EXPENSES","Selling Expenses"),P560="Parts",_xlfn.IFS(I560="SALES","GP",I560="SERVICE SALES","GP",I560="PARTS SALES","GP",I560="SERVICE COS","GP",I560="PARTS COS","GP",I560="SELLING EXPENSES","Selling Expenses",I560="EMPLOYMENT EXPENSES","Selling Expenses",I560="EMPLOYMENT EXPENSES","Selling Expenses",I560="DIRECT EXPENSES","Selling Expenses",I560="INDIRECT EXPENSES","Selling Expenses"))</f>
        <v>#N/A</v>
      </c>
    </row>
    <row r="561" spans="1:18" x14ac:dyDescent="0.2">
      <c r="A561" s="75" t="s">
        <v>717</v>
      </c>
      <c r="B561" s="76" t="s">
        <v>718</v>
      </c>
      <c r="C561" s="76">
        <v>147</v>
      </c>
      <c r="D561" s="76" t="s">
        <v>699</v>
      </c>
      <c r="E561" s="76" t="s">
        <v>247</v>
      </c>
      <c r="F561" s="77">
        <v>0</v>
      </c>
      <c r="G561" s="77">
        <v>0</v>
      </c>
      <c r="H561" s="77">
        <v>0</v>
      </c>
      <c r="I561" s="76" t="s">
        <v>698</v>
      </c>
      <c r="J561" s="77">
        <v>0</v>
      </c>
      <c r="K561" s="78">
        <v>26</v>
      </c>
      <c r="M561" s="79" t="str">
        <f t="shared" si="26"/>
        <v>147-3320#</v>
      </c>
      <c r="N561" s="79" t="str">
        <f t="shared" si="24"/>
        <v>#</v>
      </c>
      <c r="O561" s="79" t="str">
        <f t="shared" si="25"/>
        <v>147#</v>
      </c>
      <c r="P561" s="79" t="str">
        <f>IFERROR(VLOOKUP($M561,Export!$P:$R,2,FALSE),"-")</f>
        <v>-</v>
      </c>
      <c r="Q561" s="79" t="str">
        <f>IFERROR(VLOOKUP($M561,Export!$P:$R,3,FALSE),"-")</f>
        <v>-</v>
      </c>
      <c r="R561" s="80" t="e" cm="1">
        <f t="array" ref="R561">_xlfn.IFS(P561="Service", _xlfn.IFS(I561="SALES","GP",I561="SERVICE SALES","GP",I561="PARTS SALES","GP",I561="SERVICE COS","GP",I561="PARTS COS","GP",I561="SELLING EXPENSES","Selling Expenses",I561="EMPLOYMENT EXPENSES","Selling Expenses",I561="EMPLOYMENT EXPENSES","Selling Expenses",I561="DIRECT EXPENSES","Selling Expenses",I561="INDIRECT EXPENSES","Selling Expenses"),P561="Parts",_xlfn.IFS(I561="SALES","GP",I561="SERVICE SALES","GP",I561="PARTS SALES","GP",I561="SERVICE COS","GP",I561="PARTS COS","GP",I561="SELLING EXPENSES","Selling Expenses",I561="EMPLOYMENT EXPENSES","Selling Expenses",I561="EMPLOYMENT EXPENSES","Selling Expenses",I561="DIRECT EXPENSES","Selling Expenses",I561="INDIRECT EXPENSES","Selling Expenses"))</f>
        <v>#N/A</v>
      </c>
    </row>
    <row r="562" spans="1:18" x14ac:dyDescent="0.2">
      <c r="A562" s="75" t="s">
        <v>717</v>
      </c>
      <c r="B562" s="76" t="s">
        <v>718</v>
      </c>
      <c r="C562" s="76">
        <v>240</v>
      </c>
      <c r="D562" s="76" t="s">
        <v>439</v>
      </c>
      <c r="E562" s="76" t="s">
        <v>247</v>
      </c>
      <c r="F562" s="77">
        <v>506</v>
      </c>
      <c r="G562" s="77">
        <v>55</v>
      </c>
      <c r="H562" s="77">
        <v>561</v>
      </c>
      <c r="I562" s="76" t="s">
        <v>698</v>
      </c>
      <c r="J562" s="77">
        <v>0</v>
      </c>
      <c r="K562" s="78">
        <v>164</v>
      </c>
      <c r="M562" s="79" t="str">
        <f t="shared" si="26"/>
        <v>240-3320#</v>
      </c>
      <c r="N562" s="79" t="str">
        <f t="shared" si="24"/>
        <v>#</v>
      </c>
      <c r="O562" s="79" t="str">
        <f t="shared" si="25"/>
        <v>240#</v>
      </c>
      <c r="P562" s="79" t="str">
        <f>IFERROR(VLOOKUP($M562,Export!$P:$R,2,FALSE),"-")</f>
        <v>-</v>
      </c>
      <c r="Q562" s="79" t="str">
        <f>IFERROR(VLOOKUP($M562,Export!$P:$R,3,FALSE),"-")</f>
        <v>-</v>
      </c>
      <c r="R562" s="80" t="e" cm="1">
        <f t="array" ref="R562">_xlfn.IFS(P562="Service", _xlfn.IFS(I562="SALES","GP",I562="SERVICE SALES","GP",I562="PARTS SALES","GP",I562="SERVICE COS","GP",I562="PARTS COS","GP",I562="SELLING EXPENSES","Selling Expenses",I562="EMPLOYMENT EXPENSES","Selling Expenses",I562="EMPLOYMENT EXPENSES","Selling Expenses",I562="DIRECT EXPENSES","Selling Expenses",I562="INDIRECT EXPENSES","Selling Expenses"),P562="Parts",_xlfn.IFS(I562="SALES","GP",I562="SERVICE SALES","GP",I562="PARTS SALES","GP",I562="SERVICE COS","GP",I562="PARTS COS","GP",I562="SELLING EXPENSES","Selling Expenses",I562="EMPLOYMENT EXPENSES","Selling Expenses",I562="EMPLOYMENT EXPENSES","Selling Expenses",I562="DIRECT EXPENSES","Selling Expenses",I562="INDIRECT EXPENSES","Selling Expenses"))</f>
        <v>#N/A</v>
      </c>
    </row>
    <row r="563" spans="1:18" x14ac:dyDescent="0.2">
      <c r="A563" s="75" t="s">
        <v>717</v>
      </c>
      <c r="B563" s="76" t="s">
        <v>718</v>
      </c>
      <c r="C563" s="76">
        <v>340</v>
      </c>
      <c r="D563" s="76" t="s">
        <v>440</v>
      </c>
      <c r="E563" s="76" t="s">
        <v>247</v>
      </c>
      <c r="F563" s="77">
        <v>276</v>
      </c>
      <c r="G563" s="77">
        <v>26</v>
      </c>
      <c r="H563" s="77">
        <v>302</v>
      </c>
      <c r="I563" s="76" t="s">
        <v>698</v>
      </c>
      <c r="J563" s="77">
        <v>0</v>
      </c>
      <c r="K563" s="78">
        <v>93</v>
      </c>
      <c r="M563" s="79" t="str">
        <f t="shared" si="26"/>
        <v>340-3320#</v>
      </c>
      <c r="N563" s="79" t="str">
        <f t="shared" si="24"/>
        <v>#</v>
      </c>
      <c r="O563" s="79" t="str">
        <f t="shared" si="25"/>
        <v>340#</v>
      </c>
      <c r="P563" s="79" t="str">
        <f>IFERROR(VLOOKUP($M563,Export!$P:$R,2,FALSE),"-")</f>
        <v>-</v>
      </c>
      <c r="Q563" s="79" t="str">
        <f>IFERROR(VLOOKUP($M563,Export!$P:$R,3,FALSE),"-")</f>
        <v>-</v>
      </c>
      <c r="R563" s="80" t="e" cm="1">
        <f t="array" ref="R563">_xlfn.IFS(P563="Service", _xlfn.IFS(I563="SALES","GP",I563="SERVICE SALES","GP",I563="PARTS SALES","GP",I563="SERVICE COS","GP",I563="PARTS COS","GP",I563="SELLING EXPENSES","Selling Expenses",I563="EMPLOYMENT EXPENSES","Selling Expenses",I563="EMPLOYMENT EXPENSES","Selling Expenses",I563="DIRECT EXPENSES","Selling Expenses",I563="INDIRECT EXPENSES","Selling Expenses"),P563="Parts",_xlfn.IFS(I563="SALES","GP",I563="SERVICE SALES","GP",I563="PARTS SALES","GP",I563="SERVICE COS","GP",I563="PARTS COS","GP",I563="SELLING EXPENSES","Selling Expenses",I563="EMPLOYMENT EXPENSES","Selling Expenses",I563="EMPLOYMENT EXPENSES","Selling Expenses",I563="DIRECT EXPENSES","Selling Expenses",I563="INDIRECT EXPENSES","Selling Expenses"))</f>
        <v>#N/A</v>
      </c>
    </row>
    <row r="564" spans="1:18" x14ac:dyDescent="0.2">
      <c r="A564" s="75" t="s">
        <v>717</v>
      </c>
      <c r="B564" s="76" t="s">
        <v>718</v>
      </c>
      <c r="C564" s="76">
        <v>440</v>
      </c>
      <c r="D564" s="76" t="s">
        <v>441</v>
      </c>
      <c r="E564" s="76" t="s">
        <v>247</v>
      </c>
      <c r="F564" s="77">
        <v>187</v>
      </c>
      <c r="G564" s="77">
        <v>24</v>
      </c>
      <c r="H564" s="77">
        <v>211</v>
      </c>
      <c r="I564" s="76" t="s">
        <v>698</v>
      </c>
      <c r="J564" s="77">
        <v>0</v>
      </c>
      <c r="K564" s="78">
        <v>38</v>
      </c>
      <c r="M564" s="79" t="str">
        <f t="shared" si="26"/>
        <v>440-3320#</v>
      </c>
      <c r="N564" s="79" t="str">
        <f t="shared" si="24"/>
        <v>#</v>
      </c>
      <c r="O564" s="79" t="str">
        <f t="shared" si="25"/>
        <v>440#</v>
      </c>
      <c r="P564" s="79" t="str">
        <f>IFERROR(VLOOKUP($M564,Export!$P:$R,2,FALSE),"-")</f>
        <v>-</v>
      </c>
      <c r="Q564" s="79" t="str">
        <f>IFERROR(VLOOKUP($M564,Export!$P:$R,3,FALSE),"-")</f>
        <v>-</v>
      </c>
      <c r="R564" s="80" t="e" cm="1">
        <f t="array" ref="R564">_xlfn.IFS(P564="Service", _xlfn.IFS(I564="SALES","GP",I564="SERVICE SALES","GP",I564="PARTS SALES","GP",I564="SERVICE COS","GP",I564="PARTS COS","GP",I564="SELLING EXPENSES","Selling Expenses",I564="EMPLOYMENT EXPENSES","Selling Expenses",I564="EMPLOYMENT EXPENSES","Selling Expenses",I564="DIRECT EXPENSES","Selling Expenses",I564="INDIRECT EXPENSES","Selling Expenses"),P564="Parts",_xlfn.IFS(I564="SALES","GP",I564="SERVICE SALES","GP",I564="PARTS SALES","GP",I564="SERVICE COS","GP",I564="PARTS COS","GP",I564="SELLING EXPENSES","Selling Expenses",I564="EMPLOYMENT EXPENSES","Selling Expenses",I564="EMPLOYMENT EXPENSES","Selling Expenses",I564="DIRECT EXPENSES","Selling Expenses",I564="INDIRECT EXPENSES","Selling Expenses"))</f>
        <v>#N/A</v>
      </c>
    </row>
    <row r="565" spans="1:18" x14ac:dyDescent="0.2">
      <c r="A565" s="75">
        <v>3340</v>
      </c>
      <c r="B565" s="76" t="s">
        <v>115</v>
      </c>
      <c r="C565" s="76">
        <v>140</v>
      </c>
      <c r="D565" s="76" t="s">
        <v>433</v>
      </c>
      <c r="E565" s="76" t="s">
        <v>426</v>
      </c>
      <c r="F565" s="77">
        <v>-338797.45</v>
      </c>
      <c r="G565" s="77">
        <v>-37603.839999999997</v>
      </c>
      <c r="H565" s="77">
        <v>-376401.29</v>
      </c>
      <c r="I565" s="76" t="s">
        <v>698</v>
      </c>
      <c r="J565" s="77">
        <v>-31615.72</v>
      </c>
      <c r="K565" s="78">
        <v>-256051.4</v>
      </c>
      <c r="M565" s="79" t="str">
        <f t="shared" si="26"/>
        <v>140-3340</v>
      </c>
      <c r="N565" s="79" t="str">
        <f t="shared" si="24"/>
        <v/>
      </c>
      <c r="O565" s="79" t="str">
        <f t="shared" si="25"/>
        <v>140</v>
      </c>
      <c r="P565" s="79" t="str">
        <f>IFERROR(VLOOKUP($M565,Export!$P:$R,2,FALSE),"-")</f>
        <v>Service</v>
      </c>
      <c r="Q565" s="79" t="str">
        <f>IFERROR(VLOOKUP($M565,Export!$P:$R,3,FALSE),"-")</f>
        <v>ServiceInternal % of Labour Sales</v>
      </c>
      <c r="R565" s="80" t="str" cm="1">
        <f t="array" ref="R565">_xlfn.IFS(P565="Service", _xlfn.IFS(I565="SALES","GP",I565="SERVICE SALES","GP",I565="PARTS SALES","GP",I565="SERVICE COS","GP",I565="PARTS COS","GP",I565="SELLING EXPENSES","Selling Expenses",I565="EMPLOYMENT EXPENSES","Selling Expenses",I565="EMPLOYMENT EXPENSES","Selling Expenses",I565="DIRECT EXPENSES","Selling Expenses",I565="INDIRECT EXPENSES","Selling Expenses"),P565="Parts",_xlfn.IFS(I565="SALES","GP",I565="SERVICE SALES","GP",I565="PARTS SALES","GP",I565="SERVICE COS","GP",I565="PARTS COS","GP",I565="SELLING EXPENSES","Selling Expenses",I565="EMPLOYMENT EXPENSES","Selling Expenses",I565="EMPLOYMENT EXPENSES","Selling Expenses",I565="DIRECT EXPENSES","Selling Expenses",I565="INDIRECT EXPENSES","Selling Expenses"))</f>
        <v>GP</v>
      </c>
    </row>
    <row r="566" spans="1:18" x14ac:dyDescent="0.2">
      <c r="A566" s="75">
        <v>3340</v>
      </c>
      <c r="B566" s="76" t="s">
        <v>115</v>
      </c>
      <c r="C566" s="76">
        <v>142</v>
      </c>
      <c r="D566" s="76" t="s">
        <v>454</v>
      </c>
      <c r="E566" s="76" t="s">
        <v>426</v>
      </c>
      <c r="F566" s="77">
        <v>-266902.40999999997</v>
      </c>
      <c r="G566" s="77">
        <v>-24483.17</v>
      </c>
      <c r="H566" s="77">
        <v>-291385.58</v>
      </c>
      <c r="I566" s="76" t="s">
        <v>698</v>
      </c>
      <c r="J566" s="77">
        <v>-35453.910000000003</v>
      </c>
      <c r="K566" s="78">
        <v>-258963.69</v>
      </c>
      <c r="M566" s="79" t="str">
        <f t="shared" si="26"/>
        <v>142-3340</v>
      </c>
      <c r="N566" s="79" t="str">
        <f t="shared" si="24"/>
        <v/>
      </c>
      <c r="O566" s="79" t="str">
        <f t="shared" si="25"/>
        <v>142</v>
      </c>
      <c r="P566" s="79" t="str">
        <f>IFERROR(VLOOKUP($M566,Export!$P:$R,2,FALSE),"-")</f>
        <v>Lex Service</v>
      </c>
      <c r="Q566" s="79" t="str">
        <f>IFERROR(VLOOKUP($M566,Export!$P:$R,3,FALSE),"-")</f>
        <v>Lex ServiceInternal % of Labour Sales</v>
      </c>
      <c r="R566" s="80" t="e" cm="1">
        <f t="array" ref="R566">_xlfn.IFS(P566="Service", _xlfn.IFS(I566="SALES","GP",I566="SERVICE SALES","GP",I566="PARTS SALES","GP",I566="SERVICE COS","GP",I566="PARTS COS","GP",I566="SELLING EXPENSES","Selling Expenses",I566="EMPLOYMENT EXPENSES","Selling Expenses",I566="EMPLOYMENT EXPENSES","Selling Expenses",I566="DIRECT EXPENSES","Selling Expenses",I566="INDIRECT EXPENSES","Selling Expenses"),P566="Parts",_xlfn.IFS(I566="SALES","GP",I566="SERVICE SALES","GP",I566="PARTS SALES","GP",I566="SERVICE COS","GP",I566="PARTS COS","GP",I566="SELLING EXPENSES","Selling Expenses",I566="EMPLOYMENT EXPENSES","Selling Expenses",I566="EMPLOYMENT EXPENSES","Selling Expenses",I566="DIRECT EXPENSES","Selling Expenses",I566="INDIRECT EXPENSES","Selling Expenses"))</f>
        <v>#N/A</v>
      </c>
    </row>
    <row r="567" spans="1:18" x14ac:dyDescent="0.2">
      <c r="A567" s="75">
        <v>3340</v>
      </c>
      <c r="B567" s="76" t="s">
        <v>115</v>
      </c>
      <c r="C567" s="76">
        <v>147</v>
      </c>
      <c r="D567" s="76" t="s">
        <v>699</v>
      </c>
      <c r="E567" s="76" t="s">
        <v>426</v>
      </c>
      <c r="F567" s="77">
        <v>-1897.78</v>
      </c>
      <c r="G567" s="77">
        <v>0</v>
      </c>
      <c r="H567" s="77">
        <v>-1897.78</v>
      </c>
      <c r="I567" s="76" t="s">
        <v>698</v>
      </c>
      <c r="J567" s="77">
        <v>-8097.24</v>
      </c>
      <c r="K567" s="78">
        <v>-138721.81</v>
      </c>
      <c r="M567" s="79" t="str">
        <f t="shared" si="26"/>
        <v>147-3340</v>
      </c>
      <c r="N567" s="79" t="str">
        <f t="shared" si="24"/>
        <v/>
      </c>
      <c r="O567" s="79" t="str">
        <f t="shared" si="25"/>
        <v>147</v>
      </c>
      <c r="P567" s="79" t="str">
        <f>IFERROR(VLOOKUP($M567,Export!$P:$R,2,FALSE),"-")</f>
        <v>Service</v>
      </c>
      <c r="Q567" s="79" t="str">
        <f>IFERROR(VLOOKUP($M567,Export!$P:$R,3,FALSE),"-")</f>
        <v>ServiceInternal % of Labour Sales</v>
      </c>
      <c r="R567" s="80" t="str" cm="1">
        <f t="array" ref="R567">_xlfn.IFS(P567="Service", _xlfn.IFS(I567="SALES","GP",I567="SERVICE SALES","GP",I567="PARTS SALES","GP",I567="SERVICE COS","GP",I567="PARTS COS","GP",I567="SELLING EXPENSES","Selling Expenses",I567="EMPLOYMENT EXPENSES","Selling Expenses",I567="EMPLOYMENT EXPENSES","Selling Expenses",I567="DIRECT EXPENSES","Selling Expenses",I567="INDIRECT EXPENSES","Selling Expenses"),P567="Parts",_xlfn.IFS(I567="SALES","GP",I567="SERVICE SALES","GP",I567="PARTS SALES","GP",I567="SERVICE COS","GP",I567="PARTS COS","GP",I567="SELLING EXPENSES","Selling Expenses",I567="EMPLOYMENT EXPENSES","Selling Expenses",I567="EMPLOYMENT EXPENSES","Selling Expenses",I567="DIRECT EXPENSES","Selling Expenses",I567="INDIRECT EXPENSES","Selling Expenses"))</f>
        <v>GP</v>
      </c>
    </row>
    <row r="568" spans="1:18" x14ac:dyDescent="0.2">
      <c r="A568" s="75">
        <v>3340</v>
      </c>
      <c r="B568" s="76" t="s">
        <v>115</v>
      </c>
      <c r="C568" s="76">
        <v>150</v>
      </c>
      <c r="D568" s="76" t="s">
        <v>700</v>
      </c>
      <c r="E568" s="76" t="s">
        <v>426</v>
      </c>
      <c r="F568" s="77">
        <v>-163186.62</v>
      </c>
      <c r="G568" s="77">
        <v>-18152</v>
      </c>
      <c r="H568" s="77">
        <v>-181338.62</v>
      </c>
      <c r="I568" s="76" t="s">
        <v>698</v>
      </c>
      <c r="J568" s="77">
        <v>0</v>
      </c>
      <c r="K568" s="78">
        <v>0</v>
      </c>
      <c r="M568" s="79" t="str">
        <f t="shared" si="26"/>
        <v>150-3340</v>
      </c>
      <c r="N568" s="79" t="str">
        <f t="shared" si="24"/>
        <v/>
      </c>
      <c r="O568" s="79" t="str">
        <f t="shared" si="25"/>
        <v>150</v>
      </c>
      <c r="P568" s="79" t="str">
        <f>IFERROR(VLOOKUP($M568,Export!$P:$R,2,FALSE),"-")</f>
        <v>Retail Detailing</v>
      </c>
      <c r="Q568" s="79" t="str">
        <f>IFERROR(VLOOKUP($M568,Export!$P:$R,3,FALSE),"-")</f>
        <v>Retail DetailingInternal % of Labour Sales</v>
      </c>
      <c r="R568" s="80" t="e" cm="1">
        <f t="array" ref="R568">_xlfn.IFS(P568="Service", _xlfn.IFS(I568="SALES","GP",I568="SERVICE SALES","GP",I568="PARTS SALES","GP",I568="SERVICE COS","GP",I568="PARTS COS","GP",I568="SELLING EXPENSES","Selling Expenses",I568="EMPLOYMENT EXPENSES","Selling Expenses",I568="EMPLOYMENT EXPENSES","Selling Expenses",I568="DIRECT EXPENSES","Selling Expenses",I568="INDIRECT EXPENSES","Selling Expenses"),P568="Parts",_xlfn.IFS(I568="SALES","GP",I568="SERVICE SALES","GP",I568="PARTS SALES","GP",I568="SERVICE COS","GP",I568="PARTS COS","GP",I568="SELLING EXPENSES","Selling Expenses",I568="EMPLOYMENT EXPENSES","Selling Expenses",I568="EMPLOYMENT EXPENSES","Selling Expenses",I568="DIRECT EXPENSES","Selling Expenses",I568="INDIRECT EXPENSES","Selling Expenses"))</f>
        <v>#N/A</v>
      </c>
    </row>
    <row r="569" spans="1:18" x14ac:dyDescent="0.2">
      <c r="A569" s="75">
        <v>3340</v>
      </c>
      <c r="B569" s="76" t="s">
        <v>115</v>
      </c>
      <c r="C569" s="76">
        <v>240</v>
      </c>
      <c r="D569" s="76" t="s">
        <v>439</v>
      </c>
      <c r="E569" s="76" t="s">
        <v>426</v>
      </c>
      <c r="F569" s="77">
        <v>-134921.26</v>
      </c>
      <c r="G569" s="77">
        <v>-13907.07</v>
      </c>
      <c r="H569" s="77">
        <v>-148828.32999999999</v>
      </c>
      <c r="I569" s="76" t="s">
        <v>698</v>
      </c>
      <c r="J569" s="77">
        <v>-5921.53</v>
      </c>
      <c r="K569" s="78">
        <v>-62122.31</v>
      </c>
      <c r="M569" s="79" t="str">
        <f t="shared" si="26"/>
        <v>240-3340</v>
      </c>
      <c r="N569" s="79" t="str">
        <f t="shared" si="24"/>
        <v/>
      </c>
      <c r="O569" s="79" t="str">
        <f t="shared" si="25"/>
        <v>240</v>
      </c>
      <c r="P569" s="79" t="str">
        <f>IFERROR(VLOOKUP($M569,Export!$P:$R,2,FALSE),"-")</f>
        <v>Service</v>
      </c>
      <c r="Q569" s="79" t="str">
        <f>IFERROR(VLOOKUP($M569,Export!$P:$R,3,FALSE),"-")</f>
        <v>ServiceInternal % of Labour Sales</v>
      </c>
      <c r="R569" s="80" t="str" cm="1">
        <f t="array" ref="R569">_xlfn.IFS(P569="Service", _xlfn.IFS(I569="SALES","GP",I569="SERVICE SALES","GP",I569="PARTS SALES","GP",I569="SERVICE COS","GP",I569="PARTS COS","GP",I569="SELLING EXPENSES","Selling Expenses",I569="EMPLOYMENT EXPENSES","Selling Expenses",I569="EMPLOYMENT EXPENSES","Selling Expenses",I569="DIRECT EXPENSES","Selling Expenses",I569="INDIRECT EXPENSES","Selling Expenses"),P569="Parts",_xlfn.IFS(I569="SALES","GP",I569="SERVICE SALES","GP",I569="PARTS SALES","GP",I569="SERVICE COS","GP",I569="PARTS COS","GP",I569="SELLING EXPENSES","Selling Expenses",I569="EMPLOYMENT EXPENSES","Selling Expenses",I569="EMPLOYMENT EXPENSES","Selling Expenses",I569="DIRECT EXPENSES","Selling Expenses",I569="INDIRECT EXPENSES","Selling Expenses"))</f>
        <v>GP</v>
      </c>
    </row>
    <row r="570" spans="1:18" x14ac:dyDescent="0.2">
      <c r="A570" s="75">
        <v>3340</v>
      </c>
      <c r="B570" s="76" t="s">
        <v>115</v>
      </c>
      <c r="C570" s="76">
        <v>340</v>
      </c>
      <c r="D570" s="76" t="s">
        <v>440</v>
      </c>
      <c r="E570" s="76" t="s">
        <v>426</v>
      </c>
      <c r="F570" s="77">
        <v>-62400.77</v>
      </c>
      <c r="G570" s="77">
        <v>-7349.52</v>
      </c>
      <c r="H570" s="77">
        <v>-69750.289999999994</v>
      </c>
      <c r="I570" s="76" t="s">
        <v>698</v>
      </c>
      <c r="J570" s="77">
        <v>-4309.21</v>
      </c>
      <c r="K570" s="78">
        <v>-45377.23</v>
      </c>
      <c r="M570" s="79" t="str">
        <f t="shared" si="26"/>
        <v>340-3340</v>
      </c>
      <c r="N570" s="79" t="str">
        <f t="shared" si="24"/>
        <v/>
      </c>
      <c r="O570" s="79" t="str">
        <f t="shared" si="25"/>
        <v>340</v>
      </c>
      <c r="P570" s="79" t="str">
        <f>IFERROR(VLOOKUP($M570,Export!$P:$R,2,FALSE),"-")</f>
        <v>Service</v>
      </c>
      <c r="Q570" s="79" t="str">
        <f>IFERROR(VLOOKUP($M570,Export!$P:$R,3,FALSE),"-")</f>
        <v>ServiceInternal % of Labour Sales</v>
      </c>
      <c r="R570" s="80" t="str" cm="1">
        <f t="array" ref="R570">_xlfn.IFS(P570="Service", _xlfn.IFS(I570="SALES","GP",I570="SERVICE SALES","GP",I570="PARTS SALES","GP",I570="SERVICE COS","GP",I570="PARTS COS","GP",I570="SELLING EXPENSES","Selling Expenses",I570="EMPLOYMENT EXPENSES","Selling Expenses",I570="EMPLOYMENT EXPENSES","Selling Expenses",I570="DIRECT EXPENSES","Selling Expenses",I570="INDIRECT EXPENSES","Selling Expenses"),P570="Parts",_xlfn.IFS(I570="SALES","GP",I570="SERVICE SALES","GP",I570="PARTS SALES","GP",I570="SERVICE COS","GP",I570="PARTS COS","GP",I570="SELLING EXPENSES","Selling Expenses",I570="EMPLOYMENT EXPENSES","Selling Expenses",I570="EMPLOYMENT EXPENSES","Selling Expenses",I570="DIRECT EXPENSES","Selling Expenses",I570="INDIRECT EXPENSES","Selling Expenses"))</f>
        <v>GP</v>
      </c>
    </row>
    <row r="571" spans="1:18" x14ac:dyDescent="0.2">
      <c r="A571" s="75">
        <v>3340</v>
      </c>
      <c r="B571" s="76" t="s">
        <v>115</v>
      </c>
      <c r="C571" s="76">
        <v>440</v>
      </c>
      <c r="D571" s="76" t="s">
        <v>441</v>
      </c>
      <c r="E571" s="76" t="s">
        <v>426</v>
      </c>
      <c r="F571" s="77">
        <v>-563161.81000000006</v>
      </c>
      <c r="G571" s="77">
        <v>-65575.33</v>
      </c>
      <c r="H571" s="77">
        <v>-628737.14</v>
      </c>
      <c r="I571" s="76" t="s">
        <v>698</v>
      </c>
      <c r="J571" s="77">
        <v>-47677.5</v>
      </c>
      <c r="K571" s="78">
        <v>-474281.84</v>
      </c>
      <c r="M571" s="79" t="str">
        <f t="shared" si="26"/>
        <v>440-3340</v>
      </c>
      <c r="N571" s="79" t="str">
        <f t="shared" si="24"/>
        <v/>
      </c>
      <c r="O571" s="79" t="str">
        <f t="shared" si="25"/>
        <v>440</v>
      </c>
      <c r="P571" s="79" t="str">
        <f>IFERROR(VLOOKUP($M571,Export!$P:$R,2,FALSE),"-")</f>
        <v>Service</v>
      </c>
      <c r="Q571" s="79" t="str">
        <f>IFERROR(VLOOKUP($M571,Export!$P:$R,3,FALSE),"-")</f>
        <v>ServiceInternal % of Labour Sales</v>
      </c>
      <c r="R571" s="80" t="str" cm="1">
        <f t="array" ref="R571">_xlfn.IFS(P571="Service", _xlfn.IFS(I571="SALES","GP",I571="SERVICE SALES","GP",I571="PARTS SALES","GP",I571="SERVICE COS","GP",I571="PARTS COS","GP",I571="SELLING EXPENSES","Selling Expenses",I571="EMPLOYMENT EXPENSES","Selling Expenses",I571="EMPLOYMENT EXPENSES","Selling Expenses",I571="DIRECT EXPENSES","Selling Expenses",I571="INDIRECT EXPENSES","Selling Expenses"),P571="Parts",_xlfn.IFS(I571="SALES","GP",I571="SERVICE SALES","GP",I571="PARTS SALES","GP",I571="SERVICE COS","GP",I571="PARTS COS","GP",I571="SELLING EXPENSES","Selling Expenses",I571="EMPLOYMENT EXPENSES","Selling Expenses",I571="EMPLOYMENT EXPENSES","Selling Expenses",I571="DIRECT EXPENSES","Selling Expenses",I571="INDIRECT EXPENSES","Selling Expenses"))</f>
        <v>GP</v>
      </c>
    </row>
    <row r="572" spans="1:18" x14ac:dyDescent="0.2">
      <c r="A572" s="75" t="s">
        <v>719</v>
      </c>
      <c r="B572" s="76" t="s">
        <v>720</v>
      </c>
      <c r="C572" s="76">
        <v>140</v>
      </c>
      <c r="D572" s="76" t="s">
        <v>433</v>
      </c>
      <c r="E572" s="76" t="s">
        <v>247</v>
      </c>
      <c r="F572" s="77">
        <v>1828</v>
      </c>
      <c r="G572" s="77">
        <v>181</v>
      </c>
      <c r="H572" s="77">
        <v>2009</v>
      </c>
      <c r="I572" s="76" t="s">
        <v>698</v>
      </c>
      <c r="J572" s="77">
        <v>0</v>
      </c>
      <c r="K572" s="78">
        <v>726</v>
      </c>
      <c r="M572" s="79" t="str">
        <f t="shared" si="26"/>
        <v>140-3340#</v>
      </c>
      <c r="N572" s="79" t="str">
        <f t="shared" si="24"/>
        <v>#</v>
      </c>
      <c r="O572" s="79" t="str">
        <f t="shared" si="25"/>
        <v>140#</v>
      </c>
      <c r="P572" s="79" t="str">
        <f>IFERROR(VLOOKUP($M572,Export!$P:$R,2,FALSE),"-")</f>
        <v>-</v>
      </c>
      <c r="Q572" s="79" t="str">
        <f>IFERROR(VLOOKUP($M572,Export!$P:$R,3,FALSE),"-")</f>
        <v>-</v>
      </c>
      <c r="R572" s="80" t="e" cm="1">
        <f t="array" ref="R572">_xlfn.IFS(P572="Service", _xlfn.IFS(I572="SALES","GP",I572="SERVICE SALES","GP",I572="PARTS SALES","GP",I572="SERVICE COS","GP",I572="PARTS COS","GP",I572="SELLING EXPENSES","Selling Expenses",I572="EMPLOYMENT EXPENSES","Selling Expenses",I572="EMPLOYMENT EXPENSES","Selling Expenses",I572="DIRECT EXPENSES","Selling Expenses",I572="INDIRECT EXPENSES","Selling Expenses"),P572="Parts",_xlfn.IFS(I572="SALES","GP",I572="SERVICE SALES","GP",I572="PARTS SALES","GP",I572="SERVICE COS","GP",I572="PARTS COS","GP",I572="SELLING EXPENSES","Selling Expenses",I572="EMPLOYMENT EXPENSES","Selling Expenses",I572="EMPLOYMENT EXPENSES","Selling Expenses",I572="DIRECT EXPENSES","Selling Expenses",I572="INDIRECT EXPENSES","Selling Expenses"))</f>
        <v>#N/A</v>
      </c>
    </row>
    <row r="573" spans="1:18" x14ac:dyDescent="0.2">
      <c r="A573" s="75" t="s">
        <v>719</v>
      </c>
      <c r="B573" s="76" t="s">
        <v>720</v>
      </c>
      <c r="C573" s="76">
        <v>142</v>
      </c>
      <c r="D573" s="76" t="s">
        <v>454</v>
      </c>
      <c r="E573" s="76" t="s">
        <v>247</v>
      </c>
      <c r="F573" s="77">
        <v>882</v>
      </c>
      <c r="G573" s="77">
        <v>68</v>
      </c>
      <c r="H573" s="77">
        <v>950</v>
      </c>
      <c r="I573" s="76" t="s">
        <v>698</v>
      </c>
      <c r="J573" s="77">
        <v>0</v>
      </c>
      <c r="K573" s="78">
        <v>219</v>
      </c>
      <c r="M573" s="79" t="str">
        <f t="shared" si="26"/>
        <v>142-3340#</v>
      </c>
      <c r="N573" s="79" t="str">
        <f t="shared" si="24"/>
        <v>#</v>
      </c>
      <c r="O573" s="79" t="str">
        <f t="shared" si="25"/>
        <v>142#</v>
      </c>
      <c r="P573" s="79" t="str">
        <f>IFERROR(VLOOKUP($M573,Export!$P:$R,2,FALSE),"-")</f>
        <v>-</v>
      </c>
      <c r="Q573" s="79" t="str">
        <f>IFERROR(VLOOKUP($M573,Export!$P:$R,3,FALSE),"-")</f>
        <v>-</v>
      </c>
      <c r="R573" s="80" t="e" cm="1">
        <f t="array" ref="R573">_xlfn.IFS(P573="Service", _xlfn.IFS(I573="SALES","GP",I573="SERVICE SALES","GP",I573="PARTS SALES","GP",I573="SERVICE COS","GP",I573="PARTS COS","GP",I573="SELLING EXPENSES","Selling Expenses",I573="EMPLOYMENT EXPENSES","Selling Expenses",I573="EMPLOYMENT EXPENSES","Selling Expenses",I573="DIRECT EXPENSES","Selling Expenses",I573="INDIRECT EXPENSES","Selling Expenses"),P573="Parts",_xlfn.IFS(I573="SALES","GP",I573="SERVICE SALES","GP",I573="PARTS SALES","GP",I573="SERVICE COS","GP",I573="PARTS COS","GP",I573="SELLING EXPENSES","Selling Expenses",I573="EMPLOYMENT EXPENSES","Selling Expenses",I573="EMPLOYMENT EXPENSES","Selling Expenses",I573="DIRECT EXPENSES","Selling Expenses",I573="INDIRECT EXPENSES","Selling Expenses"))</f>
        <v>#N/A</v>
      </c>
    </row>
    <row r="574" spans="1:18" x14ac:dyDescent="0.2">
      <c r="A574" s="75" t="s">
        <v>719</v>
      </c>
      <c r="B574" s="76" t="s">
        <v>720</v>
      </c>
      <c r="C574" s="76">
        <v>147</v>
      </c>
      <c r="D574" s="76" t="s">
        <v>699</v>
      </c>
      <c r="E574" s="76" t="s">
        <v>247</v>
      </c>
      <c r="F574" s="77">
        <v>8</v>
      </c>
      <c r="G574" s="77">
        <v>0</v>
      </c>
      <c r="H574" s="77">
        <v>8</v>
      </c>
      <c r="I574" s="76" t="s">
        <v>698</v>
      </c>
      <c r="J574" s="77">
        <v>0</v>
      </c>
      <c r="K574" s="78">
        <v>269</v>
      </c>
      <c r="M574" s="79" t="str">
        <f t="shared" si="26"/>
        <v>147-3340#</v>
      </c>
      <c r="N574" s="79" t="str">
        <f t="shared" si="24"/>
        <v>#</v>
      </c>
      <c r="O574" s="79" t="str">
        <f t="shared" si="25"/>
        <v>147#</v>
      </c>
      <c r="P574" s="79" t="str">
        <f>IFERROR(VLOOKUP($M574,Export!$P:$R,2,FALSE),"-")</f>
        <v>-</v>
      </c>
      <c r="Q574" s="79" t="str">
        <f>IFERROR(VLOOKUP($M574,Export!$P:$R,3,FALSE),"-")</f>
        <v>-</v>
      </c>
      <c r="R574" s="80" t="e" cm="1">
        <f t="array" ref="R574">_xlfn.IFS(P574="Service", _xlfn.IFS(I574="SALES","GP",I574="SERVICE SALES","GP",I574="PARTS SALES","GP",I574="SERVICE COS","GP",I574="PARTS COS","GP",I574="SELLING EXPENSES","Selling Expenses",I574="EMPLOYMENT EXPENSES","Selling Expenses",I574="EMPLOYMENT EXPENSES","Selling Expenses",I574="DIRECT EXPENSES","Selling Expenses",I574="INDIRECT EXPENSES","Selling Expenses"),P574="Parts",_xlfn.IFS(I574="SALES","GP",I574="SERVICE SALES","GP",I574="PARTS SALES","GP",I574="SERVICE COS","GP",I574="PARTS COS","GP",I574="SELLING EXPENSES","Selling Expenses",I574="EMPLOYMENT EXPENSES","Selling Expenses",I574="EMPLOYMENT EXPENSES","Selling Expenses",I574="DIRECT EXPENSES","Selling Expenses",I574="INDIRECT EXPENSES","Selling Expenses"))</f>
        <v>#N/A</v>
      </c>
    </row>
    <row r="575" spans="1:18" x14ac:dyDescent="0.2">
      <c r="A575" s="75" t="s">
        <v>719</v>
      </c>
      <c r="B575" s="76" t="s">
        <v>720</v>
      </c>
      <c r="C575" s="76">
        <v>150</v>
      </c>
      <c r="D575" s="76" t="s">
        <v>700</v>
      </c>
      <c r="E575" s="76" t="s">
        <v>247</v>
      </c>
      <c r="F575" s="77">
        <v>411</v>
      </c>
      <c r="G575" s="77">
        <v>31</v>
      </c>
      <c r="H575" s="77">
        <v>442</v>
      </c>
      <c r="I575" s="76" t="s">
        <v>698</v>
      </c>
      <c r="J575" s="77">
        <v>0</v>
      </c>
      <c r="K575" s="78">
        <v>0</v>
      </c>
      <c r="M575" s="79" t="str">
        <f t="shared" si="26"/>
        <v>150-3340#</v>
      </c>
      <c r="N575" s="79" t="str">
        <f t="shared" si="24"/>
        <v>#</v>
      </c>
      <c r="O575" s="79" t="str">
        <f t="shared" si="25"/>
        <v>150#</v>
      </c>
      <c r="P575" s="79" t="str">
        <f>IFERROR(VLOOKUP($M575,Export!$P:$R,2,FALSE),"-")</f>
        <v>-</v>
      </c>
      <c r="Q575" s="79" t="str">
        <f>IFERROR(VLOOKUP($M575,Export!$P:$R,3,FALSE),"-")</f>
        <v>-</v>
      </c>
      <c r="R575" s="80" t="e" cm="1">
        <f t="array" ref="R575">_xlfn.IFS(P575="Service", _xlfn.IFS(I575="SALES","GP",I575="SERVICE SALES","GP",I575="PARTS SALES","GP",I575="SERVICE COS","GP",I575="PARTS COS","GP",I575="SELLING EXPENSES","Selling Expenses",I575="EMPLOYMENT EXPENSES","Selling Expenses",I575="EMPLOYMENT EXPENSES","Selling Expenses",I575="DIRECT EXPENSES","Selling Expenses",I575="INDIRECT EXPENSES","Selling Expenses"),P575="Parts",_xlfn.IFS(I575="SALES","GP",I575="SERVICE SALES","GP",I575="PARTS SALES","GP",I575="SERVICE COS","GP",I575="PARTS COS","GP",I575="SELLING EXPENSES","Selling Expenses",I575="EMPLOYMENT EXPENSES","Selling Expenses",I575="EMPLOYMENT EXPENSES","Selling Expenses",I575="DIRECT EXPENSES","Selling Expenses",I575="INDIRECT EXPENSES","Selling Expenses"))</f>
        <v>#N/A</v>
      </c>
    </row>
    <row r="576" spans="1:18" x14ac:dyDescent="0.2">
      <c r="A576" s="75" t="s">
        <v>719</v>
      </c>
      <c r="B576" s="76" t="s">
        <v>720</v>
      </c>
      <c r="C576" s="76">
        <v>240</v>
      </c>
      <c r="D576" s="76" t="s">
        <v>439</v>
      </c>
      <c r="E576" s="76" t="s">
        <v>247</v>
      </c>
      <c r="F576" s="77">
        <v>1152</v>
      </c>
      <c r="G576" s="77">
        <v>120</v>
      </c>
      <c r="H576" s="77">
        <v>1272</v>
      </c>
      <c r="I576" s="76" t="s">
        <v>698</v>
      </c>
      <c r="J576" s="77">
        <v>0</v>
      </c>
      <c r="K576" s="78">
        <v>403</v>
      </c>
      <c r="M576" s="79" t="str">
        <f t="shared" si="26"/>
        <v>240-3340#</v>
      </c>
      <c r="N576" s="79" t="str">
        <f t="shared" si="24"/>
        <v>#</v>
      </c>
      <c r="O576" s="79" t="str">
        <f t="shared" si="25"/>
        <v>240#</v>
      </c>
      <c r="P576" s="79" t="str">
        <f>IFERROR(VLOOKUP($M576,Export!$P:$R,2,FALSE),"-")</f>
        <v>-</v>
      </c>
      <c r="Q576" s="79" t="str">
        <f>IFERROR(VLOOKUP($M576,Export!$P:$R,3,FALSE),"-")</f>
        <v>-</v>
      </c>
      <c r="R576" s="80" t="e" cm="1">
        <f t="array" ref="R576">_xlfn.IFS(P576="Service", _xlfn.IFS(I576="SALES","GP",I576="SERVICE SALES","GP",I576="PARTS SALES","GP",I576="SERVICE COS","GP",I576="PARTS COS","GP",I576="SELLING EXPENSES","Selling Expenses",I576="EMPLOYMENT EXPENSES","Selling Expenses",I576="EMPLOYMENT EXPENSES","Selling Expenses",I576="DIRECT EXPENSES","Selling Expenses",I576="INDIRECT EXPENSES","Selling Expenses"),P576="Parts",_xlfn.IFS(I576="SALES","GP",I576="SERVICE SALES","GP",I576="PARTS SALES","GP",I576="SERVICE COS","GP",I576="PARTS COS","GP",I576="SELLING EXPENSES","Selling Expenses",I576="EMPLOYMENT EXPENSES","Selling Expenses",I576="EMPLOYMENT EXPENSES","Selling Expenses",I576="DIRECT EXPENSES","Selling Expenses",I576="INDIRECT EXPENSES","Selling Expenses"))</f>
        <v>#N/A</v>
      </c>
    </row>
    <row r="577" spans="1:18" x14ac:dyDescent="0.2">
      <c r="A577" s="75" t="s">
        <v>719</v>
      </c>
      <c r="B577" s="76" t="s">
        <v>720</v>
      </c>
      <c r="C577" s="76">
        <v>340</v>
      </c>
      <c r="D577" s="76" t="s">
        <v>440</v>
      </c>
      <c r="E577" s="76" t="s">
        <v>247</v>
      </c>
      <c r="F577" s="77">
        <v>407</v>
      </c>
      <c r="G577" s="77">
        <v>39</v>
      </c>
      <c r="H577" s="77">
        <v>446</v>
      </c>
      <c r="I577" s="76" t="s">
        <v>698</v>
      </c>
      <c r="J577" s="77">
        <v>0</v>
      </c>
      <c r="K577" s="78">
        <v>139</v>
      </c>
      <c r="M577" s="79" t="str">
        <f t="shared" si="26"/>
        <v>340-3340#</v>
      </c>
      <c r="N577" s="79" t="str">
        <f t="shared" si="24"/>
        <v>#</v>
      </c>
      <c r="O577" s="79" t="str">
        <f t="shared" si="25"/>
        <v>340#</v>
      </c>
      <c r="P577" s="79" t="str">
        <f>IFERROR(VLOOKUP($M577,Export!$P:$R,2,FALSE),"-")</f>
        <v>-</v>
      </c>
      <c r="Q577" s="79" t="str">
        <f>IFERROR(VLOOKUP($M577,Export!$P:$R,3,FALSE),"-")</f>
        <v>-</v>
      </c>
      <c r="R577" s="80" t="e" cm="1">
        <f t="array" ref="R577">_xlfn.IFS(P577="Service", _xlfn.IFS(I577="SALES","GP",I577="SERVICE SALES","GP",I577="PARTS SALES","GP",I577="SERVICE COS","GP",I577="PARTS COS","GP",I577="SELLING EXPENSES","Selling Expenses",I577="EMPLOYMENT EXPENSES","Selling Expenses",I577="EMPLOYMENT EXPENSES","Selling Expenses",I577="DIRECT EXPENSES","Selling Expenses",I577="INDIRECT EXPENSES","Selling Expenses"),P577="Parts",_xlfn.IFS(I577="SALES","GP",I577="SERVICE SALES","GP",I577="PARTS SALES","GP",I577="SERVICE COS","GP",I577="PARTS COS","GP",I577="SELLING EXPENSES","Selling Expenses",I577="EMPLOYMENT EXPENSES","Selling Expenses",I577="EMPLOYMENT EXPENSES","Selling Expenses",I577="DIRECT EXPENSES","Selling Expenses",I577="INDIRECT EXPENSES","Selling Expenses"))</f>
        <v>#N/A</v>
      </c>
    </row>
    <row r="578" spans="1:18" x14ac:dyDescent="0.2">
      <c r="A578" s="75" t="s">
        <v>719</v>
      </c>
      <c r="B578" s="76" t="s">
        <v>720</v>
      </c>
      <c r="C578" s="76">
        <v>440</v>
      </c>
      <c r="D578" s="76" t="s">
        <v>441</v>
      </c>
      <c r="E578" s="76" t="s">
        <v>247</v>
      </c>
      <c r="F578" s="77">
        <v>2730</v>
      </c>
      <c r="G578" s="77">
        <v>314</v>
      </c>
      <c r="H578" s="77">
        <v>3044</v>
      </c>
      <c r="I578" s="76" t="s">
        <v>698</v>
      </c>
      <c r="J578" s="77">
        <v>0</v>
      </c>
      <c r="K578" s="78">
        <v>738</v>
      </c>
      <c r="M578" s="79" t="str">
        <f t="shared" si="26"/>
        <v>440-3340#</v>
      </c>
      <c r="N578" s="79" t="str">
        <f t="shared" ref="N578:N641" si="27">+IF(RIGHT(A578,1)="#","#","")</f>
        <v>#</v>
      </c>
      <c r="O578" s="79" t="str">
        <f t="shared" ref="O578:O641" si="28">+C578&amp;N578</f>
        <v>440#</v>
      </c>
      <c r="P578" s="79" t="str">
        <f>IFERROR(VLOOKUP($M578,Export!$P:$R,2,FALSE),"-")</f>
        <v>-</v>
      </c>
      <c r="Q578" s="79" t="str">
        <f>IFERROR(VLOOKUP($M578,Export!$P:$R,3,FALSE),"-")</f>
        <v>-</v>
      </c>
      <c r="R578" s="80" t="e" cm="1">
        <f t="array" ref="R578">_xlfn.IFS(P578="Service", _xlfn.IFS(I578="SALES","GP",I578="SERVICE SALES","GP",I578="PARTS SALES","GP",I578="SERVICE COS","GP",I578="PARTS COS","GP",I578="SELLING EXPENSES","Selling Expenses",I578="EMPLOYMENT EXPENSES","Selling Expenses",I578="EMPLOYMENT EXPENSES","Selling Expenses",I578="DIRECT EXPENSES","Selling Expenses",I578="INDIRECT EXPENSES","Selling Expenses"),P578="Parts",_xlfn.IFS(I578="SALES","GP",I578="SERVICE SALES","GP",I578="PARTS SALES","GP",I578="SERVICE COS","GP",I578="PARTS COS","GP",I578="SELLING EXPENSES","Selling Expenses",I578="EMPLOYMENT EXPENSES","Selling Expenses",I578="EMPLOYMENT EXPENSES","Selling Expenses",I578="DIRECT EXPENSES","Selling Expenses",I578="INDIRECT EXPENSES","Selling Expenses"))</f>
        <v>#N/A</v>
      </c>
    </row>
    <row r="579" spans="1:18" x14ac:dyDescent="0.2">
      <c r="A579" s="75">
        <v>3390</v>
      </c>
      <c r="B579" s="76" t="s">
        <v>119</v>
      </c>
      <c r="C579" s="76">
        <v>140</v>
      </c>
      <c r="D579" s="76" t="s">
        <v>433</v>
      </c>
      <c r="E579" s="76" t="s">
        <v>426</v>
      </c>
      <c r="F579" s="77">
        <v>-392934.1</v>
      </c>
      <c r="G579" s="77">
        <v>-36487.53</v>
      </c>
      <c r="H579" s="77">
        <v>-429421.63</v>
      </c>
      <c r="I579" s="76" t="s">
        <v>698</v>
      </c>
      <c r="J579" s="77">
        <v>-60922.59</v>
      </c>
      <c r="K579" s="78">
        <v>-527956.47999999998</v>
      </c>
      <c r="M579" s="79" t="str">
        <f t="shared" ref="M579:M642" si="29">+C579&amp;"-"&amp;A579</f>
        <v>140-3390</v>
      </c>
      <c r="N579" s="79" t="str">
        <f t="shared" si="27"/>
        <v/>
      </c>
      <c r="O579" s="79" t="str">
        <f t="shared" si="28"/>
        <v>140</v>
      </c>
      <c r="P579" s="79" t="str">
        <f>IFERROR(VLOOKUP($M579,Export!$P:$R,2,FALSE),"-")</f>
        <v>Service</v>
      </c>
      <c r="Q579" s="79" t="str">
        <f>IFERROR(VLOOKUP($M579,Export!$P:$R,3,FALSE),"-")</f>
        <v>ServiceSublet % of Total Sales</v>
      </c>
      <c r="R579" s="80" t="str" cm="1">
        <f t="array" ref="R579">_xlfn.IFS(P579="Service", _xlfn.IFS(I579="SALES","GP",I579="SERVICE SALES","GP",I579="PARTS SALES","GP",I579="SERVICE COS","GP",I579="PARTS COS","GP",I579="SELLING EXPENSES","Selling Expenses",I579="EMPLOYMENT EXPENSES","Selling Expenses",I579="EMPLOYMENT EXPENSES","Selling Expenses",I579="DIRECT EXPENSES","Selling Expenses",I579="INDIRECT EXPENSES","Selling Expenses"),P579="Parts",_xlfn.IFS(I579="SALES","GP",I579="SERVICE SALES","GP",I579="PARTS SALES","GP",I579="SERVICE COS","GP",I579="PARTS COS","GP",I579="SELLING EXPENSES","Selling Expenses",I579="EMPLOYMENT EXPENSES","Selling Expenses",I579="EMPLOYMENT EXPENSES","Selling Expenses",I579="DIRECT EXPENSES","Selling Expenses",I579="INDIRECT EXPENSES","Selling Expenses"))</f>
        <v>GP</v>
      </c>
    </row>
    <row r="580" spans="1:18" x14ac:dyDescent="0.2">
      <c r="A580" s="75">
        <v>3390</v>
      </c>
      <c r="B580" s="76" t="s">
        <v>119</v>
      </c>
      <c r="C580" s="76">
        <v>142</v>
      </c>
      <c r="D580" s="76" t="s">
        <v>454</v>
      </c>
      <c r="E580" s="76" t="s">
        <v>426</v>
      </c>
      <c r="F580" s="77">
        <v>-129643.72</v>
      </c>
      <c r="G580" s="77">
        <v>-16423.37</v>
      </c>
      <c r="H580" s="77">
        <v>-146067.09</v>
      </c>
      <c r="I580" s="76" t="s">
        <v>698</v>
      </c>
      <c r="J580" s="77">
        <v>-12179.94</v>
      </c>
      <c r="K580" s="78">
        <v>-121280.7</v>
      </c>
      <c r="M580" s="79" t="str">
        <f t="shared" si="29"/>
        <v>142-3390</v>
      </c>
      <c r="N580" s="79" t="str">
        <f t="shared" si="27"/>
        <v/>
      </c>
      <c r="O580" s="79" t="str">
        <f t="shared" si="28"/>
        <v>142</v>
      </c>
      <c r="P580" s="79" t="str">
        <f>IFERROR(VLOOKUP($M580,Export!$P:$R,2,FALSE),"-")</f>
        <v>Lex Service</v>
      </c>
      <c r="Q580" s="79" t="str">
        <f>IFERROR(VLOOKUP($M580,Export!$P:$R,3,FALSE),"-")</f>
        <v>Lex ServiceSublet % of Total Sales</v>
      </c>
      <c r="R580" s="80" t="e" cm="1">
        <f t="array" ref="R580">_xlfn.IFS(P580="Service", _xlfn.IFS(I580="SALES","GP",I580="SERVICE SALES","GP",I580="PARTS SALES","GP",I580="SERVICE COS","GP",I580="PARTS COS","GP",I580="SELLING EXPENSES","Selling Expenses",I580="EMPLOYMENT EXPENSES","Selling Expenses",I580="EMPLOYMENT EXPENSES","Selling Expenses",I580="DIRECT EXPENSES","Selling Expenses",I580="INDIRECT EXPENSES","Selling Expenses"),P580="Parts",_xlfn.IFS(I580="SALES","GP",I580="SERVICE SALES","GP",I580="PARTS SALES","GP",I580="SERVICE COS","GP",I580="PARTS COS","GP",I580="SELLING EXPENSES","Selling Expenses",I580="EMPLOYMENT EXPENSES","Selling Expenses",I580="EMPLOYMENT EXPENSES","Selling Expenses",I580="DIRECT EXPENSES","Selling Expenses",I580="INDIRECT EXPENSES","Selling Expenses"))</f>
        <v>#N/A</v>
      </c>
    </row>
    <row r="581" spans="1:18" x14ac:dyDescent="0.2">
      <c r="A581" s="75">
        <v>3390</v>
      </c>
      <c r="B581" s="76" t="s">
        <v>119</v>
      </c>
      <c r="C581" s="76">
        <v>147</v>
      </c>
      <c r="D581" s="76" t="s">
        <v>699</v>
      </c>
      <c r="E581" s="76" t="s">
        <v>426</v>
      </c>
      <c r="F581" s="77">
        <v>-1872.42</v>
      </c>
      <c r="G581" s="77">
        <v>0</v>
      </c>
      <c r="H581" s="77">
        <v>-1872.42</v>
      </c>
      <c r="I581" s="76" t="s">
        <v>698</v>
      </c>
      <c r="J581" s="77">
        <v>-15264.49</v>
      </c>
      <c r="K581" s="78">
        <v>-155297.04</v>
      </c>
      <c r="M581" s="79" t="str">
        <f t="shared" si="29"/>
        <v>147-3390</v>
      </c>
      <c r="N581" s="79" t="str">
        <f t="shared" si="27"/>
        <v/>
      </c>
      <c r="O581" s="79" t="str">
        <f t="shared" si="28"/>
        <v>147</v>
      </c>
      <c r="P581" s="79" t="str">
        <f>IFERROR(VLOOKUP($M581,Export!$P:$R,2,FALSE),"-")</f>
        <v>Service</v>
      </c>
      <c r="Q581" s="79" t="str">
        <f>IFERROR(VLOOKUP($M581,Export!$P:$R,3,FALSE),"-")</f>
        <v>ServiceSublet % of Total Sales</v>
      </c>
      <c r="R581" s="80" t="str" cm="1">
        <f t="array" ref="R581">_xlfn.IFS(P581="Service", _xlfn.IFS(I581="SALES","GP",I581="SERVICE SALES","GP",I581="PARTS SALES","GP",I581="SERVICE COS","GP",I581="PARTS COS","GP",I581="SELLING EXPENSES","Selling Expenses",I581="EMPLOYMENT EXPENSES","Selling Expenses",I581="EMPLOYMENT EXPENSES","Selling Expenses",I581="DIRECT EXPENSES","Selling Expenses",I581="INDIRECT EXPENSES","Selling Expenses"),P581="Parts",_xlfn.IFS(I581="SALES","GP",I581="SERVICE SALES","GP",I581="PARTS SALES","GP",I581="SERVICE COS","GP",I581="PARTS COS","GP",I581="SELLING EXPENSES","Selling Expenses",I581="EMPLOYMENT EXPENSES","Selling Expenses",I581="EMPLOYMENT EXPENSES","Selling Expenses",I581="DIRECT EXPENSES","Selling Expenses",I581="INDIRECT EXPENSES","Selling Expenses"))</f>
        <v>GP</v>
      </c>
    </row>
    <row r="582" spans="1:18" x14ac:dyDescent="0.2">
      <c r="A582" s="75">
        <v>3390</v>
      </c>
      <c r="B582" s="76" t="s">
        <v>119</v>
      </c>
      <c r="C582" s="76">
        <v>240</v>
      </c>
      <c r="D582" s="76" t="s">
        <v>439</v>
      </c>
      <c r="E582" s="76" t="s">
        <v>426</v>
      </c>
      <c r="F582" s="77">
        <v>-79486.460000000006</v>
      </c>
      <c r="G582" s="77">
        <v>-6492.48</v>
      </c>
      <c r="H582" s="77">
        <v>-85978.94</v>
      </c>
      <c r="I582" s="76" t="s">
        <v>698</v>
      </c>
      <c r="J582" s="77">
        <v>-15271.61</v>
      </c>
      <c r="K582" s="78">
        <v>-148588.93</v>
      </c>
      <c r="M582" s="79" t="str">
        <f t="shared" si="29"/>
        <v>240-3390</v>
      </c>
      <c r="N582" s="79" t="str">
        <f t="shared" si="27"/>
        <v/>
      </c>
      <c r="O582" s="79" t="str">
        <f t="shared" si="28"/>
        <v>240</v>
      </c>
      <c r="P582" s="79" t="str">
        <f>IFERROR(VLOOKUP($M582,Export!$P:$R,2,FALSE),"-")</f>
        <v>Service</v>
      </c>
      <c r="Q582" s="79" t="str">
        <f>IFERROR(VLOOKUP($M582,Export!$P:$R,3,FALSE),"-")</f>
        <v>ServiceSublet % of Total Sales</v>
      </c>
      <c r="R582" s="80" t="str" cm="1">
        <f t="array" ref="R582">_xlfn.IFS(P582="Service", _xlfn.IFS(I582="SALES","GP",I582="SERVICE SALES","GP",I582="PARTS SALES","GP",I582="SERVICE COS","GP",I582="PARTS COS","GP",I582="SELLING EXPENSES","Selling Expenses",I582="EMPLOYMENT EXPENSES","Selling Expenses",I582="EMPLOYMENT EXPENSES","Selling Expenses",I582="DIRECT EXPENSES","Selling Expenses",I582="INDIRECT EXPENSES","Selling Expenses"),P582="Parts",_xlfn.IFS(I582="SALES","GP",I582="SERVICE SALES","GP",I582="PARTS SALES","GP",I582="SERVICE COS","GP",I582="PARTS COS","GP",I582="SELLING EXPENSES","Selling Expenses",I582="EMPLOYMENT EXPENSES","Selling Expenses",I582="EMPLOYMENT EXPENSES","Selling Expenses",I582="DIRECT EXPENSES","Selling Expenses",I582="INDIRECT EXPENSES","Selling Expenses"))</f>
        <v>GP</v>
      </c>
    </row>
    <row r="583" spans="1:18" x14ac:dyDescent="0.2">
      <c r="A583" s="75">
        <v>3390</v>
      </c>
      <c r="B583" s="76" t="s">
        <v>119</v>
      </c>
      <c r="C583" s="76">
        <v>340</v>
      </c>
      <c r="D583" s="76" t="s">
        <v>440</v>
      </c>
      <c r="E583" s="76" t="s">
        <v>426</v>
      </c>
      <c r="F583" s="77">
        <v>-139987.93</v>
      </c>
      <c r="G583" s="77">
        <v>-10653.01</v>
      </c>
      <c r="H583" s="77">
        <v>-150640.94</v>
      </c>
      <c r="I583" s="76" t="s">
        <v>698</v>
      </c>
      <c r="J583" s="77">
        <v>-17549.34</v>
      </c>
      <c r="K583" s="78">
        <v>-165918.75</v>
      </c>
      <c r="M583" s="79" t="str">
        <f t="shared" si="29"/>
        <v>340-3390</v>
      </c>
      <c r="N583" s="79" t="str">
        <f t="shared" si="27"/>
        <v/>
      </c>
      <c r="O583" s="79" t="str">
        <f t="shared" si="28"/>
        <v>340</v>
      </c>
      <c r="P583" s="79" t="str">
        <f>IFERROR(VLOOKUP($M583,Export!$P:$R,2,FALSE),"-")</f>
        <v>Service</v>
      </c>
      <c r="Q583" s="79" t="str">
        <f>IFERROR(VLOOKUP($M583,Export!$P:$R,3,FALSE),"-")</f>
        <v>ServiceSublet % of Total Sales</v>
      </c>
      <c r="R583" s="80" t="str" cm="1">
        <f t="array" ref="R583">_xlfn.IFS(P583="Service", _xlfn.IFS(I583="SALES","GP",I583="SERVICE SALES","GP",I583="PARTS SALES","GP",I583="SERVICE COS","GP",I583="PARTS COS","GP",I583="SELLING EXPENSES","Selling Expenses",I583="EMPLOYMENT EXPENSES","Selling Expenses",I583="EMPLOYMENT EXPENSES","Selling Expenses",I583="DIRECT EXPENSES","Selling Expenses",I583="INDIRECT EXPENSES","Selling Expenses"),P583="Parts",_xlfn.IFS(I583="SALES","GP",I583="SERVICE SALES","GP",I583="PARTS SALES","GP",I583="SERVICE COS","GP",I583="PARTS COS","GP",I583="SELLING EXPENSES","Selling Expenses",I583="EMPLOYMENT EXPENSES","Selling Expenses",I583="EMPLOYMENT EXPENSES","Selling Expenses",I583="DIRECT EXPENSES","Selling Expenses",I583="INDIRECT EXPENSES","Selling Expenses"))</f>
        <v>GP</v>
      </c>
    </row>
    <row r="584" spans="1:18" x14ac:dyDescent="0.2">
      <c r="A584" s="75">
        <v>3390</v>
      </c>
      <c r="B584" s="76" t="s">
        <v>119</v>
      </c>
      <c r="C584" s="76">
        <v>440</v>
      </c>
      <c r="D584" s="76" t="s">
        <v>441</v>
      </c>
      <c r="E584" s="76" t="s">
        <v>426</v>
      </c>
      <c r="F584" s="77">
        <v>-91319.69</v>
      </c>
      <c r="G584" s="77">
        <v>-4462.21</v>
      </c>
      <c r="H584" s="77">
        <v>-95781.9</v>
      </c>
      <c r="I584" s="76" t="s">
        <v>698</v>
      </c>
      <c r="J584" s="77">
        <v>-7000</v>
      </c>
      <c r="K584" s="78">
        <v>-69930.259999999995</v>
      </c>
      <c r="M584" s="79" t="str">
        <f t="shared" si="29"/>
        <v>440-3390</v>
      </c>
      <c r="N584" s="79" t="str">
        <f t="shared" si="27"/>
        <v/>
      </c>
      <c r="O584" s="79" t="str">
        <f t="shared" si="28"/>
        <v>440</v>
      </c>
      <c r="P584" s="79" t="str">
        <f>IFERROR(VLOOKUP($M584,Export!$P:$R,2,FALSE),"-")</f>
        <v>Service</v>
      </c>
      <c r="Q584" s="79" t="str">
        <f>IFERROR(VLOOKUP($M584,Export!$P:$R,3,FALSE),"-")</f>
        <v>ServiceSublet % of Total Sales</v>
      </c>
      <c r="R584" s="80" t="str" cm="1">
        <f t="array" ref="R584">_xlfn.IFS(P584="Service", _xlfn.IFS(I584="SALES","GP",I584="SERVICE SALES","GP",I584="PARTS SALES","GP",I584="SERVICE COS","GP",I584="PARTS COS","GP",I584="SELLING EXPENSES","Selling Expenses",I584="EMPLOYMENT EXPENSES","Selling Expenses",I584="EMPLOYMENT EXPENSES","Selling Expenses",I584="DIRECT EXPENSES","Selling Expenses",I584="INDIRECT EXPENSES","Selling Expenses"),P584="Parts",_xlfn.IFS(I584="SALES","GP",I584="SERVICE SALES","GP",I584="PARTS SALES","GP",I584="SERVICE COS","GP",I584="PARTS COS","GP",I584="SELLING EXPENSES","Selling Expenses",I584="EMPLOYMENT EXPENSES","Selling Expenses",I584="EMPLOYMENT EXPENSES","Selling Expenses",I584="DIRECT EXPENSES","Selling Expenses",I584="INDIRECT EXPENSES","Selling Expenses"))</f>
        <v>GP</v>
      </c>
    </row>
    <row r="585" spans="1:18" x14ac:dyDescent="0.2">
      <c r="A585" s="75" t="s">
        <v>721</v>
      </c>
      <c r="B585" s="76" t="s">
        <v>722</v>
      </c>
      <c r="C585" s="76">
        <v>140</v>
      </c>
      <c r="D585" s="76" t="s">
        <v>433</v>
      </c>
      <c r="E585" s="76" t="s">
        <v>247</v>
      </c>
      <c r="F585" s="77">
        <v>1210</v>
      </c>
      <c r="G585" s="77">
        <v>116</v>
      </c>
      <c r="H585" s="77">
        <v>1326</v>
      </c>
      <c r="I585" s="76" t="s">
        <v>698</v>
      </c>
      <c r="J585" s="77">
        <v>0</v>
      </c>
      <c r="K585" s="78">
        <v>620</v>
      </c>
      <c r="M585" s="79" t="str">
        <f t="shared" si="29"/>
        <v>140-3390#</v>
      </c>
      <c r="N585" s="79" t="str">
        <f t="shared" si="27"/>
        <v>#</v>
      </c>
      <c r="O585" s="79" t="str">
        <f t="shared" si="28"/>
        <v>140#</v>
      </c>
      <c r="P585" s="79" t="str">
        <f>IFERROR(VLOOKUP($M585,Export!$P:$R,2,FALSE),"-")</f>
        <v>-</v>
      </c>
      <c r="Q585" s="79" t="str">
        <f>IFERROR(VLOOKUP($M585,Export!$P:$R,3,FALSE),"-")</f>
        <v>-</v>
      </c>
      <c r="R585" s="80" t="e" cm="1">
        <f t="array" ref="R585">_xlfn.IFS(P585="Service", _xlfn.IFS(I585="SALES","GP",I585="SERVICE SALES","GP",I585="PARTS SALES","GP",I585="SERVICE COS","GP",I585="PARTS COS","GP",I585="SELLING EXPENSES","Selling Expenses",I585="EMPLOYMENT EXPENSES","Selling Expenses",I585="EMPLOYMENT EXPENSES","Selling Expenses",I585="DIRECT EXPENSES","Selling Expenses",I585="INDIRECT EXPENSES","Selling Expenses"),P585="Parts",_xlfn.IFS(I585="SALES","GP",I585="SERVICE SALES","GP",I585="PARTS SALES","GP",I585="SERVICE COS","GP",I585="PARTS COS","GP",I585="SELLING EXPENSES","Selling Expenses",I585="EMPLOYMENT EXPENSES","Selling Expenses",I585="EMPLOYMENT EXPENSES","Selling Expenses",I585="DIRECT EXPENSES","Selling Expenses",I585="INDIRECT EXPENSES","Selling Expenses"))</f>
        <v>#N/A</v>
      </c>
    </row>
    <row r="586" spans="1:18" x14ac:dyDescent="0.2">
      <c r="A586" s="75" t="s">
        <v>721</v>
      </c>
      <c r="B586" s="76" t="s">
        <v>722</v>
      </c>
      <c r="C586" s="76">
        <v>142</v>
      </c>
      <c r="D586" s="76" t="s">
        <v>454</v>
      </c>
      <c r="E586" s="76" t="s">
        <v>247</v>
      </c>
      <c r="F586" s="77">
        <v>248</v>
      </c>
      <c r="G586" s="77">
        <v>24</v>
      </c>
      <c r="H586" s="77">
        <v>272</v>
      </c>
      <c r="I586" s="76" t="s">
        <v>698</v>
      </c>
      <c r="J586" s="77">
        <v>0</v>
      </c>
      <c r="K586" s="78">
        <v>107</v>
      </c>
      <c r="M586" s="79" t="str">
        <f t="shared" si="29"/>
        <v>142-3390#</v>
      </c>
      <c r="N586" s="79" t="str">
        <f t="shared" si="27"/>
        <v>#</v>
      </c>
      <c r="O586" s="79" t="str">
        <f t="shared" si="28"/>
        <v>142#</v>
      </c>
      <c r="P586" s="79" t="str">
        <f>IFERROR(VLOOKUP($M586,Export!$P:$R,2,FALSE),"-")</f>
        <v>-</v>
      </c>
      <c r="Q586" s="79" t="str">
        <f>IFERROR(VLOOKUP($M586,Export!$P:$R,3,FALSE),"-")</f>
        <v>-</v>
      </c>
      <c r="R586" s="80" t="e" cm="1">
        <f t="array" ref="R586">_xlfn.IFS(P586="Service", _xlfn.IFS(I586="SALES","GP",I586="SERVICE SALES","GP",I586="PARTS SALES","GP",I586="SERVICE COS","GP",I586="PARTS COS","GP",I586="SELLING EXPENSES","Selling Expenses",I586="EMPLOYMENT EXPENSES","Selling Expenses",I586="EMPLOYMENT EXPENSES","Selling Expenses",I586="DIRECT EXPENSES","Selling Expenses",I586="INDIRECT EXPENSES","Selling Expenses"),P586="Parts",_xlfn.IFS(I586="SALES","GP",I586="SERVICE SALES","GP",I586="PARTS SALES","GP",I586="SERVICE COS","GP",I586="PARTS COS","GP",I586="SELLING EXPENSES","Selling Expenses",I586="EMPLOYMENT EXPENSES","Selling Expenses",I586="EMPLOYMENT EXPENSES","Selling Expenses",I586="DIRECT EXPENSES","Selling Expenses",I586="INDIRECT EXPENSES","Selling Expenses"))</f>
        <v>#N/A</v>
      </c>
    </row>
    <row r="587" spans="1:18" x14ac:dyDescent="0.2">
      <c r="A587" s="75" t="s">
        <v>721</v>
      </c>
      <c r="B587" s="76" t="s">
        <v>722</v>
      </c>
      <c r="C587" s="76">
        <v>147</v>
      </c>
      <c r="D587" s="76" t="s">
        <v>699</v>
      </c>
      <c r="E587" s="76" t="s">
        <v>247</v>
      </c>
      <c r="F587" s="77">
        <v>6</v>
      </c>
      <c r="G587" s="77">
        <v>0</v>
      </c>
      <c r="H587" s="77">
        <v>6</v>
      </c>
      <c r="I587" s="76" t="s">
        <v>698</v>
      </c>
      <c r="J587" s="77">
        <v>0</v>
      </c>
      <c r="K587" s="78">
        <v>117</v>
      </c>
      <c r="M587" s="79" t="str">
        <f t="shared" si="29"/>
        <v>147-3390#</v>
      </c>
      <c r="N587" s="79" t="str">
        <f t="shared" si="27"/>
        <v>#</v>
      </c>
      <c r="O587" s="79" t="str">
        <f t="shared" si="28"/>
        <v>147#</v>
      </c>
      <c r="P587" s="79" t="str">
        <f>IFERROR(VLOOKUP($M587,Export!$P:$R,2,FALSE),"-")</f>
        <v>-</v>
      </c>
      <c r="Q587" s="79" t="str">
        <f>IFERROR(VLOOKUP($M587,Export!$P:$R,3,FALSE),"-")</f>
        <v>-</v>
      </c>
      <c r="R587" s="80" t="e" cm="1">
        <f t="array" ref="R587">_xlfn.IFS(P587="Service", _xlfn.IFS(I587="SALES","GP",I587="SERVICE SALES","GP",I587="PARTS SALES","GP",I587="SERVICE COS","GP",I587="PARTS COS","GP",I587="SELLING EXPENSES","Selling Expenses",I587="EMPLOYMENT EXPENSES","Selling Expenses",I587="EMPLOYMENT EXPENSES","Selling Expenses",I587="DIRECT EXPENSES","Selling Expenses",I587="INDIRECT EXPENSES","Selling Expenses"),P587="Parts",_xlfn.IFS(I587="SALES","GP",I587="SERVICE SALES","GP",I587="PARTS SALES","GP",I587="SERVICE COS","GP",I587="PARTS COS","GP",I587="SELLING EXPENSES","Selling Expenses",I587="EMPLOYMENT EXPENSES","Selling Expenses",I587="EMPLOYMENT EXPENSES","Selling Expenses",I587="DIRECT EXPENSES","Selling Expenses",I587="INDIRECT EXPENSES","Selling Expenses"))</f>
        <v>#N/A</v>
      </c>
    </row>
    <row r="588" spans="1:18" x14ac:dyDescent="0.2">
      <c r="A588" s="75" t="s">
        <v>721</v>
      </c>
      <c r="B588" s="76" t="s">
        <v>722</v>
      </c>
      <c r="C588" s="76">
        <v>240</v>
      </c>
      <c r="D588" s="76" t="s">
        <v>439</v>
      </c>
      <c r="E588" s="76" t="s">
        <v>247</v>
      </c>
      <c r="F588" s="77">
        <v>424</v>
      </c>
      <c r="G588" s="77">
        <v>45</v>
      </c>
      <c r="H588" s="77">
        <v>469</v>
      </c>
      <c r="I588" s="76" t="s">
        <v>698</v>
      </c>
      <c r="J588" s="77">
        <v>0</v>
      </c>
      <c r="K588" s="78">
        <v>266</v>
      </c>
      <c r="M588" s="79" t="str">
        <f t="shared" si="29"/>
        <v>240-3390#</v>
      </c>
      <c r="N588" s="79" t="str">
        <f t="shared" si="27"/>
        <v>#</v>
      </c>
      <c r="O588" s="79" t="str">
        <f t="shared" si="28"/>
        <v>240#</v>
      </c>
      <c r="P588" s="79" t="str">
        <f>IFERROR(VLOOKUP($M588,Export!$P:$R,2,FALSE),"-")</f>
        <v>-</v>
      </c>
      <c r="Q588" s="79" t="str">
        <f>IFERROR(VLOOKUP($M588,Export!$P:$R,3,FALSE),"-")</f>
        <v>-</v>
      </c>
      <c r="R588" s="80" t="e" cm="1">
        <f t="array" ref="R588">_xlfn.IFS(P588="Service", _xlfn.IFS(I588="SALES","GP",I588="SERVICE SALES","GP",I588="PARTS SALES","GP",I588="SERVICE COS","GP",I588="PARTS COS","GP",I588="SELLING EXPENSES","Selling Expenses",I588="EMPLOYMENT EXPENSES","Selling Expenses",I588="EMPLOYMENT EXPENSES","Selling Expenses",I588="DIRECT EXPENSES","Selling Expenses",I588="INDIRECT EXPENSES","Selling Expenses"),P588="Parts",_xlfn.IFS(I588="SALES","GP",I588="SERVICE SALES","GP",I588="PARTS SALES","GP",I588="SERVICE COS","GP",I588="PARTS COS","GP",I588="SELLING EXPENSES","Selling Expenses",I588="EMPLOYMENT EXPENSES","Selling Expenses",I588="EMPLOYMENT EXPENSES","Selling Expenses",I588="DIRECT EXPENSES","Selling Expenses",I588="INDIRECT EXPENSES","Selling Expenses"))</f>
        <v>#N/A</v>
      </c>
    </row>
    <row r="589" spans="1:18" x14ac:dyDescent="0.2">
      <c r="A589" s="75" t="s">
        <v>721</v>
      </c>
      <c r="B589" s="76" t="s">
        <v>722</v>
      </c>
      <c r="C589" s="76">
        <v>340</v>
      </c>
      <c r="D589" s="76" t="s">
        <v>440</v>
      </c>
      <c r="E589" s="76" t="s">
        <v>247</v>
      </c>
      <c r="F589" s="77">
        <v>506</v>
      </c>
      <c r="G589" s="77">
        <v>50</v>
      </c>
      <c r="H589" s="77">
        <v>556</v>
      </c>
      <c r="I589" s="76" t="s">
        <v>698</v>
      </c>
      <c r="J589" s="77">
        <v>0</v>
      </c>
      <c r="K589" s="78">
        <v>244</v>
      </c>
      <c r="M589" s="79" t="str">
        <f t="shared" si="29"/>
        <v>340-3390#</v>
      </c>
      <c r="N589" s="79" t="str">
        <f t="shared" si="27"/>
        <v>#</v>
      </c>
      <c r="O589" s="79" t="str">
        <f t="shared" si="28"/>
        <v>340#</v>
      </c>
      <c r="P589" s="79" t="str">
        <f>IFERROR(VLOOKUP($M589,Export!$P:$R,2,FALSE),"-")</f>
        <v>-</v>
      </c>
      <c r="Q589" s="79" t="str">
        <f>IFERROR(VLOOKUP($M589,Export!$P:$R,3,FALSE),"-")</f>
        <v>-</v>
      </c>
      <c r="R589" s="80" t="e" cm="1">
        <f t="array" ref="R589">_xlfn.IFS(P589="Service", _xlfn.IFS(I589="SALES","GP",I589="SERVICE SALES","GP",I589="PARTS SALES","GP",I589="SERVICE COS","GP",I589="PARTS COS","GP",I589="SELLING EXPENSES","Selling Expenses",I589="EMPLOYMENT EXPENSES","Selling Expenses",I589="EMPLOYMENT EXPENSES","Selling Expenses",I589="DIRECT EXPENSES","Selling Expenses",I589="INDIRECT EXPENSES","Selling Expenses"),P589="Parts",_xlfn.IFS(I589="SALES","GP",I589="SERVICE SALES","GP",I589="PARTS SALES","GP",I589="SERVICE COS","GP",I589="PARTS COS","GP",I589="SELLING EXPENSES","Selling Expenses",I589="EMPLOYMENT EXPENSES","Selling Expenses",I589="EMPLOYMENT EXPENSES","Selling Expenses",I589="DIRECT EXPENSES","Selling Expenses",I589="INDIRECT EXPENSES","Selling Expenses"))</f>
        <v>#N/A</v>
      </c>
    </row>
    <row r="590" spans="1:18" x14ac:dyDescent="0.2">
      <c r="A590" s="75" t="s">
        <v>721</v>
      </c>
      <c r="B590" s="76" t="s">
        <v>722</v>
      </c>
      <c r="C590" s="76">
        <v>440</v>
      </c>
      <c r="D590" s="76" t="s">
        <v>441</v>
      </c>
      <c r="E590" s="76" t="s">
        <v>247</v>
      </c>
      <c r="F590" s="77">
        <v>215</v>
      </c>
      <c r="G590" s="77">
        <v>19</v>
      </c>
      <c r="H590" s="77">
        <v>234</v>
      </c>
      <c r="I590" s="76" t="s">
        <v>698</v>
      </c>
      <c r="J590" s="77">
        <v>0</v>
      </c>
      <c r="K590" s="78">
        <v>71</v>
      </c>
      <c r="M590" s="79" t="str">
        <f t="shared" si="29"/>
        <v>440-3390#</v>
      </c>
      <c r="N590" s="79" t="str">
        <f t="shared" si="27"/>
        <v>#</v>
      </c>
      <c r="O590" s="79" t="str">
        <f t="shared" si="28"/>
        <v>440#</v>
      </c>
      <c r="P590" s="79" t="str">
        <f>IFERROR(VLOOKUP($M590,Export!$P:$R,2,FALSE),"-")</f>
        <v>-</v>
      </c>
      <c r="Q590" s="79" t="str">
        <f>IFERROR(VLOOKUP($M590,Export!$P:$R,3,FALSE),"-")</f>
        <v>-</v>
      </c>
      <c r="R590" s="80" t="e" cm="1">
        <f t="array" ref="R590">_xlfn.IFS(P590="Service", _xlfn.IFS(I590="SALES","GP",I590="SERVICE SALES","GP",I590="PARTS SALES","GP",I590="SERVICE COS","GP",I590="PARTS COS","GP",I590="SELLING EXPENSES","Selling Expenses",I590="EMPLOYMENT EXPENSES","Selling Expenses",I590="EMPLOYMENT EXPENSES","Selling Expenses",I590="DIRECT EXPENSES","Selling Expenses",I590="INDIRECT EXPENSES","Selling Expenses"),P590="Parts",_xlfn.IFS(I590="SALES","GP",I590="SERVICE SALES","GP",I590="PARTS SALES","GP",I590="SERVICE COS","GP",I590="PARTS COS","GP",I590="SELLING EXPENSES","Selling Expenses",I590="EMPLOYMENT EXPENSES","Selling Expenses",I590="EMPLOYMENT EXPENSES","Selling Expenses",I590="DIRECT EXPENSES","Selling Expenses",I590="INDIRECT EXPENSES","Selling Expenses"))</f>
        <v>#N/A</v>
      </c>
    </row>
    <row r="591" spans="1:18" x14ac:dyDescent="0.2">
      <c r="A591" s="75">
        <v>3400</v>
      </c>
      <c r="B591" s="76" t="s">
        <v>723</v>
      </c>
      <c r="C591" s="76">
        <v>140</v>
      </c>
      <c r="D591" s="76" t="s">
        <v>433</v>
      </c>
      <c r="E591" s="76" t="s">
        <v>426</v>
      </c>
      <c r="F591" s="77">
        <v>-659234.72</v>
      </c>
      <c r="G591" s="77">
        <v>-70158.880000000005</v>
      </c>
      <c r="H591" s="77">
        <v>-729393.6</v>
      </c>
      <c r="I591" s="76" t="s">
        <v>698</v>
      </c>
      <c r="J591" s="77">
        <v>-94904.14</v>
      </c>
      <c r="K591" s="78">
        <v>-835733.08</v>
      </c>
      <c r="M591" s="79" t="str">
        <f t="shared" si="29"/>
        <v>140-3400</v>
      </c>
      <c r="N591" s="79" t="str">
        <f t="shared" si="27"/>
        <v/>
      </c>
      <c r="O591" s="79" t="str">
        <f t="shared" si="28"/>
        <v>140</v>
      </c>
      <c r="P591" s="79" t="str">
        <f>IFERROR(VLOOKUP($M591,Export!$P:$R,2,FALSE),"-")</f>
        <v>Service</v>
      </c>
      <c r="Q591" s="79" t="str">
        <f>IFERROR(VLOOKUP($M591,Export!$P:$R,3,FALSE),"-")</f>
        <v>ServiceMiscellaneous % of Total Sales</v>
      </c>
      <c r="R591" s="80" t="str" cm="1">
        <f t="array" ref="R591">_xlfn.IFS(P591="Service", _xlfn.IFS(I591="SALES","GP",I591="SERVICE SALES","GP",I591="PARTS SALES","GP",I591="SERVICE COS","GP",I591="PARTS COS","GP",I591="SELLING EXPENSES","Selling Expenses",I591="EMPLOYMENT EXPENSES","Selling Expenses",I591="EMPLOYMENT EXPENSES","Selling Expenses",I591="DIRECT EXPENSES","Selling Expenses",I591="INDIRECT EXPENSES","Selling Expenses"),P591="Parts",_xlfn.IFS(I591="SALES","GP",I591="SERVICE SALES","GP",I591="PARTS SALES","GP",I591="SERVICE COS","GP",I591="PARTS COS","GP",I591="SELLING EXPENSES","Selling Expenses",I591="EMPLOYMENT EXPENSES","Selling Expenses",I591="EMPLOYMENT EXPENSES","Selling Expenses",I591="DIRECT EXPENSES","Selling Expenses",I591="INDIRECT EXPENSES","Selling Expenses"))</f>
        <v>GP</v>
      </c>
    </row>
    <row r="592" spans="1:18" x14ac:dyDescent="0.2">
      <c r="A592" s="75">
        <v>3400</v>
      </c>
      <c r="B592" s="76" t="s">
        <v>723</v>
      </c>
      <c r="C592" s="76">
        <v>142</v>
      </c>
      <c r="D592" s="76" t="s">
        <v>454</v>
      </c>
      <c r="E592" s="76" t="s">
        <v>426</v>
      </c>
      <c r="F592" s="77">
        <v>-164491.20000000001</v>
      </c>
      <c r="G592" s="77">
        <v>-15953.9</v>
      </c>
      <c r="H592" s="77">
        <v>-180445.1</v>
      </c>
      <c r="I592" s="76" t="s">
        <v>698</v>
      </c>
      <c r="J592" s="77">
        <v>-16402.62</v>
      </c>
      <c r="K592" s="78">
        <v>-162571.10999999999</v>
      </c>
      <c r="M592" s="79" t="str">
        <f t="shared" si="29"/>
        <v>142-3400</v>
      </c>
      <c r="N592" s="79" t="str">
        <f t="shared" si="27"/>
        <v/>
      </c>
      <c r="O592" s="79" t="str">
        <f t="shared" si="28"/>
        <v>142</v>
      </c>
      <c r="P592" s="79" t="str">
        <f>IFERROR(VLOOKUP($M592,Export!$P:$R,2,FALSE),"-")</f>
        <v>Lex Service</v>
      </c>
      <c r="Q592" s="79" t="str">
        <f>IFERROR(VLOOKUP($M592,Export!$P:$R,3,FALSE),"-")</f>
        <v>Lex ServiceMiscellaneous % of Total Sales</v>
      </c>
      <c r="R592" s="80" t="e" cm="1">
        <f t="array" ref="R592">_xlfn.IFS(P592="Service", _xlfn.IFS(I592="SALES","GP",I592="SERVICE SALES","GP",I592="PARTS SALES","GP",I592="SERVICE COS","GP",I592="PARTS COS","GP",I592="SELLING EXPENSES","Selling Expenses",I592="EMPLOYMENT EXPENSES","Selling Expenses",I592="EMPLOYMENT EXPENSES","Selling Expenses",I592="DIRECT EXPENSES","Selling Expenses",I592="INDIRECT EXPENSES","Selling Expenses"),P592="Parts",_xlfn.IFS(I592="SALES","GP",I592="SERVICE SALES","GP",I592="PARTS SALES","GP",I592="SERVICE COS","GP",I592="PARTS COS","GP",I592="SELLING EXPENSES","Selling Expenses",I592="EMPLOYMENT EXPENSES","Selling Expenses",I592="EMPLOYMENT EXPENSES","Selling Expenses",I592="DIRECT EXPENSES","Selling Expenses",I592="INDIRECT EXPENSES","Selling Expenses"))</f>
        <v>#N/A</v>
      </c>
    </row>
    <row r="593" spans="1:18" x14ac:dyDescent="0.2">
      <c r="A593" s="75">
        <v>3400</v>
      </c>
      <c r="B593" s="76" t="s">
        <v>723</v>
      </c>
      <c r="C593" s="76">
        <v>147</v>
      </c>
      <c r="D593" s="76" t="s">
        <v>699</v>
      </c>
      <c r="E593" s="76" t="s">
        <v>426</v>
      </c>
      <c r="F593" s="77">
        <v>0</v>
      </c>
      <c r="G593" s="77">
        <v>0</v>
      </c>
      <c r="H593" s="77">
        <v>0</v>
      </c>
      <c r="I593" s="76" t="s">
        <v>698</v>
      </c>
      <c r="J593" s="77">
        <v>-3104.15</v>
      </c>
      <c r="K593" s="78">
        <v>-31809.11</v>
      </c>
      <c r="M593" s="79" t="str">
        <f t="shared" si="29"/>
        <v>147-3400</v>
      </c>
      <c r="N593" s="79" t="str">
        <f t="shared" si="27"/>
        <v/>
      </c>
      <c r="O593" s="79" t="str">
        <f t="shared" si="28"/>
        <v>147</v>
      </c>
      <c r="P593" s="79" t="str">
        <f>IFERROR(VLOOKUP($M593,Export!$P:$R,2,FALSE),"-")</f>
        <v>Service</v>
      </c>
      <c r="Q593" s="79" t="str">
        <f>IFERROR(VLOOKUP($M593,Export!$P:$R,3,FALSE),"-")</f>
        <v>ServiceMiscellaneous % of Total Sales</v>
      </c>
      <c r="R593" s="80" t="str" cm="1">
        <f t="array" ref="R593">_xlfn.IFS(P593="Service", _xlfn.IFS(I593="SALES","GP",I593="SERVICE SALES","GP",I593="PARTS SALES","GP",I593="SERVICE COS","GP",I593="PARTS COS","GP",I593="SELLING EXPENSES","Selling Expenses",I593="EMPLOYMENT EXPENSES","Selling Expenses",I593="EMPLOYMENT EXPENSES","Selling Expenses",I593="DIRECT EXPENSES","Selling Expenses",I593="INDIRECT EXPENSES","Selling Expenses"),P593="Parts",_xlfn.IFS(I593="SALES","GP",I593="SERVICE SALES","GP",I593="PARTS SALES","GP",I593="SERVICE COS","GP",I593="PARTS COS","GP",I593="SELLING EXPENSES","Selling Expenses",I593="EMPLOYMENT EXPENSES","Selling Expenses",I593="EMPLOYMENT EXPENSES","Selling Expenses",I593="DIRECT EXPENSES","Selling Expenses",I593="INDIRECT EXPENSES","Selling Expenses"))</f>
        <v>GP</v>
      </c>
    </row>
    <row r="594" spans="1:18" x14ac:dyDescent="0.2">
      <c r="A594" s="75">
        <v>3400</v>
      </c>
      <c r="B594" s="76" t="s">
        <v>723</v>
      </c>
      <c r="C594" s="76">
        <v>240</v>
      </c>
      <c r="D594" s="76" t="s">
        <v>439</v>
      </c>
      <c r="E594" s="76" t="s">
        <v>426</v>
      </c>
      <c r="F594" s="77">
        <v>-394821.96</v>
      </c>
      <c r="G594" s="77">
        <v>-39406.19</v>
      </c>
      <c r="H594" s="77">
        <v>-434228.15</v>
      </c>
      <c r="I594" s="76" t="s">
        <v>698</v>
      </c>
      <c r="J594" s="77">
        <v>-41744.75</v>
      </c>
      <c r="K594" s="78">
        <v>-407947.61</v>
      </c>
      <c r="M594" s="79" t="str">
        <f t="shared" si="29"/>
        <v>240-3400</v>
      </c>
      <c r="N594" s="79" t="str">
        <f t="shared" si="27"/>
        <v/>
      </c>
      <c r="O594" s="79" t="str">
        <f t="shared" si="28"/>
        <v>240</v>
      </c>
      <c r="P594" s="79" t="str">
        <f>IFERROR(VLOOKUP($M594,Export!$P:$R,2,FALSE),"-")</f>
        <v>Service</v>
      </c>
      <c r="Q594" s="79" t="str">
        <f>IFERROR(VLOOKUP($M594,Export!$P:$R,3,FALSE),"-")</f>
        <v>ServiceMiscellaneous % of Total Sales</v>
      </c>
      <c r="R594" s="80" t="str" cm="1">
        <f t="array" ref="R594">_xlfn.IFS(P594="Service", _xlfn.IFS(I594="SALES","GP",I594="SERVICE SALES","GP",I594="PARTS SALES","GP",I594="SERVICE COS","GP",I594="PARTS COS","GP",I594="SELLING EXPENSES","Selling Expenses",I594="EMPLOYMENT EXPENSES","Selling Expenses",I594="EMPLOYMENT EXPENSES","Selling Expenses",I594="DIRECT EXPENSES","Selling Expenses",I594="INDIRECT EXPENSES","Selling Expenses"),P594="Parts",_xlfn.IFS(I594="SALES","GP",I594="SERVICE SALES","GP",I594="PARTS SALES","GP",I594="SERVICE COS","GP",I594="PARTS COS","GP",I594="SELLING EXPENSES","Selling Expenses",I594="EMPLOYMENT EXPENSES","Selling Expenses",I594="EMPLOYMENT EXPENSES","Selling Expenses",I594="DIRECT EXPENSES","Selling Expenses",I594="INDIRECT EXPENSES","Selling Expenses"))</f>
        <v>GP</v>
      </c>
    </row>
    <row r="595" spans="1:18" x14ac:dyDescent="0.2">
      <c r="A595" s="75">
        <v>3400</v>
      </c>
      <c r="B595" s="76" t="s">
        <v>723</v>
      </c>
      <c r="C595" s="76">
        <v>340</v>
      </c>
      <c r="D595" s="76" t="s">
        <v>440</v>
      </c>
      <c r="E595" s="76" t="s">
        <v>426</v>
      </c>
      <c r="F595" s="77">
        <v>-249010.02</v>
      </c>
      <c r="G595" s="77">
        <v>-21551.46</v>
      </c>
      <c r="H595" s="77">
        <v>-270561.48</v>
      </c>
      <c r="I595" s="76" t="s">
        <v>698</v>
      </c>
      <c r="J595" s="77">
        <v>-24266.400000000001</v>
      </c>
      <c r="K595" s="78">
        <v>-232762.57</v>
      </c>
      <c r="M595" s="79" t="str">
        <f t="shared" si="29"/>
        <v>340-3400</v>
      </c>
      <c r="N595" s="79" t="str">
        <f t="shared" si="27"/>
        <v/>
      </c>
      <c r="O595" s="79" t="str">
        <f t="shared" si="28"/>
        <v>340</v>
      </c>
      <c r="P595" s="79" t="str">
        <f>IFERROR(VLOOKUP($M595,Export!$P:$R,2,FALSE),"-")</f>
        <v>Service</v>
      </c>
      <c r="Q595" s="79" t="str">
        <f>IFERROR(VLOOKUP($M595,Export!$P:$R,3,FALSE),"-")</f>
        <v>ServiceMiscellaneous % of Total Sales</v>
      </c>
      <c r="R595" s="80" t="str" cm="1">
        <f t="array" ref="R595">_xlfn.IFS(P595="Service", _xlfn.IFS(I595="SALES","GP",I595="SERVICE SALES","GP",I595="PARTS SALES","GP",I595="SERVICE COS","GP",I595="PARTS COS","GP",I595="SELLING EXPENSES","Selling Expenses",I595="EMPLOYMENT EXPENSES","Selling Expenses",I595="EMPLOYMENT EXPENSES","Selling Expenses",I595="DIRECT EXPENSES","Selling Expenses",I595="INDIRECT EXPENSES","Selling Expenses"),P595="Parts",_xlfn.IFS(I595="SALES","GP",I595="SERVICE SALES","GP",I595="PARTS SALES","GP",I595="SERVICE COS","GP",I595="PARTS COS","GP",I595="SELLING EXPENSES","Selling Expenses",I595="EMPLOYMENT EXPENSES","Selling Expenses",I595="EMPLOYMENT EXPENSES","Selling Expenses",I595="DIRECT EXPENSES","Selling Expenses",I595="INDIRECT EXPENSES","Selling Expenses"))</f>
        <v>GP</v>
      </c>
    </row>
    <row r="596" spans="1:18" x14ac:dyDescent="0.2">
      <c r="A596" s="75">
        <v>3400</v>
      </c>
      <c r="B596" s="76" t="s">
        <v>723</v>
      </c>
      <c r="C596" s="76">
        <v>440</v>
      </c>
      <c r="D596" s="76" t="s">
        <v>441</v>
      </c>
      <c r="E596" s="76" t="s">
        <v>426</v>
      </c>
      <c r="F596" s="77">
        <v>-155811.12</v>
      </c>
      <c r="G596" s="77">
        <v>-17338.55</v>
      </c>
      <c r="H596" s="77">
        <v>-173149.67</v>
      </c>
      <c r="I596" s="76" t="s">
        <v>698</v>
      </c>
      <c r="J596" s="77">
        <v>-7500</v>
      </c>
      <c r="K596" s="78">
        <v>-75919.38</v>
      </c>
      <c r="M596" s="79" t="str">
        <f t="shared" si="29"/>
        <v>440-3400</v>
      </c>
      <c r="N596" s="79" t="str">
        <f t="shared" si="27"/>
        <v/>
      </c>
      <c r="O596" s="79" t="str">
        <f t="shared" si="28"/>
        <v>440</v>
      </c>
      <c r="P596" s="79" t="str">
        <f>IFERROR(VLOOKUP($M596,Export!$P:$R,2,FALSE),"-")</f>
        <v>Service</v>
      </c>
      <c r="Q596" s="79" t="str">
        <f>IFERROR(VLOOKUP($M596,Export!$P:$R,3,FALSE),"-")</f>
        <v>ServiceMiscellaneous % of Total Sales</v>
      </c>
      <c r="R596" s="80" t="str" cm="1">
        <f t="array" ref="R596">_xlfn.IFS(P596="Service", _xlfn.IFS(I596="SALES","GP",I596="SERVICE SALES","GP",I596="PARTS SALES","GP",I596="SERVICE COS","GP",I596="PARTS COS","GP",I596="SELLING EXPENSES","Selling Expenses",I596="EMPLOYMENT EXPENSES","Selling Expenses",I596="EMPLOYMENT EXPENSES","Selling Expenses",I596="DIRECT EXPENSES","Selling Expenses",I596="INDIRECT EXPENSES","Selling Expenses"),P596="Parts",_xlfn.IFS(I596="SALES","GP",I596="SERVICE SALES","GP",I596="PARTS SALES","GP",I596="SERVICE COS","GP",I596="PARTS COS","GP",I596="SELLING EXPENSES","Selling Expenses",I596="EMPLOYMENT EXPENSES","Selling Expenses",I596="EMPLOYMENT EXPENSES","Selling Expenses",I596="DIRECT EXPENSES","Selling Expenses",I596="INDIRECT EXPENSES","Selling Expenses"))</f>
        <v>GP</v>
      </c>
    </row>
    <row r="597" spans="1:18" x14ac:dyDescent="0.2">
      <c r="A597" s="75" t="s">
        <v>724</v>
      </c>
      <c r="B597" s="76" t="s">
        <v>725</v>
      </c>
      <c r="C597" s="76">
        <v>140</v>
      </c>
      <c r="D597" s="76" t="s">
        <v>433</v>
      </c>
      <c r="E597" s="76" t="s">
        <v>247</v>
      </c>
      <c r="F597" s="77">
        <v>5203</v>
      </c>
      <c r="G597" s="77">
        <v>567</v>
      </c>
      <c r="H597" s="77">
        <v>5770</v>
      </c>
      <c r="I597" s="76" t="s">
        <v>698</v>
      </c>
      <c r="J597" s="77">
        <v>0</v>
      </c>
      <c r="K597" s="78">
        <v>2596</v>
      </c>
      <c r="M597" s="79" t="str">
        <f t="shared" si="29"/>
        <v>140-3400#</v>
      </c>
      <c r="N597" s="79" t="str">
        <f t="shared" si="27"/>
        <v>#</v>
      </c>
      <c r="O597" s="79" t="str">
        <f t="shared" si="28"/>
        <v>140#</v>
      </c>
      <c r="P597" s="79" t="str">
        <f>IFERROR(VLOOKUP($M597,Export!$P:$R,2,FALSE),"-")</f>
        <v>-</v>
      </c>
      <c r="Q597" s="79" t="str">
        <f>IFERROR(VLOOKUP($M597,Export!$P:$R,3,FALSE),"-")</f>
        <v>-</v>
      </c>
      <c r="R597" s="80" t="e" cm="1">
        <f t="array" ref="R597">_xlfn.IFS(P597="Service", _xlfn.IFS(I597="SALES","GP",I597="SERVICE SALES","GP",I597="PARTS SALES","GP",I597="SERVICE COS","GP",I597="PARTS COS","GP",I597="SELLING EXPENSES","Selling Expenses",I597="EMPLOYMENT EXPENSES","Selling Expenses",I597="EMPLOYMENT EXPENSES","Selling Expenses",I597="DIRECT EXPENSES","Selling Expenses",I597="INDIRECT EXPENSES","Selling Expenses"),P597="Parts",_xlfn.IFS(I597="SALES","GP",I597="SERVICE SALES","GP",I597="PARTS SALES","GP",I597="SERVICE COS","GP",I597="PARTS COS","GP",I597="SELLING EXPENSES","Selling Expenses",I597="EMPLOYMENT EXPENSES","Selling Expenses",I597="EMPLOYMENT EXPENSES","Selling Expenses",I597="DIRECT EXPENSES","Selling Expenses",I597="INDIRECT EXPENSES","Selling Expenses"))</f>
        <v>#N/A</v>
      </c>
    </row>
    <row r="598" spans="1:18" x14ac:dyDescent="0.2">
      <c r="A598" s="75" t="s">
        <v>724</v>
      </c>
      <c r="B598" s="76" t="s">
        <v>725</v>
      </c>
      <c r="C598" s="76">
        <v>142</v>
      </c>
      <c r="D598" s="76" t="s">
        <v>454</v>
      </c>
      <c r="E598" s="76" t="s">
        <v>247</v>
      </c>
      <c r="F598" s="77">
        <v>1243</v>
      </c>
      <c r="G598" s="77">
        <v>127</v>
      </c>
      <c r="H598" s="77">
        <v>1370</v>
      </c>
      <c r="I598" s="76" t="s">
        <v>698</v>
      </c>
      <c r="J598" s="77">
        <v>0</v>
      </c>
      <c r="K598" s="78">
        <v>511</v>
      </c>
      <c r="M598" s="79" t="str">
        <f t="shared" si="29"/>
        <v>142-3400#</v>
      </c>
      <c r="N598" s="79" t="str">
        <f t="shared" si="27"/>
        <v>#</v>
      </c>
      <c r="O598" s="79" t="str">
        <f t="shared" si="28"/>
        <v>142#</v>
      </c>
      <c r="P598" s="79" t="str">
        <f>IFERROR(VLOOKUP($M598,Export!$P:$R,2,FALSE),"-")</f>
        <v>-</v>
      </c>
      <c r="Q598" s="79" t="str">
        <f>IFERROR(VLOOKUP($M598,Export!$P:$R,3,FALSE),"-")</f>
        <v>-</v>
      </c>
      <c r="R598" s="80" t="e" cm="1">
        <f t="array" ref="R598">_xlfn.IFS(P598="Service", _xlfn.IFS(I598="SALES","GP",I598="SERVICE SALES","GP",I598="PARTS SALES","GP",I598="SERVICE COS","GP",I598="PARTS COS","GP",I598="SELLING EXPENSES","Selling Expenses",I598="EMPLOYMENT EXPENSES","Selling Expenses",I598="EMPLOYMENT EXPENSES","Selling Expenses",I598="DIRECT EXPENSES","Selling Expenses",I598="INDIRECT EXPENSES","Selling Expenses"),P598="Parts",_xlfn.IFS(I598="SALES","GP",I598="SERVICE SALES","GP",I598="PARTS SALES","GP",I598="SERVICE COS","GP",I598="PARTS COS","GP",I598="SELLING EXPENSES","Selling Expenses",I598="EMPLOYMENT EXPENSES","Selling Expenses",I598="EMPLOYMENT EXPENSES","Selling Expenses",I598="DIRECT EXPENSES","Selling Expenses",I598="INDIRECT EXPENSES","Selling Expenses"))</f>
        <v>#N/A</v>
      </c>
    </row>
    <row r="599" spans="1:18" x14ac:dyDescent="0.2">
      <c r="A599" s="75" t="s">
        <v>724</v>
      </c>
      <c r="B599" s="76" t="s">
        <v>725</v>
      </c>
      <c r="C599" s="76">
        <v>147</v>
      </c>
      <c r="D599" s="76" t="s">
        <v>699</v>
      </c>
      <c r="E599" s="76" t="s">
        <v>247</v>
      </c>
      <c r="F599" s="77">
        <v>0</v>
      </c>
      <c r="G599" s="77">
        <v>0</v>
      </c>
      <c r="H599" s="77">
        <v>0</v>
      </c>
      <c r="I599" s="76" t="s">
        <v>698</v>
      </c>
      <c r="J599" s="77">
        <v>0</v>
      </c>
      <c r="K599" s="78">
        <v>122</v>
      </c>
      <c r="M599" s="79" t="str">
        <f t="shared" si="29"/>
        <v>147-3400#</v>
      </c>
      <c r="N599" s="79" t="str">
        <f t="shared" si="27"/>
        <v>#</v>
      </c>
      <c r="O599" s="79" t="str">
        <f t="shared" si="28"/>
        <v>147#</v>
      </c>
      <c r="P599" s="79" t="str">
        <f>IFERROR(VLOOKUP($M599,Export!$P:$R,2,FALSE),"-")</f>
        <v>-</v>
      </c>
      <c r="Q599" s="79" t="str">
        <f>IFERROR(VLOOKUP($M599,Export!$P:$R,3,FALSE),"-")</f>
        <v>-</v>
      </c>
      <c r="R599" s="80" t="e" cm="1">
        <f t="array" ref="R599">_xlfn.IFS(P599="Service", _xlfn.IFS(I599="SALES","GP",I599="SERVICE SALES","GP",I599="PARTS SALES","GP",I599="SERVICE COS","GP",I599="PARTS COS","GP",I599="SELLING EXPENSES","Selling Expenses",I599="EMPLOYMENT EXPENSES","Selling Expenses",I599="EMPLOYMENT EXPENSES","Selling Expenses",I599="DIRECT EXPENSES","Selling Expenses",I599="INDIRECT EXPENSES","Selling Expenses"),P599="Parts",_xlfn.IFS(I599="SALES","GP",I599="SERVICE SALES","GP",I599="PARTS SALES","GP",I599="SERVICE COS","GP",I599="PARTS COS","GP",I599="SELLING EXPENSES","Selling Expenses",I599="EMPLOYMENT EXPENSES","Selling Expenses",I599="EMPLOYMENT EXPENSES","Selling Expenses",I599="DIRECT EXPENSES","Selling Expenses",I599="INDIRECT EXPENSES","Selling Expenses"))</f>
        <v>#N/A</v>
      </c>
    </row>
    <row r="600" spans="1:18" x14ac:dyDescent="0.2">
      <c r="A600" s="75" t="s">
        <v>724</v>
      </c>
      <c r="B600" s="76" t="s">
        <v>725</v>
      </c>
      <c r="C600" s="76">
        <v>240</v>
      </c>
      <c r="D600" s="76" t="s">
        <v>439</v>
      </c>
      <c r="E600" s="76" t="s">
        <v>247</v>
      </c>
      <c r="F600" s="77">
        <v>2826</v>
      </c>
      <c r="G600" s="77">
        <v>294</v>
      </c>
      <c r="H600" s="77">
        <v>3120</v>
      </c>
      <c r="I600" s="76" t="s">
        <v>698</v>
      </c>
      <c r="J600" s="77">
        <v>0</v>
      </c>
      <c r="K600" s="78">
        <v>1325</v>
      </c>
      <c r="M600" s="79" t="str">
        <f t="shared" si="29"/>
        <v>240-3400#</v>
      </c>
      <c r="N600" s="79" t="str">
        <f t="shared" si="27"/>
        <v>#</v>
      </c>
      <c r="O600" s="79" t="str">
        <f t="shared" si="28"/>
        <v>240#</v>
      </c>
      <c r="P600" s="79" t="str">
        <f>IFERROR(VLOOKUP($M600,Export!$P:$R,2,FALSE),"-")</f>
        <v>-</v>
      </c>
      <c r="Q600" s="79" t="str">
        <f>IFERROR(VLOOKUP($M600,Export!$P:$R,3,FALSE),"-")</f>
        <v>-</v>
      </c>
      <c r="R600" s="80" t="e" cm="1">
        <f t="array" ref="R600">_xlfn.IFS(P600="Service", _xlfn.IFS(I600="SALES","GP",I600="SERVICE SALES","GP",I600="PARTS SALES","GP",I600="SERVICE COS","GP",I600="PARTS COS","GP",I600="SELLING EXPENSES","Selling Expenses",I600="EMPLOYMENT EXPENSES","Selling Expenses",I600="EMPLOYMENT EXPENSES","Selling Expenses",I600="DIRECT EXPENSES","Selling Expenses",I600="INDIRECT EXPENSES","Selling Expenses"),P600="Parts",_xlfn.IFS(I600="SALES","GP",I600="SERVICE SALES","GP",I600="PARTS SALES","GP",I600="SERVICE COS","GP",I600="PARTS COS","GP",I600="SELLING EXPENSES","Selling Expenses",I600="EMPLOYMENT EXPENSES","Selling Expenses",I600="EMPLOYMENT EXPENSES","Selling Expenses",I600="DIRECT EXPENSES","Selling Expenses",I600="INDIRECT EXPENSES","Selling Expenses"))</f>
        <v>#N/A</v>
      </c>
    </row>
    <row r="601" spans="1:18" x14ac:dyDescent="0.2">
      <c r="A601" s="75" t="s">
        <v>724</v>
      </c>
      <c r="B601" s="76" t="s">
        <v>725</v>
      </c>
      <c r="C601" s="76">
        <v>340</v>
      </c>
      <c r="D601" s="76" t="s">
        <v>440</v>
      </c>
      <c r="E601" s="76" t="s">
        <v>247</v>
      </c>
      <c r="F601" s="77">
        <v>2016</v>
      </c>
      <c r="G601" s="77">
        <v>181</v>
      </c>
      <c r="H601" s="77">
        <v>2197</v>
      </c>
      <c r="I601" s="76" t="s">
        <v>698</v>
      </c>
      <c r="J601" s="77">
        <v>0</v>
      </c>
      <c r="K601" s="78">
        <v>889</v>
      </c>
      <c r="M601" s="79" t="str">
        <f t="shared" si="29"/>
        <v>340-3400#</v>
      </c>
      <c r="N601" s="79" t="str">
        <f t="shared" si="27"/>
        <v>#</v>
      </c>
      <c r="O601" s="79" t="str">
        <f t="shared" si="28"/>
        <v>340#</v>
      </c>
      <c r="P601" s="79" t="str">
        <f>IFERROR(VLOOKUP($M601,Export!$P:$R,2,FALSE),"-")</f>
        <v>-</v>
      </c>
      <c r="Q601" s="79" t="str">
        <f>IFERROR(VLOOKUP($M601,Export!$P:$R,3,FALSE),"-")</f>
        <v>-</v>
      </c>
      <c r="R601" s="80" t="e" cm="1">
        <f t="array" ref="R601">_xlfn.IFS(P601="Service", _xlfn.IFS(I601="SALES","GP",I601="SERVICE SALES","GP",I601="PARTS SALES","GP",I601="SERVICE COS","GP",I601="PARTS COS","GP",I601="SELLING EXPENSES","Selling Expenses",I601="EMPLOYMENT EXPENSES","Selling Expenses",I601="EMPLOYMENT EXPENSES","Selling Expenses",I601="DIRECT EXPENSES","Selling Expenses",I601="INDIRECT EXPENSES","Selling Expenses"),P601="Parts",_xlfn.IFS(I601="SALES","GP",I601="SERVICE SALES","GP",I601="PARTS SALES","GP",I601="SERVICE COS","GP",I601="PARTS COS","GP",I601="SELLING EXPENSES","Selling Expenses",I601="EMPLOYMENT EXPENSES","Selling Expenses",I601="EMPLOYMENT EXPENSES","Selling Expenses",I601="DIRECT EXPENSES","Selling Expenses",I601="INDIRECT EXPENSES","Selling Expenses"))</f>
        <v>#N/A</v>
      </c>
    </row>
    <row r="602" spans="1:18" x14ac:dyDescent="0.2">
      <c r="A602" s="75" t="s">
        <v>724</v>
      </c>
      <c r="B602" s="76" t="s">
        <v>725</v>
      </c>
      <c r="C602" s="76">
        <v>440</v>
      </c>
      <c r="D602" s="76" t="s">
        <v>441</v>
      </c>
      <c r="E602" s="76" t="s">
        <v>247</v>
      </c>
      <c r="F602" s="77">
        <v>1196</v>
      </c>
      <c r="G602" s="77">
        <v>143</v>
      </c>
      <c r="H602" s="77">
        <v>1339</v>
      </c>
      <c r="I602" s="76" t="s">
        <v>698</v>
      </c>
      <c r="J602" s="77">
        <v>0</v>
      </c>
      <c r="K602" s="78">
        <v>276</v>
      </c>
      <c r="M602" s="79" t="str">
        <f t="shared" si="29"/>
        <v>440-3400#</v>
      </c>
      <c r="N602" s="79" t="str">
        <f t="shared" si="27"/>
        <v>#</v>
      </c>
      <c r="O602" s="79" t="str">
        <f t="shared" si="28"/>
        <v>440#</v>
      </c>
      <c r="P602" s="79" t="str">
        <f>IFERROR(VLOOKUP($M602,Export!$P:$R,2,FALSE),"-")</f>
        <v>-</v>
      </c>
      <c r="Q602" s="79" t="str">
        <f>IFERROR(VLOOKUP($M602,Export!$P:$R,3,FALSE),"-")</f>
        <v>-</v>
      </c>
      <c r="R602" s="80" t="e" cm="1">
        <f t="array" ref="R602">_xlfn.IFS(P602="Service", _xlfn.IFS(I602="SALES","GP",I602="SERVICE SALES","GP",I602="PARTS SALES","GP",I602="SERVICE COS","GP",I602="PARTS COS","GP",I602="SELLING EXPENSES","Selling Expenses",I602="EMPLOYMENT EXPENSES","Selling Expenses",I602="EMPLOYMENT EXPENSES","Selling Expenses",I602="DIRECT EXPENSES","Selling Expenses",I602="INDIRECT EXPENSES","Selling Expenses"),P602="Parts",_xlfn.IFS(I602="SALES","GP",I602="SERVICE SALES","GP",I602="PARTS SALES","GP",I602="SERVICE COS","GP",I602="PARTS COS","GP",I602="SELLING EXPENSES","Selling Expenses",I602="EMPLOYMENT EXPENSES","Selling Expenses",I602="EMPLOYMENT EXPENSES","Selling Expenses",I602="DIRECT EXPENSES","Selling Expenses",I602="INDIRECT EXPENSES","Selling Expenses"))</f>
        <v>#N/A</v>
      </c>
    </row>
    <row r="603" spans="1:18" x14ac:dyDescent="0.2">
      <c r="A603" s="75">
        <v>3410</v>
      </c>
      <c r="B603" s="76" t="s">
        <v>726</v>
      </c>
      <c r="C603" s="76">
        <v>140</v>
      </c>
      <c r="D603" s="76" t="s">
        <v>433</v>
      </c>
      <c r="E603" s="76" t="s">
        <v>426</v>
      </c>
      <c r="F603" s="77">
        <v>-48110.04</v>
      </c>
      <c r="G603" s="77">
        <v>-4897.2299999999996</v>
      </c>
      <c r="H603" s="77">
        <v>-53007.27</v>
      </c>
      <c r="I603" s="76" t="s">
        <v>698</v>
      </c>
      <c r="J603" s="77">
        <v>-4641.1400000000003</v>
      </c>
      <c r="K603" s="78">
        <v>-44502.92</v>
      </c>
      <c r="M603" s="79" t="str">
        <f t="shared" si="29"/>
        <v>140-3410</v>
      </c>
      <c r="N603" s="79" t="str">
        <f t="shared" si="27"/>
        <v/>
      </c>
      <c r="O603" s="79" t="str">
        <f t="shared" si="28"/>
        <v>140</v>
      </c>
      <c r="P603" s="79" t="str">
        <f>IFERROR(VLOOKUP($M603,Export!$P:$R,2,FALSE),"-")</f>
        <v>Service</v>
      </c>
      <c r="Q603" s="79" t="str">
        <f>IFERROR(VLOOKUP($M603,Export!$P:$R,3,FALSE),"-")</f>
        <v>ServiceMiscellaneous % of Total Sales</v>
      </c>
      <c r="R603" s="80" t="str" cm="1">
        <f t="array" ref="R603">_xlfn.IFS(P603="Service", _xlfn.IFS(I603="SALES","GP",I603="SERVICE SALES","GP",I603="PARTS SALES","GP",I603="SERVICE COS","GP",I603="PARTS COS","GP",I603="SELLING EXPENSES","Selling Expenses",I603="EMPLOYMENT EXPENSES","Selling Expenses",I603="EMPLOYMENT EXPENSES","Selling Expenses",I603="DIRECT EXPENSES","Selling Expenses",I603="INDIRECT EXPENSES","Selling Expenses"),P603="Parts",_xlfn.IFS(I603="SALES","GP",I603="SERVICE SALES","GP",I603="PARTS SALES","GP",I603="SERVICE COS","GP",I603="PARTS COS","GP",I603="SELLING EXPENSES","Selling Expenses",I603="EMPLOYMENT EXPENSES","Selling Expenses",I603="EMPLOYMENT EXPENSES","Selling Expenses",I603="DIRECT EXPENSES","Selling Expenses",I603="INDIRECT EXPENSES","Selling Expenses"))</f>
        <v>GP</v>
      </c>
    </row>
    <row r="604" spans="1:18" x14ac:dyDescent="0.2">
      <c r="A604" s="75">
        <v>3410</v>
      </c>
      <c r="B604" s="76" t="s">
        <v>726</v>
      </c>
      <c r="C604" s="76">
        <v>142</v>
      </c>
      <c r="D604" s="76" t="s">
        <v>454</v>
      </c>
      <c r="E604" s="76" t="s">
        <v>426</v>
      </c>
      <c r="F604" s="77">
        <v>-771.7</v>
      </c>
      <c r="G604" s="77">
        <v>0</v>
      </c>
      <c r="H604" s="77">
        <v>-771.7</v>
      </c>
      <c r="I604" s="76" t="s">
        <v>698</v>
      </c>
      <c r="J604" s="77">
        <v>-9.52</v>
      </c>
      <c r="K604" s="78">
        <v>-120.62</v>
      </c>
      <c r="M604" s="79" t="str">
        <f t="shared" si="29"/>
        <v>142-3410</v>
      </c>
      <c r="N604" s="79" t="str">
        <f t="shared" si="27"/>
        <v/>
      </c>
      <c r="O604" s="79" t="str">
        <f t="shared" si="28"/>
        <v>142</v>
      </c>
      <c r="P604" s="79" t="str">
        <f>IFERROR(VLOOKUP($M604,Export!$P:$R,2,FALSE),"-")</f>
        <v>Lex Service</v>
      </c>
      <c r="Q604" s="79" t="str">
        <f>IFERROR(VLOOKUP($M604,Export!$P:$R,3,FALSE),"-")</f>
        <v>Lex ServiceMiscellaneous % of Total Sales</v>
      </c>
      <c r="R604" s="80" t="e" cm="1">
        <f t="array" ref="R604">_xlfn.IFS(P604="Service", _xlfn.IFS(I604="SALES","GP",I604="SERVICE SALES","GP",I604="PARTS SALES","GP",I604="SERVICE COS","GP",I604="PARTS COS","GP",I604="SELLING EXPENSES","Selling Expenses",I604="EMPLOYMENT EXPENSES","Selling Expenses",I604="EMPLOYMENT EXPENSES","Selling Expenses",I604="DIRECT EXPENSES","Selling Expenses",I604="INDIRECT EXPENSES","Selling Expenses"),P604="Parts",_xlfn.IFS(I604="SALES","GP",I604="SERVICE SALES","GP",I604="PARTS SALES","GP",I604="SERVICE COS","GP",I604="PARTS COS","GP",I604="SELLING EXPENSES","Selling Expenses",I604="EMPLOYMENT EXPENSES","Selling Expenses",I604="EMPLOYMENT EXPENSES","Selling Expenses",I604="DIRECT EXPENSES","Selling Expenses",I604="INDIRECT EXPENSES","Selling Expenses"))</f>
        <v>#N/A</v>
      </c>
    </row>
    <row r="605" spans="1:18" x14ac:dyDescent="0.2">
      <c r="A605" s="75">
        <v>3410</v>
      </c>
      <c r="B605" s="76" t="s">
        <v>726</v>
      </c>
      <c r="C605" s="76">
        <v>147</v>
      </c>
      <c r="D605" s="76" t="s">
        <v>699</v>
      </c>
      <c r="E605" s="76" t="s">
        <v>426</v>
      </c>
      <c r="F605" s="77">
        <v>0</v>
      </c>
      <c r="G605" s="77">
        <v>0</v>
      </c>
      <c r="H605" s="77">
        <v>0</v>
      </c>
      <c r="I605" s="76" t="s">
        <v>698</v>
      </c>
      <c r="J605" s="77">
        <v>-680.34</v>
      </c>
      <c r="K605" s="78">
        <v>-5228.74</v>
      </c>
      <c r="M605" s="79" t="str">
        <f t="shared" si="29"/>
        <v>147-3410</v>
      </c>
      <c r="N605" s="79" t="str">
        <f t="shared" si="27"/>
        <v/>
      </c>
      <c r="O605" s="79" t="str">
        <f t="shared" si="28"/>
        <v>147</v>
      </c>
      <c r="P605" s="79" t="str">
        <f>IFERROR(VLOOKUP($M605,Export!$P:$R,2,FALSE),"-")</f>
        <v>Service</v>
      </c>
      <c r="Q605" s="79" t="str">
        <f>IFERROR(VLOOKUP($M605,Export!$P:$R,3,FALSE),"-")</f>
        <v>ServiceMiscellaneous % of Total Sales</v>
      </c>
      <c r="R605" s="80" t="str" cm="1">
        <f t="array" ref="R605">_xlfn.IFS(P605="Service", _xlfn.IFS(I605="SALES","GP",I605="SERVICE SALES","GP",I605="PARTS SALES","GP",I605="SERVICE COS","GP",I605="PARTS COS","GP",I605="SELLING EXPENSES","Selling Expenses",I605="EMPLOYMENT EXPENSES","Selling Expenses",I605="EMPLOYMENT EXPENSES","Selling Expenses",I605="DIRECT EXPENSES","Selling Expenses",I605="INDIRECT EXPENSES","Selling Expenses"),P605="Parts",_xlfn.IFS(I605="SALES","GP",I605="SERVICE SALES","GP",I605="PARTS SALES","GP",I605="SERVICE COS","GP",I605="PARTS COS","GP",I605="SELLING EXPENSES","Selling Expenses",I605="EMPLOYMENT EXPENSES","Selling Expenses",I605="EMPLOYMENT EXPENSES","Selling Expenses",I605="DIRECT EXPENSES","Selling Expenses",I605="INDIRECT EXPENSES","Selling Expenses"))</f>
        <v>GP</v>
      </c>
    </row>
    <row r="606" spans="1:18" x14ac:dyDescent="0.2">
      <c r="A606" s="75">
        <v>3410</v>
      </c>
      <c r="B606" s="76" t="s">
        <v>726</v>
      </c>
      <c r="C606" s="76">
        <v>440</v>
      </c>
      <c r="D606" s="76" t="s">
        <v>441</v>
      </c>
      <c r="E606" s="76" t="s">
        <v>426</v>
      </c>
      <c r="F606" s="77">
        <v>-12457.82</v>
      </c>
      <c r="G606" s="77">
        <v>-1406.77</v>
      </c>
      <c r="H606" s="77">
        <v>-13864.59</v>
      </c>
      <c r="I606" s="76" t="s">
        <v>698</v>
      </c>
      <c r="J606" s="77">
        <v>-700</v>
      </c>
      <c r="K606" s="78">
        <v>-7431.76</v>
      </c>
      <c r="M606" s="79" t="str">
        <f t="shared" si="29"/>
        <v>440-3410</v>
      </c>
      <c r="N606" s="79" t="str">
        <f t="shared" si="27"/>
        <v/>
      </c>
      <c r="O606" s="79" t="str">
        <f t="shared" si="28"/>
        <v>440</v>
      </c>
      <c r="P606" s="79" t="str">
        <f>IFERROR(VLOOKUP($M606,Export!$P:$R,2,FALSE),"-")</f>
        <v>Service</v>
      </c>
      <c r="Q606" s="79" t="str">
        <f>IFERROR(VLOOKUP($M606,Export!$P:$R,3,FALSE),"-")</f>
        <v>ServiceMiscellaneous % of Total Sales</v>
      </c>
      <c r="R606" s="80" t="str" cm="1">
        <f t="array" ref="R606">_xlfn.IFS(P606="Service", _xlfn.IFS(I606="SALES","GP",I606="SERVICE SALES","GP",I606="PARTS SALES","GP",I606="SERVICE COS","GP",I606="PARTS COS","GP",I606="SELLING EXPENSES","Selling Expenses",I606="EMPLOYMENT EXPENSES","Selling Expenses",I606="EMPLOYMENT EXPENSES","Selling Expenses",I606="DIRECT EXPENSES","Selling Expenses",I606="INDIRECT EXPENSES","Selling Expenses"),P606="Parts",_xlfn.IFS(I606="SALES","GP",I606="SERVICE SALES","GP",I606="PARTS SALES","GP",I606="SERVICE COS","GP",I606="PARTS COS","GP",I606="SELLING EXPENSES","Selling Expenses",I606="EMPLOYMENT EXPENSES","Selling Expenses",I606="EMPLOYMENT EXPENSES","Selling Expenses",I606="DIRECT EXPENSES","Selling Expenses",I606="INDIRECT EXPENSES","Selling Expenses"))</f>
        <v>GP</v>
      </c>
    </row>
    <row r="607" spans="1:18" x14ac:dyDescent="0.2">
      <c r="A607" s="75" t="s">
        <v>727</v>
      </c>
      <c r="B607" s="76" t="s">
        <v>728</v>
      </c>
      <c r="C607" s="76">
        <v>140</v>
      </c>
      <c r="D607" s="76" t="s">
        <v>433</v>
      </c>
      <c r="E607" s="76" t="s">
        <v>247</v>
      </c>
      <c r="F607" s="77">
        <v>2366</v>
      </c>
      <c r="G607" s="77">
        <v>261</v>
      </c>
      <c r="H607" s="77">
        <v>2627</v>
      </c>
      <c r="I607" s="76" t="s">
        <v>698</v>
      </c>
      <c r="J607" s="77">
        <v>0</v>
      </c>
      <c r="K607" s="78">
        <v>1101</v>
      </c>
      <c r="M607" s="79" t="str">
        <f t="shared" si="29"/>
        <v>140-3410#</v>
      </c>
      <c r="N607" s="79" t="str">
        <f t="shared" si="27"/>
        <v>#</v>
      </c>
      <c r="O607" s="79" t="str">
        <f t="shared" si="28"/>
        <v>140#</v>
      </c>
      <c r="P607" s="79" t="str">
        <f>IFERROR(VLOOKUP($M607,Export!$P:$R,2,FALSE),"-")</f>
        <v>-</v>
      </c>
      <c r="Q607" s="79" t="str">
        <f>IFERROR(VLOOKUP($M607,Export!$P:$R,3,FALSE),"-")</f>
        <v>-</v>
      </c>
      <c r="R607" s="80" t="e" cm="1">
        <f t="array" ref="R607">_xlfn.IFS(P607="Service", _xlfn.IFS(I607="SALES","GP",I607="SERVICE SALES","GP",I607="PARTS SALES","GP",I607="SERVICE COS","GP",I607="PARTS COS","GP",I607="SELLING EXPENSES","Selling Expenses",I607="EMPLOYMENT EXPENSES","Selling Expenses",I607="EMPLOYMENT EXPENSES","Selling Expenses",I607="DIRECT EXPENSES","Selling Expenses",I607="INDIRECT EXPENSES","Selling Expenses"),P607="Parts",_xlfn.IFS(I607="SALES","GP",I607="SERVICE SALES","GP",I607="PARTS SALES","GP",I607="SERVICE COS","GP",I607="PARTS COS","GP",I607="SELLING EXPENSES","Selling Expenses",I607="EMPLOYMENT EXPENSES","Selling Expenses",I607="EMPLOYMENT EXPENSES","Selling Expenses",I607="DIRECT EXPENSES","Selling Expenses",I607="INDIRECT EXPENSES","Selling Expenses"))</f>
        <v>#N/A</v>
      </c>
    </row>
    <row r="608" spans="1:18" x14ac:dyDescent="0.2">
      <c r="A608" s="75" t="s">
        <v>727</v>
      </c>
      <c r="B608" s="76" t="s">
        <v>728</v>
      </c>
      <c r="C608" s="76">
        <v>142</v>
      </c>
      <c r="D608" s="76" t="s">
        <v>454</v>
      </c>
      <c r="E608" s="76" t="s">
        <v>247</v>
      </c>
      <c r="F608" s="77">
        <v>16</v>
      </c>
      <c r="G608" s="77">
        <v>0</v>
      </c>
      <c r="H608" s="77">
        <v>16</v>
      </c>
      <c r="I608" s="76" t="s">
        <v>698</v>
      </c>
      <c r="J608" s="77">
        <v>0</v>
      </c>
      <c r="K608" s="78">
        <v>3</v>
      </c>
      <c r="M608" s="79" t="str">
        <f t="shared" si="29"/>
        <v>142-3410#</v>
      </c>
      <c r="N608" s="79" t="str">
        <f t="shared" si="27"/>
        <v>#</v>
      </c>
      <c r="O608" s="79" t="str">
        <f t="shared" si="28"/>
        <v>142#</v>
      </c>
      <c r="P608" s="79" t="str">
        <f>IFERROR(VLOOKUP($M608,Export!$P:$R,2,FALSE),"-")</f>
        <v>-</v>
      </c>
      <c r="Q608" s="79" t="str">
        <f>IFERROR(VLOOKUP($M608,Export!$P:$R,3,FALSE),"-")</f>
        <v>-</v>
      </c>
      <c r="R608" s="80" t="e" cm="1">
        <f t="array" ref="R608">_xlfn.IFS(P608="Service", _xlfn.IFS(I608="SALES","GP",I608="SERVICE SALES","GP",I608="PARTS SALES","GP",I608="SERVICE COS","GP",I608="PARTS COS","GP",I608="SELLING EXPENSES","Selling Expenses",I608="EMPLOYMENT EXPENSES","Selling Expenses",I608="EMPLOYMENT EXPENSES","Selling Expenses",I608="DIRECT EXPENSES","Selling Expenses",I608="INDIRECT EXPENSES","Selling Expenses"),P608="Parts",_xlfn.IFS(I608="SALES","GP",I608="SERVICE SALES","GP",I608="PARTS SALES","GP",I608="SERVICE COS","GP",I608="PARTS COS","GP",I608="SELLING EXPENSES","Selling Expenses",I608="EMPLOYMENT EXPENSES","Selling Expenses",I608="EMPLOYMENT EXPENSES","Selling Expenses",I608="DIRECT EXPENSES","Selling Expenses",I608="INDIRECT EXPENSES","Selling Expenses"))</f>
        <v>#N/A</v>
      </c>
    </row>
    <row r="609" spans="1:18" x14ac:dyDescent="0.2">
      <c r="A609" s="75" t="s">
        <v>727</v>
      </c>
      <c r="B609" s="76" t="s">
        <v>728</v>
      </c>
      <c r="C609" s="76">
        <v>147</v>
      </c>
      <c r="D609" s="76" t="s">
        <v>699</v>
      </c>
      <c r="E609" s="76" t="s">
        <v>247</v>
      </c>
      <c r="F609" s="77">
        <v>1</v>
      </c>
      <c r="G609" s="77">
        <v>0</v>
      </c>
      <c r="H609" s="77">
        <v>1</v>
      </c>
      <c r="I609" s="76" t="s">
        <v>698</v>
      </c>
      <c r="J609" s="77">
        <v>0</v>
      </c>
      <c r="K609" s="78">
        <v>42</v>
      </c>
      <c r="M609" s="79" t="str">
        <f t="shared" si="29"/>
        <v>147-3410#</v>
      </c>
      <c r="N609" s="79" t="str">
        <f t="shared" si="27"/>
        <v>#</v>
      </c>
      <c r="O609" s="79" t="str">
        <f t="shared" si="28"/>
        <v>147#</v>
      </c>
      <c r="P609" s="79" t="str">
        <f>IFERROR(VLOOKUP($M609,Export!$P:$R,2,FALSE),"-")</f>
        <v>-</v>
      </c>
      <c r="Q609" s="79" t="str">
        <f>IFERROR(VLOOKUP($M609,Export!$P:$R,3,FALSE),"-")</f>
        <v>-</v>
      </c>
      <c r="R609" s="80" t="e" cm="1">
        <f t="array" ref="R609">_xlfn.IFS(P609="Service", _xlfn.IFS(I609="SALES","GP",I609="SERVICE SALES","GP",I609="PARTS SALES","GP",I609="SERVICE COS","GP",I609="PARTS COS","GP",I609="SELLING EXPENSES","Selling Expenses",I609="EMPLOYMENT EXPENSES","Selling Expenses",I609="EMPLOYMENT EXPENSES","Selling Expenses",I609="DIRECT EXPENSES","Selling Expenses",I609="INDIRECT EXPENSES","Selling Expenses"),P609="Parts",_xlfn.IFS(I609="SALES","GP",I609="SERVICE SALES","GP",I609="PARTS SALES","GP",I609="SERVICE COS","GP",I609="PARTS COS","GP",I609="SELLING EXPENSES","Selling Expenses",I609="EMPLOYMENT EXPENSES","Selling Expenses",I609="EMPLOYMENT EXPENSES","Selling Expenses",I609="DIRECT EXPENSES","Selling Expenses",I609="INDIRECT EXPENSES","Selling Expenses"))</f>
        <v>#N/A</v>
      </c>
    </row>
    <row r="610" spans="1:18" x14ac:dyDescent="0.2">
      <c r="A610" s="75" t="s">
        <v>727</v>
      </c>
      <c r="B610" s="76" t="s">
        <v>728</v>
      </c>
      <c r="C610" s="76">
        <v>440</v>
      </c>
      <c r="D610" s="76" t="s">
        <v>441</v>
      </c>
      <c r="E610" s="76" t="s">
        <v>247</v>
      </c>
      <c r="F610" s="77">
        <v>1110</v>
      </c>
      <c r="G610" s="77">
        <v>150</v>
      </c>
      <c r="H610" s="77">
        <v>1260</v>
      </c>
      <c r="I610" s="76" t="s">
        <v>698</v>
      </c>
      <c r="J610" s="77">
        <v>0</v>
      </c>
      <c r="K610" s="78">
        <v>229</v>
      </c>
      <c r="M610" s="79" t="str">
        <f t="shared" si="29"/>
        <v>440-3410#</v>
      </c>
      <c r="N610" s="79" t="str">
        <f t="shared" si="27"/>
        <v>#</v>
      </c>
      <c r="O610" s="79" t="str">
        <f t="shared" si="28"/>
        <v>440#</v>
      </c>
      <c r="P610" s="79" t="str">
        <f>IFERROR(VLOOKUP($M610,Export!$P:$R,2,FALSE),"-")</f>
        <v>-</v>
      </c>
      <c r="Q610" s="79" t="str">
        <f>IFERROR(VLOOKUP($M610,Export!$P:$R,3,FALSE),"-")</f>
        <v>-</v>
      </c>
      <c r="R610" s="80" t="e" cm="1">
        <f t="array" ref="R610">_xlfn.IFS(P610="Service", _xlfn.IFS(I610="SALES","GP",I610="SERVICE SALES","GP",I610="PARTS SALES","GP",I610="SERVICE COS","GP",I610="PARTS COS","GP",I610="SELLING EXPENSES","Selling Expenses",I610="EMPLOYMENT EXPENSES","Selling Expenses",I610="EMPLOYMENT EXPENSES","Selling Expenses",I610="DIRECT EXPENSES","Selling Expenses",I610="INDIRECT EXPENSES","Selling Expenses"),P610="Parts",_xlfn.IFS(I610="SALES","GP",I610="SERVICE SALES","GP",I610="PARTS SALES","GP",I610="SERVICE COS","GP",I610="PARTS COS","GP",I610="SELLING EXPENSES","Selling Expenses",I610="EMPLOYMENT EXPENSES","Selling Expenses",I610="EMPLOYMENT EXPENSES","Selling Expenses",I610="DIRECT EXPENSES","Selling Expenses",I610="INDIRECT EXPENSES","Selling Expenses"))</f>
        <v>#N/A</v>
      </c>
    </row>
    <row r="611" spans="1:18" x14ac:dyDescent="0.2">
      <c r="A611" s="75">
        <v>3430</v>
      </c>
      <c r="B611" s="76" t="s">
        <v>121</v>
      </c>
      <c r="C611" s="76">
        <v>140</v>
      </c>
      <c r="D611" s="76" t="s">
        <v>433</v>
      </c>
      <c r="E611" s="76" t="s">
        <v>426</v>
      </c>
      <c r="F611" s="77">
        <v>-3045.26</v>
      </c>
      <c r="G611" s="77">
        <v>110.3</v>
      </c>
      <c r="H611" s="77">
        <v>-2934.96</v>
      </c>
      <c r="I611" s="76" t="s">
        <v>698</v>
      </c>
      <c r="J611" s="77">
        <v>-2407.62</v>
      </c>
      <c r="K611" s="78">
        <v>-21267.3</v>
      </c>
      <c r="M611" s="79" t="str">
        <f t="shared" si="29"/>
        <v>140-3430</v>
      </c>
      <c r="N611" s="79" t="str">
        <f t="shared" si="27"/>
        <v/>
      </c>
      <c r="O611" s="79" t="str">
        <f t="shared" si="28"/>
        <v>140</v>
      </c>
      <c r="P611" s="79" t="str">
        <f>IFERROR(VLOOKUP($M611,Export!$P:$R,2,FALSE),"-")</f>
        <v>Service</v>
      </c>
      <c r="Q611" s="79" t="str">
        <f>IFERROR(VLOOKUP($M611,Export!$P:$R,3,FALSE),"-")</f>
        <v>ServiceMiscellaneous % of Total Sales</v>
      </c>
      <c r="R611" s="80" t="str" cm="1">
        <f t="array" ref="R611">_xlfn.IFS(P611="Service", _xlfn.IFS(I611="SALES","GP",I611="SERVICE SALES","GP",I611="PARTS SALES","GP",I611="SERVICE COS","GP",I611="PARTS COS","GP",I611="SELLING EXPENSES","Selling Expenses",I611="EMPLOYMENT EXPENSES","Selling Expenses",I611="EMPLOYMENT EXPENSES","Selling Expenses",I611="DIRECT EXPENSES","Selling Expenses",I611="INDIRECT EXPENSES","Selling Expenses"),P611="Parts",_xlfn.IFS(I611="SALES","GP",I611="SERVICE SALES","GP",I611="PARTS SALES","GP",I611="SERVICE COS","GP",I611="PARTS COS","GP",I611="SELLING EXPENSES","Selling Expenses",I611="EMPLOYMENT EXPENSES","Selling Expenses",I611="EMPLOYMENT EXPENSES","Selling Expenses",I611="DIRECT EXPENSES","Selling Expenses",I611="INDIRECT EXPENSES","Selling Expenses"))</f>
        <v>GP</v>
      </c>
    </row>
    <row r="612" spans="1:18" x14ac:dyDescent="0.2">
      <c r="A612" s="75">
        <v>3430</v>
      </c>
      <c r="B612" s="76" t="s">
        <v>121</v>
      </c>
      <c r="C612" s="76">
        <v>142</v>
      </c>
      <c r="D612" s="76" t="s">
        <v>454</v>
      </c>
      <c r="E612" s="76" t="s">
        <v>426</v>
      </c>
      <c r="F612" s="77">
        <v>-21681.83</v>
      </c>
      <c r="G612" s="77">
        <v>-2282.36</v>
      </c>
      <c r="H612" s="77">
        <v>-23964.19</v>
      </c>
      <c r="I612" s="76" t="s">
        <v>698</v>
      </c>
      <c r="J612" s="77">
        <v>-357.65</v>
      </c>
      <c r="K612" s="78">
        <v>-3865.59</v>
      </c>
      <c r="M612" s="79" t="str">
        <f t="shared" si="29"/>
        <v>142-3430</v>
      </c>
      <c r="N612" s="79" t="str">
        <f t="shared" si="27"/>
        <v/>
      </c>
      <c r="O612" s="79" t="str">
        <f t="shared" si="28"/>
        <v>142</v>
      </c>
      <c r="P612" s="79" t="str">
        <f>IFERROR(VLOOKUP($M612,Export!$P:$R,2,FALSE),"-")</f>
        <v>Lex Service</v>
      </c>
      <c r="Q612" s="79" t="str">
        <f>IFERROR(VLOOKUP($M612,Export!$P:$R,3,FALSE),"-")</f>
        <v>Lex ServiceMiscellaneous % of Total Sales</v>
      </c>
      <c r="R612" s="80" t="e" cm="1">
        <f t="array" ref="R612">_xlfn.IFS(P612="Service", _xlfn.IFS(I612="SALES","GP",I612="SERVICE SALES","GP",I612="PARTS SALES","GP",I612="SERVICE COS","GP",I612="PARTS COS","GP",I612="SELLING EXPENSES","Selling Expenses",I612="EMPLOYMENT EXPENSES","Selling Expenses",I612="EMPLOYMENT EXPENSES","Selling Expenses",I612="DIRECT EXPENSES","Selling Expenses",I612="INDIRECT EXPENSES","Selling Expenses"),P612="Parts",_xlfn.IFS(I612="SALES","GP",I612="SERVICE SALES","GP",I612="PARTS SALES","GP",I612="SERVICE COS","GP",I612="PARTS COS","GP",I612="SELLING EXPENSES","Selling Expenses",I612="EMPLOYMENT EXPENSES","Selling Expenses",I612="EMPLOYMENT EXPENSES","Selling Expenses",I612="DIRECT EXPENSES","Selling Expenses",I612="INDIRECT EXPENSES","Selling Expenses"))</f>
        <v>#N/A</v>
      </c>
    </row>
    <row r="613" spans="1:18" x14ac:dyDescent="0.2">
      <c r="A613" s="75">
        <v>3430</v>
      </c>
      <c r="B613" s="76" t="s">
        <v>121</v>
      </c>
      <c r="C613" s="76">
        <v>147</v>
      </c>
      <c r="D613" s="76" t="s">
        <v>699</v>
      </c>
      <c r="E613" s="76" t="s">
        <v>426</v>
      </c>
      <c r="F613" s="77">
        <v>0</v>
      </c>
      <c r="G613" s="77">
        <v>0</v>
      </c>
      <c r="H613" s="77">
        <v>0</v>
      </c>
      <c r="I613" s="76" t="s">
        <v>698</v>
      </c>
      <c r="J613" s="77">
        <v>-117.75</v>
      </c>
      <c r="K613" s="78">
        <v>-921.39</v>
      </c>
      <c r="M613" s="79" t="str">
        <f t="shared" si="29"/>
        <v>147-3430</v>
      </c>
      <c r="N613" s="79" t="str">
        <f t="shared" si="27"/>
        <v/>
      </c>
      <c r="O613" s="79" t="str">
        <f t="shared" si="28"/>
        <v>147</v>
      </c>
      <c r="P613" s="79" t="str">
        <f>IFERROR(VLOOKUP($M613,Export!$P:$R,2,FALSE),"-")</f>
        <v>Service</v>
      </c>
      <c r="Q613" s="79" t="str">
        <f>IFERROR(VLOOKUP($M613,Export!$P:$R,3,FALSE),"-")</f>
        <v>ServiceMiscellaneous % of Total Sales</v>
      </c>
      <c r="R613" s="80" t="str" cm="1">
        <f t="array" ref="R613">_xlfn.IFS(P613="Service", _xlfn.IFS(I613="SALES","GP",I613="SERVICE SALES","GP",I613="PARTS SALES","GP",I613="SERVICE COS","GP",I613="PARTS COS","GP",I613="SELLING EXPENSES","Selling Expenses",I613="EMPLOYMENT EXPENSES","Selling Expenses",I613="EMPLOYMENT EXPENSES","Selling Expenses",I613="DIRECT EXPENSES","Selling Expenses",I613="INDIRECT EXPENSES","Selling Expenses"),P613="Parts",_xlfn.IFS(I613="SALES","GP",I613="SERVICE SALES","GP",I613="PARTS SALES","GP",I613="SERVICE COS","GP",I613="PARTS COS","GP",I613="SELLING EXPENSES","Selling Expenses",I613="EMPLOYMENT EXPENSES","Selling Expenses",I613="EMPLOYMENT EXPENSES","Selling Expenses",I613="DIRECT EXPENSES","Selling Expenses",I613="INDIRECT EXPENSES","Selling Expenses"))</f>
        <v>GP</v>
      </c>
    </row>
    <row r="614" spans="1:18" x14ac:dyDescent="0.2">
      <c r="A614" s="75">
        <v>3430</v>
      </c>
      <c r="B614" s="76" t="s">
        <v>121</v>
      </c>
      <c r="C614" s="76">
        <v>240</v>
      </c>
      <c r="D614" s="76" t="s">
        <v>439</v>
      </c>
      <c r="E614" s="76" t="s">
        <v>426</v>
      </c>
      <c r="F614" s="77">
        <v>-29382.34</v>
      </c>
      <c r="G614" s="77">
        <v>-3906.88</v>
      </c>
      <c r="H614" s="77">
        <v>-33289.22</v>
      </c>
      <c r="I614" s="76" t="s">
        <v>698</v>
      </c>
      <c r="J614" s="77">
        <v>-3173.97</v>
      </c>
      <c r="K614" s="78">
        <v>-31203.18</v>
      </c>
      <c r="M614" s="79" t="str">
        <f t="shared" si="29"/>
        <v>240-3430</v>
      </c>
      <c r="N614" s="79" t="str">
        <f t="shared" si="27"/>
        <v/>
      </c>
      <c r="O614" s="79" t="str">
        <f t="shared" si="28"/>
        <v>240</v>
      </c>
      <c r="P614" s="79" t="str">
        <f>IFERROR(VLOOKUP($M614,Export!$P:$R,2,FALSE),"-")</f>
        <v>Service</v>
      </c>
      <c r="Q614" s="79" t="str">
        <f>IFERROR(VLOOKUP($M614,Export!$P:$R,3,FALSE),"-")</f>
        <v>ServiceMiscellaneous % of Total Sales</v>
      </c>
      <c r="R614" s="80" t="str" cm="1">
        <f t="array" ref="R614">_xlfn.IFS(P614="Service", _xlfn.IFS(I614="SALES","GP",I614="SERVICE SALES","GP",I614="PARTS SALES","GP",I614="SERVICE COS","GP",I614="PARTS COS","GP",I614="SELLING EXPENSES","Selling Expenses",I614="EMPLOYMENT EXPENSES","Selling Expenses",I614="EMPLOYMENT EXPENSES","Selling Expenses",I614="DIRECT EXPENSES","Selling Expenses",I614="INDIRECT EXPENSES","Selling Expenses"),P614="Parts",_xlfn.IFS(I614="SALES","GP",I614="SERVICE SALES","GP",I614="PARTS SALES","GP",I614="SERVICE COS","GP",I614="PARTS COS","GP",I614="SELLING EXPENSES","Selling Expenses",I614="EMPLOYMENT EXPENSES","Selling Expenses",I614="EMPLOYMENT EXPENSES","Selling Expenses",I614="DIRECT EXPENSES","Selling Expenses",I614="INDIRECT EXPENSES","Selling Expenses"))</f>
        <v>GP</v>
      </c>
    </row>
    <row r="615" spans="1:18" x14ac:dyDescent="0.2">
      <c r="A615" s="75">
        <v>3430</v>
      </c>
      <c r="B615" s="76" t="s">
        <v>121</v>
      </c>
      <c r="C615" s="76">
        <v>340</v>
      </c>
      <c r="D615" s="76" t="s">
        <v>440</v>
      </c>
      <c r="E615" s="76" t="s">
        <v>426</v>
      </c>
      <c r="F615" s="77">
        <v>-13656.16</v>
      </c>
      <c r="G615" s="77">
        <v>-4070.53</v>
      </c>
      <c r="H615" s="77">
        <v>-17726.689999999999</v>
      </c>
      <c r="I615" s="76" t="s">
        <v>698</v>
      </c>
      <c r="J615" s="77">
        <v>-1655.24</v>
      </c>
      <c r="K615" s="78">
        <v>-14044.46</v>
      </c>
      <c r="M615" s="79" t="str">
        <f t="shared" si="29"/>
        <v>340-3430</v>
      </c>
      <c r="N615" s="79" t="str">
        <f t="shared" si="27"/>
        <v/>
      </c>
      <c r="O615" s="79" t="str">
        <f t="shared" si="28"/>
        <v>340</v>
      </c>
      <c r="P615" s="79" t="str">
        <f>IFERROR(VLOOKUP($M615,Export!$P:$R,2,FALSE),"-")</f>
        <v>Service</v>
      </c>
      <c r="Q615" s="79" t="str">
        <f>IFERROR(VLOOKUP($M615,Export!$P:$R,3,FALSE),"-")</f>
        <v>ServiceMiscellaneous % of Total Sales</v>
      </c>
      <c r="R615" s="80" t="str" cm="1">
        <f t="array" ref="R615">_xlfn.IFS(P615="Service", _xlfn.IFS(I615="SALES","GP",I615="SERVICE SALES","GP",I615="PARTS SALES","GP",I615="SERVICE COS","GP",I615="PARTS COS","GP",I615="SELLING EXPENSES","Selling Expenses",I615="EMPLOYMENT EXPENSES","Selling Expenses",I615="EMPLOYMENT EXPENSES","Selling Expenses",I615="DIRECT EXPENSES","Selling Expenses",I615="INDIRECT EXPENSES","Selling Expenses"),P615="Parts",_xlfn.IFS(I615="SALES","GP",I615="SERVICE SALES","GP",I615="PARTS SALES","GP",I615="SERVICE COS","GP",I615="PARTS COS","GP",I615="SELLING EXPENSES","Selling Expenses",I615="EMPLOYMENT EXPENSES","Selling Expenses",I615="EMPLOYMENT EXPENSES","Selling Expenses",I615="DIRECT EXPENSES","Selling Expenses",I615="INDIRECT EXPENSES","Selling Expenses"))</f>
        <v>GP</v>
      </c>
    </row>
    <row r="616" spans="1:18" x14ac:dyDescent="0.2">
      <c r="A616" s="75">
        <v>3430</v>
      </c>
      <c r="B616" s="76" t="s">
        <v>121</v>
      </c>
      <c r="C616" s="76">
        <v>440</v>
      </c>
      <c r="D616" s="76" t="s">
        <v>441</v>
      </c>
      <c r="E616" s="76" t="s">
        <v>426</v>
      </c>
      <c r="F616" s="77">
        <v>-7311.4</v>
      </c>
      <c r="G616" s="77">
        <v>-1206.8599999999999</v>
      </c>
      <c r="H616" s="77">
        <v>-8518.26</v>
      </c>
      <c r="I616" s="76" t="s">
        <v>698</v>
      </c>
      <c r="J616" s="77">
        <v>-414.59</v>
      </c>
      <c r="K616" s="78">
        <v>-4488.96</v>
      </c>
      <c r="M616" s="79" t="str">
        <f t="shared" si="29"/>
        <v>440-3430</v>
      </c>
      <c r="N616" s="79" t="str">
        <f t="shared" si="27"/>
        <v/>
      </c>
      <c r="O616" s="79" t="str">
        <f t="shared" si="28"/>
        <v>440</v>
      </c>
      <c r="P616" s="79" t="str">
        <f>IFERROR(VLOOKUP($M616,Export!$P:$R,2,FALSE),"-")</f>
        <v>Service</v>
      </c>
      <c r="Q616" s="79" t="str">
        <f>IFERROR(VLOOKUP($M616,Export!$P:$R,3,FALSE),"-")</f>
        <v>ServiceMiscellaneous % of Total Sales</v>
      </c>
      <c r="R616" s="80" t="str" cm="1">
        <f t="array" ref="R616">_xlfn.IFS(P616="Service", _xlfn.IFS(I616="SALES","GP",I616="SERVICE SALES","GP",I616="PARTS SALES","GP",I616="SERVICE COS","GP",I616="PARTS COS","GP",I616="SELLING EXPENSES","Selling Expenses",I616="EMPLOYMENT EXPENSES","Selling Expenses",I616="EMPLOYMENT EXPENSES","Selling Expenses",I616="DIRECT EXPENSES","Selling Expenses",I616="INDIRECT EXPENSES","Selling Expenses"),P616="Parts",_xlfn.IFS(I616="SALES","GP",I616="SERVICE SALES","GP",I616="PARTS SALES","GP",I616="SERVICE COS","GP",I616="PARTS COS","GP",I616="SELLING EXPENSES","Selling Expenses",I616="EMPLOYMENT EXPENSES","Selling Expenses",I616="EMPLOYMENT EXPENSES","Selling Expenses",I616="DIRECT EXPENSES","Selling Expenses",I616="INDIRECT EXPENSES","Selling Expenses"))</f>
        <v>GP</v>
      </c>
    </row>
    <row r="617" spans="1:18" x14ac:dyDescent="0.2">
      <c r="A617" s="75" t="s">
        <v>729</v>
      </c>
      <c r="B617" s="76" t="s">
        <v>730</v>
      </c>
      <c r="C617" s="76">
        <v>140</v>
      </c>
      <c r="D617" s="76" t="s">
        <v>433</v>
      </c>
      <c r="E617" s="76" t="s">
        <v>247</v>
      </c>
      <c r="F617" s="77">
        <v>206</v>
      </c>
      <c r="G617" s="77">
        <v>26</v>
      </c>
      <c r="H617" s="77">
        <v>232</v>
      </c>
      <c r="I617" s="76" t="s">
        <v>698</v>
      </c>
      <c r="J617" s="77">
        <v>0</v>
      </c>
      <c r="K617" s="78">
        <v>200</v>
      </c>
      <c r="M617" s="79" t="str">
        <f t="shared" si="29"/>
        <v>140-3430#</v>
      </c>
      <c r="N617" s="79" t="str">
        <f t="shared" si="27"/>
        <v>#</v>
      </c>
      <c r="O617" s="79" t="str">
        <f t="shared" si="28"/>
        <v>140#</v>
      </c>
      <c r="P617" s="79" t="str">
        <f>IFERROR(VLOOKUP($M617,Export!$P:$R,2,FALSE),"-")</f>
        <v>-</v>
      </c>
      <c r="Q617" s="79" t="str">
        <f>IFERROR(VLOOKUP($M617,Export!$P:$R,3,FALSE),"-")</f>
        <v>-</v>
      </c>
      <c r="R617" s="80" t="e" cm="1">
        <f t="array" ref="R617">_xlfn.IFS(P617="Service", _xlfn.IFS(I617="SALES","GP",I617="SERVICE SALES","GP",I617="PARTS SALES","GP",I617="SERVICE COS","GP",I617="PARTS COS","GP",I617="SELLING EXPENSES","Selling Expenses",I617="EMPLOYMENT EXPENSES","Selling Expenses",I617="EMPLOYMENT EXPENSES","Selling Expenses",I617="DIRECT EXPENSES","Selling Expenses",I617="INDIRECT EXPENSES","Selling Expenses"),P617="Parts",_xlfn.IFS(I617="SALES","GP",I617="SERVICE SALES","GP",I617="PARTS SALES","GP",I617="SERVICE COS","GP",I617="PARTS COS","GP",I617="SELLING EXPENSES","Selling Expenses",I617="EMPLOYMENT EXPENSES","Selling Expenses",I617="EMPLOYMENT EXPENSES","Selling Expenses",I617="DIRECT EXPENSES","Selling Expenses",I617="INDIRECT EXPENSES","Selling Expenses"))</f>
        <v>#N/A</v>
      </c>
    </row>
    <row r="618" spans="1:18" x14ac:dyDescent="0.2">
      <c r="A618" s="75" t="s">
        <v>729</v>
      </c>
      <c r="B618" s="76" t="s">
        <v>730</v>
      </c>
      <c r="C618" s="76">
        <v>142</v>
      </c>
      <c r="D618" s="76" t="s">
        <v>454</v>
      </c>
      <c r="E618" s="76" t="s">
        <v>247</v>
      </c>
      <c r="F618" s="77">
        <v>1037</v>
      </c>
      <c r="G618" s="77">
        <v>112</v>
      </c>
      <c r="H618" s="77">
        <v>1149</v>
      </c>
      <c r="I618" s="76" t="s">
        <v>698</v>
      </c>
      <c r="J618" s="77">
        <v>0</v>
      </c>
      <c r="K618" s="78">
        <v>86</v>
      </c>
      <c r="M618" s="79" t="str">
        <f t="shared" si="29"/>
        <v>142-3430#</v>
      </c>
      <c r="N618" s="79" t="str">
        <f t="shared" si="27"/>
        <v>#</v>
      </c>
      <c r="O618" s="79" t="str">
        <f t="shared" si="28"/>
        <v>142#</v>
      </c>
      <c r="P618" s="79" t="str">
        <f>IFERROR(VLOOKUP($M618,Export!$P:$R,2,FALSE),"-")</f>
        <v>-</v>
      </c>
      <c r="Q618" s="79" t="str">
        <f>IFERROR(VLOOKUP($M618,Export!$P:$R,3,FALSE),"-")</f>
        <v>-</v>
      </c>
      <c r="R618" s="80" t="e" cm="1">
        <f t="array" ref="R618">_xlfn.IFS(P618="Service", _xlfn.IFS(I618="SALES","GP",I618="SERVICE SALES","GP",I618="PARTS SALES","GP",I618="SERVICE COS","GP",I618="PARTS COS","GP",I618="SELLING EXPENSES","Selling Expenses",I618="EMPLOYMENT EXPENSES","Selling Expenses",I618="EMPLOYMENT EXPENSES","Selling Expenses",I618="DIRECT EXPENSES","Selling Expenses",I618="INDIRECT EXPENSES","Selling Expenses"),P618="Parts",_xlfn.IFS(I618="SALES","GP",I618="SERVICE SALES","GP",I618="PARTS SALES","GP",I618="SERVICE COS","GP",I618="PARTS COS","GP",I618="SELLING EXPENSES","Selling Expenses",I618="EMPLOYMENT EXPENSES","Selling Expenses",I618="EMPLOYMENT EXPENSES","Selling Expenses",I618="DIRECT EXPENSES","Selling Expenses",I618="INDIRECT EXPENSES","Selling Expenses"))</f>
        <v>#N/A</v>
      </c>
    </row>
    <row r="619" spans="1:18" x14ac:dyDescent="0.2">
      <c r="A619" s="75" t="s">
        <v>729</v>
      </c>
      <c r="B619" s="76" t="s">
        <v>730</v>
      </c>
      <c r="C619" s="76">
        <v>147</v>
      </c>
      <c r="D619" s="76" t="s">
        <v>699</v>
      </c>
      <c r="E619" s="76" t="s">
        <v>247</v>
      </c>
      <c r="F619" s="77">
        <v>0</v>
      </c>
      <c r="G619" s="77">
        <v>0</v>
      </c>
      <c r="H619" s="77">
        <v>0</v>
      </c>
      <c r="I619" s="76" t="s">
        <v>698</v>
      </c>
      <c r="J619" s="77">
        <v>0</v>
      </c>
      <c r="K619" s="78">
        <v>11</v>
      </c>
      <c r="M619" s="79" t="str">
        <f t="shared" si="29"/>
        <v>147-3430#</v>
      </c>
      <c r="N619" s="79" t="str">
        <f t="shared" si="27"/>
        <v>#</v>
      </c>
      <c r="O619" s="79" t="str">
        <f t="shared" si="28"/>
        <v>147#</v>
      </c>
      <c r="P619" s="79" t="str">
        <f>IFERROR(VLOOKUP($M619,Export!$P:$R,2,FALSE),"-")</f>
        <v>-</v>
      </c>
      <c r="Q619" s="79" t="str">
        <f>IFERROR(VLOOKUP($M619,Export!$P:$R,3,FALSE),"-")</f>
        <v>-</v>
      </c>
      <c r="R619" s="80" t="e" cm="1">
        <f t="array" ref="R619">_xlfn.IFS(P619="Service", _xlfn.IFS(I619="SALES","GP",I619="SERVICE SALES","GP",I619="PARTS SALES","GP",I619="SERVICE COS","GP",I619="PARTS COS","GP",I619="SELLING EXPENSES","Selling Expenses",I619="EMPLOYMENT EXPENSES","Selling Expenses",I619="EMPLOYMENT EXPENSES","Selling Expenses",I619="DIRECT EXPENSES","Selling Expenses",I619="INDIRECT EXPENSES","Selling Expenses"),P619="Parts",_xlfn.IFS(I619="SALES","GP",I619="SERVICE SALES","GP",I619="PARTS SALES","GP",I619="SERVICE COS","GP",I619="PARTS COS","GP",I619="SELLING EXPENSES","Selling Expenses",I619="EMPLOYMENT EXPENSES","Selling Expenses",I619="EMPLOYMENT EXPENSES","Selling Expenses",I619="DIRECT EXPENSES","Selling Expenses",I619="INDIRECT EXPENSES","Selling Expenses"))</f>
        <v>#N/A</v>
      </c>
    </row>
    <row r="620" spans="1:18" x14ac:dyDescent="0.2">
      <c r="A620" s="75" t="s">
        <v>729</v>
      </c>
      <c r="B620" s="76" t="s">
        <v>730</v>
      </c>
      <c r="C620" s="76">
        <v>240</v>
      </c>
      <c r="D620" s="76" t="s">
        <v>439</v>
      </c>
      <c r="E620" s="76" t="s">
        <v>247</v>
      </c>
      <c r="F620" s="77">
        <v>758</v>
      </c>
      <c r="G620" s="77">
        <v>91</v>
      </c>
      <c r="H620" s="77">
        <v>849</v>
      </c>
      <c r="I620" s="76" t="s">
        <v>698</v>
      </c>
      <c r="J620" s="77">
        <v>0</v>
      </c>
      <c r="K620" s="78">
        <v>200</v>
      </c>
      <c r="M620" s="79" t="str">
        <f t="shared" si="29"/>
        <v>240-3430#</v>
      </c>
      <c r="N620" s="79" t="str">
        <f t="shared" si="27"/>
        <v>#</v>
      </c>
      <c r="O620" s="79" t="str">
        <f t="shared" si="28"/>
        <v>240#</v>
      </c>
      <c r="P620" s="79" t="str">
        <f>IFERROR(VLOOKUP($M620,Export!$P:$R,2,FALSE),"-")</f>
        <v>-</v>
      </c>
      <c r="Q620" s="79" t="str">
        <f>IFERROR(VLOOKUP($M620,Export!$P:$R,3,FALSE),"-")</f>
        <v>-</v>
      </c>
      <c r="R620" s="80" t="e" cm="1">
        <f t="array" ref="R620">_xlfn.IFS(P620="Service", _xlfn.IFS(I620="SALES","GP",I620="SERVICE SALES","GP",I620="PARTS SALES","GP",I620="SERVICE COS","GP",I620="PARTS COS","GP",I620="SELLING EXPENSES","Selling Expenses",I620="EMPLOYMENT EXPENSES","Selling Expenses",I620="EMPLOYMENT EXPENSES","Selling Expenses",I620="DIRECT EXPENSES","Selling Expenses",I620="INDIRECT EXPENSES","Selling Expenses"),P620="Parts",_xlfn.IFS(I620="SALES","GP",I620="SERVICE SALES","GP",I620="PARTS SALES","GP",I620="SERVICE COS","GP",I620="PARTS COS","GP",I620="SELLING EXPENSES","Selling Expenses",I620="EMPLOYMENT EXPENSES","Selling Expenses",I620="EMPLOYMENT EXPENSES","Selling Expenses",I620="DIRECT EXPENSES","Selling Expenses",I620="INDIRECT EXPENSES","Selling Expenses"))</f>
        <v>#N/A</v>
      </c>
    </row>
    <row r="621" spans="1:18" x14ac:dyDescent="0.2">
      <c r="A621" s="75" t="s">
        <v>729</v>
      </c>
      <c r="B621" s="76" t="s">
        <v>730</v>
      </c>
      <c r="C621" s="76">
        <v>340</v>
      </c>
      <c r="D621" s="76" t="s">
        <v>440</v>
      </c>
      <c r="E621" s="76" t="s">
        <v>247</v>
      </c>
      <c r="F621" s="77">
        <v>200</v>
      </c>
      <c r="G621" s="77">
        <v>37</v>
      </c>
      <c r="H621" s="77">
        <v>237</v>
      </c>
      <c r="I621" s="76" t="s">
        <v>698</v>
      </c>
      <c r="J621" s="77">
        <v>0</v>
      </c>
      <c r="K621" s="78">
        <v>55</v>
      </c>
      <c r="M621" s="79" t="str">
        <f t="shared" si="29"/>
        <v>340-3430#</v>
      </c>
      <c r="N621" s="79" t="str">
        <f t="shared" si="27"/>
        <v>#</v>
      </c>
      <c r="O621" s="79" t="str">
        <f t="shared" si="28"/>
        <v>340#</v>
      </c>
      <c r="P621" s="79" t="str">
        <f>IFERROR(VLOOKUP($M621,Export!$P:$R,2,FALSE),"-")</f>
        <v>-</v>
      </c>
      <c r="Q621" s="79" t="str">
        <f>IFERROR(VLOOKUP($M621,Export!$P:$R,3,FALSE),"-")</f>
        <v>-</v>
      </c>
      <c r="R621" s="80" t="e" cm="1">
        <f t="array" ref="R621">_xlfn.IFS(P621="Service", _xlfn.IFS(I621="SALES","GP",I621="SERVICE SALES","GP",I621="PARTS SALES","GP",I621="SERVICE COS","GP",I621="PARTS COS","GP",I621="SELLING EXPENSES","Selling Expenses",I621="EMPLOYMENT EXPENSES","Selling Expenses",I621="EMPLOYMENT EXPENSES","Selling Expenses",I621="DIRECT EXPENSES","Selling Expenses",I621="INDIRECT EXPENSES","Selling Expenses"),P621="Parts",_xlfn.IFS(I621="SALES","GP",I621="SERVICE SALES","GP",I621="PARTS SALES","GP",I621="SERVICE COS","GP",I621="PARTS COS","GP",I621="SELLING EXPENSES","Selling Expenses",I621="EMPLOYMENT EXPENSES","Selling Expenses",I621="EMPLOYMENT EXPENSES","Selling Expenses",I621="DIRECT EXPENSES","Selling Expenses",I621="INDIRECT EXPENSES","Selling Expenses"))</f>
        <v>#N/A</v>
      </c>
    </row>
    <row r="622" spans="1:18" x14ac:dyDescent="0.2">
      <c r="A622" s="75" t="s">
        <v>729</v>
      </c>
      <c r="B622" s="76" t="s">
        <v>730</v>
      </c>
      <c r="C622" s="76">
        <v>440</v>
      </c>
      <c r="D622" s="76" t="s">
        <v>441</v>
      </c>
      <c r="E622" s="76" t="s">
        <v>247</v>
      </c>
      <c r="F622" s="77">
        <v>932</v>
      </c>
      <c r="G622" s="77">
        <v>133</v>
      </c>
      <c r="H622" s="77">
        <v>1065</v>
      </c>
      <c r="I622" s="76" t="s">
        <v>698</v>
      </c>
      <c r="J622" s="77">
        <v>0</v>
      </c>
      <c r="K622" s="78">
        <v>132</v>
      </c>
      <c r="M622" s="79" t="str">
        <f t="shared" si="29"/>
        <v>440-3430#</v>
      </c>
      <c r="N622" s="79" t="str">
        <f t="shared" si="27"/>
        <v>#</v>
      </c>
      <c r="O622" s="79" t="str">
        <f t="shared" si="28"/>
        <v>440#</v>
      </c>
      <c r="P622" s="79" t="str">
        <f>IFERROR(VLOOKUP($M622,Export!$P:$R,2,FALSE),"-")</f>
        <v>-</v>
      </c>
      <c r="Q622" s="79" t="str">
        <f>IFERROR(VLOOKUP($M622,Export!$P:$R,3,FALSE),"-")</f>
        <v>-</v>
      </c>
      <c r="R622" s="80" t="e" cm="1">
        <f t="array" ref="R622">_xlfn.IFS(P622="Service", _xlfn.IFS(I622="SALES","GP",I622="SERVICE SALES","GP",I622="PARTS SALES","GP",I622="SERVICE COS","GP",I622="PARTS COS","GP",I622="SELLING EXPENSES","Selling Expenses",I622="EMPLOYMENT EXPENSES","Selling Expenses",I622="EMPLOYMENT EXPENSES","Selling Expenses",I622="DIRECT EXPENSES","Selling Expenses",I622="INDIRECT EXPENSES","Selling Expenses"),P622="Parts",_xlfn.IFS(I622="SALES","GP",I622="SERVICE SALES","GP",I622="PARTS SALES","GP",I622="SERVICE COS","GP",I622="PARTS COS","GP",I622="SELLING EXPENSES","Selling Expenses",I622="EMPLOYMENT EXPENSES","Selling Expenses",I622="EMPLOYMENT EXPENSES","Selling Expenses",I622="DIRECT EXPENSES","Selling Expenses",I622="INDIRECT EXPENSES","Selling Expenses"))</f>
        <v>#N/A</v>
      </c>
    </row>
    <row r="623" spans="1:18" x14ac:dyDescent="0.2">
      <c r="A623" s="75">
        <v>3160</v>
      </c>
      <c r="B623" s="76" t="s">
        <v>731</v>
      </c>
      <c r="C623" s="76">
        <v>130</v>
      </c>
      <c r="D623" s="76" t="s">
        <v>432</v>
      </c>
      <c r="E623" s="76" t="s">
        <v>426</v>
      </c>
      <c r="F623" s="77">
        <v>0</v>
      </c>
      <c r="G623" s="77">
        <v>0</v>
      </c>
      <c r="H623" s="77">
        <v>0</v>
      </c>
      <c r="I623" s="76" t="s">
        <v>732</v>
      </c>
      <c r="J623" s="77">
        <v>-800</v>
      </c>
      <c r="K623" s="78">
        <v>-7891.02</v>
      </c>
      <c r="M623" s="79" t="str">
        <f t="shared" si="29"/>
        <v>130-3160</v>
      </c>
      <c r="N623" s="79" t="str">
        <f t="shared" si="27"/>
        <v/>
      </c>
      <c r="O623" s="79" t="str">
        <f t="shared" si="28"/>
        <v>130</v>
      </c>
      <c r="P623" s="79" t="str">
        <f>IFERROR(VLOOKUP($M623,Export!$P:$R,2,FALSE),"-")</f>
        <v>Parts</v>
      </c>
      <c r="Q623" s="79" t="str">
        <f>IFERROR(VLOOKUP($M623,Export!$P:$R,3,FALSE),"-")</f>
        <v>PartsIncentive</v>
      </c>
      <c r="R623" s="80" t="str" cm="1">
        <f t="array" ref="R623">_xlfn.IFS(P623="Service", _xlfn.IFS(I623="SALES","GP",I623="SERVICE SALES","GP",I623="PARTS SALES","GP",I623="SERVICE COS","GP",I623="PARTS COS","GP",I623="SELLING EXPENSES","Selling Expenses",I623="EMPLOYMENT EXPENSES","Selling Expenses",I623="EMPLOYMENT EXPENSES","Selling Expenses",I623="DIRECT EXPENSES","Selling Expenses",I623="INDIRECT EXPENSES","Selling Expenses"),P623="Parts",_xlfn.IFS(I623="SALES","GP",I623="SERVICE SALES","GP",I623="PARTS SALES","GP",I623="SERVICE COS","GP",I623="PARTS COS","GP",I623="SELLING EXPENSES","Selling Expenses",I623="EMPLOYMENT EXPENSES","Selling Expenses",I623="EMPLOYMENT EXPENSES","Selling Expenses",I623="DIRECT EXPENSES","Selling Expenses",I623="INDIRECT EXPENSES","Selling Expenses"))</f>
        <v>GP</v>
      </c>
    </row>
    <row r="624" spans="1:18" x14ac:dyDescent="0.2">
      <c r="A624" s="75">
        <v>3160</v>
      </c>
      <c r="B624" s="76" t="s">
        <v>731</v>
      </c>
      <c r="C624" s="76">
        <v>230</v>
      </c>
      <c r="D624" s="76" t="s">
        <v>438</v>
      </c>
      <c r="E624" s="76" t="s">
        <v>426</v>
      </c>
      <c r="F624" s="77">
        <v>0</v>
      </c>
      <c r="G624" s="77">
        <v>0</v>
      </c>
      <c r="H624" s="77">
        <v>0</v>
      </c>
      <c r="I624" s="76" t="s">
        <v>732</v>
      </c>
      <c r="J624" s="77">
        <v>0</v>
      </c>
      <c r="K624" s="78">
        <v>-1358.94</v>
      </c>
      <c r="M624" s="79" t="str">
        <f t="shared" si="29"/>
        <v>230-3160</v>
      </c>
      <c r="N624" s="79" t="str">
        <f t="shared" si="27"/>
        <v/>
      </c>
      <c r="O624" s="79" t="str">
        <f t="shared" si="28"/>
        <v>230</v>
      </c>
      <c r="P624" s="79" t="str">
        <f>IFERROR(VLOOKUP($M624,Export!$P:$R,2,FALSE),"-")</f>
        <v>Parts</v>
      </c>
      <c r="Q624" s="79" t="str">
        <f>IFERROR(VLOOKUP($M624,Export!$P:$R,3,FALSE),"-")</f>
        <v>PartsIncentive</v>
      </c>
      <c r="R624" s="80" t="str" cm="1">
        <f t="array" ref="R624">_xlfn.IFS(P624="Service", _xlfn.IFS(I624="SALES","GP",I624="SERVICE SALES","GP",I624="PARTS SALES","GP",I624="SERVICE COS","GP",I624="PARTS COS","GP",I624="SELLING EXPENSES","Selling Expenses",I624="EMPLOYMENT EXPENSES","Selling Expenses",I624="EMPLOYMENT EXPENSES","Selling Expenses",I624="DIRECT EXPENSES","Selling Expenses",I624="INDIRECT EXPENSES","Selling Expenses"),P624="Parts",_xlfn.IFS(I624="SALES","GP",I624="SERVICE SALES","GP",I624="PARTS SALES","GP",I624="SERVICE COS","GP",I624="PARTS COS","GP",I624="SELLING EXPENSES","Selling Expenses",I624="EMPLOYMENT EXPENSES","Selling Expenses",I624="EMPLOYMENT EXPENSES","Selling Expenses",I624="DIRECT EXPENSES","Selling Expenses",I624="INDIRECT EXPENSES","Selling Expenses"))</f>
        <v>GP</v>
      </c>
    </row>
    <row r="625" spans="1:18" x14ac:dyDescent="0.2">
      <c r="A625" s="75">
        <v>3160</v>
      </c>
      <c r="B625" s="76" t="s">
        <v>731</v>
      </c>
      <c r="C625" s="76">
        <v>330</v>
      </c>
      <c r="D625" s="76" t="s">
        <v>457</v>
      </c>
      <c r="E625" s="76" t="s">
        <v>426</v>
      </c>
      <c r="F625" s="77">
        <v>0</v>
      </c>
      <c r="G625" s="77">
        <v>0</v>
      </c>
      <c r="H625" s="77">
        <v>0</v>
      </c>
      <c r="I625" s="76" t="s">
        <v>732</v>
      </c>
      <c r="J625" s="77">
        <v>0</v>
      </c>
      <c r="K625" s="78">
        <v>-32.04</v>
      </c>
      <c r="M625" s="79" t="str">
        <f t="shared" si="29"/>
        <v>330-3160</v>
      </c>
      <c r="N625" s="79" t="str">
        <f t="shared" si="27"/>
        <v/>
      </c>
      <c r="O625" s="79" t="str">
        <f t="shared" si="28"/>
        <v>330</v>
      </c>
      <c r="P625" s="79" t="str">
        <f>IFERROR(VLOOKUP($M625,Export!$P:$R,2,FALSE),"-")</f>
        <v>Parts</v>
      </c>
      <c r="Q625" s="79" t="str">
        <f>IFERROR(VLOOKUP($M625,Export!$P:$R,3,FALSE),"-")</f>
        <v>PartsIncentive</v>
      </c>
      <c r="R625" s="80" t="str" cm="1">
        <f t="array" ref="R625">_xlfn.IFS(P625="Service", _xlfn.IFS(I625="SALES","GP",I625="SERVICE SALES","GP",I625="PARTS SALES","GP",I625="SERVICE COS","GP",I625="PARTS COS","GP",I625="SELLING EXPENSES","Selling Expenses",I625="EMPLOYMENT EXPENSES","Selling Expenses",I625="EMPLOYMENT EXPENSES","Selling Expenses",I625="DIRECT EXPENSES","Selling Expenses",I625="INDIRECT EXPENSES","Selling Expenses"),P625="Parts",_xlfn.IFS(I625="SALES","GP",I625="SERVICE SALES","GP",I625="PARTS SALES","GP",I625="SERVICE COS","GP",I625="PARTS COS","GP",I625="SELLING EXPENSES","Selling Expenses",I625="EMPLOYMENT EXPENSES","Selling Expenses",I625="EMPLOYMENT EXPENSES","Selling Expenses",I625="DIRECT EXPENSES","Selling Expenses",I625="INDIRECT EXPENSES","Selling Expenses"))</f>
        <v>GP</v>
      </c>
    </row>
    <row r="626" spans="1:18" x14ac:dyDescent="0.2">
      <c r="A626" s="75">
        <v>3465</v>
      </c>
      <c r="B626" s="76" t="s">
        <v>100</v>
      </c>
      <c r="C626" s="76">
        <v>130</v>
      </c>
      <c r="D626" s="76" t="s">
        <v>432</v>
      </c>
      <c r="E626" s="76" t="s">
        <v>426</v>
      </c>
      <c r="F626" s="77">
        <v>-824822.35</v>
      </c>
      <c r="G626" s="77">
        <v>-77676.14</v>
      </c>
      <c r="H626" s="77">
        <v>-902498.49</v>
      </c>
      <c r="I626" s="76" t="s">
        <v>732</v>
      </c>
      <c r="J626" s="77">
        <v>-91325.91</v>
      </c>
      <c r="K626" s="78">
        <v>-837508.33</v>
      </c>
      <c r="M626" s="79" t="str">
        <f t="shared" si="29"/>
        <v>130-3465</v>
      </c>
      <c r="N626" s="79" t="str">
        <f t="shared" si="27"/>
        <v/>
      </c>
      <c r="O626" s="79" t="str">
        <f t="shared" si="28"/>
        <v>130</v>
      </c>
      <c r="P626" s="79" t="str">
        <f>IFERROR(VLOOKUP($M626,Export!$P:$R,2,FALSE),"-")</f>
        <v>Parts</v>
      </c>
      <c r="Q626" s="79" t="str">
        <f>IFERROR(VLOOKUP($M626,Export!$P:$R,3,FALSE),"-")</f>
        <v>PartsCounter Sales %  Sales</v>
      </c>
      <c r="R626" s="80" t="str" cm="1">
        <f t="array" ref="R626">_xlfn.IFS(P626="Service", _xlfn.IFS(I626="SALES","GP",I626="SERVICE SALES","GP",I626="PARTS SALES","GP",I626="SERVICE COS","GP",I626="PARTS COS","GP",I626="SELLING EXPENSES","Selling Expenses",I626="EMPLOYMENT EXPENSES","Selling Expenses",I626="EMPLOYMENT EXPENSES","Selling Expenses",I626="DIRECT EXPENSES","Selling Expenses",I626="INDIRECT EXPENSES","Selling Expenses"),P626="Parts",_xlfn.IFS(I626="SALES","GP",I626="SERVICE SALES","GP",I626="PARTS SALES","GP",I626="SERVICE COS","GP",I626="PARTS COS","GP",I626="SELLING EXPENSES","Selling Expenses",I626="EMPLOYMENT EXPENSES","Selling Expenses",I626="EMPLOYMENT EXPENSES","Selling Expenses",I626="DIRECT EXPENSES","Selling Expenses",I626="INDIRECT EXPENSES","Selling Expenses"))</f>
        <v>GP</v>
      </c>
    </row>
    <row r="627" spans="1:18" x14ac:dyDescent="0.2">
      <c r="A627" s="75">
        <v>3465</v>
      </c>
      <c r="B627" s="76" t="s">
        <v>100</v>
      </c>
      <c r="C627" s="76">
        <v>230</v>
      </c>
      <c r="D627" s="76" t="s">
        <v>438</v>
      </c>
      <c r="E627" s="76" t="s">
        <v>426</v>
      </c>
      <c r="F627" s="77">
        <v>-1022340.14</v>
      </c>
      <c r="G627" s="77">
        <v>-88536.98</v>
      </c>
      <c r="H627" s="77">
        <v>-1110877.1200000001</v>
      </c>
      <c r="I627" s="76" t="s">
        <v>732</v>
      </c>
      <c r="J627" s="77">
        <v>-97102.55</v>
      </c>
      <c r="K627" s="78">
        <v>-847903.47</v>
      </c>
      <c r="M627" s="79" t="str">
        <f t="shared" si="29"/>
        <v>230-3465</v>
      </c>
      <c r="N627" s="79" t="str">
        <f t="shared" si="27"/>
        <v/>
      </c>
      <c r="O627" s="79" t="str">
        <f t="shared" si="28"/>
        <v>230</v>
      </c>
      <c r="P627" s="79" t="str">
        <f>IFERROR(VLOOKUP($M627,Export!$P:$R,2,FALSE),"-")</f>
        <v>Parts</v>
      </c>
      <c r="Q627" s="79" t="str">
        <f>IFERROR(VLOOKUP($M627,Export!$P:$R,3,FALSE),"-")</f>
        <v>PartsCounter Sales %  Sales</v>
      </c>
      <c r="R627" s="80" t="str" cm="1">
        <f t="array" ref="R627">_xlfn.IFS(P627="Service", _xlfn.IFS(I627="SALES","GP",I627="SERVICE SALES","GP",I627="PARTS SALES","GP",I627="SERVICE COS","GP",I627="PARTS COS","GP",I627="SELLING EXPENSES","Selling Expenses",I627="EMPLOYMENT EXPENSES","Selling Expenses",I627="EMPLOYMENT EXPENSES","Selling Expenses",I627="DIRECT EXPENSES","Selling Expenses",I627="INDIRECT EXPENSES","Selling Expenses"),P627="Parts",_xlfn.IFS(I627="SALES","GP",I627="SERVICE SALES","GP",I627="PARTS SALES","GP",I627="SERVICE COS","GP",I627="PARTS COS","GP",I627="SELLING EXPENSES","Selling Expenses",I627="EMPLOYMENT EXPENSES","Selling Expenses",I627="EMPLOYMENT EXPENSES","Selling Expenses",I627="DIRECT EXPENSES","Selling Expenses",I627="INDIRECT EXPENSES","Selling Expenses"))</f>
        <v>GP</v>
      </c>
    </row>
    <row r="628" spans="1:18" x14ac:dyDescent="0.2">
      <c r="A628" s="75">
        <v>3465</v>
      </c>
      <c r="B628" s="76" t="s">
        <v>100</v>
      </c>
      <c r="C628" s="76">
        <v>330</v>
      </c>
      <c r="D628" s="76" t="s">
        <v>457</v>
      </c>
      <c r="E628" s="76" t="s">
        <v>426</v>
      </c>
      <c r="F628" s="77">
        <v>-386029.64</v>
      </c>
      <c r="G628" s="77">
        <v>-36061.879999999997</v>
      </c>
      <c r="H628" s="77">
        <v>-422091.52000000002</v>
      </c>
      <c r="I628" s="76" t="s">
        <v>732</v>
      </c>
      <c r="J628" s="77">
        <v>-32688.42</v>
      </c>
      <c r="K628" s="78">
        <v>-256454.05</v>
      </c>
      <c r="M628" s="79" t="str">
        <f t="shared" si="29"/>
        <v>330-3465</v>
      </c>
      <c r="N628" s="79" t="str">
        <f t="shared" si="27"/>
        <v/>
      </c>
      <c r="O628" s="79" t="str">
        <f t="shared" si="28"/>
        <v>330</v>
      </c>
      <c r="P628" s="79" t="str">
        <f>IFERROR(VLOOKUP($M628,Export!$P:$R,2,FALSE),"-")</f>
        <v>Parts</v>
      </c>
      <c r="Q628" s="79" t="str">
        <f>IFERROR(VLOOKUP($M628,Export!$P:$R,3,FALSE),"-")</f>
        <v>PartsCounter Sales %  Sales</v>
      </c>
      <c r="R628" s="80" t="str" cm="1">
        <f t="array" ref="R628">_xlfn.IFS(P628="Service", _xlfn.IFS(I628="SALES","GP",I628="SERVICE SALES","GP",I628="PARTS SALES","GP",I628="SERVICE COS","GP",I628="PARTS COS","GP",I628="SELLING EXPENSES","Selling Expenses",I628="EMPLOYMENT EXPENSES","Selling Expenses",I628="EMPLOYMENT EXPENSES","Selling Expenses",I628="DIRECT EXPENSES","Selling Expenses",I628="INDIRECT EXPENSES","Selling Expenses"),P628="Parts",_xlfn.IFS(I628="SALES","GP",I628="SERVICE SALES","GP",I628="PARTS SALES","GP",I628="SERVICE COS","GP",I628="PARTS COS","GP",I628="SELLING EXPENSES","Selling Expenses",I628="EMPLOYMENT EXPENSES","Selling Expenses",I628="EMPLOYMENT EXPENSES","Selling Expenses",I628="DIRECT EXPENSES","Selling Expenses",I628="INDIRECT EXPENSES","Selling Expenses"))</f>
        <v>GP</v>
      </c>
    </row>
    <row r="629" spans="1:18" x14ac:dyDescent="0.2">
      <c r="A629" s="75">
        <v>3465</v>
      </c>
      <c r="B629" s="76" t="s">
        <v>100</v>
      </c>
      <c r="C629" s="76">
        <v>430</v>
      </c>
      <c r="D629" s="76" t="s">
        <v>458</v>
      </c>
      <c r="E629" s="76" t="s">
        <v>426</v>
      </c>
      <c r="F629" s="77">
        <v>-208574.51</v>
      </c>
      <c r="G629" s="77">
        <v>-24161.43</v>
      </c>
      <c r="H629" s="77">
        <v>-232735.94</v>
      </c>
      <c r="I629" s="76" t="s">
        <v>732</v>
      </c>
      <c r="J629" s="77">
        <v>-20322.189999999999</v>
      </c>
      <c r="K629" s="78">
        <v>-178211.31</v>
      </c>
      <c r="M629" s="79" t="str">
        <f t="shared" si="29"/>
        <v>430-3465</v>
      </c>
      <c r="N629" s="79" t="str">
        <f t="shared" si="27"/>
        <v/>
      </c>
      <c r="O629" s="79" t="str">
        <f t="shared" si="28"/>
        <v>430</v>
      </c>
      <c r="P629" s="79" t="str">
        <f>IFERROR(VLOOKUP($M629,Export!$P:$R,2,FALSE),"-")</f>
        <v>Parts</v>
      </c>
      <c r="Q629" s="79" t="str">
        <f>IFERROR(VLOOKUP($M629,Export!$P:$R,3,FALSE),"-")</f>
        <v>PartsCounter Sales %  Sales</v>
      </c>
      <c r="R629" s="80" t="str" cm="1">
        <f t="array" ref="R629">_xlfn.IFS(P629="Service", _xlfn.IFS(I629="SALES","GP",I629="SERVICE SALES","GP",I629="PARTS SALES","GP",I629="SERVICE COS","GP",I629="PARTS COS","GP",I629="SELLING EXPENSES","Selling Expenses",I629="EMPLOYMENT EXPENSES","Selling Expenses",I629="EMPLOYMENT EXPENSES","Selling Expenses",I629="DIRECT EXPENSES","Selling Expenses",I629="INDIRECT EXPENSES","Selling Expenses"),P629="Parts",_xlfn.IFS(I629="SALES","GP",I629="SERVICE SALES","GP",I629="PARTS SALES","GP",I629="SERVICE COS","GP",I629="PARTS COS","GP",I629="SELLING EXPENSES","Selling Expenses",I629="EMPLOYMENT EXPENSES","Selling Expenses",I629="EMPLOYMENT EXPENSES","Selling Expenses",I629="DIRECT EXPENSES","Selling Expenses",I629="INDIRECT EXPENSES","Selling Expenses"))</f>
        <v>GP</v>
      </c>
    </row>
    <row r="630" spans="1:18" x14ac:dyDescent="0.2">
      <c r="A630" s="75">
        <v>3465</v>
      </c>
      <c r="B630" s="76" t="s">
        <v>100</v>
      </c>
      <c r="C630" s="76">
        <v>935</v>
      </c>
      <c r="D630" s="76" t="s">
        <v>442</v>
      </c>
      <c r="E630" s="76" t="s">
        <v>426</v>
      </c>
      <c r="F630" s="77">
        <v>-1106832.3400000001</v>
      </c>
      <c r="G630" s="77">
        <v>-109153.44</v>
      </c>
      <c r="H630" s="77">
        <v>-1215985.78</v>
      </c>
      <c r="I630" s="76" t="s">
        <v>732</v>
      </c>
      <c r="J630" s="77">
        <v>-139492.43</v>
      </c>
      <c r="K630" s="78">
        <v>-1287069.1399999999</v>
      </c>
      <c r="M630" s="79" t="str">
        <f t="shared" si="29"/>
        <v>935-3465</v>
      </c>
      <c r="N630" s="79" t="str">
        <f t="shared" si="27"/>
        <v/>
      </c>
      <c r="O630" s="79" t="str">
        <f t="shared" si="28"/>
        <v>935</v>
      </c>
      <c r="P630" s="79" t="str">
        <f>IFERROR(VLOOKUP($M630,Export!$P:$R,2,FALSE),"-")</f>
        <v>Bridgestone</v>
      </c>
      <c r="Q630" s="79" t="str">
        <f>IFERROR(VLOOKUP($M630,Export!$P:$R,3,FALSE),"-")</f>
        <v>BridgestoneCounter Sales %  Sales</v>
      </c>
      <c r="R630" s="80" t="e" cm="1">
        <f t="array" ref="R630">_xlfn.IFS(P630="Service", _xlfn.IFS(I630="SALES","GP",I630="SERVICE SALES","GP",I630="PARTS SALES","GP",I630="SERVICE COS","GP",I630="PARTS COS","GP",I630="SELLING EXPENSES","Selling Expenses",I630="EMPLOYMENT EXPENSES","Selling Expenses",I630="EMPLOYMENT EXPENSES","Selling Expenses",I630="DIRECT EXPENSES","Selling Expenses",I630="INDIRECT EXPENSES","Selling Expenses"),P630="Parts",_xlfn.IFS(I630="SALES","GP",I630="SERVICE SALES","GP",I630="PARTS SALES","GP",I630="SERVICE COS","GP",I630="PARTS COS","GP",I630="SELLING EXPENSES","Selling Expenses",I630="EMPLOYMENT EXPENSES","Selling Expenses",I630="EMPLOYMENT EXPENSES","Selling Expenses",I630="DIRECT EXPENSES","Selling Expenses",I630="INDIRECT EXPENSES","Selling Expenses"))</f>
        <v>#N/A</v>
      </c>
    </row>
    <row r="631" spans="1:18" x14ac:dyDescent="0.2">
      <c r="A631" s="75">
        <v>3465</v>
      </c>
      <c r="B631" s="76" t="s">
        <v>100</v>
      </c>
      <c r="C631" s="76">
        <v>936</v>
      </c>
      <c r="D631" s="76" t="s">
        <v>443</v>
      </c>
      <c r="E631" s="76" t="s">
        <v>426</v>
      </c>
      <c r="F631" s="77">
        <v>-604482.57999999996</v>
      </c>
      <c r="G631" s="77">
        <v>-63441.88</v>
      </c>
      <c r="H631" s="77">
        <v>-667924.46</v>
      </c>
      <c r="I631" s="76" t="s">
        <v>732</v>
      </c>
      <c r="J631" s="77">
        <v>-70162.600000000006</v>
      </c>
      <c r="K631" s="78">
        <v>-647619.54</v>
      </c>
      <c r="M631" s="79" t="str">
        <f t="shared" si="29"/>
        <v>936-3465</v>
      </c>
      <c r="N631" s="79" t="str">
        <f t="shared" si="27"/>
        <v/>
      </c>
      <c r="O631" s="79" t="str">
        <f t="shared" si="28"/>
        <v>936</v>
      </c>
      <c r="P631" s="79" t="str">
        <f>IFERROR(VLOOKUP($M631,Export!$P:$R,2,FALSE),"-")</f>
        <v>Bridgestone</v>
      </c>
      <c r="Q631" s="79" t="str">
        <f>IFERROR(VLOOKUP($M631,Export!$P:$R,3,FALSE),"-")</f>
        <v>BridgestoneCounter Sales %  Sales</v>
      </c>
      <c r="R631" s="80" t="e" cm="1">
        <f t="array" ref="R631">_xlfn.IFS(P631="Service", _xlfn.IFS(I631="SALES","GP",I631="SERVICE SALES","GP",I631="PARTS SALES","GP",I631="SERVICE COS","GP",I631="PARTS COS","GP",I631="SELLING EXPENSES","Selling Expenses",I631="EMPLOYMENT EXPENSES","Selling Expenses",I631="EMPLOYMENT EXPENSES","Selling Expenses",I631="DIRECT EXPENSES","Selling Expenses",I631="INDIRECT EXPENSES","Selling Expenses"),P631="Parts",_xlfn.IFS(I631="SALES","GP",I631="SERVICE SALES","GP",I631="PARTS SALES","GP",I631="SERVICE COS","GP",I631="PARTS COS","GP",I631="SELLING EXPENSES","Selling Expenses",I631="EMPLOYMENT EXPENSES","Selling Expenses",I631="EMPLOYMENT EXPENSES","Selling Expenses",I631="DIRECT EXPENSES","Selling Expenses",I631="INDIRECT EXPENSES","Selling Expenses"))</f>
        <v>#N/A</v>
      </c>
    </row>
    <row r="632" spans="1:18" x14ac:dyDescent="0.2">
      <c r="A632" s="75">
        <v>3466</v>
      </c>
      <c r="B632" s="76" t="s">
        <v>101</v>
      </c>
      <c r="C632" s="76">
        <v>130</v>
      </c>
      <c r="D632" s="76" t="s">
        <v>432</v>
      </c>
      <c r="E632" s="76" t="s">
        <v>426</v>
      </c>
      <c r="F632" s="77">
        <v>-2880477.03</v>
      </c>
      <c r="G632" s="77">
        <v>-272299.45</v>
      </c>
      <c r="H632" s="77">
        <v>-3152776.48</v>
      </c>
      <c r="I632" s="76" t="s">
        <v>732</v>
      </c>
      <c r="J632" s="77">
        <v>-263518.7</v>
      </c>
      <c r="K632" s="78">
        <v>-2568412.34</v>
      </c>
      <c r="M632" s="79" t="str">
        <f t="shared" si="29"/>
        <v>130-3466</v>
      </c>
      <c r="N632" s="79" t="str">
        <f t="shared" si="27"/>
        <v/>
      </c>
      <c r="O632" s="79" t="str">
        <f t="shared" si="28"/>
        <v>130</v>
      </c>
      <c r="P632" s="79" t="str">
        <f>IFERROR(VLOOKUP($M632,Export!$P:$R,2,FALSE),"-")</f>
        <v>Parts</v>
      </c>
      <c r="Q632" s="79" t="str">
        <f>IFERROR(VLOOKUP($M632,Export!$P:$R,3,FALSE),"-")</f>
        <v>PartsTrade Sales %  Sales</v>
      </c>
      <c r="R632" s="80" t="str" cm="1">
        <f t="array" ref="R632">_xlfn.IFS(P632="Service", _xlfn.IFS(I632="SALES","GP",I632="SERVICE SALES","GP",I632="PARTS SALES","GP",I632="SERVICE COS","GP",I632="PARTS COS","GP",I632="SELLING EXPENSES","Selling Expenses",I632="EMPLOYMENT EXPENSES","Selling Expenses",I632="EMPLOYMENT EXPENSES","Selling Expenses",I632="DIRECT EXPENSES","Selling Expenses",I632="INDIRECT EXPENSES","Selling Expenses"),P632="Parts",_xlfn.IFS(I632="SALES","GP",I632="SERVICE SALES","GP",I632="PARTS SALES","GP",I632="SERVICE COS","GP",I632="PARTS COS","GP",I632="SELLING EXPENSES","Selling Expenses",I632="EMPLOYMENT EXPENSES","Selling Expenses",I632="EMPLOYMENT EXPENSES","Selling Expenses",I632="DIRECT EXPENSES","Selling Expenses",I632="INDIRECT EXPENSES","Selling Expenses"))</f>
        <v>GP</v>
      </c>
    </row>
    <row r="633" spans="1:18" x14ac:dyDescent="0.2">
      <c r="A633" s="75">
        <v>3466</v>
      </c>
      <c r="B633" s="76" t="s">
        <v>101</v>
      </c>
      <c r="C633" s="76">
        <v>230</v>
      </c>
      <c r="D633" s="76" t="s">
        <v>438</v>
      </c>
      <c r="E633" s="76" t="s">
        <v>426</v>
      </c>
      <c r="F633" s="77">
        <v>-1177089.93</v>
      </c>
      <c r="G633" s="77">
        <v>-85693.27</v>
      </c>
      <c r="H633" s="77">
        <v>-1262783.2</v>
      </c>
      <c r="I633" s="76" t="s">
        <v>732</v>
      </c>
      <c r="J633" s="77">
        <v>-147055.19</v>
      </c>
      <c r="K633" s="78">
        <v>-1334182.73</v>
      </c>
      <c r="M633" s="79" t="str">
        <f t="shared" si="29"/>
        <v>230-3466</v>
      </c>
      <c r="N633" s="79" t="str">
        <f t="shared" si="27"/>
        <v/>
      </c>
      <c r="O633" s="79" t="str">
        <f t="shared" si="28"/>
        <v>230</v>
      </c>
      <c r="P633" s="79" t="str">
        <f>IFERROR(VLOOKUP($M633,Export!$P:$R,2,FALSE),"-")</f>
        <v>Parts</v>
      </c>
      <c r="Q633" s="79" t="str">
        <f>IFERROR(VLOOKUP($M633,Export!$P:$R,3,FALSE),"-")</f>
        <v>PartsTrade Sales %  Sales</v>
      </c>
      <c r="R633" s="80" t="str" cm="1">
        <f t="array" ref="R633">_xlfn.IFS(P633="Service", _xlfn.IFS(I633="SALES","GP",I633="SERVICE SALES","GP",I633="PARTS SALES","GP",I633="SERVICE COS","GP",I633="PARTS COS","GP",I633="SELLING EXPENSES","Selling Expenses",I633="EMPLOYMENT EXPENSES","Selling Expenses",I633="EMPLOYMENT EXPENSES","Selling Expenses",I633="DIRECT EXPENSES","Selling Expenses",I633="INDIRECT EXPENSES","Selling Expenses"),P633="Parts",_xlfn.IFS(I633="SALES","GP",I633="SERVICE SALES","GP",I633="PARTS SALES","GP",I633="SERVICE COS","GP",I633="PARTS COS","GP",I633="SELLING EXPENSES","Selling Expenses",I633="EMPLOYMENT EXPENSES","Selling Expenses",I633="EMPLOYMENT EXPENSES","Selling Expenses",I633="DIRECT EXPENSES","Selling Expenses",I633="INDIRECT EXPENSES","Selling Expenses"))</f>
        <v>GP</v>
      </c>
    </row>
    <row r="634" spans="1:18" x14ac:dyDescent="0.2">
      <c r="A634" s="75">
        <v>3466</v>
      </c>
      <c r="B634" s="76" t="s">
        <v>101</v>
      </c>
      <c r="C634" s="76">
        <v>330</v>
      </c>
      <c r="D634" s="76" t="s">
        <v>457</v>
      </c>
      <c r="E634" s="76" t="s">
        <v>426</v>
      </c>
      <c r="F634" s="77">
        <v>-374867.58</v>
      </c>
      <c r="G634" s="77">
        <v>-41698.29</v>
      </c>
      <c r="H634" s="77">
        <v>-416565.87</v>
      </c>
      <c r="I634" s="76" t="s">
        <v>732</v>
      </c>
      <c r="J634" s="77">
        <v>-44045.55</v>
      </c>
      <c r="K634" s="78">
        <v>-392427.36</v>
      </c>
      <c r="M634" s="79" t="str">
        <f t="shared" si="29"/>
        <v>330-3466</v>
      </c>
      <c r="N634" s="79" t="str">
        <f t="shared" si="27"/>
        <v/>
      </c>
      <c r="O634" s="79" t="str">
        <f t="shared" si="28"/>
        <v>330</v>
      </c>
      <c r="P634" s="79" t="str">
        <f>IFERROR(VLOOKUP($M634,Export!$P:$R,2,FALSE),"-")</f>
        <v>Parts</v>
      </c>
      <c r="Q634" s="79" t="str">
        <f>IFERROR(VLOOKUP($M634,Export!$P:$R,3,FALSE),"-")</f>
        <v>PartsTrade Sales %  Sales</v>
      </c>
      <c r="R634" s="80" t="str" cm="1">
        <f t="array" ref="R634">_xlfn.IFS(P634="Service", _xlfn.IFS(I634="SALES","GP",I634="SERVICE SALES","GP",I634="PARTS SALES","GP",I634="SERVICE COS","GP",I634="PARTS COS","GP",I634="SELLING EXPENSES","Selling Expenses",I634="EMPLOYMENT EXPENSES","Selling Expenses",I634="EMPLOYMENT EXPENSES","Selling Expenses",I634="DIRECT EXPENSES","Selling Expenses",I634="INDIRECT EXPENSES","Selling Expenses"),P634="Parts",_xlfn.IFS(I634="SALES","GP",I634="SERVICE SALES","GP",I634="PARTS SALES","GP",I634="SERVICE COS","GP",I634="PARTS COS","GP",I634="SELLING EXPENSES","Selling Expenses",I634="EMPLOYMENT EXPENSES","Selling Expenses",I634="EMPLOYMENT EXPENSES","Selling Expenses",I634="DIRECT EXPENSES","Selling Expenses",I634="INDIRECT EXPENSES","Selling Expenses"))</f>
        <v>GP</v>
      </c>
    </row>
    <row r="635" spans="1:18" x14ac:dyDescent="0.2">
      <c r="A635" s="75">
        <v>3466</v>
      </c>
      <c r="B635" s="76" t="s">
        <v>101</v>
      </c>
      <c r="C635" s="76">
        <v>430</v>
      </c>
      <c r="D635" s="76" t="s">
        <v>458</v>
      </c>
      <c r="E635" s="76" t="s">
        <v>426</v>
      </c>
      <c r="F635" s="77">
        <v>-19694.59</v>
      </c>
      <c r="G635" s="77">
        <v>-5108.05</v>
      </c>
      <c r="H635" s="77">
        <v>-24802.639999999999</v>
      </c>
      <c r="I635" s="76" t="s">
        <v>732</v>
      </c>
      <c r="J635" s="77">
        <v>-556.74</v>
      </c>
      <c r="K635" s="78">
        <v>-5139.91</v>
      </c>
      <c r="M635" s="79" t="str">
        <f t="shared" si="29"/>
        <v>430-3466</v>
      </c>
      <c r="N635" s="79" t="str">
        <f t="shared" si="27"/>
        <v/>
      </c>
      <c r="O635" s="79" t="str">
        <f t="shared" si="28"/>
        <v>430</v>
      </c>
      <c r="P635" s="79" t="str">
        <f>IFERROR(VLOOKUP($M635,Export!$P:$R,2,FALSE),"-")</f>
        <v>Parts</v>
      </c>
      <c r="Q635" s="79" t="str">
        <f>IFERROR(VLOOKUP($M635,Export!$P:$R,3,FALSE),"-")</f>
        <v>PartsTrade Sales %  Sales</v>
      </c>
      <c r="R635" s="80" t="str" cm="1">
        <f t="array" ref="R635">_xlfn.IFS(P635="Service", _xlfn.IFS(I635="SALES","GP",I635="SERVICE SALES","GP",I635="PARTS SALES","GP",I635="SERVICE COS","GP",I635="PARTS COS","GP",I635="SELLING EXPENSES","Selling Expenses",I635="EMPLOYMENT EXPENSES","Selling Expenses",I635="EMPLOYMENT EXPENSES","Selling Expenses",I635="DIRECT EXPENSES","Selling Expenses",I635="INDIRECT EXPENSES","Selling Expenses"),P635="Parts",_xlfn.IFS(I635="SALES","GP",I635="SERVICE SALES","GP",I635="PARTS SALES","GP",I635="SERVICE COS","GP",I635="PARTS COS","GP",I635="SELLING EXPENSES","Selling Expenses",I635="EMPLOYMENT EXPENSES","Selling Expenses",I635="EMPLOYMENT EXPENSES","Selling Expenses",I635="DIRECT EXPENSES","Selling Expenses",I635="INDIRECT EXPENSES","Selling Expenses"))</f>
        <v>GP</v>
      </c>
    </row>
    <row r="636" spans="1:18" x14ac:dyDescent="0.2">
      <c r="A636" s="75">
        <v>3466</v>
      </c>
      <c r="B636" s="76" t="s">
        <v>101</v>
      </c>
      <c r="C636" s="76">
        <v>935</v>
      </c>
      <c r="D636" s="76" t="s">
        <v>442</v>
      </c>
      <c r="E636" s="76" t="s">
        <v>426</v>
      </c>
      <c r="F636" s="77">
        <v>-61040.92</v>
      </c>
      <c r="G636" s="77">
        <v>-4970</v>
      </c>
      <c r="H636" s="77">
        <v>-66010.92</v>
      </c>
      <c r="I636" s="76" t="s">
        <v>732</v>
      </c>
      <c r="J636" s="77">
        <v>0</v>
      </c>
      <c r="K636" s="78">
        <v>-17952.740000000002</v>
      </c>
      <c r="M636" s="79" t="str">
        <f t="shared" si="29"/>
        <v>935-3466</v>
      </c>
      <c r="N636" s="79" t="str">
        <f t="shared" si="27"/>
        <v/>
      </c>
      <c r="O636" s="79" t="str">
        <f t="shared" si="28"/>
        <v>935</v>
      </c>
      <c r="P636" s="79" t="str">
        <f>IFERROR(VLOOKUP($M636,Export!$P:$R,2,FALSE),"-")</f>
        <v>Bridgestone</v>
      </c>
      <c r="Q636" s="79" t="str">
        <f>IFERROR(VLOOKUP($M636,Export!$P:$R,3,FALSE),"-")</f>
        <v>BridgestoneTrade Sales %  Sales</v>
      </c>
      <c r="R636" s="80" t="e" cm="1">
        <f t="array" ref="R636">_xlfn.IFS(P636="Service", _xlfn.IFS(I636="SALES","GP",I636="SERVICE SALES","GP",I636="PARTS SALES","GP",I636="SERVICE COS","GP",I636="PARTS COS","GP",I636="SELLING EXPENSES","Selling Expenses",I636="EMPLOYMENT EXPENSES","Selling Expenses",I636="EMPLOYMENT EXPENSES","Selling Expenses",I636="DIRECT EXPENSES","Selling Expenses",I636="INDIRECT EXPENSES","Selling Expenses"),P636="Parts",_xlfn.IFS(I636="SALES","GP",I636="SERVICE SALES","GP",I636="PARTS SALES","GP",I636="SERVICE COS","GP",I636="PARTS COS","GP",I636="SELLING EXPENSES","Selling Expenses",I636="EMPLOYMENT EXPENSES","Selling Expenses",I636="EMPLOYMENT EXPENSES","Selling Expenses",I636="DIRECT EXPENSES","Selling Expenses",I636="INDIRECT EXPENSES","Selling Expenses"))</f>
        <v>#N/A</v>
      </c>
    </row>
    <row r="637" spans="1:18" x14ac:dyDescent="0.2">
      <c r="A637" s="75">
        <v>3466</v>
      </c>
      <c r="B637" s="76" t="s">
        <v>101</v>
      </c>
      <c r="C637" s="76">
        <v>936</v>
      </c>
      <c r="D637" s="76" t="s">
        <v>443</v>
      </c>
      <c r="E637" s="76" t="s">
        <v>426</v>
      </c>
      <c r="F637" s="77">
        <v>-33824.160000000003</v>
      </c>
      <c r="G637" s="77">
        <v>-8119.12</v>
      </c>
      <c r="H637" s="77">
        <v>-41943.28</v>
      </c>
      <c r="I637" s="76" t="s">
        <v>732</v>
      </c>
      <c r="J637" s="77">
        <v>0</v>
      </c>
      <c r="K637" s="78">
        <v>-11769.73</v>
      </c>
      <c r="M637" s="79" t="str">
        <f t="shared" si="29"/>
        <v>936-3466</v>
      </c>
      <c r="N637" s="79" t="str">
        <f t="shared" si="27"/>
        <v/>
      </c>
      <c r="O637" s="79" t="str">
        <f t="shared" si="28"/>
        <v>936</v>
      </c>
      <c r="P637" s="79" t="str">
        <f>IFERROR(VLOOKUP($M637,Export!$P:$R,2,FALSE),"-")</f>
        <v>Bridgestone</v>
      </c>
      <c r="Q637" s="79" t="str">
        <f>IFERROR(VLOOKUP($M637,Export!$P:$R,3,FALSE),"-")</f>
        <v>BridgestoneTrade Sales %  Sales</v>
      </c>
      <c r="R637" s="80" t="e" cm="1">
        <f t="array" ref="R637">_xlfn.IFS(P637="Service", _xlfn.IFS(I637="SALES","GP",I637="SERVICE SALES","GP",I637="PARTS SALES","GP",I637="SERVICE COS","GP",I637="PARTS COS","GP",I637="SELLING EXPENSES","Selling Expenses",I637="EMPLOYMENT EXPENSES","Selling Expenses",I637="EMPLOYMENT EXPENSES","Selling Expenses",I637="DIRECT EXPENSES","Selling Expenses",I637="INDIRECT EXPENSES","Selling Expenses"),P637="Parts",_xlfn.IFS(I637="SALES","GP",I637="SERVICE SALES","GP",I637="PARTS SALES","GP",I637="SERVICE COS","GP",I637="PARTS COS","GP",I637="SELLING EXPENSES","Selling Expenses",I637="EMPLOYMENT EXPENSES","Selling Expenses",I637="EMPLOYMENT EXPENSES","Selling Expenses",I637="DIRECT EXPENSES","Selling Expenses",I637="INDIRECT EXPENSES","Selling Expenses"))</f>
        <v>#N/A</v>
      </c>
    </row>
    <row r="638" spans="1:18" x14ac:dyDescent="0.2">
      <c r="A638" s="75">
        <v>3467</v>
      </c>
      <c r="B638" s="76" t="s">
        <v>733</v>
      </c>
      <c r="C638" s="76">
        <v>130</v>
      </c>
      <c r="D638" s="76" t="s">
        <v>432</v>
      </c>
      <c r="E638" s="76" t="s">
        <v>426</v>
      </c>
      <c r="F638" s="77">
        <v>-638083.19999999995</v>
      </c>
      <c r="G638" s="77">
        <v>-50054.11</v>
      </c>
      <c r="H638" s="77">
        <v>-688137.31</v>
      </c>
      <c r="I638" s="76" t="s">
        <v>732</v>
      </c>
      <c r="J638" s="77">
        <v>-82623.539999999994</v>
      </c>
      <c r="K638" s="78">
        <v>-793743.76</v>
      </c>
      <c r="M638" s="79" t="str">
        <f t="shared" si="29"/>
        <v>130-3467</v>
      </c>
      <c r="N638" s="79" t="str">
        <f t="shared" si="27"/>
        <v/>
      </c>
      <c r="O638" s="79" t="str">
        <f t="shared" si="28"/>
        <v>130</v>
      </c>
      <c r="P638" s="79" t="str">
        <f>IFERROR(VLOOKUP($M638,Export!$P:$R,2,FALSE),"-")</f>
        <v>Parts</v>
      </c>
      <c r="Q638" s="79" t="str">
        <f>IFERROR(VLOOKUP($M638,Export!$P:$R,3,FALSE),"-")</f>
        <v>PartsTrade Sales %  Sales</v>
      </c>
      <c r="R638" s="80" t="str" cm="1">
        <f t="array" ref="R638">_xlfn.IFS(P638="Service", _xlfn.IFS(I638="SALES","GP",I638="SERVICE SALES","GP",I638="PARTS SALES","GP",I638="SERVICE COS","GP",I638="PARTS COS","GP",I638="SELLING EXPENSES","Selling Expenses",I638="EMPLOYMENT EXPENSES","Selling Expenses",I638="EMPLOYMENT EXPENSES","Selling Expenses",I638="DIRECT EXPENSES","Selling Expenses",I638="INDIRECT EXPENSES","Selling Expenses"),P638="Parts",_xlfn.IFS(I638="SALES","GP",I638="SERVICE SALES","GP",I638="PARTS SALES","GP",I638="SERVICE COS","GP",I638="PARTS COS","GP",I638="SELLING EXPENSES","Selling Expenses",I638="EMPLOYMENT EXPENSES","Selling Expenses",I638="EMPLOYMENT EXPENSES","Selling Expenses",I638="DIRECT EXPENSES","Selling Expenses",I638="INDIRECT EXPENSES","Selling Expenses"))</f>
        <v>GP</v>
      </c>
    </row>
    <row r="639" spans="1:18" x14ac:dyDescent="0.2">
      <c r="A639" s="75">
        <v>3467</v>
      </c>
      <c r="B639" s="76" t="s">
        <v>733</v>
      </c>
      <c r="C639" s="76">
        <v>230</v>
      </c>
      <c r="D639" s="76" t="s">
        <v>438</v>
      </c>
      <c r="E639" s="76" t="s">
        <v>426</v>
      </c>
      <c r="F639" s="77">
        <v>-26506.26</v>
      </c>
      <c r="G639" s="77">
        <v>-407.44</v>
      </c>
      <c r="H639" s="77">
        <v>-26913.7</v>
      </c>
      <c r="I639" s="76" t="s">
        <v>732</v>
      </c>
      <c r="J639" s="77">
        <v>-1923.64</v>
      </c>
      <c r="K639" s="78">
        <v>-18311.13</v>
      </c>
      <c r="M639" s="79" t="str">
        <f t="shared" si="29"/>
        <v>230-3467</v>
      </c>
      <c r="N639" s="79" t="str">
        <f t="shared" si="27"/>
        <v/>
      </c>
      <c r="O639" s="79" t="str">
        <f t="shared" si="28"/>
        <v>230</v>
      </c>
      <c r="P639" s="79" t="str">
        <f>IFERROR(VLOOKUP($M639,Export!$P:$R,2,FALSE),"-")</f>
        <v>Parts</v>
      </c>
      <c r="Q639" s="79" t="str">
        <f>IFERROR(VLOOKUP($M639,Export!$P:$R,3,FALSE),"-")</f>
        <v>PartsTrade Sales %  Sales</v>
      </c>
      <c r="R639" s="80" t="str" cm="1">
        <f t="array" ref="R639">_xlfn.IFS(P639="Service", _xlfn.IFS(I639="SALES","GP",I639="SERVICE SALES","GP",I639="PARTS SALES","GP",I639="SERVICE COS","GP",I639="PARTS COS","GP",I639="SELLING EXPENSES","Selling Expenses",I639="EMPLOYMENT EXPENSES","Selling Expenses",I639="EMPLOYMENT EXPENSES","Selling Expenses",I639="DIRECT EXPENSES","Selling Expenses",I639="INDIRECT EXPENSES","Selling Expenses"),P639="Parts",_xlfn.IFS(I639="SALES","GP",I639="SERVICE SALES","GP",I639="PARTS SALES","GP",I639="SERVICE COS","GP",I639="PARTS COS","GP",I639="SELLING EXPENSES","Selling Expenses",I639="EMPLOYMENT EXPENSES","Selling Expenses",I639="EMPLOYMENT EXPENSES","Selling Expenses",I639="DIRECT EXPENSES","Selling Expenses",I639="INDIRECT EXPENSES","Selling Expenses"))</f>
        <v>GP</v>
      </c>
    </row>
    <row r="640" spans="1:18" x14ac:dyDescent="0.2">
      <c r="A640" s="75">
        <v>3467</v>
      </c>
      <c r="B640" s="76" t="s">
        <v>733</v>
      </c>
      <c r="C640" s="76">
        <v>330</v>
      </c>
      <c r="D640" s="76" t="s">
        <v>457</v>
      </c>
      <c r="E640" s="76" t="s">
        <v>426</v>
      </c>
      <c r="F640" s="77">
        <v>-36</v>
      </c>
      <c r="G640" s="77">
        <v>-237.6</v>
      </c>
      <c r="H640" s="77">
        <v>-273.60000000000002</v>
      </c>
      <c r="I640" s="76" t="s">
        <v>732</v>
      </c>
      <c r="J640" s="77">
        <v>-31.36</v>
      </c>
      <c r="K640" s="78">
        <v>-268.70999999999998</v>
      </c>
      <c r="M640" s="79" t="str">
        <f t="shared" si="29"/>
        <v>330-3467</v>
      </c>
      <c r="N640" s="79" t="str">
        <f t="shared" si="27"/>
        <v/>
      </c>
      <c r="O640" s="79" t="str">
        <f t="shared" si="28"/>
        <v>330</v>
      </c>
      <c r="P640" s="79" t="str">
        <f>IFERROR(VLOOKUP($M640,Export!$P:$R,2,FALSE),"-")</f>
        <v>Parts</v>
      </c>
      <c r="Q640" s="79" t="str">
        <f>IFERROR(VLOOKUP($M640,Export!$P:$R,3,FALSE),"-")</f>
        <v>PartsTrade Sales %  Sales</v>
      </c>
      <c r="R640" s="80" t="str" cm="1">
        <f t="array" ref="R640">_xlfn.IFS(P640="Service", _xlfn.IFS(I640="SALES","GP",I640="SERVICE SALES","GP",I640="PARTS SALES","GP",I640="SERVICE COS","GP",I640="PARTS COS","GP",I640="SELLING EXPENSES","Selling Expenses",I640="EMPLOYMENT EXPENSES","Selling Expenses",I640="EMPLOYMENT EXPENSES","Selling Expenses",I640="DIRECT EXPENSES","Selling Expenses",I640="INDIRECT EXPENSES","Selling Expenses"),P640="Parts",_xlfn.IFS(I640="SALES","GP",I640="SERVICE SALES","GP",I640="PARTS SALES","GP",I640="SERVICE COS","GP",I640="PARTS COS","GP",I640="SELLING EXPENSES","Selling Expenses",I640="EMPLOYMENT EXPENSES","Selling Expenses",I640="EMPLOYMENT EXPENSES","Selling Expenses",I640="DIRECT EXPENSES","Selling Expenses",I640="INDIRECT EXPENSES","Selling Expenses"))</f>
        <v>GP</v>
      </c>
    </row>
    <row r="641" spans="1:18" x14ac:dyDescent="0.2">
      <c r="A641" s="75">
        <v>3467</v>
      </c>
      <c r="B641" s="76" t="s">
        <v>733</v>
      </c>
      <c r="C641" s="76">
        <v>430</v>
      </c>
      <c r="D641" s="76" t="s">
        <v>458</v>
      </c>
      <c r="E641" s="76" t="s">
        <v>426</v>
      </c>
      <c r="F641" s="77">
        <v>-260.86</v>
      </c>
      <c r="G641" s="77">
        <v>-170</v>
      </c>
      <c r="H641" s="77">
        <v>-430.86</v>
      </c>
      <c r="I641" s="76" t="s">
        <v>732</v>
      </c>
      <c r="J641" s="77">
        <v>-20.36</v>
      </c>
      <c r="K641" s="78">
        <v>-119.15</v>
      </c>
      <c r="M641" s="79" t="str">
        <f t="shared" si="29"/>
        <v>430-3467</v>
      </c>
      <c r="N641" s="79" t="str">
        <f t="shared" si="27"/>
        <v/>
      </c>
      <c r="O641" s="79" t="str">
        <f t="shared" si="28"/>
        <v>430</v>
      </c>
      <c r="P641" s="79" t="str">
        <f>IFERROR(VLOOKUP($M641,Export!$P:$R,2,FALSE),"-")</f>
        <v>Parts</v>
      </c>
      <c r="Q641" s="79" t="str">
        <f>IFERROR(VLOOKUP($M641,Export!$P:$R,3,FALSE),"-")</f>
        <v>PartsTrade Sales %  Sales</v>
      </c>
      <c r="R641" s="80" t="str" cm="1">
        <f t="array" ref="R641">_xlfn.IFS(P641="Service", _xlfn.IFS(I641="SALES","GP",I641="SERVICE SALES","GP",I641="PARTS SALES","GP",I641="SERVICE COS","GP",I641="PARTS COS","GP",I641="SELLING EXPENSES","Selling Expenses",I641="EMPLOYMENT EXPENSES","Selling Expenses",I641="EMPLOYMENT EXPENSES","Selling Expenses",I641="DIRECT EXPENSES","Selling Expenses",I641="INDIRECT EXPENSES","Selling Expenses"),P641="Parts",_xlfn.IFS(I641="SALES","GP",I641="SERVICE SALES","GP",I641="PARTS SALES","GP",I641="SERVICE COS","GP",I641="PARTS COS","GP",I641="SELLING EXPENSES","Selling Expenses",I641="EMPLOYMENT EXPENSES","Selling Expenses",I641="EMPLOYMENT EXPENSES","Selling Expenses",I641="DIRECT EXPENSES","Selling Expenses",I641="INDIRECT EXPENSES","Selling Expenses"))</f>
        <v>GP</v>
      </c>
    </row>
    <row r="642" spans="1:18" x14ac:dyDescent="0.2">
      <c r="A642" s="75">
        <v>3467</v>
      </c>
      <c r="B642" s="76" t="s">
        <v>733</v>
      </c>
      <c r="C642" s="76">
        <v>935</v>
      </c>
      <c r="D642" s="76" t="s">
        <v>442</v>
      </c>
      <c r="E642" s="76" t="s">
        <v>426</v>
      </c>
      <c r="F642" s="77">
        <v>-94767.69</v>
      </c>
      <c r="G642" s="77">
        <v>-10441.120000000001</v>
      </c>
      <c r="H642" s="77">
        <v>-105208.81</v>
      </c>
      <c r="I642" s="76" t="s">
        <v>732</v>
      </c>
      <c r="J642" s="77">
        <v>-14921.12</v>
      </c>
      <c r="K642" s="78">
        <v>-141490.56</v>
      </c>
      <c r="M642" s="79" t="str">
        <f t="shared" si="29"/>
        <v>935-3467</v>
      </c>
      <c r="N642" s="79" t="str">
        <f t="shared" ref="N642:N705" si="30">+IF(RIGHT(A642,1)="#","#","")</f>
        <v/>
      </c>
      <c r="O642" s="79" t="str">
        <f t="shared" ref="O642:O705" si="31">+C642&amp;N642</f>
        <v>935</v>
      </c>
      <c r="P642" s="79" t="str">
        <f>IFERROR(VLOOKUP($M642,Export!$P:$R,2,FALSE),"-")</f>
        <v>Bridgestone</v>
      </c>
      <c r="Q642" s="79" t="str">
        <f>IFERROR(VLOOKUP($M642,Export!$P:$R,3,FALSE),"-")</f>
        <v>BridgestoneTrade Sales %  Sales</v>
      </c>
      <c r="R642" s="80" t="e" cm="1">
        <f t="array" ref="R642">_xlfn.IFS(P642="Service", _xlfn.IFS(I642="SALES","GP",I642="SERVICE SALES","GP",I642="PARTS SALES","GP",I642="SERVICE COS","GP",I642="PARTS COS","GP",I642="SELLING EXPENSES","Selling Expenses",I642="EMPLOYMENT EXPENSES","Selling Expenses",I642="EMPLOYMENT EXPENSES","Selling Expenses",I642="DIRECT EXPENSES","Selling Expenses",I642="INDIRECT EXPENSES","Selling Expenses"),P642="Parts",_xlfn.IFS(I642="SALES","GP",I642="SERVICE SALES","GP",I642="PARTS SALES","GP",I642="SERVICE COS","GP",I642="PARTS COS","GP",I642="SELLING EXPENSES","Selling Expenses",I642="EMPLOYMENT EXPENSES","Selling Expenses",I642="EMPLOYMENT EXPENSES","Selling Expenses",I642="DIRECT EXPENSES","Selling Expenses",I642="INDIRECT EXPENSES","Selling Expenses"))</f>
        <v>#N/A</v>
      </c>
    </row>
    <row r="643" spans="1:18" x14ac:dyDescent="0.2">
      <c r="A643" s="75">
        <v>3467</v>
      </c>
      <c r="B643" s="76" t="s">
        <v>733</v>
      </c>
      <c r="C643" s="76">
        <v>936</v>
      </c>
      <c r="D643" s="76" t="s">
        <v>443</v>
      </c>
      <c r="E643" s="76" t="s">
        <v>426</v>
      </c>
      <c r="F643" s="77">
        <v>-19602.79</v>
      </c>
      <c r="G643" s="77">
        <v>-2707.28</v>
      </c>
      <c r="H643" s="77">
        <v>-22310.07</v>
      </c>
      <c r="I643" s="76" t="s">
        <v>732</v>
      </c>
      <c r="J643" s="77">
        <v>-1056.5999999999999</v>
      </c>
      <c r="K643" s="78">
        <v>-11166.58</v>
      </c>
      <c r="M643" s="79" t="str">
        <f t="shared" ref="M643:M706" si="32">+C643&amp;"-"&amp;A643</f>
        <v>936-3467</v>
      </c>
      <c r="N643" s="79" t="str">
        <f t="shared" si="30"/>
        <v/>
      </c>
      <c r="O643" s="79" t="str">
        <f t="shared" si="31"/>
        <v>936</v>
      </c>
      <c r="P643" s="79" t="str">
        <f>IFERROR(VLOOKUP($M643,Export!$P:$R,2,FALSE),"-")</f>
        <v>Bridgestone</v>
      </c>
      <c r="Q643" s="79" t="str">
        <f>IFERROR(VLOOKUP($M643,Export!$P:$R,3,FALSE),"-")</f>
        <v>BridgestoneTrade Sales %  Sales</v>
      </c>
      <c r="R643" s="80" t="e" cm="1">
        <f t="array" ref="R643">_xlfn.IFS(P643="Service", _xlfn.IFS(I643="SALES","GP",I643="SERVICE SALES","GP",I643="PARTS SALES","GP",I643="SERVICE COS","GP",I643="PARTS COS","GP",I643="SELLING EXPENSES","Selling Expenses",I643="EMPLOYMENT EXPENSES","Selling Expenses",I643="EMPLOYMENT EXPENSES","Selling Expenses",I643="DIRECT EXPENSES","Selling Expenses",I643="INDIRECT EXPENSES","Selling Expenses"),P643="Parts",_xlfn.IFS(I643="SALES","GP",I643="SERVICE SALES","GP",I643="PARTS SALES","GP",I643="SERVICE COS","GP",I643="PARTS COS","GP",I643="SELLING EXPENSES","Selling Expenses",I643="EMPLOYMENT EXPENSES","Selling Expenses",I643="EMPLOYMENT EXPENSES","Selling Expenses",I643="DIRECT EXPENSES","Selling Expenses",I643="INDIRECT EXPENSES","Selling Expenses"))</f>
        <v>#N/A</v>
      </c>
    </row>
    <row r="644" spans="1:18" x14ac:dyDescent="0.2">
      <c r="A644" s="75">
        <v>3468</v>
      </c>
      <c r="B644" s="76" t="s">
        <v>734</v>
      </c>
      <c r="C644" s="76">
        <v>130</v>
      </c>
      <c r="D644" s="76" t="s">
        <v>432</v>
      </c>
      <c r="E644" s="76" t="s">
        <v>426</v>
      </c>
      <c r="F644" s="77">
        <v>-782440.99</v>
      </c>
      <c r="G644" s="77">
        <v>-60582.57</v>
      </c>
      <c r="H644" s="77">
        <v>-843023.56</v>
      </c>
      <c r="I644" s="76" t="s">
        <v>732</v>
      </c>
      <c r="J644" s="77">
        <v>-121860.8</v>
      </c>
      <c r="K644" s="78">
        <v>-1218552.26</v>
      </c>
      <c r="M644" s="79" t="str">
        <f t="shared" si="32"/>
        <v>130-3468</v>
      </c>
      <c r="N644" s="79" t="str">
        <f t="shared" si="30"/>
        <v/>
      </c>
      <c r="O644" s="79" t="str">
        <f t="shared" si="31"/>
        <v>130</v>
      </c>
      <c r="P644" s="79" t="str">
        <f>IFERROR(VLOOKUP($M644,Export!$P:$R,2,FALSE),"-")</f>
        <v>Parts</v>
      </c>
      <c r="Q644" s="79" t="str">
        <f>IFERROR(VLOOKUP($M644,Export!$P:$R,3,FALSE),"-")</f>
        <v>PartsCounter Sales %  Sales</v>
      </c>
      <c r="R644" s="80" t="str" cm="1">
        <f t="array" ref="R644">_xlfn.IFS(P644="Service", _xlfn.IFS(I644="SALES","GP",I644="SERVICE SALES","GP",I644="PARTS SALES","GP",I644="SERVICE COS","GP",I644="PARTS COS","GP",I644="SELLING EXPENSES","Selling Expenses",I644="EMPLOYMENT EXPENSES","Selling Expenses",I644="EMPLOYMENT EXPENSES","Selling Expenses",I644="DIRECT EXPENSES","Selling Expenses",I644="INDIRECT EXPENSES","Selling Expenses"),P644="Parts",_xlfn.IFS(I644="SALES","GP",I644="SERVICE SALES","GP",I644="PARTS SALES","GP",I644="SERVICE COS","GP",I644="PARTS COS","GP",I644="SELLING EXPENSES","Selling Expenses",I644="EMPLOYMENT EXPENSES","Selling Expenses",I644="EMPLOYMENT EXPENSES","Selling Expenses",I644="DIRECT EXPENSES","Selling Expenses",I644="INDIRECT EXPENSES","Selling Expenses"))</f>
        <v>GP</v>
      </c>
    </row>
    <row r="645" spans="1:18" x14ac:dyDescent="0.2">
      <c r="A645" s="75">
        <v>3468</v>
      </c>
      <c r="B645" s="76" t="s">
        <v>734</v>
      </c>
      <c r="C645" s="76">
        <v>230</v>
      </c>
      <c r="D645" s="76" t="s">
        <v>438</v>
      </c>
      <c r="E645" s="76" t="s">
        <v>426</v>
      </c>
      <c r="F645" s="77">
        <v>-321658.03999999998</v>
      </c>
      <c r="G645" s="77">
        <v>-13185.98</v>
      </c>
      <c r="H645" s="77">
        <v>-334844.02</v>
      </c>
      <c r="I645" s="76" t="s">
        <v>732</v>
      </c>
      <c r="J645" s="77">
        <v>-44744.66</v>
      </c>
      <c r="K645" s="78">
        <v>-404782.18</v>
      </c>
      <c r="M645" s="79" t="str">
        <f t="shared" si="32"/>
        <v>230-3468</v>
      </c>
      <c r="N645" s="79" t="str">
        <f t="shared" si="30"/>
        <v/>
      </c>
      <c r="O645" s="79" t="str">
        <f t="shared" si="31"/>
        <v>230</v>
      </c>
      <c r="P645" s="79" t="str">
        <f>IFERROR(VLOOKUP($M645,Export!$P:$R,2,FALSE),"-")</f>
        <v>Parts</v>
      </c>
      <c r="Q645" s="79" t="str">
        <f>IFERROR(VLOOKUP($M645,Export!$P:$R,3,FALSE),"-")</f>
        <v>PartsCounter Sales %  Sales</v>
      </c>
      <c r="R645" s="80" t="str" cm="1">
        <f t="array" ref="R645">_xlfn.IFS(P645="Service", _xlfn.IFS(I645="SALES","GP",I645="SERVICE SALES","GP",I645="PARTS SALES","GP",I645="SERVICE COS","GP",I645="PARTS COS","GP",I645="SELLING EXPENSES","Selling Expenses",I645="EMPLOYMENT EXPENSES","Selling Expenses",I645="EMPLOYMENT EXPENSES","Selling Expenses",I645="DIRECT EXPENSES","Selling Expenses",I645="INDIRECT EXPENSES","Selling Expenses"),P645="Parts",_xlfn.IFS(I645="SALES","GP",I645="SERVICE SALES","GP",I645="PARTS SALES","GP",I645="SERVICE COS","GP",I645="PARTS COS","GP",I645="SELLING EXPENSES","Selling Expenses",I645="EMPLOYMENT EXPENSES","Selling Expenses",I645="EMPLOYMENT EXPENSES","Selling Expenses",I645="DIRECT EXPENSES","Selling Expenses",I645="INDIRECT EXPENSES","Selling Expenses"))</f>
        <v>GP</v>
      </c>
    </row>
    <row r="646" spans="1:18" x14ac:dyDescent="0.2">
      <c r="A646" s="75">
        <v>3468</v>
      </c>
      <c r="B646" s="76" t="s">
        <v>734</v>
      </c>
      <c r="C646" s="76">
        <v>330</v>
      </c>
      <c r="D646" s="76" t="s">
        <v>457</v>
      </c>
      <c r="E646" s="76" t="s">
        <v>426</v>
      </c>
      <c r="F646" s="77">
        <v>-4180.5600000000004</v>
      </c>
      <c r="G646" s="77">
        <v>-879.92</v>
      </c>
      <c r="H646" s="77">
        <v>-5060.4799999999996</v>
      </c>
      <c r="I646" s="76" t="s">
        <v>732</v>
      </c>
      <c r="J646" s="77">
        <v>-1606.49</v>
      </c>
      <c r="K646" s="78">
        <v>-10985.44</v>
      </c>
      <c r="M646" s="79" t="str">
        <f t="shared" si="32"/>
        <v>330-3468</v>
      </c>
      <c r="N646" s="79" t="str">
        <f t="shared" si="30"/>
        <v/>
      </c>
      <c r="O646" s="79" t="str">
        <f t="shared" si="31"/>
        <v>330</v>
      </c>
      <c r="P646" s="79" t="str">
        <f>IFERROR(VLOOKUP($M646,Export!$P:$R,2,FALSE),"-")</f>
        <v>Parts</v>
      </c>
      <c r="Q646" s="79" t="str">
        <f>IFERROR(VLOOKUP($M646,Export!$P:$R,3,FALSE),"-")</f>
        <v>PartsCounter Sales %  Sales</v>
      </c>
      <c r="R646" s="80" t="str" cm="1">
        <f t="array" ref="R646">_xlfn.IFS(P646="Service", _xlfn.IFS(I646="SALES","GP",I646="SERVICE SALES","GP",I646="PARTS SALES","GP",I646="SERVICE COS","GP",I646="PARTS COS","GP",I646="SELLING EXPENSES","Selling Expenses",I646="EMPLOYMENT EXPENSES","Selling Expenses",I646="EMPLOYMENT EXPENSES","Selling Expenses",I646="DIRECT EXPENSES","Selling Expenses",I646="INDIRECT EXPENSES","Selling Expenses"),P646="Parts",_xlfn.IFS(I646="SALES","GP",I646="SERVICE SALES","GP",I646="PARTS SALES","GP",I646="SERVICE COS","GP",I646="PARTS COS","GP",I646="SELLING EXPENSES","Selling Expenses",I646="EMPLOYMENT EXPENSES","Selling Expenses",I646="EMPLOYMENT EXPENSES","Selling Expenses",I646="DIRECT EXPENSES","Selling Expenses",I646="INDIRECT EXPENSES","Selling Expenses"))</f>
        <v>GP</v>
      </c>
    </row>
    <row r="647" spans="1:18" x14ac:dyDescent="0.2">
      <c r="A647" s="75">
        <v>3468</v>
      </c>
      <c r="B647" s="76" t="s">
        <v>734</v>
      </c>
      <c r="C647" s="76">
        <v>430</v>
      </c>
      <c r="D647" s="76" t="s">
        <v>458</v>
      </c>
      <c r="E647" s="76" t="s">
        <v>426</v>
      </c>
      <c r="F647" s="77">
        <v>-5041.95</v>
      </c>
      <c r="G647" s="77">
        <v>-305.88</v>
      </c>
      <c r="H647" s="77">
        <v>-5347.83</v>
      </c>
      <c r="I647" s="76" t="s">
        <v>732</v>
      </c>
      <c r="J647" s="77">
        <v>-724.88</v>
      </c>
      <c r="K647" s="78">
        <v>-5535.11</v>
      </c>
      <c r="M647" s="79" t="str">
        <f t="shared" si="32"/>
        <v>430-3468</v>
      </c>
      <c r="N647" s="79" t="str">
        <f t="shared" si="30"/>
        <v/>
      </c>
      <c r="O647" s="79" t="str">
        <f t="shared" si="31"/>
        <v>430</v>
      </c>
      <c r="P647" s="79" t="str">
        <f>IFERROR(VLOOKUP($M647,Export!$P:$R,2,FALSE),"-")</f>
        <v>Parts</v>
      </c>
      <c r="Q647" s="79" t="str">
        <f>IFERROR(VLOOKUP($M647,Export!$P:$R,3,FALSE),"-")</f>
        <v>PartsCounter Sales %  Sales</v>
      </c>
      <c r="R647" s="80" t="str" cm="1">
        <f t="array" ref="R647">_xlfn.IFS(P647="Service", _xlfn.IFS(I647="SALES","GP",I647="SERVICE SALES","GP",I647="PARTS SALES","GP",I647="SERVICE COS","GP",I647="PARTS COS","GP",I647="SELLING EXPENSES","Selling Expenses",I647="EMPLOYMENT EXPENSES","Selling Expenses",I647="EMPLOYMENT EXPENSES","Selling Expenses",I647="DIRECT EXPENSES","Selling Expenses",I647="INDIRECT EXPENSES","Selling Expenses"),P647="Parts",_xlfn.IFS(I647="SALES","GP",I647="SERVICE SALES","GP",I647="PARTS SALES","GP",I647="SERVICE COS","GP",I647="PARTS COS","GP",I647="SELLING EXPENSES","Selling Expenses",I647="EMPLOYMENT EXPENSES","Selling Expenses",I647="EMPLOYMENT EXPENSES","Selling Expenses",I647="DIRECT EXPENSES","Selling Expenses",I647="INDIRECT EXPENSES","Selling Expenses"))</f>
        <v>GP</v>
      </c>
    </row>
    <row r="648" spans="1:18" x14ac:dyDescent="0.2">
      <c r="A648" s="75">
        <v>3468</v>
      </c>
      <c r="B648" s="76" t="s">
        <v>734</v>
      </c>
      <c r="C648" s="76">
        <v>936</v>
      </c>
      <c r="D648" s="76" t="s">
        <v>443</v>
      </c>
      <c r="E648" s="76" t="s">
        <v>426</v>
      </c>
      <c r="F648" s="77">
        <v>-1497.16</v>
      </c>
      <c r="G648" s="77">
        <v>0</v>
      </c>
      <c r="H648" s="77">
        <v>-1497.16</v>
      </c>
      <c r="I648" s="76" t="s">
        <v>732</v>
      </c>
      <c r="J648" s="77">
        <v>0</v>
      </c>
      <c r="K648" s="78">
        <v>0</v>
      </c>
      <c r="M648" s="79" t="str">
        <f t="shared" si="32"/>
        <v>936-3468</v>
      </c>
      <c r="N648" s="79" t="str">
        <f t="shared" si="30"/>
        <v/>
      </c>
      <c r="O648" s="79" t="str">
        <f t="shared" si="31"/>
        <v>936</v>
      </c>
      <c r="P648" s="79" t="str">
        <f>IFERROR(VLOOKUP($M648,Export!$P:$R,2,FALSE),"-")</f>
        <v>Bridgestone</v>
      </c>
      <c r="Q648" s="79" t="str">
        <f>IFERROR(VLOOKUP($M648,Export!$P:$R,3,FALSE),"-")</f>
        <v>BridgestoneCounter Sales %  Sales</v>
      </c>
      <c r="R648" s="80" t="e" cm="1">
        <f t="array" ref="R648">_xlfn.IFS(P648="Service", _xlfn.IFS(I648="SALES","GP",I648="SERVICE SALES","GP",I648="PARTS SALES","GP",I648="SERVICE COS","GP",I648="PARTS COS","GP",I648="SELLING EXPENSES","Selling Expenses",I648="EMPLOYMENT EXPENSES","Selling Expenses",I648="EMPLOYMENT EXPENSES","Selling Expenses",I648="DIRECT EXPENSES","Selling Expenses",I648="INDIRECT EXPENSES","Selling Expenses"),P648="Parts",_xlfn.IFS(I648="SALES","GP",I648="SERVICE SALES","GP",I648="PARTS SALES","GP",I648="SERVICE COS","GP",I648="PARTS COS","GP",I648="SELLING EXPENSES","Selling Expenses",I648="EMPLOYMENT EXPENSES","Selling Expenses",I648="EMPLOYMENT EXPENSES","Selling Expenses",I648="DIRECT EXPENSES","Selling Expenses",I648="INDIRECT EXPENSES","Selling Expenses"))</f>
        <v>#N/A</v>
      </c>
    </row>
    <row r="649" spans="1:18" x14ac:dyDescent="0.2">
      <c r="A649" s="75">
        <v>3475</v>
      </c>
      <c r="B649" s="76" t="s">
        <v>102</v>
      </c>
      <c r="C649" s="76">
        <v>130</v>
      </c>
      <c r="D649" s="76" t="s">
        <v>432</v>
      </c>
      <c r="E649" s="76" t="s">
        <v>426</v>
      </c>
      <c r="F649" s="77">
        <v>-977124.33</v>
      </c>
      <c r="G649" s="77">
        <v>-104848.68</v>
      </c>
      <c r="H649" s="77">
        <v>-1081973.01</v>
      </c>
      <c r="I649" s="76" t="s">
        <v>732</v>
      </c>
      <c r="J649" s="77">
        <v>-129519.51</v>
      </c>
      <c r="K649" s="78">
        <v>-1287341.99</v>
      </c>
      <c r="M649" s="79" t="str">
        <f t="shared" si="32"/>
        <v>130-3475</v>
      </c>
      <c r="N649" s="79" t="str">
        <f t="shared" si="30"/>
        <v/>
      </c>
      <c r="O649" s="79" t="str">
        <f t="shared" si="31"/>
        <v>130</v>
      </c>
      <c r="P649" s="79" t="str">
        <f>IFERROR(VLOOKUP($M649,Export!$P:$R,2,FALSE),"-")</f>
        <v>Parts</v>
      </c>
      <c r="Q649" s="79" t="str">
        <f>IFERROR(VLOOKUP($M649,Export!$P:$R,3,FALSE),"-")</f>
        <v>PartsWorkshop Retail Sales %  Sales</v>
      </c>
      <c r="R649" s="80" t="str" cm="1">
        <f t="array" ref="R649">_xlfn.IFS(P649="Service", _xlfn.IFS(I649="SALES","GP",I649="SERVICE SALES","GP",I649="PARTS SALES","GP",I649="SERVICE COS","GP",I649="PARTS COS","GP",I649="SELLING EXPENSES","Selling Expenses",I649="EMPLOYMENT EXPENSES","Selling Expenses",I649="EMPLOYMENT EXPENSES","Selling Expenses",I649="DIRECT EXPENSES","Selling Expenses",I649="INDIRECT EXPENSES","Selling Expenses"),P649="Parts",_xlfn.IFS(I649="SALES","GP",I649="SERVICE SALES","GP",I649="PARTS SALES","GP",I649="SERVICE COS","GP",I649="PARTS COS","GP",I649="SELLING EXPENSES","Selling Expenses",I649="EMPLOYMENT EXPENSES","Selling Expenses",I649="EMPLOYMENT EXPENSES","Selling Expenses",I649="DIRECT EXPENSES","Selling Expenses",I649="INDIRECT EXPENSES","Selling Expenses"))</f>
        <v>GP</v>
      </c>
    </row>
    <row r="650" spans="1:18" x14ac:dyDescent="0.2">
      <c r="A650" s="75">
        <v>3475</v>
      </c>
      <c r="B650" s="76" t="s">
        <v>102</v>
      </c>
      <c r="C650" s="76">
        <v>132</v>
      </c>
      <c r="D650" s="76" t="s">
        <v>453</v>
      </c>
      <c r="E650" s="76" t="s">
        <v>426</v>
      </c>
      <c r="F650" s="77">
        <v>-108739.65</v>
      </c>
      <c r="G650" s="77">
        <v>-12748.15</v>
      </c>
      <c r="H650" s="77">
        <v>-121487.8</v>
      </c>
      <c r="I650" s="76" t="s">
        <v>732</v>
      </c>
      <c r="J650" s="77">
        <v>0</v>
      </c>
      <c r="K650" s="78">
        <v>-13050.2</v>
      </c>
      <c r="M650" s="79" t="str">
        <f t="shared" si="32"/>
        <v>132-3475</v>
      </c>
      <c r="N650" s="79" t="str">
        <f t="shared" si="30"/>
        <v/>
      </c>
      <c r="O650" s="79" t="str">
        <f t="shared" si="31"/>
        <v>132</v>
      </c>
      <c r="P650" s="79" t="str">
        <f>IFERROR(VLOOKUP($M650,Export!$P:$R,2,FALSE),"-")</f>
        <v>LEX Parts</v>
      </c>
      <c r="Q650" s="79" t="str">
        <f>IFERROR(VLOOKUP($M650,Export!$P:$R,3,FALSE),"-")</f>
        <v>LEX PartsWorkshop Retail Sales %  Sales</v>
      </c>
      <c r="R650" s="80" t="e" cm="1">
        <f t="array" ref="R650">_xlfn.IFS(P650="Service", _xlfn.IFS(I650="SALES","GP",I650="SERVICE SALES","GP",I650="PARTS SALES","GP",I650="SERVICE COS","GP",I650="PARTS COS","GP",I650="SELLING EXPENSES","Selling Expenses",I650="EMPLOYMENT EXPENSES","Selling Expenses",I650="EMPLOYMENT EXPENSES","Selling Expenses",I650="DIRECT EXPENSES","Selling Expenses",I650="INDIRECT EXPENSES","Selling Expenses"),P650="Parts",_xlfn.IFS(I650="SALES","GP",I650="SERVICE SALES","GP",I650="PARTS SALES","GP",I650="SERVICE COS","GP",I650="PARTS COS","GP",I650="SELLING EXPENSES","Selling Expenses",I650="EMPLOYMENT EXPENSES","Selling Expenses",I650="EMPLOYMENT EXPENSES","Selling Expenses",I650="DIRECT EXPENSES","Selling Expenses",I650="INDIRECT EXPENSES","Selling Expenses"))</f>
        <v>#N/A</v>
      </c>
    </row>
    <row r="651" spans="1:18" x14ac:dyDescent="0.2">
      <c r="A651" s="75">
        <v>3475</v>
      </c>
      <c r="B651" s="76" t="s">
        <v>102</v>
      </c>
      <c r="C651" s="76">
        <v>230</v>
      </c>
      <c r="D651" s="76" t="s">
        <v>438</v>
      </c>
      <c r="E651" s="76" t="s">
        <v>426</v>
      </c>
      <c r="F651" s="77">
        <v>-397566.93</v>
      </c>
      <c r="G651" s="77">
        <v>-32748.09</v>
      </c>
      <c r="H651" s="77">
        <v>-430315.02</v>
      </c>
      <c r="I651" s="76" t="s">
        <v>732</v>
      </c>
      <c r="J651" s="77">
        <v>-45850.48</v>
      </c>
      <c r="K651" s="78">
        <v>-430215.71</v>
      </c>
      <c r="M651" s="79" t="str">
        <f t="shared" si="32"/>
        <v>230-3475</v>
      </c>
      <c r="N651" s="79" t="str">
        <f t="shared" si="30"/>
        <v/>
      </c>
      <c r="O651" s="79" t="str">
        <f t="shared" si="31"/>
        <v>230</v>
      </c>
      <c r="P651" s="79" t="str">
        <f>IFERROR(VLOOKUP($M651,Export!$P:$R,2,FALSE),"-")</f>
        <v>Parts</v>
      </c>
      <c r="Q651" s="79" t="str">
        <f>IFERROR(VLOOKUP($M651,Export!$P:$R,3,FALSE),"-")</f>
        <v>PartsWorkshop Retail Sales %  Sales</v>
      </c>
      <c r="R651" s="80" t="str" cm="1">
        <f t="array" ref="R651">_xlfn.IFS(P651="Service", _xlfn.IFS(I651="SALES","GP",I651="SERVICE SALES","GP",I651="PARTS SALES","GP",I651="SERVICE COS","GP",I651="PARTS COS","GP",I651="SELLING EXPENSES","Selling Expenses",I651="EMPLOYMENT EXPENSES","Selling Expenses",I651="EMPLOYMENT EXPENSES","Selling Expenses",I651="DIRECT EXPENSES","Selling Expenses",I651="INDIRECT EXPENSES","Selling Expenses"),P651="Parts",_xlfn.IFS(I651="SALES","GP",I651="SERVICE SALES","GP",I651="PARTS SALES","GP",I651="SERVICE COS","GP",I651="PARTS COS","GP",I651="SELLING EXPENSES","Selling Expenses",I651="EMPLOYMENT EXPENSES","Selling Expenses",I651="EMPLOYMENT EXPENSES","Selling Expenses",I651="DIRECT EXPENSES","Selling Expenses",I651="INDIRECT EXPENSES","Selling Expenses"))</f>
        <v>GP</v>
      </c>
    </row>
    <row r="652" spans="1:18" x14ac:dyDescent="0.2">
      <c r="A652" s="75">
        <v>3475</v>
      </c>
      <c r="B652" s="76" t="s">
        <v>102</v>
      </c>
      <c r="C652" s="76">
        <v>330</v>
      </c>
      <c r="D652" s="76" t="s">
        <v>457</v>
      </c>
      <c r="E652" s="76" t="s">
        <v>426</v>
      </c>
      <c r="F652" s="77">
        <v>-291927.74</v>
      </c>
      <c r="G652" s="77">
        <v>-35901.67</v>
      </c>
      <c r="H652" s="77">
        <v>-327829.40999999997</v>
      </c>
      <c r="I652" s="76" t="s">
        <v>732</v>
      </c>
      <c r="J652" s="77">
        <v>-33608.9</v>
      </c>
      <c r="K652" s="78">
        <v>-306197.74</v>
      </c>
      <c r="M652" s="79" t="str">
        <f t="shared" si="32"/>
        <v>330-3475</v>
      </c>
      <c r="N652" s="79" t="str">
        <f t="shared" si="30"/>
        <v/>
      </c>
      <c r="O652" s="79" t="str">
        <f t="shared" si="31"/>
        <v>330</v>
      </c>
      <c r="P652" s="79" t="str">
        <f>IFERROR(VLOOKUP($M652,Export!$P:$R,2,FALSE),"-")</f>
        <v>Parts</v>
      </c>
      <c r="Q652" s="79" t="str">
        <f>IFERROR(VLOOKUP($M652,Export!$P:$R,3,FALSE),"-")</f>
        <v>PartsWorkshop Retail Sales %  Sales</v>
      </c>
      <c r="R652" s="80" t="str" cm="1">
        <f t="array" ref="R652">_xlfn.IFS(P652="Service", _xlfn.IFS(I652="SALES","GP",I652="SERVICE SALES","GP",I652="PARTS SALES","GP",I652="SERVICE COS","GP",I652="PARTS COS","GP",I652="SELLING EXPENSES","Selling Expenses",I652="EMPLOYMENT EXPENSES","Selling Expenses",I652="EMPLOYMENT EXPENSES","Selling Expenses",I652="DIRECT EXPENSES","Selling Expenses",I652="INDIRECT EXPENSES","Selling Expenses"),P652="Parts",_xlfn.IFS(I652="SALES","GP",I652="SERVICE SALES","GP",I652="PARTS SALES","GP",I652="SERVICE COS","GP",I652="PARTS COS","GP",I652="SELLING EXPENSES","Selling Expenses",I652="EMPLOYMENT EXPENSES","Selling Expenses",I652="EMPLOYMENT EXPENSES","Selling Expenses",I652="DIRECT EXPENSES","Selling Expenses",I652="INDIRECT EXPENSES","Selling Expenses"))</f>
        <v>GP</v>
      </c>
    </row>
    <row r="653" spans="1:18" x14ac:dyDescent="0.2">
      <c r="A653" s="75">
        <v>3475</v>
      </c>
      <c r="B653" s="76" t="s">
        <v>102</v>
      </c>
      <c r="C653" s="76">
        <v>430</v>
      </c>
      <c r="D653" s="76" t="s">
        <v>458</v>
      </c>
      <c r="E653" s="76" t="s">
        <v>426</v>
      </c>
      <c r="F653" s="77">
        <v>-216678.04</v>
      </c>
      <c r="G653" s="77">
        <v>-20239.47</v>
      </c>
      <c r="H653" s="77">
        <v>-236917.51</v>
      </c>
      <c r="I653" s="76" t="s">
        <v>732</v>
      </c>
      <c r="J653" s="77">
        <v>-14159.24</v>
      </c>
      <c r="K653" s="78">
        <v>-132022.01</v>
      </c>
      <c r="M653" s="79" t="str">
        <f t="shared" si="32"/>
        <v>430-3475</v>
      </c>
      <c r="N653" s="79" t="str">
        <f t="shared" si="30"/>
        <v/>
      </c>
      <c r="O653" s="79" t="str">
        <f t="shared" si="31"/>
        <v>430</v>
      </c>
      <c r="P653" s="79" t="str">
        <f>IFERROR(VLOOKUP($M653,Export!$P:$R,2,FALSE),"-")</f>
        <v>Parts</v>
      </c>
      <c r="Q653" s="79" t="str">
        <f>IFERROR(VLOOKUP($M653,Export!$P:$R,3,FALSE),"-")</f>
        <v>PartsWorkshop Retail Sales %  Sales</v>
      </c>
      <c r="R653" s="80" t="str" cm="1">
        <f t="array" ref="R653">_xlfn.IFS(P653="Service", _xlfn.IFS(I653="SALES","GP",I653="SERVICE SALES","GP",I653="PARTS SALES","GP",I653="SERVICE COS","GP",I653="PARTS COS","GP",I653="SELLING EXPENSES","Selling Expenses",I653="EMPLOYMENT EXPENSES","Selling Expenses",I653="EMPLOYMENT EXPENSES","Selling Expenses",I653="DIRECT EXPENSES","Selling Expenses",I653="INDIRECT EXPENSES","Selling Expenses"),P653="Parts",_xlfn.IFS(I653="SALES","GP",I653="SERVICE SALES","GP",I653="PARTS SALES","GP",I653="SERVICE COS","GP",I653="PARTS COS","GP",I653="SELLING EXPENSES","Selling Expenses",I653="EMPLOYMENT EXPENSES","Selling Expenses",I653="EMPLOYMENT EXPENSES","Selling Expenses",I653="DIRECT EXPENSES","Selling Expenses",I653="INDIRECT EXPENSES","Selling Expenses"))</f>
        <v>GP</v>
      </c>
    </row>
    <row r="654" spans="1:18" x14ac:dyDescent="0.2">
      <c r="A654" s="75">
        <v>3480</v>
      </c>
      <c r="B654" s="76" t="s">
        <v>735</v>
      </c>
      <c r="C654" s="76">
        <v>130</v>
      </c>
      <c r="D654" s="76" t="s">
        <v>432</v>
      </c>
      <c r="E654" s="76" t="s">
        <v>426</v>
      </c>
      <c r="F654" s="77">
        <v>-106460.43</v>
      </c>
      <c r="G654" s="77">
        <v>-9362.09</v>
      </c>
      <c r="H654" s="77">
        <v>-115822.52</v>
      </c>
      <c r="I654" s="76" t="s">
        <v>732</v>
      </c>
      <c r="J654" s="77">
        <v>0</v>
      </c>
      <c r="K654" s="78">
        <v>-50746.720000000001</v>
      </c>
      <c r="M654" s="79" t="str">
        <f t="shared" si="32"/>
        <v>130-3480</v>
      </c>
      <c r="N654" s="79" t="str">
        <f t="shared" si="30"/>
        <v/>
      </c>
      <c r="O654" s="79" t="str">
        <f t="shared" si="31"/>
        <v>130</v>
      </c>
      <c r="P654" s="79" t="str">
        <f>IFERROR(VLOOKUP($M654,Export!$P:$R,2,FALSE),"-")</f>
        <v>Parts</v>
      </c>
      <c r="Q654" s="79" t="str">
        <f>IFERROR(VLOOKUP($M654,Export!$P:$R,3,FALSE),"-")</f>
        <v>PartsWorkshop Retail Sales %  Sales</v>
      </c>
      <c r="R654" s="80" t="str" cm="1">
        <f t="array" ref="R654">_xlfn.IFS(P654="Service", _xlfn.IFS(I654="SALES","GP",I654="SERVICE SALES","GP",I654="PARTS SALES","GP",I654="SERVICE COS","GP",I654="PARTS COS","GP",I654="SELLING EXPENSES","Selling Expenses",I654="EMPLOYMENT EXPENSES","Selling Expenses",I654="EMPLOYMENT EXPENSES","Selling Expenses",I654="DIRECT EXPENSES","Selling Expenses",I654="INDIRECT EXPENSES","Selling Expenses"),P654="Parts",_xlfn.IFS(I654="SALES","GP",I654="SERVICE SALES","GP",I654="PARTS SALES","GP",I654="SERVICE COS","GP",I654="PARTS COS","GP",I654="SELLING EXPENSES","Selling Expenses",I654="EMPLOYMENT EXPENSES","Selling Expenses",I654="EMPLOYMENT EXPENSES","Selling Expenses",I654="DIRECT EXPENSES","Selling Expenses",I654="INDIRECT EXPENSES","Selling Expenses"))</f>
        <v>GP</v>
      </c>
    </row>
    <row r="655" spans="1:18" x14ac:dyDescent="0.2">
      <c r="A655" s="75">
        <v>3480</v>
      </c>
      <c r="B655" s="76" t="s">
        <v>735</v>
      </c>
      <c r="C655" s="76">
        <v>230</v>
      </c>
      <c r="D655" s="76" t="s">
        <v>438</v>
      </c>
      <c r="E655" s="76" t="s">
        <v>426</v>
      </c>
      <c r="F655" s="77">
        <v>-57627.45</v>
      </c>
      <c r="G655" s="77">
        <v>-3215.73</v>
      </c>
      <c r="H655" s="77">
        <v>-60843.18</v>
      </c>
      <c r="I655" s="76" t="s">
        <v>732</v>
      </c>
      <c r="J655" s="77">
        <v>0</v>
      </c>
      <c r="K655" s="78">
        <v>-21893.79</v>
      </c>
      <c r="M655" s="79" t="str">
        <f t="shared" si="32"/>
        <v>230-3480</v>
      </c>
      <c r="N655" s="79" t="str">
        <f t="shared" si="30"/>
        <v/>
      </c>
      <c r="O655" s="79" t="str">
        <f t="shared" si="31"/>
        <v>230</v>
      </c>
      <c r="P655" s="79" t="str">
        <f>IFERROR(VLOOKUP($M655,Export!$P:$R,2,FALSE),"-")</f>
        <v>Parts</v>
      </c>
      <c r="Q655" s="79" t="str">
        <f>IFERROR(VLOOKUP($M655,Export!$P:$R,3,FALSE),"-")</f>
        <v>PartsWorkshop Retail Sales %  Sales</v>
      </c>
      <c r="R655" s="80" t="str" cm="1">
        <f t="array" ref="R655">_xlfn.IFS(P655="Service", _xlfn.IFS(I655="SALES","GP",I655="SERVICE SALES","GP",I655="PARTS SALES","GP",I655="SERVICE COS","GP",I655="PARTS COS","GP",I655="SELLING EXPENSES","Selling Expenses",I655="EMPLOYMENT EXPENSES","Selling Expenses",I655="EMPLOYMENT EXPENSES","Selling Expenses",I655="DIRECT EXPENSES","Selling Expenses",I655="INDIRECT EXPENSES","Selling Expenses"),P655="Parts",_xlfn.IFS(I655="SALES","GP",I655="SERVICE SALES","GP",I655="PARTS SALES","GP",I655="SERVICE COS","GP",I655="PARTS COS","GP",I655="SELLING EXPENSES","Selling Expenses",I655="EMPLOYMENT EXPENSES","Selling Expenses",I655="EMPLOYMENT EXPENSES","Selling Expenses",I655="DIRECT EXPENSES","Selling Expenses",I655="INDIRECT EXPENSES","Selling Expenses"))</f>
        <v>GP</v>
      </c>
    </row>
    <row r="656" spans="1:18" x14ac:dyDescent="0.2">
      <c r="A656" s="75">
        <v>3480</v>
      </c>
      <c r="B656" s="76" t="s">
        <v>735</v>
      </c>
      <c r="C656" s="76">
        <v>330</v>
      </c>
      <c r="D656" s="76" t="s">
        <v>457</v>
      </c>
      <c r="E656" s="76" t="s">
        <v>426</v>
      </c>
      <c r="F656" s="77">
        <v>-47675.06</v>
      </c>
      <c r="G656" s="77">
        <v>-16133.06</v>
      </c>
      <c r="H656" s="77">
        <v>-63808.12</v>
      </c>
      <c r="I656" s="76" t="s">
        <v>732</v>
      </c>
      <c r="J656" s="77">
        <v>0</v>
      </c>
      <c r="K656" s="78">
        <v>-31757.48</v>
      </c>
      <c r="M656" s="79" t="str">
        <f t="shared" si="32"/>
        <v>330-3480</v>
      </c>
      <c r="N656" s="79" t="str">
        <f t="shared" si="30"/>
        <v/>
      </c>
      <c r="O656" s="79" t="str">
        <f t="shared" si="31"/>
        <v>330</v>
      </c>
      <c r="P656" s="79" t="str">
        <f>IFERROR(VLOOKUP($M656,Export!$P:$R,2,FALSE),"-")</f>
        <v>Parts</v>
      </c>
      <c r="Q656" s="79" t="str">
        <f>IFERROR(VLOOKUP($M656,Export!$P:$R,3,FALSE),"-")</f>
        <v>PartsWorkshop Retail Sales %  Sales</v>
      </c>
      <c r="R656" s="80" t="str" cm="1">
        <f t="array" ref="R656">_xlfn.IFS(P656="Service", _xlfn.IFS(I656="SALES","GP",I656="SERVICE SALES","GP",I656="PARTS SALES","GP",I656="SERVICE COS","GP",I656="PARTS COS","GP",I656="SELLING EXPENSES","Selling Expenses",I656="EMPLOYMENT EXPENSES","Selling Expenses",I656="EMPLOYMENT EXPENSES","Selling Expenses",I656="DIRECT EXPENSES","Selling Expenses",I656="INDIRECT EXPENSES","Selling Expenses"),P656="Parts",_xlfn.IFS(I656="SALES","GP",I656="SERVICE SALES","GP",I656="PARTS SALES","GP",I656="SERVICE COS","GP",I656="PARTS COS","GP",I656="SELLING EXPENSES","Selling Expenses",I656="EMPLOYMENT EXPENSES","Selling Expenses",I656="EMPLOYMENT EXPENSES","Selling Expenses",I656="DIRECT EXPENSES","Selling Expenses",I656="INDIRECT EXPENSES","Selling Expenses"))</f>
        <v>GP</v>
      </c>
    </row>
    <row r="657" spans="1:18" x14ac:dyDescent="0.2">
      <c r="A657" s="75">
        <v>3480</v>
      </c>
      <c r="B657" s="76" t="s">
        <v>735</v>
      </c>
      <c r="C657" s="76">
        <v>430</v>
      </c>
      <c r="D657" s="76" t="s">
        <v>458</v>
      </c>
      <c r="E657" s="76" t="s">
        <v>426</v>
      </c>
      <c r="F657" s="77">
        <v>-13980.63</v>
      </c>
      <c r="G657" s="77">
        <v>-1974.3</v>
      </c>
      <c r="H657" s="77">
        <v>-15954.93</v>
      </c>
      <c r="I657" s="76" t="s">
        <v>732</v>
      </c>
      <c r="J657" s="77">
        <v>0</v>
      </c>
      <c r="K657" s="78">
        <v>-4283.4799999999996</v>
      </c>
      <c r="M657" s="79" t="str">
        <f t="shared" si="32"/>
        <v>430-3480</v>
      </c>
      <c r="N657" s="79" t="str">
        <f t="shared" si="30"/>
        <v/>
      </c>
      <c r="O657" s="79" t="str">
        <f t="shared" si="31"/>
        <v>430</v>
      </c>
      <c r="P657" s="79" t="str">
        <f>IFERROR(VLOOKUP($M657,Export!$P:$R,2,FALSE),"-")</f>
        <v>Parts</v>
      </c>
      <c r="Q657" s="79" t="str">
        <f>IFERROR(VLOOKUP($M657,Export!$P:$R,3,FALSE),"-")</f>
        <v>PartsWorkshop Retail Sales %  Sales</v>
      </c>
      <c r="R657" s="80" t="str" cm="1">
        <f t="array" ref="R657">_xlfn.IFS(P657="Service", _xlfn.IFS(I657="SALES","GP",I657="SERVICE SALES","GP",I657="PARTS SALES","GP",I657="SERVICE COS","GP",I657="PARTS COS","GP",I657="SELLING EXPENSES","Selling Expenses",I657="EMPLOYMENT EXPENSES","Selling Expenses",I657="EMPLOYMENT EXPENSES","Selling Expenses",I657="DIRECT EXPENSES","Selling Expenses",I657="INDIRECT EXPENSES","Selling Expenses"),P657="Parts",_xlfn.IFS(I657="SALES","GP",I657="SERVICE SALES","GP",I657="PARTS SALES","GP",I657="SERVICE COS","GP",I657="PARTS COS","GP",I657="SELLING EXPENSES","Selling Expenses",I657="EMPLOYMENT EXPENSES","Selling Expenses",I657="EMPLOYMENT EXPENSES","Selling Expenses",I657="DIRECT EXPENSES","Selling Expenses",I657="INDIRECT EXPENSES","Selling Expenses"))</f>
        <v>GP</v>
      </c>
    </row>
    <row r="658" spans="1:18" x14ac:dyDescent="0.2">
      <c r="A658" s="75">
        <v>3481</v>
      </c>
      <c r="B658" s="76" t="s">
        <v>736</v>
      </c>
      <c r="C658" s="76">
        <v>130</v>
      </c>
      <c r="D658" s="76" t="s">
        <v>432</v>
      </c>
      <c r="E658" s="76" t="s">
        <v>426</v>
      </c>
      <c r="F658" s="77">
        <v>-7559.49</v>
      </c>
      <c r="G658" s="77">
        <v>0</v>
      </c>
      <c r="H658" s="77">
        <v>-7559.49</v>
      </c>
      <c r="I658" s="76" t="s">
        <v>732</v>
      </c>
      <c r="J658" s="77">
        <v>0</v>
      </c>
      <c r="K658" s="78">
        <v>-1409.63</v>
      </c>
      <c r="M658" s="79" t="str">
        <f t="shared" si="32"/>
        <v>130-3481</v>
      </c>
      <c r="N658" s="79" t="str">
        <f t="shared" si="30"/>
        <v/>
      </c>
      <c r="O658" s="79" t="str">
        <f t="shared" si="31"/>
        <v>130</v>
      </c>
      <c r="P658" s="79" t="str">
        <f>IFERROR(VLOOKUP($M658,Export!$P:$R,2,FALSE),"-")</f>
        <v>Parts</v>
      </c>
      <c r="Q658" s="79" t="str">
        <f>IFERROR(VLOOKUP($M658,Export!$P:$R,3,FALSE),"-")</f>
        <v>PartsWorkshop Retail Sales %  Sales</v>
      </c>
      <c r="R658" s="80" t="str" cm="1">
        <f t="array" ref="R658">_xlfn.IFS(P658="Service", _xlfn.IFS(I658="SALES","GP",I658="SERVICE SALES","GP",I658="PARTS SALES","GP",I658="SERVICE COS","GP",I658="PARTS COS","GP",I658="SELLING EXPENSES","Selling Expenses",I658="EMPLOYMENT EXPENSES","Selling Expenses",I658="EMPLOYMENT EXPENSES","Selling Expenses",I658="DIRECT EXPENSES","Selling Expenses",I658="INDIRECT EXPENSES","Selling Expenses"),P658="Parts",_xlfn.IFS(I658="SALES","GP",I658="SERVICE SALES","GP",I658="PARTS SALES","GP",I658="SERVICE COS","GP",I658="PARTS COS","GP",I658="SELLING EXPENSES","Selling Expenses",I658="EMPLOYMENT EXPENSES","Selling Expenses",I658="EMPLOYMENT EXPENSES","Selling Expenses",I658="DIRECT EXPENSES","Selling Expenses",I658="INDIRECT EXPENSES","Selling Expenses"))</f>
        <v>GP</v>
      </c>
    </row>
    <row r="659" spans="1:18" x14ac:dyDescent="0.2">
      <c r="A659" s="75">
        <v>3481</v>
      </c>
      <c r="B659" s="76" t="s">
        <v>736</v>
      </c>
      <c r="C659" s="76">
        <v>230</v>
      </c>
      <c r="D659" s="76" t="s">
        <v>438</v>
      </c>
      <c r="E659" s="76" t="s">
        <v>426</v>
      </c>
      <c r="F659" s="77">
        <v>-5590.49</v>
      </c>
      <c r="G659" s="77">
        <v>0</v>
      </c>
      <c r="H659" s="77">
        <v>-5590.49</v>
      </c>
      <c r="I659" s="76" t="s">
        <v>732</v>
      </c>
      <c r="J659" s="77">
        <v>0</v>
      </c>
      <c r="K659" s="78">
        <v>-1917.96</v>
      </c>
      <c r="M659" s="79" t="str">
        <f t="shared" si="32"/>
        <v>230-3481</v>
      </c>
      <c r="N659" s="79" t="str">
        <f t="shared" si="30"/>
        <v/>
      </c>
      <c r="O659" s="79" t="str">
        <f t="shared" si="31"/>
        <v>230</v>
      </c>
      <c r="P659" s="79" t="str">
        <f>IFERROR(VLOOKUP($M659,Export!$P:$R,2,FALSE),"-")</f>
        <v>Parts</v>
      </c>
      <c r="Q659" s="79" t="str">
        <f>IFERROR(VLOOKUP($M659,Export!$P:$R,3,FALSE),"-")</f>
        <v>PartsWorkshop Retail Sales %  Sales</v>
      </c>
      <c r="R659" s="80" t="str" cm="1">
        <f t="array" ref="R659">_xlfn.IFS(P659="Service", _xlfn.IFS(I659="SALES","GP",I659="SERVICE SALES","GP",I659="PARTS SALES","GP",I659="SERVICE COS","GP",I659="PARTS COS","GP",I659="SELLING EXPENSES","Selling Expenses",I659="EMPLOYMENT EXPENSES","Selling Expenses",I659="EMPLOYMENT EXPENSES","Selling Expenses",I659="DIRECT EXPENSES","Selling Expenses",I659="INDIRECT EXPENSES","Selling Expenses"),P659="Parts",_xlfn.IFS(I659="SALES","GP",I659="SERVICE SALES","GP",I659="PARTS SALES","GP",I659="SERVICE COS","GP",I659="PARTS COS","GP",I659="SELLING EXPENSES","Selling Expenses",I659="EMPLOYMENT EXPENSES","Selling Expenses",I659="EMPLOYMENT EXPENSES","Selling Expenses",I659="DIRECT EXPENSES","Selling Expenses",I659="INDIRECT EXPENSES","Selling Expenses"))</f>
        <v>GP</v>
      </c>
    </row>
    <row r="660" spans="1:18" x14ac:dyDescent="0.2">
      <c r="A660" s="75">
        <v>3481</v>
      </c>
      <c r="B660" s="76" t="s">
        <v>736</v>
      </c>
      <c r="C660" s="76">
        <v>330</v>
      </c>
      <c r="D660" s="76" t="s">
        <v>457</v>
      </c>
      <c r="E660" s="76" t="s">
        <v>426</v>
      </c>
      <c r="F660" s="77">
        <v>-8347.52</v>
      </c>
      <c r="G660" s="77">
        <v>-815</v>
      </c>
      <c r="H660" s="77">
        <v>-9162.52</v>
      </c>
      <c r="I660" s="76" t="s">
        <v>732</v>
      </c>
      <c r="J660" s="77">
        <v>0</v>
      </c>
      <c r="K660" s="78">
        <v>-4610.18</v>
      </c>
      <c r="M660" s="79" t="str">
        <f t="shared" si="32"/>
        <v>330-3481</v>
      </c>
      <c r="N660" s="79" t="str">
        <f t="shared" si="30"/>
        <v/>
      </c>
      <c r="O660" s="79" t="str">
        <f t="shared" si="31"/>
        <v>330</v>
      </c>
      <c r="P660" s="79" t="str">
        <f>IFERROR(VLOOKUP($M660,Export!$P:$R,2,FALSE),"-")</f>
        <v>Parts</v>
      </c>
      <c r="Q660" s="79" t="str">
        <f>IFERROR(VLOOKUP($M660,Export!$P:$R,3,FALSE),"-")</f>
        <v>PartsWorkshop Retail Sales %  Sales</v>
      </c>
      <c r="R660" s="80" t="str" cm="1">
        <f t="array" ref="R660">_xlfn.IFS(P660="Service", _xlfn.IFS(I660="SALES","GP",I660="SERVICE SALES","GP",I660="PARTS SALES","GP",I660="SERVICE COS","GP",I660="PARTS COS","GP",I660="SELLING EXPENSES","Selling Expenses",I660="EMPLOYMENT EXPENSES","Selling Expenses",I660="EMPLOYMENT EXPENSES","Selling Expenses",I660="DIRECT EXPENSES","Selling Expenses",I660="INDIRECT EXPENSES","Selling Expenses"),P660="Parts",_xlfn.IFS(I660="SALES","GP",I660="SERVICE SALES","GP",I660="PARTS SALES","GP",I660="SERVICE COS","GP",I660="PARTS COS","GP",I660="SELLING EXPENSES","Selling Expenses",I660="EMPLOYMENT EXPENSES","Selling Expenses",I660="EMPLOYMENT EXPENSES","Selling Expenses",I660="DIRECT EXPENSES","Selling Expenses",I660="INDIRECT EXPENSES","Selling Expenses"))</f>
        <v>GP</v>
      </c>
    </row>
    <row r="661" spans="1:18" x14ac:dyDescent="0.2">
      <c r="A661" s="75">
        <v>3481</v>
      </c>
      <c r="B661" s="76" t="s">
        <v>736</v>
      </c>
      <c r="C661" s="76">
        <v>430</v>
      </c>
      <c r="D661" s="76" t="s">
        <v>458</v>
      </c>
      <c r="E661" s="76" t="s">
        <v>426</v>
      </c>
      <c r="F661" s="77">
        <v>-1088.21</v>
      </c>
      <c r="G661" s="77">
        <v>-1371.04</v>
      </c>
      <c r="H661" s="77">
        <v>-2459.25</v>
      </c>
      <c r="I661" s="76" t="s">
        <v>732</v>
      </c>
      <c r="J661" s="77">
        <v>0</v>
      </c>
      <c r="K661" s="78">
        <v>-1636.25</v>
      </c>
      <c r="M661" s="79" t="str">
        <f t="shared" si="32"/>
        <v>430-3481</v>
      </c>
      <c r="N661" s="79" t="str">
        <f t="shared" si="30"/>
        <v/>
      </c>
      <c r="O661" s="79" t="str">
        <f t="shared" si="31"/>
        <v>430</v>
      </c>
      <c r="P661" s="79" t="str">
        <f>IFERROR(VLOOKUP($M661,Export!$P:$R,2,FALSE),"-")</f>
        <v>Parts</v>
      </c>
      <c r="Q661" s="79" t="str">
        <f>IFERROR(VLOOKUP($M661,Export!$P:$R,3,FALSE),"-")</f>
        <v>PartsWorkshop Retail Sales %  Sales</v>
      </c>
      <c r="R661" s="80" t="str" cm="1">
        <f t="array" ref="R661">_xlfn.IFS(P661="Service", _xlfn.IFS(I661="SALES","GP",I661="SERVICE SALES","GP",I661="PARTS SALES","GP",I661="SERVICE COS","GP",I661="PARTS COS","GP",I661="SELLING EXPENSES","Selling Expenses",I661="EMPLOYMENT EXPENSES","Selling Expenses",I661="EMPLOYMENT EXPENSES","Selling Expenses",I661="DIRECT EXPENSES","Selling Expenses",I661="INDIRECT EXPENSES","Selling Expenses"),P661="Parts",_xlfn.IFS(I661="SALES","GP",I661="SERVICE SALES","GP",I661="PARTS SALES","GP",I661="SERVICE COS","GP",I661="PARTS COS","GP",I661="SELLING EXPENSES","Selling Expenses",I661="EMPLOYMENT EXPENSES","Selling Expenses",I661="EMPLOYMENT EXPENSES","Selling Expenses",I661="DIRECT EXPENSES","Selling Expenses",I661="INDIRECT EXPENSES","Selling Expenses"))</f>
        <v>GP</v>
      </c>
    </row>
    <row r="662" spans="1:18" x14ac:dyDescent="0.2">
      <c r="A662" s="75">
        <v>3482</v>
      </c>
      <c r="B662" s="76" t="s">
        <v>737</v>
      </c>
      <c r="C662" s="76">
        <v>130</v>
      </c>
      <c r="D662" s="76" t="s">
        <v>432</v>
      </c>
      <c r="E662" s="76" t="s">
        <v>426</v>
      </c>
      <c r="F662" s="77">
        <v>-34557.440000000002</v>
      </c>
      <c r="G662" s="77">
        <v>-3155.88</v>
      </c>
      <c r="H662" s="77">
        <v>-37713.32</v>
      </c>
      <c r="I662" s="76" t="s">
        <v>732</v>
      </c>
      <c r="J662" s="77">
        <v>-12986.53</v>
      </c>
      <c r="K662" s="78">
        <v>-136687.57999999999</v>
      </c>
      <c r="M662" s="79" t="str">
        <f t="shared" si="32"/>
        <v>130-3482</v>
      </c>
      <c r="N662" s="79" t="str">
        <f t="shared" si="30"/>
        <v/>
      </c>
      <c r="O662" s="79" t="str">
        <f t="shared" si="31"/>
        <v>130</v>
      </c>
      <c r="P662" s="79" t="str">
        <f>IFERROR(VLOOKUP($M662,Export!$P:$R,2,FALSE),"-")</f>
        <v>Parts</v>
      </c>
      <c r="Q662" s="79" t="str">
        <f>IFERROR(VLOOKUP($M662,Export!$P:$R,3,FALSE),"-")</f>
        <v>PartsWorkshop Retail Sales %  Sales</v>
      </c>
      <c r="R662" s="80" t="str" cm="1">
        <f t="array" ref="R662">_xlfn.IFS(P662="Service", _xlfn.IFS(I662="SALES","GP",I662="SERVICE SALES","GP",I662="PARTS SALES","GP",I662="SERVICE COS","GP",I662="PARTS COS","GP",I662="SELLING EXPENSES","Selling Expenses",I662="EMPLOYMENT EXPENSES","Selling Expenses",I662="EMPLOYMENT EXPENSES","Selling Expenses",I662="DIRECT EXPENSES","Selling Expenses",I662="INDIRECT EXPENSES","Selling Expenses"),P662="Parts",_xlfn.IFS(I662="SALES","GP",I662="SERVICE SALES","GP",I662="PARTS SALES","GP",I662="SERVICE COS","GP",I662="PARTS COS","GP",I662="SELLING EXPENSES","Selling Expenses",I662="EMPLOYMENT EXPENSES","Selling Expenses",I662="EMPLOYMENT EXPENSES","Selling Expenses",I662="DIRECT EXPENSES","Selling Expenses",I662="INDIRECT EXPENSES","Selling Expenses"))</f>
        <v>GP</v>
      </c>
    </row>
    <row r="663" spans="1:18" x14ac:dyDescent="0.2">
      <c r="A663" s="75">
        <v>3482</v>
      </c>
      <c r="B663" s="76" t="s">
        <v>737</v>
      </c>
      <c r="C663" s="76">
        <v>230</v>
      </c>
      <c r="D663" s="76" t="s">
        <v>438</v>
      </c>
      <c r="E663" s="76" t="s">
        <v>426</v>
      </c>
      <c r="F663" s="77">
        <v>-10345.26</v>
      </c>
      <c r="G663" s="77">
        <v>-859.38</v>
      </c>
      <c r="H663" s="77">
        <v>-11204.64</v>
      </c>
      <c r="I663" s="76" t="s">
        <v>732</v>
      </c>
      <c r="J663" s="77">
        <v>-4066.94</v>
      </c>
      <c r="K663" s="78">
        <v>-40823.360000000001</v>
      </c>
      <c r="M663" s="79" t="str">
        <f t="shared" si="32"/>
        <v>230-3482</v>
      </c>
      <c r="N663" s="79" t="str">
        <f t="shared" si="30"/>
        <v/>
      </c>
      <c r="O663" s="79" t="str">
        <f t="shared" si="31"/>
        <v>230</v>
      </c>
      <c r="P663" s="79" t="str">
        <f>IFERROR(VLOOKUP($M663,Export!$P:$R,2,FALSE),"-")</f>
        <v>Parts</v>
      </c>
      <c r="Q663" s="79" t="str">
        <f>IFERROR(VLOOKUP($M663,Export!$P:$R,3,FALSE),"-")</f>
        <v>PartsWorkshop Retail Sales %  Sales</v>
      </c>
      <c r="R663" s="80" t="str" cm="1">
        <f t="array" ref="R663">_xlfn.IFS(P663="Service", _xlfn.IFS(I663="SALES","GP",I663="SERVICE SALES","GP",I663="PARTS SALES","GP",I663="SERVICE COS","GP",I663="PARTS COS","GP",I663="SELLING EXPENSES","Selling Expenses",I663="EMPLOYMENT EXPENSES","Selling Expenses",I663="EMPLOYMENT EXPENSES","Selling Expenses",I663="DIRECT EXPENSES","Selling Expenses",I663="INDIRECT EXPENSES","Selling Expenses"),P663="Parts",_xlfn.IFS(I663="SALES","GP",I663="SERVICE SALES","GP",I663="PARTS SALES","GP",I663="SERVICE COS","GP",I663="PARTS COS","GP",I663="SELLING EXPENSES","Selling Expenses",I663="EMPLOYMENT EXPENSES","Selling Expenses",I663="EMPLOYMENT EXPENSES","Selling Expenses",I663="DIRECT EXPENSES","Selling Expenses",I663="INDIRECT EXPENSES","Selling Expenses"))</f>
        <v>GP</v>
      </c>
    </row>
    <row r="664" spans="1:18" x14ac:dyDescent="0.2">
      <c r="A664" s="75">
        <v>3482</v>
      </c>
      <c r="B664" s="76" t="s">
        <v>737</v>
      </c>
      <c r="C664" s="76">
        <v>330</v>
      </c>
      <c r="D664" s="76" t="s">
        <v>457</v>
      </c>
      <c r="E664" s="76" t="s">
        <v>426</v>
      </c>
      <c r="F664" s="77">
        <v>-26545.93</v>
      </c>
      <c r="G664" s="77">
        <v>-1948.5</v>
      </c>
      <c r="H664" s="77">
        <v>-28494.43</v>
      </c>
      <c r="I664" s="76" t="s">
        <v>732</v>
      </c>
      <c r="J664" s="77">
        <v>-4734.68</v>
      </c>
      <c r="K664" s="78">
        <v>-42024.84</v>
      </c>
      <c r="M664" s="79" t="str">
        <f t="shared" si="32"/>
        <v>330-3482</v>
      </c>
      <c r="N664" s="79" t="str">
        <f t="shared" si="30"/>
        <v/>
      </c>
      <c r="O664" s="79" t="str">
        <f t="shared" si="31"/>
        <v>330</v>
      </c>
      <c r="P664" s="79" t="str">
        <f>IFERROR(VLOOKUP($M664,Export!$P:$R,2,FALSE),"-")</f>
        <v>Parts</v>
      </c>
      <c r="Q664" s="79" t="str">
        <f>IFERROR(VLOOKUP($M664,Export!$P:$R,3,FALSE),"-")</f>
        <v>PartsWorkshop Retail Sales %  Sales</v>
      </c>
      <c r="R664" s="80" t="str" cm="1">
        <f t="array" ref="R664">_xlfn.IFS(P664="Service", _xlfn.IFS(I664="SALES","GP",I664="SERVICE SALES","GP",I664="PARTS SALES","GP",I664="SERVICE COS","GP",I664="PARTS COS","GP",I664="SELLING EXPENSES","Selling Expenses",I664="EMPLOYMENT EXPENSES","Selling Expenses",I664="EMPLOYMENT EXPENSES","Selling Expenses",I664="DIRECT EXPENSES","Selling Expenses",I664="INDIRECT EXPENSES","Selling Expenses"),P664="Parts",_xlfn.IFS(I664="SALES","GP",I664="SERVICE SALES","GP",I664="PARTS SALES","GP",I664="SERVICE COS","GP",I664="PARTS COS","GP",I664="SELLING EXPENSES","Selling Expenses",I664="EMPLOYMENT EXPENSES","Selling Expenses",I664="EMPLOYMENT EXPENSES","Selling Expenses",I664="DIRECT EXPENSES","Selling Expenses",I664="INDIRECT EXPENSES","Selling Expenses"))</f>
        <v>GP</v>
      </c>
    </row>
    <row r="665" spans="1:18" x14ac:dyDescent="0.2">
      <c r="A665" s="75">
        <v>3482</v>
      </c>
      <c r="B665" s="76" t="s">
        <v>737</v>
      </c>
      <c r="C665" s="76">
        <v>430</v>
      </c>
      <c r="D665" s="76" t="s">
        <v>458</v>
      </c>
      <c r="E665" s="76" t="s">
        <v>426</v>
      </c>
      <c r="F665" s="77">
        <v>-48781.96</v>
      </c>
      <c r="G665" s="77">
        <v>-8861.4</v>
      </c>
      <c r="H665" s="77">
        <v>-57643.360000000001</v>
      </c>
      <c r="I665" s="76" t="s">
        <v>732</v>
      </c>
      <c r="J665" s="77">
        <v>-2369</v>
      </c>
      <c r="K665" s="78">
        <v>-22712.39</v>
      </c>
      <c r="M665" s="79" t="str">
        <f t="shared" si="32"/>
        <v>430-3482</v>
      </c>
      <c r="N665" s="79" t="str">
        <f t="shared" si="30"/>
        <v/>
      </c>
      <c r="O665" s="79" t="str">
        <f t="shared" si="31"/>
        <v>430</v>
      </c>
      <c r="P665" s="79" t="str">
        <f>IFERROR(VLOOKUP($M665,Export!$P:$R,2,FALSE),"-")</f>
        <v>Parts</v>
      </c>
      <c r="Q665" s="79" t="str">
        <f>IFERROR(VLOOKUP($M665,Export!$P:$R,3,FALSE),"-")</f>
        <v>PartsWorkshop Retail Sales %  Sales</v>
      </c>
      <c r="R665" s="80" t="str" cm="1">
        <f t="array" ref="R665">_xlfn.IFS(P665="Service", _xlfn.IFS(I665="SALES","GP",I665="SERVICE SALES","GP",I665="PARTS SALES","GP",I665="SERVICE COS","GP",I665="PARTS COS","GP",I665="SELLING EXPENSES","Selling Expenses",I665="EMPLOYMENT EXPENSES","Selling Expenses",I665="EMPLOYMENT EXPENSES","Selling Expenses",I665="DIRECT EXPENSES","Selling Expenses",I665="INDIRECT EXPENSES","Selling Expenses"),P665="Parts",_xlfn.IFS(I665="SALES","GP",I665="SERVICE SALES","GP",I665="PARTS SALES","GP",I665="SERVICE COS","GP",I665="PARTS COS","GP",I665="SELLING EXPENSES","Selling Expenses",I665="EMPLOYMENT EXPENSES","Selling Expenses",I665="EMPLOYMENT EXPENSES","Selling Expenses",I665="DIRECT EXPENSES","Selling Expenses",I665="INDIRECT EXPENSES","Selling Expenses"))</f>
        <v>GP</v>
      </c>
    </row>
    <row r="666" spans="1:18" x14ac:dyDescent="0.2">
      <c r="A666" s="75">
        <v>3495</v>
      </c>
      <c r="B666" s="76" t="s">
        <v>738</v>
      </c>
      <c r="C666" s="76">
        <v>130</v>
      </c>
      <c r="D666" s="76" t="s">
        <v>432</v>
      </c>
      <c r="E666" s="76" t="s">
        <v>426</v>
      </c>
      <c r="F666" s="77">
        <v>0</v>
      </c>
      <c r="G666" s="77">
        <v>0</v>
      </c>
      <c r="H666" s="77">
        <v>0</v>
      </c>
      <c r="I666" s="76" t="s">
        <v>732</v>
      </c>
      <c r="J666" s="77">
        <v>0</v>
      </c>
      <c r="K666" s="78">
        <v>-36.049999999999997</v>
      </c>
      <c r="M666" s="79" t="str">
        <f t="shared" si="32"/>
        <v>130-3495</v>
      </c>
      <c r="N666" s="79" t="str">
        <f t="shared" si="30"/>
        <v/>
      </c>
      <c r="O666" s="79" t="str">
        <f t="shared" si="31"/>
        <v>130</v>
      </c>
      <c r="P666" s="79" t="str">
        <f>IFERROR(VLOOKUP($M666,Export!$P:$R,2,FALSE),"-")</f>
        <v>Parts</v>
      </c>
      <c r="Q666" s="79" t="str">
        <f>IFERROR(VLOOKUP($M666,Export!$P:$R,3,FALSE),"-")</f>
        <v>PartsOther Sales %  Sales</v>
      </c>
      <c r="R666" s="80" t="str" cm="1">
        <f t="array" ref="R666">_xlfn.IFS(P666="Service", _xlfn.IFS(I666="SALES","GP",I666="SERVICE SALES","GP",I666="PARTS SALES","GP",I666="SERVICE COS","GP",I666="PARTS COS","GP",I666="SELLING EXPENSES","Selling Expenses",I666="EMPLOYMENT EXPENSES","Selling Expenses",I666="EMPLOYMENT EXPENSES","Selling Expenses",I666="DIRECT EXPENSES","Selling Expenses",I666="INDIRECT EXPENSES","Selling Expenses"),P666="Parts",_xlfn.IFS(I666="SALES","GP",I666="SERVICE SALES","GP",I666="PARTS SALES","GP",I666="SERVICE COS","GP",I666="PARTS COS","GP",I666="SELLING EXPENSES","Selling Expenses",I666="EMPLOYMENT EXPENSES","Selling Expenses",I666="EMPLOYMENT EXPENSES","Selling Expenses",I666="DIRECT EXPENSES","Selling Expenses",I666="INDIRECT EXPENSES","Selling Expenses"))</f>
        <v>GP</v>
      </c>
    </row>
    <row r="667" spans="1:18" x14ac:dyDescent="0.2">
      <c r="A667" s="75">
        <v>3495</v>
      </c>
      <c r="B667" s="76" t="s">
        <v>738</v>
      </c>
      <c r="C667" s="76">
        <v>230</v>
      </c>
      <c r="D667" s="76" t="s">
        <v>438</v>
      </c>
      <c r="E667" s="76" t="s">
        <v>426</v>
      </c>
      <c r="F667" s="77">
        <v>-15.83</v>
      </c>
      <c r="G667" s="77">
        <v>0</v>
      </c>
      <c r="H667" s="77">
        <v>-15.83</v>
      </c>
      <c r="I667" s="76" t="s">
        <v>732</v>
      </c>
      <c r="J667" s="77">
        <v>0</v>
      </c>
      <c r="K667" s="78">
        <v>0</v>
      </c>
      <c r="M667" s="79" t="str">
        <f t="shared" si="32"/>
        <v>230-3495</v>
      </c>
      <c r="N667" s="79" t="str">
        <f t="shared" si="30"/>
        <v/>
      </c>
      <c r="O667" s="79" t="str">
        <f t="shared" si="31"/>
        <v>230</v>
      </c>
      <c r="P667" s="79" t="str">
        <f>IFERROR(VLOOKUP($M667,Export!$P:$R,2,FALSE),"-")</f>
        <v>Parts</v>
      </c>
      <c r="Q667" s="79" t="str">
        <f>IFERROR(VLOOKUP($M667,Export!$P:$R,3,FALSE),"-")</f>
        <v>PartsOther Sales %  Sales</v>
      </c>
      <c r="R667" s="80" t="str" cm="1">
        <f t="array" ref="R667">_xlfn.IFS(P667="Service", _xlfn.IFS(I667="SALES","GP",I667="SERVICE SALES","GP",I667="PARTS SALES","GP",I667="SERVICE COS","GP",I667="PARTS COS","GP",I667="SELLING EXPENSES","Selling Expenses",I667="EMPLOYMENT EXPENSES","Selling Expenses",I667="EMPLOYMENT EXPENSES","Selling Expenses",I667="DIRECT EXPENSES","Selling Expenses",I667="INDIRECT EXPENSES","Selling Expenses"),P667="Parts",_xlfn.IFS(I667="SALES","GP",I667="SERVICE SALES","GP",I667="PARTS SALES","GP",I667="SERVICE COS","GP",I667="PARTS COS","GP",I667="SELLING EXPENSES","Selling Expenses",I667="EMPLOYMENT EXPENSES","Selling Expenses",I667="EMPLOYMENT EXPENSES","Selling Expenses",I667="DIRECT EXPENSES","Selling Expenses",I667="INDIRECT EXPENSES","Selling Expenses"))</f>
        <v>GP</v>
      </c>
    </row>
    <row r="668" spans="1:18" x14ac:dyDescent="0.2">
      <c r="A668" s="75">
        <v>3500</v>
      </c>
      <c r="B668" s="76" t="s">
        <v>103</v>
      </c>
      <c r="C668" s="76">
        <v>130</v>
      </c>
      <c r="D668" s="76" t="s">
        <v>432</v>
      </c>
      <c r="E668" s="76" t="s">
        <v>426</v>
      </c>
      <c r="F668" s="77">
        <v>-300271.17</v>
      </c>
      <c r="G668" s="77">
        <v>-5197.4799999999996</v>
      </c>
      <c r="H668" s="77">
        <v>-305468.65000000002</v>
      </c>
      <c r="I668" s="76" t="s">
        <v>732</v>
      </c>
      <c r="J668" s="77">
        <v>-110752.46</v>
      </c>
      <c r="K668" s="78">
        <v>-941716.19</v>
      </c>
      <c r="M668" s="79" t="str">
        <f t="shared" si="32"/>
        <v>130-3500</v>
      </c>
      <c r="N668" s="79" t="str">
        <f t="shared" si="30"/>
        <v/>
      </c>
      <c r="O668" s="79" t="str">
        <f t="shared" si="31"/>
        <v>130</v>
      </c>
      <c r="P668" s="79" t="str">
        <f>IFERROR(VLOOKUP($M668,Export!$P:$R,2,FALSE),"-")</f>
        <v>Parts</v>
      </c>
      <c r="Q668" s="79" t="str">
        <f>IFERROR(VLOOKUP($M668,Export!$P:$R,3,FALSE),"-")</f>
        <v>PartsWarranty Sales %  Sales</v>
      </c>
      <c r="R668" s="80" t="str" cm="1">
        <f t="array" ref="R668">_xlfn.IFS(P668="Service", _xlfn.IFS(I668="SALES","GP",I668="SERVICE SALES","GP",I668="PARTS SALES","GP",I668="SERVICE COS","GP",I668="PARTS COS","GP",I668="SELLING EXPENSES","Selling Expenses",I668="EMPLOYMENT EXPENSES","Selling Expenses",I668="EMPLOYMENT EXPENSES","Selling Expenses",I668="DIRECT EXPENSES","Selling Expenses",I668="INDIRECT EXPENSES","Selling Expenses"),P668="Parts",_xlfn.IFS(I668="SALES","GP",I668="SERVICE SALES","GP",I668="PARTS SALES","GP",I668="SERVICE COS","GP",I668="PARTS COS","GP",I668="SELLING EXPENSES","Selling Expenses",I668="EMPLOYMENT EXPENSES","Selling Expenses",I668="EMPLOYMENT EXPENSES","Selling Expenses",I668="DIRECT EXPENSES","Selling Expenses",I668="INDIRECT EXPENSES","Selling Expenses"))</f>
        <v>GP</v>
      </c>
    </row>
    <row r="669" spans="1:18" x14ac:dyDescent="0.2">
      <c r="A669" s="75">
        <v>3500</v>
      </c>
      <c r="B669" s="76" t="s">
        <v>103</v>
      </c>
      <c r="C669" s="76">
        <v>132</v>
      </c>
      <c r="D669" s="76" t="s">
        <v>453</v>
      </c>
      <c r="E669" s="76" t="s">
        <v>426</v>
      </c>
      <c r="F669" s="77">
        <v>-68164.44</v>
      </c>
      <c r="G669" s="77">
        <v>-15742.91</v>
      </c>
      <c r="H669" s="77">
        <v>-83907.35</v>
      </c>
      <c r="I669" s="76" t="s">
        <v>732</v>
      </c>
      <c r="J669" s="77">
        <v>0</v>
      </c>
      <c r="K669" s="78">
        <v>-14823.39</v>
      </c>
      <c r="M669" s="79" t="str">
        <f t="shared" si="32"/>
        <v>132-3500</v>
      </c>
      <c r="N669" s="79" t="str">
        <f t="shared" si="30"/>
        <v/>
      </c>
      <c r="O669" s="79" t="str">
        <f t="shared" si="31"/>
        <v>132</v>
      </c>
      <c r="P669" s="79" t="str">
        <f>IFERROR(VLOOKUP($M669,Export!$P:$R,2,FALSE),"-")</f>
        <v>LEX Parts</v>
      </c>
      <c r="Q669" s="79" t="str">
        <f>IFERROR(VLOOKUP($M669,Export!$P:$R,3,FALSE),"-")</f>
        <v>LEX PartsWarranty Sales %  Sales</v>
      </c>
      <c r="R669" s="80" t="e" cm="1">
        <f t="array" ref="R669">_xlfn.IFS(P669="Service", _xlfn.IFS(I669="SALES","GP",I669="SERVICE SALES","GP",I669="PARTS SALES","GP",I669="SERVICE COS","GP",I669="PARTS COS","GP",I669="SELLING EXPENSES","Selling Expenses",I669="EMPLOYMENT EXPENSES","Selling Expenses",I669="EMPLOYMENT EXPENSES","Selling Expenses",I669="DIRECT EXPENSES","Selling Expenses",I669="INDIRECT EXPENSES","Selling Expenses"),P669="Parts",_xlfn.IFS(I669="SALES","GP",I669="SERVICE SALES","GP",I669="PARTS SALES","GP",I669="SERVICE COS","GP",I669="PARTS COS","GP",I669="SELLING EXPENSES","Selling Expenses",I669="EMPLOYMENT EXPENSES","Selling Expenses",I669="EMPLOYMENT EXPENSES","Selling Expenses",I669="DIRECT EXPENSES","Selling Expenses",I669="INDIRECT EXPENSES","Selling Expenses"))</f>
        <v>#N/A</v>
      </c>
    </row>
    <row r="670" spans="1:18" x14ac:dyDescent="0.2">
      <c r="A670" s="75">
        <v>3500</v>
      </c>
      <c r="B670" s="76" t="s">
        <v>103</v>
      </c>
      <c r="C670" s="76">
        <v>230</v>
      </c>
      <c r="D670" s="76" t="s">
        <v>438</v>
      </c>
      <c r="E670" s="76" t="s">
        <v>426</v>
      </c>
      <c r="F670" s="77">
        <v>-226119.65</v>
      </c>
      <c r="G670" s="77">
        <v>-9651.52</v>
      </c>
      <c r="H670" s="77">
        <v>-235771.17</v>
      </c>
      <c r="I670" s="76" t="s">
        <v>732</v>
      </c>
      <c r="J670" s="77">
        <v>-52335.73</v>
      </c>
      <c r="K670" s="78">
        <v>-448890.2</v>
      </c>
      <c r="M670" s="79" t="str">
        <f t="shared" si="32"/>
        <v>230-3500</v>
      </c>
      <c r="N670" s="79" t="str">
        <f t="shared" si="30"/>
        <v/>
      </c>
      <c r="O670" s="79" t="str">
        <f t="shared" si="31"/>
        <v>230</v>
      </c>
      <c r="P670" s="79" t="str">
        <f>IFERROR(VLOOKUP($M670,Export!$P:$R,2,FALSE),"-")</f>
        <v>Parts</v>
      </c>
      <c r="Q670" s="79" t="str">
        <f>IFERROR(VLOOKUP($M670,Export!$P:$R,3,FALSE),"-")</f>
        <v>PartsWarranty Sales %  Sales</v>
      </c>
      <c r="R670" s="80" t="str" cm="1">
        <f t="array" ref="R670">_xlfn.IFS(P670="Service", _xlfn.IFS(I670="SALES","GP",I670="SERVICE SALES","GP",I670="PARTS SALES","GP",I670="SERVICE COS","GP",I670="PARTS COS","GP",I670="SELLING EXPENSES","Selling Expenses",I670="EMPLOYMENT EXPENSES","Selling Expenses",I670="EMPLOYMENT EXPENSES","Selling Expenses",I670="DIRECT EXPENSES","Selling Expenses",I670="INDIRECT EXPENSES","Selling Expenses"),P670="Parts",_xlfn.IFS(I670="SALES","GP",I670="SERVICE SALES","GP",I670="PARTS SALES","GP",I670="SERVICE COS","GP",I670="PARTS COS","GP",I670="SELLING EXPENSES","Selling Expenses",I670="EMPLOYMENT EXPENSES","Selling Expenses",I670="EMPLOYMENT EXPENSES","Selling Expenses",I670="DIRECT EXPENSES","Selling Expenses",I670="INDIRECT EXPENSES","Selling Expenses"))</f>
        <v>GP</v>
      </c>
    </row>
    <row r="671" spans="1:18" x14ac:dyDescent="0.2">
      <c r="A671" s="75">
        <v>3500</v>
      </c>
      <c r="B671" s="76" t="s">
        <v>103</v>
      </c>
      <c r="C671" s="76">
        <v>330</v>
      </c>
      <c r="D671" s="76" t="s">
        <v>457</v>
      </c>
      <c r="E671" s="76" t="s">
        <v>426</v>
      </c>
      <c r="F671" s="77">
        <v>-106610.6</v>
      </c>
      <c r="G671" s="77">
        <v>-7442.7</v>
      </c>
      <c r="H671" s="77">
        <v>-114053.3</v>
      </c>
      <c r="I671" s="76" t="s">
        <v>732</v>
      </c>
      <c r="J671" s="77">
        <v>-28808.18</v>
      </c>
      <c r="K671" s="78">
        <v>-245446.63</v>
      </c>
      <c r="M671" s="79" t="str">
        <f t="shared" si="32"/>
        <v>330-3500</v>
      </c>
      <c r="N671" s="79" t="str">
        <f t="shared" si="30"/>
        <v/>
      </c>
      <c r="O671" s="79" t="str">
        <f t="shared" si="31"/>
        <v>330</v>
      </c>
      <c r="P671" s="79" t="str">
        <f>IFERROR(VLOOKUP($M671,Export!$P:$R,2,FALSE),"-")</f>
        <v>Parts</v>
      </c>
      <c r="Q671" s="79" t="str">
        <f>IFERROR(VLOOKUP($M671,Export!$P:$R,3,FALSE),"-")</f>
        <v>PartsWarranty Sales %  Sales</v>
      </c>
      <c r="R671" s="80" t="str" cm="1">
        <f t="array" ref="R671">_xlfn.IFS(P671="Service", _xlfn.IFS(I671="SALES","GP",I671="SERVICE SALES","GP",I671="PARTS SALES","GP",I671="SERVICE COS","GP",I671="PARTS COS","GP",I671="SELLING EXPENSES","Selling Expenses",I671="EMPLOYMENT EXPENSES","Selling Expenses",I671="EMPLOYMENT EXPENSES","Selling Expenses",I671="DIRECT EXPENSES","Selling Expenses",I671="INDIRECT EXPENSES","Selling Expenses"),P671="Parts",_xlfn.IFS(I671="SALES","GP",I671="SERVICE SALES","GP",I671="PARTS SALES","GP",I671="SERVICE COS","GP",I671="PARTS COS","GP",I671="SELLING EXPENSES","Selling Expenses",I671="EMPLOYMENT EXPENSES","Selling Expenses",I671="EMPLOYMENT EXPENSES","Selling Expenses",I671="DIRECT EXPENSES","Selling Expenses",I671="INDIRECT EXPENSES","Selling Expenses"))</f>
        <v>GP</v>
      </c>
    </row>
    <row r="672" spans="1:18" x14ac:dyDescent="0.2">
      <c r="A672" s="75">
        <v>3500</v>
      </c>
      <c r="B672" s="76" t="s">
        <v>103</v>
      </c>
      <c r="C672" s="76">
        <v>430</v>
      </c>
      <c r="D672" s="76" t="s">
        <v>458</v>
      </c>
      <c r="E672" s="76" t="s">
        <v>426</v>
      </c>
      <c r="F672" s="77">
        <v>-91811.65</v>
      </c>
      <c r="G672" s="77">
        <v>-4269.3900000000003</v>
      </c>
      <c r="H672" s="77">
        <v>-96081.04</v>
      </c>
      <c r="I672" s="76" t="s">
        <v>732</v>
      </c>
      <c r="J672" s="77">
        <v>-5418.53</v>
      </c>
      <c r="K672" s="78">
        <v>-55005.02</v>
      </c>
      <c r="M672" s="79" t="str">
        <f t="shared" si="32"/>
        <v>430-3500</v>
      </c>
      <c r="N672" s="79" t="str">
        <f t="shared" si="30"/>
        <v/>
      </c>
      <c r="O672" s="79" t="str">
        <f t="shared" si="31"/>
        <v>430</v>
      </c>
      <c r="P672" s="79" t="str">
        <f>IFERROR(VLOOKUP($M672,Export!$P:$R,2,FALSE),"-")</f>
        <v>Parts</v>
      </c>
      <c r="Q672" s="79" t="str">
        <f>IFERROR(VLOOKUP($M672,Export!$P:$R,3,FALSE),"-")</f>
        <v>PartsWarranty Sales %  Sales</v>
      </c>
      <c r="R672" s="80" t="str" cm="1">
        <f t="array" ref="R672">_xlfn.IFS(P672="Service", _xlfn.IFS(I672="SALES","GP",I672="SERVICE SALES","GP",I672="PARTS SALES","GP",I672="SERVICE COS","GP",I672="PARTS COS","GP",I672="SELLING EXPENSES","Selling Expenses",I672="EMPLOYMENT EXPENSES","Selling Expenses",I672="EMPLOYMENT EXPENSES","Selling Expenses",I672="DIRECT EXPENSES","Selling Expenses",I672="INDIRECT EXPENSES","Selling Expenses"),P672="Parts",_xlfn.IFS(I672="SALES","GP",I672="SERVICE SALES","GP",I672="PARTS SALES","GP",I672="SERVICE COS","GP",I672="PARTS COS","GP",I672="SELLING EXPENSES","Selling Expenses",I672="EMPLOYMENT EXPENSES","Selling Expenses",I672="EMPLOYMENT EXPENSES","Selling Expenses",I672="DIRECT EXPENSES","Selling Expenses",I672="INDIRECT EXPENSES","Selling Expenses"))</f>
        <v>GP</v>
      </c>
    </row>
    <row r="673" spans="1:18" x14ac:dyDescent="0.2">
      <c r="A673" s="75">
        <v>3505</v>
      </c>
      <c r="B673" s="76" t="s">
        <v>104</v>
      </c>
      <c r="C673" s="76">
        <v>130</v>
      </c>
      <c r="D673" s="76" t="s">
        <v>432</v>
      </c>
      <c r="E673" s="76" t="s">
        <v>426</v>
      </c>
      <c r="F673" s="77">
        <v>-351104.5</v>
      </c>
      <c r="G673" s="77">
        <v>-21039.599999999999</v>
      </c>
      <c r="H673" s="77">
        <v>-372144.1</v>
      </c>
      <c r="I673" s="76" t="s">
        <v>732</v>
      </c>
      <c r="J673" s="77">
        <v>-34255.879999999997</v>
      </c>
      <c r="K673" s="78">
        <v>-345591.14</v>
      </c>
      <c r="M673" s="79" t="str">
        <f t="shared" si="32"/>
        <v>130-3505</v>
      </c>
      <c r="N673" s="79" t="str">
        <f t="shared" si="30"/>
        <v/>
      </c>
      <c r="O673" s="79" t="str">
        <f t="shared" si="31"/>
        <v>130</v>
      </c>
      <c r="P673" s="79" t="str">
        <f>IFERROR(VLOOKUP($M673,Export!$P:$R,2,FALSE),"-")</f>
        <v>Parts</v>
      </c>
      <c r="Q673" s="79" t="str">
        <f>IFERROR(VLOOKUP($M673,Export!$P:$R,3,FALSE),"-")</f>
        <v>PartsInternal Sales %  Sales</v>
      </c>
      <c r="R673" s="80" t="str" cm="1">
        <f t="array" ref="R673">_xlfn.IFS(P673="Service", _xlfn.IFS(I673="SALES","GP",I673="SERVICE SALES","GP",I673="PARTS SALES","GP",I673="SERVICE COS","GP",I673="PARTS COS","GP",I673="SELLING EXPENSES","Selling Expenses",I673="EMPLOYMENT EXPENSES","Selling Expenses",I673="EMPLOYMENT EXPENSES","Selling Expenses",I673="DIRECT EXPENSES","Selling Expenses",I673="INDIRECT EXPENSES","Selling Expenses"),P673="Parts",_xlfn.IFS(I673="SALES","GP",I673="SERVICE SALES","GP",I673="PARTS SALES","GP",I673="SERVICE COS","GP",I673="PARTS COS","GP",I673="SELLING EXPENSES","Selling Expenses",I673="EMPLOYMENT EXPENSES","Selling Expenses",I673="EMPLOYMENT EXPENSES","Selling Expenses",I673="DIRECT EXPENSES","Selling Expenses",I673="INDIRECT EXPENSES","Selling Expenses"))</f>
        <v>GP</v>
      </c>
    </row>
    <row r="674" spans="1:18" x14ac:dyDescent="0.2">
      <c r="A674" s="75">
        <v>3505</v>
      </c>
      <c r="B674" s="76" t="s">
        <v>104</v>
      </c>
      <c r="C674" s="76">
        <v>132</v>
      </c>
      <c r="D674" s="76" t="s">
        <v>453</v>
      </c>
      <c r="E674" s="76" t="s">
        <v>426</v>
      </c>
      <c r="F674" s="77">
        <v>-51328.07</v>
      </c>
      <c r="G674" s="77">
        <v>-4255.25</v>
      </c>
      <c r="H674" s="77">
        <v>-55583.32</v>
      </c>
      <c r="I674" s="76" t="s">
        <v>732</v>
      </c>
      <c r="J674" s="77">
        <v>0</v>
      </c>
      <c r="K674" s="78">
        <v>-4047.38</v>
      </c>
      <c r="M674" s="79" t="str">
        <f t="shared" si="32"/>
        <v>132-3505</v>
      </c>
      <c r="N674" s="79" t="str">
        <f t="shared" si="30"/>
        <v/>
      </c>
      <c r="O674" s="79" t="str">
        <f t="shared" si="31"/>
        <v>132</v>
      </c>
      <c r="P674" s="79" t="str">
        <f>IFERROR(VLOOKUP($M674,Export!$P:$R,2,FALSE),"-")</f>
        <v>LEX Parts</v>
      </c>
      <c r="Q674" s="79" t="str">
        <f>IFERROR(VLOOKUP($M674,Export!$P:$R,3,FALSE),"-")</f>
        <v>LEX PartsInternal Sales %  Sales</v>
      </c>
      <c r="R674" s="80" t="e" cm="1">
        <f t="array" ref="R674">_xlfn.IFS(P674="Service", _xlfn.IFS(I674="SALES","GP",I674="SERVICE SALES","GP",I674="PARTS SALES","GP",I674="SERVICE COS","GP",I674="PARTS COS","GP",I674="SELLING EXPENSES","Selling Expenses",I674="EMPLOYMENT EXPENSES","Selling Expenses",I674="EMPLOYMENT EXPENSES","Selling Expenses",I674="DIRECT EXPENSES","Selling Expenses",I674="INDIRECT EXPENSES","Selling Expenses"),P674="Parts",_xlfn.IFS(I674="SALES","GP",I674="SERVICE SALES","GP",I674="PARTS SALES","GP",I674="SERVICE COS","GP",I674="PARTS COS","GP",I674="SELLING EXPENSES","Selling Expenses",I674="EMPLOYMENT EXPENSES","Selling Expenses",I674="EMPLOYMENT EXPENSES","Selling Expenses",I674="DIRECT EXPENSES","Selling Expenses",I674="INDIRECT EXPENSES","Selling Expenses"))</f>
        <v>#N/A</v>
      </c>
    </row>
    <row r="675" spans="1:18" x14ac:dyDescent="0.2">
      <c r="A675" s="75">
        <v>3505</v>
      </c>
      <c r="B675" s="76" t="s">
        <v>104</v>
      </c>
      <c r="C675" s="76">
        <v>230</v>
      </c>
      <c r="D675" s="76" t="s">
        <v>438</v>
      </c>
      <c r="E675" s="76" t="s">
        <v>426</v>
      </c>
      <c r="F675" s="77">
        <v>-86142.93</v>
      </c>
      <c r="G675" s="77">
        <v>-6435.21</v>
      </c>
      <c r="H675" s="77">
        <v>-92578.14</v>
      </c>
      <c r="I675" s="76" t="s">
        <v>732</v>
      </c>
      <c r="J675" s="77">
        <v>-16202.64</v>
      </c>
      <c r="K675" s="78">
        <v>-132042.51999999999</v>
      </c>
      <c r="M675" s="79" t="str">
        <f t="shared" si="32"/>
        <v>230-3505</v>
      </c>
      <c r="N675" s="79" t="str">
        <f t="shared" si="30"/>
        <v/>
      </c>
      <c r="O675" s="79" t="str">
        <f t="shared" si="31"/>
        <v>230</v>
      </c>
      <c r="P675" s="79" t="str">
        <f>IFERROR(VLOOKUP($M675,Export!$P:$R,2,FALSE),"-")</f>
        <v>Parts</v>
      </c>
      <c r="Q675" s="79" t="str">
        <f>IFERROR(VLOOKUP($M675,Export!$P:$R,3,FALSE),"-")</f>
        <v>PartsInternal Sales %  Sales</v>
      </c>
      <c r="R675" s="80" t="str" cm="1">
        <f t="array" ref="R675">_xlfn.IFS(P675="Service", _xlfn.IFS(I675="SALES","GP",I675="SERVICE SALES","GP",I675="PARTS SALES","GP",I675="SERVICE COS","GP",I675="PARTS COS","GP",I675="SELLING EXPENSES","Selling Expenses",I675="EMPLOYMENT EXPENSES","Selling Expenses",I675="EMPLOYMENT EXPENSES","Selling Expenses",I675="DIRECT EXPENSES","Selling Expenses",I675="INDIRECT EXPENSES","Selling Expenses"),P675="Parts",_xlfn.IFS(I675="SALES","GP",I675="SERVICE SALES","GP",I675="PARTS SALES","GP",I675="SERVICE COS","GP",I675="PARTS COS","GP",I675="SELLING EXPENSES","Selling Expenses",I675="EMPLOYMENT EXPENSES","Selling Expenses",I675="EMPLOYMENT EXPENSES","Selling Expenses",I675="DIRECT EXPENSES","Selling Expenses",I675="INDIRECT EXPENSES","Selling Expenses"))</f>
        <v>GP</v>
      </c>
    </row>
    <row r="676" spans="1:18" x14ac:dyDescent="0.2">
      <c r="A676" s="75">
        <v>3505</v>
      </c>
      <c r="B676" s="76" t="s">
        <v>104</v>
      </c>
      <c r="C676" s="76">
        <v>330</v>
      </c>
      <c r="D676" s="76" t="s">
        <v>457</v>
      </c>
      <c r="E676" s="76" t="s">
        <v>426</v>
      </c>
      <c r="F676" s="77">
        <v>-39412.47</v>
      </c>
      <c r="G676" s="77">
        <v>-4562.96</v>
      </c>
      <c r="H676" s="77">
        <v>-43975.43</v>
      </c>
      <c r="I676" s="76" t="s">
        <v>732</v>
      </c>
      <c r="J676" s="77">
        <v>-4926.68</v>
      </c>
      <c r="K676" s="78">
        <v>-48399.99</v>
      </c>
      <c r="M676" s="79" t="str">
        <f t="shared" si="32"/>
        <v>330-3505</v>
      </c>
      <c r="N676" s="79" t="str">
        <f t="shared" si="30"/>
        <v/>
      </c>
      <c r="O676" s="79" t="str">
        <f t="shared" si="31"/>
        <v>330</v>
      </c>
      <c r="P676" s="79" t="str">
        <f>IFERROR(VLOOKUP($M676,Export!$P:$R,2,FALSE),"-")</f>
        <v>Parts</v>
      </c>
      <c r="Q676" s="79" t="str">
        <f>IFERROR(VLOOKUP($M676,Export!$P:$R,3,FALSE),"-")</f>
        <v>PartsInternal Sales %  Sales</v>
      </c>
      <c r="R676" s="80" t="str" cm="1">
        <f t="array" ref="R676">_xlfn.IFS(P676="Service", _xlfn.IFS(I676="SALES","GP",I676="SERVICE SALES","GP",I676="PARTS SALES","GP",I676="SERVICE COS","GP",I676="PARTS COS","GP",I676="SELLING EXPENSES","Selling Expenses",I676="EMPLOYMENT EXPENSES","Selling Expenses",I676="EMPLOYMENT EXPENSES","Selling Expenses",I676="DIRECT EXPENSES","Selling Expenses",I676="INDIRECT EXPENSES","Selling Expenses"),P676="Parts",_xlfn.IFS(I676="SALES","GP",I676="SERVICE SALES","GP",I676="PARTS SALES","GP",I676="SERVICE COS","GP",I676="PARTS COS","GP",I676="SELLING EXPENSES","Selling Expenses",I676="EMPLOYMENT EXPENSES","Selling Expenses",I676="EMPLOYMENT EXPENSES","Selling Expenses",I676="DIRECT EXPENSES","Selling Expenses",I676="INDIRECT EXPENSES","Selling Expenses"))</f>
        <v>GP</v>
      </c>
    </row>
    <row r="677" spans="1:18" x14ac:dyDescent="0.2">
      <c r="A677" s="75">
        <v>3505</v>
      </c>
      <c r="B677" s="76" t="s">
        <v>104</v>
      </c>
      <c r="C677" s="76">
        <v>430</v>
      </c>
      <c r="D677" s="76" t="s">
        <v>458</v>
      </c>
      <c r="E677" s="76" t="s">
        <v>426</v>
      </c>
      <c r="F677" s="77">
        <v>-1338529.8</v>
      </c>
      <c r="G677" s="77">
        <v>-97353.19</v>
      </c>
      <c r="H677" s="77">
        <v>-1435882.99</v>
      </c>
      <c r="I677" s="76" t="s">
        <v>732</v>
      </c>
      <c r="J677" s="77">
        <v>-147107.68</v>
      </c>
      <c r="K677" s="78">
        <v>-1248405.45</v>
      </c>
      <c r="M677" s="79" t="str">
        <f t="shared" si="32"/>
        <v>430-3505</v>
      </c>
      <c r="N677" s="79" t="str">
        <f t="shared" si="30"/>
        <v/>
      </c>
      <c r="O677" s="79" t="str">
        <f t="shared" si="31"/>
        <v>430</v>
      </c>
      <c r="P677" s="79" t="str">
        <f>IFERROR(VLOOKUP($M677,Export!$P:$R,2,FALSE),"-")</f>
        <v>Parts</v>
      </c>
      <c r="Q677" s="79" t="str">
        <f>IFERROR(VLOOKUP($M677,Export!$P:$R,3,FALSE),"-")</f>
        <v>PartsInternal Sales %  Sales</v>
      </c>
      <c r="R677" s="80" t="str" cm="1">
        <f t="array" ref="R677">_xlfn.IFS(P677="Service", _xlfn.IFS(I677="SALES","GP",I677="SERVICE SALES","GP",I677="PARTS SALES","GP",I677="SERVICE COS","GP",I677="PARTS COS","GP",I677="SELLING EXPENSES","Selling Expenses",I677="EMPLOYMENT EXPENSES","Selling Expenses",I677="EMPLOYMENT EXPENSES","Selling Expenses",I677="DIRECT EXPENSES","Selling Expenses",I677="INDIRECT EXPENSES","Selling Expenses"),P677="Parts",_xlfn.IFS(I677="SALES","GP",I677="SERVICE SALES","GP",I677="PARTS SALES","GP",I677="SERVICE COS","GP",I677="PARTS COS","GP",I677="SELLING EXPENSES","Selling Expenses",I677="EMPLOYMENT EXPENSES","Selling Expenses",I677="EMPLOYMENT EXPENSES","Selling Expenses",I677="DIRECT EXPENSES","Selling Expenses",I677="INDIRECT EXPENSES","Selling Expenses"))</f>
        <v>GP</v>
      </c>
    </row>
    <row r="678" spans="1:18" x14ac:dyDescent="0.2">
      <c r="A678" s="75">
        <v>3505</v>
      </c>
      <c r="B678" s="76" t="s">
        <v>104</v>
      </c>
      <c r="C678" s="76">
        <v>935</v>
      </c>
      <c r="D678" s="76" t="s">
        <v>442</v>
      </c>
      <c r="E678" s="76" t="s">
        <v>426</v>
      </c>
      <c r="F678" s="77">
        <v>-124528.33</v>
      </c>
      <c r="G678" s="77">
        <v>-19919</v>
      </c>
      <c r="H678" s="77">
        <v>-144447.32999999999</v>
      </c>
      <c r="I678" s="76" t="s">
        <v>732</v>
      </c>
      <c r="J678" s="77">
        <v>-30701.56</v>
      </c>
      <c r="K678" s="78">
        <v>-279712.94</v>
      </c>
      <c r="M678" s="79" t="str">
        <f t="shared" si="32"/>
        <v>935-3505</v>
      </c>
      <c r="N678" s="79" t="str">
        <f t="shared" si="30"/>
        <v/>
      </c>
      <c r="O678" s="79" t="str">
        <f t="shared" si="31"/>
        <v>935</v>
      </c>
      <c r="P678" s="79" t="str">
        <f>IFERROR(VLOOKUP($M678,Export!$P:$R,2,FALSE),"-")</f>
        <v>Bridgestone</v>
      </c>
      <c r="Q678" s="79" t="str">
        <f>IFERROR(VLOOKUP($M678,Export!$P:$R,3,FALSE),"-")</f>
        <v>BridgestoneInternal Sales %  Sales</v>
      </c>
      <c r="R678" s="80" t="e" cm="1">
        <f t="array" ref="R678">_xlfn.IFS(P678="Service", _xlfn.IFS(I678="SALES","GP",I678="SERVICE SALES","GP",I678="PARTS SALES","GP",I678="SERVICE COS","GP",I678="PARTS COS","GP",I678="SELLING EXPENSES","Selling Expenses",I678="EMPLOYMENT EXPENSES","Selling Expenses",I678="EMPLOYMENT EXPENSES","Selling Expenses",I678="DIRECT EXPENSES","Selling Expenses",I678="INDIRECT EXPENSES","Selling Expenses"),P678="Parts",_xlfn.IFS(I678="SALES","GP",I678="SERVICE SALES","GP",I678="PARTS SALES","GP",I678="SERVICE COS","GP",I678="PARTS COS","GP",I678="SELLING EXPENSES","Selling Expenses",I678="EMPLOYMENT EXPENSES","Selling Expenses",I678="EMPLOYMENT EXPENSES","Selling Expenses",I678="DIRECT EXPENSES","Selling Expenses",I678="INDIRECT EXPENSES","Selling Expenses"))</f>
        <v>#N/A</v>
      </c>
    </row>
    <row r="679" spans="1:18" x14ac:dyDescent="0.2">
      <c r="A679" s="75">
        <v>3505</v>
      </c>
      <c r="B679" s="76" t="s">
        <v>104</v>
      </c>
      <c r="C679" s="76">
        <v>936</v>
      </c>
      <c r="D679" s="76" t="s">
        <v>443</v>
      </c>
      <c r="E679" s="76" t="s">
        <v>426</v>
      </c>
      <c r="F679" s="77">
        <v>-493.47</v>
      </c>
      <c r="G679" s="77">
        <v>0</v>
      </c>
      <c r="H679" s="77">
        <v>-493.47</v>
      </c>
      <c r="I679" s="76" t="s">
        <v>732</v>
      </c>
      <c r="J679" s="77">
        <v>-895.94</v>
      </c>
      <c r="K679" s="78">
        <v>-11070.22</v>
      </c>
      <c r="M679" s="79" t="str">
        <f t="shared" si="32"/>
        <v>936-3505</v>
      </c>
      <c r="N679" s="79" t="str">
        <f t="shared" si="30"/>
        <v/>
      </c>
      <c r="O679" s="79" t="str">
        <f t="shared" si="31"/>
        <v>936</v>
      </c>
      <c r="P679" s="79" t="str">
        <f>IFERROR(VLOOKUP($M679,Export!$P:$R,2,FALSE),"-")</f>
        <v>Bridgestone</v>
      </c>
      <c r="Q679" s="79" t="str">
        <f>IFERROR(VLOOKUP($M679,Export!$P:$R,3,FALSE),"-")</f>
        <v>BridgestoneInternal Sales %  Sales</v>
      </c>
      <c r="R679" s="80" t="e" cm="1">
        <f t="array" ref="R679">_xlfn.IFS(P679="Service", _xlfn.IFS(I679="SALES","GP",I679="SERVICE SALES","GP",I679="PARTS SALES","GP",I679="SERVICE COS","GP",I679="PARTS COS","GP",I679="SELLING EXPENSES","Selling Expenses",I679="EMPLOYMENT EXPENSES","Selling Expenses",I679="EMPLOYMENT EXPENSES","Selling Expenses",I679="DIRECT EXPENSES","Selling Expenses",I679="INDIRECT EXPENSES","Selling Expenses"),P679="Parts",_xlfn.IFS(I679="SALES","GP",I679="SERVICE SALES","GP",I679="PARTS SALES","GP",I679="SERVICE COS","GP",I679="PARTS COS","GP",I679="SELLING EXPENSES","Selling Expenses",I679="EMPLOYMENT EXPENSES","Selling Expenses",I679="EMPLOYMENT EXPENSES","Selling Expenses",I679="DIRECT EXPENSES","Selling Expenses",I679="INDIRECT EXPENSES","Selling Expenses"))</f>
        <v>#N/A</v>
      </c>
    </row>
    <row r="680" spans="1:18" x14ac:dyDescent="0.2">
      <c r="A680" s="75">
        <v>3510</v>
      </c>
      <c r="B680" s="76" t="s">
        <v>739</v>
      </c>
      <c r="C680" s="76">
        <v>130</v>
      </c>
      <c r="D680" s="76" t="s">
        <v>432</v>
      </c>
      <c r="E680" s="76" t="s">
        <v>426</v>
      </c>
      <c r="F680" s="77">
        <v>-64.77</v>
      </c>
      <c r="G680" s="77">
        <v>0</v>
      </c>
      <c r="H680" s="77">
        <v>-64.77</v>
      </c>
      <c r="I680" s="76" t="s">
        <v>732</v>
      </c>
      <c r="J680" s="77">
        <v>0</v>
      </c>
      <c r="K680" s="78">
        <v>-42.46</v>
      </c>
      <c r="M680" s="79" t="str">
        <f t="shared" si="32"/>
        <v>130-3510</v>
      </c>
      <c r="N680" s="79" t="str">
        <f t="shared" si="30"/>
        <v/>
      </c>
      <c r="O680" s="79" t="str">
        <f t="shared" si="31"/>
        <v>130</v>
      </c>
      <c r="P680" s="79" t="str">
        <f>IFERROR(VLOOKUP($M680,Export!$P:$R,2,FALSE),"-")</f>
        <v>Parts</v>
      </c>
      <c r="Q680" s="79" t="str">
        <f>IFERROR(VLOOKUP($M680,Export!$P:$R,3,FALSE),"-")</f>
        <v>PartsInternal Sales %  Sales</v>
      </c>
      <c r="R680" s="80" t="str" cm="1">
        <f t="array" ref="R680">_xlfn.IFS(P680="Service", _xlfn.IFS(I680="SALES","GP",I680="SERVICE SALES","GP",I680="PARTS SALES","GP",I680="SERVICE COS","GP",I680="PARTS COS","GP",I680="SELLING EXPENSES","Selling Expenses",I680="EMPLOYMENT EXPENSES","Selling Expenses",I680="EMPLOYMENT EXPENSES","Selling Expenses",I680="DIRECT EXPENSES","Selling Expenses",I680="INDIRECT EXPENSES","Selling Expenses"),P680="Parts",_xlfn.IFS(I680="SALES","GP",I680="SERVICE SALES","GP",I680="PARTS SALES","GP",I680="SERVICE COS","GP",I680="PARTS COS","GP",I680="SELLING EXPENSES","Selling Expenses",I680="EMPLOYMENT EXPENSES","Selling Expenses",I680="EMPLOYMENT EXPENSES","Selling Expenses",I680="DIRECT EXPENSES","Selling Expenses",I680="INDIRECT EXPENSES","Selling Expenses"))</f>
        <v>GP</v>
      </c>
    </row>
    <row r="681" spans="1:18" x14ac:dyDescent="0.2">
      <c r="A681" s="75">
        <v>3510</v>
      </c>
      <c r="B681" s="76" t="s">
        <v>739</v>
      </c>
      <c r="C681" s="76">
        <v>230</v>
      </c>
      <c r="D681" s="76" t="s">
        <v>438</v>
      </c>
      <c r="E681" s="76" t="s">
        <v>426</v>
      </c>
      <c r="F681" s="77">
        <v>-40</v>
      </c>
      <c r="G681" s="77">
        <v>0</v>
      </c>
      <c r="H681" s="77">
        <v>-40</v>
      </c>
      <c r="I681" s="76" t="s">
        <v>732</v>
      </c>
      <c r="J681" s="77">
        <v>0</v>
      </c>
      <c r="K681" s="78">
        <v>0</v>
      </c>
      <c r="M681" s="79" t="str">
        <f t="shared" si="32"/>
        <v>230-3510</v>
      </c>
      <c r="N681" s="79" t="str">
        <f t="shared" si="30"/>
        <v/>
      </c>
      <c r="O681" s="79" t="str">
        <f t="shared" si="31"/>
        <v>230</v>
      </c>
      <c r="P681" s="79" t="str">
        <f>IFERROR(VLOOKUP($M681,Export!$P:$R,2,FALSE),"-")</f>
        <v>Parts</v>
      </c>
      <c r="Q681" s="79" t="str">
        <f>IFERROR(VLOOKUP($M681,Export!$P:$R,3,FALSE),"-")</f>
        <v>PartsInternal Sales %  Sales</v>
      </c>
      <c r="R681" s="80" t="str" cm="1">
        <f t="array" ref="R681">_xlfn.IFS(P681="Service", _xlfn.IFS(I681="SALES","GP",I681="SERVICE SALES","GP",I681="PARTS SALES","GP",I681="SERVICE COS","GP",I681="PARTS COS","GP",I681="SELLING EXPENSES","Selling Expenses",I681="EMPLOYMENT EXPENSES","Selling Expenses",I681="EMPLOYMENT EXPENSES","Selling Expenses",I681="DIRECT EXPENSES","Selling Expenses",I681="INDIRECT EXPENSES","Selling Expenses"),P681="Parts",_xlfn.IFS(I681="SALES","GP",I681="SERVICE SALES","GP",I681="PARTS SALES","GP",I681="SERVICE COS","GP",I681="PARTS COS","GP",I681="SELLING EXPENSES","Selling Expenses",I681="EMPLOYMENT EXPENSES","Selling Expenses",I681="EMPLOYMENT EXPENSES","Selling Expenses",I681="DIRECT EXPENSES","Selling Expenses",I681="INDIRECT EXPENSES","Selling Expenses"))</f>
        <v>GP</v>
      </c>
    </row>
    <row r="682" spans="1:18" x14ac:dyDescent="0.2">
      <c r="A682" s="75">
        <v>3510</v>
      </c>
      <c r="B682" s="76" t="s">
        <v>739</v>
      </c>
      <c r="C682" s="76">
        <v>330</v>
      </c>
      <c r="D682" s="76" t="s">
        <v>457</v>
      </c>
      <c r="E682" s="76" t="s">
        <v>426</v>
      </c>
      <c r="F682" s="77">
        <v>-30.77</v>
      </c>
      <c r="G682" s="77">
        <v>0</v>
      </c>
      <c r="H682" s="77">
        <v>-30.77</v>
      </c>
      <c r="I682" s="76" t="s">
        <v>732</v>
      </c>
      <c r="J682" s="77">
        <v>0</v>
      </c>
      <c r="K682" s="78">
        <v>0</v>
      </c>
      <c r="M682" s="79" t="str">
        <f t="shared" si="32"/>
        <v>330-3510</v>
      </c>
      <c r="N682" s="79" t="str">
        <f t="shared" si="30"/>
        <v/>
      </c>
      <c r="O682" s="79" t="str">
        <f t="shared" si="31"/>
        <v>330</v>
      </c>
      <c r="P682" s="79" t="str">
        <f>IFERROR(VLOOKUP($M682,Export!$P:$R,2,FALSE),"-")</f>
        <v>Parts</v>
      </c>
      <c r="Q682" s="79" t="str">
        <f>IFERROR(VLOOKUP($M682,Export!$P:$R,3,FALSE),"-")</f>
        <v>PartsInternal Sales %  Sales</v>
      </c>
      <c r="R682" s="80" t="str" cm="1">
        <f t="array" ref="R682">_xlfn.IFS(P682="Service", _xlfn.IFS(I682="SALES","GP",I682="SERVICE SALES","GP",I682="PARTS SALES","GP",I682="SERVICE COS","GP",I682="PARTS COS","GP",I682="SELLING EXPENSES","Selling Expenses",I682="EMPLOYMENT EXPENSES","Selling Expenses",I682="EMPLOYMENT EXPENSES","Selling Expenses",I682="DIRECT EXPENSES","Selling Expenses",I682="INDIRECT EXPENSES","Selling Expenses"),P682="Parts",_xlfn.IFS(I682="SALES","GP",I682="SERVICE SALES","GP",I682="PARTS SALES","GP",I682="SERVICE COS","GP",I682="PARTS COS","GP",I682="SELLING EXPENSES","Selling Expenses",I682="EMPLOYMENT EXPENSES","Selling Expenses",I682="EMPLOYMENT EXPENSES","Selling Expenses",I682="DIRECT EXPENSES","Selling Expenses",I682="INDIRECT EXPENSES","Selling Expenses"))</f>
        <v>GP</v>
      </c>
    </row>
    <row r="683" spans="1:18" x14ac:dyDescent="0.2">
      <c r="A683" s="75">
        <v>3510</v>
      </c>
      <c r="B683" s="76" t="s">
        <v>739</v>
      </c>
      <c r="C683" s="76">
        <v>430</v>
      </c>
      <c r="D683" s="76" t="s">
        <v>458</v>
      </c>
      <c r="E683" s="76" t="s">
        <v>426</v>
      </c>
      <c r="F683" s="77">
        <v>-630</v>
      </c>
      <c r="G683" s="77">
        <v>0</v>
      </c>
      <c r="H683" s="77">
        <v>-630</v>
      </c>
      <c r="I683" s="76" t="s">
        <v>732</v>
      </c>
      <c r="J683" s="77">
        <v>0</v>
      </c>
      <c r="K683" s="78">
        <v>0</v>
      </c>
      <c r="M683" s="79" t="str">
        <f t="shared" si="32"/>
        <v>430-3510</v>
      </c>
      <c r="N683" s="79" t="str">
        <f t="shared" si="30"/>
        <v/>
      </c>
      <c r="O683" s="79" t="str">
        <f t="shared" si="31"/>
        <v>430</v>
      </c>
      <c r="P683" s="79" t="str">
        <f>IFERROR(VLOOKUP($M683,Export!$P:$R,2,FALSE),"-")</f>
        <v>Parts</v>
      </c>
      <c r="Q683" s="79" t="str">
        <f>IFERROR(VLOOKUP($M683,Export!$P:$R,3,FALSE),"-")</f>
        <v>PartsInternal Sales %  Sales</v>
      </c>
      <c r="R683" s="80" t="str" cm="1">
        <f t="array" ref="R683">_xlfn.IFS(P683="Service", _xlfn.IFS(I683="SALES","GP",I683="SERVICE SALES","GP",I683="PARTS SALES","GP",I683="SERVICE COS","GP",I683="PARTS COS","GP",I683="SELLING EXPENSES","Selling Expenses",I683="EMPLOYMENT EXPENSES","Selling Expenses",I683="EMPLOYMENT EXPENSES","Selling Expenses",I683="DIRECT EXPENSES","Selling Expenses",I683="INDIRECT EXPENSES","Selling Expenses"),P683="Parts",_xlfn.IFS(I683="SALES","GP",I683="SERVICE SALES","GP",I683="PARTS SALES","GP",I683="SERVICE COS","GP",I683="PARTS COS","GP",I683="SELLING EXPENSES","Selling Expenses",I683="EMPLOYMENT EXPENSES","Selling Expenses",I683="EMPLOYMENT EXPENSES","Selling Expenses",I683="DIRECT EXPENSES","Selling Expenses",I683="INDIRECT EXPENSES","Selling Expenses"))</f>
        <v>GP</v>
      </c>
    </row>
    <row r="684" spans="1:18" x14ac:dyDescent="0.2">
      <c r="A684" s="75">
        <v>4290</v>
      </c>
      <c r="B684" s="76" t="s">
        <v>740</v>
      </c>
      <c r="C684" s="76">
        <v>100</v>
      </c>
      <c r="D684" s="76" t="s">
        <v>227</v>
      </c>
      <c r="E684" s="76" t="s">
        <v>426</v>
      </c>
      <c r="F684" s="77">
        <v>-10015.32</v>
      </c>
      <c r="G684" s="77">
        <v>0</v>
      </c>
      <c r="H684" s="77">
        <v>-10015.32</v>
      </c>
      <c r="I684" s="76" t="s">
        <v>741</v>
      </c>
      <c r="J684" s="77">
        <v>0</v>
      </c>
      <c r="K684" s="78">
        <v>0</v>
      </c>
      <c r="M684" s="79" t="str">
        <f t="shared" si="32"/>
        <v>100-4290</v>
      </c>
      <c r="N684" s="79" t="str">
        <f t="shared" si="30"/>
        <v/>
      </c>
      <c r="O684" s="79" t="str">
        <f t="shared" si="31"/>
        <v>100</v>
      </c>
      <c r="P684" s="79" t="str">
        <f>IFERROR(VLOOKUP($M684,Export!$P:$R,2,FALSE),"-")</f>
        <v>New Vehicle</v>
      </c>
      <c r="Q684" s="79" t="str">
        <f>IFERROR(VLOOKUP($M684,Export!$P:$R,3,FALSE),"-")</f>
        <v>New VehicleRetail Gross p.u.</v>
      </c>
      <c r="R684" s="80" t="e" cm="1">
        <f t="array" ref="R684">_xlfn.IFS(P684="Service", _xlfn.IFS(I684="SALES","GP",I684="SERVICE SALES","GP",I684="PARTS SALES","GP",I684="SERVICE COS","GP",I684="PARTS COS","GP",I684="SELLING EXPENSES","Selling Expenses",I684="EMPLOYMENT EXPENSES","Selling Expenses",I684="EMPLOYMENT EXPENSES","Selling Expenses",I684="DIRECT EXPENSES","Selling Expenses",I684="INDIRECT EXPENSES","Selling Expenses"),P684="Parts",_xlfn.IFS(I684="SALES","GP",I684="SERVICE SALES","GP",I684="PARTS SALES","GP",I684="SERVICE COS","GP",I684="PARTS COS","GP",I684="SELLING EXPENSES","Selling Expenses",I684="EMPLOYMENT EXPENSES","Selling Expenses",I684="EMPLOYMENT EXPENSES","Selling Expenses",I684="DIRECT EXPENSES","Selling Expenses",I684="INDIRECT EXPENSES","Selling Expenses"))</f>
        <v>#N/A</v>
      </c>
    </row>
    <row r="685" spans="1:18" x14ac:dyDescent="0.2">
      <c r="A685" s="75" t="s">
        <v>742</v>
      </c>
      <c r="B685" s="76" t="s">
        <v>743</v>
      </c>
      <c r="C685" s="76">
        <v>100</v>
      </c>
      <c r="D685" s="76" t="s">
        <v>227</v>
      </c>
      <c r="E685" s="76" t="s">
        <v>426</v>
      </c>
      <c r="F685" s="77">
        <v>13395.43</v>
      </c>
      <c r="G685" s="77">
        <v>0</v>
      </c>
      <c r="H685" s="77">
        <v>13395.43</v>
      </c>
      <c r="I685" s="76" t="s">
        <v>744</v>
      </c>
      <c r="J685" s="77">
        <v>0</v>
      </c>
      <c r="K685" s="78">
        <v>12625.57</v>
      </c>
      <c r="M685" s="79" t="str">
        <f t="shared" si="32"/>
        <v>100-4076R</v>
      </c>
      <c r="N685" s="79" t="str">
        <f t="shared" si="30"/>
        <v/>
      </c>
      <c r="O685" s="79" t="str">
        <f t="shared" si="31"/>
        <v>100</v>
      </c>
      <c r="P685" s="79" t="str">
        <f>IFERROR(VLOOKUP($M685,Export!$P:$R,2,FALSE),"-")</f>
        <v>New Vehicle</v>
      </c>
      <c r="Q685" s="79" t="str">
        <f>IFERROR(VLOOKUP($M685,Export!$P:$R,3,FALSE),"-")</f>
        <v>New VehicleOther Income per NV unit</v>
      </c>
      <c r="R685" s="80" t="e" cm="1">
        <f t="array" ref="R685">_xlfn.IFS(P685="Service", _xlfn.IFS(I685="SALES","GP",I685="SERVICE SALES","GP",I685="PARTS SALES","GP",I685="SERVICE COS","GP",I685="PARTS COS","GP",I685="SELLING EXPENSES","Selling Expenses",I685="EMPLOYMENT EXPENSES","Selling Expenses",I685="EMPLOYMENT EXPENSES","Selling Expenses",I685="DIRECT EXPENSES","Selling Expenses",I685="INDIRECT EXPENSES","Selling Expenses"),P685="Parts",_xlfn.IFS(I685="SALES","GP",I685="SERVICE SALES","GP",I685="PARTS SALES","GP",I685="SERVICE COS","GP",I685="PARTS COS","GP",I685="SELLING EXPENSES","Selling Expenses",I685="EMPLOYMENT EXPENSES","Selling Expenses",I685="EMPLOYMENT EXPENSES","Selling Expenses",I685="DIRECT EXPENSES","Selling Expenses",I685="INDIRECT EXPENSES","Selling Expenses"))</f>
        <v>#N/A</v>
      </c>
    </row>
    <row r="686" spans="1:18" x14ac:dyDescent="0.2">
      <c r="A686" s="75" t="s">
        <v>742</v>
      </c>
      <c r="B686" s="76" t="s">
        <v>743</v>
      </c>
      <c r="C686" s="76">
        <v>110</v>
      </c>
      <c r="D686" s="76" t="s">
        <v>430</v>
      </c>
      <c r="E686" s="76" t="s">
        <v>426</v>
      </c>
      <c r="F686" s="77">
        <v>94556.98</v>
      </c>
      <c r="G686" s="77">
        <v>0</v>
      </c>
      <c r="H686" s="77">
        <v>94556.98</v>
      </c>
      <c r="I686" s="76" t="s">
        <v>744</v>
      </c>
      <c r="J686" s="77">
        <v>0</v>
      </c>
      <c r="K686" s="78">
        <v>3018.98</v>
      </c>
      <c r="M686" s="79" t="str">
        <f t="shared" si="32"/>
        <v>110-4076R</v>
      </c>
      <c r="N686" s="79" t="str">
        <f t="shared" si="30"/>
        <v/>
      </c>
      <c r="O686" s="79" t="str">
        <f t="shared" si="31"/>
        <v>110</v>
      </c>
      <c r="P686" s="79" t="str">
        <f>IFERROR(VLOOKUP($M686,Export!$P:$R,2,FALSE),"-")</f>
        <v>Used Vehicle</v>
      </c>
      <c r="Q686" s="79" t="str">
        <f>IFERROR(VLOOKUP($M686,Export!$P:$R,3,FALSE),"-")</f>
        <v>Used VehicleEx NV demonstrators gross profit p.u.</v>
      </c>
      <c r="R686" s="80" t="e" cm="1">
        <f t="array" ref="R686">_xlfn.IFS(P686="Service", _xlfn.IFS(I686="SALES","GP",I686="SERVICE SALES","GP",I686="PARTS SALES","GP",I686="SERVICE COS","GP",I686="PARTS COS","GP",I686="SELLING EXPENSES","Selling Expenses",I686="EMPLOYMENT EXPENSES","Selling Expenses",I686="EMPLOYMENT EXPENSES","Selling Expenses",I686="DIRECT EXPENSES","Selling Expenses",I686="INDIRECT EXPENSES","Selling Expenses"),P686="Parts",_xlfn.IFS(I686="SALES","GP",I686="SERVICE SALES","GP",I686="PARTS SALES","GP",I686="SERVICE COS","GP",I686="PARTS COS","GP",I686="SELLING EXPENSES","Selling Expenses",I686="EMPLOYMENT EXPENSES","Selling Expenses",I686="EMPLOYMENT EXPENSES","Selling Expenses",I686="DIRECT EXPENSES","Selling Expenses",I686="INDIRECT EXPENSES","Selling Expenses"))</f>
        <v>#N/A</v>
      </c>
    </row>
    <row r="687" spans="1:18" x14ac:dyDescent="0.2">
      <c r="A687" s="75" t="s">
        <v>742</v>
      </c>
      <c r="B687" s="76" t="s">
        <v>743</v>
      </c>
      <c r="C687" s="76">
        <v>200</v>
      </c>
      <c r="D687" s="76" t="s">
        <v>428</v>
      </c>
      <c r="E687" s="76" t="s">
        <v>426</v>
      </c>
      <c r="F687" s="77">
        <v>66685.539999999994</v>
      </c>
      <c r="G687" s="77">
        <v>6498.4</v>
      </c>
      <c r="H687" s="77">
        <v>73183.94</v>
      </c>
      <c r="I687" s="76" t="s">
        <v>744</v>
      </c>
      <c r="J687" s="77">
        <v>0</v>
      </c>
      <c r="K687" s="78">
        <v>21351.48</v>
      </c>
      <c r="M687" s="79" t="str">
        <f t="shared" si="32"/>
        <v>200-4076R</v>
      </c>
      <c r="N687" s="79" t="str">
        <f t="shared" si="30"/>
        <v/>
      </c>
      <c r="O687" s="79" t="str">
        <f t="shared" si="31"/>
        <v>200</v>
      </c>
      <c r="P687" s="79" t="str">
        <f>IFERROR(VLOOKUP($M687,Export!$P:$R,2,FALSE),"-")</f>
        <v>New Vehicle</v>
      </c>
      <c r="Q687" s="79" t="str">
        <f>IFERROR(VLOOKUP($M687,Export!$P:$R,3,FALSE),"-")</f>
        <v>New VehicleOther Income per NV unit</v>
      </c>
      <c r="R687" s="80" t="e" cm="1">
        <f t="array" ref="R687">_xlfn.IFS(P687="Service", _xlfn.IFS(I687="SALES","GP",I687="SERVICE SALES","GP",I687="PARTS SALES","GP",I687="SERVICE COS","GP",I687="PARTS COS","GP",I687="SELLING EXPENSES","Selling Expenses",I687="EMPLOYMENT EXPENSES","Selling Expenses",I687="EMPLOYMENT EXPENSES","Selling Expenses",I687="DIRECT EXPENSES","Selling Expenses",I687="INDIRECT EXPENSES","Selling Expenses"),P687="Parts",_xlfn.IFS(I687="SALES","GP",I687="SERVICE SALES","GP",I687="PARTS SALES","GP",I687="SERVICE COS","GP",I687="PARTS COS","GP",I687="SELLING EXPENSES","Selling Expenses",I687="EMPLOYMENT EXPENSES","Selling Expenses",I687="EMPLOYMENT EXPENSES","Selling Expenses",I687="DIRECT EXPENSES","Selling Expenses",I687="INDIRECT EXPENSES","Selling Expenses"))</f>
        <v>#N/A</v>
      </c>
    </row>
    <row r="688" spans="1:18" x14ac:dyDescent="0.2">
      <c r="A688" s="75" t="s">
        <v>745</v>
      </c>
      <c r="B688" s="76" t="s">
        <v>746</v>
      </c>
      <c r="C688" s="76">
        <v>110</v>
      </c>
      <c r="D688" s="76" t="s">
        <v>430</v>
      </c>
      <c r="E688" s="76" t="s">
        <v>426</v>
      </c>
      <c r="F688" s="77">
        <v>-588.85</v>
      </c>
      <c r="G688" s="77">
        <v>0</v>
      </c>
      <c r="H688" s="77">
        <v>-588.85</v>
      </c>
      <c r="I688" s="76" t="s">
        <v>744</v>
      </c>
      <c r="J688" s="77">
        <v>0</v>
      </c>
      <c r="K688" s="78">
        <v>0</v>
      </c>
      <c r="M688" s="79" t="str">
        <f t="shared" si="32"/>
        <v>110-4076RR</v>
      </c>
      <c r="N688" s="79" t="str">
        <f t="shared" si="30"/>
        <v/>
      </c>
      <c r="O688" s="79" t="str">
        <f t="shared" si="31"/>
        <v>110</v>
      </c>
      <c r="P688" s="79" t="str">
        <f>IFERROR(VLOOKUP($M688,Export!$P:$R,2,FALSE),"-")</f>
        <v>Used Vehicle</v>
      </c>
      <c r="Q688" s="79" t="str">
        <f>IFERROR(VLOOKUP($M688,Export!$P:$R,3,FALSE),"-")</f>
        <v>Used VehicleEx NV demonstrators gross profit p.u.</v>
      </c>
      <c r="R688" s="80" t="e" cm="1">
        <f t="array" ref="R688">_xlfn.IFS(P688="Service", _xlfn.IFS(I688="SALES","GP",I688="SERVICE SALES","GP",I688="PARTS SALES","GP",I688="SERVICE COS","GP",I688="PARTS COS","GP",I688="SELLING EXPENSES","Selling Expenses",I688="EMPLOYMENT EXPENSES","Selling Expenses",I688="EMPLOYMENT EXPENSES","Selling Expenses",I688="DIRECT EXPENSES","Selling Expenses",I688="INDIRECT EXPENSES","Selling Expenses"),P688="Parts",_xlfn.IFS(I688="SALES","GP",I688="SERVICE SALES","GP",I688="PARTS SALES","GP",I688="SERVICE COS","GP",I688="PARTS COS","GP",I688="SELLING EXPENSES","Selling Expenses",I688="EMPLOYMENT EXPENSES","Selling Expenses",I688="EMPLOYMENT EXPENSES","Selling Expenses",I688="DIRECT EXPENSES","Selling Expenses",I688="INDIRECT EXPENSES","Selling Expenses"))</f>
        <v>#N/A</v>
      </c>
    </row>
    <row r="689" spans="1:18" x14ac:dyDescent="0.2">
      <c r="A689" s="75" t="s">
        <v>745</v>
      </c>
      <c r="B689" s="76" t="s">
        <v>746</v>
      </c>
      <c r="C689" s="76">
        <v>210</v>
      </c>
      <c r="D689" s="76" t="s">
        <v>436</v>
      </c>
      <c r="E689" s="76" t="s">
        <v>426</v>
      </c>
      <c r="F689" s="77">
        <v>-626.49</v>
      </c>
      <c r="G689" s="77">
        <v>0</v>
      </c>
      <c r="H689" s="77">
        <v>-626.49</v>
      </c>
      <c r="I689" s="76" t="s">
        <v>744</v>
      </c>
      <c r="J689" s="77">
        <v>0</v>
      </c>
      <c r="K689" s="78">
        <v>0</v>
      </c>
      <c r="M689" s="79" t="str">
        <f t="shared" si="32"/>
        <v>210-4076RR</v>
      </c>
      <c r="N689" s="79" t="str">
        <f t="shared" si="30"/>
        <v/>
      </c>
      <c r="O689" s="79" t="str">
        <f t="shared" si="31"/>
        <v>210</v>
      </c>
      <c r="P689" s="79" t="str">
        <f>IFERROR(VLOOKUP($M689,Export!$P:$R,2,FALSE),"-")</f>
        <v>Used Vehicle</v>
      </c>
      <c r="Q689" s="79" t="str">
        <f>IFERROR(VLOOKUP($M689,Export!$P:$R,3,FALSE),"-")</f>
        <v>Used VehicleEx NV demonstrators gross profit p.u.</v>
      </c>
      <c r="R689" s="80" t="e" cm="1">
        <f t="array" ref="R689">_xlfn.IFS(P689="Service", _xlfn.IFS(I689="SALES","GP",I689="SERVICE SALES","GP",I689="PARTS SALES","GP",I689="SERVICE COS","GP",I689="PARTS COS","GP",I689="SELLING EXPENSES","Selling Expenses",I689="EMPLOYMENT EXPENSES","Selling Expenses",I689="EMPLOYMENT EXPENSES","Selling Expenses",I689="DIRECT EXPENSES","Selling Expenses",I689="INDIRECT EXPENSES","Selling Expenses"),P689="Parts",_xlfn.IFS(I689="SALES","GP",I689="SERVICE SALES","GP",I689="PARTS SALES","GP",I689="SERVICE COS","GP",I689="PARTS COS","GP",I689="SELLING EXPENSES","Selling Expenses",I689="EMPLOYMENT EXPENSES","Selling Expenses",I689="EMPLOYMENT EXPENSES","Selling Expenses",I689="DIRECT EXPENSES","Selling Expenses",I689="INDIRECT EXPENSES","Selling Expenses"))</f>
        <v>#N/A</v>
      </c>
    </row>
    <row r="690" spans="1:18" x14ac:dyDescent="0.2">
      <c r="A690" s="75" t="s">
        <v>747</v>
      </c>
      <c r="B690" s="76" t="s">
        <v>748</v>
      </c>
      <c r="C690" s="76">
        <v>112</v>
      </c>
      <c r="D690" s="76" t="s">
        <v>349</v>
      </c>
      <c r="E690" s="76" t="s">
        <v>426</v>
      </c>
      <c r="F690" s="77">
        <v>1518009.19</v>
      </c>
      <c r="G690" s="77">
        <v>112567.25</v>
      </c>
      <c r="H690" s="77">
        <v>1630576.44</v>
      </c>
      <c r="I690" s="76" t="s">
        <v>744</v>
      </c>
      <c r="J690" s="77">
        <v>0</v>
      </c>
      <c r="K690" s="78">
        <v>0</v>
      </c>
      <c r="M690" s="79" t="str">
        <f t="shared" si="32"/>
        <v>112-4082r</v>
      </c>
      <c r="N690" s="79" t="str">
        <f t="shared" si="30"/>
        <v/>
      </c>
      <c r="O690" s="79" t="str">
        <f t="shared" si="31"/>
        <v>112</v>
      </c>
      <c r="P690" s="79" t="str">
        <f>IFERROR(VLOOKUP($M690,Export!$P:$R,2,FALSE),"-")</f>
        <v>LEX New Vehicle</v>
      </c>
      <c r="Q690" s="79" t="str">
        <f>IFERROR(VLOOKUP($M690,Export!$P:$R,3,FALSE),"-")</f>
        <v>LEX New VehicleRetail Gross p.u.</v>
      </c>
      <c r="R690" s="80" t="e" cm="1">
        <f t="array" ref="R690">_xlfn.IFS(P690="Service", _xlfn.IFS(I690="SALES","GP",I690="SERVICE SALES","GP",I690="PARTS SALES","GP",I690="SERVICE COS","GP",I690="PARTS COS","GP",I690="SELLING EXPENSES","Selling Expenses",I690="EMPLOYMENT EXPENSES","Selling Expenses",I690="EMPLOYMENT EXPENSES","Selling Expenses",I690="DIRECT EXPENSES","Selling Expenses",I690="INDIRECT EXPENSES","Selling Expenses"),P690="Parts",_xlfn.IFS(I690="SALES","GP",I690="SERVICE SALES","GP",I690="PARTS SALES","GP",I690="SERVICE COS","GP",I690="PARTS COS","GP",I690="SELLING EXPENSES","Selling Expenses",I690="EMPLOYMENT EXPENSES","Selling Expenses",I690="EMPLOYMENT EXPENSES","Selling Expenses",I690="DIRECT EXPENSES","Selling Expenses",I690="INDIRECT EXPENSES","Selling Expenses"))</f>
        <v>#N/A</v>
      </c>
    </row>
    <row r="691" spans="1:18" x14ac:dyDescent="0.2">
      <c r="A691" s="75" t="s">
        <v>89</v>
      </c>
      <c r="B691" s="76" t="s">
        <v>90</v>
      </c>
      <c r="C691" s="76">
        <v>100</v>
      </c>
      <c r="D691" s="76" t="s">
        <v>227</v>
      </c>
      <c r="E691" s="76" t="s">
        <v>426</v>
      </c>
      <c r="F691" s="77">
        <v>227007.81</v>
      </c>
      <c r="G691" s="77">
        <v>17041.05</v>
      </c>
      <c r="H691" s="77">
        <v>244048.86</v>
      </c>
      <c r="I691" s="76" t="s">
        <v>744</v>
      </c>
      <c r="J691" s="77">
        <v>0</v>
      </c>
      <c r="K691" s="78">
        <v>169323.59</v>
      </c>
      <c r="M691" s="79" t="str">
        <f t="shared" si="32"/>
        <v>100-4090R</v>
      </c>
      <c r="N691" s="79" t="str">
        <f t="shared" si="30"/>
        <v/>
      </c>
      <c r="O691" s="79" t="str">
        <f t="shared" si="31"/>
        <v>100</v>
      </c>
      <c r="P691" s="79" t="str">
        <f>IFERROR(VLOOKUP($M691,Export!$P:$R,2,FALSE),"-")</f>
        <v>New Vehicle</v>
      </c>
      <c r="Q691" s="79" t="str">
        <f>IFERROR(VLOOKUP($M691,Export!$P:$R,3,FALSE),"-")</f>
        <v>New VehicleOther Income per NV unit</v>
      </c>
      <c r="R691" s="80" t="e" cm="1">
        <f t="array" ref="R691">_xlfn.IFS(P691="Service", _xlfn.IFS(I691="SALES","GP",I691="SERVICE SALES","GP",I691="PARTS SALES","GP",I691="SERVICE COS","GP",I691="PARTS COS","GP",I691="SELLING EXPENSES","Selling Expenses",I691="EMPLOYMENT EXPENSES","Selling Expenses",I691="EMPLOYMENT EXPENSES","Selling Expenses",I691="DIRECT EXPENSES","Selling Expenses",I691="INDIRECT EXPENSES","Selling Expenses"),P691="Parts",_xlfn.IFS(I691="SALES","GP",I691="SERVICE SALES","GP",I691="PARTS SALES","GP",I691="SERVICE COS","GP",I691="PARTS COS","GP",I691="SELLING EXPENSES","Selling Expenses",I691="EMPLOYMENT EXPENSES","Selling Expenses",I691="EMPLOYMENT EXPENSES","Selling Expenses",I691="DIRECT EXPENSES","Selling Expenses",I691="INDIRECT EXPENSES","Selling Expenses"))</f>
        <v>#N/A</v>
      </c>
    </row>
    <row r="692" spans="1:18" x14ac:dyDescent="0.2">
      <c r="A692" s="75" t="s">
        <v>89</v>
      </c>
      <c r="B692" s="76" t="s">
        <v>90</v>
      </c>
      <c r="C692" s="76">
        <v>110</v>
      </c>
      <c r="D692" s="76" t="s">
        <v>430</v>
      </c>
      <c r="E692" s="76" t="s">
        <v>426</v>
      </c>
      <c r="F692" s="77">
        <v>242605.73</v>
      </c>
      <c r="G692" s="77">
        <v>0</v>
      </c>
      <c r="H692" s="77">
        <v>242605.73</v>
      </c>
      <c r="I692" s="76" t="s">
        <v>744</v>
      </c>
      <c r="J692" s="77">
        <v>34904.300000000003</v>
      </c>
      <c r="K692" s="78">
        <v>230204.14</v>
      </c>
      <c r="M692" s="79" t="str">
        <f t="shared" si="32"/>
        <v>110-4090R</v>
      </c>
      <c r="N692" s="79" t="str">
        <f t="shared" si="30"/>
        <v/>
      </c>
      <c r="O692" s="79" t="str">
        <f t="shared" si="31"/>
        <v>110</v>
      </c>
      <c r="P692" s="79" t="str">
        <f>IFERROR(VLOOKUP($M692,Export!$P:$R,2,FALSE),"-")</f>
        <v>Used Vehicle</v>
      </c>
      <c r="Q692" s="79" t="str">
        <f>IFERROR(VLOOKUP($M692,Export!$P:$R,3,FALSE),"-")</f>
        <v>Used VehicleEx NV demonstrators gross profit p.u.</v>
      </c>
      <c r="R692" s="80" t="e" cm="1">
        <f t="array" ref="R692">_xlfn.IFS(P692="Service", _xlfn.IFS(I692="SALES","GP",I692="SERVICE SALES","GP",I692="PARTS SALES","GP",I692="SERVICE COS","GP",I692="PARTS COS","GP",I692="SELLING EXPENSES","Selling Expenses",I692="EMPLOYMENT EXPENSES","Selling Expenses",I692="EMPLOYMENT EXPENSES","Selling Expenses",I692="DIRECT EXPENSES","Selling Expenses",I692="INDIRECT EXPENSES","Selling Expenses"),P692="Parts",_xlfn.IFS(I692="SALES","GP",I692="SERVICE SALES","GP",I692="PARTS SALES","GP",I692="SERVICE COS","GP",I692="PARTS COS","GP",I692="SELLING EXPENSES","Selling Expenses",I692="EMPLOYMENT EXPENSES","Selling Expenses",I692="EMPLOYMENT EXPENSES","Selling Expenses",I692="DIRECT EXPENSES","Selling Expenses",I692="INDIRECT EXPENSES","Selling Expenses"))</f>
        <v>#N/A</v>
      </c>
    </row>
    <row r="693" spans="1:18" x14ac:dyDescent="0.2">
      <c r="A693" s="75" t="s">
        <v>89</v>
      </c>
      <c r="B693" s="76" t="s">
        <v>90</v>
      </c>
      <c r="C693" s="76">
        <v>200</v>
      </c>
      <c r="D693" s="76" t="s">
        <v>428</v>
      </c>
      <c r="E693" s="76" t="s">
        <v>426</v>
      </c>
      <c r="F693" s="77">
        <v>281490.65000000002</v>
      </c>
      <c r="G693" s="77">
        <v>38039.32</v>
      </c>
      <c r="H693" s="77">
        <v>319529.96999999997</v>
      </c>
      <c r="I693" s="76" t="s">
        <v>744</v>
      </c>
      <c r="J693" s="77">
        <v>0</v>
      </c>
      <c r="K693" s="78">
        <v>122345.79</v>
      </c>
      <c r="M693" s="79" t="str">
        <f t="shared" si="32"/>
        <v>200-4090R</v>
      </c>
      <c r="N693" s="79" t="str">
        <f t="shared" si="30"/>
        <v/>
      </c>
      <c r="O693" s="79" t="str">
        <f t="shared" si="31"/>
        <v>200</v>
      </c>
      <c r="P693" s="79" t="str">
        <f>IFERROR(VLOOKUP($M693,Export!$P:$R,2,FALSE),"-")</f>
        <v>New Vehicle</v>
      </c>
      <c r="Q693" s="79" t="str">
        <f>IFERROR(VLOOKUP($M693,Export!$P:$R,3,FALSE),"-")</f>
        <v>New VehicleOther Income per NV unit</v>
      </c>
      <c r="R693" s="80" t="e" cm="1">
        <f t="array" ref="R693">_xlfn.IFS(P693="Service", _xlfn.IFS(I693="SALES","GP",I693="SERVICE SALES","GP",I693="PARTS SALES","GP",I693="SERVICE COS","GP",I693="PARTS COS","GP",I693="SELLING EXPENSES","Selling Expenses",I693="EMPLOYMENT EXPENSES","Selling Expenses",I693="EMPLOYMENT EXPENSES","Selling Expenses",I693="DIRECT EXPENSES","Selling Expenses",I693="INDIRECT EXPENSES","Selling Expenses"),P693="Parts",_xlfn.IFS(I693="SALES","GP",I693="SERVICE SALES","GP",I693="PARTS SALES","GP",I693="SERVICE COS","GP",I693="PARTS COS","GP",I693="SELLING EXPENSES","Selling Expenses",I693="EMPLOYMENT EXPENSES","Selling Expenses",I693="EMPLOYMENT EXPENSES","Selling Expenses",I693="DIRECT EXPENSES","Selling Expenses",I693="INDIRECT EXPENSES","Selling Expenses"))</f>
        <v>#N/A</v>
      </c>
    </row>
    <row r="694" spans="1:18" x14ac:dyDescent="0.2">
      <c r="A694" s="75" t="s">
        <v>89</v>
      </c>
      <c r="B694" s="76" t="s">
        <v>90</v>
      </c>
      <c r="C694" s="76">
        <v>210</v>
      </c>
      <c r="D694" s="76" t="s">
        <v>436</v>
      </c>
      <c r="E694" s="76" t="s">
        <v>426</v>
      </c>
      <c r="F694" s="77">
        <v>318257.55</v>
      </c>
      <c r="G694" s="77">
        <v>0</v>
      </c>
      <c r="H694" s="77">
        <v>318257.55</v>
      </c>
      <c r="I694" s="76" t="s">
        <v>744</v>
      </c>
      <c r="J694" s="77">
        <v>47750.64</v>
      </c>
      <c r="K694" s="78">
        <v>336534.52</v>
      </c>
      <c r="M694" s="79" t="str">
        <f t="shared" si="32"/>
        <v>210-4090R</v>
      </c>
      <c r="N694" s="79" t="str">
        <f t="shared" si="30"/>
        <v/>
      </c>
      <c r="O694" s="79" t="str">
        <f t="shared" si="31"/>
        <v>210</v>
      </c>
      <c r="P694" s="79" t="str">
        <f>IFERROR(VLOOKUP($M694,Export!$P:$R,2,FALSE),"-")</f>
        <v>Used Vehicle</v>
      </c>
      <c r="Q694" s="79" t="str">
        <f>IFERROR(VLOOKUP($M694,Export!$P:$R,3,FALSE),"-")</f>
        <v>Used VehicleEx NV demonstrators gross profit p.u.</v>
      </c>
      <c r="R694" s="80" t="e" cm="1">
        <f t="array" ref="R694">_xlfn.IFS(P694="Service", _xlfn.IFS(I694="SALES","GP",I694="SERVICE SALES","GP",I694="PARTS SALES","GP",I694="SERVICE COS","GP",I694="PARTS COS","GP",I694="SELLING EXPENSES","Selling Expenses",I694="EMPLOYMENT EXPENSES","Selling Expenses",I694="EMPLOYMENT EXPENSES","Selling Expenses",I694="DIRECT EXPENSES","Selling Expenses",I694="INDIRECT EXPENSES","Selling Expenses"),P694="Parts",_xlfn.IFS(I694="SALES","GP",I694="SERVICE SALES","GP",I694="PARTS SALES","GP",I694="SERVICE COS","GP",I694="PARTS COS","GP",I694="SELLING EXPENSES","Selling Expenses",I694="EMPLOYMENT EXPENSES","Selling Expenses",I694="EMPLOYMENT EXPENSES","Selling Expenses",I694="DIRECT EXPENSES","Selling Expenses",I694="INDIRECT EXPENSES","Selling Expenses"))</f>
        <v>#N/A</v>
      </c>
    </row>
    <row r="695" spans="1:18" x14ac:dyDescent="0.2">
      <c r="A695" s="75" t="s">
        <v>749</v>
      </c>
      <c r="B695" s="76" t="s">
        <v>750</v>
      </c>
      <c r="C695" s="76">
        <v>110</v>
      </c>
      <c r="D695" s="76" t="s">
        <v>430</v>
      </c>
      <c r="E695" s="76" t="s">
        <v>426</v>
      </c>
      <c r="F695" s="77">
        <v>-6098.3</v>
      </c>
      <c r="G695" s="77">
        <v>0</v>
      </c>
      <c r="H695" s="77">
        <v>-6098.3</v>
      </c>
      <c r="I695" s="76" t="s">
        <v>744</v>
      </c>
      <c r="J695" s="77">
        <v>0</v>
      </c>
      <c r="K695" s="78">
        <v>-1022</v>
      </c>
      <c r="M695" s="79" t="str">
        <f t="shared" si="32"/>
        <v>110-4090RR</v>
      </c>
      <c r="N695" s="79" t="str">
        <f t="shared" si="30"/>
        <v/>
      </c>
      <c r="O695" s="79" t="str">
        <f t="shared" si="31"/>
        <v>110</v>
      </c>
      <c r="P695" s="79" t="str">
        <f>IFERROR(VLOOKUP($M695,Export!$P:$R,2,FALSE),"-")</f>
        <v>Used Vehicle</v>
      </c>
      <c r="Q695" s="79" t="str">
        <f>IFERROR(VLOOKUP($M695,Export!$P:$R,3,FALSE),"-")</f>
        <v>Used VehicleEx NV demonstrators gross profit p.u.</v>
      </c>
      <c r="R695" s="80" t="e" cm="1">
        <f t="array" ref="R695">_xlfn.IFS(P695="Service", _xlfn.IFS(I695="SALES","GP",I695="SERVICE SALES","GP",I695="PARTS SALES","GP",I695="SERVICE COS","GP",I695="PARTS COS","GP",I695="SELLING EXPENSES","Selling Expenses",I695="EMPLOYMENT EXPENSES","Selling Expenses",I695="EMPLOYMENT EXPENSES","Selling Expenses",I695="DIRECT EXPENSES","Selling Expenses",I695="INDIRECT EXPENSES","Selling Expenses"),P695="Parts",_xlfn.IFS(I695="SALES","GP",I695="SERVICE SALES","GP",I695="PARTS SALES","GP",I695="SERVICE COS","GP",I695="PARTS COS","GP",I695="SELLING EXPENSES","Selling Expenses",I695="EMPLOYMENT EXPENSES","Selling Expenses",I695="EMPLOYMENT EXPENSES","Selling Expenses",I695="DIRECT EXPENSES","Selling Expenses",I695="INDIRECT EXPENSES","Selling Expenses"))</f>
        <v>#N/A</v>
      </c>
    </row>
    <row r="696" spans="1:18" x14ac:dyDescent="0.2">
      <c r="A696" s="75" t="s">
        <v>751</v>
      </c>
      <c r="B696" s="76" t="s">
        <v>752</v>
      </c>
      <c r="C696" s="76">
        <v>100</v>
      </c>
      <c r="D696" s="76" t="s">
        <v>227</v>
      </c>
      <c r="E696" s="76" t="s">
        <v>426</v>
      </c>
      <c r="F696" s="77">
        <v>143224.04</v>
      </c>
      <c r="G696" s="77">
        <v>3293.82</v>
      </c>
      <c r="H696" s="77">
        <v>146517.85999999999</v>
      </c>
      <c r="I696" s="76" t="s">
        <v>744</v>
      </c>
      <c r="J696" s="77">
        <v>0</v>
      </c>
      <c r="K696" s="78">
        <v>29303.55</v>
      </c>
      <c r="M696" s="79" t="str">
        <f t="shared" si="32"/>
        <v>100-4095R</v>
      </c>
      <c r="N696" s="79" t="str">
        <f t="shared" si="30"/>
        <v/>
      </c>
      <c r="O696" s="79" t="str">
        <f t="shared" si="31"/>
        <v>100</v>
      </c>
      <c r="P696" s="79" t="str">
        <f>IFERROR(VLOOKUP($M696,Export!$P:$R,2,FALSE),"-")</f>
        <v>New Vehicle</v>
      </c>
      <c r="Q696" s="79" t="str">
        <f>IFERROR(VLOOKUP($M696,Export!$P:$R,3,FALSE),"-")</f>
        <v>New VehicleOther Income per NV unit</v>
      </c>
      <c r="R696" s="80" t="e" cm="1">
        <f t="array" ref="R696">_xlfn.IFS(P696="Service", _xlfn.IFS(I696="SALES","GP",I696="SERVICE SALES","GP",I696="PARTS SALES","GP",I696="SERVICE COS","GP",I696="PARTS COS","GP",I696="SELLING EXPENSES","Selling Expenses",I696="EMPLOYMENT EXPENSES","Selling Expenses",I696="EMPLOYMENT EXPENSES","Selling Expenses",I696="DIRECT EXPENSES","Selling Expenses",I696="INDIRECT EXPENSES","Selling Expenses"),P696="Parts",_xlfn.IFS(I696="SALES","GP",I696="SERVICE SALES","GP",I696="PARTS SALES","GP",I696="SERVICE COS","GP",I696="PARTS COS","GP",I696="SELLING EXPENSES","Selling Expenses",I696="EMPLOYMENT EXPENSES","Selling Expenses",I696="EMPLOYMENT EXPENSES","Selling Expenses",I696="DIRECT EXPENSES","Selling Expenses",I696="INDIRECT EXPENSES","Selling Expenses"))</f>
        <v>#N/A</v>
      </c>
    </row>
    <row r="697" spans="1:18" x14ac:dyDescent="0.2">
      <c r="A697" s="75" t="s">
        <v>751</v>
      </c>
      <c r="B697" s="76" t="s">
        <v>752</v>
      </c>
      <c r="C697" s="76">
        <v>110</v>
      </c>
      <c r="D697" s="76" t="s">
        <v>430</v>
      </c>
      <c r="E697" s="76" t="s">
        <v>426</v>
      </c>
      <c r="F697" s="77">
        <v>183618.45</v>
      </c>
      <c r="G697" s="77">
        <v>0</v>
      </c>
      <c r="H697" s="77">
        <v>183618.45</v>
      </c>
      <c r="I697" s="76" t="s">
        <v>744</v>
      </c>
      <c r="J697" s="77">
        <v>0</v>
      </c>
      <c r="K697" s="78">
        <v>139299.60999999999</v>
      </c>
      <c r="M697" s="79" t="str">
        <f t="shared" si="32"/>
        <v>110-4095R</v>
      </c>
      <c r="N697" s="79" t="str">
        <f t="shared" si="30"/>
        <v/>
      </c>
      <c r="O697" s="79" t="str">
        <f t="shared" si="31"/>
        <v>110</v>
      </c>
      <c r="P697" s="79" t="str">
        <f>IFERROR(VLOOKUP($M697,Export!$P:$R,2,FALSE),"-")</f>
        <v>Used Vehicle</v>
      </c>
      <c r="Q697" s="79" t="str">
        <f>IFERROR(VLOOKUP($M697,Export!$P:$R,3,FALSE),"-")</f>
        <v>Used VehicleEx NV demonstrators gross profit p.u.</v>
      </c>
      <c r="R697" s="80" t="e" cm="1">
        <f t="array" ref="R697">_xlfn.IFS(P697="Service", _xlfn.IFS(I697="SALES","GP",I697="SERVICE SALES","GP",I697="PARTS SALES","GP",I697="SERVICE COS","GP",I697="PARTS COS","GP",I697="SELLING EXPENSES","Selling Expenses",I697="EMPLOYMENT EXPENSES","Selling Expenses",I697="EMPLOYMENT EXPENSES","Selling Expenses",I697="DIRECT EXPENSES","Selling Expenses",I697="INDIRECT EXPENSES","Selling Expenses"),P697="Parts",_xlfn.IFS(I697="SALES","GP",I697="SERVICE SALES","GP",I697="PARTS SALES","GP",I697="SERVICE COS","GP",I697="PARTS COS","GP",I697="SELLING EXPENSES","Selling Expenses",I697="EMPLOYMENT EXPENSES","Selling Expenses",I697="EMPLOYMENT EXPENSES","Selling Expenses",I697="DIRECT EXPENSES","Selling Expenses",I697="INDIRECT EXPENSES","Selling Expenses"))</f>
        <v>#N/A</v>
      </c>
    </row>
    <row r="698" spans="1:18" x14ac:dyDescent="0.2">
      <c r="A698" s="75" t="s">
        <v>751</v>
      </c>
      <c r="B698" s="76" t="s">
        <v>752</v>
      </c>
      <c r="C698" s="76">
        <v>200</v>
      </c>
      <c r="D698" s="76" t="s">
        <v>428</v>
      </c>
      <c r="E698" s="76" t="s">
        <v>426</v>
      </c>
      <c r="F698" s="77">
        <v>86818.44</v>
      </c>
      <c r="G698" s="77">
        <v>7530.72</v>
      </c>
      <c r="H698" s="77">
        <v>94349.16</v>
      </c>
      <c r="I698" s="76" t="s">
        <v>744</v>
      </c>
      <c r="J698" s="77">
        <v>0</v>
      </c>
      <c r="K698" s="78">
        <v>102586.87</v>
      </c>
      <c r="M698" s="79" t="str">
        <f t="shared" si="32"/>
        <v>200-4095R</v>
      </c>
      <c r="N698" s="79" t="str">
        <f t="shared" si="30"/>
        <v/>
      </c>
      <c r="O698" s="79" t="str">
        <f t="shared" si="31"/>
        <v>200</v>
      </c>
      <c r="P698" s="79" t="str">
        <f>IFERROR(VLOOKUP($M698,Export!$P:$R,2,FALSE),"-")</f>
        <v>New Vehicle</v>
      </c>
      <c r="Q698" s="79" t="str">
        <f>IFERROR(VLOOKUP($M698,Export!$P:$R,3,FALSE),"-")</f>
        <v>New VehicleOther Income per NV unit</v>
      </c>
      <c r="R698" s="80" t="e" cm="1">
        <f t="array" ref="R698">_xlfn.IFS(P698="Service", _xlfn.IFS(I698="SALES","GP",I698="SERVICE SALES","GP",I698="PARTS SALES","GP",I698="SERVICE COS","GP",I698="PARTS COS","GP",I698="SELLING EXPENSES","Selling Expenses",I698="EMPLOYMENT EXPENSES","Selling Expenses",I698="EMPLOYMENT EXPENSES","Selling Expenses",I698="DIRECT EXPENSES","Selling Expenses",I698="INDIRECT EXPENSES","Selling Expenses"),P698="Parts",_xlfn.IFS(I698="SALES","GP",I698="SERVICE SALES","GP",I698="PARTS SALES","GP",I698="SERVICE COS","GP",I698="PARTS COS","GP",I698="SELLING EXPENSES","Selling Expenses",I698="EMPLOYMENT EXPENSES","Selling Expenses",I698="EMPLOYMENT EXPENSES","Selling Expenses",I698="DIRECT EXPENSES","Selling Expenses",I698="INDIRECT EXPENSES","Selling Expenses"))</f>
        <v>#N/A</v>
      </c>
    </row>
    <row r="699" spans="1:18" x14ac:dyDescent="0.2">
      <c r="A699" s="75" t="s">
        <v>751</v>
      </c>
      <c r="B699" s="76" t="s">
        <v>752</v>
      </c>
      <c r="C699" s="76">
        <v>210</v>
      </c>
      <c r="D699" s="76" t="s">
        <v>436</v>
      </c>
      <c r="E699" s="76" t="s">
        <v>426</v>
      </c>
      <c r="F699" s="77">
        <v>100000.14</v>
      </c>
      <c r="G699" s="77">
        <v>0</v>
      </c>
      <c r="H699" s="77">
        <v>100000.14</v>
      </c>
      <c r="I699" s="76" t="s">
        <v>744</v>
      </c>
      <c r="J699" s="77">
        <v>0</v>
      </c>
      <c r="K699" s="78">
        <v>39015.61</v>
      </c>
      <c r="M699" s="79" t="str">
        <f t="shared" si="32"/>
        <v>210-4095R</v>
      </c>
      <c r="N699" s="79" t="str">
        <f t="shared" si="30"/>
        <v/>
      </c>
      <c r="O699" s="79" t="str">
        <f t="shared" si="31"/>
        <v>210</v>
      </c>
      <c r="P699" s="79" t="str">
        <f>IFERROR(VLOOKUP($M699,Export!$P:$R,2,FALSE),"-")</f>
        <v>Used Vehicle</v>
      </c>
      <c r="Q699" s="79" t="str">
        <f>IFERROR(VLOOKUP($M699,Export!$P:$R,3,FALSE),"-")</f>
        <v>Used VehicleEx NV demonstrators gross profit p.u.</v>
      </c>
      <c r="R699" s="80" t="e" cm="1">
        <f t="array" ref="R699">_xlfn.IFS(P699="Service", _xlfn.IFS(I699="SALES","GP",I699="SERVICE SALES","GP",I699="PARTS SALES","GP",I699="SERVICE COS","GP",I699="PARTS COS","GP",I699="SELLING EXPENSES","Selling Expenses",I699="EMPLOYMENT EXPENSES","Selling Expenses",I699="EMPLOYMENT EXPENSES","Selling Expenses",I699="DIRECT EXPENSES","Selling Expenses",I699="INDIRECT EXPENSES","Selling Expenses"),P699="Parts",_xlfn.IFS(I699="SALES","GP",I699="SERVICE SALES","GP",I699="PARTS SALES","GP",I699="SERVICE COS","GP",I699="PARTS COS","GP",I699="SELLING EXPENSES","Selling Expenses",I699="EMPLOYMENT EXPENSES","Selling Expenses",I699="EMPLOYMENT EXPENSES","Selling Expenses",I699="DIRECT EXPENSES","Selling Expenses",I699="INDIRECT EXPENSES","Selling Expenses"))</f>
        <v>#N/A</v>
      </c>
    </row>
    <row r="700" spans="1:18" x14ac:dyDescent="0.2">
      <c r="A700" s="75" t="s">
        <v>753</v>
      </c>
      <c r="B700" s="76" t="s">
        <v>754</v>
      </c>
      <c r="C700" s="76">
        <v>110</v>
      </c>
      <c r="D700" s="76" t="s">
        <v>430</v>
      </c>
      <c r="E700" s="76" t="s">
        <v>426</v>
      </c>
      <c r="F700" s="77">
        <v>-3459.03</v>
      </c>
      <c r="G700" s="77">
        <v>0</v>
      </c>
      <c r="H700" s="77">
        <v>-3459.03</v>
      </c>
      <c r="I700" s="76" t="s">
        <v>744</v>
      </c>
      <c r="J700" s="77">
        <v>0</v>
      </c>
      <c r="K700" s="78">
        <v>-2078</v>
      </c>
      <c r="M700" s="79" t="str">
        <f t="shared" si="32"/>
        <v>110-4095RR</v>
      </c>
      <c r="N700" s="79" t="str">
        <f t="shared" si="30"/>
        <v/>
      </c>
      <c r="O700" s="79" t="str">
        <f t="shared" si="31"/>
        <v>110</v>
      </c>
      <c r="P700" s="79" t="str">
        <f>IFERROR(VLOOKUP($M700,Export!$P:$R,2,FALSE),"-")</f>
        <v>Used Vehicle</v>
      </c>
      <c r="Q700" s="79" t="str">
        <f>IFERROR(VLOOKUP($M700,Export!$P:$R,3,FALSE),"-")</f>
        <v>Used VehicleEx NV demonstrators gross profit p.u.</v>
      </c>
      <c r="R700" s="80" t="e" cm="1">
        <f t="array" ref="R700">_xlfn.IFS(P700="Service", _xlfn.IFS(I700="SALES","GP",I700="SERVICE SALES","GP",I700="PARTS SALES","GP",I700="SERVICE COS","GP",I700="PARTS COS","GP",I700="SELLING EXPENSES","Selling Expenses",I700="EMPLOYMENT EXPENSES","Selling Expenses",I700="EMPLOYMENT EXPENSES","Selling Expenses",I700="DIRECT EXPENSES","Selling Expenses",I700="INDIRECT EXPENSES","Selling Expenses"),P700="Parts",_xlfn.IFS(I700="SALES","GP",I700="SERVICE SALES","GP",I700="PARTS SALES","GP",I700="SERVICE COS","GP",I700="PARTS COS","GP",I700="SELLING EXPENSES","Selling Expenses",I700="EMPLOYMENT EXPENSES","Selling Expenses",I700="EMPLOYMENT EXPENSES","Selling Expenses",I700="DIRECT EXPENSES","Selling Expenses",I700="INDIRECT EXPENSES","Selling Expenses"))</f>
        <v>#N/A</v>
      </c>
    </row>
    <row r="701" spans="1:18" x14ac:dyDescent="0.2">
      <c r="A701" s="75" t="s">
        <v>755</v>
      </c>
      <c r="B701" s="76" t="s">
        <v>756</v>
      </c>
      <c r="C701" s="76">
        <v>100</v>
      </c>
      <c r="D701" s="76" t="s">
        <v>227</v>
      </c>
      <c r="E701" s="76" t="s">
        <v>426</v>
      </c>
      <c r="F701" s="77">
        <v>60421.78</v>
      </c>
      <c r="G701" s="77">
        <v>7851.49</v>
      </c>
      <c r="H701" s="77">
        <v>68273.27</v>
      </c>
      <c r="I701" s="76" t="s">
        <v>744</v>
      </c>
      <c r="J701" s="77">
        <v>0</v>
      </c>
      <c r="K701" s="78">
        <v>57871.08</v>
      </c>
      <c r="M701" s="79" t="str">
        <f t="shared" si="32"/>
        <v>100-4105R</v>
      </c>
      <c r="N701" s="79" t="str">
        <f t="shared" si="30"/>
        <v/>
      </c>
      <c r="O701" s="79" t="str">
        <f t="shared" si="31"/>
        <v>100</v>
      </c>
      <c r="P701" s="79" t="str">
        <f>IFERROR(VLOOKUP($M701,Export!$P:$R,2,FALSE),"-")</f>
        <v>New Vehicle</v>
      </c>
      <c r="Q701" s="79" t="str">
        <f>IFERROR(VLOOKUP($M701,Export!$P:$R,3,FALSE),"-")</f>
        <v>New VehicleOther Income per NV unit</v>
      </c>
      <c r="R701" s="80" t="e" cm="1">
        <f t="array" ref="R701">_xlfn.IFS(P701="Service", _xlfn.IFS(I701="SALES","GP",I701="SERVICE SALES","GP",I701="PARTS SALES","GP",I701="SERVICE COS","GP",I701="PARTS COS","GP",I701="SELLING EXPENSES","Selling Expenses",I701="EMPLOYMENT EXPENSES","Selling Expenses",I701="EMPLOYMENT EXPENSES","Selling Expenses",I701="DIRECT EXPENSES","Selling Expenses",I701="INDIRECT EXPENSES","Selling Expenses"),P701="Parts",_xlfn.IFS(I701="SALES","GP",I701="SERVICE SALES","GP",I701="PARTS SALES","GP",I701="SERVICE COS","GP",I701="PARTS COS","GP",I701="SELLING EXPENSES","Selling Expenses",I701="EMPLOYMENT EXPENSES","Selling Expenses",I701="EMPLOYMENT EXPENSES","Selling Expenses",I701="DIRECT EXPENSES","Selling Expenses",I701="INDIRECT EXPENSES","Selling Expenses"))</f>
        <v>#N/A</v>
      </c>
    </row>
    <row r="702" spans="1:18" x14ac:dyDescent="0.2">
      <c r="A702" s="75" t="s">
        <v>755</v>
      </c>
      <c r="B702" s="76" t="s">
        <v>756</v>
      </c>
      <c r="C702" s="76">
        <v>110</v>
      </c>
      <c r="D702" s="76" t="s">
        <v>430</v>
      </c>
      <c r="E702" s="76" t="s">
        <v>426</v>
      </c>
      <c r="F702" s="77">
        <v>40619.4</v>
      </c>
      <c r="G702" s="77">
        <v>0</v>
      </c>
      <c r="H702" s="77">
        <v>40619.4</v>
      </c>
      <c r="I702" s="76" t="s">
        <v>744</v>
      </c>
      <c r="J702" s="77">
        <v>41465.57</v>
      </c>
      <c r="K702" s="78">
        <v>175824.69</v>
      </c>
      <c r="M702" s="79" t="str">
        <f t="shared" si="32"/>
        <v>110-4105R</v>
      </c>
      <c r="N702" s="79" t="str">
        <f t="shared" si="30"/>
        <v/>
      </c>
      <c r="O702" s="79" t="str">
        <f t="shared" si="31"/>
        <v>110</v>
      </c>
      <c r="P702" s="79" t="str">
        <f>IFERROR(VLOOKUP($M702,Export!$P:$R,2,FALSE),"-")</f>
        <v>Used Vehicle</v>
      </c>
      <c r="Q702" s="79" t="str">
        <f>IFERROR(VLOOKUP($M702,Export!$P:$R,3,FALSE),"-")</f>
        <v>Used VehicleEx NV demonstrators gross profit p.u.</v>
      </c>
      <c r="R702" s="80" t="e" cm="1">
        <f t="array" ref="R702">_xlfn.IFS(P702="Service", _xlfn.IFS(I702="SALES","GP",I702="SERVICE SALES","GP",I702="PARTS SALES","GP",I702="SERVICE COS","GP",I702="PARTS COS","GP",I702="SELLING EXPENSES","Selling Expenses",I702="EMPLOYMENT EXPENSES","Selling Expenses",I702="EMPLOYMENT EXPENSES","Selling Expenses",I702="DIRECT EXPENSES","Selling Expenses",I702="INDIRECT EXPENSES","Selling Expenses"),P702="Parts",_xlfn.IFS(I702="SALES","GP",I702="SERVICE SALES","GP",I702="PARTS SALES","GP",I702="SERVICE COS","GP",I702="PARTS COS","GP",I702="SELLING EXPENSES","Selling Expenses",I702="EMPLOYMENT EXPENSES","Selling Expenses",I702="EMPLOYMENT EXPENSES","Selling Expenses",I702="DIRECT EXPENSES","Selling Expenses",I702="INDIRECT EXPENSES","Selling Expenses"))</f>
        <v>#N/A</v>
      </c>
    </row>
    <row r="703" spans="1:18" x14ac:dyDescent="0.2">
      <c r="A703" s="75" t="s">
        <v>755</v>
      </c>
      <c r="B703" s="76" t="s">
        <v>756</v>
      </c>
      <c r="C703" s="76">
        <v>200</v>
      </c>
      <c r="D703" s="76" t="s">
        <v>428</v>
      </c>
      <c r="E703" s="76" t="s">
        <v>426</v>
      </c>
      <c r="F703" s="77">
        <v>88818.14</v>
      </c>
      <c r="G703" s="77">
        <v>19713.169999999998</v>
      </c>
      <c r="H703" s="77">
        <v>108531.31</v>
      </c>
      <c r="I703" s="76" t="s">
        <v>744</v>
      </c>
      <c r="J703" s="77">
        <v>0</v>
      </c>
      <c r="K703" s="78">
        <v>114831.67</v>
      </c>
      <c r="M703" s="79" t="str">
        <f t="shared" si="32"/>
        <v>200-4105R</v>
      </c>
      <c r="N703" s="79" t="str">
        <f t="shared" si="30"/>
        <v/>
      </c>
      <c r="O703" s="79" t="str">
        <f t="shared" si="31"/>
        <v>200</v>
      </c>
      <c r="P703" s="79" t="str">
        <f>IFERROR(VLOOKUP($M703,Export!$P:$R,2,FALSE),"-")</f>
        <v>New Vehicle</v>
      </c>
      <c r="Q703" s="79" t="str">
        <f>IFERROR(VLOOKUP($M703,Export!$P:$R,3,FALSE),"-")</f>
        <v>New VehicleOther Income per NV unit</v>
      </c>
      <c r="R703" s="80" t="e" cm="1">
        <f t="array" ref="R703">_xlfn.IFS(P703="Service", _xlfn.IFS(I703="SALES","GP",I703="SERVICE SALES","GP",I703="PARTS SALES","GP",I703="SERVICE COS","GP",I703="PARTS COS","GP",I703="SELLING EXPENSES","Selling Expenses",I703="EMPLOYMENT EXPENSES","Selling Expenses",I703="EMPLOYMENT EXPENSES","Selling Expenses",I703="DIRECT EXPENSES","Selling Expenses",I703="INDIRECT EXPENSES","Selling Expenses"),P703="Parts",_xlfn.IFS(I703="SALES","GP",I703="SERVICE SALES","GP",I703="PARTS SALES","GP",I703="SERVICE COS","GP",I703="PARTS COS","GP",I703="SELLING EXPENSES","Selling Expenses",I703="EMPLOYMENT EXPENSES","Selling Expenses",I703="EMPLOYMENT EXPENSES","Selling Expenses",I703="DIRECT EXPENSES","Selling Expenses",I703="INDIRECT EXPENSES","Selling Expenses"))</f>
        <v>#N/A</v>
      </c>
    </row>
    <row r="704" spans="1:18" x14ac:dyDescent="0.2">
      <c r="A704" s="75" t="s">
        <v>755</v>
      </c>
      <c r="B704" s="76" t="s">
        <v>756</v>
      </c>
      <c r="C704" s="76">
        <v>210</v>
      </c>
      <c r="D704" s="76" t="s">
        <v>436</v>
      </c>
      <c r="E704" s="76" t="s">
        <v>426</v>
      </c>
      <c r="F704" s="77">
        <v>92258.17</v>
      </c>
      <c r="G704" s="77">
        <v>0</v>
      </c>
      <c r="H704" s="77">
        <v>92258.17</v>
      </c>
      <c r="I704" s="76" t="s">
        <v>744</v>
      </c>
      <c r="J704" s="77">
        <v>0</v>
      </c>
      <c r="K704" s="78">
        <v>206053.47</v>
      </c>
      <c r="M704" s="79" t="str">
        <f t="shared" si="32"/>
        <v>210-4105R</v>
      </c>
      <c r="N704" s="79" t="str">
        <f t="shared" si="30"/>
        <v/>
      </c>
      <c r="O704" s="79" t="str">
        <f t="shared" si="31"/>
        <v>210</v>
      </c>
      <c r="P704" s="79" t="str">
        <f>IFERROR(VLOOKUP($M704,Export!$P:$R,2,FALSE),"-")</f>
        <v>Used Vehicle</v>
      </c>
      <c r="Q704" s="79" t="str">
        <f>IFERROR(VLOOKUP($M704,Export!$P:$R,3,FALSE),"-")</f>
        <v>Used VehicleEx NV demonstrators gross profit p.u.</v>
      </c>
      <c r="R704" s="80" t="e" cm="1">
        <f t="array" ref="R704">_xlfn.IFS(P704="Service", _xlfn.IFS(I704="SALES","GP",I704="SERVICE SALES","GP",I704="PARTS SALES","GP",I704="SERVICE COS","GP",I704="PARTS COS","GP",I704="SELLING EXPENSES","Selling Expenses",I704="EMPLOYMENT EXPENSES","Selling Expenses",I704="EMPLOYMENT EXPENSES","Selling Expenses",I704="DIRECT EXPENSES","Selling Expenses",I704="INDIRECT EXPENSES","Selling Expenses"),P704="Parts",_xlfn.IFS(I704="SALES","GP",I704="SERVICE SALES","GP",I704="PARTS SALES","GP",I704="SERVICE COS","GP",I704="PARTS COS","GP",I704="SELLING EXPENSES","Selling Expenses",I704="EMPLOYMENT EXPENSES","Selling Expenses",I704="EMPLOYMENT EXPENSES","Selling Expenses",I704="DIRECT EXPENSES","Selling Expenses",I704="INDIRECT EXPENSES","Selling Expenses"))</f>
        <v>#N/A</v>
      </c>
    </row>
    <row r="705" spans="1:18" x14ac:dyDescent="0.2">
      <c r="A705" s="75" t="s">
        <v>757</v>
      </c>
      <c r="B705" s="76" t="s">
        <v>758</v>
      </c>
      <c r="C705" s="76">
        <v>110</v>
      </c>
      <c r="D705" s="76" t="s">
        <v>430</v>
      </c>
      <c r="E705" s="76" t="s">
        <v>426</v>
      </c>
      <c r="F705" s="77">
        <v>-1809.42</v>
      </c>
      <c r="G705" s="77">
        <v>0</v>
      </c>
      <c r="H705" s="77">
        <v>-1809.42</v>
      </c>
      <c r="I705" s="76" t="s">
        <v>744</v>
      </c>
      <c r="J705" s="77">
        <v>0</v>
      </c>
      <c r="K705" s="78">
        <v>-3022.09</v>
      </c>
      <c r="M705" s="79" t="str">
        <f t="shared" si="32"/>
        <v>110-4105RR</v>
      </c>
      <c r="N705" s="79" t="str">
        <f t="shared" si="30"/>
        <v/>
      </c>
      <c r="O705" s="79" t="str">
        <f t="shared" si="31"/>
        <v>110</v>
      </c>
      <c r="P705" s="79" t="str">
        <f>IFERROR(VLOOKUP($M705,Export!$P:$R,2,FALSE),"-")</f>
        <v>Used Vehicle</v>
      </c>
      <c r="Q705" s="79" t="str">
        <f>IFERROR(VLOOKUP($M705,Export!$P:$R,3,FALSE),"-")</f>
        <v>Used VehicleEx NV demonstrators gross profit p.u.</v>
      </c>
      <c r="R705" s="80" t="e" cm="1">
        <f t="array" ref="R705">_xlfn.IFS(P705="Service", _xlfn.IFS(I705="SALES","GP",I705="SERVICE SALES","GP",I705="PARTS SALES","GP",I705="SERVICE COS","GP",I705="PARTS COS","GP",I705="SELLING EXPENSES","Selling Expenses",I705="EMPLOYMENT EXPENSES","Selling Expenses",I705="EMPLOYMENT EXPENSES","Selling Expenses",I705="DIRECT EXPENSES","Selling Expenses",I705="INDIRECT EXPENSES","Selling Expenses"),P705="Parts",_xlfn.IFS(I705="SALES","GP",I705="SERVICE SALES","GP",I705="PARTS SALES","GP",I705="SERVICE COS","GP",I705="PARTS COS","GP",I705="SELLING EXPENSES","Selling Expenses",I705="EMPLOYMENT EXPENSES","Selling Expenses",I705="EMPLOYMENT EXPENSES","Selling Expenses",I705="DIRECT EXPENSES","Selling Expenses",I705="INDIRECT EXPENSES","Selling Expenses"))</f>
        <v>#N/A</v>
      </c>
    </row>
    <row r="706" spans="1:18" x14ac:dyDescent="0.2">
      <c r="A706" s="75" t="s">
        <v>759</v>
      </c>
      <c r="B706" s="76" t="s">
        <v>760</v>
      </c>
      <c r="C706" s="76">
        <v>100</v>
      </c>
      <c r="D706" s="76" t="s">
        <v>227</v>
      </c>
      <c r="E706" s="76" t="s">
        <v>426</v>
      </c>
      <c r="F706" s="77">
        <v>39029.21</v>
      </c>
      <c r="G706" s="77">
        <v>361.33</v>
      </c>
      <c r="H706" s="77">
        <v>39390.54</v>
      </c>
      <c r="I706" s="76" t="s">
        <v>761</v>
      </c>
      <c r="J706" s="77">
        <v>0</v>
      </c>
      <c r="K706" s="78">
        <v>4323.75</v>
      </c>
      <c r="M706" s="79" t="str">
        <f t="shared" si="32"/>
        <v>100-4002R</v>
      </c>
      <c r="N706" s="79" t="str">
        <f t="shared" ref="N706:N769" si="33">+IF(RIGHT(A706,1)="#","#","")</f>
        <v/>
      </c>
      <c r="O706" s="79" t="str">
        <f t="shared" ref="O706:O769" si="34">+C706&amp;N706</f>
        <v>100</v>
      </c>
      <c r="P706" s="79" t="str">
        <f>IFERROR(VLOOKUP($M706,Export!$P:$R,2,FALSE),"-")</f>
        <v>New Vehicle</v>
      </c>
      <c r="Q706" s="79" t="str">
        <f>IFERROR(VLOOKUP($M706,Export!$P:$R,3,FALSE),"-")</f>
        <v>New VehicleOther Income per NV unit</v>
      </c>
      <c r="R706" s="80" t="e" cm="1">
        <f t="array" ref="R706">_xlfn.IFS(P706="Service", _xlfn.IFS(I706="SALES","GP",I706="SERVICE SALES","GP",I706="PARTS SALES","GP",I706="SERVICE COS","GP",I706="PARTS COS","GP",I706="SELLING EXPENSES","Selling Expenses",I706="EMPLOYMENT EXPENSES","Selling Expenses",I706="EMPLOYMENT EXPENSES","Selling Expenses",I706="DIRECT EXPENSES","Selling Expenses",I706="INDIRECT EXPENSES","Selling Expenses"),P706="Parts",_xlfn.IFS(I706="SALES","GP",I706="SERVICE SALES","GP",I706="PARTS SALES","GP",I706="SERVICE COS","GP",I706="PARTS COS","GP",I706="SELLING EXPENSES","Selling Expenses",I706="EMPLOYMENT EXPENSES","Selling Expenses",I706="EMPLOYMENT EXPENSES","Selling Expenses",I706="DIRECT EXPENSES","Selling Expenses",I706="INDIRECT EXPENSES","Selling Expenses"))</f>
        <v>#N/A</v>
      </c>
    </row>
    <row r="707" spans="1:18" x14ac:dyDescent="0.2">
      <c r="A707" s="75" t="s">
        <v>759</v>
      </c>
      <c r="B707" s="76" t="s">
        <v>760</v>
      </c>
      <c r="C707" s="76">
        <v>110</v>
      </c>
      <c r="D707" s="76" t="s">
        <v>430</v>
      </c>
      <c r="E707" s="76" t="s">
        <v>426</v>
      </c>
      <c r="F707" s="77">
        <v>136216.95000000001</v>
      </c>
      <c r="G707" s="77">
        <v>-4050</v>
      </c>
      <c r="H707" s="77">
        <v>132166.95000000001</v>
      </c>
      <c r="I707" s="76" t="s">
        <v>761</v>
      </c>
      <c r="J707" s="77">
        <v>48772</v>
      </c>
      <c r="K707" s="78">
        <v>340989.4</v>
      </c>
      <c r="M707" s="79" t="str">
        <f t="shared" ref="M707:M770" si="35">+C707&amp;"-"&amp;A707</f>
        <v>110-4002R</v>
      </c>
      <c r="N707" s="79" t="str">
        <f t="shared" si="33"/>
        <v/>
      </c>
      <c r="O707" s="79" t="str">
        <f t="shared" si="34"/>
        <v>110</v>
      </c>
      <c r="P707" s="79" t="str">
        <f>IFERROR(VLOOKUP($M707,Export!$P:$R,2,FALSE),"-")</f>
        <v>Used Vehicle</v>
      </c>
      <c r="Q707" s="79" t="str">
        <f>IFERROR(VLOOKUP($M707,Export!$P:$R,3,FALSE),"-")</f>
        <v>Used VehicleEx NV demonstrators gross profit p.u.</v>
      </c>
      <c r="R707" s="80" t="e" cm="1">
        <f t="array" ref="R707">_xlfn.IFS(P707="Service", _xlfn.IFS(I707="SALES","GP",I707="SERVICE SALES","GP",I707="PARTS SALES","GP",I707="SERVICE COS","GP",I707="PARTS COS","GP",I707="SELLING EXPENSES","Selling Expenses",I707="EMPLOYMENT EXPENSES","Selling Expenses",I707="EMPLOYMENT EXPENSES","Selling Expenses",I707="DIRECT EXPENSES","Selling Expenses",I707="INDIRECT EXPENSES","Selling Expenses"),P707="Parts",_xlfn.IFS(I707="SALES","GP",I707="SERVICE SALES","GP",I707="PARTS SALES","GP",I707="SERVICE COS","GP",I707="PARTS COS","GP",I707="SELLING EXPENSES","Selling Expenses",I707="EMPLOYMENT EXPENSES","Selling Expenses",I707="EMPLOYMENT EXPENSES","Selling Expenses",I707="DIRECT EXPENSES","Selling Expenses",I707="INDIRECT EXPENSES","Selling Expenses"))</f>
        <v>#N/A</v>
      </c>
    </row>
    <row r="708" spans="1:18" x14ac:dyDescent="0.2">
      <c r="A708" s="75" t="s">
        <v>759</v>
      </c>
      <c r="B708" s="76" t="s">
        <v>760</v>
      </c>
      <c r="C708" s="76">
        <v>200</v>
      </c>
      <c r="D708" s="76" t="s">
        <v>428</v>
      </c>
      <c r="E708" s="76" t="s">
        <v>426</v>
      </c>
      <c r="F708" s="77">
        <v>8493.4</v>
      </c>
      <c r="G708" s="77">
        <v>69.569999999999993</v>
      </c>
      <c r="H708" s="77">
        <v>8562.9699999999993</v>
      </c>
      <c r="I708" s="76" t="s">
        <v>761</v>
      </c>
      <c r="J708" s="77">
        <v>0</v>
      </c>
      <c r="K708" s="78">
        <v>3768.29</v>
      </c>
      <c r="M708" s="79" t="str">
        <f t="shared" si="35"/>
        <v>200-4002R</v>
      </c>
      <c r="N708" s="79" t="str">
        <f t="shared" si="33"/>
        <v/>
      </c>
      <c r="O708" s="79" t="str">
        <f t="shared" si="34"/>
        <v>200</v>
      </c>
      <c r="P708" s="79" t="str">
        <f>IFERROR(VLOOKUP($M708,Export!$P:$R,2,FALSE),"-")</f>
        <v>New Vehicle</v>
      </c>
      <c r="Q708" s="79" t="str">
        <f>IFERROR(VLOOKUP($M708,Export!$P:$R,3,FALSE),"-")</f>
        <v>New VehicleOther Income per NV unit</v>
      </c>
      <c r="R708" s="80" t="e" cm="1">
        <f t="array" ref="R708">_xlfn.IFS(P708="Service", _xlfn.IFS(I708="SALES","GP",I708="SERVICE SALES","GP",I708="PARTS SALES","GP",I708="SERVICE COS","GP",I708="PARTS COS","GP",I708="SELLING EXPENSES","Selling Expenses",I708="EMPLOYMENT EXPENSES","Selling Expenses",I708="EMPLOYMENT EXPENSES","Selling Expenses",I708="DIRECT EXPENSES","Selling Expenses",I708="INDIRECT EXPENSES","Selling Expenses"),P708="Parts",_xlfn.IFS(I708="SALES","GP",I708="SERVICE SALES","GP",I708="PARTS SALES","GP",I708="SERVICE COS","GP",I708="PARTS COS","GP",I708="SELLING EXPENSES","Selling Expenses",I708="EMPLOYMENT EXPENSES","Selling Expenses",I708="EMPLOYMENT EXPENSES","Selling Expenses",I708="DIRECT EXPENSES","Selling Expenses",I708="INDIRECT EXPENSES","Selling Expenses"))</f>
        <v>#N/A</v>
      </c>
    </row>
    <row r="709" spans="1:18" x14ac:dyDescent="0.2">
      <c r="A709" s="75" t="s">
        <v>759</v>
      </c>
      <c r="B709" s="76" t="s">
        <v>760</v>
      </c>
      <c r="C709" s="76">
        <v>210</v>
      </c>
      <c r="D709" s="76" t="s">
        <v>436</v>
      </c>
      <c r="E709" s="76" t="s">
        <v>426</v>
      </c>
      <c r="F709" s="77">
        <v>112029.17</v>
      </c>
      <c r="G709" s="77">
        <v>89226.76</v>
      </c>
      <c r="H709" s="77">
        <v>201255.93</v>
      </c>
      <c r="I709" s="76" t="s">
        <v>761</v>
      </c>
      <c r="J709" s="77">
        <v>54506.37</v>
      </c>
      <c r="K709" s="78">
        <v>299990</v>
      </c>
      <c r="M709" s="79" t="str">
        <f t="shared" si="35"/>
        <v>210-4002R</v>
      </c>
      <c r="N709" s="79" t="str">
        <f t="shared" si="33"/>
        <v/>
      </c>
      <c r="O709" s="79" t="str">
        <f t="shared" si="34"/>
        <v>210</v>
      </c>
      <c r="P709" s="79" t="str">
        <f>IFERROR(VLOOKUP($M709,Export!$P:$R,2,FALSE),"-")</f>
        <v>Used Vehicle</v>
      </c>
      <c r="Q709" s="79" t="str">
        <f>IFERROR(VLOOKUP($M709,Export!$P:$R,3,FALSE),"-")</f>
        <v>Used VehicleEx NV demonstrators gross profit p.u.</v>
      </c>
      <c r="R709" s="80" t="e" cm="1">
        <f t="array" ref="R709">_xlfn.IFS(P709="Service", _xlfn.IFS(I709="SALES","GP",I709="SERVICE SALES","GP",I709="PARTS SALES","GP",I709="SERVICE COS","GP",I709="PARTS COS","GP",I709="SELLING EXPENSES","Selling Expenses",I709="EMPLOYMENT EXPENSES","Selling Expenses",I709="EMPLOYMENT EXPENSES","Selling Expenses",I709="DIRECT EXPENSES","Selling Expenses",I709="INDIRECT EXPENSES","Selling Expenses"),P709="Parts",_xlfn.IFS(I709="SALES","GP",I709="SERVICE SALES","GP",I709="PARTS SALES","GP",I709="SERVICE COS","GP",I709="PARTS COS","GP",I709="SELLING EXPENSES","Selling Expenses",I709="EMPLOYMENT EXPENSES","Selling Expenses",I709="EMPLOYMENT EXPENSES","Selling Expenses",I709="DIRECT EXPENSES","Selling Expenses",I709="INDIRECT EXPENSES","Selling Expenses"))</f>
        <v>#N/A</v>
      </c>
    </row>
    <row r="710" spans="1:18" x14ac:dyDescent="0.2">
      <c r="A710" s="75" t="s">
        <v>762</v>
      </c>
      <c r="B710" s="76" t="s">
        <v>763</v>
      </c>
      <c r="C710" s="76">
        <v>110</v>
      </c>
      <c r="D710" s="76" t="s">
        <v>430</v>
      </c>
      <c r="E710" s="76" t="s">
        <v>426</v>
      </c>
      <c r="F710" s="77">
        <v>-1782.74</v>
      </c>
      <c r="G710" s="77">
        <v>0</v>
      </c>
      <c r="H710" s="77">
        <v>-1782.74</v>
      </c>
      <c r="I710" s="76" t="s">
        <v>761</v>
      </c>
      <c r="J710" s="77">
        <v>0</v>
      </c>
      <c r="K710" s="78">
        <v>-629.1</v>
      </c>
      <c r="M710" s="79" t="str">
        <f t="shared" si="35"/>
        <v>110-4002RR</v>
      </c>
      <c r="N710" s="79" t="str">
        <f t="shared" si="33"/>
        <v/>
      </c>
      <c r="O710" s="79" t="str">
        <f t="shared" si="34"/>
        <v>110</v>
      </c>
      <c r="P710" s="79" t="str">
        <f>IFERROR(VLOOKUP($M710,Export!$P:$R,2,FALSE),"-")</f>
        <v>Used Vehicle</v>
      </c>
      <c r="Q710" s="79" t="str">
        <f>IFERROR(VLOOKUP($M710,Export!$P:$R,3,FALSE),"-")</f>
        <v>Used VehicleEx NV demonstrators gross profit p.u.</v>
      </c>
      <c r="R710" s="80" t="e" cm="1">
        <f t="array" ref="R710">_xlfn.IFS(P710="Service", _xlfn.IFS(I710="SALES","GP",I710="SERVICE SALES","GP",I710="PARTS SALES","GP",I710="SERVICE COS","GP",I710="PARTS COS","GP",I710="SELLING EXPENSES","Selling Expenses",I710="EMPLOYMENT EXPENSES","Selling Expenses",I710="EMPLOYMENT EXPENSES","Selling Expenses",I710="DIRECT EXPENSES","Selling Expenses",I710="INDIRECT EXPENSES","Selling Expenses"),P710="Parts",_xlfn.IFS(I710="SALES","GP",I710="SERVICE SALES","GP",I710="PARTS SALES","GP",I710="SERVICE COS","GP",I710="PARTS COS","GP",I710="SELLING EXPENSES","Selling Expenses",I710="EMPLOYMENT EXPENSES","Selling Expenses",I710="EMPLOYMENT EXPENSES","Selling Expenses",I710="DIRECT EXPENSES","Selling Expenses",I710="INDIRECT EXPENSES","Selling Expenses"))</f>
        <v>#N/A</v>
      </c>
    </row>
    <row r="711" spans="1:18" x14ac:dyDescent="0.2">
      <c r="A711" s="75" t="s">
        <v>762</v>
      </c>
      <c r="B711" s="76" t="s">
        <v>763</v>
      </c>
      <c r="C711" s="76">
        <v>210</v>
      </c>
      <c r="D711" s="76" t="s">
        <v>436</v>
      </c>
      <c r="E711" s="76" t="s">
        <v>426</v>
      </c>
      <c r="F711" s="77">
        <v>-1382.18</v>
      </c>
      <c r="G711" s="77">
        <v>-1038.94</v>
      </c>
      <c r="H711" s="77">
        <v>-2421.12</v>
      </c>
      <c r="I711" s="76" t="s">
        <v>761</v>
      </c>
      <c r="J711" s="77">
        <v>0</v>
      </c>
      <c r="K711" s="78">
        <v>-1230.1400000000001</v>
      </c>
      <c r="M711" s="79" t="str">
        <f t="shared" si="35"/>
        <v>210-4002RR</v>
      </c>
      <c r="N711" s="79" t="str">
        <f t="shared" si="33"/>
        <v/>
      </c>
      <c r="O711" s="79" t="str">
        <f t="shared" si="34"/>
        <v>210</v>
      </c>
      <c r="P711" s="79" t="str">
        <f>IFERROR(VLOOKUP($M711,Export!$P:$R,2,FALSE),"-")</f>
        <v>Used Vehicle</v>
      </c>
      <c r="Q711" s="79" t="str">
        <f>IFERROR(VLOOKUP($M711,Export!$P:$R,3,FALSE),"-")</f>
        <v>Used VehicleEx NV demonstrators gross profit p.u.</v>
      </c>
      <c r="R711" s="80" t="e" cm="1">
        <f t="array" ref="R711">_xlfn.IFS(P711="Service", _xlfn.IFS(I711="SALES","GP",I711="SERVICE SALES","GP",I711="PARTS SALES","GP",I711="SERVICE COS","GP",I711="PARTS COS","GP",I711="SELLING EXPENSES","Selling Expenses",I711="EMPLOYMENT EXPENSES","Selling Expenses",I711="EMPLOYMENT EXPENSES","Selling Expenses",I711="DIRECT EXPENSES","Selling Expenses",I711="INDIRECT EXPENSES","Selling Expenses"),P711="Parts",_xlfn.IFS(I711="SALES","GP",I711="SERVICE SALES","GP",I711="PARTS SALES","GP",I711="SERVICE COS","GP",I711="PARTS COS","GP",I711="SELLING EXPENSES","Selling Expenses",I711="EMPLOYMENT EXPENSES","Selling Expenses",I711="EMPLOYMENT EXPENSES","Selling Expenses",I711="DIRECT EXPENSES","Selling Expenses",I711="INDIRECT EXPENSES","Selling Expenses"))</f>
        <v>#N/A</v>
      </c>
    </row>
    <row r="712" spans="1:18" x14ac:dyDescent="0.2">
      <c r="A712" s="75" t="s">
        <v>764</v>
      </c>
      <c r="B712" s="76" t="s">
        <v>765</v>
      </c>
      <c r="C712" s="76">
        <v>100</v>
      </c>
      <c r="D712" s="76" t="s">
        <v>227</v>
      </c>
      <c r="E712" s="76" t="s">
        <v>426</v>
      </c>
      <c r="F712" s="77">
        <v>31493.919999999998</v>
      </c>
      <c r="G712" s="77">
        <v>2869.63</v>
      </c>
      <c r="H712" s="77">
        <v>34363.550000000003</v>
      </c>
      <c r="I712" s="76" t="s">
        <v>761</v>
      </c>
      <c r="J712" s="77">
        <v>0</v>
      </c>
      <c r="K712" s="78">
        <v>-324.05</v>
      </c>
      <c r="M712" s="79" t="str">
        <f t="shared" si="35"/>
        <v>100-4004R</v>
      </c>
      <c r="N712" s="79" t="str">
        <f t="shared" si="33"/>
        <v/>
      </c>
      <c r="O712" s="79" t="str">
        <f t="shared" si="34"/>
        <v>100</v>
      </c>
      <c r="P712" s="79" t="str">
        <f>IFERROR(VLOOKUP($M712,Export!$P:$R,2,FALSE),"-")</f>
        <v>New Vehicle</v>
      </c>
      <c r="Q712" s="79" t="str">
        <f>IFERROR(VLOOKUP($M712,Export!$P:$R,3,FALSE),"-")</f>
        <v>New VehicleOther Income per NV unit</v>
      </c>
      <c r="R712" s="80" t="e" cm="1">
        <f t="array" ref="R712">_xlfn.IFS(P712="Service", _xlfn.IFS(I712="SALES","GP",I712="SERVICE SALES","GP",I712="PARTS SALES","GP",I712="SERVICE COS","GP",I712="PARTS COS","GP",I712="SELLING EXPENSES","Selling Expenses",I712="EMPLOYMENT EXPENSES","Selling Expenses",I712="EMPLOYMENT EXPENSES","Selling Expenses",I712="DIRECT EXPENSES","Selling Expenses",I712="INDIRECT EXPENSES","Selling Expenses"),P712="Parts",_xlfn.IFS(I712="SALES","GP",I712="SERVICE SALES","GP",I712="PARTS SALES","GP",I712="SERVICE COS","GP",I712="PARTS COS","GP",I712="SELLING EXPENSES","Selling Expenses",I712="EMPLOYMENT EXPENSES","Selling Expenses",I712="EMPLOYMENT EXPENSES","Selling Expenses",I712="DIRECT EXPENSES","Selling Expenses",I712="INDIRECT EXPENSES","Selling Expenses"))</f>
        <v>#N/A</v>
      </c>
    </row>
    <row r="713" spans="1:18" x14ac:dyDescent="0.2">
      <c r="A713" s="75" t="s">
        <v>764</v>
      </c>
      <c r="B713" s="76" t="s">
        <v>765</v>
      </c>
      <c r="C713" s="76">
        <v>110</v>
      </c>
      <c r="D713" s="76" t="s">
        <v>430</v>
      </c>
      <c r="E713" s="76" t="s">
        <v>426</v>
      </c>
      <c r="F713" s="77">
        <v>89260.65</v>
      </c>
      <c r="G713" s="77">
        <v>0</v>
      </c>
      <c r="H713" s="77">
        <v>89260.65</v>
      </c>
      <c r="I713" s="76" t="s">
        <v>761</v>
      </c>
      <c r="J713" s="77">
        <v>29826.16</v>
      </c>
      <c r="K713" s="78">
        <v>242116.89</v>
      </c>
      <c r="M713" s="79" t="str">
        <f t="shared" si="35"/>
        <v>110-4004R</v>
      </c>
      <c r="N713" s="79" t="str">
        <f t="shared" si="33"/>
        <v/>
      </c>
      <c r="O713" s="79" t="str">
        <f t="shared" si="34"/>
        <v>110</v>
      </c>
      <c r="P713" s="79" t="str">
        <f>IFERROR(VLOOKUP($M713,Export!$P:$R,2,FALSE),"-")</f>
        <v>Used Vehicle</v>
      </c>
      <c r="Q713" s="79" t="str">
        <f>IFERROR(VLOOKUP($M713,Export!$P:$R,3,FALSE),"-")</f>
        <v>Used VehicleEx NV demonstrators gross profit p.u.</v>
      </c>
      <c r="R713" s="80" t="e" cm="1">
        <f t="array" ref="R713">_xlfn.IFS(P713="Service", _xlfn.IFS(I713="SALES","GP",I713="SERVICE SALES","GP",I713="PARTS SALES","GP",I713="SERVICE COS","GP",I713="PARTS COS","GP",I713="SELLING EXPENSES","Selling Expenses",I713="EMPLOYMENT EXPENSES","Selling Expenses",I713="EMPLOYMENT EXPENSES","Selling Expenses",I713="DIRECT EXPENSES","Selling Expenses",I713="INDIRECT EXPENSES","Selling Expenses"),P713="Parts",_xlfn.IFS(I713="SALES","GP",I713="SERVICE SALES","GP",I713="PARTS SALES","GP",I713="SERVICE COS","GP",I713="PARTS COS","GP",I713="SELLING EXPENSES","Selling Expenses",I713="EMPLOYMENT EXPENSES","Selling Expenses",I713="EMPLOYMENT EXPENSES","Selling Expenses",I713="DIRECT EXPENSES","Selling Expenses",I713="INDIRECT EXPENSES","Selling Expenses"))</f>
        <v>#N/A</v>
      </c>
    </row>
    <row r="714" spans="1:18" x14ac:dyDescent="0.2">
      <c r="A714" s="75" t="s">
        <v>764</v>
      </c>
      <c r="B714" s="76" t="s">
        <v>765</v>
      </c>
      <c r="C714" s="76">
        <v>200</v>
      </c>
      <c r="D714" s="76" t="s">
        <v>428</v>
      </c>
      <c r="E714" s="76" t="s">
        <v>426</v>
      </c>
      <c r="F714" s="77">
        <v>13599.01</v>
      </c>
      <c r="G714" s="77">
        <v>1499.64</v>
      </c>
      <c r="H714" s="77">
        <v>15098.65</v>
      </c>
      <c r="I714" s="76" t="s">
        <v>761</v>
      </c>
      <c r="J714" s="77">
        <v>0</v>
      </c>
      <c r="K714" s="78">
        <v>515.66999999999996</v>
      </c>
      <c r="M714" s="79" t="str">
        <f t="shared" si="35"/>
        <v>200-4004R</v>
      </c>
      <c r="N714" s="79" t="str">
        <f t="shared" si="33"/>
        <v/>
      </c>
      <c r="O714" s="79" t="str">
        <f t="shared" si="34"/>
        <v>200</v>
      </c>
      <c r="P714" s="79" t="str">
        <f>IFERROR(VLOOKUP($M714,Export!$P:$R,2,FALSE),"-")</f>
        <v>New Vehicle</v>
      </c>
      <c r="Q714" s="79" t="str">
        <f>IFERROR(VLOOKUP($M714,Export!$P:$R,3,FALSE),"-")</f>
        <v>New VehicleOther Income per NV unit</v>
      </c>
      <c r="R714" s="80" t="e" cm="1">
        <f t="array" ref="R714">_xlfn.IFS(P714="Service", _xlfn.IFS(I714="SALES","GP",I714="SERVICE SALES","GP",I714="PARTS SALES","GP",I714="SERVICE COS","GP",I714="PARTS COS","GP",I714="SELLING EXPENSES","Selling Expenses",I714="EMPLOYMENT EXPENSES","Selling Expenses",I714="EMPLOYMENT EXPENSES","Selling Expenses",I714="DIRECT EXPENSES","Selling Expenses",I714="INDIRECT EXPENSES","Selling Expenses"),P714="Parts",_xlfn.IFS(I714="SALES","GP",I714="SERVICE SALES","GP",I714="PARTS SALES","GP",I714="SERVICE COS","GP",I714="PARTS COS","GP",I714="SELLING EXPENSES","Selling Expenses",I714="EMPLOYMENT EXPENSES","Selling Expenses",I714="EMPLOYMENT EXPENSES","Selling Expenses",I714="DIRECT EXPENSES","Selling Expenses",I714="INDIRECT EXPENSES","Selling Expenses"))</f>
        <v>#N/A</v>
      </c>
    </row>
    <row r="715" spans="1:18" x14ac:dyDescent="0.2">
      <c r="A715" s="75" t="s">
        <v>764</v>
      </c>
      <c r="B715" s="76" t="s">
        <v>765</v>
      </c>
      <c r="C715" s="76">
        <v>210</v>
      </c>
      <c r="D715" s="76" t="s">
        <v>436</v>
      </c>
      <c r="E715" s="76" t="s">
        <v>426</v>
      </c>
      <c r="F715" s="77">
        <v>98067.86</v>
      </c>
      <c r="G715" s="77">
        <v>26533.71</v>
      </c>
      <c r="H715" s="77">
        <v>124601.57</v>
      </c>
      <c r="I715" s="76" t="s">
        <v>761</v>
      </c>
      <c r="J715" s="77">
        <v>90820.25</v>
      </c>
      <c r="K715" s="78">
        <v>365921.29</v>
      </c>
      <c r="M715" s="79" t="str">
        <f t="shared" si="35"/>
        <v>210-4004R</v>
      </c>
      <c r="N715" s="79" t="str">
        <f t="shared" si="33"/>
        <v/>
      </c>
      <c r="O715" s="79" t="str">
        <f t="shared" si="34"/>
        <v>210</v>
      </c>
      <c r="P715" s="79" t="str">
        <f>IFERROR(VLOOKUP($M715,Export!$P:$R,2,FALSE),"-")</f>
        <v>Used Vehicle</v>
      </c>
      <c r="Q715" s="79" t="str">
        <f>IFERROR(VLOOKUP($M715,Export!$P:$R,3,FALSE),"-")</f>
        <v>Used VehicleEx NV demonstrators gross profit p.u.</v>
      </c>
      <c r="R715" s="80" t="e" cm="1">
        <f t="array" ref="R715">_xlfn.IFS(P715="Service", _xlfn.IFS(I715="SALES","GP",I715="SERVICE SALES","GP",I715="PARTS SALES","GP",I715="SERVICE COS","GP",I715="PARTS COS","GP",I715="SELLING EXPENSES","Selling Expenses",I715="EMPLOYMENT EXPENSES","Selling Expenses",I715="EMPLOYMENT EXPENSES","Selling Expenses",I715="DIRECT EXPENSES","Selling Expenses",I715="INDIRECT EXPENSES","Selling Expenses"),P715="Parts",_xlfn.IFS(I715="SALES","GP",I715="SERVICE SALES","GP",I715="PARTS SALES","GP",I715="SERVICE COS","GP",I715="PARTS COS","GP",I715="SELLING EXPENSES","Selling Expenses",I715="EMPLOYMENT EXPENSES","Selling Expenses",I715="EMPLOYMENT EXPENSES","Selling Expenses",I715="DIRECT EXPENSES","Selling Expenses",I715="INDIRECT EXPENSES","Selling Expenses"))</f>
        <v>#N/A</v>
      </c>
    </row>
    <row r="716" spans="1:18" x14ac:dyDescent="0.2">
      <c r="A716" s="75" t="s">
        <v>766</v>
      </c>
      <c r="B716" s="76" t="s">
        <v>767</v>
      </c>
      <c r="C716" s="76">
        <v>110</v>
      </c>
      <c r="D716" s="76" t="s">
        <v>430</v>
      </c>
      <c r="E716" s="76" t="s">
        <v>426</v>
      </c>
      <c r="F716" s="77">
        <v>-1073.57</v>
      </c>
      <c r="G716" s="77">
        <v>0</v>
      </c>
      <c r="H716" s="77">
        <v>-1073.57</v>
      </c>
      <c r="I716" s="76" t="s">
        <v>761</v>
      </c>
      <c r="J716" s="77">
        <v>0</v>
      </c>
      <c r="K716" s="78">
        <v>-649.82000000000005</v>
      </c>
      <c r="M716" s="79" t="str">
        <f t="shared" si="35"/>
        <v>110-4004RR</v>
      </c>
      <c r="N716" s="79" t="str">
        <f t="shared" si="33"/>
        <v/>
      </c>
      <c r="O716" s="79" t="str">
        <f t="shared" si="34"/>
        <v>110</v>
      </c>
      <c r="P716" s="79" t="str">
        <f>IFERROR(VLOOKUP($M716,Export!$P:$R,2,FALSE),"-")</f>
        <v>Used Vehicle</v>
      </c>
      <c r="Q716" s="79" t="str">
        <f>IFERROR(VLOOKUP($M716,Export!$P:$R,3,FALSE),"-")</f>
        <v>Used VehicleEx NV demonstrators gross profit p.u.</v>
      </c>
      <c r="R716" s="80" t="e" cm="1">
        <f t="array" ref="R716">_xlfn.IFS(P716="Service", _xlfn.IFS(I716="SALES","GP",I716="SERVICE SALES","GP",I716="PARTS SALES","GP",I716="SERVICE COS","GP",I716="PARTS COS","GP",I716="SELLING EXPENSES","Selling Expenses",I716="EMPLOYMENT EXPENSES","Selling Expenses",I716="EMPLOYMENT EXPENSES","Selling Expenses",I716="DIRECT EXPENSES","Selling Expenses",I716="INDIRECT EXPENSES","Selling Expenses"),P716="Parts",_xlfn.IFS(I716="SALES","GP",I716="SERVICE SALES","GP",I716="PARTS SALES","GP",I716="SERVICE COS","GP",I716="PARTS COS","GP",I716="SELLING EXPENSES","Selling Expenses",I716="EMPLOYMENT EXPENSES","Selling Expenses",I716="EMPLOYMENT EXPENSES","Selling Expenses",I716="DIRECT EXPENSES","Selling Expenses",I716="INDIRECT EXPENSES","Selling Expenses"))</f>
        <v>#N/A</v>
      </c>
    </row>
    <row r="717" spans="1:18" x14ac:dyDescent="0.2">
      <c r="A717" s="75" t="s">
        <v>766</v>
      </c>
      <c r="B717" s="76" t="s">
        <v>767</v>
      </c>
      <c r="C717" s="76">
        <v>210</v>
      </c>
      <c r="D717" s="76" t="s">
        <v>436</v>
      </c>
      <c r="E717" s="76" t="s">
        <v>426</v>
      </c>
      <c r="F717" s="77">
        <v>-1043.9100000000001</v>
      </c>
      <c r="G717" s="77">
        <v>-364.74</v>
      </c>
      <c r="H717" s="77">
        <v>-1408.65</v>
      </c>
      <c r="I717" s="76" t="s">
        <v>761</v>
      </c>
      <c r="J717" s="77">
        <v>0</v>
      </c>
      <c r="K717" s="78">
        <v>-322.48</v>
      </c>
      <c r="M717" s="79" t="str">
        <f t="shared" si="35"/>
        <v>210-4004RR</v>
      </c>
      <c r="N717" s="79" t="str">
        <f t="shared" si="33"/>
        <v/>
      </c>
      <c r="O717" s="79" t="str">
        <f t="shared" si="34"/>
        <v>210</v>
      </c>
      <c r="P717" s="79" t="str">
        <f>IFERROR(VLOOKUP($M717,Export!$P:$R,2,FALSE),"-")</f>
        <v>Used Vehicle</v>
      </c>
      <c r="Q717" s="79" t="str">
        <f>IFERROR(VLOOKUP($M717,Export!$P:$R,3,FALSE),"-")</f>
        <v>Used VehicleEx NV demonstrators gross profit p.u.</v>
      </c>
      <c r="R717" s="80" t="e" cm="1">
        <f t="array" ref="R717">_xlfn.IFS(P717="Service", _xlfn.IFS(I717="SALES","GP",I717="SERVICE SALES","GP",I717="PARTS SALES","GP",I717="SERVICE COS","GP",I717="PARTS COS","GP",I717="SELLING EXPENSES","Selling Expenses",I717="EMPLOYMENT EXPENSES","Selling Expenses",I717="EMPLOYMENT EXPENSES","Selling Expenses",I717="DIRECT EXPENSES","Selling Expenses",I717="INDIRECT EXPENSES","Selling Expenses"),P717="Parts",_xlfn.IFS(I717="SALES","GP",I717="SERVICE SALES","GP",I717="PARTS SALES","GP",I717="SERVICE COS","GP",I717="PARTS COS","GP",I717="SELLING EXPENSES","Selling Expenses",I717="EMPLOYMENT EXPENSES","Selling Expenses",I717="EMPLOYMENT EXPENSES","Selling Expenses",I717="DIRECT EXPENSES","Selling Expenses",I717="INDIRECT EXPENSES","Selling Expenses"))</f>
        <v>#N/A</v>
      </c>
    </row>
    <row r="718" spans="1:18" x14ac:dyDescent="0.2">
      <c r="A718" s="75" t="s">
        <v>768</v>
      </c>
      <c r="B718" s="76" t="s">
        <v>769</v>
      </c>
      <c r="C718" s="76">
        <v>100</v>
      </c>
      <c r="D718" s="76" t="s">
        <v>227</v>
      </c>
      <c r="E718" s="76" t="s">
        <v>426</v>
      </c>
      <c r="F718" s="77">
        <v>5526.64</v>
      </c>
      <c r="G718" s="77">
        <v>0</v>
      </c>
      <c r="H718" s="77">
        <v>5526.64</v>
      </c>
      <c r="I718" s="76" t="s">
        <v>761</v>
      </c>
      <c r="J718" s="77">
        <v>0</v>
      </c>
      <c r="K718" s="78">
        <v>3030</v>
      </c>
      <c r="M718" s="79" t="str">
        <f t="shared" si="35"/>
        <v>100-4006R</v>
      </c>
      <c r="N718" s="79" t="str">
        <f t="shared" si="33"/>
        <v/>
      </c>
      <c r="O718" s="79" t="str">
        <f t="shared" si="34"/>
        <v>100</v>
      </c>
      <c r="P718" s="79" t="str">
        <f>IFERROR(VLOOKUP($M718,Export!$P:$R,2,FALSE),"-")</f>
        <v>New Vehicle</v>
      </c>
      <c r="Q718" s="79" t="str">
        <f>IFERROR(VLOOKUP($M718,Export!$P:$R,3,FALSE),"-")</f>
        <v>New VehicleOther Income per NV unit</v>
      </c>
      <c r="R718" s="80" t="e" cm="1">
        <f t="array" ref="R718">_xlfn.IFS(P718="Service", _xlfn.IFS(I718="SALES","GP",I718="SERVICE SALES","GP",I718="PARTS SALES","GP",I718="SERVICE COS","GP",I718="PARTS COS","GP",I718="SELLING EXPENSES","Selling Expenses",I718="EMPLOYMENT EXPENSES","Selling Expenses",I718="EMPLOYMENT EXPENSES","Selling Expenses",I718="DIRECT EXPENSES","Selling Expenses",I718="INDIRECT EXPENSES","Selling Expenses"),P718="Parts",_xlfn.IFS(I718="SALES","GP",I718="SERVICE SALES","GP",I718="PARTS SALES","GP",I718="SERVICE COS","GP",I718="PARTS COS","GP",I718="SELLING EXPENSES","Selling Expenses",I718="EMPLOYMENT EXPENSES","Selling Expenses",I718="EMPLOYMENT EXPENSES","Selling Expenses",I718="DIRECT EXPENSES","Selling Expenses",I718="INDIRECT EXPENSES","Selling Expenses"))</f>
        <v>#N/A</v>
      </c>
    </row>
    <row r="719" spans="1:18" x14ac:dyDescent="0.2">
      <c r="A719" s="75" t="s">
        <v>768</v>
      </c>
      <c r="B719" s="76" t="s">
        <v>769</v>
      </c>
      <c r="C719" s="76">
        <v>110</v>
      </c>
      <c r="D719" s="76" t="s">
        <v>430</v>
      </c>
      <c r="E719" s="76" t="s">
        <v>426</v>
      </c>
      <c r="F719" s="77">
        <v>26577.93</v>
      </c>
      <c r="G719" s="77">
        <v>0</v>
      </c>
      <c r="H719" s="77">
        <v>26577.93</v>
      </c>
      <c r="I719" s="76" t="s">
        <v>761</v>
      </c>
      <c r="J719" s="77">
        <v>0</v>
      </c>
      <c r="K719" s="78">
        <v>132280.12</v>
      </c>
      <c r="M719" s="79" t="str">
        <f t="shared" si="35"/>
        <v>110-4006R</v>
      </c>
      <c r="N719" s="79" t="str">
        <f t="shared" si="33"/>
        <v/>
      </c>
      <c r="O719" s="79" t="str">
        <f t="shared" si="34"/>
        <v>110</v>
      </c>
      <c r="P719" s="79" t="str">
        <f>IFERROR(VLOOKUP($M719,Export!$P:$R,2,FALSE),"-")</f>
        <v>Used Vehicle</v>
      </c>
      <c r="Q719" s="79" t="str">
        <f>IFERROR(VLOOKUP($M719,Export!$P:$R,3,FALSE),"-")</f>
        <v>Used VehicleEx NV demonstrators gross profit p.u.</v>
      </c>
      <c r="R719" s="80" t="e" cm="1">
        <f t="array" ref="R719">_xlfn.IFS(P719="Service", _xlfn.IFS(I719="SALES","GP",I719="SERVICE SALES","GP",I719="PARTS SALES","GP",I719="SERVICE COS","GP",I719="PARTS COS","GP",I719="SELLING EXPENSES","Selling Expenses",I719="EMPLOYMENT EXPENSES","Selling Expenses",I719="EMPLOYMENT EXPENSES","Selling Expenses",I719="DIRECT EXPENSES","Selling Expenses",I719="INDIRECT EXPENSES","Selling Expenses"),P719="Parts",_xlfn.IFS(I719="SALES","GP",I719="SERVICE SALES","GP",I719="PARTS SALES","GP",I719="SERVICE COS","GP",I719="PARTS COS","GP",I719="SELLING EXPENSES","Selling Expenses",I719="EMPLOYMENT EXPENSES","Selling Expenses",I719="EMPLOYMENT EXPENSES","Selling Expenses",I719="DIRECT EXPENSES","Selling Expenses",I719="INDIRECT EXPENSES","Selling Expenses"))</f>
        <v>#N/A</v>
      </c>
    </row>
    <row r="720" spans="1:18" x14ac:dyDescent="0.2">
      <c r="A720" s="75" t="s">
        <v>768</v>
      </c>
      <c r="B720" s="76" t="s">
        <v>769</v>
      </c>
      <c r="C720" s="76">
        <v>200</v>
      </c>
      <c r="D720" s="76" t="s">
        <v>428</v>
      </c>
      <c r="E720" s="76" t="s">
        <v>426</v>
      </c>
      <c r="F720" s="77">
        <v>359.55</v>
      </c>
      <c r="G720" s="77">
        <v>0</v>
      </c>
      <c r="H720" s="77">
        <v>359.55</v>
      </c>
      <c r="I720" s="76" t="s">
        <v>761</v>
      </c>
      <c r="J720" s="77">
        <v>0</v>
      </c>
      <c r="K720" s="78">
        <v>0</v>
      </c>
      <c r="M720" s="79" t="str">
        <f t="shared" si="35"/>
        <v>200-4006R</v>
      </c>
      <c r="N720" s="79" t="str">
        <f t="shared" si="33"/>
        <v/>
      </c>
      <c r="O720" s="79" t="str">
        <f t="shared" si="34"/>
        <v>200</v>
      </c>
      <c r="P720" s="79" t="str">
        <f>IFERROR(VLOOKUP($M720,Export!$P:$R,2,FALSE),"-")</f>
        <v>New Vehicle</v>
      </c>
      <c r="Q720" s="79" t="str">
        <f>IFERROR(VLOOKUP($M720,Export!$P:$R,3,FALSE),"-")</f>
        <v>New VehicleOther Income per NV unit</v>
      </c>
      <c r="R720" s="80" t="e" cm="1">
        <f t="array" ref="R720">_xlfn.IFS(P720="Service", _xlfn.IFS(I720="SALES","GP",I720="SERVICE SALES","GP",I720="PARTS SALES","GP",I720="SERVICE COS","GP",I720="PARTS COS","GP",I720="SELLING EXPENSES","Selling Expenses",I720="EMPLOYMENT EXPENSES","Selling Expenses",I720="EMPLOYMENT EXPENSES","Selling Expenses",I720="DIRECT EXPENSES","Selling Expenses",I720="INDIRECT EXPENSES","Selling Expenses"),P720="Parts",_xlfn.IFS(I720="SALES","GP",I720="SERVICE SALES","GP",I720="PARTS SALES","GP",I720="SERVICE COS","GP",I720="PARTS COS","GP",I720="SELLING EXPENSES","Selling Expenses",I720="EMPLOYMENT EXPENSES","Selling Expenses",I720="EMPLOYMENT EXPENSES","Selling Expenses",I720="DIRECT EXPENSES","Selling Expenses",I720="INDIRECT EXPENSES","Selling Expenses"))</f>
        <v>#N/A</v>
      </c>
    </row>
    <row r="721" spans="1:18" x14ac:dyDescent="0.2">
      <c r="A721" s="75" t="s">
        <v>768</v>
      </c>
      <c r="B721" s="76" t="s">
        <v>769</v>
      </c>
      <c r="C721" s="76">
        <v>210</v>
      </c>
      <c r="D721" s="76" t="s">
        <v>436</v>
      </c>
      <c r="E721" s="76" t="s">
        <v>426</v>
      </c>
      <c r="F721" s="77">
        <v>0</v>
      </c>
      <c r="G721" s="77">
        <v>0</v>
      </c>
      <c r="H721" s="77">
        <v>0</v>
      </c>
      <c r="I721" s="76" t="s">
        <v>761</v>
      </c>
      <c r="J721" s="77">
        <v>0</v>
      </c>
      <c r="K721" s="78">
        <v>24828.3</v>
      </c>
      <c r="M721" s="79" t="str">
        <f t="shared" si="35"/>
        <v>210-4006R</v>
      </c>
      <c r="N721" s="79" t="str">
        <f t="shared" si="33"/>
        <v/>
      </c>
      <c r="O721" s="79" t="str">
        <f t="shared" si="34"/>
        <v>210</v>
      </c>
      <c r="P721" s="79" t="str">
        <f>IFERROR(VLOOKUP($M721,Export!$P:$R,2,FALSE),"-")</f>
        <v>Used Vehicle</v>
      </c>
      <c r="Q721" s="79" t="str">
        <f>IFERROR(VLOOKUP($M721,Export!$P:$R,3,FALSE),"-")</f>
        <v>Used VehicleEx NV demonstrators gross profit p.u.</v>
      </c>
      <c r="R721" s="80" t="e" cm="1">
        <f t="array" ref="R721">_xlfn.IFS(P721="Service", _xlfn.IFS(I721="SALES","GP",I721="SERVICE SALES","GP",I721="PARTS SALES","GP",I721="SERVICE COS","GP",I721="PARTS COS","GP",I721="SELLING EXPENSES","Selling Expenses",I721="EMPLOYMENT EXPENSES","Selling Expenses",I721="EMPLOYMENT EXPENSES","Selling Expenses",I721="DIRECT EXPENSES","Selling Expenses",I721="INDIRECT EXPENSES","Selling Expenses"),P721="Parts",_xlfn.IFS(I721="SALES","GP",I721="SERVICE SALES","GP",I721="PARTS SALES","GP",I721="SERVICE COS","GP",I721="PARTS COS","GP",I721="SELLING EXPENSES","Selling Expenses",I721="EMPLOYMENT EXPENSES","Selling Expenses",I721="EMPLOYMENT EXPENSES","Selling Expenses",I721="DIRECT EXPENSES","Selling Expenses",I721="INDIRECT EXPENSES","Selling Expenses"))</f>
        <v>#N/A</v>
      </c>
    </row>
    <row r="722" spans="1:18" x14ac:dyDescent="0.2">
      <c r="A722" s="75" t="s">
        <v>770</v>
      </c>
      <c r="B722" s="76" t="s">
        <v>771</v>
      </c>
      <c r="C722" s="76">
        <v>110</v>
      </c>
      <c r="D722" s="76" t="s">
        <v>430</v>
      </c>
      <c r="E722" s="76" t="s">
        <v>426</v>
      </c>
      <c r="F722" s="77">
        <v>-374.56</v>
      </c>
      <c r="G722" s="77">
        <v>0</v>
      </c>
      <c r="H722" s="77">
        <v>-374.56</v>
      </c>
      <c r="I722" s="76" t="s">
        <v>761</v>
      </c>
      <c r="J722" s="77">
        <v>0</v>
      </c>
      <c r="K722" s="78">
        <v>-1668.29</v>
      </c>
      <c r="M722" s="79" t="str">
        <f t="shared" si="35"/>
        <v>110-4006RR</v>
      </c>
      <c r="N722" s="79" t="str">
        <f t="shared" si="33"/>
        <v/>
      </c>
      <c r="O722" s="79" t="str">
        <f t="shared" si="34"/>
        <v>110</v>
      </c>
      <c r="P722" s="79" t="str">
        <f>IFERROR(VLOOKUP($M722,Export!$P:$R,2,FALSE),"-")</f>
        <v>Used Vehicle</v>
      </c>
      <c r="Q722" s="79" t="str">
        <f>IFERROR(VLOOKUP($M722,Export!$P:$R,3,FALSE),"-")</f>
        <v>Used VehicleEx NV demonstrators gross profit p.u.</v>
      </c>
      <c r="R722" s="80" t="e" cm="1">
        <f t="array" ref="R722">_xlfn.IFS(P722="Service", _xlfn.IFS(I722="SALES","GP",I722="SERVICE SALES","GP",I722="PARTS SALES","GP",I722="SERVICE COS","GP",I722="PARTS COS","GP",I722="SELLING EXPENSES","Selling Expenses",I722="EMPLOYMENT EXPENSES","Selling Expenses",I722="EMPLOYMENT EXPENSES","Selling Expenses",I722="DIRECT EXPENSES","Selling Expenses",I722="INDIRECT EXPENSES","Selling Expenses"),P722="Parts",_xlfn.IFS(I722="SALES","GP",I722="SERVICE SALES","GP",I722="PARTS SALES","GP",I722="SERVICE COS","GP",I722="PARTS COS","GP",I722="SELLING EXPENSES","Selling Expenses",I722="EMPLOYMENT EXPENSES","Selling Expenses",I722="EMPLOYMENT EXPENSES","Selling Expenses",I722="DIRECT EXPENSES","Selling Expenses",I722="INDIRECT EXPENSES","Selling Expenses"))</f>
        <v>#N/A</v>
      </c>
    </row>
    <row r="723" spans="1:18" x14ac:dyDescent="0.2">
      <c r="A723" s="75" t="s">
        <v>770</v>
      </c>
      <c r="B723" s="76" t="s">
        <v>771</v>
      </c>
      <c r="C723" s="76">
        <v>210</v>
      </c>
      <c r="D723" s="76" t="s">
        <v>436</v>
      </c>
      <c r="E723" s="76" t="s">
        <v>426</v>
      </c>
      <c r="F723" s="77">
        <v>0</v>
      </c>
      <c r="G723" s="77">
        <v>0</v>
      </c>
      <c r="H723" s="77">
        <v>0</v>
      </c>
      <c r="I723" s="76" t="s">
        <v>761</v>
      </c>
      <c r="J723" s="77">
        <v>0</v>
      </c>
      <c r="K723" s="78">
        <v>-329.1</v>
      </c>
      <c r="M723" s="79" t="str">
        <f t="shared" si="35"/>
        <v>210-4006RR</v>
      </c>
      <c r="N723" s="79" t="str">
        <f t="shared" si="33"/>
        <v/>
      </c>
      <c r="O723" s="79" t="str">
        <f t="shared" si="34"/>
        <v>210</v>
      </c>
      <c r="P723" s="79" t="str">
        <f>IFERROR(VLOOKUP($M723,Export!$P:$R,2,FALSE),"-")</f>
        <v>Used Vehicle</v>
      </c>
      <c r="Q723" s="79" t="str">
        <f>IFERROR(VLOOKUP($M723,Export!$P:$R,3,FALSE),"-")</f>
        <v>Used VehicleEx NV demonstrators gross profit p.u.</v>
      </c>
      <c r="R723" s="80" t="e" cm="1">
        <f t="array" ref="R723">_xlfn.IFS(P723="Service", _xlfn.IFS(I723="SALES","GP",I723="SERVICE SALES","GP",I723="PARTS SALES","GP",I723="SERVICE COS","GP",I723="PARTS COS","GP",I723="SELLING EXPENSES","Selling Expenses",I723="EMPLOYMENT EXPENSES","Selling Expenses",I723="EMPLOYMENT EXPENSES","Selling Expenses",I723="DIRECT EXPENSES","Selling Expenses",I723="INDIRECT EXPENSES","Selling Expenses"),P723="Parts",_xlfn.IFS(I723="SALES","GP",I723="SERVICE SALES","GP",I723="PARTS SALES","GP",I723="SERVICE COS","GP",I723="PARTS COS","GP",I723="SELLING EXPENSES","Selling Expenses",I723="EMPLOYMENT EXPENSES","Selling Expenses",I723="EMPLOYMENT EXPENSES","Selling Expenses",I723="DIRECT EXPENSES","Selling Expenses",I723="INDIRECT EXPENSES","Selling Expenses"))</f>
        <v>#N/A</v>
      </c>
    </row>
    <row r="724" spans="1:18" x14ac:dyDescent="0.2">
      <c r="A724" s="75" t="s">
        <v>772</v>
      </c>
      <c r="B724" s="76" t="s">
        <v>773</v>
      </c>
      <c r="C724" s="76">
        <v>110</v>
      </c>
      <c r="D724" s="76" t="s">
        <v>430</v>
      </c>
      <c r="E724" s="76" t="s">
        <v>426</v>
      </c>
      <c r="F724" s="77">
        <v>0</v>
      </c>
      <c r="G724" s="77">
        <v>0</v>
      </c>
      <c r="H724" s="77">
        <v>0</v>
      </c>
      <c r="I724" s="76" t="s">
        <v>761</v>
      </c>
      <c r="J724" s="77">
        <v>0</v>
      </c>
      <c r="K724" s="78">
        <v>28853.61</v>
      </c>
      <c r="M724" s="79" t="str">
        <f t="shared" si="35"/>
        <v>110-4007R</v>
      </c>
      <c r="N724" s="79" t="str">
        <f t="shared" si="33"/>
        <v/>
      </c>
      <c r="O724" s="79" t="str">
        <f t="shared" si="34"/>
        <v>110</v>
      </c>
      <c r="P724" s="79" t="str">
        <f>IFERROR(VLOOKUP($M724,Export!$P:$R,2,FALSE),"-")</f>
        <v>Used Vehicle</v>
      </c>
      <c r="Q724" s="79" t="str">
        <f>IFERROR(VLOOKUP($M724,Export!$P:$R,3,FALSE),"-")</f>
        <v>Used VehicleEx NV demonstrators gross profit p.u.</v>
      </c>
      <c r="R724" s="80" t="e" cm="1">
        <f t="array" ref="R724">_xlfn.IFS(P724="Service", _xlfn.IFS(I724="SALES","GP",I724="SERVICE SALES","GP",I724="PARTS SALES","GP",I724="SERVICE COS","GP",I724="PARTS COS","GP",I724="SELLING EXPENSES","Selling Expenses",I724="EMPLOYMENT EXPENSES","Selling Expenses",I724="EMPLOYMENT EXPENSES","Selling Expenses",I724="DIRECT EXPENSES","Selling Expenses",I724="INDIRECT EXPENSES","Selling Expenses"),P724="Parts",_xlfn.IFS(I724="SALES","GP",I724="SERVICE SALES","GP",I724="PARTS SALES","GP",I724="SERVICE COS","GP",I724="PARTS COS","GP",I724="SELLING EXPENSES","Selling Expenses",I724="EMPLOYMENT EXPENSES","Selling Expenses",I724="EMPLOYMENT EXPENSES","Selling Expenses",I724="DIRECT EXPENSES","Selling Expenses",I724="INDIRECT EXPENSES","Selling Expenses"))</f>
        <v>#N/A</v>
      </c>
    </row>
    <row r="725" spans="1:18" x14ac:dyDescent="0.2">
      <c r="A725" s="75" t="s">
        <v>774</v>
      </c>
      <c r="B725" s="76" t="s">
        <v>775</v>
      </c>
      <c r="C725" s="76">
        <v>110</v>
      </c>
      <c r="D725" s="76" t="s">
        <v>430</v>
      </c>
      <c r="E725" s="76" t="s">
        <v>426</v>
      </c>
      <c r="F725" s="77">
        <v>0</v>
      </c>
      <c r="G725" s="77">
        <v>0</v>
      </c>
      <c r="H725" s="77">
        <v>0</v>
      </c>
      <c r="I725" s="76" t="s">
        <v>761</v>
      </c>
      <c r="J725" s="77">
        <v>0</v>
      </c>
      <c r="K725" s="78">
        <v>-330.45</v>
      </c>
      <c r="M725" s="79" t="str">
        <f t="shared" si="35"/>
        <v>110-4007RR</v>
      </c>
      <c r="N725" s="79" t="str">
        <f t="shared" si="33"/>
        <v/>
      </c>
      <c r="O725" s="79" t="str">
        <f t="shared" si="34"/>
        <v>110</v>
      </c>
      <c r="P725" s="79" t="str">
        <f>IFERROR(VLOOKUP($M725,Export!$P:$R,2,FALSE),"-")</f>
        <v>Used Vehicle</v>
      </c>
      <c r="Q725" s="79" t="str">
        <f>IFERROR(VLOOKUP($M725,Export!$P:$R,3,FALSE),"-")</f>
        <v>Used VehicleEx NV demonstrators gross profit p.u.</v>
      </c>
      <c r="R725" s="80" t="e" cm="1">
        <f t="array" ref="R725">_xlfn.IFS(P725="Service", _xlfn.IFS(I725="SALES","GP",I725="SERVICE SALES","GP",I725="PARTS SALES","GP",I725="SERVICE COS","GP",I725="PARTS COS","GP",I725="SELLING EXPENSES","Selling Expenses",I725="EMPLOYMENT EXPENSES","Selling Expenses",I725="EMPLOYMENT EXPENSES","Selling Expenses",I725="DIRECT EXPENSES","Selling Expenses",I725="INDIRECT EXPENSES","Selling Expenses"),P725="Parts",_xlfn.IFS(I725="SALES","GP",I725="SERVICE SALES","GP",I725="PARTS SALES","GP",I725="SERVICE COS","GP",I725="PARTS COS","GP",I725="SELLING EXPENSES","Selling Expenses",I725="EMPLOYMENT EXPENSES","Selling Expenses",I725="EMPLOYMENT EXPENSES","Selling Expenses",I725="DIRECT EXPENSES","Selling Expenses",I725="INDIRECT EXPENSES","Selling Expenses"))</f>
        <v>#N/A</v>
      </c>
    </row>
    <row r="726" spans="1:18" x14ac:dyDescent="0.2">
      <c r="A726" s="75" t="s">
        <v>776</v>
      </c>
      <c r="B726" s="76" t="s">
        <v>777</v>
      </c>
      <c r="C726" s="76">
        <v>100</v>
      </c>
      <c r="D726" s="76" t="s">
        <v>227</v>
      </c>
      <c r="E726" s="76" t="s">
        <v>426</v>
      </c>
      <c r="F726" s="77">
        <v>403.2</v>
      </c>
      <c r="G726" s="77">
        <v>0</v>
      </c>
      <c r="H726" s="77">
        <v>403.2</v>
      </c>
      <c r="I726" s="76" t="s">
        <v>761</v>
      </c>
      <c r="J726" s="77">
        <v>0</v>
      </c>
      <c r="K726" s="78">
        <v>80.64</v>
      </c>
      <c r="M726" s="79" t="str">
        <f t="shared" si="35"/>
        <v>100-4008R</v>
      </c>
      <c r="N726" s="79" t="str">
        <f t="shared" si="33"/>
        <v/>
      </c>
      <c r="O726" s="79" t="str">
        <f t="shared" si="34"/>
        <v>100</v>
      </c>
      <c r="P726" s="79" t="str">
        <f>IFERROR(VLOOKUP($M726,Export!$P:$R,2,FALSE),"-")</f>
        <v>New Vehicle</v>
      </c>
      <c r="Q726" s="79" t="str">
        <f>IFERROR(VLOOKUP($M726,Export!$P:$R,3,FALSE),"-")</f>
        <v>New VehicleOther Income per NV unit</v>
      </c>
      <c r="R726" s="80" t="e" cm="1">
        <f t="array" ref="R726">_xlfn.IFS(P726="Service", _xlfn.IFS(I726="SALES","GP",I726="SERVICE SALES","GP",I726="PARTS SALES","GP",I726="SERVICE COS","GP",I726="PARTS COS","GP",I726="SELLING EXPENSES","Selling Expenses",I726="EMPLOYMENT EXPENSES","Selling Expenses",I726="EMPLOYMENT EXPENSES","Selling Expenses",I726="DIRECT EXPENSES","Selling Expenses",I726="INDIRECT EXPENSES","Selling Expenses"),P726="Parts",_xlfn.IFS(I726="SALES","GP",I726="SERVICE SALES","GP",I726="PARTS SALES","GP",I726="SERVICE COS","GP",I726="PARTS COS","GP",I726="SELLING EXPENSES","Selling Expenses",I726="EMPLOYMENT EXPENSES","Selling Expenses",I726="EMPLOYMENT EXPENSES","Selling Expenses",I726="DIRECT EXPENSES","Selling Expenses",I726="INDIRECT EXPENSES","Selling Expenses"))</f>
        <v>#N/A</v>
      </c>
    </row>
    <row r="727" spans="1:18" x14ac:dyDescent="0.2">
      <c r="A727" s="75" t="s">
        <v>776</v>
      </c>
      <c r="B727" s="76" t="s">
        <v>777</v>
      </c>
      <c r="C727" s="76">
        <v>110</v>
      </c>
      <c r="D727" s="76" t="s">
        <v>430</v>
      </c>
      <c r="E727" s="76" t="s">
        <v>426</v>
      </c>
      <c r="F727" s="77">
        <v>0</v>
      </c>
      <c r="G727" s="77">
        <v>0</v>
      </c>
      <c r="H727" s="77">
        <v>0</v>
      </c>
      <c r="I727" s="76" t="s">
        <v>761</v>
      </c>
      <c r="J727" s="77">
        <v>0</v>
      </c>
      <c r="K727" s="78">
        <v>26948.57</v>
      </c>
      <c r="M727" s="79" t="str">
        <f t="shared" si="35"/>
        <v>110-4008R</v>
      </c>
      <c r="N727" s="79" t="str">
        <f t="shared" si="33"/>
        <v/>
      </c>
      <c r="O727" s="79" t="str">
        <f t="shared" si="34"/>
        <v>110</v>
      </c>
      <c r="P727" s="79" t="str">
        <f>IFERROR(VLOOKUP($M727,Export!$P:$R,2,FALSE),"-")</f>
        <v>Used Vehicle</v>
      </c>
      <c r="Q727" s="79" t="str">
        <f>IFERROR(VLOOKUP($M727,Export!$P:$R,3,FALSE),"-")</f>
        <v>Used VehicleEx NV demonstrators gross profit p.u.</v>
      </c>
      <c r="R727" s="80" t="e" cm="1">
        <f t="array" ref="R727">_xlfn.IFS(P727="Service", _xlfn.IFS(I727="SALES","GP",I727="SERVICE SALES","GP",I727="PARTS SALES","GP",I727="SERVICE COS","GP",I727="PARTS COS","GP",I727="SELLING EXPENSES","Selling Expenses",I727="EMPLOYMENT EXPENSES","Selling Expenses",I727="EMPLOYMENT EXPENSES","Selling Expenses",I727="DIRECT EXPENSES","Selling Expenses",I727="INDIRECT EXPENSES","Selling Expenses"),P727="Parts",_xlfn.IFS(I727="SALES","GP",I727="SERVICE SALES","GP",I727="PARTS SALES","GP",I727="SERVICE COS","GP",I727="PARTS COS","GP",I727="SELLING EXPENSES","Selling Expenses",I727="EMPLOYMENT EXPENSES","Selling Expenses",I727="EMPLOYMENT EXPENSES","Selling Expenses",I727="DIRECT EXPENSES","Selling Expenses",I727="INDIRECT EXPENSES","Selling Expenses"))</f>
        <v>#N/A</v>
      </c>
    </row>
    <row r="728" spans="1:18" x14ac:dyDescent="0.2">
      <c r="A728" s="75" t="s">
        <v>776</v>
      </c>
      <c r="B728" s="76" t="s">
        <v>777</v>
      </c>
      <c r="C728" s="76">
        <v>200</v>
      </c>
      <c r="D728" s="76" t="s">
        <v>428</v>
      </c>
      <c r="E728" s="76" t="s">
        <v>426</v>
      </c>
      <c r="F728" s="77">
        <v>0</v>
      </c>
      <c r="G728" s="77">
        <v>0</v>
      </c>
      <c r="H728" s="77">
        <v>0</v>
      </c>
      <c r="I728" s="76" t="s">
        <v>761</v>
      </c>
      <c r="J728" s="77">
        <v>0</v>
      </c>
      <c r="K728" s="78">
        <v>199.28</v>
      </c>
      <c r="M728" s="79" t="str">
        <f t="shared" si="35"/>
        <v>200-4008R</v>
      </c>
      <c r="N728" s="79" t="str">
        <f t="shared" si="33"/>
        <v/>
      </c>
      <c r="O728" s="79" t="str">
        <f t="shared" si="34"/>
        <v>200</v>
      </c>
      <c r="P728" s="79" t="str">
        <f>IFERROR(VLOOKUP($M728,Export!$P:$R,2,FALSE),"-")</f>
        <v>New Vehicle</v>
      </c>
      <c r="Q728" s="79" t="str">
        <f>IFERROR(VLOOKUP($M728,Export!$P:$R,3,FALSE),"-")</f>
        <v>New VehicleOther Income per NV unit</v>
      </c>
      <c r="R728" s="80" t="e" cm="1">
        <f t="array" ref="R728">_xlfn.IFS(P728="Service", _xlfn.IFS(I728="SALES","GP",I728="SERVICE SALES","GP",I728="PARTS SALES","GP",I728="SERVICE COS","GP",I728="PARTS COS","GP",I728="SELLING EXPENSES","Selling Expenses",I728="EMPLOYMENT EXPENSES","Selling Expenses",I728="EMPLOYMENT EXPENSES","Selling Expenses",I728="DIRECT EXPENSES","Selling Expenses",I728="INDIRECT EXPENSES","Selling Expenses"),P728="Parts",_xlfn.IFS(I728="SALES","GP",I728="SERVICE SALES","GP",I728="PARTS SALES","GP",I728="SERVICE COS","GP",I728="PARTS COS","GP",I728="SELLING EXPENSES","Selling Expenses",I728="EMPLOYMENT EXPENSES","Selling Expenses",I728="EMPLOYMENT EXPENSES","Selling Expenses",I728="DIRECT EXPENSES","Selling Expenses",I728="INDIRECT EXPENSES","Selling Expenses"))</f>
        <v>#N/A</v>
      </c>
    </row>
    <row r="729" spans="1:18" x14ac:dyDescent="0.2">
      <c r="A729" s="75" t="s">
        <v>776</v>
      </c>
      <c r="B729" s="76" t="s">
        <v>777</v>
      </c>
      <c r="C729" s="76">
        <v>210</v>
      </c>
      <c r="D729" s="76" t="s">
        <v>436</v>
      </c>
      <c r="E729" s="76" t="s">
        <v>426</v>
      </c>
      <c r="F729" s="77">
        <v>24305.33</v>
      </c>
      <c r="G729" s="77">
        <v>0</v>
      </c>
      <c r="H729" s="77">
        <v>24305.33</v>
      </c>
      <c r="I729" s="76" t="s">
        <v>761</v>
      </c>
      <c r="J729" s="77">
        <v>0</v>
      </c>
      <c r="K729" s="78">
        <v>23475.63</v>
      </c>
      <c r="M729" s="79" t="str">
        <f t="shared" si="35"/>
        <v>210-4008R</v>
      </c>
      <c r="N729" s="79" t="str">
        <f t="shared" si="33"/>
        <v/>
      </c>
      <c r="O729" s="79" t="str">
        <f t="shared" si="34"/>
        <v>210</v>
      </c>
      <c r="P729" s="79" t="str">
        <f>IFERROR(VLOOKUP($M729,Export!$P:$R,2,FALSE),"-")</f>
        <v>Used Vehicle</v>
      </c>
      <c r="Q729" s="79" t="str">
        <f>IFERROR(VLOOKUP($M729,Export!$P:$R,3,FALSE),"-")</f>
        <v>Used VehicleEx NV demonstrators gross profit p.u.</v>
      </c>
      <c r="R729" s="80" t="e" cm="1">
        <f t="array" ref="R729">_xlfn.IFS(P729="Service", _xlfn.IFS(I729="SALES","GP",I729="SERVICE SALES","GP",I729="PARTS SALES","GP",I729="SERVICE COS","GP",I729="PARTS COS","GP",I729="SELLING EXPENSES","Selling Expenses",I729="EMPLOYMENT EXPENSES","Selling Expenses",I729="EMPLOYMENT EXPENSES","Selling Expenses",I729="DIRECT EXPENSES","Selling Expenses",I729="INDIRECT EXPENSES","Selling Expenses"),P729="Parts",_xlfn.IFS(I729="SALES","GP",I729="SERVICE SALES","GP",I729="PARTS SALES","GP",I729="SERVICE COS","GP",I729="PARTS COS","GP",I729="SELLING EXPENSES","Selling Expenses",I729="EMPLOYMENT EXPENSES","Selling Expenses",I729="EMPLOYMENT EXPENSES","Selling Expenses",I729="DIRECT EXPENSES","Selling Expenses",I729="INDIRECT EXPENSES","Selling Expenses"))</f>
        <v>#N/A</v>
      </c>
    </row>
    <row r="730" spans="1:18" x14ac:dyDescent="0.2">
      <c r="A730" s="75" t="s">
        <v>778</v>
      </c>
      <c r="B730" s="76" t="s">
        <v>779</v>
      </c>
      <c r="C730" s="76">
        <v>110</v>
      </c>
      <c r="D730" s="76" t="s">
        <v>430</v>
      </c>
      <c r="E730" s="76" t="s">
        <v>426</v>
      </c>
      <c r="F730" s="77">
        <v>0</v>
      </c>
      <c r="G730" s="77">
        <v>0</v>
      </c>
      <c r="H730" s="77">
        <v>0</v>
      </c>
      <c r="I730" s="76" t="s">
        <v>761</v>
      </c>
      <c r="J730" s="77">
        <v>0</v>
      </c>
      <c r="K730" s="78">
        <v>-328.2</v>
      </c>
      <c r="M730" s="79" t="str">
        <f t="shared" si="35"/>
        <v>110-4008RR</v>
      </c>
      <c r="N730" s="79" t="str">
        <f t="shared" si="33"/>
        <v/>
      </c>
      <c r="O730" s="79" t="str">
        <f t="shared" si="34"/>
        <v>110</v>
      </c>
      <c r="P730" s="79" t="str">
        <f>IFERROR(VLOOKUP($M730,Export!$P:$R,2,FALSE),"-")</f>
        <v>Used Vehicle</v>
      </c>
      <c r="Q730" s="79" t="str">
        <f>IFERROR(VLOOKUP($M730,Export!$P:$R,3,FALSE),"-")</f>
        <v>Used VehicleEx NV demonstrators gross profit p.u.</v>
      </c>
      <c r="R730" s="80" t="e" cm="1">
        <f t="array" ref="R730">_xlfn.IFS(P730="Service", _xlfn.IFS(I730="SALES","GP",I730="SERVICE SALES","GP",I730="PARTS SALES","GP",I730="SERVICE COS","GP",I730="PARTS COS","GP",I730="SELLING EXPENSES","Selling Expenses",I730="EMPLOYMENT EXPENSES","Selling Expenses",I730="EMPLOYMENT EXPENSES","Selling Expenses",I730="DIRECT EXPENSES","Selling Expenses",I730="INDIRECT EXPENSES","Selling Expenses"),P730="Parts",_xlfn.IFS(I730="SALES","GP",I730="SERVICE SALES","GP",I730="PARTS SALES","GP",I730="SERVICE COS","GP",I730="PARTS COS","GP",I730="SELLING EXPENSES","Selling Expenses",I730="EMPLOYMENT EXPENSES","Selling Expenses",I730="EMPLOYMENT EXPENSES","Selling Expenses",I730="DIRECT EXPENSES","Selling Expenses",I730="INDIRECT EXPENSES","Selling Expenses"))</f>
        <v>#N/A</v>
      </c>
    </row>
    <row r="731" spans="1:18" x14ac:dyDescent="0.2">
      <c r="A731" s="75" t="s">
        <v>778</v>
      </c>
      <c r="B731" s="76" t="s">
        <v>779</v>
      </c>
      <c r="C731" s="76">
        <v>210</v>
      </c>
      <c r="D731" s="76" t="s">
        <v>436</v>
      </c>
      <c r="E731" s="76" t="s">
        <v>426</v>
      </c>
      <c r="F731" s="77">
        <v>-369.36</v>
      </c>
      <c r="G731" s="77">
        <v>0</v>
      </c>
      <c r="H731" s="77">
        <v>-369.36</v>
      </c>
      <c r="I731" s="76" t="s">
        <v>761</v>
      </c>
      <c r="J731" s="77">
        <v>0</v>
      </c>
      <c r="K731" s="78">
        <v>-330.45</v>
      </c>
      <c r="M731" s="79" t="str">
        <f t="shared" si="35"/>
        <v>210-4008RR</v>
      </c>
      <c r="N731" s="79" t="str">
        <f t="shared" si="33"/>
        <v/>
      </c>
      <c r="O731" s="79" t="str">
        <f t="shared" si="34"/>
        <v>210</v>
      </c>
      <c r="P731" s="79" t="str">
        <f>IFERROR(VLOOKUP($M731,Export!$P:$R,2,FALSE),"-")</f>
        <v>Used Vehicle</v>
      </c>
      <c r="Q731" s="79" t="str">
        <f>IFERROR(VLOOKUP($M731,Export!$P:$R,3,FALSE),"-")</f>
        <v>Used VehicleEx NV demonstrators gross profit p.u.</v>
      </c>
      <c r="R731" s="80" t="e" cm="1">
        <f t="array" ref="R731">_xlfn.IFS(P731="Service", _xlfn.IFS(I731="SALES","GP",I731="SERVICE SALES","GP",I731="PARTS SALES","GP",I731="SERVICE COS","GP",I731="PARTS COS","GP",I731="SELLING EXPENSES","Selling Expenses",I731="EMPLOYMENT EXPENSES","Selling Expenses",I731="EMPLOYMENT EXPENSES","Selling Expenses",I731="DIRECT EXPENSES","Selling Expenses",I731="INDIRECT EXPENSES","Selling Expenses"),P731="Parts",_xlfn.IFS(I731="SALES","GP",I731="SERVICE SALES","GP",I731="PARTS SALES","GP",I731="SERVICE COS","GP",I731="PARTS COS","GP",I731="SELLING EXPENSES","Selling Expenses",I731="EMPLOYMENT EXPENSES","Selling Expenses",I731="EMPLOYMENT EXPENSES","Selling Expenses",I731="DIRECT EXPENSES","Selling Expenses",I731="INDIRECT EXPENSES","Selling Expenses"))</f>
        <v>#N/A</v>
      </c>
    </row>
    <row r="732" spans="1:18" x14ac:dyDescent="0.2">
      <c r="A732" s="75" t="s">
        <v>780</v>
      </c>
      <c r="B732" s="76" t="s">
        <v>781</v>
      </c>
      <c r="C732" s="76">
        <v>100</v>
      </c>
      <c r="D732" s="76" t="s">
        <v>227</v>
      </c>
      <c r="E732" s="76" t="s">
        <v>426</v>
      </c>
      <c r="F732" s="77">
        <v>106.5</v>
      </c>
      <c r="G732" s="77">
        <v>0</v>
      </c>
      <c r="H732" s="77">
        <v>106.5</v>
      </c>
      <c r="I732" s="76" t="s">
        <v>761</v>
      </c>
      <c r="J732" s="77">
        <v>0</v>
      </c>
      <c r="K732" s="78">
        <v>0</v>
      </c>
      <c r="M732" s="79" t="str">
        <f t="shared" si="35"/>
        <v>100-4009R</v>
      </c>
      <c r="N732" s="79" t="str">
        <f t="shared" si="33"/>
        <v/>
      </c>
      <c r="O732" s="79" t="str">
        <f t="shared" si="34"/>
        <v>100</v>
      </c>
      <c r="P732" s="79" t="str">
        <f>IFERROR(VLOOKUP($M732,Export!$P:$R,2,FALSE),"-")</f>
        <v>New Vehicle</v>
      </c>
      <c r="Q732" s="79" t="str">
        <f>IFERROR(VLOOKUP($M732,Export!$P:$R,3,FALSE),"-")</f>
        <v>New VehicleOther Income per NV unit</v>
      </c>
      <c r="R732" s="80" t="e" cm="1">
        <f t="array" ref="R732">_xlfn.IFS(P732="Service", _xlfn.IFS(I732="SALES","GP",I732="SERVICE SALES","GP",I732="PARTS SALES","GP",I732="SERVICE COS","GP",I732="PARTS COS","GP",I732="SELLING EXPENSES","Selling Expenses",I732="EMPLOYMENT EXPENSES","Selling Expenses",I732="EMPLOYMENT EXPENSES","Selling Expenses",I732="DIRECT EXPENSES","Selling Expenses",I732="INDIRECT EXPENSES","Selling Expenses"),P732="Parts",_xlfn.IFS(I732="SALES","GP",I732="SERVICE SALES","GP",I732="PARTS SALES","GP",I732="SERVICE COS","GP",I732="PARTS COS","GP",I732="SELLING EXPENSES","Selling Expenses",I732="EMPLOYMENT EXPENSES","Selling Expenses",I732="EMPLOYMENT EXPENSES","Selling Expenses",I732="DIRECT EXPENSES","Selling Expenses",I732="INDIRECT EXPENSES","Selling Expenses"))</f>
        <v>#N/A</v>
      </c>
    </row>
    <row r="733" spans="1:18" x14ac:dyDescent="0.2">
      <c r="A733" s="75" t="s">
        <v>780</v>
      </c>
      <c r="B733" s="76" t="s">
        <v>781</v>
      </c>
      <c r="C733" s="76">
        <v>200</v>
      </c>
      <c r="D733" s="76" t="s">
        <v>428</v>
      </c>
      <c r="E733" s="76" t="s">
        <v>426</v>
      </c>
      <c r="F733" s="77">
        <v>106.5</v>
      </c>
      <c r="G733" s="77">
        <v>0</v>
      </c>
      <c r="H733" s="77">
        <v>106.5</v>
      </c>
      <c r="I733" s="76" t="s">
        <v>761</v>
      </c>
      <c r="J733" s="77">
        <v>0</v>
      </c>
      <c r="K733" s="78">
        <v>0</v>
      </c>
      <c r="M733" s="79" t="str">
        <f t="shared" si="35"/>
        <v>200-4009R</v>
      </c>
      <c r="N733" s="79" t="str">
        <f t="shared" si="33"/>
        <v/>
      </c>
      <c r="O733" s="79" t="str">
        <f t="shared" si="34"/>
        <v>200</v>
      </c>
      <c r="P733" s="79" t="str">
        <f>IFERROR(VLOOKUP($M733,Export!$P:$R,2,FALSE),"-")</f>
        <v>New Vehicle</v>
      </c>
      <c r="Q733" s="79" t="str">
        <f>IFERROR(VLOOKUP($M733,Export!$P:$R,3,FALSE),"-")</f>
        <v>New VehicleOther Income per NV unit</v>
      </c>
      <c r="R733" s="80" t="e" cm="1">
        <f t="array" ref="R733">_xlfn.IFS(P733="Service", _xlfn.IFS(I733="SALES","GP",I733="SERVICE SALES","GP",I733="PARTS SALES","GP",I733="SERVICE COS","GP",I733="PARTS COS","GP",I733="SELLING EXPENSES","Selling Expenses",I733="EMPLOYMENT EXPENSES","Selling Expenses",I733="EMPLOYMENT EXPENSES","Selling Expenses",I733="DIRECT EXPENSES","Selling Expenses",I733="INDIRECT EXPENSES","Selling Expenses"),P733="Parts",_xlfn.IFS(I733="SALES","GP",I733="SERVICE SALES","GP",I733="PARTS SALES","GP",I733="SERVICE COS","GP",I733="PARTS COS","GP",I733="SELLING EXPENSES","Selling Expenses",I733="EMPLOYMENT EXPENSES","Selling Expenses",I733="EMPLOYMENT EXPENSES","Selling Expenses",I733="DIRECT EXPENSES","Selling Expenses",I733="INDIRECT EXPENSES","Selling Expenses"))</f>
        <v>#N/A</v>
      </c>
    </row>
    <row r="734" spans="1:18" x14ac:dyDescent="0.2">
      <c r="A734" s="75" t="s">
        <v>782</v>
      </c>
      <c r="B734" s="76" t="s">
        <v>783</v>
      </c>
      <c r="C734" s="76">
        <v>100</v>
      </c>
      <c r="D734" s="76" t="s">
        <v>227</v>
      </c>
      <c r="E734" s="76" t="s">
        <v>426</v>
      </c>
      <c r="F734" s="77">
        <v>1324.26</v>
      </c>
      <c r="G734" s="77">
        <v>219.25</v>
      </c>
      <c r="H734" s="77">
        <v>1543.51</v>
      </c>
      <c r="I734" s="76" t="s">
        <v>761</v>
      </c>
      <c r="J734" s="77">
        <v>0</v>
      </c>
      <c r="K734" s="78">
        <v>0</v>
      </c>
      <c r="M734" s="79" t="str">
        <f t="shared" si="35"/>
        <v>100-4010R</v>
      </c>
      <c r="N734" s="79" t="str">
        <f t="shared" si="33"/>
        <v/>
      </c>
      <c r="O734" s="79" t="str">
        <f t="shared" si="34"/>
        <v>100</v>
      </c>
      <c r="P734" s="79" t="str">
        <f>IFERROR(VLOOKUP($M734,Export!$P:$R,2,FALSE),"-")</f>
        <v>New Vehicle</v>
      </c>
      <c r="Q734" s="79" t="str">
        <f>IFERROR(VLOOKUP($M734,Export!$P:$R,3,FALSE),"-")</f>
        <v>New VehicleOther Income per NV unit</v>
      </c>
      <c r="R734" s="80" t="e" cm="1">
        <f t="array" ref="R734">_xlfn.IFS(P734="Service", _xlfn.IFS(I734="SALES","GP",I734="SERVICE SALES","GP",I734="PARTS SALES","GP",I734="SERVICE COS","GP",I734="PARTS COS","GP",I734="SELLING EXPENSES","Selling Expenses",I734="EMPLOYMENT EXPENSES","Selling Expenses",I734="EMPLOYMENT EXPENSES","Selling Expenses",I734="DIRECT EXPENSES","Selling Expenses",I734="INDIRECT EXPENSES","Selling Expenses"),P734="Parts",_xlfn.IFS(I734="SALES","GP",I734="SERVICE SALES","GP",I734="PARTS SALES","GP",I734="SERVICE COS","GP",I734="PARTS COS","GP",I734="SELLING EXPENSES","Selling Expenses",I734="EMPLOYMENT EXPENSES","Selling Expenses",I734="EMPLOYMENT EXPENSES","Selling Expenses",I734="DIRECT EXPENSES","Selling Expenses",I734="INDIRECT EXPENSES","Selling Expenses"))</f>
        <v>#N/A</v>
      </c>
    </row>
    <row r="735" spans="1:18" x14ac:dyDescent="0.2">
      <c r="A735" s="75" t="s">
        <v>782</v>
      </c>
      <c r="B735" s="76" t="s">
        <v>783</v>
      </c>
      <c r="C735" s="76">
        <v>110</v>
      </c>
      <c r="D735" s="76" t="s">
        <v>430</v>
      </c>
      <c r="E735" s="76" t="s">
        <v>426</v>
      </c>
      <c r="F735" s="77">
        <v>0</v>
      </c>
      <c r="G735" s="77">
        <v>0</v>
      </c>
      <c r="H735" s="77">
        <v>0</v>
      </c>
      <c r="I735" s="76" t="s">
        <v>761</v>
      </c>
      <c r="J735" s="77">
        <v>46524.53</v>
      </c>
      <c r="K735" s="78">
        <v>134915.66</v>
      </c>
      <c r="M735" s="79" t="str">
        <f t="shared" si="35"/>
        <v>110-4010R</v>
      </c>
      <c r="N735" s="79" t="str">
        <f t="shared" si="33"/>
        <v/>
      </c>
      <c r="O735" s="79" t="str">
        <f t="shared" si="34"/>
        <v>110</v>
      </c>
      <c r="P735" s="79" t="str">
        <f>IFERROR(VLOOKUP($M735,Export!$P:$R,2,FALSE),"-")</f>
        <v>Used Vehicle</v>
      </c>
      <c r="Q735" s="79" t="str">
        <f>IFERROR(VLOOKUP($M735,Export!$P:$R,3,FALSE),"-")</f>
        <v>Used VehicleEx NV demonstrators gross profit p.u.</v>
      </c>
      <c r="R735" s="80" t="e" cm="1">
        <f t="array" ref="R735">_xlfn.IFS(P735="Service", _xlfn.IFS(I735="SALES","GP",I735="SERVICE SALES","GP",I735="PARTS SALES","GP",I735="SERVICE COS","GP",I735="PARTS COS","GP",I735="SELLING EXPENSES","Selling Expenses",I735="EMPLOYMENT EXPENSES","Selling Expenses",I735="EMPLOYMENT EXPENSES","Selling Expenses",I735="DIRECT EXPENSES","Selling Expenses",I735="INDIRECT EXPENSES","Selling Expenses"),P735="Parts",_xlfn.IFS(I735="SALES","GP",I735="SERVICE SALES","GP",I735="PARTS SALES","GP",I735="SERVICE COS","GP",I735="PARTS COS","GP",I735="SELLING EXPENSES","Selling Expenses",I735="EMPLOYMENT EXPENSES","Selling Expenses",I735="EMPLOYMENT EXPENSES","Selling Expenses",I735="DIRECT EXPENSES","Selling Expenses",I735="INDIRECT EXPENSES","Selling Expenses"))</f>
        <v>#N/A</v>
      </c>
    </row>
    <row r="736" spans="1:18" x14ac:dyDescent="0.2">
      <c r="A736" s="75" t="s">
        <v>782</v>
      </c>
      <c r="B736" s="76" t="s">
        <v>783</v>
      </c>
      <c r="C736" s="76">
        <v>200</v>
      </c>
      <c r="D736" s="76" t="s">
        <v>428</v>
      </c>
      <c r="E736" s="76" t="s">
        <v>426</v>
      </c>
      <c r="F736" s="77">
        <v>0</v>
      </c>
      <c r="G736" s="77">
        <v>0</v>
      </c>
      <c r="H736" s="77">
        <v>0</v>
      </c>
      <c r="I736" s="76" t="s">
        <v>761</v>
      </c>
      <c r="J736" s="77">
        <v>0</v>
      </c>
      <c r="K736" s="78">
        <v>300.61</v>
      </c>
      <c r="M736" s="79" t="str">
        <f t="shared" si="35"/>
        <v>200-4010R</v>
      </c>
      <c r="N736" s="79" t="str">
        <f t="shared" si="33"/>
        <v/>
      </c>
      <c r="O736" s="79" t="str">
        <f t="shared" si="34"/>
        <v>200</v>
      </c>
      <c r="P736" s="79" t="str">
        <f>IFERROR(VLOOKUP($M736,Export!$P:$R,2,FALSE),"-")</f>
        <v>New Vehicle</v>
      </c>
      <c r="Q736" s="79" t="str">
        <f>IFERROR(VLOOKUP($M736,Export!$P:$R,3,FALSE),"-")</f>
        <v>New VehicleOther Income per NV unit</v>
      </c>
      <c r="R736" s="80" t="e" cm="1">
        <f t="array" ref="R736">_xlfn.IFS(P736="Service", _xlfn.IFS(I736="SALES","GP",I736="SERVICE SALES","GP",I736="PARTS SALES","GP",I736="SERVICE COS","GP",I736="PARTS COS","GP",I736="SELLING EXPENSES","Selling Expenses",I736="EMPLOYMENT EXPENSES","Selling Expenses",I736="EMPLOYMENT EXPENSES","Selling Expenses",I736="DIRECT EXPENSES","Selling Expenses",I736="INDIRECT EXPENSES","Selling Expenses"),P736="Parts",_xlfn.IFS(I736="SALES","GP",I736="SERVICE SALES","GP",I736="PARTS SALES","GP",I736="SERVICE COS","GP",I736="PARTS COS","GP",I736="SELLING EXPENSES","Selling Expenses",I736="EMPLOYMENT EXPENSES","Selling Expenses",I736="EMPLOYMENT EXPENSES","Selling Expenses",I736="DIRECT EXPENSES","Selling Expenses",I736="INDIRECT EXPENSES","Selling Expenses"))</f>
        <v>#N/A</v>
      </c>
    </row>
    <row r="737" spans="1:18" x14ac:dyDescent="0.2">
      <c r="A737" s="75" t="s">
        <v>784</v>
      </c>
      <c r="B737" s="76" t="s">
        <v>785</v>
      </c>
      <c r="C737" s="76">
        <v>110</v>
      </c>
      <c r="D737" s="76" t="s">
        <v>430</v>
      </c>
      <c r="E737" s="76" t="s">
        <v>426</v>
      </c>
      <c r="F737" s="77">
        <v>0</v>
      </c>
      <c r="G737" s="77">
        <v>0</v>
      </c>
      <c r="H737" s="77">
        <v>0</v>
      </c>
      <c r="I737" s="76" t="s">
        <v>761</v>
      </c>
      <c r="J737" s="77">
        <v>0</v>
      </c>
      <c r="K737" s="78">
        <v>-348.25</v>
      </c>
      <c r="M737" s="79" t="str">
        <f t="shared" si="35"/>
        <v>110-4010RR</v>
      </c>
      <c r="N737" s="79" t="str">
        <f t="shared" si="33"/>
        <v/>
      </c>
      <c r="O737" s="79" t="str">
        <f t="shared" si="34"/>
        <v>110</v>
      </c>
      <c r="P737" s="79" t="str">
        <f>IFERROR(VLOOKUP($M737,Export!$P:$R,2,FALSE),"-")</f>
        <v>Used Vehicle</v>
      </c>
      <c r="Q737" s="79" t="str">
        <f>IFERROR(VLOOKUP($M737,Export!$P:$R,3,FALSE),"-")</f>
        <v>Used VehicleEx NV demonstrators gross profit p.u.</v>
      </c>
      <c r="R737" s="80" t="e" cm="1">
        <f t="array" ref="R737">_xlfn.IFS(P737="Service", _xlfn.IFS(I737="SALES","GP",I737="SERVICE SALES","GP",I737="PARTS SALES","GP",I737="SERVICE COS","GP",I737="PARTS COS","GP",I737="SELLING EXPENSES","Selling Expenses",I737="EMPLOYMENT EXPENSES","Selling Expenses",I737="EMPLOYMENT EXPENSES","Selling Expenses",I737="DIRECT EXPENSES","Selling Expenses",I737="INDIRECT EXPENSES","Selling Expenses"),P737="Parts",_xlfn.IFS(I737="SALES","GP",I737="SERVICE SALES","GP",I737="PARTS SALES","GP",I737="SERVICE COS","GP",I737="PARTS COS","GP",I737="SELLING EXPENSES","Selling Expenses",I737="EMPLOYMENT EXPENSES","Selling Expenses",I737="EMPLOYMENT EXPENSES","Selling Expenses",I737="DIRECT EXPENSES","Selling Expenses",I737="INDIRECT EXPENSES","Selling Expenses"))</f>
        <v>#N/A</v>
      </c>
    </row>
    <row r="738" spans="1:18" x14ac:dyDescent="0.2">
      <c r="A738" s="75" t="s">
        <v>786</v>
      </c>
      <c r="B738" s="76" t="s">
        <v>787</v>
      </c>
      <c r="C738" s="76">
        <v>110</v>
      </c>
      <c r="D738" s="76" t="s">
        <v>430</v>
      </c>
      <c r="E738" s="76" t="s">
        <v>426</v>
      </c>
      <c r="F738" s="77">
        <v>38651.26</v>
      </c>
      <c r="G738" s="77">
        <v>0</v>
      </c>
      <c r="H738" s="77">
        <v>38651.26</v>
      </c>
      <c r="I738" s="76" t="s">
        <v>761</v>
      </c>
      <c r="J738" s="77">
        <v>0</v>
      </c>
      <c r="K738" s="78">
        <v>0</v>
      </c>
      <c r="M738" s="79" t="str">
        <f t="shared" si="35"/>
        <v>110-4011R</v>
      </c>
      <c r="N738" s="79" t="str">
        <f t="shared" si="33"/>
        <v/>
      </c>
      <c r="O738" s="79" t="str">
        <f t="shared" si="34"/>
        <v>110</v>
      </c>
      <c r="P738" s="79" t="str">
        <f>IFERROR(VLOOKUP($M738,Export!$P:$R,2,FALSE),"-")</f>
        <v>Used Vehicle</v>
      </c>
      <c r="Q738" s="79" t="str">
        <f>IFERROR(VLOOKUP($M738,Export!$P:$R,3,FALSE),"-")</f>
        <v>Used VehicleEx NV demonstrators gross profit p.u.</v>
      </c>
      <c r="R738" s="80" t="e" cm="1">
        <f t="array" ref="R738">_xlfn.IFS(P738="Service", _xlfn.IFS(I738="SALES","GP",I738="SERVICE SALES","GP",I738="PARTS SALES","GP",I738="SERVICE COS","GP",I738="PARTS COS","GP",I738="SELLING EXPENSES","Selling Expenses",I738="EMPLOYMENT EXPENSES","Selling Expenses",I738="EMPLOYMENT EXPENSES","Selling Expenses",I738="DIRECT EXPENSES","Selling Expenses",I738="INDIRECT EXPENSES","Selling Expenses"),P738="Parts",_xlfn.IFS(I738="SALES","GP",I738="SERVICE SALES","GP",I738="PARTS SALES","GP",I738="SERVICE COS","GP",I738="PARTS COS","GP",I738="SELLING EXPENSES","Selling Expenses",I738="EMPLOYMENT EXPENSES","Selling Expenses",I738="EMPLOYMENT EXPENSES","Selling Expenses",I738="DIRECT EXPENSES","Selling Expenses",I738="INDIRECT EXPENSES","Selling Expenses"))</f>
        <v>#N/A</v>
      </c>
    </row>
    <row r="739" spans="1:18" x14ac:dyDescent="0.2">
      <c r="A739" s="75" t="s">
        <v>786</v>
      </c>
      <c r="B739" s="76" t="s">
        <v>787</v>
      </c>
      <c r="C739" s="76">
        <v>210</v>
      </c>
      <c r="D739" s="76" t="s">
        <v>436</v>
      </c>
      <c r="E739" s="76" t="s">
        <v>426</v>
      </c>
      <c r="F739" s="77">
        <v>0</v>
      </c>
      <c r="G739" s="77">
        <v>0</v>
      </c>
      <c r="H739" s="77">
        <v>0</v>
      </c>
      <c r="I739" s="76" t="s">
        <v>761</v>
      </c>
      <c r="J739" s="77">
        <v>0</v>
      </c>
      <c r="K739" s="78">
        <v>43758.71</v>
      </c>
      <c r="M739" s="79" t="str">
        <f t="shared" si="35"/>
        <v>210-4011R</v>
      </c>
      <c r="N739" s="79" t="str">
        <f t="shared" si="33"/>
        <v/>
      </c>
      <c r="O739" s="79" t="str">
        <f t="shared" si="34"/>
        <v>210</v>
      </c>
      <c r="P739" s="79" t="str">
        <f>IFERROR(VLOOKUP($M739,Export!$P:$R,2,FALSE),"-")</f>
        <v>Used Vehicle</v>
      </c>
      <c r="Q739" s="79" t="str">
        <f>IFERROR(VLOOKUP($M739,Export!$P:$R,3,FALSE),"-")</f>
        <v>Used VehicleEx NV demonstrators gross profit p.u.</v>
      </c>
      <c r="R739" s="80" t="e" cm="1">
        <f t="array" ref="R739">_xlfn.IFS(P739="Service", _xlfn.IFS(I739="SALES","GP",I739="SERVICE SALES","GP",I739="PARTS SALES","GP",I739="SERVICE COS","GP",I739="PARTS COS","GP",I739="SELLING EXPENSES","Selling Expenses",I739="EMPLOYMENT EXPENSES","Selling Expenses",I739="EMPLOYMENT EXPENSES","Selling Expenses",I739="DIRECT EXPENSES","Selling Expenses",I739="INDIRECT EXPENSES","Selling Expenses"),P739="Parts",_xlfn.IFS(I739="SALES","GP",I739="SERVICE SALES","GP",I739="PARTS SALES","GP",I739="SERVICE COS","GP",I739="PARTS COS","GP",I739="SELLING EXPENSES","Selling Expenses",I739="EMPLOYMENT EXPENSES","Selling Expenses",I739="EMPLOYMENT EXPENSES","Selling Expenses",I739="DIRECT EXPENSES","Selling Expenses",I739="INDIRECT EXPENSES","Selling Expenses"))</f>
        <v>#N/A</v>
      </c>
    </row>
    <row r="740" spans="1:18" x14ac:dyDescent="0.2">
      <c r="A740" s="75" t="s">
        <v>788</v>
      </c>
      <c r="B740" s="76" t="s">
        <v>789</v>
      </c>
      <c r="C740" s="76">
        <v>110</v>
      </c>
      <c r="D740" s="76" t="s">
        <v>430</v>
      </c>
      <c r="E740" s="76" t="s">
        <v>426</v>
      </c>
      <c r="F740" s="77">
        <v>-369.16</v>
      </c>
      <c r="G740" s="77">
        <v>0</v>
      </c>
      <c r="H740" s="77">
        <v>-369.16</v>
      </c>
      <c r="I740" s="76" t="s">
        <v>761</v>
      </c>
      <c r="J740" s="77">
        <v>0</v>
      </c>
      <c r="K740" s="78">
        <v>0</v>
      </c>
      <c r="M740" s="79" t="str">
        <f t="shared" si="35"/>
        <v>110-4011RR</v>
      </c>
      <c r="N740" s="79" t="str">
        <f t="shared" si="33"/>
        <v/>
      </c>
      <c r="O740" s="79" t="str">
        <f t="shared" si="34"/>
        <v>110</v>
      </c>
      <c r="P740" s="79" t="str">
        <f>IFERROR(VLOOKUP($M740,Export!$P:$R,2,FALSE),"-")</f>
        <v>Used Vehicle</v>
      </c>
      <c r="Q740" s="79" t="str">
        <f>IFERROR(VLOOKUP($M740,Export!$P:$R,3,FALSE),"-")</f>
        <v>Used VehicleEx NV demonstrators gross profit p.u.</v>
      </c>
      <c r="R740" s="80" t="e" cm="1">
        <f t="array" ref="R740">_xlfn.IFS(P740="Service", _xlfn.IFS(I740="SALES","GP",I740="SERVICE SALES","GP",I740="PARTS SALES","GP",I740="SERVICE COS","GP",I740="PARTS COS","GP",I740="SELLING EXPENSES","Selling Expenses",I740="EMPLOYMENT EXPENSES","Selling Expenses",I740="EMPLOYMENT EXPENSES","Selling Expenses",I740="DIRECT EXPENSES","Selling Expenses",I740="INDIRECT EXPENSES","Selling Expenses"),P740="Parts",_xlfn.IFS(I740="SALES","GP",I740="SERVICE SALES","GP",I740="PARTS SALES","GP",I740="SERVICE COS","GP",I740="PARTS COS","GP",I740="SELLING EXPENSES","Selling Expenses",I740="EMPLOYMENT EXPENSES","Selling Expenses",I740="EMPLOYMENT EXPENSES","Selling Expenses",I740="DIRECT EXPENSES","Selling Expenses",I740="INDIRECT EXPENSES","Selling Expenses"))</f>
        <v>#N/A</v>
      </c>
    </row>
    <row r="741" spans="1:18" x14ac:dyDescent="0.2">
      <c r="A741" s="75" t="s">
        <v>788</v>
      </c>
      <c r="B741" s="76" t="s">
        <v>789</v>
      </c>
      <c r="C741" s="76">
        <v>210</v>
      </c>
      <c r="D741" s="76" t="s">
        <v>436</v>
      </c>
      <c r="E741" s="76" t="s">
        <v>426</v>
      </c>
      <c r="F741" s="77">
        <v>0</v>
      </c>
      <c r="G741" s="77">
        <v>0</v>
      </c>
      <c r="H741" s="77">
        <v>0</v>
      </c>
      <c r="I741" s="76" t="s">
        <v>761</v>
      </c>
      <c r="J741" s="77">
        <v>0</v>
      </c>
      <c r="K741" s="78">
        <v>-347.85</v>
      </c>
      <c r="M741" s="79" t="str">
        <f t="shared" si="35"/>
        <v>210-4011RR</v>
      </c>
      <c r="N741" s="79" t="str">
        <f t="shared" si="33"/>
        <v/>
      </c>
      <c r="O741" s="79" t="str">
        <f t="shared" si="34"/>
        <v>210</v>
      </c>
      <c r="P741" s="79" t="str">
        <f>IFERROR(VLOOKUP($M741,Export!$P:$R,2,FALSE),"-")</f>
        <v>Used Vehicle</v>
      </c>
      <c r="Q741" s="79" t="str">
        <f>IFERROR(VLOOKUP($M741,Export!$P:$R,3,FALSE),"-")</f>
        <v>Used VehicleEx NV demonstrators gross profit p.u.</v>
      </c>
      <c r="R741" s="80" t="e" cm="1">
        <f t="array" ref="R741">_xlfn.IFS(P741="Service", _xlfn.IFS(I741="SALES","GP",I741="SERVICE SALES","GP",I741="PARTS SALES","GP",I741="SERVICE COS","GP",I741="PARTS COS","GP",I741="SELLING EXPENSES","Selling Expenses",I741="EMPLOYMENT EXPENSES","Selling Expenses",I741="EMPLOYMENT EXPENSES","Selling Expenses",I741="DIRECT EXPENSES","Selling Expenses",I741="INDIRECT EXPENSES","Selling Expenses"),P741="Parts",_xlfn.IFS(I741="SALES","GP",I741="SERVICE SALES","GP",I741="PARTS SALES","GP",I741="SERVICE COS","GP",I741="PARTS COS","GP",I741="SELLING EXPENSES","Selling Expenses",I741="EMPLOYMENT EXPENSES","Selling Expenses",I741="EMPLOYMENT EXPENSES","Selling Expenses",I741="DIRECT EXPENSES","Selling Expenses",I741="INDIRECT EXPENSES","Selling Expenses"))</f>
        <v>#N/A</v>
      </c>
    </row>
    <row r="742" spans="1:18" x14ac:dyDescent="0.2">
      <c r="A742" s="75" t="s">
        <v>790</v>
      </c>
      <c r="B742" s="76" t="s">
        <v>791</v>
      </c>
      <c r="C742" s="76">
        <v>110</v>
      </c>
      <c r="D742" s="76" t="s">
        <v>430</v>
      </c>
      <c r="E742" s="76" t="s">
        <v>426</v>
      </c>
      <c r="F742" s="77">
        <v>0</v>
      </c>
      <c r="G742" s="77">
        <v>0</v>
      </c>
      <c r="H742" s="77">
        <v>0</v>
      </c>
      <c r="I742" s="76" t="s">
        <v>761</v>
      </c>
      <c r="J742" s="77">
        <v>38215.01</v>
      </c>
      <c r="K742" s="78">
        <v>76430.02</v>
      </c>
      <c r="M742" s="79" t="str">
        <f t="shared" si="35"/>
        <v>110-4037R</v>
      </c>
      <c r="N742" s="79" t="str">
        <f t="shared" si="33"/>
        <v/>
      </c>
      <c r="O742" s="79" t="str">
        <f t="shared" si="34"/>
        <v>110</v>
      </c>
      <c r="P742" s="79" t="str">
        <f>IFERROR(VLOOKUP($M742,Export!$P:$R,2,FALSE),"-")</f>
        <v>Used Vehicle</v>
      </c>
      <c r="Q742" s="79" t="str">
        <f>IFERROR(VLOOKUP($M742,Export!$P:$R,3,FALSE),"-")</f>
        <v>Used VehicleEx NV demonstrators gross profit p.u.</v>
      </c>
      <c r="R742" s="80" t="e" cm="1">
        <f t="array" ref="R742">_xlfn.IFS(P742="Service", _xlfn.IFS(I742="SALES","GP",I742="SERVICE SALES","GP",I742="PARTS SALES","GP",I742="SERVICE COS","GP",I742="PARTS COS","GP",I742="SELLING EXPENSES","Selling Expenses",I742="EMPLOYMENT EXPENSES","Selling Expenses",I742="EMPLOYMENT EXPENSES","Selling Expenses",I742="DIRECT EXPENSES","Selling Expenses",I742="INDIRECT EXPENSES","Selling Expenses"),P742="Parts",_xlfn.IFS(I742="SALES","GP",I742="SERVICE SALES","GP",I742="PARTS SALES","GP",I742="SERVICE COS","GP",I742="PARTS COS","GP",I742="SELLING EXPENSES","Selling Expenses",I742="EMPLOYMENT EXPENSES","Selling Expenses",I742="EMPLOYMENT EXPENSES","Selling Expenses",I742="DIRECT EXPENSES","Selling Expenses",I742="INDIRECT EXPENSES","Selling Expenses"))</f>
        <v>#N/A</v>
      </c>
    </row>
    <row r="743" spans="1:18" x14ac:dyDescent="0.2">
      <c r="A743" s="75" t="s">
        <v>792</v>
      </c>
      <c r="B743" s="76" t="s">
        <v>793</v>
      </c>
      <c r="C743" s="76">
        <v>112</v>
      </c>
      <c r="D743" s="76" t="s">
        <v>349</v>
      </c>
      <c r="E743" s="76" t="s">
        <v>426</v>
      </c>
      <c r="F743" s="77">
        <v>0</v>
      </c>
      <c r="G743" s="77">
        <v>0</v>
      </c>
      <c r="H743" s="77">
        <v>0</v>
      </c>
      <c r="I743" s="76" t="s">
        <v>761</v>
      </c>
      <c r="J743" s="77">
        <v>0</v>
      </c>
      <c r="K743" s="78">
        <v>153426.47</v>
      </c>
      <c r="M743" s="79" t="str">
        <f t="shared" si="35"/>
        <v>112-4039R</v>
      </c>
      <c r="N743" s="79" t="str">
        <f t="shared" si="33"/>
        <v/>
      </c>
      <c r="O743" s="79" t="str">
        <f t="shared" si="34"/>
        <v>112</v>
      </c>
      <c r="P743" s="79" t="str">
        <f>IFERROR(VLOOKUP($M743,Export!$P:$R,2,FALSE),"-")</f>
        <v>LEX New Vehicle</v>
      </c>
      <c r="Q743" s="79" t="str">
        <f>IFERROR(VLOOKUP($M743,Export!$P:$R,3,FALSE),"-")</f>
        <v>LEX New VehicleRetail Gross p.u.</v>
      </c>
      <c r="R743" s="80" t="e" cm="1">
        <f t="array" ref="R743">_xlfn.IFS(P743="Service", _xlfn.IFS(I743="SALES","GP",I743="SERVICE SALES","GP",I743="PARTS SALES","GP",I743="SERVICE COS","GP",I743="PARTS COS","GP",I743="SELLING EXPENSES","Selling Expenses",I743="EMPLOYMENT EXPENSES","Selling Expenses",I743="EMPLOYMENT EXPENSES","Selling Expenses",I743="DIRECT EXPENSES","Selling Expenses",I743="INDIRECT EXPENSES","Selling Expenses"),P743="Parts",_xlfn.IFS(I743="SALES","GP",I743="SERVICE SALES","GP",I743="PARTS SALES","GP",I743="SERVICE COS","GP",I743="PARTS COS","GP",I743="SELLING EXPENSES","Selling Expenses",I743="EMPLOYMENT EXPENSES","Selling Expenses",I743="EMPLOYMENT EXPENSES","Selling Expenses",I743="DIRECT EXPENSES","Selling Expenses",I743="INDIRECT EXPENSES","Selling Expenses"))</f>
        <v>#N/A</v>
      </c>
    </row>
    <row r="744" spans="1:18" x14ac:dyDescent="0.2">
      <c r="A744" s="75" t="s">
        <v>794</v>
      </c>
      <c r="B744" s="76" t="s">
        <v>795</v>
      </c>
      <c r="C744" s="76">
        <v>112</v>
      </c>
      <c r="D744" s="76" t="s">
        <v>349</v>
      </c>
      <c r="E744" s="76" t="s">
        <v>426</v>
      </c>
      <c r="F744" s="77">
        <v>669502.89</v>
      </c>
      <c r="G744" s="77">
        <v>67030.070000000007</v>
      </c>
      <c r="H744" s="77">
        <v>736532.96</v>
      </c>
      <c r="I744" s="76" t="s">
        <v>761</v>
      </c>
      <c r="J744" s="77">
        <v>62800</v>
      </c>
      <c r="K744" s="78">
        <v>318592.7</v>
      </c>
      <c r="M744" s="79" t="str">
        <f t="shared" si="35"/>
        <v>112-4040R</v>
      </c>
      <c r="N744" s="79" t="str">
        <f t="shared" si="33"/>
        <v/>
      </c>
      <c r="O744" s="79" t="str">
        <f t="shared" si="34"/>
        <v>112</v>
      </c>
      <c r="P744" s="79" t="str">
        <f>IFERROR(VLOOKUP($M744,Export!$P:$R,2,FALSE),"-")</f>
        <v>LEX New Vehicle</v>
      </c>
      <c r="Q744" s="79" t="str">
        <f>IFERROR(VLOOKUP($M744,Export!$P:$R,3,FALSE),"-")</f>
        <v>LEX New VehicleRetail Gross p.u.</v>
      </c>
      <c r="R744" s="80" t="e" cm="1">
        <f t="array" ref="R744">_xlfn.IFS(P744="Service", _xlfn.IFS(I744="SALES","GP",I744="SERVICE SALES","GP",I744="PARTS SALES","GP",I744="SERVICE COS","GP",I744="PARTS COS","GP",I744="SELLING EXPENSES","Selling Expenses",I744="EMPLOYMENT EXPENSES","Selling Expenses",I744="EMPLOYMENT EXPENSES","Selling Expenses",I744="DIRECT EXPENSES","Selling Expenses",I744="INDIRECT EXPENSES","Selling Expenses"),P744="Parts",_xlfn.IFS(I744="SALES","GP",I744="SERVICE SALES","GP",I744="PARTS SALES","GP",I744="SERVICE COS","GP",I744="PARTS COS","GP",I744="SELLING EXPENSES","Selling Expenses",I744="EMPLOYMENT EXPENSES","Selling Expenses",I744="EMPLOYMENT EXPENSES","Selling Expenses",I744="DIRECT EXPENSES","Selling Expenses",I744="INDIRECT EXPENSES","Selling Expenses"))</f>
        <v>#N/A</v>
      </c>
    </row>
    <row r="745" spans="1:18" x14ac:dyDescent="0.2">
      <c r="A745" s="75" t="s">
        <v>796</v>
      </c>
      <c r="B745" s="76" t="s">
        <v>797</v>
      </c>
      <c r="C745" s="76">
        <v>112</v>
      </c>
      <c r="D745" s="76" t="s">
        <v>349</v>
      </c>
      <c r="E745" s="76" t="s">
        <v>426</v>
      </c>
      <c r="F745" s="77">
        <v>-26573.919999999998</v>
      </c>
      <c r="G745" s="77">
        <v>-7321.74</v>
      </c>
      <c r="H745" s="77">
        <v>-33895.660000000003</v>
      </c>
      <c r="I745" s="76" t="s">
        <v>761</v>
      </c>
      <c r="J745" s="77">
        <v>-8200</v>
      </c>
      <c r="K745" s="78">
        <v>-32843.480000000003</v>
      </c>
      <c r="M745" s="79" t="str">
        <f t="shared" si="35"/>
        <v>112-4040RR</v>
      </c>
      <c r="N745" s="79" t="str">
        <f t="shared" si="33"/>
        <v/>
      </c>
      <c r="O745" s="79" t="str">
        <f t="shared" si="34"/>
        <v>112</v>
      </c>
      <c r="P745" s="79" t="str">
        <f>IFERROR(VLOOKUP($M745,Export!$P:$R,2,FALSE),"-")</f>
        <v>LEX New Vehicle</v>
      </c>
      <c r="Q745" s="79" t="str">
        <f>IFERROR(VLOOKUP($M745,Export!$P:$R,3,FALSE),"-")</f>
        <v>LEX New VehicleRetail Gross p.u.</v>
      </c>
      <c r="R745" s="80" t="e" cm="1">
        <f t="array" ref="R745">_xlfn.IFS(P745="Service", _xlfn.IFS(I745="SALES","GP",I745="SERVICE SALES","GP",I745="PARTS SALES","GP",I745="SERVICE COS","GP",I745="PARTS COS","GP",I745="SELLING EXPENSES","Selling Expenses",I745="EMPLOYMENT EXPENSES","Selling Expenses",I745="EMPLOYMENT EXPENSES","Selling Expenses",I745="DIRECT EXPENSES","Selling Expenses",I745="INDIRECT EXPENSES","Selling Expenses"),P745="Parts",_xlfn.IFS(I745="SALES","GP",I745="SERVICE SALES","GP",I745="PARTS SALES","GP",I745="SERVICE COS","GP",I745="PARTS COS","GP",I745="SELLING EXPENSES","Selling Expenses",I745="EMPLOYMENT EXPENSES","Selling Expenses",I745="EMPLOYMENT EXPENSES","Selling Expenses",I745="DIRECT EXPENSES","Selling Expenses",I745="INDIRECT EXPENSES","Selling Expenses"))</f>
        <v>#N/A</v>
      </c>
    </row>
    <row r="746" spans="1:18" x14ac:dyDescent="0.2">
      <c r="A746" s="75" t="s">
        <v>798</v>
      </c>
      <c r="B746" s="76" t="s">
        <v>799</v>
      </c>
      <c r="C746" s="76">
        <v>112</v>
      </c>
      <c r="D746" s="76" t="s">
        <v>349</v>
      </c>
      <c r="E746" s="76" t="s">
        <v>426</v>
      </c>
      <c r="F746" s="77">
        <v>0</v>
      </c>
      <c r="G746" s="77">
        <v>0</v>
      </c>
      <c r="H746" s="77">
        <v>0</v>
      </c>
      <c r="I746" s="76" t="s">
        <v>761</v>
      </c>
      <c r="J746" s="77">
        <v>0</v>
      </c>
      <c r="K746" s="78">
        <v>140</v>
      </c>
      <c r="M746" s="79" t="str">
        <f t="shared" si="35"/>
        <v>112-4041R</v>
      </c>
      <c r="N746" s="79" t="str">
        <f t="shared" si="33"/>
        <v/>
      </c>
      <c r="O746" s="79" t="str">
        <f t="shared" si="34"/>
        <v>112</v>
      </c>
      <c r="P746" s="79" t="str">
        <f>IFERROR(VLOOKUP($M746,Export!$P:$R,2,FALSE),"-")</f>
        <v>LEX New Vehicle</v>
      </c>
      <c r="Q746" s="79" t="str">
        <f>IFERROR(VLOOKUP($M746,Export!$P:$R,3,FALSE),"-")</f>
        <v>LEX New VehicleRetail Gross p.u.</v>
      </c>
      <c r="R746" s="80" t="e" cm="1">
        <f t="array" ref="R746">_xlfn.IFS(P746="Service", _xlfn.IFS(I746="SALES","GP",I746="SERVICE SALES","GP",I746="PARTS SALES","GP",I746="SERVICE COS","GP",I746="PARTS COS","GP",I746="SELLING EXPENSES","Selling Expenses",I746="EMPLOYMENT EXPENSES","Selling Expenses",I746="EMPLOYMENT EXPENSES","Selling Expenses",I746="DIRECT EXPENSES","Selling Expenses",I746="INDIRECT EXPENSES","Selling Expenses"),P746="Parts",_xlfn.IFS(I746="SALES","GP",I746="SERVICE SALES","GP",I746="PARTS SALES","GP",I746="SERVICE COS","GP",I746="PARTS COS","GP",I746="SELLING EXPENSES","Selling Expenses",I746="EMPLOYMENT EXPENSES","Selling Expenses",I746="EMPLOYMENT EXPENSES","Selling Expenses",I746="DIRECT EXPENSES","Selling Expenses",I746="INDIRECT EXPENSES","Selling Expenses"))</f>
        <v>#N/A</v>
      </c>
    </row>
    <row r="747" spans="1:18" x14ac:dyDescent="0.2">
      <c r="A747" s="75" t="s">
        <v>800</v>
      </c>
      <c r="B747" s="76" t="s">
        <v>801</v>
      </c>
      <c r="C747" s="76">
        <v>112</v>
      </c>
      <c r="D747" s="76" t="s">
        <v>349</v>
      </c>
      <c r="E747" s="76" t="s">
        <v>426</v>
      </c>
      <c r="F747" s="77">
        <v>1083690.8899999999</v>
      </c>
      <c r="G747" s="77">
        <v>100</v>
      </c>
      <c r="H747" s="77">
        <v>1083790.8899999999</v>
      </c>
      <c r="I747" s="76" t="s">
        <v>761</v>
      </c>
      <c r="J747" s="77">
        <v>0</v>
      </c>
      <c r="K747" s="78">
        <v>770404.06</v>
      </c>
      <c r="M747" s="79" t="str">
        <f t="shared" si="35"/>
        <v>112-4042R</v>
      </c>
      <c r="N747" s="79" t="str">
        <f t="shared" si="33"/>
        <v/>
      </c>
      <c r="O747" s="79" t="str">
        <f t="shared" si="34"/>
        <v>112</v>
      </c>
      <c r="P747" s="79" t="str">
        <f>IFERROR(VLOOKUP($M747,Export!$P:$R,2,FALSE),"-")</f>
        <v>LEX New Vehicle</v>
      </c>
      <c r="Q747" s="79" t="str">
        <f>IFERROR(VLOOKUP($M747,Export!$P:$R,3,FALSE),"-")</f>
        <v>LEX New VehicleRetail Gross p.u.</v>
      </c>
      <c r="R747" s="80" t="e" cm="1">
        <f t="array" ref="R747">_xlfn.IFS(P747="Service", _xlfn.IFS(I747="SALES","GP",I747="SERVICE SALES","GP",I747="PARTS SALES","GP",I747="SERVICE COS","GP",I747="PARTS COS","GP",I747="SELLING EXPENSES","Selling Expenses",I747="EMPLOYMENT EXPENSES","Selling Expenses",I747="EMPLOYMENT EXPENSES","Selling Expenses",I747="DIRECT EXPENSES","Selling Expenses",I747="INDIRECT EXPENSES","Selling Expenses"),P747="Parts",_xlfn.IFS(I747="SALES","GP",I747="SERVICE SALES","GP",I747="PARTS SALES","GP",I747="SERVICE COS","GP",I747="PARTS COS","GP",I747="SELLING EXPENSES","Selling Expenses",I747="EMPLOYMENT EXPENSES","Selling Expenses",I747="EMPLOYMENT EXPENSES","Selling Expenses",I747="DIRECT EXPENSES","Selling Expenses",I747="INDIRECT EXPENSES","Selling Expenses"))</f>
        <v>#N/A</v>
      </c>
    </row>
    <row r="748" spans="1:18" x14ac:dyDescent="0.2">
      <c r="A748" s="75" t="s">
        <v>802</v>
      </c>
      <c r="B748" s="76" t="s">
        <v>803</v>
      </c>
      <c r="C748" s="76">
        <v>112</v>
      </c>
      <c r="D748" s="76" t="s">
        <v>349</v>
      </c>
      <c r="E748" s="76" t="s">
        <v>426</v>
      </c>
      <c r="F748" s="77">
        <v>-58566.7</v>
      </c>
      <c r="G748" s="77">
        <v>0</v>
      </c>
      <c r="H748" s="77">
        <v>-58566.7</v>
      </c>
      <c r="I748" s="76" t="s">
        <v>761</v>
      </c>
      <c r="J748" s="77">
        <v>0</v>
      </c>
      <c r="K748" s="78">
        <v>0</v>
      </c>
      <c r="M748" s="79" t="str">
        <f t="shared" si="35"/>
        <v>112-4042RR</v>
      </c>
      <c r="N748" s="79" t="str">
        <f t="shared" si="33"/>
        <v/>
      </c>
      <c r="O748" s="79" t="str">
        <f t="shared" si="34"/>
        <v>112</v>
      </c>
      <c r="P748" s="79" t="str">
        <f>IFERROR(VLOOKUP($M748,Export!$P:$R,2,FALSE),"-")</f>
        <v>LEX New Vehicle</v>
      </c>
      <c r="Q748" s="79" t="str">
        <f>IFERROR(VLOOKUP($M748,Export!$P:$R,3,FALSE),"-")</f>
        <v>LEX New VehicleRetail Gross p.u.</v>
      </c>
      <c r="R748" s="80" t="e" cm="1">
        <f t="array" ref="R748">_xlfn.IFS(P748="Service", _xlfn.IFS(I748="SALES","GP",I748="SERVICE SALES","GP",I748="PARTS SALES","GP",I748="SERVICE COS","GP",I748="PARTS COS","GP",I748="SELLING EXPENSES","Selling Expenses",I748="EMPLOYMENT EXPENSES","Selling Expenses",I748="EMPLOYMENT EXPENSES","Selling Expenses",I748="DIRECT EXPENSES","Selling Expenses",I748="INDIRECT EXPENSES","Selling Expenses"),P748="Parts",_xlfn.IFS(I748="SALES","GP",I748="SERVICE SALES","GP",I748="PARTS SALES","GP",I748="SERVICE COS","GP",I748="PARTS COS","GP",I748="SELLING EXPENSES","Selling Expenses",I748="EMPLOYMENT EXPENSES","Selling Expenses",I748="EMPLOYMENT EXPENSES","Selling Expenses",I748="DIRECT EXPENSES","Selling Expenses",I748="INDIRECT EXPENSES","Selling Expenses"))</f>
        <v>#N/A</v>
      </c>
    </row>
    <row r="749" spans="1:18" x14ac:dyDescent="0.2">
      <c r="A749" s="75" t="s">
        <v>804</v>
      </c>
      <c r="B749" s="76" t="s">
        <v>805</v>
      </c>
      <c r="C749" s="76">
        <v>112</v>
      </c>
      <c r="D749" s="76" t="s">
        <v>349</v>
      </c>
      <c r="E749" s="76" t="s">
        <v>426</v>
      </c>
      <c r="F749" s="77">
        <v>0</v>
      </c>
      <c r="G749" s="77">
        <v>0</v>
      </c>
      <c r="H749" s="77">
        <v>0</v>
      </c>
      <c r="I749" s="76" t="s">
        <v>761</v>
      </c>
      <c r="J749" s="77">
        <v>0</v>
      </c>
      <c r="K749" s="78">
        <v>101300</v>
      </c>
      <c r="M749" s="79" t="str">
        <f t="shared" si="35"/>
        <v>112-4046R</v>
      </c>
      <c r="N749" s="79" t="str">
        <f t="shared" si="33"/>
        <v/>
      </c>
      <c r="O749" s="79" t="str">
        <f t="shared" si="34"/>
        <v>112</v>
      </c>
      <c r="P749" s="79" t="str">
        <f>IFERROR(VLOOKUP($M749,Export!$P:$R,2,FALSE),"-")</f>
        <v>LEX New Vehicle</v>
      </c>
      <c r="Q749" s="79" t="str">
        <f>IFERROR(VLOOKUP($M749,Export!$P:$R,3,FALSE),"-")</f>
        <v>LEX New VehicleRetail Gross p.u.</v>
      </c>
      <c r="R749" s="80" t="e" cm="1">
        <f t="array" ref="R749">_xlfn.IFS(P749="Service", _xlfn.IFS(I749="SALES","GP",I749="SERVICE SALES","GP",I749="PARTS SALES","GP",I749="SERVICE COS","GP",I749="PARTS COS","GP",I749="SELLING EXPENSES","Selling Expenses",I749="EMPLOYMENT EXPENSES","Selling Expenses",I749="EMPLOYMENT EXPENSES","Selling Expenses",I749="DIRECT EXPENSES","Selling Expenses",I749="INDIRECT EXPENSES","Selling Expenses"),P749="Parts",_xlfn.IFS(I749="SALES","GP",I749="SERVICE SALES","GP",I749="PARTS SALES","GP",I749="SERVICE COS","GP",I749="PARTS COS","GP",I749="SELLING EXPENSES","Selling Expenses",I749="EMPLOYMENT EXPENSES","Selling Expenses",I749="EMPLOYMENT EXPENSES","Selling Expenses",I749="DIRECT EXPENSES","Selling Expenses",I749="INDIRECT EXPENSES","Selling Expenses"))</f>
        <v>#N/A</v>
      </c>
    </row>
    <row r="750" spans="1:18" x14ac:dyDescent="0.2">
      <c r="A750" s="75" t="s">
        <v>806</v>
      </c>
      <c r="B750" s="76" t="s">
        <v>807</v>
      </c>
      <c r="C750" s="76">
        <v>112</v>
      </c>
      <c r="D750" s="76" t="s">
        <v>349</v>
      </c>
      <c r="E750" s="76" t="s">
        <v>426</v>
      </c>
      <c r="F750" s="77">
        <v>6250</v>
      </c>
      <c r="G750" s="77">
        <v>0</v>
      </c>
      <c r="H750" s="77">
        <v>6250</v>
      </c>
      <c r="I750" s="76" t="s">
        <v>761</v>
      </c>
      <c r="J750" s="77">
        <v>0</v>
      </c>
      <c r="K750" s="78">
        <v>0</v>
      </c>
      <c r="M750" s="79" t="str">
        <f t="shared" si="35"/>
        <v>112-4048R</v>
      </c>
      <c r="N750" s="79" t="str">
        <f t="shared" si="33"/>
        <v/>
      </c>
      <c r="O750" s="79" t="str">
        <f t="shared" si="34"/>
        <v>112</v>
      </c>
      <c r="P750" s="79" t="str">
        <f>IFERROR(VLOOKUP($M750,Export!$P:$R,2,FALSE),"-")</f>
        <v>LEX New Vehicle</v>
      </c>
      <c r="Q750" s="79" t="str">
        <f>IFERROR(VLOOKUP($M750,Export!$P:$R,3,FALSE),"-")</f>
        <v>LEX New VehicleRetail Gross p.u.</v>
      </c>
      <c r="R750" s="80" t="e" cm="1">
        <f t="array" ref="R750">_xlfn.IFS(P750="Service", _xlfn.IFS(I750="SALES","GP",I750="SERVICE SALES","GP",I750="PARTS SALES","GP",I750="SERVICE COS","GP",I750="PARTS COS","GP",I750="SELLING EXPENSES","Selling Expenses",I750="EMPLOYMENT EXPENSES","Selling Expenses",I750="EMPLOYMENT EXPENSES","Selling Expenses",I750="DIRECT EXPENSES","Selling Expenses",I750="INDIRECT EXPENSES","Selling Expenses"),P750="Parts",_xlfn.IFS(I750="SALES","GP",I750="SERVICE SALES","GP",I750="PARTS SALES","GP",I750="SERVICE COS","GP",I750="PARTS COS","GP",I750="SELLING EXPENSES","Selling Expenses",I750="EMPLOYMENT EXPENSES","Selling Expenses",I750="EMPLOYMENT EXPENSES","Selling Expenses",I750="DIRECT EXPENSES","Selling Expenses",I750="INDIRECT EXPENSES","Selling Expenses"))</f>
        <v>#N/A</v>
      </c>
    </row>
    <row r="751" spans="1:18" x14ac:dyDescent="0.2">
      <c r="A751" s="75" t="s">
        <v>808</v>
      </c>
      <c r="B751" s="76" t="s">
        <v>809</v>
      </c>
      <c r="C751" s="76">
        <v>112</v>
      </c>
      <c r="D751" s="76" t="s">
        <v>349</v>
      </c>
      <c r="E751" s="76" t="s">
        <v>426</v>
      </c>
      <c r="F751" s="77">
        <v>434818.23</v>
      </c>
      <c r="G751" s="77">
        <v>100</v>
      </c>
      <c r="H751" s="77">
        <v>434918.23</v>
      </c>
      <c r="I751" s="76" t="s">
        <v>761</v>
      </c>
      <c r="J751" s="77">
        <v>412000</v>
      </c>
      <c r="K751" s="78">
        <v>3053403.92</v>
      </c>
      <c r="M751" s="79" t="str">
        <f t="shared" si="35"/>
        <v>112-4049R</v>
      </c>
      <c r="N751" s="79" t="str">
        <f t="shared" si="33"/>
        <v/>
      </c>
      <c r="O751" s="79" t="str">
        <f t="shared" si="34"/>
        <v>112</v>
      </c>
      <c r="P751" s="79" t="str">
        <f>IFERROR(VLOOKUP($M751,Export!$P:$R,2,FALSE),"-")</f>
        <v>LEX New Vehicle</v>
      </c>
      <c r="Q751" s="79" t="str">
        <f>IFERROR(VLOOKUP($M751,Export!$P:$R,3,FALSE),"-")</f>
        <v>LEX New VehicleRetail Gross p.u.</v>
      </c>
      <c r="R751" s="80" t="e" cm="1">
        <f t="array" ref="R751">_xlfn.IFS(P751="Service", _xlfn.IFS(I751="SALES","GP",I751="SERVICE SALES","GP",I751="PARTS SALES","GP",I751="SERVICE COS","GP",I751="PARTS COS","GP",I751="SELLING EXPENSES","Selling Expenses",I751="EMPLOYMENT EXPENSES","Selling Expenses",I751="EMPLOYMENT EXPENSES","Selling Expenses",I751="DIRECT EXPENSES","Selling Expenses",I751="INDIRECT EXPENSES","Selling Expenses"),P751="Parts",_xlfn.IFS(I751="SALES","GP",I751="SERVICE SALES","GP",I751="PARTS SALES","GP",I751="SERVICE COS","GP",I751="PARTS COS","GP",I751="SELLING EXPENSES","Selling Expenses",I751="EMPLOYMENT EXPENSES","Selling Expenses",I751="EMPLOYMENT EXPENSES","Selling Expenses",I751="DIRECT EXPENSES","Selling Expenses",I751="INDIRECT EXPENSES","Selling Expenses"))</f>
        <v>#N/A</v>
      </c>
    </row>
    <row r="752" spans="1:18" x14ac:dyDescent="0.2">
      <c r="A752" s="75" t="s">
        <v>810</v>
      </c>
      <c r="B752" s="76" t="s">
        <v>811</v>
      </c>
      <c r="C752" s="76">
        <v>112</v>
      </c>
      <c r="D752" s="76" t="s">
        <v>349</v>
      </c>
      <c r="E752" s="76" t="s">
        <v>426</v>
      </c>
      <c r="F752" s="77">
        <v>-43627.83</v>
      </c>
      <c r="G752" s="77">
        <v>0</v>
      </c>
      <c r="H752" s="77">
        <v>-43627.83</v>
      </c>
      <c r="I752" s="76" t="s">
        <v>761</v>
      </c>
      <c r="J752" s="77">
        <v>-40500</v>
      </c>
      <c r="K752" s="78">
        <v>-292636.52</v>
      </c>
      <c r="M752" s="79" t="str">
        <f t="shared" si="35"/>
        <v>112-4049RR</v>
      </c>
      <c r="N752" s="79" t="str">
        <f t="shared" si="33"/>
        <v/>
      </c>
      <c r="O752" s="79" t="str">
        <f t="shared" si="34"/>
        <v>112</v>
      </c>
      <c r="P752" s="79" t="str">
        <f>IFERROR(VLOOKUP($M752,Export!$P:$R,2,FALSE),"-")</f>
        <v>LEX New Vehicle</v>
      </c>
      <c r="Q752" s="79" t="str">
        <f>IFERROR(VLOOKUP($M752,Export!$P:$R,3,FALSE),"-")</f>
        <v>LEX New VehicleRetail Gross p.u.</v>
      </c>
      <c r="R752" s="80" t="e" cm="1">
        <f t="array" ref="R752">_xlfn.IFS(P752="Service", _xlfn.IFS(I752="SALES","GP",I752="SERVICE SALES","GP",I752="PARTS SALES","GP",I752="SERVICE COS","GP",I752="PARTS COS","GP",I752="SELLING EXPENSES","Selling Expenses",I752="EMPLOYMENT EXPENSES","Selling Expenses",I752="EMPLOYMENT EXPENSES","Selling Expenses",I752="DIRECT EXPENSES","Selling Expenses",I752="INDIRECT EXPENSES","Selling Expenses"),P752="Parts",_xlfn.IFS(I752="SALES","GP",I752="SERVICE SALES","GP",I752="PARTS SALES","GP",I752="SERVICE COS","GP",I752="PARTS COS","GP",I752="SELLING EXPENSES","Selling Expenses",I752="EMPLOYMENT EXPENSES","Selling Expenses",I752="EMPLOYMENT EXPENSES","Selling Expenses",I752="DIRECT EXPENSES","Selling Expenses",I752="INDIRECT EXPENSES","Selling Expenses"))</f>
        <v>#N/A</v>
      </c>
    </row>
    <row r="753" spans="1:18" x14ac:dyDescent="0.2">
      <c r="A753" s="75" t="s">
        <v>812</v>
      </c>
      <c r="B753" s="76" t="s">
        <v>813</v>
      </c>
      <c r="C753" s="76">
        <v>112</v>
      </c>
      <c r="D753" s="76" t="s">
        <v>349</v>
      </c>
      <c r="E753" s="76" t="s">
        <v>426</v>
      </c>
      <c r="F753" s="77">
        <v>2491991.71</v>
      </c>
      <c r="G753" s="77">
        <v>389412.54</v>
      </c>
      <c r="H753" s="77">
        <v>2881404.25</v>
      </c>
      <c r="I753" s="76" t="s">
        <v>761</v>
      </c>
      <c r="J753" s="77">
        <v>473000</v>
      </c>
      <c r="K753" s="78">
        <v>4383730.76</v>
      </c>
      <c r="M753" s="79" t="str">
        <f t="shared" si="35"/>
        <v>112-4050R</v>
      </c>
      <c r="N753" s="79" t="str">
        <f t="shared" si="33"/>
        <v/>
      </c>
      <c r="O753" s="79" t="str">
        <f t="shared" si="34"/>
        <v>112</v>
      </c>
      <c r="P753" s="79" t="str">
        <f>IFERROR(VLOOKUP($M753,Export!$P:$R,2,FALSE),"-")</f>
        <v>LEX New Vehicle</v>
      </c>
      <c r="Q753" s="79" t="str">
        <f>IFERROR(VLOOKUP($M753,Export!$P:$R,3,FALSE),"-")</f>
        <v>LEX New VehicleRetail Gross p.u.</v>
      </c>
      <c r="R753" s="80" t="e" cm="1">
        <f t="array" ref="R753">_xlfn.IFS(P753="Service", _xlfn.IFS(I753="SALES","GP",I753="SERVICE SALES","GP",I753="PARTS SALES","GP",I753="SERVICE COS","GP",I753="PARTS COS","GP",I753="SELLING EXPENSES","Selling Expenses",I753="EMPLOYMENT EXPENSES","Selling Expenses",I753="EMPLOYMENT EXPENSES","Selling Expenses",I753="DIRECT EXPENSES","Selling Expenses",I753="INDIRECT EXPENSES","Selling Expenses"),P753="Parts",_xlfn.IFS(I753="SALES","GP",I753="SERVICE SALES","GP",I753="PARTS SALES","GP",I753="SERVICE COS","GP",I753="PARTS COS","GP",I753="SELLING EXPENSES","Selling Expenses",I753="EMPLOYMENT EXPENSES","Selling Expenses",I753="EMPLOYMENT EXPENSES","Selling Expenses",I753="DIRECT EXPENSES","Selling Expenses",I753="INDIRECT EXPENSES","Selling Expenses"))</f>
        <v>#N/A</v>
      </c>
    </row>
    <row r="754" spans="1:18" x14ac:dyDescent="0.2">
      <c r="A754" s="75" t="s">
        <v>814</v>
      </c>
      <c r="B754" s="76" t="s">
        <v>815</v>
      </c>
      <c r="C754" s="76">
        <v>112</v>
      </c>
      <c r="D754" s="76" t="s">
        <v>349</v>
      </c>
      <c r="E754" s="76" t="s">
        <v>426</v>
      </c>
      <c r="F754" s="77">
        <v>-147947.81</v>
      </c>
      <c r="G754" s="77">
        <v>-38634.78</v>
      </c>
      <c r="H754" s="77">
        <v>-186582.59</v>
      </c>
      <c r="I754" s="76" t="s">
        <v>761</v>
      </c>
      <c r="J754" s="77">
        <v>-31000</v>
      </c>
      <c r="K754" s="78">
        <v>-273626.08</v>
      </c>
      <c r="M754" s="79" t="str">
        <f t="shared" si="35"/>
        <v>112-4050RR</v>
      </c>
      <c r="N754" s="79" t="str">
        <f t="shared" si="33"/>
        <v/>
      </c>
      <c r="O754" s="79" t="str">
        <f t="shared" si="34"/>
        <v>112</v>
      </c>
      <c r="P754" s="79" t="str">
        <f>IFERROR(VLOOKUP($M754,Export!$P:$R,2,FALSE),"-")</f>
        <v>LEX New Vehicle</v>
      </c>
      <c r="Q754" s="79" t="str">
        <f>IFERROR(VLOOKUP($M754,Export!$P:$R,3,FALSE),"-")</f>
        <v>LEX New VehicleRetail Gross p.u.</v>
      </c>
      <c r="R754" s="80" t="e" cm="1">
        <f t="array" ref="R754">_xlfn.IFS(P754="Service", _xlfn.IFS(I754="SALES","GP",I754="SERVICE SALES","GP",I754="PARTS SALES","GP",I754="SERVICE COS","GP",I754="PARTS COS","GP",I754="SELLING EXPENSES","Selling Expenses",I754="EMPLOYMENT EXPENSES","Selling Expenses",I754="EMPLOYMENT EXPENSES","Selling Expenses",I754="DIRECT EXPENSES","Selling Expenses",I754="INDIRECT EXPENSES","Selling Expenses"),P754="Parts",_xlfn.IFS(I754="SALES","GP",I754="SERVICE SALES","GP",I754="PARTS SALES","GP",I754="SERVICE COS","GP",I754="PARTS COS","GP",I754="SELLING EXPENSES","Selling Expenses",I754="EMPLOYMENT EXPENSES","Selling Expenses",I754="EMPLOYMENT EXPENSES","Selling Expenses",I754="DIRECT EXPENSES","Selling Expenses",I754="INDIRECT EXPENSES","Selling Expenses"))</f>
        <v>#N/A</v>
      </c>
    </row>
    <row r="755" spans="1:18" x14ac:dyDescent="0.2">
      <c r="A755" s="75" t="s">
        <v>816</v>
      </c>
      <c r="B755" s="76" t="s">
        <v>817</v>
      </c>
      <c r="C755" s="76">
        <v>112</v>
      </c>
      <c r="D755" s="76" t="s">
        <v>349</v>
      </c>
      <c r="E755" s="76" t="s">
        <v>426</v>
      </c>
      <c r="F755" s="77">
        <v>0</v>
      </c>
      <c r="G755" s="77">
        <v>0</v>
      </c>
      <c r="H755" s="77">
        <v>0</v>
      </c>
      <c r="I755" s="76" t="s">
        <v>761</v>
      </c>
      <c r="J755" s="77">
        <v>148900</v>
      </c>
      <c r="K755" s="78">
        <v>595607.37</v>
      </c>
      <c r="M755" s="79" t="str">
        <f t="shared" si="35"/>
        <v>112-4051R</v>
      </c>
      <c r="N755" s="79" t="str">
        <f t="shared" si="33"/>
        <v/>
      </c>
      <c r="O755" s="79" t="str">
        <f t="shared" si="34"/>
        <v>112</v>
      </c>
      <c r="P755" s="79" t="str">
        <f>IFERROR(VLOOKUP($M755,Export!$P:$R,2,FALSE),"-")</f>
        <v>LEX New Vehicle</v>
      </c>
      <c r="Q755" s="79" t="str">
        <f>IFERROR(VLOOKUP($M755,Export!$P:$R,3,FALSE),"-")</f>
        <v>LEX New VehicleRetail Gross p.u.</v>
      </c>
      <c r="R755" s="80" t="e" cm="1">
        <f t="array" ref="R755">_xlfn.IFS(P755="Service", _xlfn.IFS(I755="SALES","GP",I755="SERVICE SALES","GP",I755="PARTS SALES","GP",I755="SERVICE COS","GP",I755="PARTS COS","GP",I755="SELLING EXPENSES","Selling Expenses",I755="EMPLOYMENT EXPENSES","Selling Expenses",I755="EMPLOYMENT EXPENSES","Selling Expenses",I755="DIRECT EXPENSES","Selling Expenses",I755="INDIRECT EXPENSES","Selling Expenses"),P755="Parts",_xlfn.IFS(I755="SALES","GP",I755="SERVICE SALES","GP",I755="PARTS SALES","GP",I755="SERVICE COS","GP",I755="PARTS COS","GP",I755="SELLING EXPENSES","Selling Expenses",I755="EMPLOYMENT EXPENSES","Selling Expenses",I755="EMPLOYMENT EXPENSES","Selling Expenses",I755="DIRECT EXPENSES","Selling Expenses",I755="INDIRECT EXPENSES","Selling Expenses"))</f>
        <v>#N/A</v>
      </c>
    </row>
    <row r="756" spans="1:18" x14ac:dyDescent="0.2">
      <c r="A756" s="75" t="s">
        <v>818</v>
      </c>
      <c r="B756" s="76" t="s">
        <v>819</v>
      </c>
      <c r="C756" s="76">
        <v>112</v>
      </c>
      <c r="D756" s="76" t="s">
        <v>349</v>
      </c>
      <c r="E756" s="76" t="s">
        <v>426</v>
      </c>
      <c r="F756" s="77">
        <v>0</v>
      </c>
      <c r="G756" s="77">
        <v>0</v>
      </c>
      <c r="H756" s="77">
        <v>0</v>
      </c>
      <c r="I756" s="76" t="s">
        <v>761</v>
      </c>
      <c r="J756" s="77">
        <v>-7800</v>
      </c>
      <c r="K756" s="78">
        <v>-31226.09</v>
      </c>
      <c r="M756" s="79" t="str">
        <f t="shared" si="35"/>
        <v>112-4051RR</v>
      </c>
      <c r="N756" s="79" t="str">
        <f t="shared" si="33"/>
        <v/>
      </c>
      <c r="O756" s="79" t="str">
        <f t="shared" si="34"/>
        <v>112</v>
      </c>
      <c r="P756" s="79" t="str">
        <f>IFERROR(VLOOKUP($M756,Export!$P:$R,2,FALSE),"-")</f>
        <v>LEX New Vehicle</v>
      </c>
      <c r="Q756" s="79" t="str">
        <f>IFERROR(VLOOKUP($M756,Export!$P:$R,3,FALSE),"-")</f>
        <v>LEX New VehicleRetail Gross p.u.</v>
      </c>
      <c r="R756" s="80" t="e" cm="1">
        <f t="array" ref="R756">_xlfn.IFS(P756="Service", _xlfn.IFS(I756="SALES","GP",I756="SERVICE SALES","GP",I756="PARTS SALES","GP",I756="SERVICE COS","GP",I756="PARTS COS","GP",I756="SELLING EXPENSES","Selling Expenses",I756="EMPLOYMENT EXPENSES","Selling Expenses",I756="EMPLOYMENT EXPENSES","Selling Expenses",I756="DIRECT EXPENSES","Selling Expenses",I756="INDIRECT EXPENSES","Selling Expenses"),P756="Parts",_xlfn.IFS(I756="SALES","GP",I756="SERVICE SALES","GP",I756="PARTS SALES","GP",I756="SERVICE COS","GP",I756="PARTS COS","GP",I756="SELLING EXPENSES","Selling Expenses",I756="EMPLOYMENT EXPENSES","Selling Expenses",I756="EMPLOYMENT EXPENSES","Selling Expenses",I756="DIRECT EXPENSES","Selling Expenses",I756="INDIRECT EXPENSES","Selling Expenses"))</f>
        <v>#N/A</v>
      </c>
    </row>
    <row r="757" spans="1:18" x14ac:dyDescent="0.2">
      <c r="A757" s="75" t="s">
        <v>820</v>
      </c>
      <c r="B757" s="76" t="s">
        <v>821</v>
      </c>
      <c r="C757" s="76">
        <v>112</v>
      </c>
      <c r="D757" s="76" t="s">
        <v>349</v>
      </c>
      <c r="E757" s="76" t="s">
        <v>426</v>
      </c>
      <c r="F757" s="77">
        <v>0</v>
      </c>
      <c r="G757" s="77">
        <v>0</v>
      </c>
      <c r="H757" s="77">
        <v>0</v>
      </c>
      <c r="I757" s="76" t="s">
        <v>761</v>
      </c>
      <c r="J757" s="77">
        <v>0</v>
      </c>
      <c r="K757" s="78">
        <v>317016.51</v>
      </c>
      <c r="M757" s="79" t="str">
        <f t="shared" si="35"/>
        <v>112-4052R</v>
      </c>
      <c r="N757" s="79" t="str">
        <f t="shared" si="33"/>
        <v/>
      </c>
      <c r="O757" s="79" t="str">
        <f t="shared" si="34"/>
        <v>112</v>
      </c>
      <c r="P757" s="79" t="str">
        <f>IFERROR(VLOOKUP($M757,Export!$P:$R,2,FALSE),"-")</f>
        <v>LEX New Vehicle</v>
      </c>
      <c r="Q757" s="79" t="str">
        <f>IFERROR(VLOOKUP($M757,Export!$P:$R,3,FALSE),"-")</f>
        <v>LEX New VehicleRetail Gross p.u.</v>
      </c>
      <c r="R757" s="80" t="e" cm="1">
        <f t="array" ref="R757">_xlfn.IFS(P757="Service", _xlfn.IFS(I757="SALES","GP",I757="SERVICE SALES","GP",I757="PARTS SALES","GP",I757="SERVICE COS","GP",I757="PARTS COS","GP",I757="SELLING EXPENSES","Selling Expenses",I757="EMPLOYMENT EXPENSES","Selling Expenses",I757="EMPLOYMENT EXPENSES","Selling Expenses",I757="DIRECT EXPENSES","Selling Expenses",I757="INDIRECT EXPENSES","Selling Expenses"),P757="Parts",_xlfn.IFS(I757="SALES","GP",I757="SERVICE SALES","GP",I757="PARTS SALES","GP",I757="SERVICE COS","GP",I757="PARTS COS","GP",I757="SELLING EXPENSES","Selling Expenses",I757="EMPLOYMENT EXPENSES","Selling Expenses",I757="EMPLOYMENT EXPENSES","Selling Expenses",I757="DIRECT EXPENSES","Selling Expenses",I757="INDIRECT EXPENSES","Selling Expenses"))</f>
        <v>#N/A</v>
      </c>
    </row>
    <row r="758" spans="1:18" x14ac:dyDescent="0.2">
      <c r="A758" s="75" t="s">
        <v>822</v>
      </c>
      <c r="B758" s="76" t="s">
        <v>823</v>
      </c>
      <c r="C758" s="76">
        <v>112</v>
      </c>
      <c r="D758" s="76" t="s">
        <v>349</v>
      </c>
      <c r="E758" s="76" t="s">
        <v>426</v>
      </c>
      <c r="F758" s="77">
        <v>0</v>
      </c>
      <c r="G758" s="77">
        <v>0</v>
      </c>
      <c r="H758" s="77">
        <v>0</v>
      </c>
      <c r="I758" s="76" t="s">
        <v>761</v>
      </c>
      <c r="J758" s="77">
        <v>0</v>
      </c>
      <c r="K758" s="78">
        <v>-18086.96</v>
      </c>
      <c r="M758" s="79" t="str">
        <f t="shared" si="35"/>
        <v>112-4052RR</v>
      </c>
      <c r="N758" s="79" t="str">
        <f t="shared" si="33"/>
        <v/>
      </c>
      <c r="O758" s="79" t="str">
        <f t="shared" si="34"/>
        <v>112</v>
      </c>
      <c r="P758" s="79" t="str">
        <f>IFERROR(VLOOKUP($M758,Export!$P:$R,2,FALSE),"-")</f>
        <v>LEX New Vehicle</v>
      </c>
      <c r="Q758" s="79" t="str">
        <f>IFERROR(VLOOKUP($M758,Export!$P:$R,3,FALSE),"-")</f>
        <v>LEX New VehicleRetail Gross p.u.</v>
      </c>
      <c r="R758" s="80" t="e" cm="1">
        <f t="array" ref="R758">_xlfn.IFS(P758="Service", _xlfn.IFS(I758="SALES","GP",I758="SERVICE SALES","GP",I758="PARTS SALES","GP",I758="SERVICE COS","GP",I758="PARTS COS","GP",I758="SELLING EXPENSES","Selling Expenses",I758="EMPLOYMENT EXPENSES","Selling Expenses",I758="EMPLOYMENT EXPENSES","Selling Expenses",I758="DIRECT EXPENSES","Selling Expenses",I758="INDIRECT EXPENSES","Selling Expenses"),P758="Parts",_xlfn.IFS(I758="SALES","GP",I758="SERVICE SALES","GP",I758="PARTS SALES","GP",I758="SERVICE COS","GP",I758="PARTS COS","GP",I758="SELLING EXPENSES","Selling Expenses",I758="EMPLOYMENT EXPENSES","Selling Expenses",I758="EMPLOYMENT EXPENSES","Selling Expenses",I758="DIRECT EXPENSES","Selling Expenses",I758="INDIRECT EXPENSES","Selling Expenses"))</f>
        <v>#N/A</v>
      </c>
    </row>
    <row r="759" spans="1:18" x14ac:dyDescent="0.2">
      <c r="A759" s="75" t="s">
        <v>824</v>
      </c>
      <c r="B759" s="76" t="s">
        <v>825</v>
      </c>
      <c r="C759" s="76">
        <v>112</v>
      </c>
      <c r="D759" s="76" t="s">
        <v>349</v>
      </c>
      <c r="E759" s="76" t="s">
        <v>426</v>
      </c>
      <c r="F759" s="77">
        <v>2142987.12</v>
      </c>
      <c r="G759" s="77">
        <v>386250.57</v>
      </c>
      <c r="H759" s="77">
        <v>2529237.69</v>
      </c>
      <c r="I759" s="76" t="s">
        <v>761</v>
      </c>
      <c r="J759" s="77">
        <v>69400</v>
      </c>
      <c r="K759" s="78">
        <v>1044118.2</v>
      </c>
      <c r="M759" s="79" t="str">
        <f t="shared" si="35"/>
        <v>112-4054R</v>
      </c>
      <c r="N759" s="79" t="str">
        <f t="shared" si="33"/>
        <v/>
      </c>
      <c r="O759" s="79" t="str">
        <f t="shared" si="34"/>
        <v>112</v>
      </c>
      <c r="P759" s="79" t="str">
        <f>IFERROR(VLOOKUP($M759,Export!$P:$R,2,FALSE),"-")</f>
        <v>LEX New Vehicle</v>
      </c>
      <c r="Q759" s="79" t="str">
        <f>IFERROR(VLOOKUP($M759,Export!$P:$R,3,FALSE),"-")</f>
        <v>LEX New VehicleRetail Gross p.u.</v>
      </c>
      <c r="R759" s="80" t="e" cm="1">
        <f t="array" ref="R759">_xlfn.IFS(P759="Service", _xlfn.IFS(I759="SALES","GP",I759="SERVICE SALES","GP",I759="PARTS SALES","GP",I759="SERVICE COS","GP",I759="PARTS COS","GP",I759="SELLING EXPENSES","Selling Expenses",I759="EMPLOYMENT EXPENSES","Selling Expenses",I759="EMPLOYMENT EXPENSES","Selling Expenses",I759="DIRECT EXPENSES","Selling Expenses",I759="INDIRECT EXPENSES","Selling Expenses"),P759="Parts",_xlfn.IFS(I759="SALES","GP",I759="SERVICE SALES","GP",I759="PARTS SALES","GP",I759="SERVICE COS","GP",I759="PARTS COS","GP",I759="SELLING EXPENSES","Selling Expenses",I759="EMPLOYMENT EXPENSES","Selling Expenses",I759="EMPLOYMENT EXPENSES","Selling Expenses",I759="DIRECT EXPENSES","Selling Expenses",I759="INDIRECT EXPENSES","Selling Expenses"))</f>
        <v>#N/A</v>
      </c>
    </row>
    <row r="760" spans="1:18" x14ac:dyDescent="0.2">
      <c r="A760" s="75" t="s">
        <v>826</v>
      </c>
      <c r="B760" s="76" t="s">
        <v>827</v>
      </c>
      <c r="C760" s="76">
        <v>112</v>
      </c>
      <c r="D760" s="76" t="s">
        <v>349</v>
      </c>
      <c r="E760" s="76" t="s">
        <v>426</v>
      </c>
      <c r="F760" s="77">
        <v>-49000</v>
      </c>
      <c r="G760" s="77">
        <v>-11426.09</v>
      </c>
      <c r="H760" s="77">
        <v>-60426.09</v>
      </c>
      <c r="I760" s="76" t="s">
        <v>761</v>
      </c>
      <c r="J760" s="77">
        <v>-7200</v>
      </c>
      <c r="K760" s="78">
        <v>-103577.39</v>
      </c>
      <c r="M760" s="79" t="str">
        <f t="shared" si="35"/>
        <v>112-4054RR</v>
      </c>
      <c r="N760" s="79" t="str">
        <f t="shared" si="33"/>
        <v/>
      </c>
      <c r="O760" s="79" t="str">
        <f t="shared" si="34"/>
        <v>112</v>
      </c>
      <c r="P760" s="79" t="str">
        <f>IFERROR(VLOOKUP($M760,Export!$P:$R,2,FALSE),"-")</f>
        <v>LEX New Vehicle</v>
      </c>
      <c r="Q760" s="79" t="str">
        <f>IFERROR(VLOOKUP($M760,Export!$P:$R,3,FALSE),"-")</f>
        <v>LEX New VehicleRetail Gross p.u.</v>
      </c>
      <c r="R760" s="80" t="e" cm="1">
        <f t="array" ref="R760">_xlfn.IFS(P760="Service", _xlfn.IFS(I760="SALES","GP",I760="SERVICE SALES","GP",I760="PARTS SALES","GP",I760="SERVICE COS","GP",I760="PARTS COS","GP",I760="SELLING EXPENSES","Selling Expenses",I760="EMPLOYMENT EXPENSES","Selling Expenses",I760="EMPLOYMENT EXPENSES","Selling Expenses",I760="DIRECT EXPENSES","Selling Expenses",I760="INDIRECT EXPENSES","Selling Expenses"),P760="Parts",_xlfn.IFS(I760="SALES","GP",I760="SERVICE SALES","GP",I760="PARTS SALES","GP",I760="SERVICE COS","GP",I760="PARTS COS","GP",I760="SELLING EXPENSES","Selling Expenses",I760="EMPLOYMENT EXPENSES","Selling Expenses",I760="EMPLOYMENT EXPENSES","Selling Expenses",I760="DIRECT EXPENSES","Selling Expenses",I760="INDIRECT EXPENSES","Selling Expenses"))</f>
        <v>#N/A</v>
      </c>
    </row>
    <row r="761" spans="1:18" x14ac:dyDescent="0.2">
      <c r="A761" s="75">
        <v>4060</v>
      </c>
      <c r="B761" s="76" t="s">
        <v>828</v>
      </c>
      <c r="C761" s="76">
        <v>110</v>
      </c>
      <c r="D761" s="76" t="s">
        <v>430</v>
      </c>
      <c r="E761" s="76" t="s">
        <v>426</v>
      </c>
      <c r="F761" s="77">
        <v>156968.95999999999</v>
      </c>
      <c r="G761" s="77">
        <v>4511.97</v>
      </c>
      <c r="H761" s="77">
        <v>161480.93</v>
      </c>
      <c r="I761" s="76" t="s">
        <v>761</v>
      </c>
      <c r="J761" s="77">
        <v>864.86</v>
      </c>
      <c r="K761" s="78">
        <v>63499.62</v>
      </c>
      <c r="M761" s="79" t="str">
        <f t="shared" si="35"/>
        <v>110-4060</v>
      </c>
      <c r="N761" s="79" t="str">
        <f t="shared" si="33"/>
        <v/>
      </c>
      <c r="O761" s="79" t="str">
        <f t="shared" si="34"/>
        <v>110</v>
      </c>
      <c r="P761" s="79" t="str">
        <f>IFERROR(VLOOKUP($M761,Export!$P:$R,2,FALSE),"-")</f>
        <v>New Vehicle</v>
      </c>
      <c r="Q761" s="79" t="str">
        <f>IFERROR(VLOOKUP($M761,Export!$P:$R,3,FALSE),"-")</f>
        <v>New VehicleDirect Delivery Fees (net)</v>
      </c>
      <c r="R761" s="80" t="e" cm="1">
        <f t="array" ref="R761">_xlfn.IFS(P761="Service", _xlfn.IFS(I761="SALES","GP",I761="SERVICE SALES","GP",I761="PARTS SALES","GP",I761="SERVICE COS","GP",I761="PARTS COS","GP",I761="SELLING EXPENSES","Selling Expenses",I761="EMPLOYMENT EXPENSES","Selling Expenses",I761="EMPLOYMENT EXPENSES","Selling Expenses",I761="DIRECT EXPENSES","Selling Expenses",I761="INDIRECT EXPENSES","Selling Expenses"),P761="Parts",_xlfn.IFS(I761="SALES","GP",I761="SERVICE SALES","GP",I761="PARTS SALES","GP",I761="SERVICE COS","GP",I761="PARTS COS","GP",I761="SELLING EXPENSES","Selling Expenses",I761="EMPLOYMENT EXPENSES","Selling Expenses",I761="EMPLOYMENT EXPENSES","Selling Expenses",I761="DIRECT EXPENSES","Selling Expenses",I761="INDIRECT EXPENSES","Selling Expenses"))</f>
        <v>#N/A</v>
      </c>
    </row>
    <row r="762" spans="1:18" x14ac:dyDescent="0.2">
      <c r="A762" s="75">
        <v>4060</v>
      </c>
      <c r="B762" s="76" t="s">
        <v>828</v>
      </c>
      <c r="C762" s="76">
        <v>210</v>
      </c>
      <c r="D762" s="76" t="s">
        <v>436</v>
      </c>
      <c r="E762" s="76" t="s">
        <v>426</v>
      </c>
      <c r="F762" s="77">
        <v>129119.61</v>
      </c>
      <c r="G762" s="77">
        <v>8001.05</v>
      </c>
      <c r="H762" s="77">
        <v>137120.66</v>
      </c>
      <c r="I762" s="76" t="s">
        <v>761</v>
      </c>
      <c r="J762" s="77">
        <v>4067.55</v>
      </c>
      <c r="K762" s="78">
        <v>88183.6</v>
      </c>
      <c r="M762" s="79" t="str">
        <f t="shared" si="35"/>
        <v>210-4060</v>
      </c>
      <c r="N762" s="79" t="str">
        <f t="shared" si="33"/>
        <v/>
      </c>
      <c r="O762" s="79" t="str">
        <f t="shared" si="34"/>
        <v>210</v>
      </c>
      <c r="P762" s="79" t="str">
        <f>IFERROR(VLOOKUP($M762,Export!$P:$R,2,FALSE),"-")</f>
        <v>New Vehicle</v>
      </c>
      <c r="Q762" s="79" t="str">
        <f>IFERROR(VLOOKUP($M762,Export!$P:$R,3,FALSE),"-")</f>
        <v>New VehicleDirect Delivery Fees (net)</v>
      </c>
      <c r="R762" s="80" t="e" cm="1">
        <f t="array" ref="R762">_xlfn.IFS(P762="Service", _xlfn.IFS(I762="SALES","GP",I762="SERVICE SALES","GP",I762="PARTS SALES","GP",I762="SERVICE COS","GP",I762="PARTS COS","GP",I762="SELLING EXPENSES","Selling Expenses",I762="EMPLOYMENT EXPENSES","Selling Expenses",I762="EMPLOYMENT EXPENSES","Selling Expenses",I762="DIRECT EXPENSES","Selling Expenses",I762="INDIRECT EXPENSES","Selling Expenses"),P762="Parts",_xlfn.IFS(I762="SALES","GP",I762="SERVICE SALES","GP",I762="PARTS SALES","GP",I762="SERVICE COS","GP",I762="PARTS COS","GP",I762="SELLING EXPENSES","Selling Expenses",I762="EMPLOYMENT EXPENSES","Selling Expenses",I762="EMPLOYMENT EXPENSES","Selling Expenses",I762="DIRECT EXPENSES","Selling Expenses",I762="INDIRECT EXPENSES","Selling Expenses"))</f>
        <v>#N/A</v>
      </c>
    </row>
    <row r="763" spans="1:18" x14ac:dyDescent="0.2">
      <c r="A763" s="75" t="s">
        <v>829</v>
      </c>
      <c r="B763" s="76" t="s">
        <v>830</v>
      </c>
      <c r="C763" s="76">
        <v>112</v>
      </c>
      <c r="D763" s="76" t="s">
        <v>349</v>
      </c>
      <c r="E763" s="76" t="s">
        <v>426</v>
      </c>
      <c r="F763" s="77">
        <v>5244314.7699999996</v>
      </c>
      <c r="G763" s="77">
        <v>712126.18</v>
      </c>
      <c r="H763" s="77">
        <v>5956440.9500000002</v>
      </c>
      <c r="I763" s="76" t="s">
        <v>761</v>
      </c>
      <c r="J763" s="77">
        <v>0</v>
      </c>
      <c r="K763" s="78">
        <v>482381.02</v>
      </c>
      <c r="M763" s="79" t="str">
        <f t="shared" si="35"/>
        <v>112-4061R</v>
      </c>
      <c r="N763" s="79" t="str">
        <f t="shared" si="33"/>
        <v/>
      </c>
      <c r="O763" s="79" t="str">
        <f t="shared" si="34"/>
        <v>112</v>
      </c>
      <c r="P763" s="79" t="str">
        <f>IFERROR(VLOOKUP($M763,Export!$P:$R,2,FALSE),"-")</f>
        <v>LEX New Vehicle</v>
      </c>
      <c r="Q763" s="79" t="str">
        <f>IFERROR(VLOOKUP($M763,Export!$P:$R,3,FALSE),"-")</f>
        <v>LEX New VehicleRetail Gross p.u.</v>
      </c>
      <c r="R763" s="80" t="e" cm="1">
        <f t="array" ref="R763">_xlfn.IFS(P763="Service", _xlfn.IFS(I763="SALES","GP",I763="SERVICE SALES","GP",I763="PARTS SALES","GP",I763="SERVICE COS","GP",I763="PARTS COS","GP",I763="SELLING EXPENSES","Selling Expenses",I763="EMPLOYMENT EXPENSES","Selling Expenses",I763="EMPLOYMENT EXPENSES","Selling Expenses",I763="DIRECT EXPENSES","Selling Expenses",I763="INDIRECT EXPENSES","Selling Expenses"),P763="Parts",_xlfn.IFS(I763="SALES","GP",I763="SERVICE SALES","GP",I763="PARTS SALES","GP",I763="SERVICE COS","GP",I763="PARTS COS","GP",I763="SELLING EXPENSES","Selling Expenses",I763="EMPLOYMENT EXPENSES","Selling Expenses",I763="EMPLOYMENT EXPENSES","Selling Expenses",I763="DIRECT EXPENSES","Selling Expenses",I763="INDIRECT EXPENSES","Selling Expenses"))</f>
        <v>#N/A</v>
      </c>
    </row>
    <row r="764" spans="1:18" x14ac:dyDescent="0.2">
      <c r="A764" s="75" t="s">
        <v>831</v>
      </c>
      <c r="B764" s="76" t="s">
        <v>832</v>
      </c>
      <c r="C764" s="76">
        <v>112</v>
      </c>
      <c r="D764" s="76" t="s">
        <v>349</v>
      </c>
      <c r="E764" s="76" t="s">
        <v>426</v>
      </c>
      <c r="F764" s="77">
        <v>-7304.35</v>
      </c>
      <c r="G764" s="77">
        <v>0</v>
      </c>
      <c r="H764" s="77">
        <v>-7304.35</v>
      </c>
      <c r="I764" s="76" t="s">
        <v>761</v>
      </c>
      <c r="J764" s="77">
        <v>0</v>
      </c>
      <c r="K764" s="78">
        <v>-24386.959999999999</v>
      </c>
      <c r="M764" s="79" t="str">
        <f t="shared" si="35"/>
        <v>112-4061RR</v>
      </c>
      <c r="N764" s="79" t="str">
        <f t="shared" si="33"/>
        <v/>
      </c>
      <c r="O764" s="79" t="str">
        <f t="shared" si="34"/>
        <v>112</v>
      </c>
      <c r="P764" s="79" t="str">
        <f>IFERROR(VLOOKUP($M764,Export!$P:$R,2,FALSE),"-")</f>
        <v>LEX New Vehicle</v>
      </c>
      <c r="Q764" s="79" t="str">
        <f>IFERROR(VLOOKUP($M764,Export!$P:$R,3,FALSE),"-")</f>
        <v>LEX New VehicleRetail Gross p.u.</v>
      </c>
      <c r="R764" s="80" t="e" cm="1">
        <f t="array" ref="R764">_xlfn.IFS(P764="Service", _xlfn.IFS(I764="SALES","GP",I764="SERVICE SALES","GP",I764="PARTS SALES","GP",I764="SERVICE COS","GP",I764="PARTS COS","GP",I764="SELLING EXPENSES","Selling Expenses",I764="EMPLOYMENT EXPENSES","Selling Expenses",I764="EMPLOYMENT EXPENSES","Selling Expenses",I764="DIRECT EXPENSES","Selling Expenses",I764="INDIRECT EXPENSES","Selling Expenses"),P764="Parts",_xlfn.IFS(I764="SALES","GP",I764="SERVICE SALES","GP",I764="PARTS SALES","GP",I764="SERVICE COS","GP",I764="PARTS COS","GP",I764="SELLING EXPENSES","Selling Expenses",I764="EMPLOYMENT EXPENSES","Selling Expenses",I764="EMPLOYMENT EXPENSES","Selling Expenses",I764="DIRECT EXPENSES","Selling Expenses",I764="INDIRECT EXPENSES","Selling Expenses"))</f>
        <v>#N/A</v>
      </c>
    </row>
    <row r="765" spans="1:18" x14ac:dyDescent="0.2">
      <c r="A765" s="75" t="s">
        <v>833</v>
      </c>
      <c r="B765" s="76" t="s">
        <v>834</v>
      </c>
      <c r="C765" s="76">
        <v>112</v>
      </c>
      <c r="D765" s="76" t="s">
        <v>349</v>
      </c>
      <c r="E765" s="76" t="s">
        <v>426</v>
      </c>
      <c r="F765" s="77">
        <v>63498.95</v>
      </c>
      <c r="G765" s="77">
        <v>0</v>
      </c>
      <c r="H765" s="77">
        <v>63498.95</v>
      </c>
      <c r="I765" s="76" t="s">
        <v>761</v>
      </c>
      <c r="J765" s="77">
        <v>0</v>
      </c>
      <c r="K765" s="78">
        <v>0</v>
      </c>
      <c r="M765" s="79" t="str">
        <f t="shared" si="35"/>
        <v>112-4063R</v>
      </c>
      <c r="N765" s="79" t="str">
        <f t="shared" si="33"/>
        <v/>
      </c>
      <c r="O765" s="79" t="str">
        <f t="shared" si="34"/>
        <v>112</v>
      </c>
      <c r="P765" s="79" t="str">
        <f>IFERROR(VLOOKUP($M765,Export!$P:$R,2,FALSE),"-")</f>
        <v>LEX New Vehicle</v>
      </c>
      <c r="Q765" s="79" t="str">
        <f>IFERROR(VLOOKUP($M765,Export!$P:$R,3,FALSE),"-")</f>
        <v>LEX New VehicleRetail Gross p.u.</v>
      </c>
      <c r="R765" s="80" t="e" cm="1">
        <f t="array" ref="R765">_xlfn.IFS(P765="Service", _xlfn.IFS(I765="SALES","GP",I765="SERVICE SALES","GP",I765="PARTS SALES","GP",I765="SERVICE COS","GP",I765="PARTS COS","GP",I765="SELLING EXPENSES","Selling Expenses",I765="EMPLOYMENT EXPENSES","Selling Expenses",I765="EMPLOYMENT EXPENSES","Selling Expenses",I765="DIRECT EXPENSES","Selling Expenses",I765="INDIRECT EXPENSES","Selling Expenses"),P765="Parts",_xlfn.IFS(I765="SALES","GP",I765="SERVICE SALES","GP",I765="PARTS SALES","GP",I765="SERVICE COS","GP",I765="PARTS COS","GP",I765="SELLING EXPENSES","Selling Expenses",I765="EMPLOYMENT EXPENSES","Selling Expenses",I765="EMPLOYMENT EXPENSES","Selling Expenses",I765="DIRECT EXPENSES","Selling Expenses",I765="INDIRECT EXPENSES","Selling Expenses"))</f>
        <v>#N/A</v>
      </c>
    </row>
    <row r="766" spans="1:18" x14ac:dyDescent="0.2">
      <c r="A766" s="75" t="s">
        <v>835</v>
      </c>
      <c r="B766" s="76" t="s">
        <v>836</v>
      </c>
      <c r="C766" s="76">
        <v>112</v>
      </c>
      <c r="D766" s="76" t="s">
        <v>349</v>
      </c>
      <c r="E766" s="76" t="s">
        <v>426</v>
      </c>
      <c r="F766" s="77">
        <v>-8212.17</v>
      </c>
      <c r="G766" s="77">
        <v>0</v>
      </c>
      <c r="H766" s="77">
        <v>-8212.17</v>
      </c>
      <c r="I766" s="76" t="s">
        <v>761</v>
      </c>
      <c r="J766" s="77">
        <v>0</v>
      </c>
      <c r="K766" s="78">
        <v>0</v>
      </c>
      <c r="M766" s="79" t="str">
        <f t="shared" si="35"/>
        <v>112-4063RR</v>
      </c>
      <c r="N766" s="79" t="str">
        <f t="shared" si="33"/>
        <v/>
      </c>
      <c r="O766" s="79" t="str">
        <f t="shared" si="34"/>
        <v>112</v>
      </c>
      <c r="P766" s="79" t="str">
        <f>IFERROR(VLOOKUP($M766,Export!$P:$R,2,FALSE),"-")</f>
        <v>LEX New Vehicle</v>
      </c>
      <c r="Q766" s="79" t="str">
        <f>IFERROR(VLOOKUP($M766,Export!$P:$R,3,FALSE),"-")</f>
        <v>LEX New VehicleRetail Gross p.u.</v>
      </c>
      <c r="R766" s="80" t="e" cm="1">
        <f t="array" ref="R766">_xlfn.IFS(P766="Service", _xlfn.IFS(I766="SALES","GP",I766="SERVICE SALES","GP",I766="PARTS SALES","GP",I766="SERVICE COS","GP",I766="PARTS COS","GP",I766="SELLING EXPENSES","Selling Expenses",I766="EMPLOYMENT EXPENSES","Selling Expenses",I766="EMPLOYMENT EXPENSES","Selling Expenses",I766="DIRECT EXPENSES","Selling Expenses",I766="INDIRECT EXPENSES","Selling Expenses"),P766="Parts",_xlfn.IFS(I766="SALES","GP",I766="SERVICE SALES","GP",I766="PARTS SALES","GP",I766="SERVICE COS","GP",I766="PARTS COS","GP",I766="SELLING EXPENSES","Selling Expenses",I766="EMPLOYMENT EXPENSES","Selling Expenses",I766="EMPLOYMENT EXPENSES","Selling Expenses",I766="DIRECT EXPENSES","Selling Expenses",I766="INDIRECT EXPENSES","Selling Expenses"))</f>
        <v>#N/A</v>
      </c>
    </row>
    <row r="767" spans="1:18" x14ac:dyDescent="0.2">
      <c r="A767" s="75" t="s">
        <v>837</v>
      </c>
      <c r="B767" s="76" t="s">
        <v>838</v>
      </c>
      <c r="C767" s="76">
        <v>112</v>
      </c>
      <c r="D767" s="76" t="s">
        <v>349</v>
      </c>
      <c r="E767" s="76" t="s">
        <v>426</v>
      </c>
      <c r="F767" s="77">
        <v>66043.33</v>
      </c>
      <c r="G767" s="77">
        <v>0</v>
      </c>
      <c r="H767" s="77">
        <v>66043.33</v>
      </c>
      <c r="I767" s="76" t="s">
        <v>761</v>
      </c>
      <c r="J767" s="77">
        <v>0</v>
      </c>
      <c r="K767" s="78">
        <v>0</v>
      </c>
      <c r="M767" s="79" t="str">
        <f t="shared" si="35"/>
        <v>112-4064R</v>
      </c>
      <c r="N767" s="79" t="str">
        <f t="shared" si="33"/>
        <v/>
      </c>
      <c r="O767" s="79" t="str">
        <f t="shared" si="34"/>
        <v>112</v>
      </c>
      <c r="P767" s="79" t="str">
        <f>IFERROR(VLOOKUP($M767,Export!$P:$R,2,FALSE),"-")</f>
        <v>LEX New Vehicle</v>
      </c>
      <c r="Q767" s="79" t="str">
        <f>IFERROR(VLOOKUP($M767,Export!$P:$R,3,FALSE),"-")</f>
        <v>LEX New VehicleRetail Gross p.u.</v>
      </c>
      <c r="R767" s="80" t="e" cm="1">
        <f t="array" ref="R767">_xlfn.IFS(P767="Service", _xlfn.IFS(I767="SALES","GP",I767="SERVICE SALES","GP",I767="PARTS SALES","GP",I767="SERVICE COS","GP",I767="PARTS COS","GP",I767="SELLING EXPENSES","Selling Expenses",I767="EMPLOYMENT EXPENSES","Selling Expenses",I767="EMPLOYMENT EXPENSES","Selling Expenses",I767="DIRECT EXPENSES","Selling Expenses",I767="INDIRECT EXPENSES","Selling Expenses"),P767="Parts",_xlfn.IFS(I767="SALES","GP",I767="SERVICE SALES","GP",I767="PARTS SALES","GP",I767="SERVICE COS","GP",I767="PARTS COS","GP",I767="SELLING EXPENSES","Selling Expenses",I767="EMPLOYMENT EXPENSES","Selling Expenses",I767="EMPLOYMENT EXPENSES","Selling Expenses",I767="DIRECT EXPENSES","Selling Expenses",I767="INDIRECT EXPENSES","Selling Expenses"))</f>
        <v>#N/A</v>
      </c>
    </row>
    <row r="768" spans="1:18" x14ac:dyDescent="0.2">
      <c r="A768" s="75" t="s">
        <v>839</v>
      </c>
      <c r="B768" s="76" t="s">
        <v>840</v>
      </c>
      <c r="C768" s="76">
        <v>112</v>
      </c>
      <c r="D768" s="76" t="s">
        <v>349</v>
      </c>
      <c r="E768" s="76" t="s">
        <v>426</v>
      </c>
      <c r="F768" s="77">
        <v>-8243.48</v>
      </c>
      <c r="G768" s="77">
        <v>0</v>
      </c>
      <c r="H768" s="77">
        <v>-8243.48</v>
      </c>
      <c r="I768" s="76" t="s">
        <v>761</v>
      </c>
      <c r="J768" s="77">
        <v>0</v>
      </c>
      <c r="K768" s="78">
        <v>0</v>
      </c>
      <c r="M768" s="79" t="str">
        <f t="shared" si="35"/>
        <v>112-4064RR</v>
      </c>
      <c r="N768" s="79" t="str">
        <f t="shared" si="33"/>
        <v/>
      </c>
      <c r="O768" s="79" t="str">
        <f t="shared" si="34"/>
        <v>112</v>
      </c>
      <c r="P768" s="79" t="str">
        <f>IFERROR(VLOOKUP($M768,Export!$P:$R,2,FALSE),"-")</f>
        <v>LEX New Vehicle</v>
      </c>
      <c r="Q768" s="79" t="str">
        <f>IFERROR(VLOOKUP($M768,Export!$P:$R,3,FALSE),"-")</f>
        <v>LEX New VehicleRetail Gross p.u.</v>
      </c>
      <c r="R768" s="80" t="e" cm="1">
        <f t="array" ref="R768">_xlfn.IFS(P768="Service", _xlfn.IFS(I768="SALES","GP",I768="SERVICE SALES","GP",I768="PARTS SALES","GP",I768="SERVICE COS","GP",I768="PARTS COS","GP",I768="SELLING EXPENSES","Selling Expenses",I768="EMPLOYMENT EXPENSES","Selling Expenses",I768="EMPLOYMENT EXPENSES","Selling Expenses",I768="DIRECT EXPENSES","Selling Expenses",I768="INDIRECT EXPENSES","Selling Expenses"),P768="Parts",_xlfn.IFS(I768="SALES","GP",I768="SERVICE SALES","GP",I768="PARTS SALES","GP",I768="SERVICE COS","GP",I768="PARTS COS","GP",I768="SELLING EXPENSES","Selling Expenses",I768="EMPLOYMENT EXPENSES","Selling Expenses",I768="EMPLOYMENT EXPENSES","Selling Expenses",I768="DIRECT EXPENSES","Selling Expenses",I768="INDIRECT EXPENSES","Selling Expenses"))</f>
        <v>#N/A</v>
      </c>
    </row>
    <row r="769" spans="1:18" x14ac:dyDescent="0.2">
      <c r="A769" s="75" t="s">
        <v>841</v>
      </c>
      <c r="B769" s="76" t="s">
        <v>842</v>
      </c>
      <c r="C769" s="76">
        <v>112</v>
      </c>
      <c r="D769" s="76" t="s">
        <v>349</v>
      </c>
      <c r="E769" s="76" t="s">
        <v>426</v>
      </c>
      <c r="F769" s="77">
        <v>3333425.24</v>
      </c>
      <c r="G769" s="77">
        <v>44705.15</v>
      </c>
      <c r="H769" s="77">
        <v>3378130.39</v>
      </c>
      <c r="I769" s="76" t="s">
        <v>761</v>
      </c>
      <c r="J769" s="77">
        <v>109200</v>
      </c>
      <c r="K769" s="78">
        <v>1194960.3899999999</v>
      </c>
      <c r="M769" s="79" t="str">
        <f t="shared" si="35"/>
        <v>112-4070R</v>
      </c>
      <c r="N769" s="79" t="str">
        <f t="shared" si="33"/>
        <v/>
      </c>
      <c r="O769" s="79" t="str">
        <f t="shared" si="34"/>
        <v>112</v>
      </c>
      <c r="P769" s="79" t="str">
        <f>IFERROR(VLOOKUP($M769,Export!$P:$R,2,FALSE),"-")</f>
        <v>LEX New Vehicle</v>
      </c>
      <c r="Q769" s="79" t="str">
        <f>IFERROR(VLOOKUP($M769,Export!$P:$R,3,FALSE),"-")</f>
        <v>LEX New VehicleRetail Gross p.u.</v>
      </c>
      <c r="R769" s="80" t="e" cm="1">
        <f t="array" ref="R769">_xlfn.IFS(P769="Service", _xlfn.IFS(I769="SALES","GP",I769="SERVICE SALES","GP",I769="PARTS SALES","GP",I769="SERVICE COS","GP",I769="PARTS COS","GP",I769="SELLING EXPENSES","Selling Expenses",I769="EMPLOYMENT EXPENSES","Selling Expenses",I769="EMPLOYMENT EXPENSES","Selling Expenses",I769="DIRECT EXPENSES","Selling Expenses",I769="INDIRECT EXPENSES","Selling Expenses"),P769="Parts",_xlfn.IFS(I769="SALES","GP",I769="SERVICE SALES","GP",I769="PARTS SALES","GP",I769="SERVICE COS","GP",I769="PARTS COS","GP",I769="SELLING EXPENSES","Selling Expenses",I769="EMPLOYMENT EXPENSES","Selling Expenses",I769="EMPLOYMENT EXPENSES","Selling Expenses",I769="DIRECT EXPENSES","Selling Expenses",I769="INDIRECT EXPENSES","Selling Expenses"))</f>
        <v>#N/A</v>
      </c>
    </row>
    <row r="770" spans="1:18" x14ac:dyDescent="0.2">
      <c r="A770" s="75" t="s">
        <v>843</v>
      </c>
      <c r="B770" s="76" t="s">
        <v>844</v>
      </c>
      <c r="C770" s="76">
        <v>112</v>
      </c>
      <c r="D770" s="76" t="s">
        <v>349</v>
      </c>
      <c r="E770" s="76" t="s">
        <v>426</v>
      </c>
      <c r="F770" s="77">
        <v>-48136.35</v>
      </c>
      <c r="G770" s="77">
        <v>-1869.57</v>
      </c>
      <c r="H770" s="77">
        <v>-50005.919999999998</v>
      </c>
      <c r="I770" s="76" t="s">
        <v>761</v>
      </c>
      <c r="J770" s="77">
        <v>0</v>
      </c>
      <c r="K770" s="78">
        <v>0</v>
      </c>
      <c r="M770" s="79" t="str">
        <f t="shared" si="35"/>
        <v>112-4070RR</v>
      </c>
      <c r="N770" s="79" t="str">
        <f t="shared" ref="N770:N833" si="36">+IF(RIGHT(A770,1)="#","#","")</f>
        <v/>
      </c>
      <c r="O770" s="79" t="str">
        <f t="shared" ref="O770:O833" si="37">+C770&amp;N770</f>
        <v>112</v>
      </c>
      <c r="P770" s="79" t="str">
        <f>IFERROR(VLOOKUP($M770,Export!$P:$R,2,FALSE),"-")</f>
        <v>LEX New Vehicle</v>
      </c>
      <c r="Q770" s="79" t="str">
        <f>IFERROR(VLOOKUP($M770,Export!$P:$R,3,FALSE),"-")</f>
        <v>LEX New VehicleRetail Gross p.u.</v>
      </c>
      <c r="R770" s="80" t="e" cm="1">
        <f t="array" ref="R770">_xlfn.IFS(P770="Service", _xlfn.IFS(I770="SALES","GP",I770="SERVICE SALES","GP",I770="PARTS SALES","GP",I770="SERVICE COS","GP",I770="PARTS COS","GP",I770="SELLING EXPENSES","Selling Expenses",I770="EMPLOYMENT EXPENSES","Selling Expenses",I770="EMPLOYMENT EXPENSES","Selling Expenses",I770="DIRECT EXPENSES","Selling Expenses",I770="INDIRECT EXPENSES","Selling Expenses"),P770="Parts",_xlfn.IFS(I770="SALES","GP",I770="SERVICE SALES","GP",I770="PARTS SALES","GP",I770="SERVICE COS","GP",I770="PARTS COS","GP",I770="SELLING EXPENSES","Selling Expenses",I770="EMPLOYMENT EXPENSES","Selling Expenses",I770="EMPLOYMENT EXPENSES","Selling Expenses",I770="DIRECT EXPENSES","Selling Expenses",I770="INDIRECT EXPENSES","Selling Expenses"))</f>
        <v>#N/A</v>
      </c>
    </row>
    <row r="771" spans="1:18" x14ac:dyDescent="0.2">
      <c r="A771" s="75" t="s">
        <v>845</v>
      </c>
      <c r="B771" s="76" t="s">
        <v>846</v>
      </c>
      <c r="C771" s="76">
        <v>112</v>
      </c>
      <c r="D771" s="76" t="s">
        <v>349</v>
      </c>
      <c r="E771" s="76" t="s">
        <v>426</v>
      </c>
      <c r="F771" s="77">
        <v>1193949.3400000001</v>
      </c>
      <c r="G771" s="77">
        <v>59054.67</v>
      </c>
      <c r="H771" s="77">
        <v>1253004.01</v>
      </c>
      <c r="I771" s="76" t="s">
        <v>761</v>
      </c>
      <c r="J771" s="77">
        <v>0</v>
      </c>
      <c r="K771" s="78">
        <v>505217.53</v>
      </c>
      <c r="M771" s="79" t="str">
        <f t="shared" ref="M771:M834" si="38">+C771&amp;"-"&amp;A771</f>
        <v>112-4071R</v>
      </c>
      <c r="N771" s="79" t="str">
        <f t="shared" si="36"/>
        <v/>
      </c>
      <c r="O771" s="79" t="str">
        <f t="shared" si="37"/>
        <v>112</v>
      </c>
      <c r="P771" s="79" t="str">
        <f>IFERROR(VLOOKUP($M771,Export!$P:$R,2,FALSE),"-")</f>
        <v>LEX New Vehicle</v>
      </c>
      <c r="Q771" s="79" t="str">
        <f>IFERROR(VLOOKUP($M771,Export!$P:$R,3,FALSE),"-")</f>
        <v>LEX New VehicleRetail Gross p.u.</v>
      </c>
      <c r="R771" s="80" t="e" cm="1">
        <f t="array" ref="R771">_xlfn.IFS(P771="Service", _xlfn.IFS(I771="SALES","GP",I771="SERVICE SALES","GP",I771="PARTS SALES","GP",I771="SERVICE COS","GP",I771="PARTS COS","GP",I771="SELLING EXPENSES","Selling Expenses",I771="EMPLOYMENT EXPENSES","Selling Expenses",I771="EMPLOYMENT EXPENSES","Selling Expenses",I771="DIRECT EXPENSES","Selling Expenses",I771="INDIRECT EXPENSES","Selling Expenses"),P771="Parts",_xlfn.IFS(I771="SALES","GP",I771="SERVICE SALES","GP",I771="PARTS SALES","GP",I771="SERVICE COS","GP",I771="PARTS COS","GP",I771="SELLING EXPENSES","Selling Expenses",I771="EMPLOYMENT EXPENSES","Selling Expenses",I771="EMPLOYMENT EXPENSES","Selling Expenses",I771="DIRECT EXPENSES","Selling Expenses",I771="INDIRECT EXPENSES","Selling Expenses"))</f>
        <v>#N/A</v>
      </c>
    </row>
    <row r="772" spans="1:18" x14ac:dyDescent="0.2">
      <c r="A772" s="75" t="s">
        <v>847</v>
      </c>
      <c r="B772" s="76" t="s">
        <v>848</v>
      </c>
      <c r="C772" s="76">
        <v>112</v>
      </c>
      <c r="D772" s="76" t="s">
        <v>349</v>
      </c>
      <c r="E772" s="76" t="s">
        <v>426</v>
      </c>
      <c r="F772" s="77">
        <v>-45154.78</v>
      </c>
      <c r="G772" s="77">
        <v>-5113.04</v>
      </c>
      <c r="H772" s="77">
        <v>-50267.82</v>
      </c>
      <c r="I772" s="76" t="s">
        <v>761</v>
      </c>
      <c r="J772" s="77">
        <v>0</v>
      </c>
      <c r="K772" s="78">
        <v>-4333.91</v>
      </c>
      <c r="M772" s="79" t="str">
        <f t="shared" si="38"/>
        <v>112-4071RR</v>
      </c>
      <c r="N772" s="79" t="str">
        <f t="shared" si="36"/>
        <v/>
      </c>
      <c r="O772" s="79" t="str">
        <f t="shared" si="37"/>
        <v>112</v>
      </c>
      <c r="P772" s="79" t="str">
        <f>IFERROR(VLOOKUP($M772,Export!$P:$R,2,FALSE),"-")</f>
        <v>LEX New Vehicle</v>
      </c>
      <c r="Q772" s="79" t="str">
        <f>IFERROR(VLOOKUP($M772,Export!$P:$R,3,FALSE),"-")</f>
        <v>LEX New VehicleRetail Gross p.u.</v>
      </c>
      <c r="R772" s="80" t="e" cm="1">
        <f t="array" ref="R772">_xlfn.IFS(P772="Service", _xlfn.IFS(I772="SALES","GP",I772="SERVICE SALES","GP",I772="PARTS SALES","GP",I772="SERVICE COS","GP",I772="PARTS COS","GP",I772="SELLING EXPENSES","Selling Expenses",I772="EMPLOYMENT EXPENSES","Selling Expenses",I772="EMPLOYMENT EXPENSES","Selling Expenses",I772="DIRECT EXPENSES","Selling Expenses",I772="INDIRECT EXPENSES","Selling Expenses"),P772="Parts",_xlfn.IFS(I772="SALES","GP",I772="SERVICE SALES","GP",I772="PARTS SALES","GP",I772="SERVICE COS","GP",I772="PARTS COS","GP",I772="SELLING EXPENSES","Selling Expenses",I772="EMPLOYMENT EXPENSES","Selling Expenses",I772="EMPLOYMENT EXPENSES","Selling Expenses",I772="DIRECT EXPENSES","Selling Expenses",I772="INDIRECT EXPENSES","Selling Expenses"))</f>
        <v>#N/A</v>
      </c>
    </row>
    <row r="773" spans="1:18" x14ac:dyDescent="0.2">
      <c r="A773" s="75" t="s">
        <v>849</v>
      </c>
      <c r="B773" s="76" t="s">
        <v>850</v>
      </c>
      <c r="C773" s="76">
        <v>112</v>
      </c>
      <c r="D773" s="76" t="s">
        <v>349</v>
      </c>
      <c r="E773" s="76" t="s">
        <v>426</v>
      </c>
      <c r="F773" s="77">
        <v>2110423.21</v>
      </c>
      <c r="G773" s="77">
        <v>-4.57</v>
      </c>
      <c r="H773" s="77">
        <v>2110418.64</v>
      </c>
      <c r="I773" s="76" t="s">
        <v>761</v>
      </c>
      <c r="J773" s="77">
        <v>0</v>
      </c>
      <c r="K773" s="78">
        <v>0</v>
      </c>
      <c r="M773" s="79" t="str">
        <f t="shared" si="38"/>
        <v>112-4074R</v>
      </c>
      <c r="N773" s="79" t="str">
        <f t="shared" si="36"/>
        <v/>
      </c>
      <c r="O773" s="79" t="str">
        <f t="shared" si="37"/>
        <v>112</v>
      </c>
      <c r="P773" s="79" t="str">
        <f>IFERROR(VLOOKUP($M773,Export!$P:$R,2,FALSE),"-")</f>
        <v>LEX New Vehicle</v>
      </c>
      <c r="Q773" s="79" t="str">
        <f>IFERROR(VLOOKUP($M773,Export!$P:$R,3,FALSE),"-")</f>
        <v>LEX New VehicleRetail Gross p.u.</v>
      </c>
      <c r="R773" s="80" t="e" cm="1">
        <f t="array" ref="R773">_xlfn.IFS(P773="Service", _xlfn.IFS(I773="SALES","GP",I773="SERVICE SALES","GP",I773="PARTS SALES","GP",I773="SERVICE COS","GP",I773="PARTS COS","GP",I773="SELLING EXPENSES","Selling Expenses",I773="EMPLOYMENT EXPENSES","Selling Expenses",I773="EMPLOYMENT EXPENSES","Selling Expenses",I773="DIRECT EXPENSES","Selling Expenses",I773="INDIRECT EXPENSES","Selling Expenses"),P773="Parts",_xlfn.IFS(I773="SALES","GP",I773="SERVICE SALES","GP",I773="PARTS SALES","GP",I773="SERVICE COS","GP",I773="PARTS COS","GP",I773="SELLING EXPENSES","Selling Expenses",I773="EMPLOYMENT EXPENSES","Selling Expenses",I773="EMPLOYMENT EXPENSES","Selling Expenses",I773="DIRECT EXPENSES","Selling Expenses",I773="INDIRECT EXPENSES","Selling Expenses"))</f>
        <v>#N/A</v>
      </c>
    </row>
    <row r="774" spans="1:18" x14ac:dyDescent="0.2">
      <c r="A774" s="75" t="s">
        <v>851</v>
      </c>
      <c r="B774" s="76" t="s">
        <v>852</v>
      </c>
      <c r="C774" s="76">
        <v>112</v>
      </c>
      <c r="D774" s="76" t="s">
        <v>349</v>
      </c>
      <c r="E774" s="76" t="s">
        <v>426</v>
      </c>
      <c r="F774" s="77">
        <v>-18626.080000000002</v>
      </c>
      <c r="G774" s="77">
        <v>0</v>
      </c>
      <c r="H774" s="77">
        <v>-18626.080000000002</v>
      </c>
      <c r="I774" s="76" t="s">
        <v>761</v>
      </c>
      <c r="J774" s="77">
        <v>0</v>
      </c>
      <c r="K774" s="78">
        <v>0</v>
      </c>
      <c r="M774" s="79" t="str">
        <f t="shared" si="38"/>
        <v>112-4074RR</v>
      </c>
      <c r="N774" s="79" t="str">
        <f t="shared" si="36"/>
        <v/>
      </c>
      <c r="O774" s="79" t="str">
        <f t="shared" si="37"/>
        <v>112</v>
      </c>
      <c r="P774" s="79" t="str">
        <f>IFERROR(VLOOKUP($M774,Export!$P:$R,2,FALSE),"-")</f>
        <v>LEX New Vehicle</v>
      </c>
      <c r="Q774" s="79" t="str">
        <f>IFERROR(VLOOKUP($M774,Export!$P:$R,3,FALSE),"-")</f>
        <v>LEX New VehicleRetail Gross p.u.</v>
      </c>
      <c r="R774" s="80" t="e" cm="1">
        <f t="array" ref="R774">_xlfn.IFS(P774="Service", _xlfn.IFS(I774="SALES","GP",I774="SERVICE SALES","GP",I774="PARTS SALES","GP",I774="SERVICE COS","GP",I774="PARTS COS","GP",I774="SELLING EXPENSES","Selling Expenses",I774="EMPLOYMENT EXPENSES","Selling Expenses",I774="EMPLOYMENT EXPENSES","Selling Expenses",I774="DIRECT EXPENSES","Selling Expenses",I774="INDIRECT EXPENSES","Selling Expenses"),P774="Parts",_xlfn.IFS(I774="SALES","GP",I774="SERVICE SALES","GP",I774="PARTS SALES","GP",I774="SERVICE COS","GP",I774="PARTS COS","GP",I774="SELLING EXPENSES","Selling Expenses",I774="EMPLOYMENT EXPENSES","Selling Expenses",I774="EMPLOYMENT EXPENSES","Selling Expenses",I774="DIRECT EXPENSES","Selling Expenses",I774="INDIRECT EXPENSES","Selling Expenses"))</f>
        <v>#N/A</v>
      </c>
    </row>
    <row r="775" spans="1:18" x14ac:dyDescent="0.2">
      <c r="A775" s="75" t="s">
        <v>853</v>
      </c>
      <c r="B775" s="76" t="s">
        <v>854</v>
      </c>
      <c r="C775" s="76">
        <v>100</v>
      </c>
      <c r="D775" s="76" t="s">
        <v>227</v>
      </c>
      <c r="E775" s="76" t="s">
        <v>426</v>
      </c>
      <c r="F775" s="77">
        <v>6030.13</v>
      </c>
      <c r="G775" s="77">
        <v>2292.17</v>
      </c>
      <c r="H775" s="77">
        <v>8322.2999999999993</v>
      </c>
      <c r="I775" s="76" t="s">
        <v>761</v>
      </c>
      <c r="J775" s="77">
        <v>0</v>
      </c>
      <c r="K775" s="78">
        <v>3649.61</v>
      </c>
      <c r="M775" s="79" t="str">
        <f t="shared" si="38"/>
        <v>100-4075R</v>
      </c>
      <c r="N775" s="79" t="str">
        <f t="shared" si="36"/>
        <v/>
      </c>
      <c r="O775" s="79" t="str">
        <f t="shared" si="37"/>
        <v>100</v>
      </c>
      <c r="P775" s="79" t="str">
        <f>IFERROR(VLOOKUP($M775,Export!$P:$R,2,FALSE),"-")</f>
        <v>New Vehicle</v>
      </c>
      <c r="Q775" s="79" t="str">
        <f>IFERROR(VLOOKUP($M775,Export!$P:$R,3,FALSE),"-")</f>
        <v>New VehicleOther Income per NV unit</v>
      </c>
      <c r="R775" s="80" t="e" cm="1">
        <f t="array" ref="R775">_xlfn.IFS(P775="Service", _xlfn.IFS(I775="SALES","GP",I775="SERVICE SALES","GP",I775="PARTS SALES","GP",I775="SERVICE COS","GP",I775="PARTS COS","GP",I775="SELLING EXPENSES","Selling Expenses",I775="EMPLOYMENT EXPENSES","Selling Expenses",I775="EMPLOYMENT EXPENSES","Selling Expenses",I775="DIRECT EXPENSES","Selling Expenses",I775="INDIRECT EXPENSES","Selling Expenses"),P775="Parts",_xlfn.IFS(I775="SALES","GP",I775="SERVICE SALES","GP",I775="PARTS SALES","GP",I775="SERVICE COS","GP",I775="PARTS COS","GP",I775="SELLING EXPENSES","Selling Expenses",I775="EMPLOYMENT EXPENSES","Selling Expenses",I775="EMPLOYMENT EXPENSES","Selling Expenses",I775="DIRECT EXPENSES","Selling Expenses",I775="INDIRECT EXPENSES","Selling Expenses"))</f>
        <v>#N/A</v>
      </c>
    </row>
    <row r="776" spans="1:18" x14ac:dyDescent="0.2">
      <c r="A776" s="75" t="s">
        <v>853</v>
      </c>
      <c r="B776" s="76" t="s">
        <v>854</v>
      </c>
      <c r="C776" s="76">
        <v>110</v>
      </c>
      <c r="D776" s="76" t="s">
        <v>430</v>
      </c>
      <c r="E776" s="76" t="s">
        <v>426</v>
      </c>
      <c r="F776" s="77">
        <v>120478.11</v>
      </c>
      <c r="G776" s="77">
        <v>0</v>
      </c>
      <c r="H776" s="77">
        <v>120478.11</v>
      </c>
      <c r="I776" s="76" t="s">
        <v>761</v>
      </c>
      <c r="J776" s="77">
        <v>0</v>
      </c>
      <c r="K776" s="78">
        <v>0</v>
      </c>
      <c r="M776" s="79" t="str">
        <f t="shared" si="38"/>
        <v>110-4075R</v>
      </c>
      <c r="N776" s="79" t="str">
        <f t="shared" si="36"/>
        <v/>
      </c>
      <c r="O776" s="79" t="str">
        <f t="shared" si="37"/>
        <v>110</v>
      </c>
      <c r="P776" s="79" t="str">
        <f>IFERROR(VLOOKUP($M776,Export!$P:$R,2,FALSE),"-")</f>
        <v>Used Vehicle</v>
      </c>
      <c r="Q776" s="79" t="str">
        <f>IFERROR(VLOOKUP($M776,Export!$P:$R,3,FALSE),"-")</f>
        <v>Used VehicleEx NV demonstrators gross profit p.u.</v>
      </c>
      <c r="R776" s="80" t="e" cm="1">
        <f t="array" ref="R776">_xlfn.IFS(P776="Service", _xlfn.IFS(I776="SALES","GP",I776="SERVICE SALES","GP",I776="PARTS SALES","GP",I776="SERVICE COS","GP",I776="PARTS COS","GP",I776="SELLING EXPENSES","Selling Expenses",I776="EMPLOYMENT EXPENSES","Selling Expenses",I776="EMPLOYMENT EXPENSES","Selling Expenses",I776="DIRECT EXPENSES","Selling Expenses",I776="INDIRECT EXPENSES","Selling Expenses"),P776="Parts",_xlfn.IFS(I776="SALES","GP",I776="SERVICE SALES","GP",I776="PARTS SALES","GP",I776="SERVICE COS","GP",I776="PARTS COS","GP",I776="SELLING EXPENSES","Selling Expenses",I776="EMPLOYMENT EXPENSES","Selling Expenses",I776="EMPLOYMENT EXPENSES","Selling Expenses",I776="DIRECT EXPENSES","Selling Expenses",I776="INDIRECT EXPENSES","Selling Expenses"))</f>
        <v>#N/A</v>
      </c>
    </row>
    <row r="777" spans="1:18" x14ac:dyDescent="0.2">
      <c r="A777" s="75" t="s">
        <v>853</v>
      </c>
      <c r="B777" s="76" t="s">
        <v>854</v>
      </c>
      <c r="C777" s="76">
        <v>200</v>
      </c>
      <c r="D777" s="76" t="s">
        <v>428</v>
      </c>
      <c r="E777" s="76" t="s">
        <v>426</v>
      </c>
      <c r="F777" s="77">
        <v>15202.13</v>
      </c>
      <c r="G777" s="77">
        <v>3089.95</v>
      </c>
      <c r="H777" s="77">
        <v>18292.080000000002</v>
      </c>
      <c r="I777" s="76" t="s">
        <v>761</v>
      </c>
      <c r="J777" s="77">
        <v>0</v>
      </c>
      <c r="K777" s="78">
        <v>455.17</v>
      </c>
      <c r="M777" s="79" t="str">
        <f t="shared" si="38"/>
        <v>200-4075R</v>
      </c>
      <c r="N777" s="79" t="str">
        <f t="shared" si="36"/>
        <v/>
      </c>
      <c r="O777" s="79" t="str">
        <f t="shared" si="37"/>
        <v>200</v>
      </c>
      <c r="P777" s="79" t="str">
        <f>IFERROR(VLOOKUP($M777,Export!$P:$R,2,FALSE),"-")</f>
        <v>New Vehicle</v>
      </c>
      <c r="Q777" s="79" t="str">
        <f>IFERROR(VLOOKUP($M777,Export!$P:$R,3,FALSE),"-")</f>
        <v>New VehicleOther Income per NV unit</v>
      </c>
      <c r="R777" s="80" t="e" cm="1">
        <f t="array" ref="R777">_xlfn.IFS(P777="Service", _xlfn.IFS(I777="SALES","GP",I777="SERVICE SALES","GP",I777="PARTS SALES","GP",I777="SERVICE COS","GP",I777="PARTS COS","GP",I777="SELLING EXPENSES","Selling Expenses",I777="EMPLOYMENT EXPENSES","Selling Expenses",I777="EMPLOYMENT EXPENSES","Selling Expenses",I777="DIRECT EXPENSES","Selling Expenses",I777="INDIRECT EXPENSES","Selling Expenses"),P777="Parts",_xlfn.IFS(I777="SALES","GP",I777="SERVICE SALES","GP",I777="PARTS SALES","GP",I777="SERVICE COS","GP",I777="PARTS COS","GP",I777="SELLING EXPENSES","Selling Expenses",I777="EMPLOYMENT EXPENSES","Selling Expenses",I777="EMPLOYMENT EXPENSES","Selling Expenses",I777="DIRECT EXPENSES","Selling Expenses",I777="INDIRECT EXPENSES","Selling Expenses"))</f>
        <v>#N/A</v>
      </c>
    </row>
    <row r="778" spans="1:18" x14ac:dyDescent="0.2">
      <c r="A778" s="75" t="s">
        <v>853</v>
      </c>
      <c r="B778" s="76" t="s">
        <v>854</v>
      </c>
      <c r="C778" s="76">
        <v>210</v>
      </c>
      <c r="D778" s="76" t="s">
        <v>436</v>
      </c>
      <c r="E778" s="76" t="s">
        <v>426</v>
      </c>
      <c r="F778" s="77">
        <v>73998.73</v>
      </c>
      <c r="G778" s="77">
        <v>0</v>
      </c>
      <c r="H778" s="77">
        <v>73998.73</v>
      </c>
      <c r="I778" s="76" t="s">
        <v>761</v>
      </c>
      <c r="J778" s="77">
        <v>0</v>
      </c>
      <c r="K778" s="78">
        <v>0</v>
      </c>
      <c r="M778" s="79" t="str">
        <f t="shared" si="38"/>
        <v>210-4075R</v>
      </c>
      <c r="N778" s="79" t="str">
        <f t="shared" si="36"/>
        <v/>
      </c>
      <c r="O778" s="79" t="str">
        <f t="shared" si="37"/>
        <v>210</v>
      </c>
      <c r="P778" s="79" t="str">
        <f>IFERROR(VLOOKUP($M778,Export!$P:$R,2,FALSE),"-")</f>
        <v>Used Vehicle</v>
      </c>
      <c r="Q778" s="79" t="str">
        <f>IFERROR(VLOOKUP($M778,Export!$P:$R,3,FALSE),"-")</f>
        <v>Used VehicleEx NV demonstrators gross profit p.u.</v>
      </c>
      <c r="R778" s="80" t="e" cm="1">
        <f t="array" ref="R778">_xlfn.IFS(P778="Service", _xlfn.IFS(I778="SALES","GP",I778="SERVICE SALES","GP",I778="PARTS SALES","GP",I778="SERVICE COS","GP",I778="PARTS COS","GP",I778="SELLING EXPENSES","Selling Expenses",I778="EMPLOYMENT EXPENSES","Selling Expenses",I778="EMPLOYMENT EXPENSES","Selling Expenses",I778="DIRECT EXPENSES","Selling Expenses",I778="INDIRECT EXPENSES","Selling Expenses"),P778="Parts",_xlfn.IFS(I778="SALES","GP",I778="SERVICE SALES","GP",I778="PARTS SALES","GP",I778="SERVICE COS","GP",I778="PARTS COS","GP",I778="SELLING EXPENSES","Selling Expenses",I778="EMPLOYMENT EXPENSES","Selling Expenses",I778="EMPLOYMENT EXPENSES","Selling Expenses",I778="DIRECT EXPENSES","Selling Expenses",I778="INDIRECT EXPENSES","Selling Expenses"))</f>
        <v>#N/A</v>
      </c>
    </row>
    <row r="779" spans="1:18" x14ac:dyDescent="0.2">
      <c r="A779" s="75" t="s">
        <v>855</v>
      </c>
      <c r="B779" s="76" t="s">
        <v>856</v>
      </c>
      <c r="C779" s="76">
        <v>110</v>
      </c>
      <c r="D779" s="76" t="s">
        <v>430</v>
      </c>
      <c r="E779" s="76" t="s">
        <v>426</v>
      </c>
      <c r="F779" s="77">
        <v>-606.32000000000005</v>
      </c>
      <c r="G779" s="77">
        <v>0</v>
      </c>
      <c r="H779" s="77">
        <v>-606.32000000000005</v>
      </c>
      <c r="I779" s="76" t="s">
        <v>761</v>
      </c>
      <c r="J779" s="77">
        <v>0</v>
      </c>
      <c r="K779" s="78">
        <v>0</v>
      </c>
      <c r="M779" s="79" t="str">
        <f t="shared" si="38"/>
        <v>110-4075RR</v>
      </c>
      <c r="N779" s="79" t="str">
        <f t="shared" si="36"/>
        <v/>
      </c>
      <c r="O779" s="79" t="str">
        <f t="shared" si="37"/>
        <v>110</v>
      </c>
      <c r="P779" s="79" t="str">
        <f>IFERROR(VLOOKUP($M779,Export!$P:$R,2,FALSE),"-")</f>
        <v>Used Vehicle</v>
      </c>
      <c r="Q779" s="79" t="str">
        <f>IFERROR(VLOOKUP($M779,Export!$P:$R,3,FALSE),"-")</f>
        <v>Used VehicleEx NV demonstrators gross profit p.u.</v>
      </c>
      <c r="R779" s="80" t="e" cm="1">
        <f t="array" ref="R779">_xlfn.IFS(P779="Service", _xlfn.IFS(I779="SALES","GP",I779="SERVICE SALES","GP",I779="PARTS SALES","GP",I779="SERVICE COS","GP",I779="PARTS COS","GP",I779="SELLING EXPENSES","Selling Expenses",I779="EMPLOYMENT EXPENSES","Selling Expenses",I779="EMPLOYMENT EXPENSES","Selling Expenses",I779="DIRECT EXPENSES","Selling Expenses",I779="INDIRECT EXPENSES","Selling Expenses"),P779="Parts",_xlfn.IFS(I779="SALES","GP",I779="SERVICE SALES","GP",I779="PARTS SALES","GP",I779="SERVICE COS","GP",I779="PARTS COS","GP",I779="SELLING EXPENSES","Selling Expenses",I779="EMPLOYMENT EXPENSES","Selling Expenses",I779="EMPLOYMENT EXPENSES","Selling Expenses",I779="DIRECT EXPENSES","Selling Expenses",I779="INDIRECT EXPENSES","Selling Expenses"))</f>
        <v>#N/A</v>
      </c>
    </row>
    <row r="780" spans="1:18" x14ac:dyDescent="0.2">
      <c r="A780" s="75" t="s">
        <v>857</v>
      </c>
      <c r="B780" s="76" t="s">
        <v>858</v>
      </c>
      <c r="C780" s="76">
        <v>110</v>
      </c>
      <c r="D780" s="76" t="s">
        <v>430</v>
      </c>
      <c r="E780" s="76" t="s">
        <v>426</v>
      </c>
      <c r="F780" s="77">
        <v>0</v>
      </c>
      <c r="G780" s="77">
        <v>0</v>
      </c>
      <c r="H780" s="77">
        <v>0</v>
      </c>
      <c r="I780" s="76" t="s">
        <v>761</v>
      </c>
      <c r="J780" s="77">
        <v>0</v>
      </c>
      <c r="K780" s="78">
        <v>70</v>
      </c>
      <c r="M780" s="79" t="str">
        <f t="shared" si="38"/>
        <v>110-4078R</v>
      </c>
      <c r="N780" s="79" t="str">
        <f t="shared" si="36"/>
        <v/>
      </c>
      <c r="O780" s="79" t="str">
        <f t="shared" si="37"/>
        <v>110</v>
      </c>
      <c r="P780" s="79" t="str">
        <f>IFERROR(VLOOKUP($M780,Export!$P:$R,2,FALSE),"-")</f>
        <v>Used Vehicle</v>
      </c>
      <c r="Q780" s="79" t="str">
        <f>IFERROR(VLOOKUP($M780,Export!$P:$R,3,FALSE),"-")</f>
        <v>Used VehicleEx NV demonstrators gross profit p.u.</v>
      </c>
      <c r="R780" s="80" t="e" cm="1">
        <f t="array" ref="R780">_xlfn.IFS(P780="Service", _xlfn.IFS(I780="SALES","GP",I780="SERVICE SALES","GP",I780="PARTS SALES","GP",I780="SERVICE COS","GP",I780="PARTS COS","GP",I780="SELLING EXPENSES","Selling Expenses",I780="EMPLOYMENT EXPENSES","Selling Expenses",I780="EMPLOYMENT EXPENSES","Selling Expenses",I780="DIRECT EXPENSES","Selling Expenses",I780="INDIRECT EXPENSES","Selling Expenses"),P780="Parts",_xlfn.IFS(I780="SALES","GP",I780="SERVICE SALES","GP",I780="PARTS SALES","GP",I780="SERVICE COS","GP",I780="PARTS COS","GP",I780="SELLING EXPENSES","Selling Expenses",I780="EMPLOYMENT EXPENSES","Selling Expenses",I780="EMPLOYMENT EXPENSES","Selling Expenses",I780="DIRECT EXPENSES","Selling Expenses",I780="INDIRECT EXPENSES","Selling Expenses"))</f>
        <v>#N/A</v>
      </c>
    </row>
    <row r="781" spans="1:18" x14ac:dyDescent="0.2">
      <c r="A781" s="75" t="s">
        <v>859</v>
      </c>
      <c r="B781" s="76" t="s">
        <v>860</v>
      </c>
      <c r="C781" s="76">
        <v>100</v>
      </c>
      <c r="D781" s="76" t="s">
        <v>227</v>
      </c>
      <c r="E781" s="76" t="s">
        <v>426</v>
      </c>
      <c r="F781" s="77">
        <v>14353.4</v>
      </c>
      <c r="G781" s="77">
        <v>0</v>
      </c>
      <c r="H781" s="77">
        <v>14353.4</v>
      </c>
      <c r="I781" s="76" t="s">
        <v>761</v>
      </c>
      <c r="J781" s="77">
        <v>0</v>
      </c>
      <c r="K781" s="78">
        <v>19820.32</v>
      </c>
      <c r="M781" s="79" t="str">
        <f t="shared" si="38"/>
        <v>100-4080R</v>
      </c>
      <c r="N781" s="79" t="str">
        <f t="shared" si="36"/>
        <v/>
      </c>
      <c r="O781" s="79" t="str">
        <f t="shared" si="37"/>
        <v>100</v>
      </c>
      <c r="P781" s="79" t="str">
        <f>IFERROR(VLOOKUP($M781,Export!$P:$R,2,FALSE),"-")</f>
        <v>New Vehicle</v>
      </c>
      <c r="Q781" s="79" t="str">
        <f>IFERROR(VLOOKUP($M781,Export!$P:$R,3,FALSE),"-")</f>
        <v>New VehicleOther Income per NV unit</v>
      </c>
      <c r="R781" s="80" t="e" cm="1">
        <f t="array" ref="R781">_xlfn.IFS(P781="Service", _xlfn.IFS(I781="SALES","GP",I781="SERVICE SALES","GP",I781="PARTS SALES","GP",I781="SERVICE COS","GP",I781="PARTS COS","GP",I781="SELLING EXPENSES","Selling Expenses",I781="EMPLOYMENT EXPENSES","Selling Expenses",I781="EMPLOYMENT EXPENSES","Selling Expenses",I781="DIRECT EXPENSES","Selling Expenses",I781="INDIRECT EXPENSES","Selling Expenses"),P781="Parts",_xlfn.IFS(I781="SALES","GP",I781="SERVICE SALES","GP",I781="PARTS SALES","GP",I781="SERVICE COS","GP",I781="PARTS COS","GP",I781="SELLING EXPENSES","Selling Expenses",I781="EMPLOYMENT EXPENSES","Selling Expenses",I781="EMPLOYMENT EXPENSES","Selling Expenses",I781="DIRECT EXPENSES","Selling Expenses",I781="INDIRECT EXPENSES","Selling Expenses"))</f>
        <v>#N/A</v>
      </c>
    </row>
    <row r="782" spans="1:18" x14ac:dyDescent="0.2">
      <c r="A782" s="75" t="s">
        <v>859</v>
      </c>
      <c r="B782" s="76" t="s">
        <v>860</v>
      </c>
      <c r="C782" s="76">
        <v>110</v>
      </c>
      <c r="D782" s="76" t="s">
        <v>430</v>
      </c>
      <c r="E782" s="76" t="s">
        <v>426</v>
      </c>
      <c r="F782" s="77">
        <v>155333.10999999999</v>
      </c>
      <c r="G782" s="77">
        <v>0</v>
      </c>
      <c r="H782" s="77">
        <v>155333.10999999999</v>
      </c>
      <c r="I782" s="76" t="s">
        <v>761</v>
      </c>
      <c r="J782" s="77">
        <v>74939.649999999994</v>
      </c>
      <c r="K782" s="78">
        <v>149879.29999999999</v>
      </c>
      <c r="M782" s="79" t="str">
        <f t="shared" si="38"/>
        <v>110-4080R</v>
      </c>
      <c r="N782" s="79" t="str">
        <f t="shared" si="36"/>
        <v/>
      </c>
      <c r="O782" s="79" t="str">
        <f t="shared" si="37"/>
        <v>110</v>
      </c>
      <c r="P782" s="79" t="str">
        <f>IFERROR(VLOOKUP($M782,Export!$P:$R,2,FALSE),"-")</f>
        <v>Used Vehicle</v>
      </c>
      <c r="Q782" s="79" t="str">
        <f>IFERROR(VLOOKUP($M782,Export!$P:$R,3,FALSE),"-")</f>
        <v>Used VehicleEx NV demonstrators gross profit p.u.</v>
      </c>
      <c r="R782" s="80" t="e" cm="1">
        <f t="array" ref="R782">_xlfn.IFS(P782="Service", _xlfn.IFS(I782="SALES","GP",I782="SERVICE SALES","GP",I782="PARTS SALES","GP",I782="SERVICE COS","GP",I782="PARTS COS","GP",I782="SELLING EXPENSES","Selling Expenses",I782="EMPLOYMENT EXPENSES","Selling Expenses",I782="EMPLOYMENT EXPENSES","Selling Expenses",I782="DIRECT EXPENSES","Selling Expenses",I782="INDIRECT EXPENSES","Selling Expenses"),P782="Parts",_xlfn.IFS(I782="SALES","GP",I782="SERVICE SALES","GP",I782="PARTS SALES","GP",I782="SERVICE COS","GP",I782="PARTS COS","GP",I782="SELLING EXPENSES","Selling Expenses",I782="EMPLOYMENT EXPENSES","Selling Expenses",I782="EMPLOYMENT EXPENSES","Selling Expenses",I782="DIRECT EXPENSES","Selling Expenses",I782="INDIRECT EXPENSES","Selling Expenses"))</f>
        <v>#N/A</v>
      </c>
    </row>
    <row r="783" spans="1:18" x14ac:dyDescent="0.2">
      <c r="A783" s="75" t="s">
        <v>859</v>
      </c>
      <c r="B783" s="76" t="s">
        <v>860</v>
      </c>
      <c r="C783" s="76">
        <v>200</v>
      </c>
      <c r="D783" s="76" t="s">
        <v>428</v>
      </c>
      <c r="E783" s="76" t="s">
        <v>426</v>
      </c>
      <c r="F783" s="77">
        <v>11880.62</v>
      </c>
      <c r="G783" s="77">
        <v>0</v>
      </c>
      <c r="H783" s="77">
        <v>11880.62</v>
      </c>
      <c r="I783" s="76" t="s">
        <v>761</v>
      </c>
      <c r="J783" s="77">
        <v>0</v>
      </c>
      <c r="K783" s="78">
        <v>13471.64</v>
      </c>
      <c r="M783" s="79" t="str">
        <f t="shared" si="38"/>
        <v>200-4080R</v>
      </c>
      <c r="N783" s="79" t="str">
        <f t="shared" si="36"/>
        <v/>
      </c>
      <c r="O783" s="79" t="str">
        <f t="shared" si="37"/>
        <v>200</v>
      </c>
      <c r="P783" s="79" t="str">
        <f>IFERROR(VLOOKUP($M783,Export!$P:$R,2,FALSE),"-")</f>
        <v>New Vehicle</v>
      </c>
      <c r="Q783" s="79" t="str">
        <f>IFERROR(VLOOKUP($M783,Export!$P:$R,3,FALSE),"-")</f>
        <v>New VehicleOther Income per NV unit</v>
      </c>
      <c r="R783" s="80" t="e" cm="1">
        <f t="array" ref="R783">_xlfn.IFS(P783="Service", _xlfn.IFS(I783="SALES","GP",I783="SERVICE SALES","GP",I783="PARTS SALES","GP",I783="SERVICE COS","GP",I783="PARTS COS","GP",I783="SELLING EXPENSES","Selling Expenses",I783="EMPLOYMENT EXPENSES","Selling Expenses",I783="EMPLOYMENT EXPENSES","Selling Expenses",I783="DIRECT EXPENSES","Selling Expenses",I783="INDIRECT EXPENSES","Selling Expenses"),P783="Parts",_xlfn.IFS(I783="SALES","GP",I783="SERVICE SALES","GP",I783="PARTS SALES","GP",I783="SERVICE COS","GP",I783="PARTS COS","GP",I783="SELLING EXPENSES","Selling Expenses",I783="EMPLOYMENT EXPENSES","Selling Expenses",I783="EMPLOYMENT EXPENSES","Selling Expenses",I783="DIRECT EXPENSES","Selling Expenses",I783="INDIRECT EXPENSES","Selling Expenses"))</f>
        <v>#N/A</v>
      </c>
    </row>
    <row r="784" spans="1:18" x14ac:dyDescent="0.2">
      <c r="A784" s="75" t="s">
        <v>859</v>
      </c>
      <c r="B784" s="76" t="s">
        <v>860</v>
      </c>
      <c r="C784" s="76">
        <v>210</v>
      </c>
      <c r="D784" s="76" t="s">
        <v>436</v>
      </c>
      <c r="E784" s="76" t="s">
        <v>426</v>
      </c>
      <c r="F784" s="77">
        <v>73931.570000000007</v>
      </c>
      <c r="G784" s="77">
        <v>0</v>
      </c>
      <c r="H784" s="77">
        <v>73931.570000000007</v>
      </c>
      <c r="I784" s="76" t="s">
        <v>761</v>
      </c>
      <c r="J784" s="77">
        <v>69405.88</v>
      </c>
      <c r="K784" s="78">
        <v>277623.52</v>
      </c>
      <c r="M784" s="79" t="str">
        <f t="shared" si="38"/>
        <v>210-4080R</v>
      </c>
      <c r="N784" s="79" t="str">
        <f t="shared" si="36"/>
        <v/>
      </c>
      <c r="O784" s="79" t="str">
        <f t="shared" si="37"/>
        <v>210</v>
      </c>
      <c r="P784" s="79" t="str">
        <f>IFERROR(VLOOKUP($M784,Export!$P:$R,2,FALSE),"-")</f>
        <v>Used Vehicle</v>
      </c>
      <c r="Q784" s="79" t="str">
        <f>IFERROR(VLOOKUP($M784,Export!$P:$R,3,FALSE),"-")</f>
        <v>Used VehicleEx NV demonstrators gross profit p.u.</v>
      </c>
      <c r="R784" s="80" t="e" cm="1">
        <f t="array" ref="R784">_xlfn.IFS(P784="Service", _xlfn.IFS(I784="SALES","GP",I784="SERVICE SALES","GP",I784="PARTS SALES","GP",I784="SERVICE COS","GP",I784="PARTS COS","GP",I784="SELLING EXPENSES","Selling Expenses",I784="EMPLOYMENT EXPENSES","Selling Expenses",I784="EMPLOYMENT EXPENSES","Selling Expenses",I784="DIRECT EXPENSES","Selling Expenses",I784="INDIRECT EXPENSES","Selling Expenses"),P784="Parts",_xlfn.IFS(I784="SALES","GP",I784="SERVICE SALES","GP",I784="PARTS SALES","GP",I784="SERVICE COS","GP",I784="PARTS COS","GP",I784="SELLING EXPENSES","Selling Expenses",I784="EMPLOYMENT EXPENSES","Selling Expenses",I784="EMPLOYMENT EXPENSES","Selling Expenses",I784="DIRECT EXPENSES","Selling Expenses",I784="INDIRECT EXPENSES","Selling Expenses"))</f>
        <v>#N/A</v>
      </c>
    </row>
    <row r="785" spans="1:18" x14ac:dyDescent="0.2">
      <c r="A785" s="75" t="s">
        <v>861</v>
      </c>
      <c r="B785" s="76" t="s">
        <v>862</v>
      </c>
      <c r="C785" s="76">
        <v>110</v>
      </c>
      <c r="D785" s="76" t="s">
        <v>430</v>
      </c>
      <c r="E785" s="76" t="s">
        <v>426</v>
      </c>
      <c r="F785" s="77">
        <v>-1202.4100000000001</v>
      </c>
      <c r="G785" s="77">
        <v>0</v>
      </c>
      <c r="H785" s="77">
        <v>-1202.4100000000001</v>
      </c>
      <c r="I785" s="76" t="s">
        <v>761</v>
      </c>
      <c r="J785" s="77">
        <v>0</v>
      </c>
      <c r="K785" s="78">
        <v>0</v>
      </c>
      <c r="M785" s="79" t="str">
        <f t="shared" si="38"/>
        <v>110-4080RR</v>
      </c>
      <c r="N785" s="79" t="str">
        <f t="shared" si="36"/>
        <v/>
      </c>
      <c r="O785" s="79" t="str">
        <f t="shared" si="37"/>
        <v>110</v>
      </c>
      <c r="P785" s="79" t="str">
        <f>IFERROR(VLOOKUP($M785,Export!$P:$R,2,FALSE),"-")</f>
        <v>Used Vehicle</v>
      </c>
      <c r="Q785" s="79" t="str">
        <f>IFERROR(VLOOKUP($M785,Export!$P:$R,3,FALSE),"-")</f>
        <v>Used VehicleEx NV demonstrators gross profit p.u.</v>
      </c>
      <c r="R785" s="80" t="e" cm="1">
        <f t="array" ref="R785">_xlfn.IFS(P785="Service", _xlfn.IFS(I785="SALES","GP",I785="SERVICE SALES","GP",I785="PARTS SALES","GP",I785="SERVICE COS","GP",I785="PARTS COS","GP",I785="SELLING EXPENSES","Selling Expenses",I785="EMPLOYMENT EXPENSES","Selling Expenses",I785="EMPLOYMENT EXPENSES","Selling Expenses",I785="DIRECT EXPENSES","Selling Expenses",I785="INDIRECT EXPENSES","Selling Expenses"),P785="Parts",_xlfn.IFS(I785="SALES","GP",I785="SERVICE SALES","GP",I785="PARTS SALES","GP",I785="SERVICE COS","GP",I785="PARTS COS","GP",I785="SELLING EXPENSES","Selling Expenses",I785="EMPLOYMENT EXPENSES","Selling Expenses",I785="EMPLOYMENT EXPENSES","Selling Expenses",I785="DIRECT EXPENSES","Selling Expenses",I785="INDIRECT EXPENSES","Selling Expenses"))</f>
        <v>#N/A</v>
      </c>
    </row>
    <row r="786" spans="1:18" x14ac:dyDescent="0.2">
      <c r="A786" s="75" t="s">
        <v>861</v>
      </c>
      <c r="B786" s="76" t="s">
        <v>862</v>
      </c>
      <c r="C786" s="76">
        <v>210</v>
      </c>
      <c r="D786" s="76" t="s">
        <v>436</v>
      </c>
      <c r="E786" s="76" t="s">
        <v>426</v>
      </c>
      <c r="F786" s="77">
        <v>-546.87</v>
      </c>
      <c r="G786" s="77">
        <v>0</v>
      </c>
      <c r="H786" s="77">
        <v>-546.87</v>
      </c>
      <c r="I786" s="76" t="s">
        <v>761</v>
      </c>
      <c r="J786" s="77">
        <v>0</v>
      </c>
      <c r="K786" s="78">
        <v>0</v>
      </c>
      <c r="M786" s="79" t="str">
        <f t="shared" si="38"/>
        <v>210-4080RR</v>
      </c>
      <c r="N786" s="79" t="str">
        <f t="shared" si="36"/>
        <v/>
      </c>
      <c r="O786" s="79" t="str">
        <f t="shared" si="37"/>
        <v>210</v>
      </c>
      <c r="P786" s="79" t="str">
        <f>IFERROR(VLOOKUP($M786,Export!$P:$R,2,FALSE),"-")</f>
        <v>Used Vehicle</v>
      </c>
      <c r="Q786" s="79" t="str">
        <f>IFERROR(VLOOKUP($M786,Export!$P:$R,3,FALSE),"-")</f>
        <v>Used VehicleEx NV demonstrators gross profit p.u.</v>
      </c>
      <c r="R786" s="80" t="e" cm="1">
        <f t="array" ref="R786">_xlfn.IFS(P786="Service", _xlfn.IFS(I786="SALES","GP",I786="SERVICE SALES","GP",I786="PARTS SALES","GP",I786="SERVICE COS","GP",I786="PARTS COS","GP",I786="SELLING EXPENSES","Selling Expenses",I786="EMPLOYMENT EXPENSES","Selling Expenses",I786="EMPLOYMENT EXPENSES","Selling Expenses",I786="DIRECT EXPENSES","Selling Expenses",I786="INDIRECT EXPENSES","Selling Expenses"),P786="Parts",_xlfn.IFS(I786="SALES","GP",I786="SERVICE SALES","GP",I786="PARTS SALES","GP",I786="SERVICE COS","GP",I786="PARTS COS","GP",I786="SELLING EXPENSES","Selling Expenses",I786="EMPLOYMENT EXPENSES","Selling Expenses",I786="EMPLOYMENT EXPENSES","Selling Expenses",I786="DIRECT EXPENSES","Selling Expenses",I786="INDIRECT EXPENSES","Selling Expenses"))</f>
        <v>#N/A</v>
      </c>
    </row>
    <row r="787" spans="1:18" x14ac:dyDescent="0.2">
      <c r="A787" s="75" t="s">
        <v>863</v>
      </c>
      <c r="B787" s="76" t="s">
        <v>864</v>
      </c>
      <c r="C787" s="76">
        <v>112</v>
      </c>
      <c r="D787" s="76" t="s">
        <v>349</v>
      </c>
      <c r="E787" s="76" t="s">
        <v>426</v>
      </c>
      <c r="F787" s="77">
        <v>-11991.3</v>
      </c>
      <c r="G787" s="77">
        <v>0</v>
      </c>
      <c r="H787" s="77">
        <v>-11991.3</v>
      </c>
      <c r="I787" s="76" t="s">
        <v>761</v>
      </c>
      <c r="J787" s="77">
        <v>0</v>
      </c>
      <c r="K787" s="78">
        <v>0</v>
      </c>
      <c r="M787" s="79" t="str">
        <f t="shared" si="38"/>
        <v>112-4082RR</v>
      </c>
      <c r="N787" s="79" t="str">
        <f t="shared" si="36"/>
        <v/>
      </c>
      <c r="O787" s="79" t="str">
        <f t="shared" si="37"/>
        <v>112</v>
      </c>
      <c r="P787" s="79" t="str">
        <f>IFERROR(VLOOKUP($M787,Export!$P:$R,2,FALSE),"-")</f>
        <v>LEX New Vehicle</v>
      </c>
      <c r="Q787" s="79" t="str">
        <f>IFERROR(VLOOKUP($M787,Export!$P:$R,3,FALSE),"-")</f>
        <v>LEX New VehicleRetail Gross p.u.</v>
      </c>
      <c r="R787" s="80" t="e" cm="1">
        <f t="array" ref="R787">_xlfn.IFS(P787="Service", _xlfn.IFS(I787="SALES","GP",I787="SERVICE SALES","GP",I787="PARTS SALES","GP",I787="SERVICE COS","GP",I787="PARTS COS","GP",I787="SELLING EXPENSES","Selling Expenses",I787="EMPLOYMENT EXPENSES","Selling Expenses",I787="EMPLOYMENT EXPENSES","Selling Expenses",I787="DIRECT EXPENSES","Selling Expenses",I787="INDIRECT EXPENSES","Selling Expenses"),P787="Parts",_xlfn.IFS(I787="SALES","GP",I787="SERVICE SALES","GP",I787="PARTS SALES","GP",I787="SERVICE COS","GP",I787="PARTS COS","GP",I787="SELLING EXPENSES","Selling Expenses",I787="EMPLOYMENT EXPENSES","Selling Expenses",I787="EMPLOYMENT EXPENSES","Selling Expenses",I787="DIRECT EXPENSES","Selling Expenses",I787="INDIRECT EXPENSES","Selling Expenses"))</f>
        <v>#N/A</v>
      </c>
    </row>
    <row r="788" spans="1:18" x14ac:dyDescent="0.2">
      <c r="A788" s="75" t="s">
        <v>865</v>
      </c>
      <c r="B788" s="76" t="s">
        <v>866</v>
      </c>
      <c r="C788" s="76">
        <v>100</v>
      </c>
      <c r="D788" s="76" t="s">
        <v>227</v>
      </c>
      <c r="E788" s="76" t="s">
        <v>426</v>
      </c>
      <c r="F788" s="77">
        <v>12374.17</v>
      </c>
      <c r="G788" s="77">
        <v>0</v>
      </c>
      <c r="H788" s="77">
        <v>12374.17</v>
      </c>
      <c r="I788" s="76" t="s">
        <v>761</v>
      </c>
      <c r="J788" s="77">
        <v>0</v>
      </c>
      <c r="K788" s="78">
        <v>2088.58</v>
      </c>
      <c r="M788" s="79" t="str">
        <f t="shared" si="38"/>
        <v>100-4083R</v>
      </c>
      <c r="N788" s="79" t="str">
        <f t="shared" si="36"/>
        <v/>
      </c>
      <c r="O788" s="79" t="str">
        <f t="shared" si="37"/>
        <v>100</v>
      </c>
      <c r="P788" s="79" t="str">
        <f>IFERROR(VLOOKUP($M788,Export!$P:$R,2,FALSE),"-")</f>
        <v>New Vehicle</v>
      </c>
      <c r="Q788" s="79" t="str">
        <f>IFERROR(VLOOKUP($M788,Export!$P:$R,3,FALSE),"-")</f>
        <v>New VehicleOther Income per NV unit</v>
      </c>
      <c r="R788" s="80" t="e" cm="1">
        <f t="array" ref="R788">_xlfn.IFS(P788="Service", _xlfn.IFS(I788="SALES","GP",I788="SERVICE SALES","GP",I788="PARTS SALES","GP",I788="SERVICE COS","GP",I788="PARTS COS","GP",I788="SELLING EXPENSES","Selling Expenses",I788="EMPLOYMENT EXPENSES","Selling Expenses",I788="EMPLOYMENT EXPENSES","Selling Expenses",I788="DIRECT EXPENSES","Selling Expenses",I788="INDIRECT EXPENSES","Selling Expenses"),P788="Parts",_xlfn.IFS(I788="SALES","GP",I788="SERVICE SALES","GP",I788="PARTS SALES","GP",I788="SERVICE COS","GP",I788="PARTS COS","GP",I788="SELLING EXPENSES","Selling Expenses",I788="EMPLOYMENT EXPENSES","Selling Expenses",I788="EMPLOYMENT EXPENSES","Selling Expenses",I788="DIRECT EXPENSES","Selling Expenses",I788="INDIRECT EXPENSES","Selling Expenses"))</f>
        <v>#N/A</v>
      </c>
    </row>
    <row r="789" spans="1:18" x14ac:dyDescent="0.2">
      <c r="A789" s="75" t="s">
        <v>865</v>
      </c>
      <c r="B789" s="76" t="s">
        <v>866</v>
      </c>
      <c r="C789" s="76">
        <v>110</v>
      </c>
      <c r="D789" s="76" t="s">
        <v>430</v>
      </c>
      <c r="E789" s="76" t="s">
        <v>426</v>
      </c>
      <c r="F789" s="77">
        <v>134298.65</v>
      </c>
      <c r="G789" s="77">
        <v>37855.53</v>
      </c>
      <c r="H789" s="77">
        <v>172154.18</v>
      </c>
      <c r="I789" s="76" t="s">
        <v>761</v>
      </c>
      <c r="J789" s="77">
        <v>34259.97</v>
      </c>
      <c r="K789" s="78">
        <v>132122.32999999999</v>
      </c>
      <c r="M789" s="79" t="str">
        <f t="shared" si="38"/>
        <v>110-4083R</v>
      </c>
      <c r="N789" s="79" t="str">
        <f t="shared" si="36"/>
        <v/>
      </c>
      <c r="O789" s="79" t="str">
        <f t="shared" si="37"/>
        <v>110</v>
      </c>
      <c r="P789" s="79" t="str">
        <f>IFERROR(VLOOKUP($M789,Export!$P:$R,2,FALSE),"-")</f>
        <v>Used Vehicle</v>
      </c>
      <c r="Q789" s="79" t="str">
        <f>IFERROR(VLOOKUP($M789,Export!$P:$R,3,FALSE),"-")</f>
        <v>Used VehicleEx NV demonstrators gross profit p.u.</v>
      </c>
      <c r="R789" s="80" t="e" cm="1">
        <f t="array" ref="R789">_xlfn.IFS(P789="Service", _xlfn.IFS(I789="SALES","GP",I789="SERVICE SALES","GP",I789="PARTS SALES","GP",I789="SERVICE COS","GP",I789="PARTS COS","GP",I789="SELLING EXPENSES","Selling Expenses",I789="EMPLOYMENT EXPENSES","Selling Expenses",I789="EMPLOYMENT EXPENSES","Selling Expenses",I789="DIRECT EXPENSES","Selling Expenses",I789="INDIRECT EXPENSES","Selling Expenses"),P789="Parts",_xlfn.IFS(I789="SALES","GP",I789="SERVICE SALES","GP",I789="PARTS SALES","GP",I789="SERVICE COS","GP",I789="PARTS COS","GP",I789="SELLING EXPENSES","Selling Expenses",I789="EMPLOYMENT EXPENSES","Selling Expenses",I789="EMPLOYMENT EXPENSES","Selling Expenses",I789="DIRECT EXPENSES","Selling Expenses",I789="INDIRECT EXPENSES","Selling Expenses"))</f>
        <v>#N/A</v>
      </c>
    </row>
    <row r="790" spans="1:18" x14ac:dyDescent="0.2">
      <c r="A790" s="75" t="s">
        <v>865</v>
      </c>
      <c r="B790" s="76" t="s">
        <v>866</v>
      </c>
      <c r="C790" s="76">
        <v>200</v>
      </c>
      <c r="D790" s="76" t="s">
        <v>428</v>
      </c>
      <c r="E790" s="76" t="s">
        <v>426</v>
      </c>
      <c r="F790" s="77">
        <v>6984.06</v>
      </c>
      <c r="G790" s="77">
        <v>0</v>
      </c>
      <c r="H790" s="77">
        <v>6984.06</v>
      </c>
      <c r="I790" s="76" t="s">
        <v>761</v>
      </c>
      <c r="J790" s="77">
        <v>0</v>
      </c>
      <c r="K790" s="78">
        <v>777.83</v>
      </c>
      <c r="M790" s="79" t="str">
        <f t="shared" si="38"/>
        <v>200-4083R</v>
      </c>
      <c r="N790" s="79" t="str">
        <f t="shared" si="36"/>
        <v/>
      </c>
      <c r="O790" s="79" t="str">
        <f t="shared" si="37"/>
        <v>200</v>
      </c>
      <c r="P790" s="79" t="str">
        <f>IFERROR(VLOOKUP($M790,Export!$P:$R,2,FALSE),"-")</f>
        <v>New Vehicle</v>
      </c>
      <c r="Q790" s="79" t="str">
        <f>IFERROR(VLOOKUP($M790,Export!$P:$R,3,FALSE),"-")</f>
        <v>New VehicleOther Income per NV unit</v>
      </c>
      <c r="R790" s="80" t="e" cm="1">
        <f t="array" ref="R790">_xlfn.IFS(P790="Service", _xlfn.IFS(I790="SALES","GP",I790="SERVICE SALES","GP",I790="PARTS SALES","GP",I790="SERVICE COS","GP",I790="PARTS COS","GP",I790="SELLING EXPENSES","Selling Expenses",I790="EMPLOYMENT EXPENSES","Selling Expenses",I790="EMPLOYMENT EXPENSES","Selling Expenses",I790="DIRECT EXPENSES","Selling Expenses",I790="INDIRECT EXPENSES","Selling Expenses"),P790="Parts",_xlfn.IFS(I790="SALES","GP",I790="SERVICE SALES","GP",I790="PARTS SALES","GP",I790="SERVICE COS","GP",I790="PARTS COS","GP",I790="SELLING EXPENSES","Selling Expenses",I790="EMPLOYMENT EXPENSES","Selling Expenses",I790="EMPLOYMENT EXPENSES","Selling Expenses",I790="DIRECT EXPENSES","Selling Expenses",I790="INDIRECT EXPENSES","Selling Expenses"))</f>
        <v>#N/A</v>
      </c>
    </row>
    <row r="791" spans="1:18" x14ac:dyDescent="0.2">
      <c r="A791" s="75" t="s">
        <v>865</v>
      </c>
      <c r="B791" s="76" t="s">
        <v>866</v>
      </c>
      <c r="C791" s="76">
        <v>210</v>
      </c>
      <c r="D791" s="76" t="s">
        <v>436</v>
      </c>
      <c r="E791" s="76" t="s">
        <v>426</v>
      </c>
      <c r="F791" s="77">
        <v>237178.46</v>
      </c>
      <c r="G791" s="77">
        <v>872.32</v>
      </c>
      <c r="H791" s="77">
        <v>238050.78</v>
      </c>
      <c r="I791" s="76" t="s">
        <v>761</v>
      </c>
      <c r="J791" s="77">
        <v>0</v>
      </c>
      <c r="K791" s="78">
        <v>99350.27</v>
      </c>
      <c r="M791" s="79" t="str">
        <f t="shared" si="38"/>
        <v>210-4083R</v>
      </c>
      <c r="N791" s="79" t="str">
        <f t="shared" si="36"/>
        <v/>
      </c>
      <c r="O791" s="79" t="str">
        <f t="shared" si="37"/>
        <v>210</v>
      </c>
      <c r="P791" s="79" t="str">
        <f>IFERROR(VLOOKUP($M791,Export!$P:$R,2,FALSE),"-")</f>
        <v>Used Vehicle</v>
      </c>
      <c r="Q791" s="79" t="str">
        <f>IFERROR(VLOOKUP($M791,Export!$P:$R,3,FALSE),"-")</f>
        <v>Used VehicleEx NV demonstrators gross profit p.u.</v>
      </c>
      <c r="R791" s="80" t="e" cm="1">
        <f t="array" ref="R791">_xlfn.IFS(P791="Service", _xlfn.IFS(I791="SALES","GP",I791="SERVICE SALES","GP",I791="PARTS SALES","GP",I791="SERVICE COS","GP",I791="PARTS COS","GP",I791="SELLING EXPENSES","Selling Expenses",I791="EMPLOYMENT EXPENSES","Selling Expenses",I791="EMPLOYMENT EXPENSES","Selling Expenses",I791="DIRECT EXPENSES","Selling Expenses",I791="INDIRECT EXPENSES","Selling Expenses"),P791="Parts",_xlfn.IFS(I791="SALES","GP",I791="SERVICE SALES","GP",I791="PARTS SALES","GP",I791="SERVICE COS","GP",I791="PARTS COS","GP",I791="SELLING EXPENSES","Selling Expenses",I791="EMPLOYMENT EXPENSES","Selling Expenses",I791="EMPLOYMENT EXPENSES","Selling Expenses",I791="DIRECT EXPENSES","Selling Expenses",I791="INDIRECT EXPENSES","Selling Expenses"))</f>
        <v>#N/A</v>
      </c>
    </row>
    <row r="792" spans="1:18" x14ac:dyDescent="0.2">
      <c r="A792" s="75" t="s">
        <v>867</v>
      </c>
      <c r="B792" s="76" t="s">
        <v>868</v>
      </c>
      <c r="C792" s="76">
        <v>110</v>
      </c>
      <c r="D792" s="76" t="s">
        <v>430</v>
      </c>
      <c r="E792" s="76" t="s">
        <v>426</v>
      </c>
      <c r="F792" s="77">
        <v>-1442.32</v>
      </c>
      <c r="G792" s="77">
        <v>-269.7</v>
      </c>
      <c r="H792" s="77">
        <v>-1712.02</v>
      </c>
      <c r="I792" s="76" t="s">
        <v>761</v>
      </c>
      <c r="J792" s="77">
        <v>0</v>
      </c>
      <c r="K792" s="78">
        <v>-309.85000000000002</v>
      </c>
      <c r="M792" s="79" t="str">
        <f t="shared" si="38"/>
        <v>110-4083RR</v>
      </c>
      <c r="N792" s="79" t="str">
        <f t="shared" si="36"/>
        <v/>
      </c>
      <c r="O792" s="79" t="str">
        <f t="shared" si="37"/>
        <v>110</v>
      </c>
      <c r="P792" s="79" t="str">
        <f>IFERROR(VLOOKUP($M792,Export!$P:$R,2,FALSE),"-")</f>
        <v>Used Vehicle</v>
      </c>
      <c r="Q792" s="79" t="str">
        <f>IFERROR(VLOOKUP($M792,Export!$P:$R,3,FALSE),"-")</f>
        <v>Used VehicleEx NV demonstrators gross profit p.u.</v>
      </c>
      <c r="R792" s="80" t="e" cm="1">
        <f t="array" ref="R792">_xlfn.IFS(P792="Service", _xlfn.IFS(I792="SALES","GP",I792="SERVICE SALES","GP",I792="PARTS SALES","GP",I792="SERVICE COS","GP",I792="PARTS COS","GP",I792="SELLING EXPENSES","Selling Expenses",I792="EMPLOYMENT EXPENSES","Selling Expenses",I792="EMPLOYMENT EXPENSES","Selling Expenses",I792="DIRECT EXPENSES","Selling Expenses",I792="INDIRECT EXPENSES","Selling Expenses"),P792="Parts",_xlfn.IFS(I792="SALES","GP",I792="SERVICE SALES","GP",I792="PARTS SALES","GP",I792="SERVICE COS","GP",I792="PARTS COS","GP",I792="SELLING EXPENSES","Selling Expenses",I792="EMPLOYMENT EXPENSES","Selling Expenses",I792="EMPLOYMENT EXPENSES","Selling Expenses",I792="DIRECT EXPENSES","Selling Expenses",I792="INDIRECT EXPENSES","Selling Expenses"))</f>
        <v>#N/A</v>
      </c>
    </row>
    <row r="793" spans="1:18" x14ac:dyDescent="0.2">
      <c r="A793" s="75" t="s">
        <v>867</v>
      </c>
      <c r="B793" s="76" t="s">
        <v>868</v>
      </c>
      <c r="C793" s="76">
        <v>210</v>
      </c>
      <c r="D793" s="76" t="s">
        <v>436</v>
      </c>
      <c r="E793" s="76" t="s">
        <v>426</v>
      </c>
      <c r="F793" s="77">
        <v>-2482.54</v>
      </c>
      <c r="G793" s="77">
        <v>0</v>
      </c>
      <c r="H793" s="77">
        <v>-2482.54</v>
      </c>
      <c r="I793" s="76" t="s">
        <v>761</v>
      </c>
      <c r="J793" s="77">
        <v>0</v>
      </c>
      <c r="K793" s="78">
        <v>-632.73</v>
      </c>
      <c r="M793" s="79" t="str">
        <f t="shared" si="38"/>
        <v>210-4083RR</v>
      </c>
      <c r="N793" s="79" t="str">
        <f t="shared" si="36"/>
        <v/>
      </c>
      <c r="O793" s="79" t="str">
        <f t="shared" si="37"/>
        <v>210</v>
      </c>
      <c r="P793" s="79" t="str">
        <f>IFERROR(VLOOKUP($M793,Export!$P:$R,2,FALSE),"-")</f>
        <v>Used Vehicle</v>
      </c>
      <c r="Q793" s="79" t="str">
        <f>IFERROR(VLOOKUP($M793,Export!$P:$R,3,FALSE),"-")</f>
        <v>Used VehicleEx NV demonstrators gross profit p.u.</v>
      </c>
      <c r="R793" s="80" t="e" cm="1">
        <f t="array" ref="R793">_xlfn.IFS(P793="Service", _xlfn.IFS(I793="SALES","GP",I793="SERVICE SALES","GP",I793="PARTS SALES","GP",I793="SERVICE COS","GP",I793="PARTS COS","GP",I793="SELLING EXPENSES","Selling Expenses",I793="EMPLOYMENT EXPENSES","Selling Expenses",I793="EMPLOYMENT EXPENSES","Selling Expenses",I793="DIRECT EXPENSES","Selling Expenses",I793="INDIRECT EXPENSES","Selling Expenses"),P793="Parts",_xlfn.IFS(I793="SALES","GP",I793="SERVICE SALES","GP",I793="PARTS SALES","GP",I793="SERVICE COS","GP",I793="PARTS COS","GP",I793="SELLING EXPENSES","Selling Expenses",I793="EMPLOYMENT EXPENSES","Selling Expenses",I793="EMPLOYMENT EXPENSES","Selling Expenses",I793="DIRECT EXPENSES","Selling Expenses",I793="INDIRECT EXPENSES","Selling Expenses"))</f>
        <v>#N/A</v>
      </c>
    </row>
    <row r="794" spans="1:18" x14ac:dyDescent="0.2">
      <c r="A794" s="75" t="s">
        <v>869</v>
      </c>
      <c r="B794" s="76" t="s">
        <v>870</v>
      </c>
      <c r="C794" s="76">
        <v>100</v>
      </c>
      <c r="D794" s="76" t="s">
        <v>227</v>
      </c>
      <c r="E794" s="76" t="s">
        <v>426</v>
      </c>
      <c r="F794" s="77">
        <v>113436.26</v>
      </c>
      <c r="G794" s="77">
        <v>15351.05</v>
      </c>
      <c r="H794" s="77">
        <v>128787.31</v>
      </c>
      <c r="I794" s="76" t="s">
        <v>761</v>
      </c>
      <c r="J794" s="77">
        <v>0</v>
      </c>
      <c r="K794" s="78">
        <v>30529.52</v>
      </c>
      <c r="M794" s="79" t="str">
        <f t="shared" si="38"/>
        <v>100-4085R</v>
      </c>
      <c r="N794" s="79" t="str">
        <f t="shared" si="36"/>
        <v/>
      </c>
      <c r="O794" s="79" t="str">
        <f t="shared" si="37"/>
        <v>100</v>
      </c>
      <c r="P794" s="79" t="str">
        <f>IFERROR(VLOOKUP($M794,Export!$P:$R,2,FALSE),"-")</f>
        <v>New Vehicle</v>
      </c>
      <c r="Q794" s="79" t="str">
        <f>IFERROR(VLOOKUP($M794,Export!$P:$R,3,FALSE),"-")</f>
        <v>New VehicleOther Income per NV unit</v>
      </c>
      <c r="R794" s="80" t="e" cm="1">
        <f t="array" ref="R794">_xlfn.IFS(P794="Service", _xlfn.IFS(I794="SALES","GP",I794="SERVICE SALES","GP",I794="PARTS SALES","GP",I794="SERVICE COS","GP",I794="PARTS COS","GP",I794="SELLING EXPENSES","Selling Expenses",I794="EMPLOYMENT EXPENSES","Selling Expenses",I794="EMPLOYMENT EXPENSES","Selling Expenses",I794="DIRECT EXPENSES","Selling Expenses",I794="INDIRECT EXPENSES","Selling Expenses"),P794="Parts",_xlfn.IFS(I794="SALES","GP",I794="SERVICE SALES","GP",I794="PARTS SALES","GP",I794="SERVICE COS","GP",I794="PARTS COS","GP",I794="SELLING EXPENSES","Selling Expenses",I794="EMPLOYMENT EXPENSES","Selling Expenses",I794="EMPLOYMENT EXPENSES","Selling Expenses",I794="DIRECT EXPENSES","Selling Expenses",I794="INDIRECT EXPENSES","Selling Expenses"))</f>
        <v>#N/A</v>
      </c>
    </row>
    <row r="795" spans="1:18" x14ac:dyDescent="0.2">
      <c r="A795" s="75" t="s">
        <v>869</v>
      </c>
      <c r="B795" s="76" t="s">
        <v>870</v>
      </c>
      <c r="C795" s="76">
        <v>110</v>
      </c>
      <c r="D795" s="76" t="s">
        <v>430</v>
      </c>
      <c r="E795" s="76" t="s">
        <v>426</v>
      </c>
      <c r="F795" s="77">
        <v>258179.87</v>
      </c>
      <c r="G795" s="77">
        <v>0</v>
      </c>
      <c r="H795" s="77">
        <v>258179.87</v>
      </c>
      <c r="I795" s="76" t="s">
        <v>761</v>
      </c>
      <c r="J795" s="77">
        <v>130143.01</v>
      </c>
      <c r="K795" s="78">
        <v>979278.14</v>
      </c>
      <c r="M795" s="79" t="str">
        <f t="shared" si="38"/>
        <v>110-4085R</v>
      </c>
      <c r="N795" s="79" t="str">
        <f t="shared" si="36"/>
        <v/>
      </c>
      <c r="O795" s="79" t="str">
        <f t="shared" si="37"/>
        <v>110</v>
      </c>
      <c r="P795" s="79" t="str">
        <f>IFERROR(VLOOKUP($M795,Export!$P:$R,2,FALSE),"-")</f>
        <v>Used Vehicle</v>
      </c>
      <c r="Q795" s="79" t="str">
        <f>IFERROR(VLOOKUP($M795,Export!$P:$R,3,FALSE),"-")</f>
        <v>Used VehicleEx NV demonstrators gross profit p.u.</v>
      </c>
      <c r="R795" s="80" t="e" cm="1">
        <f t="array" ref="R795">_xlfn.IFS(P795="Service", _xlfn.IFS(I795="SALES","GP",I795="SERVICE SALES","GP",I795="PARTS SALES","GP",I795="SERVICE COS","GP",I795="PARTS COS","GP",I795="SELLING EXPENSES","Selling Expenses",I795="EMPLOYMENT EXPENSES","Selling Expenses",I795="EMPLOYMENT EXPENSES","Selling Expenses",I795="DIRECT EXPENSES","Selling Expenses",I795="INDIRECT EXPENSES","Selling Expenses"),P795="Parts",_xlfn.IFS(I795="SALES","GP",I795="SERVICE SALES","GP",I795="PARTS SALES","GP",I795="SERVICE COS","GP",I795="PARTS COS","GP",I795="SELLING EXPENSES","Selling Expenses",I795="EMPLOYMENT EXPENSES","Selling Expenses",I795="EMPLOYMENT EXPENSES","Selling Expenses",I795="DIRECT EXPENSES","Selling Expenses",I795="INDIRECT EXPENSES","Selling Expenses"))</f>
        <v>#N/A</v>
      </c>
    </row>
    <row r="796" spans="1:18" x14ac:dyDescent="0.2">
      <c r="A796" s="75" t="s">
        <v>869</v>
      </c>
      <c r="B796" s="76" t="s">
        <v>870</v>
      </c>
      <c r="C796" s="76">
        <v>200</v>
      </c>
      <c r="D796" s="76" t="s">
        <v>428</v>
      </c>
      <c r="E796" s="76" t="s">
        <v>426</v>
      </c>
      <c r="F796" s="77">
        <v>65498.09</v>
      </c>
      <c r="G796" s="77">
        <v>6671.22</v>
      </c>
      <c r="H796" s="77">
        <v>72169.31</v>
      </c>
      <c r="I796" s="76" t="s">
        <v>761</v>
      </c>
      <c r="J796" s="77">
        <v>0</v>
      </c>
      <c r="K796" s="78">
        <v>13676.68</v>
      </c>
      <c r="M796" s="79" t="str">
        <f t="shared" si="38"/>
        <v>200-4085R</v>
      </c>
      <c r="N796" s="79" t="str">
        <f t="shared" si="36"/>
        <v/>
      </c>
      <c r="O796" s="79" t="str">
        <f t="shared" si="37"/>
        <v>200</v>
      </c>
      <c r="P796" s="79" t="str">
        <f>IFERROR(VLOOKUP($M796,Export!$P:$R,2,FALSE),"-")</f>
        <v>New Vehicle</v>
      </c>
      <c r="Q796" s="79" t="str">
        <f>IFERROR(VLOOKUP($M796,Export!$P:$R,3,FALSE),"-")</f>
        <v>New VehicleOther Income per NV unit</v>
      </c>
      <c r="R796" s="80" t="e" cm="1">
        <f t="array" ref="R796">_xlfn.IFS(P796="Service", _xlfn.IFS(I796="SALES","GP",I796="SERVICE SALES","GP",I796="PARTS SALES","GP",I796="SERVICE COS","GP",I796="PARTS COS","GP",I796="SELLING EXPENSES","Selling Expenses",I796="EMPLOYMENT EXPENSES","Selling Expenses",I796="EMPLOYMENT EXPENSES","Selling Expenses",I796="DIRECT EXPENSES","Selling Expenses",I796="INDIRECT EXPENSES","Selling Expenses"),P796="Parts",_xlfn.IFS(I796="SALES","GP",I796="SERVICE SALES","GP",I796="PARTS SALES","GP",I796="SERVICE COS","GP",I796="PARTS COS","GP",I796="SELLING EXPENSES","Selling Expenses",I796="EMPLOYMENT EXPENSES","Selling Expenses",I796="EMPLOYMENT EXPENSES","Selling Expenses",I796="DIRECT EXPENSES","Selling Expenses",I796="INDIRECT EXPENSES","Selling Expenses"))</f>
        <v>#N/A</v>
      </c>
    </row>
    <row r="797" spans="1:18" x14ac:dyDescent="0.2">
      <c r="A797" s="75" t="s">
        <v>869</v>
      </c>
      <c r="B797" s="76" t="s">
        <v>870</v>
      </c>
      <c r="C797" s="76">
        <v>210</v>
      </c>
      <c r="D797" s="76" t="s">
        <v>436</v>
      </c>
      <c r="E797" s="76" t="s">
        <v>426</v>
      </c>
      <c r="F797" s="77">
        <v>363777.67</v>
      </c>
      <c r="G797" s="77">
        <v>126655.65</v>
      </c>
      <c r="H797" s="77">
        <v>490433.32</v>
      </c>
      <c r="I797" s="76" t="s">
        <v>761</v>
      </c>
      <c r="J797" s="77">
        <v>129093.35</v>
      </c>
      <c r="K797" s="78">
        <v>806718.44</v>
      </c>
      <c r="M797" s="79" t="str">
        <f t="shared" si="38"/>
        <v>210-4085R</v>
      </c>
      <c r="N797" s="79" t="str">
        <f t="shared" si="36"/>
        <v/>
      </c>
      <c r="O797" s="79" t="str">
        <f t="shared" si="37"/>
        <v>210</v>
      </c>
      <c r="P797" s="79" t="str">
        <f>IFERROR(VLOOKUP($M797,Export!$P:$R,2,FALSE),"-")</f>
        <v>Used Vehicle</v>
      </c>
      <c r="Q797" s="79" t="str">
        <f>IFERROR(VLOOKUP($M797,Export!$P:$R,3,FALSE),"-")</f>
        <v>Used VehicleEx NV demonstrators gross profit p.u.</v>
      </c>
      <c r="R797" s="80" t="e" cm="1">
        <f t="array" ref="R797">_xlfn.IFS(P797="Service", _xlfn.IFS(I797="SALES","GP",I797="SERVICE SALES","GP",I797="PARTS SALES","GP",I797="SERVICE COS","GP",I797="PARTS COS","GP",I797="SELLING EXPENSES","Selling Expenses",I797="EMPLOYMENT EXPENSES","Selling Expenses",I797="EMPLOYMENT EXPENSES","Selling Expenses",I797="DIRECT EXPENSES","Selling Expenses",I797="INDIRECT EXPENSES","Selling Expenses"),P797="Parts",_xlfn.IFS(I797="SALES","GP",I797="SERVICE SALES","GP",I797="PARTS SALES","GP",I797="SERVICE COS","GP",I797="PARTS COS","GP",I797="SELLING EXPENSES","Selling Expenses",I797="EMPLOYMENT EXPENSES","Selling Expenses",I797="EMPLOYMENT EXPENSES","Selling Expenses",I797="DIRECT EXPENSES","Selling Expenses",I797="INDIRECT EXPENSES","Selling Expenses"))</f>
        <v>#N/A</v>
      </c>
    </row>
    <row r="798" spans="1:18" x14ac:dyDescent="0.2">
      <c r="A798" s="75" t="s">
        <v>871</v>
      </c>
      <c r="B798" s="76" t="s">
        <v>872</v>
      </c>
      <c r="C798" s="76">
        <v>110</v>
      </c>
      <c r="D798" s="76" t="s">
        <v>430</v>
      </c>
      <c r="E798" s="76" t="s">
        <v>426</v>
      </c>
      <c r="F798" s="77">
        <v>-2300.04</v>
      </c>
      <c r="G798" s="77">
        <v>0</v>
      </c>
      <c r="H798" s="77">
        <v>-2300.04</v>
      </c>
      <c r="I798" s="76" t="s">
        <v>761</v>
      </c>
      <c r="J798" s="77">
        <v>0</v>
      </c>
      <c r="K798" s="78">
        <v>-1710.93</v>
      </c>
      <c r="M798" s="79" t="str">
        <f t="shared" si="38"/>
        <v>110-4085RR</v>
      </c>
      <c r="N798" s="79" t="str">
        <f t="shared" si="36"/>
        <v/>
      </c>
      <c r="O798" s="79" t="str">
        <f t="shared" si="37"/>
        <v>110</v>
      </c>
      <c r="P798" s="79" t="str">
        <f>IFERROR(VLOOKUP($M798,Export!$P:$R,2,FALSE),"-")</f>
        <v>Used Vehicle</v>
      </c>
      <c r="Q798" s="79" t="str">
        <f>IFERROR(VLOOKUP($M798,Export!$P:$R,3,FALSE),"-")</f>
        <v>Used VehicleEx NV demonstrators gross profit p.u.</v>
      </c>
      <c r="R798" s="80" t="e" cm="1">
        <f t="array" ref="R798">_xlfn.IFS(P798="Service", _xlfn.IFS(I798="SALES","GP",I798="SERVICE SALES","GP",I798="PARTS SALES","GP",I798="SERVICE COS","GP",I798="PARTS COS","GP",I798="SELLING EXPENSES","Selling Expenses",I798="EMPLOYMENT EXPENSES","Selling Expenses",I798="EMPLOYMENT EXPENSES","Selling Expenses",I798="DIRECT EXPENSES","Selling Expenses",I798="INDIRECT EXPENSES","Selling Expenses"),P798="Parts",_xlfn.IFS(I798="SALES","GP",I798="SERVICE SALES","GP",I798="PARTS SALES","GP",I798="SERVICE COS","GP",I798="PARTS COS","GP",I798="SELLING EXPENSES","Selling Expenses",I798="EMPLOYMENT EXPENSES","Selling Expenses",I798="EMPLOYMENT EXPENSES","Selling Expenses",I798="DIRECT EXPENSES","Selling Expenses",I798="INDIRECT EXPENSES","Selling Expenses"))</f>
        <v>#N/A</v>
      </c>
    </row>
    <row r="799" spans="1:18" x14ac:dyDescent="0.2">
      <c r="A799" s="75" t="s">
        <v>871</v>
      </c>
      <c r="B799" s="76" t="s">
        <v>872</v>
      </c>
      <c r="C799" s="76">
        <v>210</v>
      </c>
      <c r="D799" s="76" t="s">
        <v>436</v>
      </c>
      <c r="E799" s="76" t="s">
        <v>426</v>
      </c>
      <c r="F799" s="77">
        <v>-3426.98</v>
      </c>
      <c r="G799" s="77">
        <v>-1157.51</v>
      </c>
      <c r="H799" s="77">
        <v>-4584.49</v>
      </c>
      <c r="I799" s="76" t="s">
        <v>761</v>
      </c>
      <c r="J799" s="77">
        <v>0</v>
      </c>
      <c r="K799" s="78">
        <v>-675.16</v>
      </c>
      <c r="M799" s="79" t="str">
        <f t="shared" si="38"/>
        <v>210-4085RR</v>
      </c>
      <c r="N799" s="79" t="str">
        <f t="shared" si="36"/>
        <v/>
      </c>
      <c r="O799" s="79" t="str">
        <f t="shared" si="37"/>
        <v>210</v>
      </c>
      <c r="P799" s="79" t="str">
        <f>IFERROR(VLOOKUP($M799,Export!$P:$R,2,FALSE),"-")</f>
        <v>Used Vehicle</v>
      </c>
      <c r="Q799" s="79" t="str">
        <f>IFERROR(VLOOKUP($M799,Export!$P:$R,3,FALSE),"-")</f>
        <v>Used VehicleEx NV demonstrators gross profit p.u.</v>
      </c>
      <c r="R799" s="80" t="e" cm="1">
        <f t="array" ref="R799">_xlfn.IFS(P799="Service", _xlfn.IFS(I799="SALES","GP",I799="SERVICE SALES","GP",I799="PARTS SALES","GP",I799="SERVICE COS","GP",I799="PARTS COS","GP",I799="SELLING EXPENSES","Selling Expenses",I799="EMPLOYMENT EXPENSES","Selling Expenses",I799="EMPLOYMENT EXPENSES","Selling Expenses",I799="DIRECT EXPENSES","Selling Expenses",I799="INDIRECT EXPENSES","Selling Expenses"),P799="Parts",_xlfn.IFS(I799="SALES","GP",I799="SERVICE SALES","GP",I799="PARTS SALES","GP",I799="SERVICE COS","GP",I799="PARTS COS","GP",I799="SELLING EXPENSES","Selling Expenses",I799="EMPLOYMENT EXPENSES","Selling Expenses",I799="EMPLOYMENT EXPENSES","Selling Expenses",I799="DIRECT EXPENSES","Selling Expenses",I799="INDIRECT EXPENSES","Selling Expenses"))</f>
        <v>#N/A</v>
      </c>
    </row>
    <row r="800" spans="1:18" x14ac:dyDescent="0.2">
      <c r="A800" s="75" t="s">
        <v>873</v>
      </c>
      <c r="B800" s="76" t="s">
        <v>874</v>
      </c>
      <c r="C800" s="76">
        <v>100</v>
      </c>
      <c r="D800" s="76" t="s">
        <v>227</v>
      </c>
      <c r="E800" s="76" t="s">
        <v>426</v>
      </c>
      <c r="F800" s="77">
        <v>70509.38</v>
      </c>
      <c r="G800" s="77">
        <v>15413.36</v>
      </c>
      <c r="H800" s="77">
        <v>85922.74</v>
      </c>
      <c r="I800" s="76" t="s">
        <v>761</v>
      </c>
      <c r="J800" s="77">
        <v>0</v>
      </c>
      <c r="K800" s="78">
        <v>5374.56</v>
      </c>
      <c r="M800" s="79" t="str">
        <f t="shared" si="38"/>
        <v>100-4087R</v>
      </c>
      <c r="N800" s="79" t="str">
        <f t="shared" si="36"/>
        <v/>
      </c>
      <c r="O800" s="79" t="str">
        <f t="shared" si="37"/>
        <v>100</v>
      </c>
      <c r="P800" s="79" t="str">
        <f>IFERROR(VLOOKUP($M800,Export!$P:$R,2,FALSE),"-")</f>
        <v>New Vehicle</v>
      </c>
      <c r="Q800" s="79" t="str">
        <f>IFERROR(VLOOKUP($M800,Export!$P:$R,3,FALSE),"-")</f>
        <v>New VehicleOther Income per NV unit</v>
      </c>
      <c r="R800" s="80" t="e" cm="1">
        <f t="array" ref="R800">_xlfn.IFS(P800="Service", _xlfn.IFS(I800="SALES","GP",I800="SERVICE SALES","GP",I800="PARTS SALES","GP",I800="SERVICE COS","GP",I800="PARTS COS","GP",I800="SELLING EXPENSES","Selling Expenses",I800="EMPLOYMENT EXPENSES","Selling Expenses",I800="EMPLOYMENT EXPENSES","Selling Expenses",I800="DIRECT EXPENSES","Selling Expenses",I800="INDIRECT EXPENSES","Selling Expenses"),P800="Parts",_xlfn.IFS(I800="SALES","GP",I800="SERVICE SALES","GP",I800="PARTS SALES","GP",I800="SERVICE COS","GP",I800="PARTS COS","GP",I800="SELLING EXPENSES","Selling Expenses",I800="EMPLOYMENT EXPENSES","Selling Expenses",I800="EMPLOYMENT EXPENSES","Selling Expenses",I800="DIRECT EXPENSES","Selling Expenses",I800="INDIRECT EXPENSES","Selling Expenses"))</f>
        <v>#N/A</v>
      </c>
    </row>
    <row r="801" spans="1:18" x14ac:dyDescent="0.2">
      <c r="A801" s="75" t="s">
        <v>873</v>
      </c>
      <c r="B801" s="76" t="s">
        <v>874</v>
      </c>
      <c r="C801" s="76">
        <v>110</v>
      </c>
      <c r="D801" s="76" t="s">
        <v>430</v>
      </c>
      <c r="E801" s="76" t="s">
        <v>426</v>
      </c>
      <c r="F801" s="77">
        <v>270691.19</v>
      </c>
      <c r="G801" s="77">
        <v>-21.74</v>
      </c>
      <c r="H801" s="77">
        <v>270669.45</v>
      </c>
      <c r="I801" s="76" t="s">
        <v>761</v>
      </c>
      <c r="J801" s="77">
        <v>180023.43</v>
      </c>
      <c r="K801" s="78">
        <v>828478.39</v>
      </c>
      <c r="M801" s="79" t="str">
        <f t="shared" si="38"/>
        <v>110-4087R</v>
      </c>
      <c r="N801" s="79" t="str">
        <f t="shared" si="36"/>
        <v/>
      </c>
      <c r="O801" s="79" t="str">
        <f t="shared" si="37"/>
        <v>110</v>
      </c>
      <c r="P801" s="79" t="str">
        <f>IFERROR(VLOOKUP($M801,Export!$P:$R,2,FALSE),"-")</f>
        <v>Used Vehicle</v>
      </c>
      <c r="Q801" s="79" t="str">
        <f>IFERROR(VLOOKUP($M801,Export!$P:$R,3,FALSE),"-")</f>
        <v>Used VehicleEx NV demonstrators gross profit p.u.</v>
      </c>
      <c r="R801" s="80" t="e" cm="1">
        <f t="array" ref="R801">_xlfn.IFS(P801="Service", _xlfn.IFS(I801="SALES","GP",I801="SERVICE SALES","GP",I801="PARTS SALES","GP",I801="SERVICE COS","GP",I801="PARTS COS","GP",I801="SELLING EXPENSES","Selling Expenses",I801="EMPLOYMENT EXPENSES","Selling Expenses",I801="EMPLOYMENT EXPENSES","Selling Expenses",I801="DIRECT EXPENSES","Selling Expenses",I801="INDIRECT EXPENSES","Selling Expenses"),P801="Parts",_xlfn.IFS(I801="SALES","GP",I801="SERVICE SALES","GP",I801="PARTS SALES","GP",I801="SERVICE COS","GP",I801="PARTS COS","GP",I801="SELLING EXPENSES","Selling Expenses",I801="EMPLOYMENT EXPENSES","Selling Expenses",I801="EMPLOYMENT EXPENSES","Selling Expenses",I801="DIRECT EXPENSES","Selling Expenses",I801="INDIRECT EXPENSES","Selling Expenses"))</f>
        <v>#N/A</v>
      </c>
    </row>
    <row r="802" spans="1:18" x14ac:dyDescent="0.2">
      <c r="A802" s="75" t="s">
        <v>873</v>
      </c>
      <c r="B802" s="76" t="s">
        <v>874</v>
      </c>
      <c r="C802" s="76">
        <v>200</v>
      </c>
      <c r="D802" s="76" t="s">
        <v>428</v>
      </c>
      <c r="E802" s="76" t="s">
        <v>426</v>
      </c>
      <c r="F802" s="77">
        <v>28146.05</v>
      </c>
      <c r="G802" s="77">
        <v>8145.88</v>
      </c>
      <c r="H802" s="77">
        <v>36291.93</v>
      </c>
      <c r="I802" s="76" t="s">
        <v>761</v>
      </c>
      <c r="J802" s="77">
        <v>0</v>
      </c>
      <c r="K802" s="78">
        <v>4996.38</v>
      </c>
      <c r="M802" s="79" t="str">
        <f t="shared" si="38"/>
        <v>200-4087R</v>
      </c>
      <c r="N802" s="79" t="str">
        <f t="shared" si="36"/>
        <v/>
      </c>
      <c r="O802" s="79" t="str">
        <f t="shared" si="37"/>
        <v>200</v>
      </c>
      <c r="P802" s="79" t="str">
        <f>IFERROR(VLOOKUP($M802,Export!$P:$R,2,FALSE),"-")</f>
        <v>New Vehicle</v>
      </c>
      <c r="Q802" s="79" t="str">
        <f>IFERROR(VLOOKUP($M802,Export!$P:$R,3,FALSE),"-")</f>
        <v>New VehicleOther Income per NV unit</v>
      </c>
      <c r="R802" s="80" t="e" cm="1">
        <f t="array" ref="R802">_xlfn.IFS(P802="Service", _xlfn.IFS(I802="SALES","GP",I802="SERVICE SALES","GP",I802="PARTS SALES","GP",I802="SERVICE COS","GP",I802="PARTS COS","GP",I802="SELLING EXPENSES","Selling Expenses",I802="EMPLOYMENT EXPENSES","Selling Expenses",I802="EMPLOYMENT EXPENSES","Selling Expenses",I802="DIRECT EXPENSES","Selling Expenses",I802="INDIRECT EXPENSES","Selling Expenses"),P802="Parts",_xlfn.IFS(I802="SALES","GP",I802="SERVICE SALES","GP",I802="PARTS SALES","GP",I802="SERVICE COS","GP",I802="PARTS COS","GP",I802="SELLING EXPENSES","Selling Expenses",I802="EMPLOYMENT EXPENSES","Selling Expenses",I802="EMPLOYMENT EXPENSES","Selling Expenses",I802="DIRECT EXPENSES","Selling Expenses",I802="INDIRECT EXPENSES","Selling Expenses"))</f>
        <v>#N/A</v>
      </c>
    </row>
    <row r="803" spans="1:18" x14ac:dyDescent="0.2">
      <c r="A803" s="75" t="s">
        <v>873</v>
      </c>
      <c r="B803" s="76" t="s">
        <v>874</v>
      </c>
      <c r="C803" s="76">
        <v>210</v>
      </c>
      <c r="D803" s="76" t="s">
        <v>436</v>
      </c>
      <c r="E803" s="76" t="s">
        <v>426</v>
      </c>
      <c r="F803" s="77">
        <v>256185.47</v>
      </c>
      <c r="G803" s="77">
        <v>0</v>
      </c>
      <c r="H803" s="77">
        <v>256185.47</v>
      </c>
      <c r="I803" s="76" t="s">
        <v>761</v>
      </c>
      <c r="J803" s="77">
        <v>60828.56</v>
      </c>
      <c r="K803" s="78">
        <v>292718.71000000002</v>
      </c>
      <c r="M803" s="79" t="str">
        <f t="shared" si="38"/>
        <v>210-4087R</v>
      </c>
      <c r="N803" s="79" t="str">
        <f t="shared" si="36"/>
        <v/>
      </c>
      <c r="O803" s="79" t="str">
        <f t="shared" si="37"/>
        <v>210</v>
      </c>
      <c r="P803" s="79" t="str">
        <f>IFERROR(VLOOKUP($M803,Export!$P:$R,2,FALSE),"-")</f>
        <v>Used Vehicle</v>
      </c>
      <c r="Q803" s="79" t="str">
        <f>IFERROR(VLOOKUP($M803,Export!$P:$R,3,FALSE),"-")</f>
        <v>Used VehicleEx NV demonstrators gross profit p.u.</v>
      </c>
      <c r="R803" s="80" t="e" cm="1">
        <f t="array" ref="R803">_xlfn.IFS(P803="Service", _xlfn.IFS(I803="SALES","GP",I803="SERVICE SALES","GP",I803="PARTS SALES","GP",I803="SERVICE COS","GP",I803="PARTS COS","GP",I803="SELLING EXPENSES","Selling Expenses",I803="EMPLOYMENT EXPENSES","Selling Expenses",I803="EMPLOYMENT EXPENSES","Selling Expenses",I803="DIRECT EXPENSES","Selling Expenses",I803="INDIRECT EXPENSES","Selling Expenses"),P803="Parts",_xlfn.IFS(I803="SALES","GP",I803="SERVICE SALES","GP",I803="PARTS SALES","GP",I803="SERVICE COS","GP",I803="PARTS COS","GP",I803="SELLING EXPENSES","Selling Expenses",I803="EMPLOYMENT EXPENSES","Selling Expenses",I803="EMPLOYMENT EXPENSES","Selling Expenses",I803="DIRECT EXPENSES","Selling Expenses",I803="INDIRECT EXPENSES","Selling Expenses"))</f>
        <v>#N/A</v>
      </c>
    </row>
    <row r="804" spans="1:18" x14ac:dyDescent="0.2">
      <c r="A804" s="75" t="s">
        <v>875</v>
      </c>
      <c r="B804" s="76" t="s">
        <v>876</v>
      </c>
      <c r="C804" s="76">
        <v>110</v>
      </c>
      <c r="D804" s="76" t="s">
        <v>430</v>
      </c>
      <c r="E804" s="76" t="s">
        <v>426</v>
      </c>
      <c r="F804" s="77">
        <v>-2842.88</v>
      </c>
      <c r="G804" s="77">
        <v>0</v>
      </c>
      <c r="H804" s="77">
        <v>-2842.88</v>
      </c>
      <c r="I804" s="76" t="s">
        <v>761</v>
      </c>
      <c r="J804" s="77">
        <v>0</v>
      </c>
      <c r="K804" s="78">
        <v>-1140.03</v>
      </c>
      <c r="M804" s="79" t="str">
        <f t="shared" si="38"/>
        <v>110-4087RR</v>
      </c>
      <c r="N804" s="79" t="str">
        <f t="shared" si="36"/>
        <v/>
      </c>
      <c r="O804" s="79" t="str">
        <f t="shared" si="37"/>
        <v>110</v>
      </c>
      <c r="P804" s="79" t="str">
        <f>IFERROR(VLOOKUP($M804,Export!$P:$R,2,FALSE),"-")</f>
        <v>Used Vehicle</v>
      </c>
      <c r="Q804" s="79" t="str">
        <f>IFERROR(VLOOKUP($M804,Export!$P:$R,3,FALSE),"-")</f>
        <v>Used VehicleEx NV demonstrators gross profit p.u.</v>
      </c>
      <c r="R804" s="80" t="e" cm="1">
        <f t="array" ref="R804">_xlfn.IFS(P804="Service", _xlfn.IFS(I804="SALES","GP",I804="SERVICE SALES","GP",I804="PARTS SALES","GP",I804="SERVICE COS","GP",I804="PARTS COS","GP",I804="SELLING EXPENSES","Selling Expenses",I804="EMPLOYMENT EXPENSES","Selling Expenses",I804="EMPLOYMENT EXPENSES","Selling Expenses",I804="DIRECT EXPENSES","Selling Expenses",I804="INDIRECT EXPENSES","Selling Expenses"),P804="Parts",_xlfn.IFS(I804="SALES","GP",I804="SERVICE SALES","GP",I804="PARTS SALES","GP",I804="SERVICE COS","GP",I804="PARTS COS","GP",I804="SELLING EXPENSES","Selling Expenses",I804="EMPLOYMENT EXPENSES","Selling Expenses",I804="EMPLOYMENT EXPENSES","Selling Expenses",I804="DIRECT EXPENSES","Selling Expenses",I804="INDIRECT EXPENSES","Selling Expenses"))</f>
        <v>#N/A</v>
      </c>
    </row>
    <row r="805" spans="1:18" x14ac:dyDescent="0.2">
      <c r="A805" s="75" t="s">
        <v>875</v>
      </c>
      <c r="B805" s="76" t="s">
        <v>876</v>
      </c>
      <c r="C805" s="76">
        <v>210</v>
      </c>
      <c r="D805" s="76" t="s">
        <v>436</v>
      </c>
      <c r="E805" s="76" t="s">
        <v>426</v>
      </c>
      <c r="F805" s="77">
        <v>-1672</v>
      </c>
      <c r="G805" s="77">
        <v>0</v>
      </c>
      <c r="H805" s="77">
        <v>-1672</v>
      </c>
      <c r="I805" s="76" t="s">
        <v>761</v>
      </c>
      <c r="J805" s="77">
        <v>0</v>
      </c>
      <c r="K805" s="78">
        <v>-760.02</v>
      </c>
      <c r="M805" s="79" t="str">
        <f t="shared" si="38"/>
        <v>210-4087RR</v>
      </c>
      <c r="N805" s="79" t="str">
        <f t="shared" si="36"/>
        <v/>
      </c>
      <c r="O805" s="79" t="str">
        <f t="shared" si="37"/>
        <v>210</v>
      </c>
      <c r="P805" s="79" t="str">
        <f>IFERROR(VLOOKUP($M805,Export!$P:$R,2,FALSE),"-")</f>
        <v>Used Vehicle</v>
      </c>
      <c r="Q805" s="79" t="str">
        <f>IFERROR(VLOOKUP($M805,Export!$P:$R,3,FALSE),"-")</f>
        <v>Used VehicleEx NV demonstrators gross profit p.u.</v>
      </c>
      <c r="R805" s="80" t="e" cm="1">
        <f t="array" ref="R805">_xlfn.IFS(P805="Service", _xlfn.IFS(I805="SALES","GP",I805="SERVICE SALES","GP",I805="PARTS SALES","GP",I805="SERVICE COS","GP",I805="PARTS COS","GP",I805="SELLING EXPENSES","Selling Expenses",I805="EMPLOYMENT EXPENSES","Selling Expenses",I805="EMPLOYMENT EXPENSES","Selling Expenses",I805="DIRECT EXPENSES","Selling Expenses",I805="INDIRECT EXPENSES","Selling Expenses"),P805="Parts",_xlfn.IFS(I805="SALES","GP",I805="SERVICE SALES","GP",I805="PARTS SALES","GP",I805="SERVICE COS","GP",I805="PARTS COS","GP",I805="SELLING EXPENSES","Selling Expenses",I805="EMPLOYMENT EXPENSES","Selling Expenses",I805="EMPLOYMENT EXPENSES","Selling Expenses",I805="DIRECT EXPENSES","Selling Expenses",I805="INDIRECT EXPENSES","Selling Expenses"))</f>
        <v>#N/A</v>
      </c>
    </row>
    <row r="806" spans="1:18" x14ac:dyDescent="0.2">
      <c r="A806" s="75" t="s">
        <v>877</v>
      </c>
      <c r="B806" s="76" t="s">
        <v>878</v>
      </c>
      <c r="C806" s="76">
        <v>100</v>
      </c>
      <c r="D806" s="76" t="s">
        <v>227</v>
      </c>
      <c r="E806" s="76" t="s">
        <v>426</v>
      </c>
      <c r="F806" s="77">
        <v>5334.73</v>
      </c>
      <c r="G806" s="77">
        <v>0</v>
      </c>
      <c r="H806" s="77">
        <v>5334.73</v>
      </c>
      <c r="I806" s="76" t="s">
        <v>761</v>
      </c>
      <c r="J806" s="77">
        <v>0</v>
      </c>
      <c r="K806" s="78">
        <v>7492.36</v>
      </c>
      <c r="M806" s="79" t="str">
        <f t="shared" si="38"/>
        <v>100-4088R</v>
      </c>
      <c r="N806" s="79" t="str">
        <f t="shared" si="36"/>
        <v/>
      </c>
      <c r="O806" s="79" t="str">
        <f t="shared" si="37"/>
        <v>100</v>
      </c>
      <c r="P806" s="79" t="str">
        <f>IFERROR(VLOOKUP($M806,Export!$P:$R,2,FALSE),"-")</f>
        <v>New Vehicle</v>
      </c>
      <c r="Q806" s="79" t="str">
        <f>IFERROR(VLOOKUP($M806,Export!$P:$R,3,FALSE),"-")</f>
        <v>New VehicleOther Income per NV unit</v>
      </c>
      <c r="R806" s="80" t="e" cm="1">
        <f t="array" ref="R806">_xlfn.IFS(P806="Service", _xlfn.IFS(I806="SALES","GP",I806="SERVICE SALES","GP",I806="PARTS SALES","GP",I806="SERVICE COS","GP",I806="PARTS COS","GP",I806="SELLING EXPENSES","Selling Expenses",I806="EMPLOYMENT EXPENSES","Selling Expenses",I806="EMPLOYMENT EXPENSES","Selling Expenses",I806="DIRECT EXPENSES","Selling Expenses",I806="INDIRECT EXPENSES","Selling Expenses"),P806="Parts",_xlfn.IFS(I806="SALES","GP",I806="SERVICE SALES","GP",I806="PARTS SALES","GP",I806="SERVICE COS","GP",I806="PARTS COS","GP",I806="SELLING EXPENSES","Selling Expenses",I806="EMPLOYMENT EXPENSES","Selling Expenses",I806="EMPLOYMENT EXPENSES","Selling Expenses",I806="DIRECT EXPENSES","Selling Expenses",I806="INDIRECT EXPENSES","Selling Expenses"))</f>
        <v>#N/A</v>
      </c>
    </row>
    <row r="807" spans="1:18" x14ac:dyDescent="0.2">
      <c r="A807" s="75" t="s">
        <v>877</v>
      </c>
      <c r="B807" s="76" t="s">
        <v>878</v>
      </c>
      <c r="C807" s="76">
        <v>110</v>
      </c>
      <c r="D807" s="76" t="s">
        <v>430</v>
      </c>
      <c r="E807" s="76" t="s">
        <v>426</v>
      </c>
      <c r="F807" s="77">
        <v>115801.36</v>
      </c>
      <c r="G807" s="77">
        <v>0</v>
      </c>
      <c r="H807" s="77">
        <v>115801.36</v>
      </c>
      <c r="I807" s="76" t="s">
        <v>761</v>
      </c>
      <c r="J807" s="77">
        <v>0</v>
      </c>
      <c r="K807" s="78">
        <v>53826.93</v>
      </c>
      <c r="M807" s="79" t="str">
        <f t="shared" si="38"/>
        <v>110-4088R</v>
      </c>
      <c r="N807" s="79" t="str">
        <f t="shared" si="36"/>
        <v/>
      </c>
      <c r="O807" s="79" t="str">
        <f t="shared" si="37"/>
        <v>110</v>
      </c>
      <c r="P807" s="79" t="str">
        <f>IFERROR(VLOOKUP($M807,Export!$P:$R,2,FALSE),"-")</f>
        <v>Used Vehicle</v>
      </c>
      <c r="Q807" s="79" t="str">
        <f>IFERROR(VLOOKUP($M807,Export!$P:$R,3,FALSE),"-")</f>
        <v>Used VehicleEx NV demonstrators gross profit p.u.</v>
      </c>
      <c r="R807" s="80" t="e" cm="1">
        <f t="array" ref="R807">_xlfn.IFS(P807="Service", _xlfn.IFS(I807="SALES","GP",I807="SERVICE SALES","GP",I807="PARTS SALES","GP",I807="SERVICE COS","GP",I807="PARTS COS","GP",I807="SELLING EXPENSES","Selling Expenses",I807="EMPLOYMENT EXPENSES","Selling Expenses",I807="EMPLOYMENT EXPENSES","Selling Expenses",I807="DIRECT EXPENSES","Selling Expenses",I807="INDIRECT EXPENSES","Selling Expenses"),P807="Parts",_xlfn.IFS(I807="SALES","GP",I807="SERVICE SALES","GP",I807="PARTS SALES","GP",I807="SERVICE COS","GP",I807="PARTS COS","GP",I807="SELLING EXPENSES","Selling Expenses",I807="EMPLOYMENT EXPENSES","Selling Expenses",I807="EMPLOYMENT EXPENSES","Selling Expenses",I807="DIRECT EXPENSES","Selling Expenses",I807="INDIRECT EXPENSES","Selling Expenses"))</f>
        <v>#N/A</v>
      </c>
    </row>
    <row r="808" spans="1:18" x14ac:dyDescent="0.2">
      <c r="A808" s="75" t="s">
        <v>877</v>
      </c>
      <c r="B808" s="76" t="s">
        <v>878</v>
      </c>
      <c r="C808" s="76">
        <v>200</v>
      </c>
      <c r="D808" s="76" t="s">
        <v>428</v>
      </c>
      <c r="E808" s="76" t="s">
        <v>426</v>
      </c>
      <c r="F808" s="77">
        <v>7222.64</v>
      </c>
      <c r="G808" s="77">
        <v>0</v>
      </c>
      <c r="H808" s="77">
        <v>7222.64</v>
      </c>
      <c r="I808" s="76" t="s">
        <v>761</v>
      </c>
      <c r="J808" s="77">
        <v>0</v>
      </c>
      <c r="K808" s="78">
        <v>5388.12</v>
      </c>
      <c r="M808" s="79" t="str">
        <f t="shared" si="38"/>
        <v>200-4088R</v>
      </c>
      <c r="N808" s="79" t="str">
        <f t="shared" si="36"/>
        <v/>
      </c>
      <c r="O808" s="79" t="str">
        <f t="shared" si="37"/>
        <v>200</v>
      </c>
      <c r="P808" s="79" t="str">
        <f>IFERROR(VLOOKUP($M808,Export!$P:$R,2,FALSE),"-")</f>
        <v>New Vehicle</v>
      </c>
      <c r="Q808" s="79" t="str">
        <f>IFERROR(VLOOKUP($M808,Export!$P:$R,3,FALSE),"-")</f>
        <v>New VehicleOther Income per NV unit</v>
      </c>
      <c r="R808" s="80" t="e" cm="1">
        <f t="array" ref="R808">_xlfn.IFS(P808="Service", _xlfn.IFS(I808="SALES","GP",I808="SERVICE SALES","GP",I808="PARTS SALES","GP",I808="SERVICE COS","GP",I808="PARTS COS","GP",I808="SELLING EXPENSES","Selling Expenses",I808="EMPLOYMENT EXPENSES","Selling Expenses",I808="EMPLOYMENT EXPENSES","Selling Expenses",I808="DIRECT EXPENSES","Selling Expenses",I808="INDIRECT EXPENSES","Selling Expenses"),P808="Parts",_xlfn.IFS(I808="SALES","GP",I808="SERVICE SALES","GP",I808="PARTS SALES","GP",I808="SERVICE COS","GP",I808="PARTS COS","GP",I808="SELLING EXPENSES","Selling Expenses",I808="EMPLOYMENT EXPENSES","Selling Expenses",I808="EMPLOYMENT EXPENSES","Selling Expenses",I808="DIRECT EXPENSES","Selling Expenses",I808="INDIRECT EXPENSES","Selling Expenses"))</f>
        <v>#N/A</v>
      </c>
    </row>
    <row r="809" spans="1:18" x14ac:dyDescent="0.2">
      <c r="A809" s="75" t="s">
        <v>877</v>
      </c>
      <c r="B809" s="76" t="s">
        <v>878</v>
      </c>
      <c r="C809" s="76">
        <v>210</v>
      </c>
      <c r="D809" s="76" t="s">
        <v>436</v>
      </c>
      <c r="E809" s="76" t="s">
        <v>426</v>
      </c>
      <c r="F809" s="77">
        <v>108669.03</v>
      </c>
      <c r="G809" s="77">
        <v>0</v>
      </c>
      <c r="H809" s="77">
        <v>108669.03</v>
      </c>
      <c r="I809" s="76" t="s">
        <v>761</v>
      </c>
      <c r="J809" s="77">
        <v>0</v>
      </c>
      <c r="K809" s="78">
        <v>46999.18</v>
      </c>
      <c r="M809" s="79" t="str">
        <f t="shared" si="38"/>
        <v>210-4088R</v>
      </c>
      <c r="N809" s="79" t="str">
        <f t="shared" si="36"/>
        <v/>
      </c>
      <c r="O809" s="79" t="str">
        <f t="shared" si="37"/>
        <v>210</v>
      </c>
      <c r="P809" s="79" t="str">
        <f>IFERROR(VLOOKUP($M809,Export!$P:$R,2,FALSE),"-")</f>
        <v>Used Vehicle</v>
      </c>
      <c r="Q809" s="79" t="str">
        <f>IFERROR(VLOOKUP($M809,Export!$P:$R,3,FALSE),"-")</f>
        <v>Used VehicleEx NV demonstrators gross profit p.u.</v>
      </c>
      <c r="R809" s="80" t="e" cm="1">
        <f t="array" ref="R809">_xlfn.IFS(P809="Service", _xlfn.IFS(I809="SALES","GP",I809="SERVICE SALES","GP",I809="PARTS SALES","GP",I809="SERVICE COS","GP",I809="PARTS COS","GP",I809="SELLING EXPENSES","Selling Expenses",I809="EMPLOYMENT EXPENSES","Selling Expenses",I809="EMPLOYMENT EXPENSES","Selling Expenses",I809="DIRECT EXPENSES","Selling Expenses",I809="INDIRECT EXPENSES","Selling Expenses"),P809="Parts",_xlfn.IFS(I809="SALES","GP",I809="SERVICE SALES","GP",I809="PARTS SALES","GP",I809="SERVICE COS","GP",I809="PARTS COS","GP",I809="SELLING EXPENSES","Selling Expenses",I809="EMPLOYMENT EXPENSES","Selling Expenses",I809="EMPLOYMENT EXPENSES","Selling Expenses",I809="DIRECT EXPENSES","Selling Expenses",I809="INDIRECT EXPENSES","Selling Expenses"))</f>
        <v>#N/A</v>
      </c>
    </row>
    <row r="810" spans="1:18" x14ac:dyDescent="0.2">
      <c r="A810" s="75" t="s">
        <v>879</v>
      </c>
      <c r="B810" s="76" t="s">
        <v>880</v>
      </c>
      <c r="C810" s="76">
        <v>110</v>
      </c>
      <c r="D810" s="76" t="s">
        <v>430</v>
      </c>
      <c r="E810" s="76" t="s">
        <v>426</v>
      </c>
      <c r="F810" s="77">
        <v>-1175.02</v>
      </c>
      <c r="G810" s="77">
        <v>0</v>
      </c>
      <c r="H810" s="77">
        <v>-1175.02</v>
      </c>
      <c r="I810" s="76" t="s">
        <v>761</v>
      </c>
      <c r="J810" s="77">
        <v>0</v>
      </c>
      <c r="K810" s="78">
        <v>-497.47</v>
      </c>
      <c r="M810" s="79" t="str">
        <f t="shared" si="38"/>
        <v>110-4088RR</v>
      </c>
      <c r="N810" s="79" t="str">
        <f t="shared" si="36"/>
        <v/>
      </c>
      <c r="O810" s="79" t="str">
        <f t="shared" si="37"/>
        <v>110</v>
      </c>
      <c r="P810" s="79" t="str">
        <f>IFERROR(VLOOKUP($M810,Export!$P:$R,2,FALSE),"-")</f>
        <v>Used Vehicle</v>
      </c>
      <c r="Q810" s="79" t="str">
        <f>IFERROR(VLOOKUP($M810,Export!$P:$R,3,FALSE),"-")</f>
        <v>Used VehicleEx NV demonstrators gross profit p.u.</v>
      </c>
      <c r="R810" s="80" t="e" cm="1">
        <f t="array" ref="R810">_xlfn.IFS(P810="Service", _xlfn.IFS(I810="SALES","GP",I810="SERVICE SALES","GP",I810="PARTS SALES","GP",I810="SERVICE COS","GP",I810="PARTS COS","GP",I810="SELLING EXPENSES","Selling Expenses",I810="EMPLOYMENT EXPENSES","Selling Expenses",I810="EMPLOYMENT EXPENSES","Selling Expenses",I810="DIRECT EXPENSES","Selling Expenses",I810="INDIRECT EXPENSES","Selling Expenses"),P810="Parts",_xlfn.IFS(I810="SALES","GP",I810="SERVICE SALES","GP",I810="PARTS SALES","GP",I810="SERVICE COS","GP",I810="PARTS COS","GP",I810="SELLING EXPENSES","Selling Expenses",I810="EMPLOYMENT EXPENSES","Selling Expenses",I810="EMPLOYMENT EXPENSES","Selling Expenses",I810="DIRECT EXPENSES","Selling Expenses",I810="INDIRECT EXPENSES","Selling Expenses"))</f>
        <v>#N/A</v>
      </c>
    </row>
    <row r="811" spans="1:18" x14ac:dyDescent="0.2">
      <c r="A811" s="75" t="s">
        <v>879</v>
      </c>
      <c r="B811" s="76" t="s">
        <v>880</v>
      </c>
      <c r="C811" s="76">
        <v>210</v>
      </c>
      <c r="D811" s="76" t="s">
        <v>436</v>
      </c>
      <c r="E811" s="76" t="s">
        <v>426</v>
      </c>
      <c r="F811" s="77">
        <v>-1113.44</v>
      </c>
      <c r="G811" s="77">
        <v>0</v>
      </c>
      <c r="H811" s="77">
        <v>-1113.44</v>
      </c>
      <c r="I811" s="76" t="s">
        <v>761</v>
      </c>
      <c r="J811" s="77">
        <v>0</v>
      </c>
      <c r="K811" s="78">
        <v>-491.39</v>
      </c>
      <c r="M811" s="79" t="str">
        <f t="shared" si="38"/>
        <v>210-4088RR</v>
      </c>
      <c r="N811" s="79" t="str">
        <f t="shared" si="36"/>
        <v/>
      </c>
      <c r="O811" s="79" t="str">
        <f t="shared" si="37"/>
        <v>210</v>
      </c>
      <c r="P811" s="79" t="str">
        <f>IFERROR(VLOOKUP($M811,Export!$P:$R,2,FALSE),"-")</f>
        <v>Used Vehicle</v>
      </c>
      <c r="Q811" s="79" t="str">
        <f>IFERROR(VLOOKUP($M811,Export!$P:$R,3,FALSE),"-")</f>
        <v>Used VehicleEx NV demonstrators gross profit p.u.</v>
      </c>
      <c r="R811" s="80" t="e" cm="1">
        <f t="array" ref="R811">_xlfn.IFS(P811="Service", _xlfn.IFS(I811="SALES","GP",I811="SERVICE SALES","GP",I811="PARTS SALES","GP",I811="SERVICE COS","GP",I811="PARTS COS","GP",I811="SELLING EXPENSES","Selling Expenses",I811="EMPLOYMENT EXPENSES","Selling Expenses",I811="EMPLOYMENT EXPENSES","Selling Expenses",I811="DIRECT EXPENSES","Selling Expenses",I811="INDIRECT EXPENSES","Selling Expenses"),P811="Parts",_xlfn.IFS(I811="SALES","GP",I811="SERVICE SALES","GP",I811="PARTS SALES","GP",I811="SERVICE COS","GP",I811="PARTS COS","GP",I811="SELLING EXPENSES","Selling Expenses",I811="EMPLOYMENT EXPENSES","Selling Expenses",I811="EMPLOYMENT EXPENSES","Selling Expenses",I811="DIRECT EXPENSES","Selling Expenses",I811="INDIRECT EXPENSES","Selling Expenses"))</f>
        <v>#N/A</v>
      </c>
    </row>
    <row r="812" spans="1:18" x14ac:dyDescent="0.2">
      <c r="A812" s="75" t="s">
        <v>881</v>
      </c>
      <c r="B812" s="76" t="s">
        <v>882</v>
      </c>
      <c r="C812" s="76">
        <v>100</v>
      </c>
      <c r="D812" s="76" t="s">
        <v>227</v>
      </c>
      <c r="E812" s="76" t="s">
        <v>426</v>
      </c>
      <c r="F812" s="77">
        <v>127.5</v>
      </c>
      <c r="G812" s="77">
        <v>0</v>
      </c>
      <c r="H812" s="77">
        <v>127.5</v>
      </c>
      <c r="I812" s="76" t="s">
        <v>761</v>
      </c>
      <c r="J812" s="77">
        <v>0</v>
      </c>
      <c r="K812" s="78">
        <v>0</v>
      </c>
      <c r="M812" s="79" t="str">
        <f t="shared" si="38"/>
        <v>100-4125R</v>
      </c>
      <c r="N812" s="79" t="str">
        <f t="shared" si="36"/>
        <v/>
      </c>
      <c r="O812" s="79" t="str">
        <f t="shared" si="37"/>
        <v>100</v>
      </c>
      <c r="P812" s="79" t="str">
        <f>IFERROR(VLOOKUP($M812,Export!$P:$R,2,FALSE),"-")</f>
        <v>New Vehicle</v>
      </c>
      <c r="Q812" s="79" t="str">
        <f>IFERROR(VLOOKUP($M812,Export!$P:$R,3,FALSE),"-")</f>
        <v>New VehicleOther Income per NV unit</v>
      </c>
      <c r="R812" s="80" t="e" cm="1">
        <f t="array" ref="R812">_xlfn.IFS(P812="Service", _xlfn.IFS(I812="SALES","GP",I812="SERVICE SALES","GP",I812="PARTS SALES","GP",I812="SERVICE COS","GP",I812="PARTS COS","GP",I812="SELLING EXPENSES","Selling Expenses",I812="EMPLOYMENT EXPENSES","Selling Expenses",I812="EMPLOYMENT EXPENSES","Selling Expenses",I812="DIRECT EXPENSES","Selling Expenses",I812="INDIRECT EXPENSES","Selling Expenses"),P812="Parts",_xlfn.IFS(I812="SALES","GP",I812="SERVICE SALES","GP",I812="PARTS SALES","GP",I812="SERVICE COS","GP",I812="PARTS COS","GP",I812="SELLING EXPENSES","Selling Expenses",I812="EMPLOYMENT EXPENSES","Selling Expenses",I812="EMPLOYMENT EXPENSES","Selling Expenses",I812="DIRECT EXPENSES","Selling Expenses",I812="INDIRECT EXPENSES","Selling Expenses"))</f>
        <v>#N/A</v>
      </c>
    </row>
    <row r="813" spans="1:18" x14ac:dyDescent="0.2">
      <c r="A813" s="75">
        <v>4143</v>
      </c>
      <c r="B813" s="76" t="s">
        <v>883</v>
      </c>
      <c r="C813" s="76">
        <v>120</v>
      </c>
      <c r="D813" s="76" t="s">
        <v>431</v>
      </c>
      <c r="E813" s="76" t="s">
        <v>426</v>
      </c>
      <c r="F813" s="77">
        <v>-8695.66</v>
      </c>
      <c r="G813" s="77">
        <v>-869.57</v>
      </c>
      <c r="H813" s="77">
        <v>-9565.23</v>
      </c>
      <c r="I813" s="76" t="s">
        <v>761</v>
      </c>
      <c r="J813" s="77">
        <v>0</v>
      </c>
      <c r="K813" s="78">
        <v>0</v>
      </c>
      <c r="M813" s="79" t="str">
        <f t="shared" si="38"/>
        <v>120-4143</v>
      </c>
      <c r="N813" s="79" t="str">
        <f t="shared" si="36"/>
        <v/>
      </c>
      <c r="O813" s="79" t="str">
        <f t="shared" si="37"/>
        <v>120</v>
      </c>
      <c r="P813" s="79" t="str">
        <f>IFERROR(VLOOKUP($M813,Export!$P:$R,2,FALSE),"-")</f>
        <v>Used Vehicle</v>
      </c>
      <c r="Q813" s="79" t="str">
        <f>IFERROR(VLOOKUP($M813,Export!$P:$R,3,FALSE),"-")</f>
        <v>Used VehicleOther UV retail gross profit p.u.</v>
      </c>
      <c r="R813" s="80" t="e" cm="1">
        <f t="array" ref="R813">_xlfn.IFS(P813="Service", _xlfn.IFS(I813="SALES","GP",I813="SERVICE SALES","GP",I813="PARTS SALES","GP",I813="SERVICE COS","GP",I813="PARTS COS","GP",I813="SELLING EXPENSES","Selling Expenses",I813="EMPLOYMENT EXPENSES","Selling Expenses",I813="EMPLOYMENT EXPENSES","Selling Expenses",I813="DIRECT EXPENSES","Selling Expenses",I813="INDIRECT EXPENSES","Selling Expenses"),P813="Parts",_xlfn.IFS(I813="SALES","GP",I813="SERVICE SALES","GP",I813="PARTS SALES","GP",I813="SERVICE COS","GP",I813="PARTS COS","GP",I813="SELLING EXPENSES","Selling Expenses",I813="EMPLOYMENT EXPENSES","Selling Expenses",I813="EMPLOYMENT EXPENSES","Selling Expenses",I813="DIRECT EXPENSES","Selling Expenses",I813="INDIRECT EXPENSES","Selling Expenses"))</f>
        <v>#N/A</v>
      </c>
    </row>
    <row r="814" spans="1:18" x14ac:dyDescent="0.2">
      <c r="A814" s="75">
        <v>4143</v>
      </c>
      <c r="B814" s="76" t="s">
        <v>883</v>
      </c>
      <c r="C814" s="76">
        <v>220</v>
      </c>
      <c r="D814" s="76" t="s">
        <v>437</v>
      </c>
      <c r="E814" s="76" t="s">
        <v>426</v>
      </c>
      <c r="F814" s="77">
        <v>-1521.75</v>
      </c>
      <c r="G814" s="77">
        <v>0</v>
      </c>
      <c r="H814" s="77">
        <v>-1521.75</v>
      </c>
      <c r="I814" s="76" t="s">
        <v>761</v>
      </c>
      <c r="J814" s="77">
        <v>0</v>
      </c>
      <c r="K814" s="78">
        <v>-43.48</v>
      </c>
      <c r="M814" s="79" t="str">
        <f t="shared" si="38"/>
        <v>220-4143</v>
      </c>
      <c r="N814" s="79" t="str">
        <f t="shared" si="36"/>
        <v/>
      </c>
      <c r="O814" s="79" t="str">
        <f t="shared" si="37"/>
        <v>220</v>
      </c>
      <c r="P814" s="79" t="str">
        <f>IFERROR(VLOOKUP($M814,Export!$P:$R,2,FALSE),"-")</f>
        <v>Used Vehicle</v>
      </c>
      <c r="Q814" s="79" t="str">
        <f>IFERROR(VLOOKUP($M814,Export!$P:$R,3,FALSE),"-")</f>
        <v>Used VehicleOther UV retail gross profit p.u.</v>
      </c>
      <c r="R814" s="80" t="e" cm="1">
        <f t="array" ref="R814">_xlfn.IFS(P814="Service", _xlfn.IFS(I814="SALES","GP",I814="SERVICE SALES","GP",I814="PARTS SALES","GP",I814="SERVICE COS","GP",I814="PARTS COS","GP",I814="SELLING EXPENSES","Selling Expenses",I814="EMPLOYMENT EXPENSES","Selling Expenses",I814="EMPLOYMENT EXPENSES","Selling Expenses",I814="DIRECT EXPENSES","Selling Expenses",I814="INDIRECT EXPENSES","Selling Expenses"),P814="Parts",_xlfn.IFS(I814="SALES","GP",I814="SERVICE SALES","GP",I814="PARTS SALES","GP",I814="SERVICE COS","GP",I814="PARTS COS","GP",I814="SELLING EXPENSES","Selling Expenses",I814="EMPLOYMENT EXPENSES","Selling Expenses",I814="EMPLOYMENT EXPENSES","Selling Expenses",I814="DIRECT EXPENSES","Selling Expenses",I814="INDIRECT EXPENSES","Selling Expenses"))</f>
        <v>#N/A</v>
      </c>
    </row>
    <row r="815" spans="1:18" x14ac:dyDescent="0.2">
      <c r="A815" s="75" t="s">
        <v>884</v>
      </c>
      <c r="B815" s="76" t="s">
        <v>885</v>
      </c>
      <c r="C815" s="76">
        <v>112</v>
      </c>
      <c r="D815" s="76" t="s">
        <v>349</v>
      </c>
      <c r="E815" s="76" t="s">
        <v>426</v>
      </c>
      <c r="F815" s="77">
        <v>121903.2</v>
      </c>
      <c r="G815" s="77">
        <v>0</v>
      </c>
      <c r="H815" s="77">
        <v>121903.2</v>
      </c>
      <c r="I815" s="76" t="s">
        <v>761</v>
      </c>
      <c r="J815" s="77">
        <v>0</v>
      </c>
      <c r="K815" s="78">
        <v>0</v>
      </c>
      <c r="M815" s="79" t="str">
        <f t="shared" si="38"/>
        <v>112-4144R</v>
      </c>
      <c r="N815" s="79" t="str">
        <f t="shared" si="36"/>
        <v/>
      </c>
      <c r="O815" s="79" t="str">
        <f t="shared" si="37"/>
        <v>112</v>
      </c>
      <c r="P815" s="79" t="str">
        <f>IFERROR(VLOOKUP($M815,Export!$P:$R,2,FALSE),"-")</f>
        <v>LEX New Vehicle</v>
      </c>
      <c r="Q815" s="79" t="str">
        <f>IFERROR(VLOOKUP($M815,Export!$P:$R,3,FALSE),"-")</f>
        <v>LEX New VehicleRetail Gross p.u.</v>
      </c>
      <c r="R815" s="80" t="e" cm="1">
        <f t="array" ref="R815">_xlfn.IFS(P815="Service", _xlfn.IFS(I815="SALES","GP",I815="SERVICE SALES","GP",I815="PARTS SALES","GP",I815="SERVICE COS","GP",I815="PARTS COS","GP",I815="SELLING EXPENSES","Selling Expenses",I815="EMPLOYMENT EXPENSES","Selling Expenses",I815="EMPLOYMENT EXPENSES","Selling Expenses",I815="DIRECT EXPENSES","Selling Expenses",I815="INDIRECT EXPENSES","Selling Expenses"),P815="Parts",_xlfn.IFS(I815="SALES","GP",I815="SERVICE SALES","GP",I815="PARTS SALES","GP",I815="SERVICE COS","GP",I815="PARTS COS","GP",I815="SELLING EXPENSES","Selling Expenses",I815="EMPLOYMENT EXPENSES","Selling Expenses",I815="EMPLOYMENT EXPENSES","Selling Expenses",I815="DIRECT EXPENSES","Selling Expenses",I815="INDIRECT EXPENSES","Selling Expenses"))</f>
        <v>#N/A</v>
      </c>
    </row>
    <row r="816" spans="1:18" x14ac:dyDescent="0.2">
      <c r="A816" s="75" t="s">
        <v>886</v>
      </c>
      <c r="B816" s="76" t="s">
        <v>887</v>
      </c>
      <c r="C816" s="76">
        <v>112</v>
      </c>
      <c r="D816" s="76" t="s">
        <v>349</v>
      </c>
      <c r="E816" s="76" t="s">
        <v>426</v>
      </c>
      <c r="F816" s="77">
        <v>-12747.83</v>
      </c>
      <c r="G816" s="77">
        <v>0</v>
      </c>
      <c r="H816" s="77">
        <v>-12747.83</v>
      </c>
      <c r="I816" s="76" t="s">
        <v>761</v>
      </c>
      <c r="J816" s="77">
        <v>0</v>
      </c>
      <c r="K816" s="78">
        <v>0</v>
      </c>
      <c r="M816" s="79" t="str">
        <f t="shared" si="38"/>
        <v>112-4144RR</v>
      </c>
      <c r="N816" s="79" t="str">
        <f t="shared" si="36"/>
        <v/>
      </c>
      <c r="O816" s="79" t="str">
        <f t="shared" si="37"/>
        <v>112</v>
      </c>
      <c r="P816" s="79" t="str">
        <f>IFERROR(VLOOKUP($M816,Export!$P:$R,2,FALSE),"-")</f>
        <v>LEX New Vehicle</v>
      </c>
      <c r="Q816" s="79" t="str">
        <f>IFERROR(VLOOKUP($M816,Export!$P:$R,3,FALSE),"-")</f>
        <v>LEX New VehicleRetail Gross p.u.</v>
      </c>
      <c r="R816" s="80" t="e" cm="1">
        <f t="array" ref="R816">_xlfn.IFS(P816="Service", _xlfn.IFS(I816="SALES","GP",I816="SERVICE SALES","GP",I816="PARTS SALES","GP",I816="SERVICE COS","GP",I816="PARTS COS","GP",I816="SELLING EXPENSES","Selling Expenses",I816="EMPLOYMENT EXPENSES","Selling Expenses",I816="EMPLOYMENT EXPENSES","Selling Expenses",I816="DIRECT EXPENSES","Selling Expenses",I816="INDIRECT EXPENSES","Selling Expenses"),P816="Parts",_xlfn.IFS(I816="SALES","GP",I816="SERVICE SALES","GP",I816="PARTS SALES","GP",I816="SERVICE COS","GP",I816="PARTS COS","GP",I816="SELLING EXPENSES","Selling Expenses",I816="EMPLOYMENT EXPENSES","Selling Expenses",I816="EMPLOYMENT EXPENSES","Selling Expenses",I816="DIRECT EXPENSES","Selling Expenses",I816="INDIRECT EXPENSES","Selling Expenses"))</f>
        <v>#N/A</v>
      </c>
    </row>
    <row r="817" spans="1:18" x14ac:dyDescent="0.2">
      <c r="A817" s="75">
        <v>4147</v>
      </c>
      <c r="B817" s="76" t="s">
        <v>888</v>
      </c>
      <c r="C817" s="76">
        <v>100</v>
      </c>
      <c r="D817" s="76" t="s">
        <v>227</v>
      </c>
      <c r="E817" s="76" t="s">
        <v>426</v>
      </c>
      <c r="F817" s="77">
        <v>574950</v>
      </c>
      <c r="G817" s="77">
        <v>0</v>
      </c>
      <c r="H817" s="77">
        <v>574950</v>
      </c>
      <c r="I817" s="76" t="s">
        <v>761</v>
      </c>
      <c r="J817" s="77">
        <v>0</v>
      </c>
      <c r="K817" s="78">
        <v>0</v>
      </c>
      <c r="M817" s="79" t="str">
        <f t="shared" si="38"/>
        <v>100-4147</v>
      </c>
      <c r="N817" s="79" t="str">
        <f t="shared" si="36"/>
        <v/>
      </c>
      <c r="O817" s="79" t="str">
        <f t="shared" si="37"/>
        <v>100</v>
      </c>
      <c r="P817" s="79" t="str">
        <f>IFERROR(VLOOKUP($M817,Export!$P:$R,2,FALSE),"-")</f>
        <v>New Vehicle</v>
      </c>
      <c r="Q817" s="79" t="str">
        <f>IFERROR(VLOOKUP($M817,Export!$P:$R,3,FALSE),"-")</f>
        <v>New VehicleRetail Gross p.u.</v>
      </c>
      <c r="R817" s="80" t="e" cm="1">
        <f t="array" ref="R817">_xlfn.IFS(P817="Service", _xlfn.IFS(I817="SALES","GP",I817="SERVICE SALES","GP",I817="PARTS SALES","GP",I817="SERVICE COS","GP",I817="PARTS COS","GP",I817="SELLING EXPENSES","Selling Expenses",I817="EMPLOYMENT EXPENSES","Selling Expenses",I817="EMPLOYMENT EXPENSES","Selling Expenses",I817="DIRECT EXPENSES","Selling Expenses",I817="INDIRECT EXPENSES","Selling Expenses"),P817="Parts",_xlfn.IFS(I817="SALES","GP",I817="SERVICE SALES","GP",I817="PARTS SALES","GP",I817="SERVICE COS","GP",I817="PARTS COS","GP",I817="SELLING EXPENSES","Selling Expenses",I817="EMPLOYMENT EXPENSES","Selling Expenses",I817="EMPLOYMENT EXPENSES","Selling Expenses",I817="DIRECT EXPENSES","Selling Expenses",I817="INDIRECT EXPENSES","Selling Expenses"))</f>
        <v>#N/A</v>
      </c>
    </row>
    <row r="818" spans="1:18" x14ac:dyDescent="0.2">
      <c r="A818" s="75">
        <v>4147</v>
      </c>
      <c r="B818" s="76" t="s">
        <v>888</v>
      </c>
      <c r="C818" s="76">
        <v>200</v>
      </c>
      <c r="D818" s="76" t="s">
        <v>428</v>
      </c>
      <c r="E818" s="76" t="s">
        <v>426</v>
      </c>
      <c r="F818" s="77">
        <v>963867.15</v>
      </c>
      <c r="G818" s="77">
        <v>0</v>
      </c>
      <c r="H818" s="77">
        <v>963867.15</v>
      </c>
      <c r="I818" s="76" t="s">
        <v>761</v>
      </c>
      <c r="J818" s="77">
        <v>0</v>
      </c>
      <c r="K818" s="78">
        <v>0</v>
      </c>
      <c r="M818" s="79" t="str">
        <f t="shared" si="38"/>
        <v>200-4147</v>
      </c>
      <c r="N818" s="79" t="str">
        <f t="shared" si="36"/>
        <v/>
      </c>
      <c r="O818" s="79" t="str">
        <f t="shared" si="37"/>
        <v>200</v>
      </c>
      <c r="P818" s="79" t="str">
        <f>IFERROR(VLOOKUP($M818,Export!$P:$R,2,FALSE),"-")</f>
        <v>New Vehicle</v>
      </c>
      <c r="Q818" s="79" t="str">
        <f>IFERROR(VLOOKUP($M818,Export!$P:$R,3,FALSE),"-")</f>
        <v>New VehicleRetail Gross p.u.</v>
      </c>
      <c r="R818" s="80" t="e" cm="1">
        <f t="array" ref="R818">_xlfn.IFS(P818="Service", _xlfn.IFS(I818="SALES","GP",I818="SERVICE SALES","GP",I818="PARTS SALES","GP",I818="SERVICE COS","GP",I818="PARTS COS","GP",I818="SELLING EXPENSES","Selling Expenses",I818="EMPLOYMENT EXPENSES","Selling Expenses",I818="EMPLOYMENT EXPENSES","Selling Expenses",I818="DIRECT EXPENSES","Selling Expenses",I818="INDIRECT EXPENSES","Selling Expenses"),P818="Parts",_xlfn.IFS(I818="SALES","GP",I818="SERVICE SALES","GP",I818="PARTS SALES","GP",I818="SERVICE COS","GP",I818="PARTS COS","GP",I818="SELLING EXPENSES","Selling Expenses",I818="EMPLOYMENT EXPENSES","Selling Expenses",I818="EMPLOYMENT EXPENSES","Selling Expenses",I818="DIRECT EXPENSES","Selling Expenses",I818="INDIRECT EXPENSES","Selling Expenses"))</f>
        <v>#N/A</v>
      </c>
    </row>
    <row r="819" spans="1:18" x14ac:dyDescent="0.2">
      <c r="A819" s="75">
        <v>4148</v>
      </c>
      <c r="B819" s="76" t="s">
        <v>889</v>
      </c>
      <c r="C819" s="76">
        <v>100</v>
      </c>
      <c r="D819" s="76" t="s">
        <v>227</v>
      </c>
      <c r="E819" s="76" t="s">
        <v>426</v>
      </c>
      <c r="F819" s="77">
        <v>184278.36</v>
      </c>
      <c r="G819" s="77">
        <v>19586.490000000002</v>
      </c>
      <c r="H819" s="77">
        <v>203864.85</v>
      </c>
      <c r="I819" s="76" t="s">
        <v>761</v>
      </c>
      <c r="J819" s="77">
        <v>0</v>
      </c>
      <c r="K819" s="78">
        <v>66460.19</v>
      </c>
      <c r="M819" s="79" t="str">
        <f t="shared" si="38"/>
        <v>100-4148</v>
      </c>
      <c r="N819" s="79" t="str">
        <f t="shared" si="36"/>
        <v/>
      </c>
      <c r="O819" s="79" t="str">
        <f t="shared" si="37"/>
        <v>100</v>
      </c>
      <c r="P819" s="79" t="str">
        <f>IFERROR(VLOOKUP($M819,Export!$P:$R,2,FALSE),"-")</f>
        <v>New Vehicle</v>
      </c>
      <c r="Q819" s="79" t="str">
        <f>IFERROR(VLOOKUP($M819,Export!$P:$R,3,FALSE),"-")</f>
        <v>New VehicleRetail Gross p.u.</v>
      </c>
      <c r="R819" s="80" t="e" cm="1">
        <f t="array" ref="R819">_xlfn.IFS(P819="Service", _xlfn.IFS(I819="SALES","GP",I819="SERVICE SALES","GP",I819="PARTS SALES","GP",I819="SERVICE COS","GP",I819="PARTS COS","GP",I819="SELLING EXPENSES","Selling Expenses",I819="EMPLOYMENT EXPENSES","Selling Expenses",I819="EMPLOYMENT EXPENSES","Selling Expenses",I819="DIRECT EXPENSES","Selling Expenses",I819="INDIRECT EXPENSES","Selling Expenses"),P819="Parts",_xlfn.IFS(I819="SALES","GP",I819="SERVICE SALES","GP",I819="PARTS SALES","GP",I819="SERVICE COS","GP",I819="PARTS COS","GP",I819="SELLING EXPENSES","Selling Expenses",I819="EMPLOYMENT EXPENSES","Selling Expenses",I819="EMPLOYMENT EXPENSES","Selling Expenses",I819="DIRECT EXPENSES","Selling Expenses",I819="INDIRECT EXPENSES","Selling Expenses"))</f>
        <v>#N/A</v>
      </c>
    </row>
    <row r="820" spans="1:18" x14ac:dyDescent="0.2">
      <c r="A820" s="75">
        <v>4148</v>
      </c>
      <c r="B820" s="76" t="s">
        <v>889</v>
      </c>
      <c r="C820" s="76">
        <v>200</v>
      </c>
      <c r="D820" s="76" t="s">
        <v>428</v>
      </c>
      <c r="E820" s="76" t="s">
        <v>426</v>
      </c>
      <c r="F820" s="77">
        <v>178237.89</v>
      </c>
      <c r="G820" s="77">
        <v>20976.31</v>
      </c>
      <c r="H820" s="77">
        <v>199214.2</v>
      </c>
      <c r="I820" s="76" t="s">
        <v>761</v>
      </c>
      <c r="J820" s="77">
        <v>0</v>
      </c>
      <c r="K820" s="78">
        <v>77734.28</v>
      </c>
      <c r="M820" s="79" t="str">
        <f t="shared" si="38"/>
        <v>200-4148</v>
      </c>
      <c r="N820" s="79" t="str">
        <f t="shared" si="36"/>
        <v/>
      </c>
      <c r="O820" s="79" t="str">
        <f t="shared" si="37"/>
        <v>200</v>
      </c>
      <c r="P820" s="79" t="str">
        <f>IFERROR(VLOOKUP($M820,Export!$P:$R,2,FALSE),"-")</f>
        <v>New Vehicle</v>
      </c>
      <c r="Q820" s="79" t="str">
        <f>IFERROR(VLOOKUP($M820,Export!$P:$R,3,FALSE),"-")</f>
        <v>New VehicleRetail Gross p.u.</v>
      </c>
      <c r="R820" s="80" t="e" cm="1">
        <f t="array" ref="R820">_xlfn.IFS(P820="Service", _xlfn.IFS(I820="SALES","GP",I820="SERVICE SALES","GP",I820="PARTS SALES","GP",I820="SERVICE COS","GP",I820="PARTS COS","GP",I820="SELLING EXPENSES","Selling Expenses",I820="EMPLOYMENT EXPENSES","Selling Expenses",I820="EMPLOYMENT EXPENSES","Selling Expenses",I820="DIRECT EXPENSES","Selling Expenses",I820="INDIRECT EXPENSES","Selling Expenses"),P820="Parts",_xlfn.IFS(I820="SALES","GP",I820="SERVICE SALES","GP",I820="PARTS SALES","GP",I820="SERVICE COS","GP",I820="PARTS COS","GP",I820="SELLING EXPENSES","Selling Expenses",I820="EMPLOYMENT EXPENSES","Selling Expenses",I820="EMPLOYMENT EXPENSES","Selling Expenses",I820="DIRECT EXPENSES","Selling Expenses",I820="INDIRECT EXPENSES","Selling Expenses"))</f>
        <v>#N/A</v>
      </c>
    </row>
    <row r="821" spans="1:18" x14ac:dyDescent="0.2">
      <c r="A821" s="75">
        <v>4149</v>
      </c>
      <c r="B821" s="76" t="s">
        <v>890</v>
      </c>
      <c r="C821" s="76">
        <v>100</v>
      </c>
      <c r="D821" s="76" t="s">
        <v>227</v>
      </c>
      <c r="E821" s="76" t="s">
        <v>426</v>
      </c>
      <c r="F821" s="77">
        <v>256256.83</v>
      </c>
      <c r="G821" s="77">
        <v>28446.02</v>
      </c>
      <c r="H821" s="77">
        <v>284702.84999999998</v>
      </c>
      <c r="I821" s="76" t="s">
        <v>761</v>
      </c>
      <c r="J821" s="77">
        <v>0</v>
      </c>
      <c r="K821" s="78">
        <v>82828.95</v>
      </c>
      <c r="M821" s="79" t="str">
        <f t="shared" si="38"/>
        <v>100-4149</v>
      </c>
      <c r="N821" s="79" t="str">
        <f t="shared" si="36"/>
        <v/>
      </c>
      <c r="O821" s="79" t="str">
        <f t="shared" si="37"/>
        <v>100</v>
      </c>
      <c r="P821" s="79" t="str">
        <f>IFERROR(VLOOKUP($M821,Export!$P:$R,2,FALSE),"-")</f>
        <v>New Vehicle</v>
      </c>
      <c r="Q821" s="79" t="str">
        <f>IFERROR(VLOOKUP($M821,Export!$P:$R,3,FALSE),"-")</f>
        <v>New VehicleRetail Gross p.u.</v>
      </c>
      <c r="R821" s="80" t="e" cm="1">
        <f t="array" ref="R821">_xlfn.IFS(P821="Service", _xlfn.IFS(I821="SALES","GP",I821="SERVICE SALES","GP",I821="PARTS SALES","GP",I821="SERVICE COS","GP",I821="PARTS COS","GP",I821="SELLING EXPENSES","Selling Expenses",I821="EMPLOYMENT EXPENSES","Selling Expenses",I821="EMPLOYMENT EXPENSES","Selling Expenses",I821="DIRECT EXPENSES","Selling Expenses",I821="INDIRECT EXPENSES","Selling Expenses"),P821="Parts",_xlfn.IFS(I821="SALES","GP",I821="SERVICE SALES","GP",I821="PARTS SALES","GP",I821="SERVICE COS","GP",I821="PARTS COS","GP",I821="SELLING EXPENSES","Selling Expenses",I821="EMPLOYMENT EXPENSES","Selling Expenses",I821="EMPLOYMENT EXPENSES","Selling Expenses",I821="DIRECT EXPENSES","Selling Expenses",I821="INDIRECT EXPENSES","Selling Expenses"))</f>
        <v>#N/A</v>
      </c>
    </row>
    <row r="822" spans="1:18" x14ac:dyDescent="0.2">
      <c r="A822" s="75">
        <v>4149</v>
      </c>
      <c r="B822" s="76" t="s">
        <v>890</v>
      </c>
      <c r="C822" s="76">
        <v>200</v>
      </c>
      <c r="D822" s="76" t="s">
        <v>428</v>
      </c>
      <c r="E822" s="76" t="s">
        <v>426</v>
      </c>
      <c r="F822" s="77">
        <v>234733.03</v>
      </c>
      <c r="G822" s="77">
        <v>25391.91</v>
      </c>
      <c r="H822" s="77">
        <v>260124.94</v>
      </c>
      <c r="I822" s="76" t="s">
        <v>761</v>
      </c>
      <c r="J822" s="77">
        <v>0</v>
      </c>
      <c r="K822" s="78">
        <v>77201.98</v>
      </c>
      <c r="M822" s="79" t="str">
        <f t="shared" si="38"/>
        <v>200-4149</v>
      </c>
      <c r="N822" s="79" t="str">
        <f t="shared" si="36"/>
        <v/>
      </c>
      <c r="O822" s="79" t="str">
        <f t="shared" si="37"/>
        <v>200</v>
      </c>
      <c r="P822" s="79" t="str">
        <f>IFERROR(VLOOKUP($M822,Export!$P:$R,2,FALSE),"-")</f>
        <v>New Vehicle</v>
      </c>
      <c r="Q822" s="79" t="str">
        <f>IFERROR(VLOOKUP($M822,Export!$P:$R,3,FALSE),"-")</f>
        <v>New VehicleRetail Gross p.u.</v>
      </c>
      <c r="R822" s="80" t="e" cm="1">
        <f t="array" ref="R822">_xlfn.IFS(P822="Service", _xlfn.IFS(I822="SALES","GP",I822="SERVICE SALES","GP",I822="PARTS SALES","GP",I822="SERVICE COS","GP",I822="PARTS COS","GP",I822="SELLING EXPENSES","Selling Expenses",I822="EMPLOYMENT EXPENSES","Selling Expenses",I822="EMPLOYMENT EXPENSES","Selling Expenses",I822="DIRECT EXPENSES","Selling Expenses",I822="INDIRECT EXPENSES","Selling Expenses"),P822="Parts",_xlfn.IFS(I822="SALES","GP",I822="SERVICE SALES","GP",I822="PARTS SALES","GP",I822="SERVICE COS","GP",I822="PARTS COS","GP",I822="SELLING EXPENSES","Selling Expenses",I822="EMPLOYMENT EXPENSES","Selling Expenses",I822="EMPLOYMENT EXPENSES","Selling Expenses",I822="DIRECT EXPENSES","Selling Expenses",I822="INDIRECT EXPENSES","Selling Expenses"))</f>
        <v>#N/A</v>
      </c>
    </row>
    <row r="823" spans="1:18" x14ac:dyDescent="0.2">
      <c r="A823" s="75">
        <v>4205</v>
      </c>
      <c r="B823" s="76" t="s">
        <v>92</v>
      </c>
      <c r="C823" s="76">
        <v>120</v>
      </c>
      <c r="D823" s="76" t="s">
        <v>431</v>
      </c>
      <c r="E823" s="76" t="s">
        <v>426</v>
      </c>
      <c r="F823" s="77">
        <v>33701.550000000003</v>
      </c>
      <c r="G823" s="77">
        <v>0</v>
      </c>
      <c r="H823" s="77">
        <v>33701.550000000003</v>
      </c>
      <c r="I823" s="76" t="s">
        <v>891</v>
      </c>
      <c r="J823" s="77">
        <v>0</v>
      </c>
      <c r="K823" s="78">
        <v>0</v>
      </c>
      <c r="M823" s="79" t="str">
        <f t="shared" si="38"/>
        <v>120-4205</v>
      </c>
      <c r="N823" s="79" t="str">
        <f t="shared" si="36"/>
        <v/>
      </c>
      <c r="O823" s="79" t="str">
        <f t="shared" si="37"/>
        <v>120</v>
      </c>
      <c r="P823" s="79" t="str">
        <f>IFERROR(VLOOKUP($M823,Export!$P:$R,2,FALSE),"-")</f>
        <v>Used Vehicle</v>
      </c>
      <c r="Q823" s="79" t="str">
        <f>IFERROR(VLOOKUP($M823,Export!$P:$R,3,FALSE),"-")</f>
        <v>Used VehicleSIG Class retail gross profit p.u.</v>
      </c>
      <c r="R823" s="80" t="e" cm="1">
        <f t="array" ref="R823">_xlfn.IFS(P823="Service", _xlfn.IFS(I823="SALES","GP",I823="SERVICE SALES","GP",I823="PARTS SALES","GP",I823="SERVICE COS","GP",I823="PARTS COS","GP",I823="SELLING EXPENSES","Selling Expenses",I823="EMPLOYMENT EXPENSES","Selling Expenses",I823="EMPLOYMENT EXPENSES","Selling Expenses",I823="DIRECT EXPENSES","Selling Expenses",I823="INDIRECT EXPENSES","Selling Expenses"),P823="Parts",_xlfn.IFS(I823="SALES","GP",I823="SERVICE SALES","GP",I823="PARTS SALES","GP",I823="SERVICE COS","GP",I823="PARTS COS","GP",I823="SELLING EXPENSES","Selling Expenses",I823="EMPLOYMENT EXPENSES","Selling Expenses",I823="EMPLOYMENT EXPENSES","Selling Expenses",I823="DIRECT EXPENSES","Selling Expenses",I823="INDIRECT EXPENSES","Selling Expenses"))</f>
        <v>#N/A</v>
      </c>
    </row>
    <row r="824" spans="1:18" x14ac:dyDescent="0.2">
      <c r="A824" s="75">
        <v>4205</v>
      </c>
      <c r="B824" s="76" t="s">
        <v>92</v>
      </c>
      <c r="C824" s="76">
        <v>121</v>
      </c>
      <c r="D824" s="76" t="s">
        <v>449</v>
      </c>
      <c r="E824" s="76" t="s">
        <v>426</v>
      </c>
      <c r="F824" s="77">
        <v>2667620.04</v>
      </c>
      <c r="G824" s="77">
        <v>393715.5</v>
      </c>
      <c r="H824" s="77">
        <v>3061335.54</v>
      </c>
      <c r="I824" s="76" t="s">
        <v>891</v>
      </c>
      <c r="J824" s="77">
        <v>114375</v>
      </c>
      <c r="K824" s="78">
        <v>1177525.02</v>
      </c>
      <c r="M824" s="79" t="str">
        <f t="shared" si="38"/>
        <v>121-4205</v>
      </c>
      <c r="N824" s="79" t="str">
        <f t="shared" si="36"/>
        <v/>
      </c>
      <c r="O824" s="79" t="str">
        <f t="shared" si="37"/>
        <v>121</v>
      </c>
      <c r="P824" s="79" t="str">
        <f>IFERROR(VLOOKUP($M824,Export!$P:$R,2,FALSE),"-")</f>
        <v>Used Vehicle</v>
      </c>
      <c r="Q824" s="79" t="str">
        <f>IFERROR(VLOOKUP($M824,Export!$P:$R,3,FALSE),"-")</f>
        <v>Used VehicleSIG Class retail gross profit p.u.</v>
      </c>
      <c r="R824" s="80" t="e" cm="1">
        <f t="array" ref="R824">_xlfn.IFS(P824="Service", _xlfn.IFS(I824="SALES","GP",I824="SERVICE SALES","GP",I824="PARTS SALES","GP",I824="SERVICE COS","GP",I824="PARTS COS","GP",I824="SELLING EXPENSES","Selling Expenses",I824="EMPLOYMENT EXPENSES","Selling Expenses",I824="EMPLOYMENT EXPENSES","Selling Expenses",I824="DIRECT EXPENSES","Selling Expenses",I824="INDIRECT EXPENSES","Selling Expenses"),P824="Parts",_xlfn.IFS(I824="SALES","GP",I824="SERVICE SALES","GP",I824="PARTS SALES","GP",I824="SERVICE COS","GP",I824="PARTS COS","GP",I824="SELLING EXPENSES","Selling Expenses",I824="EMPLOYMENT EXPENSES","Selling Expenses",I824="EMPLOYMENT EXPENSES","Selling Expenses",I824="DIRECT EXPENSES","Selling Expenses",I824="INDIRECT EXPENSES","Selling Expenses"))</f>
        <v>#N/A</v>
      </c>
    </row>
    <row r="825" spans="1:18" x14ac:dyDescent="0.2">
      <c r="A825" s="75">
        <v>4205</v>
      </c>
      <c r="B825" s="76" t="s">
        <v>92</v>
      </c>
      <c r="C825" s="76">
        <v>220</v>
      </c>
      <c r="D825" s="76" t="s">
        <v>437</v>
      </c>
      <c r="E825" s="76" t="s">
        <v>426</v>
      </c>
      <c r="F825" s="77">
        <v>399469.98</v>
      </c>
      <c r="G825" s="77">
        <v>72319.16</v>
      </c>
      <c r="H825" s="77">
        <v>471789.14</v>
      </c>
      <c r="I825" s="76" t="s">
        <v>891</v>
      </c>
      <c r="J825" s="77">
        <v>37833.33</v>
      </c>
      <c r="K825" s="78">
        <v>663778.98</v>
      </c>
      <c r="M825" s="79" t="str">
        <f t="shared" si="38"/>
        <v>220-4205</v>
      </c>
      <c r="N825" s="79" t="str">
        <f t="shared" si="36"/>
        <v/>
      </c>
      <c r="O825" s="79" t="str">
        <f t="shared" si="37"/>
        <v>220</v>
      </c>
      <c r="P825" s="79" t="str">
        <f>IFERROR(VLOOKUP($M825,Export!$P:$R,2,FALSE),"-")</f>
        <v>Used Vehicle</v>
      </c>
      <c r="Q825" s="79" t="str">
        <f>IFERROR(VLOOKUP($M825,Export!$P:$R,3,FALSE),"-")</f>
        <v>Used VehicleSIG Class retail gross profit p.u.</v>
      </c>
      <c r="R825" s="80" t="e" cm="1">
        <f t="array" ref="R825">_xlfn.IFS(P825="Service", _xlfn.IFS(I825="SALES","GP",I825="SERVICE SALES","GP",I825="PARTS SALES","GP",I825="SERVICE COS","GP",I825="PARTS COS","GP",I825="SELLING EXPENSES","Selling Expenses",I825="EMPLOYMENT EXPENSES","Selling Expenses",I825="EMPLOYMENT EXPENSES","Selling Expenses",I825="DIRECT EXPENSES","Selling Expenses",I825="INDIRECT EXPENSES","Selling Expenses"),P825="Parts",_xlfn.IFS(I825="SALES","GP",I825="SERVICE SALES","GP",I825="PARTS SALES","GP",I825="SERVICE COS","GP",I825="PARTS COS","GP",I825="SELLING EXPENSES","Selling Expenses",I825="EMPLOYMENT EXPENSES","Selling Expenses",I825="EMPLOYMENT EXPENSES","Selling Expenses",I825="DIRECT EXPENSES","Selling Expenses",I825="INDIRECT EXPENSES","Selling Expenses"))</f>
        <v>#N/A</v>
      </c>
    </row>
    <row r="826" spans="1:18" x14ac:dyDescent="0.2">
      <c r="A826" s="75">
        <v>4206</v>
      </c>
      <c r="B826" s="76" t="s">
        <v>892</v>
      </c>
      <c r="C826" s="76">
        <v>120</v>
      </c>
      <c r="D826" s="76" t="s">
        <v>431</v>
      </c>
      <c r="E826" s="76" t="s">
        <v>426</v>
      </c>
      <c r="F826" s="77">
        <v>33152.06</v>
      </c>
      <c r="G826" s="77">
        <v>64.77</v>
      </c>
      <c r="H826" s="77">
        <v>33216.83</v>
      </c>
      <c r="I826" s="76" t="s">
        <v>891</v>
      </c>
      <c r="J826" s="77">
        <v>0</v>
      </c>
      <c r="K826" s="78">
        <v>-175.6</v>
      </c>
      <c r="M826" s="79" t="str">
        <f t="shared" si="38"/>
        <v>120-4206</v>
      </c>
      <c r="N826" s="79" t="str">
        <f t="shared" si="36"/>
        <v/>
      </c>
      <c r="O826" s="79" t="str">
        <f t="shared" si="37"/>
        <v>120</v>
      </c>
      <c r="P826" s="79" t="str">
        <f>IFERROR(VLOOKUP($M826,Export!$P:$R,2,FALSE),"-")</f>
        <v>Used Vehicle</v>
      </c>
      <c r="Q826" s="79" t="str">
        <f>IFERROR(VLOOKUP($M826,Export!$P:$R,3,FALSE),"-")</f>
        <v>Used VehicleOT retail gross profit p.u.</v>
      </c>
      <c r="R826" s="80" t="e" cm="1">
        <f t="array" ref="R826">_xlfn.IFS(P826="Service", _xlfn.IFS(I826="SALES","GP",I826="SERVICE SALES","GP",I826="PARTS SALES","GP",I826="SERVICE COS","GP",I826="PARTS COS","GP",I826="SELLING EXPENSES","Selling Expenses",I826="EMPLOYMENT EXPENSES","Selling Expenses",I826="EMPLOYMENT EXPENSES","Selling Expenses",I826="DIRECT EXPENSES","Selling Expenses",I826="INDIRECT EXPENSES","Selling Expenses"),P826="Parts",_xlfn.IFS(I826="SALES","GP",I826="SERVICE SALES","GP",I826="PARTS SALES","GP",I826="SERVICE COS","GP",I826="PARTS COS","GP",I826="SELLING EXPENSES","Selling Expenses",I826="EMPLOYMENT EXPENSES","Selling Expenses",I826="EMPLOYMENT EXPENSES","Selling Expenses",I826="DIRECT EXPENSES","Selling Expenses",I826="INDIRECT EXPENSES","Selling Expenses"))</f>
        <v>#N/A</v>
      </c>
    </row>
    <row r="827" spans="1:18" x14ac:dyDescent="0.2">
      <c r="A827" s="75">
        <v>4206</v>
      </c>
      <c r="B827" s="76" t="s">
        <v>892</v>
      </c>
      <c r="C827" s="76">
        <v>121</v>
      </c>
      <c r="D827" s="76" t="s">
        <v>449</v>
      </c>
      <c r="E827" s="76" t="s">
        <v>426</v>
      </c>
      <c r="F827" s="77">
        <v>6232455.0199999996</v>
      </c>
      <c r="G827" s="77">
        <v>578884.09</v>
      </c>
      <c r="H827" s="77">
        <v>6811339.1100000003</v>
      </c>
      <c r="I827" s="76" t="s">
        <v>891</v>
      </c>
      <c r="J827" s="77">
        <v>402000</v>
      </c>
      <c r="K827" s="78">
        <v>4645398.08</v>
      </c>
      <c r="M827" s="79" t="str">
        <f t="shared" si="38"/>
        <v>121-4206</v>
      </c>
      <c r="N827" s="79" t="str">
        <f t="shared" si="36"/>
        <v/>
      </c>
      <c r="O827" s="79" t="str">
        <f t="shared" si="37"/>
        <v>121</v>
      </c>
      <c r="P827" s="79" t="str">
        <f>IFERROR(VLOOKUP($M827,Export!$P:$R,2,FALSE),"-")</f>
        <v>Used Vehicle</v>
      </c>
      <c r="Q827" s="79" t="str">
        <f>IFERROR(VLOOKUP($M827,Export!$P:$R,3,FALSE),"-")</f>
        <v>Used VehicleOT retail gross profit p.u.</v>
      </c>
      <c r="R827" s="80" t="e" cm="1">
        <f t="array" ref="R827">_xlfn.IFS(P827="Service", _xlfn.IFS(I827="SALES","GP",I827="SERVICE SALES","GP",I827="PARTS SALES","GP",I827="SERVICE COS","GP",I827="PARTS COS","GP",I827="SELLING EXPENSES","Selling Expenses",I827="EMPLOYMENT EXPENSES","Selling Expenses",I827="EMPLOYMENT EXPENSES","Selling Expenses",I827="DIRECT EXPENSES","Selling Expenses",I827="INDIRECT EXPENSES","Selling Expenses"),P827="Parts",_xlfn.IFS(I827="SALES","GP",I827="SERVICE SALES","GP",I827="PARTS SALES","GP",I827="SERVICE COS","GP",I827="PARTS COS","GP",I827="SELLING EXPENSES","Selling Expenses",I827="EMPLOYMENT EXPENSES","Selling Expenses",I827="EMPLOYMENT EXPENSES","Selling Expenses",I827="DIRECT EXPENSES","Selling Expenses",I827="INDIRECT EXPENSES","Selling Expenses"))</f>
        <v>#N/A</v>
      </c>
    </row>
    <row r="828" spans="1:18" x14ac:dyDescent="0.2">
      <c r="A828" s="75">
        <v>4206</v>
      </c>
      <c r="B828" s="76" t="s">
        <v>892</v>
      </c>
      <c r="C828" s="76">
        <v>220</v>
      </c>
      <c r="D828" s="76" t="s">
        <v>437</v>
      </c>
      <c r="E828" s="76" t="s">
        <v>426</v>
      </c>
      <c r="F828" s="77">
        <v>3439741.53</v>
      </c>
      <c r="G828" s="77">
        <v>372540.15</v>
      </c>
      <c r="H828" s="77">
        <v>3812281.68</v>
      </c>
      <c r="I828" s="76" t="s">
        <v>891</v>
      </c>
      <c r="J828" s="77">
        <v>155050</v>
      </c>
      <c r="K828" s="78">
        <v>1676651.78</v>
      </c>
      <c r="M828" s="79" t="str">
        <f t="shared" si="38"/>
        <v>220-4206</v>
      </c>
      <c r="N828" s="79" t="str">
        <f t="shared" si="36"/>
        <v/>
      </c>
      <c r="O828" s="79" t="str">
        <f t="shared" si="37"/>
        <v>220</v>
      </c>
      <c r="P828" s="79" t="str">
        <f>IFERROR(VLOOKUP($M828,Export!$P:$R,2,FALSE),"-")</f>
        <v>Used Vehicle</v>
      </c>
      <c r="Q828" s="79" t="str">
        <f>IFERROR(VLOOKUP($M828,Export!$P:$R,3,FALSE),"-")</f>
        <v>Used VehicleOT retail gross profit p.u.</v>
      </c>
      <c r="R828" s="80" t="e" cm="1">
        <f t="array" ref="R828">_xlfn.IFS(P828="Service", _xlfn.IFS(I828="SALES","GP",I828="SERVICE SALES","GP",I828="PARTS SALES","GP",I828="SERVICE COS","GP",I828="PARTS COS","GP",I828="SELLING EXPENSES","Selling Expenses",I828="EMPLOYMENT EXPENSES","Selling Expenses",I828="EMPLOYMENT EXPENSES","Selling Expenses",I828="DIRECT EXPENSES","Selling Expenses",I828="INDIRECT EXPENSES","Selling Expenses"),P828="Parts",_xlfn.IFS(I828="SALES","GP",I828="SERVICE SALES","GP",I828="PARTS SALES","GP",I828="SERVICE COS","GP",I828="PARTS COS","GP",I828="SELLING EXPENSES","Selling Expenses",I828="EMPLOYMENT EXPENSES","Selling Expenses",I828="EMPLOYMENT EXPENSES","Selling Expenses",I828="DIRECT EXPENSES","Selling Expenses",I828="INDIRECT EXPENSES","Selling Expenses"))</f>
        <v>#N/A</v>
      </c>
    </row>
    <row r="829" spans="1:18" x14ac:dyDescent="0.2">
      <c r="A829" s="75">
        <v>4209</v>
      </c>
      <c r="B829" s="76" t="s">
        <v>94</v>
      </c>
      <c r="C829" s="76">
        <v>120</v>
      </c>
      <c r="D829" s="76" t="s">
        <v>431</v>
      </c>
      <c r="E829" s="76" t="s">
        <v>426</v>
      </c>
      <c r="F829" s="77">
        <v>11167069.01</v>
      </c>
      <c r="G829" s="77">
        <v>1301708.78</v>
      </c>
      <c r="H829" s="77">
        <v>12468777.789999999</v>
      </c>
      <c r="I829" s="76" t="s">
        <v>891</v>
      </c>
      <c r="J829" s="77">
        <v>1075611.1100000001</v>
      </c>
      <c r="K829" s="78">
        <v>9440941.8699999992</v>
      </c>
      <c r="M829" s="79" t="str">
        <f t="shared" si="38"/>
        <v>120-4209</v>
      </c>
      <c r="N829" s="79" t="str">
        <f t="shared" si="36"/>
        <v/>
      </c>
      <c r="O829" s="79" t="str">
        <f t="shared" si="37"/>
        <v>120</v>
      </c>
      <c r="P829" s="79" t="str">
        <f>IFERROR(VLOOKUP($M829,Export!$P:$R,2,FALSE),"-")</f>
        <v>Used Vehicle</v>
      </c>
      <c r="Q829" s="79" t="str">
        <f>IFERROR(VLOOKUP($M829,Export!$P:$R,3,FALSE),"-")</f>
        <v>Used VehicleOther UV retail gross profit p.u.</v>
      </c>
      <c r="R829" s="80" t="e" cm="1">
        <f t="array" ref="R829">_xlfn.IFS(P829="Service", _xlfn.IFS(I829="SALES","GP",I829="SERVICE SALES","GP",I829="PARTS SALES","GP",I829="SERVICE COS","GP",I829="PARTS COS","GP",I829="SELLING EXPENSES","Selling Expenses",I829="EMPLOYMENT EXPENSES","Selling Expenses",I829="EMPLOYMENT EXPENSES","Selling Expenses",I829="DIRECT EXPENSES","Selling Expenses",I829="INDIRECT EXPENSES","Selling Expenses"),P829="Parts",_xlfn.IFS(I829="SALES","GP",I829="SERVICE SALES","GP",I829="PARTS SALES","GP",I829="SERVICE COS","GP",I829="PARTS COS","GP",I829="SELLING EXPENSES","Selling Expenses",I829="EMPLOYMENT EXPENSES","Selling Expenses",I829="EMPLOYMENT EXPENSES","Selling Expenses",I829="DIRECT EXPENSES","Selling Expenses",I829="INDIRECT EXPENSES","Selling Expenses"))</f>
        <v>#N/A</v>
      </c>
    </row>
    <row r="830" spans="1:18" x14ac:dyDescent="0.2">
      <c r="A830" s="75">
        <v>4209</v>
      </c>
      <c r="B830" s="76" t="s">
        <v>94</v>
      </c>
      <c r="C830" s="76">
        <v>121</v>
      </c>
      <c r="D830" s="76" t="s">
        <v>449</v>
      </c>
      <c r="E830" s="76" t="s">
        <v>426</v>
      </c>
      <c r="F830" s="77">
        <v>26496.43</v>
      </c>
      <c r="G830" s="77">
        <v>-410</v>
      </c>
      <c r="H830" s="77">
        <v>26086.43</v>
      </c>
      <c r="I830" s="76" t="s">
        <v>891</v>
      </c>
      <c r="J830" s="77">
        <v>0</v>
      </c>
      <c r="K830" s="78">
        <v>1347.83</v>
      </c>
      <c r="M830" s="79" t="str">
        <f t="shared" si="38"/>
        <v>121-4209</v>
      </c>
      <c r="N830" s="79" t="str">
        <f t="shared" si="36"/>
        <v/>
      </c>
      <c r="O830" s="79" t="str">
        <f t="shared" si="37"/>
        <v>121</v>
      </c>
      <c r="P830" s="79" t="str">
        <f>IFERROR(VLOOKUP($M830,Export!$P:$R,2,FALSE),"-")</f>
        <v>Used Vehicle</v>
      </c>
      <c r="Q830" s="79" t="str">
        <f>IFERROR(VLOOKUP($M830,Export!$P:$R,3,FALSE),"-")</f>
        <v>Used VehicleOther UV retail gross profit p.u.</v>
      </c>
      <c r="R830" s="80" t="e" cm="1">
        <f t="array" ref="R830">_xlfn.IFS(P830="Service", _xlfn.IFS(I830="SALES","GP",I830="SERVICE SALES","GP",I830="PARTS SALES","GP",I830="SERVICE COS","GP",I830="PARTS COS","GP",I830="SELLING EXPENSES","Selling Expenses",I830="EMPLOYMENT EXPENSES","Selling Expenses",I830="EMPLOYMENT EXPENSES","Selling Expenses",I830="DIRECT EXPENSES","Selling Expenses",I830="INDIRECT EXPENSES","Selling Expenses"),P830="Parts",_xlfn.IFS(I830="SALES","GP",I830="SERVICE SALES","GP",I830="PARTS SALES","GP",I830="SERVICE COS","GP",I830="PARTS COS","GP",I830="SELLING EXPENSES","Selling Expenses",I830="EMPLOYMENT EXPENSES","Selling Expenses",I830="EMPLOYMENT EXPENSES","Selling Expenses",I830="DIRECT EXPENSES","Selling Expenses",I830="INDIRECT EXPENSES","Selling Expenses"))</f>
        <v>#N/A</v>
      </c>
    </row>
    <row r="831" spans="1:18" x14ac:dyDescent="0.2">
      <c r="A831" s="75">
        <v>4209</v>
      </c>
      <c r="B831" s="76" t="s">
        <v>94</v>
      </c>
      <c r="C831" s="76">
        <v>122</v>
      </c>
      <c r="D831" s="76" t="s">
        <v>452</v>
      </c>
      <c r="E831" s="76" t="s">
        <v>426</v>
      </c>
      <c r="F831" s="77">
        <v>5141645.57</v>
      </c>
      <c r="G831" s="77">
        <v>196672.62</v>
      </c>
      <c r="H831" s="77">
        <v>5338318.1900000004</v>
      </c>
      <c r="I831" s="76" t="s">
        <v>891</v>
      </c>
      <c r="J831" s="77">
        <v>576000</v>
      </c>
      <c r="K831" s="78">
        <v>4498501.1399999997</v>
      </c>
      <c r="M831" s="79" t="str">
        <f t="shared" si="38"/>
        <v>122-4209</v>
      </c>
      <c r="N831" s="79" t="str">
        <f t="shared" si="36"/>
        <v/>
      </c>
      <c r="O831" s="79" t="str">
        <f t="shared" si="37"/>
        <v>122</v>
      </c>
      <c r="P831" s="79" t="str">
        <f>IFERROR(VLOOKUP($M831,Export!$P:$R,2,FALSE),"-")</f>
        <v>LEX Used Vehicle</v>
      </c>
      <c r="Q831" s="79" t="str">
        <f>IFERROR(VLOOKUP($M831,Export!$P:$R,3,FALSE),"-")</f>
        <v>LEX Used VehicleOverall UV retail gross profit p.u.</v>
      </c>
      <c r="R831" s="80" t="e" cm="1">
        <f t="array" ref="R831">_xlfn.IFS(P831="Service", _xlfn.IFS(I831="SALES","GP",I831="SERVICE SALES","GP",I831="PARTS SALES","GP",I831="SERVICE COS","GP",I831="PARTS COS","GP",I831="SELLING EXPENSES","Selling Expenses",I831="EMPLOYMENT EXPENSES","Selling Expenses",I831="EMPLOYMENT EXPENSES","Selling Expenses",I831="DIRECT EXPENSES","Selling Expenses",I831="INDIRECT EXPENSES","Selling Expenses"),P831="Parts",_xlfn.IFS(I831="SALES","GP",I831="SERVICE SALES","GP",I831="PARTS SALES","GP",I831="SERVICE COS","GP",I831="PARTS COS","GP",I831="SELLING EXPENSES","Selling Expenses",I831="EMPLOYMENT EXPENSES","Selling Expenses",I831="EMPLOYMENT EXPENSES","Selling Expenses",I831="DIRECT EXPENSES","Selling Expenses",I831="INDIRECT EXPENSES","Selling Expenses"))</f>
        <v>#N/A</v>
      </c>
    </row>
    <row r="832" spans="1:18" x14ac:dyDescent="0.2">
      <c r="A832" s="75">
        <v>4209</v>
      </c>
      <c r="B832" s="76" t="s">
        <v>94</v>
      </c>
      <c r="C832" s="76">
        <v>220</v>
      </c>
      <c r="D832" s="76" t="s">
        <v>437</v>
      </c>
      <c r="E832" s="76" t="s">
        <v>426</v>
      </c>
      <c r="F832" s="77">
        <v>3268869.38</v>
      </c>
      <c r="G832" s="77">
        <v>474416.01</v>
      </c>
      <c r="H832" s="77">
        <v>3743285.39</v>
      </c>
      <c r="I832" s="76" t="s">
        <v>891</v>
      </c>
      <c r="J832" s="77">
        <v>106240.91</v>
      </c>
      <c r="K832" s="78">
        <v>1347958.31</v>
      </c>
      <c r="M832" s="79" t="str">
        <f t="shared" si="38"/>
        <v>220-4209</v>
      </c>
      <c r="N832" s="79" t="str">
        <f t="shared" si="36"/>
        <v/>
      </c>
      <c r="O832" s="79" t="str">
        <f t="shared" si="37"/>
        <v>220</v>
      </c>
      <c r="P832" s="79" t="str">
        <f>IFERROR(VLOOKUP($M832,Export!$P:$R,2,FALSE),"-")</f>
        <v>Used Vehicle</v>
      </c>
      <c r="Q832" s="79" t="str">
        <f>IFERROR(VLOOKUP($M832,Export!$P:$R,3,FALSE),"-")</f>
        <v>Used VehicleOther UV retail gross profit p.u.</v>
      </c>
      <c r="R832" s="80" t="e" cm="1">
        <f t="array" ref="R832">_xlfn.IFS(P832="Service", _xlfn.IFS(I832="SALES","GP",I832="SERVICE SALES","GP",I832="PARTS SALES","GP",I832="SERVICE COS","GP",I832="PARTS COS","GP",I832="SELLING EXPENSES","Selling Expenses",I832="EMPLOYMENT EXPENSES","Selling Expenses",I832="EMPLOYMENT EXPENSES","Selling Expenses",I832="DIRECT EXPENSES","Selling Expenses",I832="INDIRECT EXPENSES","Selling Expenses"),P832="Parts",_xlfn.IFS(I832="SALES","GP",I832="SERVICE SALES","GP",I832="PARTS SALES","GP",I832="SERVICE COS","GP",I832="PARTS COS","GP",I832="SELLING EXPENSES","Selling Expenses",I832="EMPLOYMENT EXPENSES","Selling Expenses",I832="EMPLOYMENT EXPENSES","Selling Expenses",I832="DIRECT EXPENSES","Selling Expenses",I832="INDIRECT EXPENSES","Selling Expenses"))</f>
        <v>#N/A</v>
      </c>
    </row>
    <row r="833" spans="1:18" x14ac:dyDescent="0.2">
      <c r="A833" s="75">
        <v>4210</v>
      </c>
      <c r="B833" s="76" t="s">
        <v>893</v>
      </c>
      <c r="C833" s="76">
        <v>220</v>
      </c>
      <c r="D833" s="76" t="s">
        <v>437</v>
      </c>
      <c r="E833" s="76" t="s">
        <v>426</v>
      </c>
      <c r="F833" s="77">
        <v>939.57</v>
      </c>
      <c r="G833" s="77">
        <v>0</v>
      </c>
      <c r="H833" s="77">
        <v>939.57</v>
      </c>
      <c r="I833" s="76" t="s">
        <v>891</v>
      </c>
      <c r="J833" s="77">
        <v>0</v>
      </c>
      <c r="K833" s="78">
        <v>0</v>
      </c>
      <c r="M833" s="79" t="str">
        <f t="shared" si="38"/>
        <v>220-4210</v>
      </c>
      <c r="N833" s="79" t="str">
        <f t="shared" si="36"/>
        <v/>
      </c>
      <c r="O833" s="79" t="str">
        <f t="shared" si="37"/>
        <v>220</v>
      </c>
      <c r="P833" s="79" t="str">
        <f>IFERROR(VLOOKUP($M833,Export!$P:$R,2,FALSE),"-")</f>
        <v>Used Vehicle</v>
      </c>
      <c r="Q833" s="79" t="str">
        <f>IFERROR(VLOOKUP($M833,Export!$P:$R,3,FALSE),"-")</f>
        <v>Used VehicleOther UV retail gross profit p.u.</v>
      </c>
      <c r="R833" s="80" t="e" cm="1">
        <f t="array" ref="R833">_xlfn.IFS(P833="Service", _xlfn.IFS(I833="SALES","GP",I833="SERVICE SALES","GP",I833="PARTS SALES","GP",I833="SERVICE COS","GP",I833="PARTS COS","GP",I833="SELLING EXPENSES","Selling Expenses",I833="EMPLOYMENT EXPENSES","Selling Expenses",I833="EMPLOYMENT EXPENSES","Selling Expenses",I833="DIRECT EXPENSES","Selling Expenses",I833="INDIRECT EXPENSES","Selling Expenses"),P833="Parts",_xlfn.IFS(I833="SALES","GP",I833="SERVICE SALES","GP",I833="PARTS SALES","GP",I833="SERVICE COS","GP",I833="PARTS COS","GP",I833="SELLING EXPENSES","Selling Expenses",I833="EMPLOYMENT EXPENSES","Selling Expenses",I833="EMPLOYMENT EXPENSES","Selling Expenses",I833="DIRECT EXPENSES","Selling Expenses",I833="INDIRECT EXPENSES","Selling Expenses"))</f>
        <v>#N/A</v>
      </c>
    </row>
    <row r="834" spans="1:18" x14ac:dyDescent="0.2">
      <c r="A834" s="75">
        <v>4211</v>
      </c>
      <c r="B834" s="76" t="s">
        <v>894</v>
      </c>
      <c r="C834" s="76">
        <v>120</v>
      </c>
      <c r="D834" s="76" t="s">
        <v>431</v>
      </c>
      <c r="E834" s="76" t="s">
        <v>426</v>
      </c>
      <c r="F834" s="77">
        <v>473236.98</v>
      </c>
      <c r="G834" s="77">
        <v>34807.86</v>
      </c>
      <c r="H834" s="77">
        <v>508044.84</v>
      </c>
      <c r="I834" s="76" t="s">
        <v>891</v>
      </c>
      <c r="J834" s="77">
        <v>40750</v>
      </c>
      <c r="K834" s="78">
        <v>511341.82</v>
      </c>
      <c r="M834" s="79" t="str">
        <f t="shared" si="38"/>
        <v>120-4211</v>
      </c>
      <c r="N834" s="79" t="str">
        <f t="shared" ref="N834:N897" si="39">+IF(RIGHT(A834,1)="#","#","")</f>
        <v/>
      </c>
      <c r="O834" s="79" t="str">
        <f t="shared" ref="O834:O897" si="40">+C834&amp;N834</f>
        <v>120</v>
      </c>
      <c r="P834" s="79" t="str">
        <f>IFERROR(VLOOKUP($M834,Export!$P:$R,2,FALSE),"-")</f>
        <v>Used Vehicle</v>
      </c>
      <c r="Q834" s="79" t="str">
        <f>IFERROR(VLOOKUP($M834,Export!$P:$R,3,FALSE),"-")</f>
        <v>Used VehicleOther UV retail gross profit p.u.</v>
      </c>
      <c r="R834" s="80" t="e" cm="1">
        <f t="array" ref="R834">_xlfn.IFS(P834="Service", _xlfn.IFS(I834="SALES","GP",I834="SERVICE SALES","GP",I834="PARTS SALES","GP",I834="SERVICE COS","GP",I834="PARTS COS","GP",I834="SELLING EXPENSES","Selling Expenses",I834="EMPLOYMENT EXPENSES","Selling Expenses",I834="EMPLOYMENT EXPENSES","Selling Expenses",I834="DIRECT EXPENSES","Selling Expenses",I834="INDIRECT EXPENSES","Selling Expenses"),P834="Parts",_xlfn.IFS(I834="SALES","GP",I834="SERVICE SALES","GP",I834="PARTS SALES","GP",I834="SERVICE COS","GP",I834="PARTS COS","GP",I834="SELLING EXPENSES","Selling Expenses",I834="EMPLOYMENT EXPENSES","Selling Expenses",I834="EMPLOYMENT EXPENSES","Selling Expenses",I834="DIRECT EXPENSES","Selling Expenses",I834="INDIRECT EXPENSES","Selling Expenses"))</f>
        <v>#N/A</v>
      </c>
    </row>
    <row r="835" spans="1:18" x14ac:dyDescent="0.2">
      <c r="A835" s="75">
        <v>4211</v>
      </c>
      <c r="B835" s="76" t="s">
        <v>894</v>
      </c>
      <c r="C835" s="76">
        <v>122</v>
      </c>
      <c r="D835" s="76" t="s">
        <v>452</v>
      </c>
      <c r="E835" s="76" t="s">
        <v>426</v>
      </c>
      <c r="F835" s="77">
        <v>0</v>
      </c>
      <c r="G835" s="77">
        <v>0</v>
      </c>
      <c r="H835" s="77">
        <v>0</v>
      </c>
      <c r="I835" s="76" t="s">
        <v>891</v>
      </c>
      <c r="J835" s="77">
        <v>0</v>
      </c>
      <c r="K835" s="78">
        <v>223711.31</v>
      </c>
      <c r="M835" s="79" t="str">
        <f t="shared" ref="M835:M898" si="41">+C835&amp;"-"&amp;A835</f>
        <v>122-4211</v>
      </c>
      <c r="N835" s="79" t="str">
        <f t="shared" si="39"/>
        <v/>
      </c>
      <c r="O835" s="79" t="str">
        <f t="shared" si="40"/>
        <v>122</v>
      </c>
      <c r="P835" s="79" t="str">
        <f>IFERROR(VLOOKUP($M835,Export!$P:$R,2,FALSE),"-")</f>
        <v>LEX Used Vehicle</v>
      </c>
      <c r="Q835" s="79" t="str">
        <f>IFERROR(VLOOKUP($M835,Export!$P:$R,3,FALSE),"-")</f>
        <v>LEX Used VehicleOther UV retail gross profit p.u.</v>
      </c>
      <c r="R835" s="80" t="e" cm="1">
        <f t="array" ref="R835">_xlfn.IFS(P835="Service", _xlfn.IFS(I835="SALES","GP",I835="SERVICE SALES","GP",I835="PARTS SALES","GP",I835="SERVICE COS","GP",I835="PARTS COS","GP",I835="SELLING EXPENSES","Selling Expenses",I835="EMPLOYMENT EXPENSES","Selling Expenses",I835="EMPLOYMENT EXPENSES","Selling Expenses",I835="DIRECT EXPENSES","Selling Expenses",I835="INDIRECT EXPENSES","Selling Expenses"),P835="Parts",_xlfn.IFS(I835="SALES","GP",I835="SERVICE SALES","GP",I835="PARTS SALES","GP",I835="SERVICE COS","GP",I835="PARTS COS","GP",I835="SELLING EXPENSES","Selling Expenses",I835="EMPLOYMENT EXPENSES","Selling Expenses",I835="EMPLOYMENT EXPENSES","Selling Expenses",I835="DIRECT EXPENSES","Selling Expenses",I835="INDIRECT EXPENSES","Selling Expenses"))</f>
        <v>#N/A</v>
      </c>
    </row>
    <row r="836" spans="1:18" x14ac:dyDescent="0.2">
      <c r="A836" s="75">
        <v>4211</v>
      </c>
      <c r="B836" s="76" t="s">
        <v>894</v>
      </c>
      <c r="C836" s="76">
        <v>220</v>
      </c>
      <c r="D836" s="76" t="s">
        <v>437</v>
      </c>
      <c r="E836" s="76" t="s">
        <v>426</v>
      </c>
      <c r="F836" s="77">
        <v>194814</v>
      </c>
      <c r="G836" s="77">
        <v>48807.88</v>
      </c>
      <c r="H836" s="77">
        <v>243621.88</v>
      </c>
      <c r="I836" s="76" t="s">
        <v>891</v>
      </c>
      <c r="J836" s="77">
        <v>27733.33</v>
      </c>
      <c r="K836" s="78">
        <v>285713.48</v>
      </c>
      <c r="M836" s="79" t="str">
        <f t="shared" si="41"/>
        <v>220-4211</v>
      </c>
      <c r="N836" s="79" t="str">
        <f t="shared" si="39"/>
        <v/>
      </c>
      <c r="O836" s="79" t="str">
        <f t="shared" si="40"/>
        <v>220</v>
      </c>
      <c r="P836" s="79" t="str">
        <f>IFERROR(VLOOKUP($M836,Export!$P:$R,2,FALSE),"-")</f>
        <v>Used Vehicle</v>
      </c>
      <c r="Q836" s="79" t="str">
        <f>IFERROR(VLOOKUP($M836,Export!$P:$R,3,FALSE),"-")</f>
        <v>Used VehicleOther UV retail gross profit p.u.</v>
      </c>
      <c r="R836" s="80" t="e" cm="1">
        <f t="array" ref="R836">_xlfn.IFS(P836="Service", _xlfn.IFS(I836="SALES","GP",I836="SERVICE SALES","GP",I836="PARTS SALES","GP",I836="SERVICE COS","GP",I836="PARTS COS","GP",I836="SELLING EXPENSES","Selling Expenses",I836="EMPLOYMENT EXPENSES","Selling Expenses",I836="EMPLOYMENT EXPENSES","Selling Expenses",I836="DIRECT EXPENSES","Selling Expenses",I836="INDIRECT EXPENSES","Selling Expenses"),P836="Parts",_xlfn.IFS(I836="SALES","GP",I836="SERVICE SALES","GP",I836="PARTS SALES","GP",I836="SERVICE COS","GP",I836="PARTS COS","GP",I836="SELLING EXPENSES","Selling Expenses",I836="EMPLOYMENT EXPENSES","Selling Expenses",I836="EMPLOYMENT EXPENSES","Selling Expenses",I836="DIRECT EXPENSES","Selling Expenses",I836="INDIRECT EXPENSES","Selling Expenses"))</f>
        <v>#N/A</v>
      </c>
    </row>
    <row r="837" spans="1:18" x14ac:dyDescent="0.2">
      <c r="A837" s="75">
        <v>4230</v>
      </c>
      <c r="B837" s="76" t="s">
        <v>895</v>
      </c>
      <c r="C837" s="76">
        <v>120</v>
      </c>
      <c r="D837" s="76" t="s">
        <v>431</v>
      </c>
      <c r="E837" s="76" t="s">
        <v>426</v>
      </c>
      <c r="F837" s="77">
        <v>1285443.31</v>
      </c>
      <c r="G837" s="77">
        <v>58208.49</v>
      </c>
      <c r="H837" s="77">
        <v>1343651.8</v>
      </c>
      <c r="I837" s="76" t="s">
        <v>891</v>
      </c>
      <c r="J837" s="77">
        <v>70200</v>
      </c>
      <c r="K837" s="78">
        <v>703331.79</v>
      </c>
      <c r="M837" s="79" t="str">
        <f t="shared" si="41"/>
        <v>120-4230</v>
      </c>
      <c r="N837" s="79" t="str">
        <f t="shared" si="39"/>
        <v/>
      </c>
      <c r="O837" s="79" t="str">
        <f t="shared" si="40"/>
        <v>120</v>
      </c>
      <c r="P837" s="79" t="str">
        <f>IFERROR(VLOOKUP($M837,Export!$P:$R,2,FALSE),"-")</f>
        <v>Used Vehicle</v>
      </c>
      <c r="Q837" s="79" t="str">
        <f>IFERROR(VLOOKUP($M837,Export!$P:$R,3,FALSE),"-")</f>
        <v>Used VehicleGross profit per wholesale unit</v>
      </c>
      <c r="R837" s="80" t="e" cm="1">
        <f t="array" ref="R837">_xlfn.IFS(P837="Service", _xlfn.IFS(I837="SALES","GP",I837="SERVICE SALES","GP",I837="PARTS SALES","GP",I837="SERVICE COS","GP",I837="PARTS COS","GP",I837="SELLING EXPENSES","Selling Expenses",I837="EMPLOYMENT EXPENSES","Selling Expenses",I837="EMPLOYMENT EXPENSES","Selling Expenses",I837="DIRECT EXPENSES","Selling Expenses",I837="INDIRECT EXPENSES","Selling Expenses"),P837="Parts",_xlfn.IFS(I837="SALES","GP",I837="SERVICE SALES","GP",I837="PARTS SALES","GP",I837="SERVICE COS","GP",I837="PARTS COS","GP",I837="SELLING EXPENSES","Selling Expenses",I837="EMPLOYMENT EXPENSES","Selling Expenses",I837="EMPLOYMENT EXPENSES","Selling Expenses",I837="DIRECT EXPENSES","Selling Expenses",I837="INDIRECT EXPENSES","Selling Expenses"))</f>
        <v>#N/A</v>
      </c>
    </row>
    <row r="838" spans="1:18" x14ac:dyDescent="0.2">
      <c r="A838" s="75">
        <v>4230</v>
      </c>
      <c r="B838" s="76" t="s">
        <v>895</v>
      </c>
      <c r="C838" s="76">
        <v>121</v>
      </c>
      <c r="D838" s="76" t="s">
        <v>449</v>
      </c>
      <c r="E838" s="76" t="s">
        <v>426</v>
      </c>
      <c r="F838" s="77">
        <v>14083.64</v>
      </c>
      <c r="G838" s="77">
        <v>0</v>
      </c>
      <c r="H838" s="77">
        <v>14083.64</v>
      </c>
      <c r="I838" s="76" t="s">
        <v>891</v>
      </c>
      <c r="J838" s="77">
        <v>0</v>
      </c>
      <c r="K838" s="78">
        <v>0</v>
      </c>
      <c r="M838" s="79" t="str">
        <f t="shared" si="41"/>
        <v>121-4230</v>
      </c>
      <c r="N838" s="79" t="str">
        <f t="shared" si="39"/>
        <v/>
      </c>
      <c r="O838" s="79" t="str">
        <f t="shared" si="40"/>
        <v>121</v>
      </c>
      <c r="P838" s="79" t="str">
        <f>IFERROR(VLOOKUP($M838,Export!$P:$R,2,FALSE),"-")</f>
        <v>Used Vehicle</v>
      </c>
      <c r="Q838" s="79" t="str">
        <f>IFERROR(VLOOKUP($M838,Export!$P:$R,3,FALSE),"-")</f>
        <v>Used VehicleGross profit per wholesale unit</v>
      </c>
      <c r="R838" s="80" t="e" cm="1">
        <f t="array" ref="R838">_xlfn.IFS(P838="Service", _xlfn.IFS(I838="SALES","GP",I838="SERVICE SALES","GP",I838="PARTS SALES","GP",I838="SERVICE COS","GP",I838="PARTS COS","GP",I838="SELLING EXPENSES","Selling Expenses",I838="EMPLOYMENT EXPENSES","Selling Expenses",I838="EMPLOYMENT EXPENSES","Selling Expenses",I838="DIRECT EXPENSES","Selling Expenses",I838="INDIRECT EXPENSES","Selling Expenses"),P838="Parts",_xlfn.IFS(I838="SALES","GP",I838="SERVICE SALES","GP",I838="PARTS SALES","GP",I838="SERVICE COS","GP",I838="PARTS COS","GP",I838="SELLING EXPENSES","Selling Expenses",I838="EMPLOYMENT EXPENSES","Selling Expenses",I838="EMPLOYMENT EXPENSES","Selling Expenses",I838="DIRECT EXPENSES","Selling Expenses",I838="INDIRECT EXPENSES","Selling Expenses"))</f>
        <v>#N/A</v>
      </c>
    </row>
    <row r="839" spans="1:18" x14ac:dyDescent="0.2">
      <c r="A839" s="75">
        <v>4230</v>
      </c>
      <c r="B839" s="76" t="s">
        <v>895</v>
      </c>
      <c r="C839" s="76">
        <v>122</v>
      </c>
      <c r="D839" s="76" t="s">
        <v>452</v>
      </c>
      <c r="E839" s="76" t="s">
        <v>426</v>
      </c>
      <c r="F839" s="77">
        <v>40362.74</v>
      </c>
      <c r="G839" s="77">
        <v>0</v>
      </c>
      <c r="H839" s="77">
        <v>40362.74</v>
      </c>
      <c r="I839" s="76" t="s">
        <v>891</v>
      </c>
      <c r="J839" s="77">
        <v>0</v>
      </c>
      <c r="K839" s="78">
        <v>112.17</v>
      </c>
      <c r="M839" s="79" t="str">
        <f t="shared" si="41"/>
        <v>122-4230</v>
      </c>
      <c r="N839" s="79" t="str">
        <f t="shared" si="39"/>
        <v/>
      </c>
      <c r="O839" s="79" t="str">
        <f t="shared" si="40"/>
        <v>122</v>
      </c>
      <c r="P839" s="79" t="str">
        <f>IFERROR(VLOOKUP($M839,Export!$P:$R,2,FALSE),"-")</f>
        <v>LEX Used Vehicle</v>
      </c>
      <c r="Q839" s="79" t="str">
        <f>IFERROR(VLOOKUP($M839,Export!$P:$R,3,FALSE),"-")</f>
        <v>LEX Used VehicleGross profit per wholesale unit</v>
      </c>
      <c r="R839" s="80" t="e" cm="1">
        <f t="array" ref="R839">_xlfn.IFS(P839="Service", _xlfn.IFS(I839="SALES","GP",I839="SERVICE SALES","GP",I839="PARTS SALES","GP",I839="SERVICE COS","GP",I839="PARTS COS","GP",I839="SELLING EXPENSES","Selling Expenses",I839="EMPLOYMENT EXPENSES","Selling Expenses",I839="EMPLOYMENT EXPENSES","Selling Expenses",I839="DIRECT EXPENSES","Selling Expenses",I839="INDIRECT EXPENSES","Selling Expenses"),P839="Parts",_xlfn.IFS(I839="SALES","GP",I839="SERVICE SALES","GP",I839="PARTS SALES","GP",I839="SERVICE COS","GP",I839="PARTS COS","GP",I839="SELLING EXPENSES","Selling Expenses",I839="EMPLOYMENT EXPENSES","Selling Expenses",I839="EMPLOYMENT EXPENSES","Selling Expenses",I839="DIRECT EXPENSES","Selling Expenses",I839="INDIRECT EXPENSES","Selling Expenses"))</f>
        <v>#N/A</v>
      </c>
    </row>
    <row r="840" spans="1:18" x14ac:dyDescent="0.2">
      <c r="A840" s="75">
        <v>4230</v>
      </c>
      <c r="B840" s="76" t="s">
        <v>895</v>
      </c>
      <c r="C840" s="76">
        <v>220</v>
      </c>
      <c r="D840" s="76" t="s">
        <v>437</v>
      </c>
      <c r="E840" s="76" t="s">
        <v>426</v>
      </c>
      <c r="F840" s="77">
        <v>352693.9</v>
      </c>
      <c r="G840" s="77">
        <v>90543.48</v>
      </c>
      <c r="H840" s="77">
        <v>443237.38</v>
      </c>
      <c r="I840" s="76" t="s">
        <v>891</v>
      </c>
      <c r="J840" s="77">
        <v>28500</v>
      </c>
      <c r="K840" s="78">
        <v>252000.27</v>
      </c>
      <c r="M840" s="79" t="str">
        <f t="shared" si="41"/>
        <v>220-4230</v>
      </c>
      <c r="N840" s="79" t="str">
        <f t="shared" si="39"/>
        <v/>
      </c>
      <c r="O840" s="79" t="str">
        <f t="shared" si="40"/>
        <v>220</v>
      </c>
      <c r="P840" s="79" t="str">
        <f>IFERROR(VLOOKUP($M840,Export!$P:$R,2,FALSE),"-")</f>
        <v>Used Vehicle</v>
      </c>
      <c r="Q840" s="79" t="str">
        <f>IFERROR(VLOOKUP($M840,Export!$P:$R,3,FALSE),"-")</f>
        <v>Used VehicleGross profit per wholesale unit</v>
      </c>
      <c r="R840" s="80" t="e" cm="1">
        <f t="array" ref="R840">_xlfn.IFS(P840="Service", _xlfn.IFS(I840="SALES","GP",I840="SERVICE SALES","GP",I840="PARTS SALES","GP",I840="SERVICE COS","GP",I840="PARTS COS","GP",I840="SELLING EXPENSES","Selling Expenses",I840="EMPLOYMENT EXPENSES","Selling Expenses",I840="EMPLOYMENT EXPENSES","Selling Expenses",I840="DIRECT EXPENSES","Selling Expenses",I840="INDIRECT EXPENSES","Selling Expenses"),P840="Parts",_xlfn.IFS(I840="SALES","GP",I840="SERVICE SALES","GP",I840="PARTS SALES","GP",I840="SERVICE COS","GP",I840="PARTS COS","GP",I840="SELLING EXPENSES","Selling Expenses",I840="EMPLOYMENT EXPENSES","Selling Expenses",I840="EMPLOYMENT EXPENSES","Selling Expenses",I840="DIRECT EXPENSES","Selling Expenses",I840="INDIRECT EXPENSES","Selling Expenses"))</f>
        <v>#N/A</v>
      </c>
    </row>
    <row r="841" spans="1:18" x14ac:dyDescent="0.2">
      <c r="A841" s="75">
        <v>4232</v>
      </c>
      <c r="B841" s="76" t="s">
        <v>896</v>
      </c>
      <c r="C841" s="76">
        <v>120</v>
      </c>
      <c r="D841" s="76" t="s">
        <v>431</v>
      </c>
      <c r="E841" s="76" t="s">
        <v>426</v>
      </c>
      <c r="F841" s="77">
        <v>105695.64</v>
      </c>
      <c r="G841" s="77">
        <v>0</v>
      </c>
      <c r="H841" s="77">
        <v>105695.64</v>
      </c>
      <c r="I841" s="76" t="s">
        <v>891</v>
      </c>
      <c r="J841" s="77">
        <v>0</v>
      </c>
      <c r="K841" s="78">
        <v>0</v>
      </c>
      <c r="M841" s="79" t="str">
        <f t="shared" si="41"/>
        <v>120-4232</v>
      </c>
      <c r="N841" s="79" t="str">
        <f t="shared" si="39"/>
        <v/>
      </c>
      <c r="O841" s="79" t="str">
        <f t="shared" si="40"/>
        <v>120</v>
      </c>
      <c r="P841" s="79" t="str">
        <f>IFERROR(VLOOKUP($M841,Export!$P:$R,2,FALSE),"-")</f>
        <v>Used Vehicle</v>
      </c>
      <c r="Q841" s="79" t="str">
        <f>IFERROR(VLOOKUP($M841,Export!$P:$R,3,FALSE),"-")</f>
        <v>Used VehicleGross profit per wholesale unit</v>
      </c>
      <c r="R841" s="80" t="e" cm="1">
        <f t="array" ref="R841">_xlfn.IFS(P841="Service", _xlfn.IFS(I841="SALES","GP",I841="SERVICE SALES","GP",I841="PARTS SALES","GP",I841="SERVICE COS","GP",I841="PARTS COS","GP",I841="SELLING EXPENSES","Selling Expenses",I841="EMPLOYMENT EXPENSES","Selling Expenses",I841="EMPLOYMENT EXPENSES","Selling Expenses",I841="DIRECT EXPENSES","Selling Expenses",I841="INDIRECT EXPENSES","Selling Expenses"),P841="Parts",_xlfn.IFS(I841="SALES","GP",I841="SERVICE SALES","GP",I841="PARTS SALES","GP",I841="SERVICE COS","GP",I841="PARTS COS","GP",I841="SELLING EXPENSES","Selling Expenses",I841="EMPLOYMENT EXPENSES","Selling Expenses",I841="EMPLOYMENT EXPENSES","Selling Expenses",I841="DIRECT EXPENSES","Selling Expenses",I841="INDIRECT EXPENSES","Selling Expenses"))</f>
        <v>#N/A</v>
      </c>
    </row>
    <row r="842" spans="1:18" x14ac:dyDescent="0.2">
      <c r="A842" s="75">
        <v>4232</v>
      </c>
      <c r="B842" s="76" t="s">
        <v>896</v>
      </c>
      <c r="C842" s="76">
        <v>220</v>
      </c>
      <c r="D842" s="76" t="s">
        <v>437</v>
      </c>
      <c r="E842" s="76" t="s">
        <v>426</v>
      </c>
      <c r="F842" s="77">
        <v>28260.87</v>
      </c>
      <c r="G842" s="77">
        <v>0</v>
      </c>
      <c r="H842" s="77">
        <v>28260.87</v>
      </c>
      <c r="I842" s="76" t="s">
        <v>891</v>
      </c>
      <c r="J842" s="77">
        <v>0</v>
      </c>
      <c r="K842" s="78">
        <v>69504.350000000006</v>
      </c>
      <c r="M842" s="79" t="str">
        <f t="shared" si="41"/>
        <v>220-4232</v>
      </c>
      <c r="N842" s="79" t="str">
        <f t="shared" si="39"/>
        <v/>
      </c>
      <c r="O842" s="79" t="str">
        <f t="shared" si="40"/>
        <v>220</v>
      </c>
      <c r="P842" s="79" t="str">
        <f>IFERROR(VLOOKUP($M842,Export!$P:$R,2,FALSE),"-")</f>
        <v>Used Vehicle</v>
      </c>
      <c r="Q842" s="79" t="str">
        <f>IFERROR(VLOOKUP($M842,Export!$P:$R,3,FALSE),"-")</f>
        <v>Used VehicleGross profit per wholesale unit</v>
      </c>
      <c r="R842" s="80" t="e" cm="1">
        <f t="array" ref="R842">_xlfn.IFS(P842="Service", _xlfn.IFS(I842="SALES","GP",I842="SERVICE SALES","GP",I842="PARTS SALES","GP",I842="SERVICE COS","GP",I842="PARTS COS","GP",I842="SELLING EXPENSES","Selling Expenses",I842="EMPLOYMENT EXPENSES","Selling Expenses",I842="EMPLOYMENT EXPENSES","Selling Expenses",I842="DIRECT EXPENSES","Selling Expenses",I842="INDIRECT EXPENSES","Selling Expenses"),P842="Parts",_xlfn.IFS(I842="SALES","GP",I842="SERVICE SALES","GP",I842="PARTS SALES","GP",I842="SERVICE COS","GP",I842="PARTS COS","GP",I842="SELLING EXPENSES","Selling Expenses",I842="EMPLOYMENT EXPENSES","Selling Expenses",I842="EMPLOYMENT EXPENSES","Selling Expenses",I842="DIRECT EXPENSES","Selling Expenses",I842="INDIRECT EXPENSES","Selling Expenses"))</f>
        <v>#N/A</v>
      </c>
    </row>
    <row r="843" spans="1:18" x14ac:dyDescent="0.2">
      <c r="A843" s="75">
        <v>4300</v>
      </c>
      <c r="B843" s="76" t="s">
        <v>116</v>
      </c>
      <c r="C843" s="76">
        <v>140</v>
      </c>
      <c r="D843" s="76" t="s">
        <v>433</v>
      </c>
      <c r="E843" s="76" t="s">
        <v>426</v>
      </c>
      <c r="F843" s="77">
        <v>318697.46000000002</v>
      </c>
      <c r="G843" s="77">
        <v>40224.92</v>
      </c>
      <c r="H843" s="77">
        <v>358922.38</v>
      </c>
      <c r="I843" s="76" t="s">
        <v>897</v>
      </c>
      <c r="J843" s="77">
        <v>54411.7</v>
      </c>
      <c r="K843" s="78">
        <v>437208.04</v>
      </c>
      <c r="M843" s="79" t="str">
        <f t="shared" si="41"/>
        <v>140-4300</v>
      </c>
      <c r="N843" s="79" t="str">
        <f t="shared" si="39"/>
        <v/>
      </c>
      <c r="O843" s="79" t="str">
        <f t="shared" si="40"/>
        <v>140</v>
      </c>
      <c r="P843" s="79" t="str">
        <f>IFERROR(VLOOKUP($M843,Export!$P:$R,2,FALSE),"-")</f>
        <v>Service</v>
      </c>
      <c r="Q843" s="79" t="str">
        <f>IFERROR(VLOOKUP($M843,Export!$P:$R,3,FALSE),"-")</f>
        <v>ServiceRetail Gross Profit % of  Sales</v>
      </c>
      <c r="R843" s="80" t="str" cm="1">
        <f t="array" ref="R843">_xlfn.IFS(P843="Service", _xlfn.IFS(I843="SALES","GP",I843="SERVICE SALES","GP",I843="PARTS SALES","GP",I843="SERVICE COS","GP",I843="PARTS COS","GP",I843="SELLING EXPENSES","Selling Expenses",I843="EMPLOYMENT EXPENSES","Selling Expenses",I843="EMPLOYMENT EXPENSES","Selling Expenses",I843="DIRECT EXPENSES","Selling Expenses",I843="INDIRECT EXPENSES","Selling Expenses"),P843="Parts",_xlfn.IFS(I843="SALES","GP",I843="SERVICE SALES","GP",I843="PARTS SALES","GP",I843="SERVICE COS","GP",I843="PARTS COS","GP",I843="SELLING EXPENSES","Selling Expenses",I843="EMPLOYMENT EXPENSES","Selling Expenses",I843="EMPLOYMENT EXPENSES","Selling Expenses",I843="DIRECT EXPENSES","Selling Expenses",I843="INDIRECT EXPENSES","Selling Expenses"))</f>
        <v>GP</v>
      </c>
    </row>
    <row r="844" spans="1:18" x14ac:dyDescent="0.2">
      <c r="A844" s="75">
        <v>4300</v>
      </c>
      <c r="B844" s="76" t="s">
        <v>116</v>
      </c>
      <c r="C844" s="76">
        <v>142</v>
      </c>
      <c r="D844" s="76" t="s">
        <v>454</v>
      </c>
      <c r="E844" s="76" t="s">
        <v>426</v>
      </c>
      <c r="F844" s="77">
        <v>45603.82</v>
      </c>
      <c r="G844" s="77">
        <v>4313.6499999999996</v>
      </c>
      <c r="H844" s="77">
        <v>49917.47</v>
      </c>
      <c r="I844" s="76" t="s">
        <v>897</v>
      </c>
      <c r="J844" s="77">
        <v>10410.86</v>
      </c>
      <c r="K844" s="78">
        <v>75696.02</v>
      </c>
      <c r="M844" s="79" t="str">
        <f t="shared" si="41"/>
        <v>142-4300</v>
      </c>
      <c r="N844" s="79" t="str">
        <f t="shared" si="39"/>
        <v/>
      </c>
      <c r="O844" s="79" t="str">
        <f t="shared" si="40"/>
        <v>142</v>
      </c>
      <c r="P844" s="79" t="str">
        <f>IFERROR(VLOOKUP($M844,Export!$P:$R,2,FALSE),"-")</f>
        <v>Lex Service</v>
      </c>
      <c r="Q844" s="79" t="str">
        <f>IFERROR(VLOOKUP($M844,Export!$P:$R,3,FALSE),"-")</f>
        <v>Lex ServiceRetail Gross Profit % of  Sales</v>
      </c>
      <c r="R844" s="80" t="e" cm="1">
        <f t="array" ref="R844">_xlfn.IFS(P844="Service", _xlfn.IFS(I844="SALES","GP",I844="SERVICE SALES","GP",I844="PARTS SALES","GP",I844="SERVICE COS","GP",I844="PARTS COS","GP",I844="SELLING EXPENSES","Selling Expenses",I844="EMPLOYMENT EXPENSES","Selling Expenses",I844="EMPLOYMENT EXPENSES","Selling Expenses",I844="DIRECT EXPENSES","Selling Expenses",I844="INDIRECT EXPENSES","Selling Expenses"),P844="Parts",_xlfn.IFS(I844="SALES","GP",I844="SERVICE SALES","GP",I844="PARTS SALES","GP",I844="SERVICE COS","GP",I844="PARTS COS","GP",I844="SELLING EXPENSES","Selling Expenses",I844="EMPLOYMENT EXPENSES","Selling Expenses",I844="EMPLOYMENT EXPENSES","Selling Expenses",I844="DIRECT EXPENSES","Selling Expenses",I844="INDIRECT EXPENSES","Selling Expenses"))</f>
        <v>#N/A</v>
      </c>
    </row>
    <row r="845" spans="1:18" x14ac:dyDescent="0.2">
      <c r="A845" s="75">
        <v>4300</v>
      </c>
      <c r="B845" s="76" t="s">
        <v>116</v>
      </c>
      <c r="C845" s="76">
        <v>147</v>
      </c>
      <c r="D845" s="76" t="s">
        <v>699</v>
      </c>
      <c r="E845" s="76" t="s">
        <v>426</v>
      </c>
      <c r="F845" s="77">
        <v>58</v>
      </c>
      <c r="G845" s="77">
        <v>0</v>
      </c>
      <c r="H845" s="77">
        <v>58</v>
      </c>
      <c r="I845" s="76" t="s">
        <v>897</v>
      </c>
      <c r="J845" s="77">
        <v>9431.84</v>
      </c>
      <c r="K845" s="78">
        <v>117160.74</v>
      </c>
      <c r="M845" s="79" t="str">
        <f t="shared" si="41"/>
        <v>147-4300</v>
      </c>
      <c r="N845" s="79" t="str">
        <f t="shared" si="39"/>
        <v/>
      </c>
      <c r="O845" s="79" t="str">
        <f t="shared" si="40"/>
        <v>147</v>
      </c>
      <c r="P845" s="79" t="str">
        <f>IFERROR(VLOOKUP($M845,Export!$P:$R,2,FALSE),"-")</f>
        <v>Service</v>
      </c>
      <c r="Q845" s="79" t="str">
        <f>IFERROR(VLOOKUP($M845,Export!$P:$R,3,FALSE),"-")</f>
        <v>ServiceRetail Gross Profit % of  Sales</v>
      </c>
      <c r="R845" s="80" t="str" cm="1">
        <f t="array" ref="R845">_xlfn.IFS(P845="Service", _xlfn.IFS(I845="SALES","GP",I845="SERVICE SALES","GP",I845="PARTS SALES","GP",I845="SERVICE COS","GP",I845="PARTS COS","GP",I845="SELLING EXPENSES","Selling Expenses",I845="EMPLOYMENT EXPENSES","Selling Expenses",I845="EMPLOYMENT EXPENSES","Selling Expenses",I845="DIRECT EXPENSES","Selling Expenses",I845="INDIRECT EXPENSES","Selling Expenses"),P845="Parts",_xlfn.IFS(I845="SALES","GP",I845="SERVICE SALES","GP",I845="PARTS SALES","GP",I845="SERVICE COS","GP",I845="PARTS COS","GP",I845="SELLING EXPENSES","Selling Expenses",I845="EMPLOYMENT EXPENSES","Selling Expenses",I845="EMPLOYMENT EXPENSES","Selling Expenses",I845="DIRECT EXPENSES","Selling Expenses",I845="INDIRECT EXPENSES","Selling Expenses"))</f>
        <v>GP</v>
      </c>
    </row>
    <row r="846" spans="1:18" x14ac:dyDescent="0.2">
      <c r="A846" s="75">
        <v>4300</v>
      </c>
      <c r="B846" s="76" t="s">
        <v>116</v>
      </c>
      <c r="C846" s="76">
        <v>150</v>
      </c>
      <c r="D846" s="76" t="s">
        <v>700</v>
      </c>
      <c r="E846" s="76" t="s">
        <v>426</v>
      </c>
      <c r="F846" s="77">
        <v>584.92999999999995</v>
      </c>
      <c r="G846" s="77">
        <v>132</v>
      </c>
      <c r="H846" s="77">
        <v>716.93</v>
      </c>
      <c r="I846" s="76" t="s">
        <v>897</v>
      </c>
      <c r="J846" s="77">
        <v>0</v>
      </c>
      <c r="K846" s="78">
        <v>0</v>
      </c>
      <c r="M846" s="79" t="str">
        <f t="shared" si="41"/>
        <v>150-4300</v>
      </c>
      <c r="N846" s="79" t="str">
        <f t="shared" si="39"/>
        <v/>
      </c>
      <c r="O846" s="79" t="str">
        <f t="shared" si="40"/>
        <v>150</v>
      </c>
      <c r="P846" s="79" t="str">
        <f>IFERROR(VLOOKUP($M846,Export!$P:$R,2,FALSE),"-")</f>
        <v>Retail Detailing</v>
      </c>
      <c r="Q846" s="79" t="str">
        <f>IFERROR(VLOOKUP($M846,Export!$P:$R,3,FALSE),"-")</f>
        <v>Retail DetailingRetail Gross Profit % of  Sales</v>
      </c>
      <c r="R846" s="80" t="e" cm="1">
        <f t="array" ref="R846">_xlfn.IFS(P846="Service", _xlfn.IFS(I846="SALES","GP",I846="SERVICE SALES","GP",I846="PARTS SALES","GP",I846="SERVICE COS","GP",I846="PARTS COS","GP",I846="SELLING EXPENSES","Selling Expenses",I846="EMPLOYMENT EXPENSES","Selling Expenses",I846="EMPLOYMENT EXPENSES","Selling Expenses",I846="DIRECT EXPENSES","Selling Expenses",I846="INDIRECT EXPENSES","Selling Expenses"),P846="Parts",_xlfn.IFS(I846="SALES","GP",I846="SERVICE SALES","GP",I846="PARTS SALES","GP",I846="SERVICE COS","GP",I846="PARTS COS","GP",I846="SELLING EXPENSES","Selling Expenses",I846="EMPLOYMENT EXPENSES","Selling Expenses",I846="EMPLOYMENT EXPENSES","Selling Expenses",I846="DIRECT EXPENSES","Selling Expenses",I846="INDIRECT EXPENSES","Selling Expenses"))</f>
        <v>#N/A</v>
      </c>
    </row>
    <row r="847" spans="1:18" x14ac:dyDescent="0.2">
      <c r="A847" s="75">
        <v>4300</v>
      </c>
      <c r="B847" s="76" t="s">
        <v>116</v>
      </c>
      <c r="C847" s="76">
        <v>240</v>
      </c>
      <c r="D847" s="76" t="s">
        <v>439</v>
      </c>
      <c r="E847" s="76" t="s">
        <v>426</v>
      </c>
      <c r="F847" s="77">
        <v>165460.29</v>
      </c>
      <c r="G847" s="77">
        <v>16921.21</v>
      </c>
      <c r="H847" s="77">
        <v>182381.5</v>
      </c>
      <c r="I847" s="76" t="s">
        <v>897</v>
      </c>
      <c r="J847" s="77">
        <v>39647.25</v>
      </c>
      <c r="K847" s="78">
        <v>290994.17</v>
      </c>
      <c r="M847" s="79" t="str">
        <f t="shared" si="41"/>
        <v>240-4300</v>
      </c>
      <c r="N847" s="79" t="str">
        <f t="shared" si="39"/>
        <v/>
      </c>
      <c r="O847" s="79" t="str">
        <f t="shared" si="40"/>
        <v>240</v>
      </c>
      <c r="P847" s="79" t="str">
        <f>IFERROR(VLOOKUP($M847,Export!$P:$R,2,FALSE),"-")</f>
        <v>Service</v>
      </c>
      <c r="Q847" s="79" t="str">
        <f>IFERROR(VLOOKUP($M847,Export!$P:$R,3,FALSE),"-")</f>
        <v>ServiceRetail Gross Profit % of  Sales</v>
      </c>
      <c r="R847" s="80" t="str" cm="1">
        <f t="array" ref="R847">_xlfn.IFS(P847="Service", _xlfn.IFS(I847="SALES","GP",I847="SERVICE SALES","GP",I847="PARTS SALES","GP",I847="SERVICE COS","GP",I847="PARTS COS","GP",I847="SELLING EXPENSES","Selling Expenses",I847="EMPLOYMENT EXPENSES","Selling Expenses",I847="EMPLOYMENT EXPENSES","Selling Expenses",I847="DIRECT EXPENSES","Selling Expenses",I847="INDIRECT EXPENSES","Selling Expenses"),P847="Parts",_xlfn.IFS(I847="SALES","GP",I847="SERVICE SALES","GP",I847="PARTS SALES","GP",I847="SERVICE COS","GP",I847="PARTS COS","GP",I847="SELLING EXPENSES","Selling Expenses",I847="EMPLOYMENT EXPENSES","Selling Expenses",I847="EMPLOYMENT EXPENSES","Selling Expenses",I847="DIRECT EXPENSES","Selling Expenses",I847="INDIRECT EXPENSES","Selling Expenses"))</f>
        <v>GP</v>
      </c>
    </row>
    <row r="848" spans="1:18" x14ac:dyDescent="0.2">
      <c r="A848" s="75">
        <v>4300</v>
      </c>
      <c r="B848" s="76" t="s">
        <v>116</v>
      </c>
      <c r="C848" s="76">
        <v>340</v>
      </c>
      <c r="D848" s="76" t="s">
        <v>440</v>
      </c>
      <c r="E848" s="76" t="s">
        <v>426</v>
      </c>
      <c r="F848" s="77">
        <v>122671.33</v>
      </c>
      <c r="G848" s="77">
        <v>13016.36</v>
      </c>
      <c r="H848" s="77">
        <v>135687.69</v>
      </c>
      <c r="I848" s="76" t="s">
        <v>897</v>
      </c>
      <c r="J848" s="77">
        <v>27540</v>
      </c>
      <c r="K848" s="78">
        <v>205645.96</v>
      </c>
      <c r="M848" s="79" t="str">
        <f t="shared" si="41"/>
        <v>340-4300</v>
      </c>
      <c r="N848" s="79" t="str">
        <f t="shared" si="39"/>
        <v/>
      </c>
      <c r="O848" s="79" t="str">
        <f t="shared" si="40"/>
        <v>340</v>
      </c>
      <c r="P848" s="79" t="str">
        <f>IFERROR(VLOOKUP($M848,Export!$P:$R,2,FALSE),"-")</f>
        <v>Service</v>
      </c>
      <c r="Q848" s="79" t="str">
        <f>IFERROR(VLOOKUP($M848,Export!$P:$R,3,FALSE),"-")</f>
        <v>ServiceRetail Gross Profit % of  Sales</v>
      </c>
      <c r="R848" s="80" t="str" cm="1">
        <f t="array" ref="R848">_xlfn.IFS(P848="Service", _xlfn.IFS(I848="SALES","GP",I848="SERVICE SALES","GP",I848="PARTS SALES","GP",I848="SERVICE COS","GP",I848="PARTS COS","GP",I848="SELLING EXPENSES","Selling Expenses",I848="EMPLOYMENT EXPENSES","Selling Expenses",I848="EMPLOYMENT EXPENSES","Selling Expenses",I848="DIRECT EXPENSES","Selling Expenses",I848="INDIRECT EXPENSES","Selling Expenses"),P848="Parts",_xlfn.IFS(I848="SALES","GP",I848="SERVICE SALES","GP",I848="PARTS SALES","GP",I848="SERVICE COS","GP",I848="PARTS COS","GP",I848="SELLING EXPENSES","Selling Expenses",I848="EMPLOYMENT EXPENSES","Selling Expenses",I848="EMPLOYMENT EXPENSES","Selling Expenses",I848="DIRECT EXPENSES","Selling Expenses",I848="INDIRECT EXPENSES","Selling Expenses"))</f>
        <v>GP</v>
      </c>
    </row>
    <row r="849" spans="1:18" x14ac:dyDescent="0.2">
      <c r="A849" s="75">
        <v>4300</v>
      </c>
      <c r="B849" s="76" t="s">
        <v>116</v>
      </c>
      <c r="C849" s="76">
        <v>440</v>
      </c>
      <c r="D849" s="76" t="s">
        <v>441</v>
      </c>
      <c r="E849" s="76" t="s">
        <v>426</v>
      </c>
      <c r="F849" s="77">
        <v>88588.61</v>
      </c>
      <c r="G849" s="77">
        <v>9363.59</v>
      </c>
      <c r="H849" s="77">
        <v>97952.2</v>
      </c>
      <c r="I849" s="76" t="s">
        <v>897</v>
      </c>
      <c r="J849" s="77">
        <v>7504.78</v>
      </c>
      <c r="K849" s="78">
        <v>64794.9</v>
      </c>
      <c r="M849" s="79" t="str">
        <f t="shared" si="41"/>
        <v>440-4300</v>
      </c>
      <c r="N849" s="79" t="str">
        <f t="shared" si="39"/>
        <v/>
      </c>
      <c r="O849" s="79" t="str">
        <f t="shared" si="40"/>
        <v>440</v>
      </c>
      <c r="P849" s="79" t="str">
        <f>IFERROR(VLOOKUP($M849,Export!$P:$R,2,FALSE),"-")</f>
        <v>Service</v>
      </c>
      <c r="Q849" s="79" t="str">
        <f>IFERROR(VLOOKUP($M849,Export!$P:$R,3,FALSE),"-")</f>
        <v>ServiceRetail Gross Profit % of  Sales</v>
      </c>
      <c r="R849" s="80" t="str" cm="1">
        <f t="array" ref="R849">_xlfn.IFS(P849="Service", _xlfn.IFS(I849="SALES","GP",I849="SERVICE SALES","GP",I849="PARTS SALES","GP",I849="SERVICE COS","GP",I849="PARTS COS","GP",I849="SELLING EXPENSES","Selling Expenses",I849="EMPLOYMENT EXPENSES","Selling Expenses",I849="EMPLOYMENT EXPENSES","Selling Expenses",I849="DIRECT EXPENSES","Selling Expenses",I849="INDIRECT EXPENSES","Selling Expenses"),P849="Parts",_xlfn.IFS(I849="SALES","GP",I849="SERVICE SALES","GP",I849="PARTS SALES","GP",I849="SERVICE COS","GP",I849="PARTS COS","GP",I849="SELLING EXPENSES","Selling Expenses",I849="EMPLOYMENT EXPENSES","Selling Expenses",I849="EMPLOYMENT EXPENSES","Selling Expenses",I849="DIRECT EXPENSES","Selling Expenses",I849="INDIRECT EXPENSES","Selling Expenses"))</f>
        <v>GP</v>
      </c>
    </row>
    <row r="850" spans="1:18" x14ac:dyDescent="0.2">
      <c r="A850" s="75">
        <v>4301</v>
      </c>
      <c r="B850" s="76" t="s">
        <v>898</v>
      </c>
      <c r="C850" s="76">
        <v>140</v>
      </c>
      <c r="D850" s="76" t="s">
        <v>433</v>
      </c>
      <c r="E850" s="76" t="s">
        <v>426</v>
      </c>
      <c r="F850" s="77">
        <v>35476.43</v>
      </c>
      <c r="G850" s="77">
        <v>3342.6</v>
      </c>
      <c r="H850" s="77">
        <v>38819.03</v>
      </c>
      <c r="I850" s="76" t="s">
        <v>897</v>
      </c>
      <c r="J850" s="77">
        <v>0</v>
      </c>
      <c r="K850" s="78">
        <v>19404.52</v>
      </c>
      <c r="M850" s="79" t="str">
        <f t="shared" si="41"/>
        <v>140-4301</v>
      </c>
      <c r="N850" s="79" t="str">
        <f t="shared" si="39"/>
        <v/>
      </c>
      <c r="O850" s="79" t="str">
        <f t="shared" si="40"/>
        <v>140</v>
      </c>
      <c r="P850" s="79" t="str">
        <f>IFERROR(VLOOKUP($M850,Export!$P:$R,2,FALSE),"-")</f>
        <v>Service</v>
      </c>
      <c r="Q850" s="79" t="str">
        <f>IFERROR(VLOOKUP($M850,Export!$P:$R,3,FALSE),"-")</f>
        <v>ServiceRetail Gross Profit % of  Sales</v>
      </c>
      <c r="R850" s="80" t="str" cm="1">
        <f t="array" ref="R850">_xlfn.IFS(P850="Service", _xlfn.IFS(I850="SALES","GP",I850="SERVICE SALES","GP",I850="PARTS SALES","GP",I850="SERVICE COS","GP",I850="PARTS COS","GP",I850="SELLING EXPENSES","Selling Expenses",I850="EMPLOYMENT EXPENSES","Selling Expenses",I850="EMPLOYMENT EXPENSES","Selling Expenses",I850="DIRECT EXPENSES","Selling Expenses",I850="INDIRECT EXPENSES","Selling Expenses"),P850="Parts",_xlfn.IFS(I850="SALES","GP",I850="SERVICE SALES","GP",I850="PARTS SALES","GP",I850="SERVICE COS","GP",I850="PARTS COS","GP",I850="SELLING EXPENSES","Selling Expenses",I850="EMPLOYMENT EXPENSES","Selling Expenses",I850="EMPLOYMENT EXPENSES","Selling Expenses",I850="DIRECT EXPENSES","Selling Expenses",I850="INDIRECT EXPENSES","Selling Expenses"))</f>
        <v>GP</v>
      </c>
    </row>
    <row r="851" spans="1:18" x14ac:dyDescent="0.2">
      <c r="A851" s="75">
        <v>4301</v>
      </c>
      <c r="B851" s="76" t="s">
        <v>898</v>
      </c>
      <c r="C851" s="76">
        <v>142</v>
      </c>
      <c r="D851" s="76" t="s">
        <v>454</v>
      </c>
      <c r="E851" s="76" t="s">
        <v>426</v>
      </c>
      <c r="F851" s="77">
        <v>35144.07</v>
      </c>
      <c r="G851" s="77">
        <v>3558.07</v>
      </c>
      <c r="H851" s="77">
        <v>38702.14</v>
      </c>
      <c r="I851" s="76" t="s">
        <v>897</v>
      </c>
      <c r="J851" s="77">
        <v>0</v>
      </c>
      <c r="K851" s="78">
        <v>14176.77</v>
      </c>
      <c r="M851" s="79" t="str">
        <f t="shared" si="41"/>
        <v>142-4301</v>
      </c>
      <c r="N851" s="79" t="str">
        <f t="shared" si="39"/>
        <v/>
      </c>
      <c r="O851" s="79" t="str">
        <f t="shared" si="40"/>
        <v>142</v>
      </c>
      <c r="P851" s="79" t="str">
        <f>IFERROR(VLOOKUP($M851,Export!$P:$R,2,FALSE),"-")</f>
        <v>Lex Service</v>
      </c>
      <c r="Q851" s="79" t="str">
        <f>IFERROR(VLOOKUP($M851,Export!$P:$R,3,FALSE),"-")</f>
        <v>Lex ServiceRetail Gross Profit % of  Sales</v>
      </c>
      <c r="R851" s="80" t="e" cm="1">
        <f t="array" ref="R851">_xlfn.IFS(P851="Service", _xlfn.IFS(I851="SALES","GP",I851="SERVICE SALES","GP",I851="PARTS SALES","GP",I851="SERVICE COS","GP",I851="PARTS COS","GP",I851="SELLING EXPENSES","Selling Expenses",I851="EMPLOYMENT EXPENSES","Selling Expenses",I851="EMPLOYMENT EXPENSES","Selling Expenses",I851="DIRECT EXPENSES","Selling Expenses",I851="INDIRECT EXPENSES","Selling Expenses"),P851="Parts",_xlfn.IFS(I851="SALES","GP",I851="SERVICE SALES","GP",I851="PARTS SALES","GP",I851="SERVICE COS","GP",I851="PARTS COS","GP",I851="SELLING EXPENSES","Selling Expenses",I851="EMPLOYMENT EXPENSES","Selling Expenses",I851="EMPLOYMENT EXPENSES","Selling Expenses",I851="DIRECT EXPENSES","Selling Expenses",I851="INDIRECT EXPENSES","Selling Expenses"))</f>
        <v>#N/A</v>
      </c>
    </row>
    <row r="852" spans="1:18" x14ac:dyDescent="0.2">
      <c r="A852" s="75">
        <v>4301</v>
      </c>
      <c r="B852" s="76" t="s">
        <v>898</v>
      </c>
      <c r="C852" s="76">
        <v>147</v>
      </c>
      <c r="D852" s="76" t="s">
        <v>699</v>
      </c>
      <c r="E852" s="76" t="s">
        <v>426</v>
      </c>
      <c r="F852" s="77">
        <v>0</v>
      </c>
      <c r="G852" s="77">
        <v>0</v>
      </c>
      <c r="H852" s="77">
        <v>0</v>
      </c>
      <c r="I852" s="76" t="s">
        <v>897</v>
      </c>
      <c r="J852" s="77">
        <v>0</v>
      </c>
      <c r="K852" s="78">
        <v>287.27</v>
      </c>
      <c r="M852" s="79" t="str">
        <f t="shared" si="41"/>
        <v>147-4301</v>
      </c>
      <c r="N852" s="79" t="str">
        <f t="shared" si="39"/>
        <v/>
      </c>
      <c r="O852" s="79" t="str">
        <f t="shared" si="40"/>
        <v>147</v>
      </c>
      <c r="P852" s="79" t="str">
        <f>IFERROR(VLOOKUP($M852,Export!$P:$R,2,FALSE),"-")</f>
        <v>Service</v>
      </c>
      <c r="Q852" s="79" t="str">
        <f>IFERROR(VLOOKUP($M852,Export!$P:$R,3,FALSE),"-")</f>
        <v>ServiceRetail Gross Profit % of  Sales</v>
      </c>
      <c r="R852" s="80" t="str" cm="1">
        <f t="array" ref="R852">_xlfn.IFS(P852="Service", _xlfn.IFS(I852="SALES","GP",I852="SERVICE SALES","GP",I852="PARTS SALES","GP",I852="SERVICE COS","GP",I852="PARTS COS","GP",I852="SELLING EXPENSES","Selling Expenses",I852="EMPLOYMENT EXPENSES","Selling Expenses",I852="EMPLOYMENT EXPENSES","Selling Expenses",I852="DIRECT EXPENSES","Selling Expenses",I852="INDIRECT EXPENSES","Selling Expenses"),P852="Parts",_xlfn.IFS(I852="SALES","GP",I852="SERVICE SALES","GP",I852="PARTS SALES","GP",I852="SERVICE COS","GP",I852="PARTS COS","GP",I852="SELLING EXPENSES","Selling Expenses",I852="EMPLOYMENT EXPENSES","Selling Expenses",I852="EMPLOYMENT EXPENSES","Selling Expenses",I852="DIRECT EXPENSES","Selling Expenses",I852="INDIRECT EXPENSES","Selling Expenses"))</f>
        <v>GP</v>
      </c>
    </row>
    <row r="853" spans="1:18" x14ac:dyDescent="0.2">
      <c r="A853" s="75">
        <v>4301</v>
      </c>
      <c r="B853" s="76" t="s">
        <v>898</v>
      </c>
      <c r="C853" s="76">
        <v>240</v>
      </c>
      <c r="D853" s="76" t="s">
        <v>439</v>
      </c>
      <c r="E853" s="76" t="s">
        <v>426</v>
      </c>
      <c r="F853" s="77">
        <v>21043.13</v>
      </c>
      <c r="G853" s="77">
        <v>2727.29</v>
      </c>
      <c r="H853" s="77">
        <v>23770.42</v>
      </c>
      <c r="I853" s="76" t="s">
        <v>897</v>
      </c>
      <c r="J853" s="77">
        <v>0</v>
      </c>
      <c r="K853" s="78">
        <v>7943.95</v>
      </c>
      <c r="M853" s="79" t="str">
        <f t="shared" si="41"/>
        <v>240-4301</v>
      </c>
      <c r="N853" s="79" t="str">
        <f t="shared" si="39"/>
        <v/>
      </c>
      <c r="O853" s="79" t="str">
        <f t="shared" si="40"/>
        <v>240</v>
      </c>
      <c r="P853" s="79" t="str">
        <f>IFERROR(VLOOKUP($M853,Export!$P:$R,2,FALSE),"-")</f>
        <v>Service</v>
      </c>
      <c r="Q853" s="79" t="str">
        <f>IFERROR(VLOOKUP($M853,Export!$P:$R,3,FALSE),"-")</f>
        <v>ServiceRetail Gross Profit % of  Sales</v>
      </c>
      <c r="R853" s="80" t="str" cm="1">
        <f t="array" ref="R853">_xlfn.IFS(P853="Service", _xlfn.IFS(I853="SALES","GP",I853="SERVICE SALES","GP",I853="PARTS SALES","GP",I853="SERVICE COS","GP",I853="PARTS COS","GP",I853="SELLING EXPENSES","Selling Expenses",I853="EMPLOYMENT EXPENSES","Selling Expenses",I853="EMPLOYMENT EXPENSES","Selling Expenses",I853="DIRECT EXPENSES","Selling Expenses",I853="INDIRECT EXPENSES","Selling Expenses"),P853="Parts",_xlfn.IFS(I853="SALES","GP",I853="SERVICE SALES","GP",I853="PARTS SALES","GP",I853="SERVICE COS","GP",I853="PARTS COS","GP",I853="SELLING EXPENSES","Selling Expenses",I853="EMPLOYMENT EXPENSES","Selling Expenses",I853="EMPLOYMENT EXPENSES","Selling Expenses",I853="DIRECT EXPENSES","Selling Expenses",I853="INDIRECT EXPENSES","Selling Expenses"))</f>
        <v>GP</v>
      </c>
    </row>
    <row r="854" spans="1:18" x14ac:dyDescent="0.2">
      <c r="A854" s="75">
        <v>4301</v>
      </c>
      <c r="B854" s="76" t="s">
        <v>898</v>
      </c>
      <c r="C854" s="76">
        <v>340</v>
      </c>
      <c r="D854" s="76" t="s">
        <v>440</v>
      </c>
      <c r="E854" s="76" t="s">
        <v>426</v>
      </c>
      <c r="F854" s="77">
        <v>10370.299999999999</v>
      </c>
      <c r="G854" s="77">
        <v>1206.18</v>
      </c>
      <c r="H854" s="77">
        <v>11576.48</v>
      </c>
      <c r="I854" s="76" t="s">
        <v>897</v>
      </c>
      <c r="J854" s="77">
        <v>0</v>
      </c>
      <c r="K854" s="78">
        <v>5318.8</v>
      </c>
      <c r="M854" s="79" t="str">
        <f t="shared" si="41"/>
        <v>340-4301</v>
      </c>
      <c r="N854" s="79" t="str">
        <f t="shared" si="39"/>
        <v/>
      </c>
      <c r="O854" s="79" t="str">
        <f t="shared" si="40"/>
        <v>340</v>
      </c>
      <c r="P854" s="79" t="str">
        <f>IFERROR(VLOOKUP($M854,Export!$P:$R,2,FALSE),"-")</f>
        <v>Service</v>
      </c>
      <c r="Q854" s="79" t="str">
        <f>IFERROR(VLOOKUP($M854,Export!$P:$R,3,FALSE),"-")</f>
        <v>ServiceRetail Gross Profit % of  Sales</v>
      </c>
      <c r="R854" s="80" t="str" cm="1">
        <f t="array" ref="R854">_xlfn.IFS(P854="Service", _xlfn.IFS(I854="SALES","GP",I854="SERVICE SALES","GP",I854="PARTS SALES","GP",I854="SERVICE COS","GP",I854="PARTS COS","GP",I854="SELLING EXPENSES","Selling Expenses",I854="EMPLOYMENT EXPENSES","Selling Expenses",I854="EMPLOYMENT EXPENSES","Selling Expenses",I854="DIRECT EXPENSES","Selling Expenses",I854="INDIRECT EXPENSES","Selling Expenses"),P854="Parts",_xlfn.IFS(I854="SALES","GP",I854="SERVICE SALES","GP",I854="PARTS SALES","GP",I854="SERVICE COS","GP",I854="PARTS COS","GP",I854="SELLING EXPENSES","Selling Expenses",I854="EMPLOYMENT EXPENSES","Selling Expenses",I854="EMPLOYMENT EXPENSES","Selling Expenses",I854="DIRECT EXPENSES","Selling Expenses",I854="INDIRECT EXPENSES","Selling Expenses"))</f>
        <v>GP</v>
      </c>
    </row>
    <row r="855" spans="1:18" x14ac:dyDescent="0.2">
      <c r="A855" s="75">
        <v>4301</v>
      </c>
      <c r="B855" s="76" t="s">
        <v>898</v>
      </c>
      <c r="C855" s="76">
        <v>440</v>
      </c>
      <c r="D855" s="76" t="s">
        <v>441</v>
      </c>
      <c r="E855" s="76" t="s">
        <v>426</v>
      </c>
      <c r="F855" s="77">
        <v>7276.15</v>
      </c>
      <c r="G855" s="77">
        <v>1302.68</v>
      </c>
      <c r="H855" s="77">
        <v>8578.83</v>
      </c>
      <c r="I855" s="76" t="s">
        <v>897</v>
      </c>
      <c r="J855" s="77">
        <v>0</v>
      </c>
      <c r="K855" s="78">
        <v>1166.8699999999999</v>
      </c>
      <c r="M855" s="79" t="str">
        <f t="shared" si="41"/>
        <v>440-4301</v>
      </c>
      <c r="N855" s="79" t="str">
        <f t="shared" si="39"/>
        <v/>
      </c>
      <c r="O855" s="79" t="str">
        <f t="shared" si="40"/>
        <v>440</v>
      </c>
      <c r="P855" s="79" t="str">
        <f>IFERROR(VLOOKUP($M855,Export!$P:$R,2,FALSE),"-")</f>
        <v>Service</v>
      </c>
      <c r="Q855" s="79" t="str">
        <f>IFERROR(VLOOKUP($M855,Export!$P:$R,3,FALSE),"-")</f>
        <v>ServiceRetail Gross Profit % of  Sales</v>
      </c>
      <c r="R855" s="80" t="str" cm="1">
        <f t="array" ref="R855">_xlfn.IFS(P855="Service", _xlfn.IFS(I855="SALES","GP",I855="SERVICE SALES","GP",I855="PARTS SALES","GP",I855="SERVICE COS","GP",I855="PARTS COS","GP",I855="SELLING EXPENSES","Selling Expenses",I855="EMPLOYMENT EXPENSES","Selling Expenses",I855="EMPLOYMENT EXPENSES","Selling Expenses",I855="DIRECT EXPENSES","Selling Expenses",I855="INDIRECT EXPENSES","Selling Expenses"),P855="Parts",_xlfn.IFS(I855="SALES","GP",I855="SERVICE SALES","GP",I855="PARTS SALES","GP",I855="SERVICE COS","GP",I855="PARTS COS","GP",I855="SELLING EXPENSES","Selling Expenses",I855="EMPLOYMENT EXPENSES","Selling Expenses",I855="EMPLOYMENT EXPENSES","Selling Expenses",I855="DIRECT EXPENSES","Selling Expenses",I855="INDIRECT EXPENSES","Selling Expenses"))</f>
        <v>GP</v>
      </c>
    </row>
    <row r="856" spans="1:18" x14ac:dyDescent="0.2">
      <c r="A856" s="75">
        <v>4302</v>
      </c>
      <c r="B856" s="76" t="s">
        <v>899</v>
      </c>
      <c r="C856" s="76">
        <v>140</v>
      </c>
      <c r="D856" s="76" t="s">
        <v>433</v>
      </c>
      <c r="E856" s="76" t="s">
        <v>426</v>
      </c>
      <c r="F856" s="77">
        <v>15733.54</v>
      </c>
      <c r="G856" s="77">
        <v>1069.9100000000001</v>
      </c>
      <c r="H856" s="77">
        <v>16803.45</v>
      </c>
      <c r="I856" s="76" t="s">
        <v>897</v>
      </c>
      <c r="J856" s="77">
        <v>0</v>
      </c>
      <c r="K856" s="78">
        <v>3880.58</v>
      </c>
      <c r="M856" s="79" t="str">
        <f t="shared" si="41"/>
        <v>140-4302</v>
      </c>
      <c r="N856" s="79" t="str">
        <f t="shared" si="39"/>
        <v/>
      </c>
      <c r="O856" s="79" t="str">
        <f t="shared" si="40"/>
        <v>140</v>
      </c>
      <c r="P856" s="79" t="str">
        <f>IFERROR(VLOOKUP($M856,Export!$P:$R,2,FALSE),"-")</f>
        <v>Service</v>
      </c>
      <c r="Q856" s="79" t="str">
        <f>IFERROR(VLOOKUP($M856,Export!$P:$R,3,FALSE),"-")</f>
        <v>ServiceRetail Gross Profit % of  Sales</v>
      </c>
      <c r="R856" s="80" t="str" cm="1">
        <f t="array" ref="R856">_xlfn.IFS(P856="Service", _xlfn.IFS(I856="SALES","GP",I856="SERVICE SALES","GP",I856="PARTS SALES","GP",I856="SERVICE COS","GP",I856="PARTS COS","GP",I856="SELLING EXPENSES","Selling Expenses",I856="EMPLOYMENT EXPENSES","Selling Expenses",I856="EMPLOYMENT EXPENSES","Selling Expenses",I856="DIRECT EXPENSES","Selling Expenses",I856="INDIRECT EXPENSES","Selling Expenses"),P856="Parts",_xlfn.IFS(I856="SALES","GP",I856="SERVICE SALES","GP",I856="PARTS SALES","GP",I856="SERVICE COS","GP",I856="PARTS COS","GP",I856="SELLING EXPENSES","Selling Expenses",I856="EMPLOYMENT EXPENSES","Selling Expenses",I856="EMPLOYMENT EXPENSES","Selling Expenses",I856="DIRECT EXPENSES","Selling Expenses",I856="INDIRECT EXPENSES","Selling Expenses"))</f>
        <v>GP</v>
      </c>
    </row>
    <row r="857" spans="1:18" x14ac:dyDescent="0.2">
      <c r="A857" s="75">
        <v>4302</v>
      </c>
      <c r="B857" s="76" t="s">
        <v>899</v>
      </c>
      <c r="C857" s="76">
        <v>142</v>
      </c>
      <c r="D857" s="76" t="s">
        <v>454</v>
      </c>
      <c r="E857" s="76" t="s">
        <v>426</v>
      </c>
      <c r="F857" s="77">
        <v>241.36</v>
      </c>
      <c r="G857" s="77">
        <v>28.08</v>
      </c>
      <c r="H857" s="77">
        <v>269.44</v>
      </c>
      <c r="I857" s="76" t="s">
        <v>897</v>
      </c>
      <c r="J857" s="77">
        <v>0</v>
      </c>
      <c r="K857" s="78">
        <v>0</v>
      </c>
      <c r="M857" s="79" t="str">
        <f t="shared" si="41"/>
        <v>142-4302</v>
      </c>
      <c r="N857" s="79" t="str">
        <f t="shared" si="39"/>
        <v/>
      </c>
      <c r="O857" s="79" t="str">
        <f t="shared" si="40"/>
        <v>142</v>
      </c>
      <c r="P857" s="79" t="str">
        <f>IFERROR(VLOOKUP($M857,Export!$P:$R,2,FALSE),"-")</f>
        <v>Lex Service</v>
      </c>
      <c r="Q857" s="79" t="str">
        <f>IFERROR(VLOOKUP($M857,Export!$P:$R,3,FALSE),"-")</f>
        <v>Lex ServiceRetail Gross Profit % of  Sales</v>
      </c>
      <c r="R857" s="80" t="e" cm="1">
        <f t="array" ref="R857">_xlfn.IFS(P857="Service", _xlfn.IFS(I857="SALES","GP",I857="SERVICE SALES","GP",I857="PARTS SALES","GP",I857="SERVICE COS","GP",I857="PARTS COS","GP",I857="SELLING EXPENSES","Selling Expenses",I857="EMPLOYMENT EXPENSES","Selling Expenses",I857="EMPLOYMENT EXPENSES","Selling Expenses",I857="DIRECT EXPENSES","Selling Expenses",I857="INDIRECT EXPENSES","Selling Expenses"),P857="Parts",_xlfn.IFS(I857="SALES","GP",I857="SERVICE SALES","GP",I857="PARTS SALES","GP",I857="SERVICE COS","GP",I857="PARTS COS","GP",I857="SELLING EXPENSES","Selling Expenses",I857="EMPLOYMENT EXPENSES","Selling Expenses",I857="EMPLOYMENT EXPENSES","Selling Expenses",I857="DIRECT EXPENSES","Selling Expenses",I857="INDIRECT EXPENSES","Selling Expenses"))</f>
        <v>#N/A</v>
      </c>
    </row>
    <row r="858" spans="1:18" x14ac:dyDescent="0.2">
      <c r="A858" s="75">
        <v>4302</v>
      </c>
      <c r="B858" s="76" t="s">
        <v>899</v>
      </c>
      <c r="C858" s="76">
        <v>147</v>
      </c>
      <c r="D858" s="76" t="s">
        <v>699</v>
      </c>
      <c r="E858" s="76" t="s">
        <v>426</v>
      </c>
      <c r="F858" s="77">
        <v>32.1</v>
      </c>
      <c r="G858" s="77">
        <v>0</v>
      </c>
      <c r="H858" s="77">
        <v>32.1</v>
      </c>
      <c r="I858" s="76" t="s">
        <v>897</v>
      </c>
      <c r="J858" s="77">
        <v>0</v>
      </c>
      <c r="K858" s="78">
        <v>658.87</v>
      </c>
      <c r="M858" s="79" t="str">
        <f t="shared" si="41"/>
        <v>147-4302</v>
      </c>
      <c r="N858" s="79" t="str">
        <f t="shared" si="39"/>
        <v/>
      </c>
      <c r="O858" s="79" t="str">
        <f t="shared" si="40"/>
        <v>147</v>
      </c>
      <c r="P858" s="79" t="str">
        <f>IFERROR(VLOOKUP($M858,Export!$P:$R,2,FALSE),"-")</f>
        <v>Service</v>
      </c>
      <c r="Q858" s="79" t="str">
        <f>IFERROR(VLOOKUP($M858,Export!$P:$R,3,FALSE),"-")</f>
        <v>ServiceRetail Gross Profit % of  Sales</v>
      </c>
      <c r="R858" s="80" t="str" cm="1">
        <f t="array" ref="R858">_xlfn.IFS(P858="Service", _xlfn.IFS(I858="SALES","GP",I858="SERVICE SALES","GP",I858="PARTS SALES","GP",I858="SERVICE COS","GP",I858="PARTS COS","GP",I858="SELLING EXPENSES","Selling Expenses",I858="EMPLOYMENT EXPENSES","Selling Expenses",I858="EMPLOYMENT EXPENSES","Selling Expenses",I858="DIRECT EXPENSES","Selling Expenses",I858="INDIRECT EXPENSES","Selling Expenses"),P858="Parts",_xlfn.IFS(I858="SALES","GP",I858="SERVICE SALES","GP",I858="PARTS SALES","GP",I858="SERVICE COS","GP",I858="PARTS COS","GP",I858="SELLING EXPENSES","Selling Expenses",I858="EMPLOYMENT EXPENSES","Selling Expenses",I858="EMPLOYMENT EXPENSES","Selling Expenses",I858="DIRECT EXPENSES","Selling Expenses",I858="INDIRECT EXPENSES","Selling Expenses"))</f>
        <v>GP</v>
      </c>
    </row>
    <row r="859" spans="1:18" x14ac:dyDescent="0.2">
      <c r="A859" s="75">
        <v>4302</v>
      </c>
      <c r="B859" s="76" t="s">
        <v>899</v>
      </c>
      <c r="C859" s="76">
        <v>240</v>
      </c>
      <c r="D859" s="76" t="s">
        <v>439</v>
      </c>
      <c r="E859" s="76" t="s">
        <v>426</v>
      </c>
      <c r="F859" s="77">
        <v>2066.9699999999998</v>
      </c>
      <c r="G859" s="77">
        <v>50.75</v>
      </c>
      <c r="H859" s="77">
        <v>2117.7199999999998</v>
      </c>
      <c r="I859" s="76" t="s">
        <v>897</v>
      </c>
      <c r="J859" s="77">
        <v>0</v>
      </c>
      <c r="K859" s="78">
        <v>429.92</v>
      </c>
      <c r="M859" s="79" t="str">
        <f t="shared" si="41"/>
        <v>240-4302</v>
      </c>
      <c r="N859" s="79" t="str">
        <f t="shared" si="39"/>
        <v/>
      </c>
      <c r="O859" s="79" t="str">
        <f t="shared" si="40"/>
        <v>240</v>
      </c>
      <c r="P859" s="79" t="str">
        <f>IFERROR(VLOOKUP($M859,Export!$P:$R,2,FALSE),"-")</f>
        <v>Service</v>
      </c>
      <c r="Q859" s="79" t="str">
        <f>IFERROR(VLOOKUP($M859,Export!$P:$R,3,FALSE),"-")</f>
        <v>ServiceRetail Gross Profit % of  Sales</v>
      </c>
      <c r="R859" s="80" t="str" cm="1">
        <f t="array" ref="R859">_xlfn.IFS(P859="Service", _xlfn.IFS(I859="SALES","GP",I859="SERVICE SALES","GP",I859="PARTS SALES","GP",I859="SERVICE COS","GP",I859="PARTS COS","GP",I859="SELLING EXPENSES","Selling Expenses",I859="EMPLOYMENT EXPENSES","Selling Expenses",I859="EMPLOYMENT EXPENSES","Selling Expenses",I859="DIRECT EXPENSES","Selling Expenses",I859="INDIRECT EXPENSES","Selling Expenses"),P859="Parts",_xlfn.IFS(I859="SALES","GP",I859="SERVICE SALES","GP",I859="PARTS SALES","GP",I859="SERVICE COS","GP",I859="PARTS COS","GP",I859="SELLING EXPENSES","Selling Expenses",I859="EMPLOYMENT EXPENSES","Selling Expenses",I859="EMPLOYMENT EXPENSES","Selling Expenses",I859="DIRECT EXPENSES","Selling Expenses",I859="INDIRECT EXPENSES","Selling Expenses"))</f>
        <v>GP</v>
      </c>
    </row>
    <row r="860" spans="1:18" x14ac:dyDescent="0.2">
      <c r="A860" s="75">
        <v>4302</v>
      </c>
      <c r="B860" s="76" t="s">
        <v>899</v>
      </c>
      <c r="C860" s="76">
        <v>340</v>
      </c>
      <c r="D860" s="76" t="s">
        <v>440</v>
      </c>
      <c r="E860" s="76" t="s">
        <v>426</v>
      </c>
      <c r="F860" s="77">
        <v>2645.86</v>
      </c>
      <c r="G860" s="77">
        <v>98.17</v>
      </c>
      <c r="H860" s="77">
        <v>2744.03</v>
      </c>
      <c r="I860" s="76" t="s">
        <v>897</v>
      </c>
      <c r="J860" s="77">
        <v>0</v>
      </c>
      <c r="K860" s="78">
        <v>1188.21</v>
      </c>
      <c r="M860" s="79" t="str">
        <f t="shared" si="41"/>
        <v>340-4302</v>
      </c>
      <c r="N860" s="79" t="str">
        <f t="shared" si="39"/>
        <v/>
      </c>
      <c r="O860" s="79" t="str">
        <f t="shared" si="40"/>
        <v>340</v>
      </c>
      <c r="P860" s="79" t="str">
        <f>IFERROR(VLOOKUP($M860,Export!$P:$R,2,FALSE),"-")</f>
        <v>Service</v>
      </c>
      <c r="Q860" s="79" t="str">
        <f>IFERROR(VLOOKUP($M860,Export!$P:$R,3,FALSE),"-")</f>
        <v>ServiceRetail Gross Profit % of  Sales</v>
      </c>
      <c r="R860" s="80" t="str" cm="1">
        <f t="array" ref="R860">_xlfn.IFS(P860="Service", _xlfn.IFS(I860="SALES","GP",I860="SERVICE SALES","GP",I860="PARTS SALES","GP",I860="SERVICE COS","GP",I860="PARTS COS","GP",I860="SELLING EXPENSES","Selling Expenses",I860="EMPLOYMENT EXPENSES","Selling Expenses",I860="EMPLOYMENT EXPENSES","Selling Expenses",I860="DIRECT EXPENSES","Selling Expenses",I860="INDIRECT EXPENSES","Selling Expenses"),P860="Parts",_xlfn.IFS(I860="SALES","GP",I860="SERVICE SALES","GP",I860="PARTS SALES","GP",I860="SERVICE COS","GP",I860="PARTS COS","GP",I860="SELLING EXPENSES","Selling Expenses",I860="EMPLOYMENT EXPENSES","Selling Expenses",I860="EMPLOYMENT EXPENSES","Selling Expenses",I860="DIRECT EXPENSES","Selling Expenses",I860="INDIRECT EXPENSES","Selling Expenses"))</f>
        <v>GP</v>
      </c>
    </row>
    <row r="861" spans="1:18" x14ac:dyDescent="0.2">
      <c r="A861" s="75">
        <v>4302</v>
      </c>
      <c r="B861" s="76" t="s">
        <v>899</v>
      </c>
      <c r="C861" s="76">
        <v>440</v>
      </c>
      <c r="D861" s="76" t="s">
        <v>441</v>
      </c>
      <c r="E861" s="76" t="s">
        <v>426</v>
      </c>
      <c r="F861" s="77">
        <v>3506.94</v>
      </c>
      <c r="G861" s="77">
        <v>501.48</v>
      </c>
      <c r="H861" s="77">
        <v>4008.42</v>
      </c>
      <c r="I861" s="76" t="s">
        <v>897</v>
      </c>
      <c r="J861" s="77">
        <v>0</v>
      </c>
      <c r="K861" s="78">
        <v>338.94</v>
      </c>
      <c r="M861" s="79" t="str">
        <f t="shared" si="41"/>
        <v>440-4302</v>
      </c>
      <c r="N861" s="79" t="str">
        <f t="shared" si="39"/>
        <v/>
      </c>
      <c r="O861" s="79" t="str">
        <f t="shared" si="40"/>
        <v>440</v>
      </c>
      <c r="P861" s="79" t="str">
        <f>IFERROR(VLOOKUP($M861,Export!$P:$R,2,FALSE),"-")</f>
        <v>Service</v>
      </c>
      <c r="Q861" s="79" t="str">
        <f>IFERROR(VLOOKUP($M861,Export!$P:$R,3,FALSE),"-")</f>
        <v>ServiceRetail Gross Profit % of  Sales</v>
      </c>
      <c r="R861" s="80" t="str" cm="1">
        <f t="array" ref="R861">_xlfn.IFS(P861="Service", _xlfn.IFS(I861="SALES","GP",I861="SERVICE SALES","GP",I861="PARTS SALES","GP",I861="SERVICE COS","GP",I861="PARTS COS","GP",I861="SELLING EXPENSES","Selling Expenses",I861="EMPLOYMENT EXPENSES","Selling Expenses",I861="EMPLOYMENT EXPENSES","Selling Expenses",I861="DIRECT EXPENSES","Selling Expenses",I861="INDIRECT EXPENSES","Selling Expenses"),P861="Parts",_xlfn.IFS(I861="SALES","GP",I861="SERVICE SALES","GP",I861="PARTS SALES","GP",I861="SERVICE COS","GP",I861="PARTS COS","GP",I861="SELLING EXPENSES","Selling Expenses",I861="EMPLOYMENT EXPENSES","Selling Expenses",I861="EMPLOYMENT EXPENSES","Selling Expenses",I861="DIRECT EXPENSES","Selling Expenses",I861="INDIRECT EXPENSES","Selling Expenses"))</f>
        <v>GP</v>
      </c>
    </row>
    <row r="862" spans="1:18" x14ac:dyDescent="0.2">
      <c r="A862" s="75">
        <v>4312</v>
      </c>
      <c r="B862" s="76" t="s">
        <v>900</v>
      </c>
      <c r="C862" s="76">
        <v>140</v>
      </c>
      <c r="D862" s="76" t="s">
        <v>433</v>
      </c>
      <c r="E862" s="76" t="s">
        <v>426</v>
      </c>
      <c r="F862" s="77">
        <v>3409.15</v>
      </c>
      <c r="G862" s="77">
        <v>184.29</v>
      </c>
      <c r="H862" s="77">
        <v>3593.44</v>
      </c>
      <c r="I862" s="76" t="s">
        <v>897</v>
      </c>
      <c r="J862" s="77">
        <v>0</v>
      </c>
      <c r="K862" s="78">
        <v>4509.25</v>
      </c>
      <c r="M862" s="79" t="str">
        <f t="shared" si="41"/>
        <v>140-4312</v>
      </c>
      <c r="N862" s="79" t="str">
        <f t="shared" si="39"/>
        <v/>
      </c>
      <c r="O862" s="79" t="str">
        <f t="shared" si="40"/>
        <v>140</v>
      </c>
      <c r="P862" s="79" t="str">
        <f>IFERROR(VLOOKUP($M862,Export!$P:$R,2,FALSE),"-")</f>
        <v>Service</v>
      </c>
      <c r="Q862" s="79" t="str">
        <f>IFERROR(VLOOKUP($M862,Export!$P:$R,3,FALSE),"-")</f>
        <v>ServiceRetail Gross Profit % of  Sales</v>
      </c>
      <c r="R862" s="80" t="str" cm="1">
        <f t="array" ref="R862">_xlfn.IFS(P862="Service", _xlfn.IFS(I862="SALES","GP",I862="SERVICE SALES","GP",I862="PARTS SALES","GP",I862="SERVICE COS","GP",I862="PARTS COS","GP",I862="SELLING EXPENSES","Selling Expenses",I862="EMPLOYMENT EXPENSES","Selling Expenses",I862="EMPLOYMENT EXPENSES","Selling Expenses",I862="DIRECT EXPENSES","Selling Expenses",I862="INDIRECT EXPENSES","Selling Expenses"),P862="Parts",_xlfn.IFS(I862="SALES","GP",I862="SERVICE SALES","GP",I862="PARTS SALES","GP",I862="SERVICE COS","GP",I862="PARTS COS","GP",I862="SELLING EXPENSES","Selling Expenses",I862="EMPLOYMENT EXPENSES","Selling Expenses",I862="EMPLOYMENT EXPENSES","Selling Expenses",I862="DIRECT EXPENSES","Selling Expenses",I862="INDIRECT EXPENSES","Selling Expenses"))</f>
        <v>GP</v>
      </c>
    </row>
    <row r="863" spans="1:18" x14ac:dyDescent="0.2">
      <c r="A863" s="75">
        <v>4312</v>
      </c>
      <c r="B863" s="76" t="s">
        <v>900</v>
      </c>
      <c r="C863" s="76">
        <v>142</v>
      </c>
      <c r="D863" s="76" t="s">
        <v>454</v>
      </c>
      <c r="E863" s="76" t="s">
        <v>426</v>
      </c>
      <c r="F863" s="77">
        <v>692.86</v>
      </c>
      <c r="G863" s="77">
        <v>0</v>
      </c>
      <c r="H863" s="77">
        <v>692.86</v>
      </c>
      <c r="I863" s="76" t="s">
        <v>897</v>
      </c>
      <c r="J863" s="77">
        <v>0</v>
      </c>
      <c r="K863" s="78">
        <v>0</v>
      </c>
      <c r="M863" s="79" t="str">
        <f t="shared" si="41"/>
        <v>142-4312</v>
      </c>
      <c r="N863" s="79" t="str">
        <f t="shared" si="39"/>
        <v/>
      </c>
      <c r="O863" s="79" t="str">
        <f t="shared" si="40"/>
        <v>142</v>
      </c>
      <c r="P863" s="79" t="str">
        <f>IFERROR(VLOOKUP($M863,Export!$P:$R,2,FALSE),"-")</f>
        <v>Lex Service</v>
      </c>
      <c r="Q863" s="79" t="str">
        <f>IFERROR(VLOOKUP($M863,Export!$P:$R,3,FALSE),"-")</f>
        <v>Lex ServiceRetail Gross Profit % of  Sales</v>
      </c>
      <c r="R863" s="80" t="e" cm="1">
        <f t="array" ref="R863">_xlfn.IFS(P863="Service", _xlfn.IFS(I863="SALES","GP",I863="SERVICE SALES","GP",I863="PARTS SALES","GP",I863="SERVICE COS","GP",I863="PARTS COS","GP",I863="SELLING EXPENSES","Selling Expenses",I863="EMPLOYMENT EXPENSES","Selling Expenses",I863="EMPLOYMENT EXPENSES","Selling Expenses",I863="DIRECT EXPENSES","Selling Expenses",I863="INDIRECT EXPENSES","Selling Expenses"),P863="Parts",_xlfn.IFS(I863="SALES","GP",I863="SERVICE SALES","GP",I863="PARTS SALES","GP",I863="SERVICE COS","GP",I863="PARTS COS","GP",I863="SELLING EXPENSES","Selling Expenses",I863="EMPLOYMENT EXPENSES","Selling Expenses",I863="EMPLOYMENT EXPENSES","Selling Expenses",I863="DIRECT EXPENSES","Selling Expenses",I863="INDIRECT EXPENSES","Selling Expenses"))</f>
        <v>#N/A</v>
      </c>
    </row>
    <row r="864" spans="1:18" x14ac:dyDescent="0.2">
      <c r="A864" s="75">
        <v>4312</v>
      </c>
      <c r="B864" s="76" t="s">
        <v>900</v>
      </c>
      <c r="C864" s="76">
        <v>147</v>
      </c>
      <c r="D864" s="76" t="s">
        <v>699</v>
      </c>
      <c r="E864" s="76" t="s">
        <v>426</v>
      </c>
      <c r="F864" s="77">
        <v>0</v>
      </c>
      <c r="G864" s="77">
        <v>0</v>
      </c>
      <c r="H864" s="77">
        <v>0</v>
      </c>
      <c r="I864" s="76" t="s">
        <v>897</v>
      </c>
      <c r="J864" s="77">
        <v>0</v>
      </c>
      <c r="K864" s="78">
        <v>6093.05</v>
      </c>
      <c r="M864" s="79" t="str">
        <f t="shared" si="41"/>
        <v>147-4312</v>
      </c>
      <c r="N864" s="79" t="str">
        <f t="shared" si="39"/>
        <v/>
      </c>
      <c r="O864" s="79" t="str">
        <f t="shared" si="40"/>
        <v>147</v>
      </c>
      <c r="P864" s="79" t="str">
        <f>IFERROR(VLOOKUP($M864,Export!$P:$R,2,FALSE),"-")</f>
        <v>Service</v>
      </c>
      <c r="Q864" s="79" t="str">
        <f>IFERROR(VLOOKUP($M864,Export!$P:$R,3,FALSE),"-")</f>
        <v>ServiceRetail Gross Profit % of  Sales</v>
      </c>
      <c r="R864" s="80" t="str" cm="1">
        <f t="array" ref="R864">_xlfn.IFS(P864="Service", _xlfn.IFS(I864="SALES","GP",I864="SERVICE SALES","GP",I864="PARTS SALES","GP",I864="SERVICE COS","GP",I864="PARTS COS","GP",I864="SELLING EXPENSES","Selling Expenses",I864="EMPLOYMENT EXPENSES","Selling Expenses",I864="EMPLOYMENT EXPENSES","Selling Expenses",I864="DIRECT EXPENSES","Selling Expenses",I864="INDIRECT EXPENSES","Selling Expenses"),P864="Parts",_xlfn.IFS(I864="SALES","GP",I864="SERVICE SALES","GP",I864="PARTS SALES","GP",I864="SERVICE COS","GP",I864="PARTS COS","GP",I864="SELLING EXPENSES","Selling Expenses",I864="EMPLOYMENT EXPENSES","Selling Expenses",I864="EMPLOYMENT EXPENSES","Selling Expenses",I864="DIRECT EXPENSES","Selling Expenses",I864="INDIRECT EXPENSES","Selling Expenses"))</f>
        <v>GP</v>
      </c>
    </row>
    <row r="865" spans="1:18" x14ac:dyDescent="0.2">
      <c r="A865" s="75">
        <v>4312</v>
      </c>
      <c r="B865" s="76" t="s">
        <v>900</v>
      </c>
      <c r="C865" s="76">
        <v>240</v>
      </c>
      <c r="D865" s="76" t="s">
        <v>439</v>
      </c>
      <c r="E865" s="76" t="s">
        <v>426</v>
      </c>
      <c r="F865" s="77">
        <v>3958.27</v>
      </c>
      <c r="G865" s="77">
        <v>214.08</v>
      </c>
      <c r="H865" s="77">
        <v>4172.3500000000004</v>
      </c>
      <c r="I865" s="76" t="s">
        <v>897</v>
      </c>
      <c r="J865" s="77">
        <v>0</v>
      </c>
      <c r="K865" s="78">
        <v>1268.47</v>
      </c>
      <c r="M865" s="79" t="str">
        <f t="shared" si="41"/>
        <v>240-4312</v>
      </c>
      <c r="N865" s="79" t="str">
        <f t="shared" si="39"/>
        <v/>
      </c>
      <c r="O865" s="79" t="str">
        <f t="shared" si="40"/>
        <v>240</v>
      </c>
      <c r="P865" s="79" t="str">
        <f>IFERROR(VLOOKUP($M865,Export!$P:$R,2,FALSE),"-")</f>
        <v>Service</v>
      </c>
      <c r="Q865" s="79" t="str">
        <f>IFERROR(VLOOKUP($M865,Export!$P:$R,3,FALSE),"-")</f>
        <v>ServiceRetail Gross Profit % of  Sales</v>
      </c>
      <c r="R865" s="80" t="str" cm="1">
        <f t="array" ref="R865">_xlfn.IFS(P865="Service", _xlfn.IFS(I865="SALES","GP",I865="SERVICE SALES","GP",I865="PARTS SALES","GP",I865="SERVICE COS","GP",I865="PARTS COS","GP",I865="SELLING EXPENSES","Selling Expenses",I865="EMPLOYMENT EXPENSES","Selling Expenses",I865="EMPLOYMENT EXPENSES","Selling Expenses",I865="DIRECT EXPENSES","Selling Expenses",I865="INDIRECT EXPENSES","Selling Expenses"),P865="Parts",_xlfn.IFS(I865="SALES","GP",I865="SERVICE SALES","GP",I865="PARTS SALES","GP",I865="SERVICE COS","GP",I865="PARTS COS","GP",I865="SELLING EXPENSES","Selling Expenses",I865="EMPLOYMENT EXPENSES","Selling Expenses",I865="EMPLOYMENT EXPENSES","Selling Expenses",I865="DIRECT EXPENSES","Selling Expenses",I865="INDIRECT EXPENSES","Selling Expenses"))</f>
        <v>GP</v>
      </c>
    </row>
    <row r="866" spans="1:18" x14ac:dyDescent="0.2">
      <c r="A866" s="75">
        <v>4312</v>
      </c>
      <c r="B866" s="76" t="s">
        <v>900</v>
      </c>
      <c r="C866" s="76">
        <v>340</v>
      </c>
      <c r="D866" s="76" t="s">
        <v>440</v>
      </c>
      <c r="E866" s="76" t="s">
        <v>426</v>
      </c>
      <c r="F866" s="77">
        <v>5163.1099999999997</v>
      </c>
      <c r="G866" s="77">
        <v>647.25</v>
      </c>
      <c r="H866" s="77">
        <v>5810.36</v>
      </c>
      <c r="I866" s="76" t="s">
        <v>897</v>
      </c>
      <c r="J866" s="77">
        <v>0</v>
      </c>
      <c r="K866" s="78">
        <v>2443.3200000000002</v>
      </c>
      <c r="M866" s="79" t="str">
        <f t="shared" si="41"/>
        <v>340-4312</v>
      </c>
      <c r="N866" s="79" t="str">
        <f t="shared" si="39"/>
        <v/>
      </c>
      <c r="O866" s="79" t="str">
        <f t="shared" si="40"/>
        <v>340</v>
      </c>
      <c r="P866" s="79" t="str">
        <f>IFERROR(VLOOKUP($M866,Export!$P:$R,2,FALSE),"-")</f>
        <v>Service</v>
      </c>
      <c r="Q866" s="79" t="str">
        <f>IFERROR(VLOOKUP($M866,Export!$P:$R,3,FALSE),"-")</f>
        <v>ServiceRetail Gross Profit % of  Sales</v>
      </c>
      <c r="R866" s="80" t="str" cm="1">
        <f t="array" ref="R866">_xlfn.IFS(P866="Service", _xlfn.IFS(I866="SALES","GP",I866="SERVICE SALES","GP",I866="PARTS SALES","GP",I866="SERVICE COS","GP",I866="PARTS COS","GP",I866="SELLING EXPENSES","Selling Expenses",I866="EMPLOYMENT EXPENSES","Selling Expenses",I866="EMPLOYMENT EXPENSES","Selling Expenses",I866="DIRECT EXPENSES","Selling Expenses",I866="INDIRECT EXPENSES","Selling Expenses"),P866="Parts",_xlfn.IFS(I866="SALES","GP",I866="SERVICE SALES","GP",I866="PARTS SALES","GP",I866="SERVICE COS","GP",I866="PARTS COS","GP",I866="SELLING EXPENSES","Selling Expenses",I866="EMPLOYMENT EXPENSES","Selling Expenses",I866="EMPLOYMENT EXPENSES","Selling Expenses",I866="DIRECT EXPENSES","Selling Expenses",I866="INDIRECT EXPENSES","Selling Expenses"))</f>
        <v>GP</v>
      </c>
    </row>
    <row r="867" spans="1:18" x14ac:dyDescent="0.2">
      <c r="A867" s="75">
        <v>4312</v>
      </c>
      <c r="B867" s="76" t="s">
        <v>900</v>
      </c>
      <c r="C867" s="76">
        <v>440</v>
      </c>
      <c r="D867" s="76" t="s">
        <v>441</v>
      </c>
      <c r="E867" s="76" t="s">
        <v>426</v>
      </c>
      <c r="F867" s="77">
        <v>10270.48</v>
      </c>
      <c r="G867" s="77">
        <v>1129.31</v>
      </c>
      <c r="H867" s="77">
        <v>11399.79</v>
      </c>
      <c r="I867" s="76" t="s">
        <v>897</v>
      </c>
      <c r="J867" s="77">
        <v>0</v>
      </c>
      <c r="K867" s="78">
        <v>2467.5500000000002</v>
      </c>
      <c r="M867" s="79" t="str">
        <f t="shared" si="41"/>
        <v>440-4312</v>
      </c>
      <c r="N867" s="79" t="str">
        <f t="shared" si="39"/>
        <v/>
      </c>
      <c r="O867" s="79" t="str">
        <f t="shared" si="40"/>
        <v>440</v>
      </c>
      <c r="P867" s="79" t="str">
        <f>IFERROR(VLOOKUP($M867,Export!$P:$R,2,FALSE),"-")</f>
        <v>Service</v>
      </c>
      <c r="Q867" s="79" t="str">
        <f>IFERROR(VLOOKUP($M867,Export!$P:$R,3,FALSE),"-")</f>
        <v>ServiceRetail Gross Profit % of  Sales</v>
      </c>
      <c r="R867" s="80" t="str" cm="1">
        <f t="array" ref="R867">_xlfn.IFS(P867="Service", _xlfn.IFS(I867="SALES","GP",I867="SERVICE SALES","GP",I867="PARTS SALES","GP",I867="SERVICE COS","GP",I867="PARTS COS","GP",I867="SELLING EXPENSES","Selling Expenses",I867="EMPLOYMENT EXPENSES","Selling Expenses",I867="EMPLOYMENT EXPENSES","Selling Expenses",I867="DIRECT EXPENSES","Selling Expenses",I867="INDIRECT EXPENSES","Selling Expenses"),P867="Parts",_xlfn.IFS(I867="SALES","GP",I867="SERVICE SALES","GP",I867="PARTS SALES","GP",I867="SERVICE COS","GP",I867="PARTS COS","GP",I867="SELLING EXPENSES","Selling Expenses",I867="EMPLOYMENT EXPENSES","Selling Expenses",I867="EMPLOYMENT EXPENSES","Selling Expenses",I867="DIRECT EXPENSES","Selling Expenses",I867="INDIRECT EXPENSES","Selling Expenses"))</f>
        <v>GP</v>
      </c>
    </row>
    <row r="868" spans="1:18" x14ac:dyDescent="0.2">
      <c r="A868" s="75">
        <v>4320</v>
      </c>
      <c r="B868" s="76" t="s">
        <v>117</v>
      </c>
      <c r="C868" s="76">
        <v>140</v>
      </c>
      <c r="D868" s="76" t="s">
        <v>433</v>
      </c>
      <c r="E868" s="76" t="s">
        <v>426</v>
      </c>
      <c r="F868" s="77">
        <v>37537.78</v>
      </c>
      <c r="G868" s="77">
        <v>3505.93</v>
      </c>
      <c r="H868" s="77">
        <v>41043.71</v>
      </c>
      <c r="I868" s="76" t="s">
        <v>897</v>
      </c>
      <c r="J868" s="77">
        <v>8508.01</v>
      </c>
      <c r="K868" s="78">
        <v>66950.539999999994</v>
      </c>
      <c r="M868" s="79" t="str">
        <f t="shared" si="41"/>
        <v>140-4320</v>
      </c>
      <c r="N868" s="79" t="str">
        <f t="shared" si="39"/>
        <v/>
      </c>
      <c r="O868" s="79" t="str">
        <f t="shared" si="40"/>
        <v>140</v>
      </c>
      <c r="P868" s="79" t="str">
        <f>IFERROR(VLOOKUP($M868,Export!$P:$R,2,FALSE),"-")</f>
        <v>Service</v>
      </c>
      <c r="Q868" s="79" t="str">
        <f>IFERROR(VLOOKUP($M868,Export!$P:$R,3,FALSE),"-")</f>
        <v>ServiceWarranty Gross Profit % of  Sales</v>
      </c>
      <c r="R868" s="80" t="str" cm="1">
        <f t="array" ref="R868">_xlfn.IFS(P868="Service", _xlfn.IFS(I868="SALES","GP",I868="SERVICE SALES","GP",I868="PARTS SALES","GP",I868="SERVICE COS","GP",I868="PARTS COS","GP",I868="SELLING EXPENSES","Selling Expenses",I868="EMPLOYMENT EXPENSES","Selling Expenses",I868="EMPLOYMENT EXPENSES","Selling Expenses",I868="DIRECT EXPENSES","Selling Expenses",I868="INDIRECT EXPENSES","Selling Expenses"),P868="Parts",_xlfn.IFS(I868="SALES","GP",I868="SERVICE SALES","GP",I868="PARTS SALES","GP",I868="SERVICE COS","GP",I868="PARTS COS","GP",I868="SELLING EXPENSES","Selling Expenses",I868="EMPLOYMENT EXPENSES","Selling Expenses",I868="EMPLOYMENT EXPENSES","Selling Expenses",I868="DIRECT EXPENSES","Selling Expenses",I868="INDIRECT EXPENSES","Selling Expenses"))</f>
        <v>GP</v>
      </c>
    </row>
    <row r="869" spans="1:18" x14ac:dyDescent="0.2">
      <c r="A869" s="75">
        <v>4320</v>
      </c>
      <c r="B869" s="76" t="s">
        <v>117</v>
      </c>
      <c r="C869" s="76">
        <v>142</v>
      </c>
      <c r="D869" s="76" t="s">
        <v>454</v>
      </c>
      <c r="E869" s="76" t="s">
        <v>426</v>
      </c>
      <c r="F869" s="77">
        <v>11524.25</v>
      </c>
      <c r="G869" s="77">
        <v>1188.49</v>
      </c>
      <c r="H869" s="77">
        <v>12712.74</v>
      </c>
      <c r="I869" s="76" t="s">
        <v>897</v>
      </c>
      <c r="J869" s="77">
        <v>1938.95</v>
      </c>
      <c r="K869" s="78">
        <v>18555.23</v>
      </c>
      <c r="M869" s="79" t="str">
        <f t="shared" si="41"/>
        <v>142-4320</v>
      </c>
      <c r="N869" s="79" t="str">
        <f t="shared" si="39"/>
        <v/>
      </c>
      <c r="O869" s="79" t="str">
        <f t="shared" si="40"/>
        <v>142</v>
      </c>
      <c r="P869" s="79" t="str">
        <f>IFERROR(VLOOKUP($M869,Export!$P:$R,2,FALSE),"-")</f>
        <v>Lex Service</v>
      </c>
      <c r="Q869" s="79" t="str">
        <f>IFERROR(VLOOKUP($M869,Export!$P:$R,3,FALSE),"-")</f>
        <v>Lex ServiceWarranty Gross Profit % of  Sales</v>
      </c>
      <c r="R869" s="80" t="e" cm="1">
        <f t="array" ref="R869">_xlfn.IFS(P869="Service", _xlfn.IFS(I869="SALES","GP",I869="SERVICE SALES","GP",I869="PARTS SALES","GP",I869="SERVICE COS","GP",I869="PARTS COS","GP",I869="SELLING EXPENSES","Selling Expenses",I869="EMPLOYMENT EXPENSES","Selling Expenses",I869="EMPLOYMENT EXPENSES","Selling Expenses",I869="DIRECT EXPENSES","Selling Expenses",I869="INDIRECT EXPENSES","Selling Expenses"),P869="Parts",_xlfn.IFS(I869="SALES","GP",I869="SERVICE SALES","GP",I869="PARTS SALES","GP",I869="SERVICE COS","GP",I869="PARTS COS","GP",I869="SELLING EXPENSES","Selling Expenses",I869="EMPLOYMENT EXPENSES","Selling Expenses",I869="EMPLOYMENT EXPENSES","Selling Expenses",I869="DIRECT EXPENSES","Selling Expenses",I869="INDIRECT EXPENSES","Selling Expenses"))</f>
        <v>#N/A</v>
      </c>
    </row>
    <row r="870" spans="1:18" x14ac:dyDescent="0.2">
      <c r="A870" s="75">
        <v>4320</v>
      </c>
      <c r="B870" s="76" t="s">
        <v>117</v>
      </c>
      <c r="C870" s="76">
        <v>147</v>
      </c>
      <c r="D870" s="76" t="s">
        <v>699</v>
      </c>
      <c r="E870" s="76" t="s">
        <v>426</v>
      </c>
      <c r="F870" s="77">
        <v>0</v>
      </c>
      <c r="G870" s="77">
        <v>0</v>
      </c>
      <c r="H870" s="77">
        <v>0</v>
      </c>
      <c r="I870" s="76" t="s">
        <v>897</v>
      </c>
      <c r="J870" s="77">
        <v>2000.69</v>
      </c>
      <c r="K870" s="78">
        <v>22193.759999999998</v>
      </c>
      <c r="M870" s="79" t="str">
        <f t="shared" si="41"/>
        <v>147-4320</v>
      </c>
      <c r="N870" s="79" t="str">
        <f t="shared" si="39"/>
        <v/>
      </c>
      <c r="O870" s="79" t="str">
        <f t="shared" si="40"/>
        <v>147</v>
      </c>
      <c r="P870" s="79" t="str">
        <f>IFERROR(VLOOKUP($M870,Export!$P:$R,2,FALSE),"-")</f>
        <v>Service</v>
      </c>
      <c r="Q870" s="79" t="str">
        <f>IFERROR(VLOOKUP($M870,Export!$P:$R,3,FALSE),"-")</f>
        <v>ServiceWarranty Gross Profit % of  Sales</v>
      </c>
      <c r="R870" s="80" t="str" cm="1">
        <f t="array" ref="R870">_xlfn.IFS(P870="Service", _xlfn.IFS(I870="SALES","GP",I870="SERVICE SALES","GP",I870="PARTS SALES","GP",I870="SERVICE COS","GP",I870="PARTS COS","GP",I870="SELLING EXPENSES","Selling Expenses",I870="EMPLOYMENT EXPENSES","Selling Expenses",I870="EMPLOYMENT EXPENSES","Selling Expenses",I870="DIRECT EXPENSES","Selling Expenses",I870="INDIRECT EXPENSES","Selling Expenses"),P870="Parts",_xlfn.IFS(I870="SALES","GP",I870="SERVICE SALES","GP",I870="PARTS SALES","GP",I870="SERVICE COS","GP",I870="PARTS COS","GP",I870="SELLING EXPENSES","Selling Expenses",I870="EMPLOYMENT EXPENSES","Selling Expenses",I870="EMPLOYMENT EXPENSES","Selling Expenses",I870="DIRECT EXPENSES","Selling Expenses",I870="INDIRECT EXPENSES","Selling Expenses"))</f>
        <v>GP</v>
      </c>
    </row>
    <row r="871" spans="1:18" x14ac:dyDescent="0.2">
      <c r="A871" s="75">
        <v>4320</v>
      </c>
      <c r="B871" s="76" t="s">
        <v>117</v>
      </c>
      <c r="C871" s="76">
        <v>240</v>
      </c>
      <c r="D871" s="76" t="s">
        <v>439</v>
      </c>
      <c r="E871" s="76" t="s">
        <v>426</v>
      </c>
      <c r="F871" s="77">
        <v>21192.57</v>
      </c>
      <c r="G871" s="77">
        <v>1672.09</v>
      </c>
      <c r="H871" s="77">
        <v>22864.66</v>
      </c>
      <c r="I871" s="76" t="s">
        <v>897</v>
      </c>
      <c r="J871" s="77">
        <v>1742.12</v>
      </c>
      <c r="K871" s="78">
        <v>19514.8</v>
      </c>
      <c r="M871" s="79" t="str">
        <f t="shared" si="41"/>
        <v>240-4320</v>
      </c>
      <c r="N871" s="79" t="str">
        <f t="shared" si="39"/>
        <v/>
      </c>
      <c r="O871" s="79" t="str">
        <f t="shared" si="40"/>
        <v>240</v>
      </c>
      <c r="P871" s="79" t="str">
        <f>IFERROR(VLOOKUP($M871,Export!$P:$R,2,FALSE),"-")</f>
        <v>Service</v>
      </c>
      <c r="Q871" s="79" t="str">
        <f>IFERROR(VLOOKUP($M871,Export!$P:$R,3,FALSE),"-")</f>
        <v>ServiceWarranty Gross Profit % of  Sales</v>
      </c>
      <c r="R871" s="80" t="str" cm="1">
        <f t="array" ref="R871">_xlfn.IFS(P871="Service", _xlfn.IFS(I871="SALES","GP",I871="SERVICE SALES","GP",I871="PARTS SALES","GP",I871="SERVICE COS","GP",I871="PARTS COS","GP",I871="SELLING EXPENSES","Selling Expenses",I871="EMPLOYMENT EXPENSES","Selling Expenses",I871="EMPLOYMENT EXPENSES","Selling Expenses",I871="DIRECT EXPENSES","Selling Expenses",I871="INDIRECT EXPENSES","Selling Expenses"),P871="Parts",_xlfn.IFS(I871="SALES","GP",I871="SERVICE SALES","GP",I871="PARTS SALES","GP",I871="SERVICE COS","GP",I871="PARTS COS","GP",I871="SELLING EXPENSES","Selling Expenses",I871="EMPLOYMENT EXPENSES","Selling Expenses",I871="EMPLOYMENT EXPENSES","Selling Expenses",I871="DIRECT EXPENSES","Selling Expenses",I871="INDIRECT EXPENSES","Selling Expenses"))</f>
        <v>GP</v>
      </c>
    </row>
    <row r="872" spans="1:18" x14ac:dyDescent="0.2">
      <c r="A872" s="75">
        <v>4320</v>
      </c>
      <c r="B872" s="76" t="s">
        <v>117</v>
      </c>
      <c r="C872" s="76">
        <v>340</v>
      </c>
      <c r="D872" s="76" t="s">
        <v>440</v>
      </c>
      <c r="E872" s="76" t="s">
        <v>426</v>
      </c>
      <c r="F872" s="77">
        <v>11801.72</v>
      </c>
      <c r="G872" s="77">
        <v>620.19000000000005</v>
      </c>
      <c r="H872" s="77">
        <v>12421.91</v>
      </c>
      <c r="I872" s="76" t="s">
        <v>897</v>
      </c>
      <c r="J872" s="77">
        <v>3227</v>
      </c>
      <c r="K872" s="78">
        <v>25133.88</v>
      </c>
      <c r="M872" s="79" t="str">
        <f t="shared" si="41"/>
        <v>340-4320</v>
      </c>
      <c r="N872" s="79" t="str">
        <f t="shared" si="39"/>
        <v/>
      </c>
      <c r="O872" s="79" t="str">
        <f t="shared" si="40"/>
        <v>340</v>
      </c>
      <c r="P872" s="79" t="str">
        <f>IFERROR(VLOOKUP($M872,Export!$P:$R,2,FALSE),"-")</f>
        <v>Service</v>
      </c>
      <c r="Q872" s="79" t="str">
        <f>IFERROR(VLOOKUP($M872,Export!$P:$R,3,FALSE),"-")</f>
        <v>ServiceWarranty Gross Profit % of  Sales</v>
      </c>
      <c r="R872" s="80" t="str" cm="1">
        <f t="array" ref="R872">_xlfn.IFS(P872="Service", _xlfn.IFS(I872="SALES","GP",I872="SERVICE SALES","GP",I872="PARTS SALES","GP",I872="SERVICE COS","GP",I872="PARTS COS","GP",I872="SELLING EXPENSES","Selling Expenses",I872="EMPLOYMENT EXPENSES","Selling Expenses",I872="EMPLOYMENT EXPENSES","Selling Expenses",I872="DIRECT EXPENSES","Selling Expenses",I872="INDIRECT EXPENSES","Selling Expenses"),P872="Parts",_xlfn.IFS(I872="SALES","GP",I872="SERVICE SALES","GP",I872="PARTS SALES","GP",I872="SERVICE COS","GP",I872="PARTS COS","GP",I872="SELLING EXPENSES","Selling Expenses",I872="EMPLOYMENT EXPENSES","Selling Expenses",I872="EMPLOYMENT EXPENSES","Selling Expenses",I872="DIRECT EXPENSES","Selling Expenses",I872="INDIRECT EXPENSES","Selling Expenses"))</f>
        <v>GP</v>
      </c>
    </row>
    <row r="873" spans="1:18" x14ac:dyDescent="0.2">
      <c r="A873" s="75">
        <v>4320</v>
      </c>
      <c r="B873" s="76" t="s">
        <v>117</v>
      </c>
      <c r="C873" s="76">
        <v>440</v>
      </c>
      <c r="D873" s="76" t="s">
        <v>441</v>
      </c>
      <c r="E873" s="76" t="s">
        <v>426</v>
      </c>
      <c r="F873" s="77">
        <v>9320.85</v>
      </c>
      <c r="G873" s="77">
        <v>882.64</v>
      </c>
      <c r="H873" s="77">
        <v>10203.49</v>
      </c>
      <c r="I873" s="76" t="s">
        <v>897</v>
      </c>
      <c r="J873" s="77">
        <v>229.11</v>
      </c>
      <c r="K873" s="78">
        <v>4494.91</v>
      </c>
      <c r="M873" s="79" t="str">
        <f t="shared" si="41"/>
        <v>440-4320</v>
      </c>
      <c r="N873" s="79" t="str">
        <f t="shared" si="39"/>
        <v/>
      </c>
      <c r="O873" s="79" t="str">
        <f t="shared" si="40"/>
        <v>440</v>
      </c>
      <c r="P873" s="79" t="str">
        <f>IFERROR(VLOOKUP($M873,Export!$P:$R,2,FALSE),"-")</f>
        <v>Service</v>
      </c>
      <c r="Q873" s="79" t="str">
        <f>IFERROR(VLOOKUP($M873,Export!$P:$R,3,FALSE),"-")</f>
        <v>ServiceWarranty Gross Profit % of  Sales</v>
      </c>
      <c r="R873" s="80" t="str" cm="1">
        <f t="array" ref="R873">_xlfn.IFS(P873="Service", _xlfn.IFS(I873="SALES","GP",I873="SERVICE SALES","GP",I873="PARTS SALES","GP",I873="SERVICE COS","GP",I873="PARTS COS","GP",I873="SELLING EXPENSES","Selling Expenses",I873="EMPLOYMENT EXPENSES","Selling Expenses",I873="EMPLOYMENT EXPENSES","Selling Expenses",I873="DIRECT EXPENSES","Selling Expenses",I873="INDIRECT EXPENSES","Selling Expenses"),P873="Parts",_xlfn.IFS(I873="SALES","GP",I873="SERVICE SALES","GP",I873="PARTS SALES","GP",I873="SERVICE COS","GP",I873="PARTS COS","GP",I873="SELLING EXPENSES","Selling Expenses",I873="EMPLOYMENT EXPENSES","Selling Expenses",I873="EMPLOYMENT EXPENSES","Selling Expenses",I873="DIRECT EXPENSES","Selling Expenses",I873="INDIRECT EXPENSES","Selling Expenses"))</f>
        <v>GP</v>
      </c>
    </row>
    <row r="874" spans="1:18" x14ac:dyDescent="0.2">
      <c r="A874" s="75">
        <v>4340</v>
      </c>
      <c r="B874" s="76" t="s">
        <v>118</v>
      </c>
      <c r="C874" s="76">
        <v>140</v>
      </c>
      <c r="D874" s="76" t="s">
        <v>433</v>
      </c>
      <c r="E874" s="76" t="s">
        <v>426</v>
      </c>
      <c r="F874" s="77">
        <v>197909.21</v>
      </c>
      <c r="G874" s="77">
        <v>25788.89</v>
      </c>
      <c r="H874" s="77">
        <v>223698.1</v>
      </c>
      <c r="I874" s="76" t="s">
        <v>897</v>
      </c>
      <c r="J874" s="77">
        <v>11659.65</v>
      </c>
      <c r="K874" s="78">
        <v>84682.29</v>
      </c>
      <c r="M874" s="79" t="str">
        <f t="shared" si="41"/>
        <v>140-4340</v>
      </c>
      <c r="N874" s="79" t="str">
        <f t="shared" si="39"/>
        <v/>
      </c>
      <c r="O874" s="79" t="str">
        <f t="shared" si="40"/>
        <v>140</v>
      </c>
      <c r="P874" s="79" t="str">
        <f>IFERROR(VLOOKUP($M874,Export!$P:$R,2,FALSE),"-")</f>
        <v>Service</v>
      </c>
      <c r="Q874" s="79" t="str">
        <f>IFERROR(VLOOKUP($M874,Export!$P:$R,3,FALSE),"-")</f>
        <v>ServiceInternal Gross Profit % of  Sales</v>
      </c>
      <c r="R874" s="80" t="str" cm="1">
        <f t="array" ref="R874">_xlfn.IFS(P874="Service", _xlfn.IFS(I874="SALES","GP",I874="SERVICE SALES","GP",I874="PARTS SALES","GP",I874="SERVICE COS","GP",I874="PARTS COS","GP",I874="SELLING EXPENSES","Selling Expenses",I874="EMPLOYMENT EXPENSES","Selling Expenses",I874="EMPLOYMENT EXPENSES","Selling Expenses",I874="DIRECT EXPENSES","Selling Expenses",I874="INDIRECT EXPENSES","Selling Expenses"),P874="Parts",_xlfn.IFS(I874="SALES","GP",I874="SERVICE SALES","GP",I874="PARTS SALES","GP",I874="SERVICE COS","GP",I874="PARTS COS","GP",I874="SELLING EXPENSES","Selling Expenses",I874="EMPLOYMENT EXPENSES","Selling Expenses",I874="EMPLOYMENT EXPENSES","Selling Expenses",I874="DIRECT EXPENSES","Selling Expenses",I874="INDIRECT EXPENSES","Selling Expenses"))</f>
        <v>GP</v>
      </c>
    </row>
    <row r="875" spans="1:18" x14ac:dyDescent="0.2">
      <c r="A875" s="75">
        <v>4340</v>
      </c>
      <c r="B875" s="76" t="s">
        <v>118</v>
      </c>
      <c r="C875" s="76">
        <v>142</v>
      </c>
      <c r="D875" s="76" t="s">
        <v>454</v>
      </c>
      <c r="E875" s="76" t="s">
        <v>426</v>
      </c>
      <c r="F875" s="77">
        <v>86507.24</v>
      </c>
      <c r="G875" s="77">
        <v>9235.3799999999992</v>
      </c>
      <c r="H875" s="77">
        <v>95742.62</v>
      </c>
      <c r="I875" s="76" t="s">
        <v>897</v>
      </c>
      <c r="J875" s="77">
        <v>11799.78</v>
      </c>
      <c r="K875" s="78">
        <v>76914.740000000005</v>
      </c>
      <c r="M875" s="79" t="str">
        <f t="shared" si="41"/>
        <v>142-4340</v>
      </c>
      <c r="N875" s="79" t="str">
        <f t="shared" si="39"/>
        <v/>
      </c>
      <c r="O875" s="79" t="str">
        <f t="shared" si="40"/>
        <v>142</v>
      </c>
      <c r="P875" s="79" t="str">
        <f>IFERROR(VLOOKUP($M875,Export!$P:$R,2,FALSE),"-")</f>
        <v>Lex Service</v>
      </c>
      <c r="Q875" s="79" t="str">
        <f>IFERROR(VLOOKUP($M875,Export!$P:$R,3,FALSE),"-")</f>
        <v>Lex ServiceInternal Gross Profit % of  Sales</v>
      </c>
      <c r="R875" s="80" t="e" cm="1">
        <f t="array" ref="R875">_xlfn.IFS(P875="Service", _xlfn.IFS(I875="SALES","GP",I875="SERVICE SALES","GP",I875="PARTS SALES","GP",I875="SERVICE COS","GP",I875="PARTS COS","GP",I875="SELLING EXPENSES","Selling Expenses",I875="EMPLOYMENT EXPENSES","Selling Expenses",I875="EMPLOYMENT EXPENSES","Selling Expenses",I875="DIRECT EXPENSES","Selling Expenses",I875="INDIRECT EXPENSES","Selling Expenses"),P875="Parts",_xlfn.IFS(I875="SALES","GP",I875="SERVICE SALES","GP",I875="PARTS SALES","GP",I875="SERVICE COS","GP",I875="PARTS COS","GP",I875="SELLING EXPENSES","Selling Expenses",I875="EMPLOYMENT EXPENSES","Selling Expenses",I875="EMPLOYMENT EXPENSES","Selling Expenses",I875="DIRECT EXPENSES","Selling Expenses",I875="INDIRECT EXPENSES","Selling Expenses"))</f>
        <v>#N/A</v>
      </c>
    </row>
    <row r="876" spans="1:18" x14ac:dyDescent="0.2">
      <c r="A876" s="75">
        <v>4340</v>
      </c>
      <c r="B876" s="76" t="s">
        <v>118</v>
      </c>
      <c r="C876" s="76">
        <v>147</v>
      </c>
      <c r="D876" s="76" t="s">
        <v>699</v>
      </c>
      <c r="E876" s="76" t="s">
        <v>426</v>
      </c>
      <c r="F876" s="77">
        <v>759.39</v>
      </c>
      <c r="G876" s="77">
        <v>0</v>
      </c>
      <c r="H876" s="77">
        <v>759.39</v>
      </c>
      <c r="I876" s="76" t="s">
        <v>897</v>
      </c>
      <c r="J876" s="77">
        <v>2858.13</v>
      </c>
      <c r="K876" s="78">
        <v>44118.81</v>
      </c>
      <c r="M876" s="79" t="str">
        <f t="shared" si="41"/>
        <v>147-4340</v>
      </c>
      <c r="N876" s="79" t="str">
        <f t="shared" si="39"/>
        <v/>
      </c>
      <c r="O876" s="79" t="str">
        <f t="shared" si="40"/>
        <v>147</v>
      </c>
      <c r="P876" s="79" t="str">
        <f>IFERROR(VLOOKUP($M876,Export!$P:$R,2,FALSE),"-")</f>
        <v>Service</v>
      </c>
      <c r="Q876" s="79" t="str">
        <f>IFERROR(VLOOKUP($M876,Export!$P:$R,3,FALSE),"-")</f>
        <v>ServiceInternal Gross Profit % of  Sales</v>
      </c>
      <c r="R876" s="80" t="str" cm="1">
        <f t="array" ref="R876">_xlfn.IFS(P876="Service", _xlfn.IFS(I876="SALES","GP",I876="SERVICE SALES","GP",I876="PARTS SALES","GP",I876="SERVICE COS","GP",I876="PARTS COS","GP",I876="SELLING EXPENSES","Selling Expenses",I876="EMPLOYMENT EXPENSES","Selling Expenses",I876="EMPLOYMENT EXPENSES","Selling Expenses",I876="DIRECT EXPENSES","Selling Expenses",I876="INDIRECT EXPENSES","Selling Expenses"),P876="Parts",_xlfn.IFS(I876="SALES","GP",I876="SERVICE SALES","GP",I876="PARTS SALES","GP",I876="SERVICE COS","GP",I876="PARTS COS","GP",I876="SELLING EXPENSES","Selling Expenses",I876="EMPLOYMENT EXPENSES","Selling Expenses",I876="EMPLOYMENT EXPENSES","Selling Expenses",I876="DIRECT EXPENSES","Selling Expenses",I876="INDIRECT EXPENSES","Selling Expenses"))</f>
        <v>GP</v>
      </c>
    </row>
    <row r="877" spans="1:18" x14ac:dyDescent="0.2">
      <c r="A877" s="75">
        <v>4340</v>
      </c>
      <c r="B877" s="76" t="s">
        <v>118</v>
      </c>
      <c r="C877" s="76">
        <v>150</v>
      </c>
      <c r="D877" s="76" t="s">
        <v>700</v>
      </c>
      <c r="E877" s="76" t="s">
        <v>426</v>
      </c>
      <c r="F877" s="77">
        <v>625.9</v>
      </c>
      <c r="G877" s="77">
        <v>0</v>
      </c>
      <c r="H877" s="77">
        <v>625.9</v>
      </c>
      <c r="I877" s="76" t="s">
        <v>897</v>
      </c>
      <c r="J877" s="77">
        <v>0</v>
      </c>
      <c r="K877" s="78">
        <v>0</v>
      </c>
      <c r="M877" s="79" t="str">
        <f t="shared" si="41"/>
        <v>150-4340</v>
      </c>
      <c r="N877" s="79" t="str">
        <f t="shared" si="39"/>
        <v/>
      </c>
      <c r="O877" s="79" t="str">
        <f t="shared" si="40"/>
        <v>150</v>
      </c>
      <c r="P877" s="79" t="str">
        <f>IFERROR(VLOOKUP($M877,Export!$P:$R,2,FALSE),"-")</f>
        <v>Retail Detailing</v>
      </c>
      <c r="Q877" s="79" t="str">
        <f>IFERROR(VLOOKUP($M877,Export!$P:$R,3,FALSE),"-")</f>
        <v>Retail DetailingInternal Gross Profit % of  Sales</v>
      </c>
      <c r="R877" s="80" t="e" cm="1">
        <f t="array" ref="R877">_xlfn.IFS(P877="Service", _xlfn.IFS(I877="SALES","GP",I877="SERVICE SALES","GP",I877="PARTS SALES","GP",I877="SERVICE COS","GP",I877="PARTS COS","GP",I877="SELLING EXPENSES","Selling Expenses",I877="EMPLOYMENT EXPENSES","Selling Expenses",I877="EMPLOYMENT EXPENSES","Selling Expenses",I877="DIRECT EXPENSES","Selling Expenses",I877="INDIRECT EXPENSES","Selling Expenses"),P877="Parts",_xlfn.IFS(I877="SALES","GP",I877="SERVICE SALES","GP",I877="PARTS SALES","GP",I877="SERVICE COS","GP",I877="PARTS COS","GP",I877="SELLING EXPENSES","Selling Expenses",I877="EMPLOYMENT EXPENSES","Selling Expenses",I877="EMPLOYMENT EXPENSES","Selling Expenses",I877="DIRECT EXPENSES","Selling Expenses",I877="INDIRECT EXPENSES","Selling Expenses"))</f>
        <v>#N/A</v>
      </c>
    </row>
    <row r="878" spans="1:18" x14ac:dyDescent="0.2">
      <c r="A878" s="75">
        <v>4340</v>
      </c>
      <c r="B878" s="76" t="s">
        <v>118</v>
      </c>
      <c r="C878" s="76">
        <v>240</v>
      </c>
      <c r="D878" s="76" t="s">
        <v>439</v>
      </c>
      <c r="E878" s="76" t="s">
        <v>426</v>
      </c>
      <c r="F878" s="77">
        <v>42063.09</v>
      </c>
      <c r="G878" s="77">
        <v>4941.9399999999996</v>
      </c>
      <c r="H878" s="77">
        <v>47005.03</v>
      </c>
      <c r="I878" s="76" t="s">
        <v>897</v>
      </c>
      <c r="J878" s="77">
        <v>2202.63</v>
      </c>
      <c r="K878" s="78">
        <v>23294.32</v>
      </c>
      <c r="M878" s="79" t="str">
        <f t="shared" si="41"/>
        <v>240-4340</v>
      </c>
      <c r="N878" s="79" t="str">
        <f t="shared" si="39"/>
        <v/>
      </c>
      <c r="O878" s="79" t="str">
        <f t="shared" si="40"/>
        <v>240</v>
      </c>
      <c r="P878" s="79" t="str">
        <f>IFERROR(VLOOKUP($M878,Export!$P:$R,2,FALSE),"-")</f>
        <v>Service</v>
      </c>
      <c r="Q878" s="79" t="str">
        <f>IFERROR(VLOOKUP($M878,Export!$P:$R,3,FALSE),"-")</f>
        <v>ServiceInternal Gross Profit % of  Sales</v>
      </c>
      <c r="R878" s="80" t="str" cm="1">
        <f t="array" ref="R878">_xlfn.IFS(P878="Service", _xlfn.IFS(I878="SALES","GP",I878="SERVICE SALES","GP",I878="PARTS SALES","GP",I878="SERVICE COS","GP",I878="PARTS COS","GP",I878="SELLING EXPENSES","Selling Expenses",I878="EMPLOYMENT EXPENSES","Selling Expenses",I878="EMPLOYMENT EXPENSES","Selling Expenses",I878="DIRECT EXPENSES","Selling Expenses",I878="INDIRECT EXPENSES","Selling Expenses"),P878="Parts",_xlfn.IFS(I878="SALES","GP",I878="SERVICE SALES","GP",I878="PARTS SALES","GP",I878="SERVICE COS","GP",I878="PARTS COS","GP",I878="SELLING EXPENSES","Selling Expenses",I878="EMPLOYMENT EXPENSES","Selling Expenses",I878="EMPLOYMENT EXPENSES","Selling Expenses",I878="DIRECT EXPENSES","Selling Expenses",I878="INDIRECT EXPENSES","Selling Expenses"))</f>
        <v>GP</v>
      </c>
    </row>
    <row r="879" spans="1:18" x14ac:dyDescent="0.2">
      <c r="A879" s="75">
        <v>4340</v>
      </c>
      <c r="B879" s="76" t="s">
        <v>118</v>
      </c>
      <c r="C879" s="76">
        <v>340</v>
      </c>
      <c r="D879" s="76" t="s">
        <v>440</v>
      </c>
      <c r="E879" s="76" t="s">
        <v>426</v>
      </c>
      <c r="F879" s="77">
        <v>17364.38</v>
      </c>
      <c r="G879" s="77">
        <v>2266.7399999999998</v>
      </c>
      <c r="H879" s="77">
        <v>19631.12</v>
      </c>
      <c r="I879" s="76" t="s">
        <v>897</v>
      </c>
      <c r="J879" s="77">
        <v>1620</v>
      </c>
      <c r="K879" s="78">
        <v>14751.02</v>
      </c>
      <c r="M879" s="79" t="str">
        <f t="shared" si="41"/>
        <v>340-4340</v>
      </c>
      <c r="N879" s="79" t="str">
        <f t="shared" si="39"/>
        <v/>
      </c>
      <c r="O879" s="79" t="str">
        <f t="shared" si="40"/>
        <v>340</v>
      </c>
      <c r="P879" s="79" t="str">
        <f>IFERROR(VLOOKUP($M879,Export!$P:$R,2,FALSE),"-")</f>
        <v>Service</v>
      </c>
      <c r="Q879" s="79" t="str">
        <f>IFERROR(VLOOKUP($M879,Export!$P:$R,3,FALSE),"-")</f>
        <v>ServiceInternal Gross Profit % of  Sales</v>
      </c>
      <c r="R879" s="80" t="str" cm="1">
        <f t="array" ref="R879">_xlfn.IFS(P879="Service", _xlfn.IFS(I879="SALES","GP",I879="SERVICE SALES","GP",I879="PARTS SALES","GP",I879="SERVICE COS","GP",I879="PARTS COS","GP",I879="SELLING EXPENSES","Selling Expenses",I879="EMPLOYMENT EXPENSES","Selling Expenses",I879="EMPLOYMENT EXPENSES","Selling Expenses",I879="DIRECT EXPENSES","Selling Expenses",I879="INDIRECT EXPENSES","Selling Expenses"),P879="Parts",_xlfn.IFS(I879="SALES","GP",I879="SERVICE SALES","GP",I879="PARTS SALES","GP",I879="SERVICE COS","GP",I879="PARTS COS","GP",I879="SELLING EXPENSES","Selling Expenses",I879="EMPLOYMENT EXPENSES","Selling Expenses",I879="EMPLOYMENT EXPENSES","Selling Expenses",I879="DIRECT EXPENSES","Selling Expenses",I879="INDIRECT EXPENSES","Selling Expenses"))</f>
        <v>GP</v>
      </c>
    </row>
    <row r="880" spans="1:18" x14ac:dyDescent="0.2">
      <c r="A880" s="75">
        <v>4340</v>
      </c>
      <c r="B880" s="76" t="s">
        <v>118</v>
      </c>
      <c r="C880" s="76">
        <v>440</v>
      </c>
      <c r="D880" s="76" t="s">
        <v>441</v>
      </c>
      <c r="E880" s="76" t="s">
        <v>426</v>
      </c>
      <c r="F880" s="77">
        <v>135639.75</v>
      </c>
      <c r="G880" s="77">
        <v>13489.45</v>
      </c>
      <c r="H880" s="77">
        <v>149129.20000000001</v>
      </c>
      <c r="I880" s="76" t="s">
        <v>897</v>
      </c>
      <c r="J880" s="77">
        <v>15376.23</v>
      </c>
      <c r="K880" s="78">
        <v>136143.14000000001</v>
      </c>
      <c r="M880" s="79" t="str">
        <f t="shared" si="41"/>
        <v>440-4340</v>
      </c>
      <c r="N880" s="79" t="str">
        <f t="shared" si="39"/>
        <v/>
      </c>
      <c r="O880" s="79" t="str">
        <f t="shared" si="40"/>
        <v>440</v>
      </c>
      <c r="P880" s="79" t="str">
        <f>IFERROR(VLOOKUP($M880,Export!$P:$R,2,FALSE),"-")</f>
        <v>Service</v>
      </c>
      <c r="Q880" s="79" t="str">
        <f>IFERROR(VLOOKUP($M880,Export!$P:$R,3,FALSE),"-")</f>
        <v>ServiceInternal Gross Profit % of  Sales</v>
      </c>
      <c r="R880" s="80" t="str" cm="1">
        <f t="array" ref="R880">_xlfn.IFS(P880="Service", _xlfn.IFS(I880="SALES","GP",I880="SERVICE SALES","GP",I880="PARTS SALES","GP",I880="SERVICE COS","GP",I880="PARTS COS","GP",I880="SELLING EXPENSES","Selling Expenses",I880="EMPLOYMENT EXPENSES","Selling Expenses",I880="EMPLOYMENT EXPENSES","Selling Expenses",I880="DIRECT EXPENSES","Selling Expenses",I880="INDIRECT EXPENSES","Selling Expenses"),P880="Parts",_xlfn.IFS(I880="SALES","GP",I880="SERVICE SALES","GP",I880="PARTS SALES","GP",I880="SERVICE COS","GP",I880="PARTS COS","GP",I880="SELLING EXPENSES","Selling Expenses",I880="EMPLOYMENT EXPENSES","Selling Expenses",I880="EMPLOYMENT EXPENSES","Selling Expenses",I880="DIRECT EXPENSES","Selling Expenses",I880="INDIRECT EXPENSES","Selling Expenses"))</f>
        <v>GP</v>
      </c>
    </row>
    <row r="881" spans="1:18" x14ac:dyDescent="0.2">
      <c r="A881" s="75">
        <v>4370</v>
      </c>
      <c r="B881" s="76" t="s">
        <v>901</v>
      </c>
      <c r="C881" s="76">
        <v>140</v>
      </c>
      <c r="D881" s="76" t="s">
        <v>433</v>
      </c>
      <c r="E881" s="76" t="s">
        <v>426</v>
      </c>
      <c r="F881" s="77">
        <v>189093.15</v>
      </c>
      <c r="G881" s="77">
        <v>19462.259999999998</v>
      </c>
      <c r="H881" s="77">
        <v>208555.41</v>
      </c>
      <c r="I881" s="76" t="s">
        <v>897</v>
      </c>
      <c r="J881" s="77">
        <v>-80000</v>
      </c>
      <c r="K881" s="78">
        <v>-170040.44</v>
      </c>
      <c r="M881" s="79" t="str">
        <f t="shared" si="41"/>
        <v>140-4370</v>
      </c>
      <c r="N881" s="79" t="str">
        <f t="shared" si="39"/>
        <v/>
      </c>
      <c r="O881" s="79" t="str">
        <f t="shared" si="40"/>
        <v>140</v>
      </c>
      <c r="P881" s="79" t="str">
        <f>IFERROR(VLOOKUP($M881,Export!$P:$R,2,FALSE),"-")</f>
        <v>Service</v>
      </c>
      <c r="Q881" s="79" t="str">
        <f>IFERROR(VLOOKUP($M881,Export!$P:$R,3,FALSE),"-")</f>
        <v>ServiceUnsold Labour  as % of Labour COS</v>
      </c>
      <c r="R881" s="80" t="str" cm="1">
        <f t="array" ref="R881">_xlfn.IFS(P881="Service", _xlfn.IFS(I881="SALES","GP",I881="SERVICE SALES","GP",I881="PARTS SALES","GP",I881="SERVICE COS","GP",I881="PARTS COS","GP",I881="SELLING EXPENSES","Selling Expenses",I881="EMPLOYMENT EXPENSES","Selling Expenses",I881="EMPLOYMENT EXPENSES","Selling Expenses",I881="DIRECT EXPENSES","Selling Expenses",I881="INDIRECT EXPENSES","Selling Expenses"),P881="Parts",_xlfn.IFS(I881="SALES","GP",I881="SERVICE SALES","GP",I881="PARTS SALES","GP",I881="SERVICE COS","GP",I881="PARTS COS","GP",I881="SELLING EXPENSES","Selling Expenses",I881="EMPLOYMENT EXPENSES","Selling Expenses",I881="EMPLOYMENT EXPENSES","Selling Expenses",I881="DIRECT EXPENSES","Selling Expenses",I881="INDIRECT EXPENSES","Selling Expenses"))</f>
        <v>GP</v>
      </c>
    </row>
    <row r="882" spans="1:18" x14ac:dyDescent="0.2">
      <c r="A882" s="75">
        <v>4370</v>
      </c>
      <c r="B882" s="76" t="s">
        <v>901</v>
      </c>
      <c r="C882" s="76">
        <v>142</v>
      </c>
      <c r="D882" s="76" t="s">
        <v>454</v>
      </c>
      <c r="E882" s="76" t="s">
        <v>426</v>
      </c>
      <c r="F882" s="77">
        <v>72824.56</v>
      </c>
      <c r="G882" s="77">
        <v>17474.580000000002</v>
      </c>
      <c r="H882" s="77">
        <v>90299.14</v>
      </c>
      <c r="I882" s="76" t="s">
        <v>897</v>
      </c>
      <c r="J882" s="77">
        <v>0</v>
      </c>
      <c r="K882" s="78">
        <v>23408.31</v>
      </c>
      <c r="M882" s="79" t="str">
        <f t="shared" si="41"/>
        <v>142-4370</v>
      </c>
      <c r="N882" s="79" t="str">
        <f t="shared" si="39"/>
        <v/>
      </c>
      <c r="O882" s="79" t="str">
        <f t="shared" si="40"/>
        <v>142</v>
      </c>
      <c r="P882" s="79" t="str">
        <f>IFERROR(VLOOKUP($M882,Export!$P:$R,2,FALSE),"-")</f>
        <v>Lex Service</v>
      </c>
      <c r="Q882" s="79" t="str">
        <f>IFERROR(VLOOKUP($M882,Export!$P:$R,3,FALSE),"-")</f>
        <v>Lex ServiceUnsold Labour  as % of Labour COS</v>
      </c>
      <c r="R882" s="80" t="e" cm="1">
        <f t="array" ref="R882">_xlfn.IFS(P882="Service", _xlfn.IFS(I882="SALES","GP",I882="SERVICE SALES","GP",I882="PARTS SALES","GP",I882="SERVICE COS","GP",I882="PARTS COS","GP",I882="SELLING EXPENSES","Selling Expenses",I882="EMPLOYMENT EXPENSES","Selling Expenses",I882="EMPLOYMENT EXPENSES","Selling Expenses",I882="DIRECT EXPENSES","Selling Expenses",I882="INDIRECT EXPENSES","Selling Expenses"),P882="Parts",_xlfn.IFS(I882="SALES","GP",I882="SERVICE SALES","GP",I882="PARTS SALES","GP",I882="SERVICE COS","GP",I882="PARTS COS","GP",I882="SELLING EXPENSES","Selling Expenses",I882="EMPLOYMENT EXPENSES","Selling Expenses",I882="EMPLOYMENT EXPENSES","Selling Expenses",I882="DIRECT EXPENSES","Selling Expenses",I882="INDIRECT EXPENSES","Selling Expenses"))</f>
        <v>#N/A</v>
      </c>
    </row>
    <row r="883" spans="1:18" x14ac:dyDescent="0.2">
      <c r="A883" s="75">
        <v>4370</v>
      </c>
      <c r="B883" s="76" t="s">
        <v>901</v>
      </c>
      <c r="C883" s="76">
        <v>147</v>
      </c>
      <c r="D883" s="76" t="s">
        <v>699</v>
      </c>
      <c r="E883" s="76" t="s">
        <v>426</v>
      </c>
      <c r="F883" s="77">
        <v>-1842.36</v>
      </c>
      <c r="G883" s="77">
        <v>0</v>
      </c>
      <c r="H883" s="77">
        <v>-1842.36</v>
      </c>
      <c r="I883" s="76" t="s">
        <v>897</v>
      </c>
      <c r="J883" s="77">
        <v>0</v>
      </c>
      <c r="K883" s="78">
        <v>100961.68</v>
      </c>
      <c r="M883" s="79" t="str">
        <f t="shared" si="41"/>
        <v>147-4370</v>
      </c>
      <c r="N883" s="79" t="str">
        <f t="shared" si="39"/>
        <v/>
      </c>
      <c r="O883" s="79" t="str">
        <f t="shared" si="40"/>
        <v>147</v>
      </c>
      <c r="P883" s="79" t="str">
        <f>IFERROR(VLOOKUP($M883,Export!$P:$R,2,FALSE),"-")</f>
        <v>Service</v>
      </c>
      <c r="Q883" s="79" t="str">
        <f>IFERROR(VLOOKUP($M883,Export!$P:$R,3,FALSE),"-")</f>
        <v>ServiceUnsold Labour  as % of Labour COS</v>
      </c>
      <c r="R883" s="80" t="str" cm="1">
        <f t="array" ref="R883">_xlfn.IFS(P883="Service", _xlfn.IFS(I883="SALES","GP",I883="SERVICE SALES","GP",I883="PARTS SALES","GP",I883="SERVICE COS","GP",I883="PARTS COS","GP",I883="SELLING EXPENSES","Selling Expenses",I883="EMPLOYMENT EXPENSES","Selling Expenses",I883="EMPLOYMENT EXPENSES","Selling Expenses",I883="DIRECT EXPENSES","Selling Expenses",I883="INDIRECT EXPENSES","Selling Expenses"),P883="Parts",_xlfn.IFS(I883="SALES","GP",I883="SERVICE SALES","GP",I883="PARTS SALES","GP",I883="SERVICE COS","GP",I883="PARTS COS","GP",I883="SELLING EXPENSES","Selling Expenses",I883="EMPLOYMENT EXPENSES","Selling Expenses",I883="EMPLOYMENT EXPENSES","Selling Expenses",I883="DIRECT EXPENSES","Selling Expenses",I883="INDIRECT EXPENSES","Selling Expenses"))</f>
        <v>GP</v>
      </c>
    </row>
    <row r="884" spans="1:18" x14ac:dyDescent="0.2">
      <c r="A884" s="75">
        <v>4370</v>
      </c>
      <c r="B884" s="76" t="s">
        <v>901</v>
      </c>
      <c r="C884" s="76">
        <v>240</v>
      </c>
      <c r="D884" s="76" t="s">
        <v>439</v>
      </c>
      <c r="E884" s="76" t="s">
        <v>426</v>
      </c>
      <c r="F884" s="77">
        <v>102179.83</v>
      </c>
      <c r="G884" s="77">
        <v>4660.8100000000004</v>
      </c>
      <c r="H884" s="77">
        <v>106840.64</v>
      </c>
      <c r="I884" s="76" t="s">
        <v>897</v>
      </c>
      <c r="J884" s="77">
        <v>-15000</v>
      </c>
      <c r="K884" s="78">
        <v>73654.11</v>
      </c>
      <c r="M884" s="79" t="str">
        <f t="shared" si="41"/>
        <v>240-4370</v>
      </c>
      <c r="N884" s="79" t="str">
        <f t="shared" si="39"/>
        <v/>
      </c>
      <c r="O884" s="79" t="str">
        <f t="shared" si="40"/>
        <v>240</v>
      </c>
      <c r="P884" s="79" t="str">
        <f>IFERROR(VLOOKUP($M884,Export!$P:$R,2,FALSE),"-")</f>
        <v>Service</v>
      </c>
      <c r="Q884" s="79" t="str">
        <f>IFERROR(VLOOKUP($M884,Export!$P:$R,3,FALSE),"-")</f>
        <v>ServiceUnsold Labour  as % of Labour COS</v>
      </c>
      <c r="R884" s="80" t="str" cm="1">
        <f t="array" ref="R884">_xlfn.IFS(P884="Service", _xlfn.IFS(I884="SALES","GP",I884="SERVICE SALES","GP",I884="PARTS SALES","GP",I884="SERVICE COS","GP",I884="PARTS COS","GP",I884="SELLING EXPENSES","Selling Expenses",I884="EMPLOYMENT EXPENSES","Selling Expenses",I884="EMPLOYMENT EXPENSES","Selling Expenses",I884="DIRECT EXPENSES","Selling Expenses",I884="INDIRECT EXPENSES","Selling Expenses"),P884="Parts",_xlfn.IFS(I884="SALES","GP",I884="SERVICE SALES","GP",I884="PARTS SALES","GP",I884="SERVICE COS","GP",I884="PARTS COS","GP",I884="SELLING EXPENSES","Selling Expenses",I884="EMPLOYMENT EXPENSES","Selling Expenses",I884="EMPLOYMENT EXPENSES","Selling Expenses",I884="DIRECT EXPENSES","Selling Expenses",I884="INDIRECT EXPENSES","Selling Expenses"))</f>
        <v>GP</v>
      </c>
    </row>
    <row r="885" spans="1:18" x14ac:dyDescent="0.2">
      <c r="A885" s="75">
        <v>4370</v>
      </c>
      <c r="B885" s="76" t="s">
        <v>901</v>
      </c>
      <c r="C885" s="76">
        <v>340</v>
      </c>
      <c r="D885" s="76" t="s">
        <v>440</v>
      </c>
      <c r="E885" s="76" t="s">
        <v>426</v>
      </c>
      <c r="F885" s="77">
        <v>21057.01</v>
      </c>
      <c r="G885" s="77">
        <v>5760.78</v>
      </c>
      <c r="H885" s="77">
        <v>26817.79</v>
      </c>
      <c r="I885" s="76" t="s">
        <v>897</v>
      </c>
      <c r="J885" s="77">
        <v>-10000</v>
      </c>
      <c r="K885" s="78">
        <v>25776.37</v>
      </c>
      <c r="M885" s="79" t="str">
        <f t="shared" si="41"/>
        <v>340-4370</v>
      </c>
      <c r="N885" s="79" t="str">
        <f t="shared" si="39"/>
        <v/>
      </c>
      <c r="O885" s="79" t="str">
        <f t="shared" si="40"/>
        <v>340</v>
      </c>
      <c r="P885" s="79" t="str">
        <f>IFERROR(VLOOKUP($M885,Export!$P:$R,2,FALSE),"-")</f>
        <v>Service</v>
      </c>
      <c r="Q885" s="79" t="str">
        <f>IFERROR(VLOOKUP($M885,Export!$P:$R,3,FALSE),"-")</f>
        <v>ServiceUnsold Labour  as % of Labour COS</v>
      </c>
      <c r="R885" s="80" t="str" cm="1">
        <f t="array" ref="R885">_xlfn.IFS(P885="Service", _xlfn.IFS(I885="SALES","GP",I885="SERVICE SALES","GP",I885="PARTS SALES","GP",I885="SERVICE COS","GP",I885="PARTS COS","GP",I885="SELLING EXPENSES","Selling Expenses",I885="EMPLOYMENT EXPENSES","Selling Expenses",I885="EMPLOYMENT EXPENSES","Selling Expenses",I885="DIRECT EXPENSES","Selling Expenses",I885="INDIRECT EXPENSES","Selling Expenses"),P885="Parts",_xlfn.IFS(I885="SALES","GP",I885="SERVICE SALES","GP",I885="PARTS SALES","GP",I885="SERVICE COS","GP",I885="PARTS COS","GP",I885="SELLING EXPENSES","Selling Expenses",I885="EMPLOYMENT EXPENSES","Selling Expenses",I885="EMPLOYMENT EXPENSES","Selling Expenses",I885="DIRECT EXPENSES","Selling Expenses",I885="INDIRECT EXPENSES","Selling Expenses"))</f>
        <v>GP</v>
      </c>
    </row>
    <row r="886" spans="1:18" x14ac:dyDescent="0.2">
      <c r="A886" s="75">
        <v>4370</v>
      </c>
      <c r="B886" s="76" t="s">
        <v>901</v>
      </c>
      <c r="C886" s="76">
        <v>440</v>
      </c>
      <c r="D886" s="76" t="s">
        <v>441</v>
      </c>
      <c r="E886" s="76" t="s">
        <v>426</v>
      </c>
      <c r="F886" s="77">
        <v>92983.59</v>
      </c>
      <c r="G886" s="77">
        <v>12497.47</v>
      </c>
      <c r="H886" s="77">
        <v>105481.06</v>
      </c>
      <c r="I886" s="76" t="s">
        <v>897</v>
      </c>
      <c r="J886" s="77">
        <v>-15000</v>
      </c>
      <c r="K886" s="78">
        <v>-67927.34</v>
      </c>
      <c r="M886" s="79" t="str">
        <f t="shared" si="41"/>
        <v>440-4370</v>
      </c>
      <c r="N886" s="79" t="str">
        <f t="shared" si="39"/>
        <v/>
      </c>
      <c r="O886" s="79" t="str">
        <f t="shared" si="40"/>
        <v>440</v>
      </c>
      <c r="P886" s="79" t="str">
        <f>IFERROR(VLOOKUP($M886,Export!$P:$R,2,FALSE),"-")</f>
        <v>Service</v>
      </c>
      <c r="Q886" s="79" t="str">
        <f>IFERROR(VLOOKUP($M886,Export!$P:$R,3,FALSE),"-")</f>
        <v>ServiceUnsold Labour  as % of Labour COS</v>
      </c>
      <c r="R886" s="80" t="str" cm="1">
        <f t="array" ref="R886">_xlfn.IFS(P886="Service", _xlfn.IFS(I886="SALES","GP",I886="SERVICE SALES","GP",I886="PARTS SALES","GP",I886="SERVICE COS","GP",I886="PARTS COS","GP",I886="SELLING EXPENSES","Selling Expenses",I886="EMPLOYMENT EXPENSES","Selling Expenses",I886="EMPLOYMENT EXPENSES","Selling Expenses",I886="DIRECT EXPENSES","Selling Expenses",I886="INDIRECT EXPENSES","Selling Expenses"),P886="Parts",_xlfn.IFS(I886="SALES","GP",I886="SERVICE SALES","GP",I886="PARTS SALES","GP",I886="SERVICE COS","GP",I886="PARTS COS","GP",I886="SELLING EXPENSES","Selling Expenses",I886="EMPLOYMENT EXPENSES","Selling Expenses",I886="EMPLOYMENT EXPENSES","Selling Expenses",I886="DIRECT EXPENSES","Selling Expenses",I886="INDIRECT EXPENSES","Selling Expenses"))</f>
        <v>GP</v>
      </c>
    </row>
    <row r="887" spans="1:18" x14ac:dyDescent="0.2">
      <c r="A887" s="75">
        <v>4390</v>
      </c>
      <c r="B887" s="76" t="s">
        <v>120</v>
      </c>
      <c r="C887" s="76">
        <v>140</v>
      </c>
      <c r="D887" s="76" t="s">
        <v>433</v>
      </c>
      <c r="E887" s="76" t="s">
        <v>426</v>
      </c>
      <c r="F887" s="77">
        <v>323790.90000000002</v>
      </c>
      <c r="G887" s="77">
        <v>29372.68</v>
      </c>
      <c r="H887" s="77">
        <v>353163.58</v>
      </c>
      <c r="I887" s="76" t="s">
        <v>897</v>
      </c>
      <c r="J887" s="77">
        <v>53245.46</v>
      </c>
      <c r="K887" s="78">
        <v>457904.81</v>
      </c>
      <c r="M887" s="79" t="str">
        <f t="shared" si="41"/>
        <v>140-4390</v>
      </c>
      <c r="N887" s="79" t="str">
        <f t="shared" si="39"/>
        <v/>
      </c>
      <c r="O887" s="79" t="str">
        <f t="shared" si="40"/>
        <v>140</v>
      </c>
      <c r="P887" s="79" t="str">
        <f>IFERROR(VLOOKUP($M887,Export!$P:$R,2,FALSE),"-")</f>
        <v>Service</v>
      </c>
      <c r="Q887" s="79" t="str">
        <f>IFERROR(VLOOKUP($M887,Export!$P:$R,3,FALSE),"-")</f>
        <v>ServiceSublet Gross Profit % of Sales</v>
      </c>
      <c r="R887" s="80" t="str" cm="1">
        <f t="array" ref="R887">_xlfn.IFS(P887="Service", _xlfn.IFS(I887="SALES","GP",I887="SERVICE SALES","GP",I887="PARTS SALES","GP",I887="SERVICE COS","GP",I887="PARTS COS","GP",I887="SELLING EXPENSES","Selling Expenses",I887="EMPLOYMENT EXPENSES","Selling Expenses",I887="EMPLOYMENT EXPENSES","Selling Expenses",I887="DIRECT EXPENSES","Selling Expenses",I887="INDIRECT EXPENSES","Selling Expenses"),P887="Parts",_xlfn.IFS(I887="SALES","GP",I887="SERVICE SALES","GP",I887="PARTS SALES","GP",I887="SERVICE COS","GP",I887="PARTS COS","GP",I887="SELLING EXPENSES","Selling Expenses",I887="EMPLOYMENT EXPENSES","Selling Expenses",I887="EMPLOYMENT EXPENSES","Selling Expenses",I887="DIRECT EXPENSES","Selling Expenses",I887="INDIRECT EXPENSES","Selling Expenses"))</f>
        <v>GP</v>
      </c>
    </row>
    <row r="888" spans="1:18" x14ac:dyDescent="0.2">
      <c r="A888" s="75">
        <v>4390</v>
      </c>
      <c r="B888" s="76" t="s">
        <v>120</v>
      </c>
      <c r="C888" s="76">
        <v>142</v>
      </c>
      <c r="D888" s="76" t="s">
        <v>454</v>
      </c>
      <c r="E888" s="76" t="s">
        <v>426</v>
      </c>
      <c r="F888" s="77">
        <v>117484.55</v>
      </c>
      <c r="G888" s="77">
        <v>14577.65</v>
      </c>
      <c r="H888" s="77">
        <v>132062.20000000001</v>
      </c>
      <c r="I888" s="76" t="s">
        <v>897</v>
      </c>
      <c r="J888" s="77">
        <v>11230.87</v>
      </c>
      <c r="K888" s="78">
        <v>111434.67</v>
      </c>
      <c r="M888" s="79" t="str">
        <f t="shared" si="41"/>
        <v>142-4390</v>
      </c>
      <c r="N888" s="79" t="str">
        <f t="shared" si="39"/>
        <v/>
      </c>
      <c r="O888" s="79" t="str">
        <f t="shared" si="40"/>
        <v>142</v>
      </c>
      <c r="P888" s="79" t="str">
        <f>IFERROR(VLOOKUP($M888,Export!$P:$R,2,FALSE),"-")</f>
        <v>Lex Service</v>
      </c>
      <c r="Q888" s="79" t="str">
        <f>IFERROR(VLOOKUP($M888,Export!$P:$R,3,FALSE),"-")</f>
        <v>Lex ServiceSublet Gross Profit % of Sales</v>
      </c>
      <c r="R888" s="80" t="e" cm="1">
        <f t="array" ref="R888">_xlfn.IFS(P888="Service", _xlfn.IFS(I888="SALES","GP",I888="SERVICE SALES","GP",I888="PARTS SALES","GP",I888="SERVICE COS","GP",I888="PARTS COS","GP",I888="SELLING EXPENSES","Selling Expenses",I888="EMPLOYMENT EXPENSES","Selling Expenses",I888="EMPLOYMENT EXPENSES","Selling Expenses",I888="DIRECT EXPENSES","Selling Expenses",I888="INDIRECT EXPENSES","Selling Expenses"),P888="Parts",_xlfn.IFS(I888="SALES","GP",I888="SERVICE SALES","GP",I888="PARTS SALES","GP",I888="SERVICE COS","GP",I888="PARTS COS","GP",I888="SELLING EXPENSES","Selling Expenses",I888="EMPLOYMENT EXPENSES","Selling Expenses",I888="EMPLOYMENT EXPENSES","Selling Expenses",I888="DIRECT EXPENSES","Selling Expenses",I888="INDIRECT EXPENSES","Selling Expenses"))</f>
        <v>#N/A</v>
      </c>
    </row>
    <row r="889" spans="1:18" x14ac:dyDescent="0.2">
      <c r="A889" s="75">
        <v>4390</v>
      </c>
      <c r="B889" s="76" t="s">
        <v>120</v>
      </c>
      <c r="C889" s="76">
        <v>147</v>
      </c>
      <c r="D889" s="76" t="s">
        <v>699</v>
      </c>
      <c r="E889" s="76" t="s">
        <v>426</v>
      </c>
      <c r="F889" s="77">
        <v>1860.89</v>
      </c>
      <c r="G889" s="77">
        <v>0</v>
      </c>
      <c r="H889" s="77">
        <v>1860.89</v>
      </c>
      <c r="I889" s="76" t="s">
        <v>897</v>
      </c>
      <c r="J889" s="77">
        <v>12378.16</v>
      </c>
      <c r="K889" s="78">
        <v>127148</v>
      </c>
      <c r="M889" s="79" t="str">
        <f t="shared" si="41"/>
        <v>147-4390</v>
      </c>
      <c r="N889" s="79" t="str">
        <f t="shared" si="39"/>
        <v/>
      </c>
      <c r="O889" s="79" t="str">
        <f t="shared" si="40"/>
        <v>147</v>
      </c>
      <c r="P889" s="79" t="str">
        <f>IFERROR(VLOOKUP($M889,Export!$P:$R,2,FALSE),"-")</f>
        <v>Service</v>
      </c>
      <c r="Q889" s="79" t="str">
        <f>IFERROR(VLOOKUP($M889,Export!$P:$R,3,FALSE),"-")</f>
        <v>ServiceSublet Gross Profit % of Sales</v>
      </c>
      <c r="R889" s="80" t="str" cm="1">
        <f t="array" ref="R889">_xlfn.IFS(P889="Service", _xlfn.IFS(I889="SALES","GP",I889="SERVICE SALES","GP",I889="PARTS SALES","GP",I889="SERVICE COS","GP",I889="PARTS COS","GP",I889="SELLING EXPENSES","Selling Expenses",I889="EMPLOYMENT EXPENSES","Selling Expenses",I889="EMPLOYMENT EXPENSES","Selling Expenses",I889="DIRECT EXPENSES","Selling Expenses",I889="INDIRECT EXPENSES","Selling Expenses"),P889="Parts",_xlfn.IFS(I889="SALES","GP",I889="SERVICE SALES","GP",I889="PARTS SALES","GP",I889="SERVICE COS","GP",I889="PARTS COS","GP",I889="SELLING EXPENSES","Selling Expenses",I889="EMPLOYMENT EXPENSES","Selling Expenses",I889="EMPLOYMENT EXPENSES","Selling Expenses",I889="DIRECT EXPENSES","Selling Expenses",I889="INDIRECT EXPENSES","Selling Expenses"))</f>
        <v>GP</v>
      </c>
    </row>
    <row r="890" spans="1:18" x14ac:dyDescent="0.2">
      <c r="A890" s="75">
        <v>4390</v>
      </c>
      <c r="B890" s="76" t="s">
        <v>120</v>
      </c>
      <c r="C890" s="76">
        <v>240</v>
      </c>
      <c r="D890" s="76" t="s">
        <v>439</v>
      </c>
      <c r="E890" s="76" t="s">
        <v>426</v>
      </c>
      <c r="F890" s="77">
        <v>64546.82</v>
      </c>
      <c r="G890" s="287">
        <v>5083.7</v>
      </c>
      <c r="H890" s="77">
        <v>69630.52</v>
      </c>
      <c r="I890" s="76" t="s">
        <v>897</v>
      </c>
      <c r="J890" s="77">
        <v>12139.6</v>
      </c>
      <c r="K890" s="78">
        <v>117555.82</v>
      </c>
      <c r="M890" s="79" t="str">
        <f t="shared" si="41"/>
        <v>240-4390</v>
      </c>
      <c r="N890" s="79" t="str">
        <f t="shared" si="39"/>
        <v/>
      </c>
      <c r="O890" s="79" t="str">
        <f t="shared" si="40"/>
        <v>240</v>
      </c>
      <c r="P890" s="79" t="str">
        <f>IFERROR(VLOOKUP($M890,Export!$P:$R,2,FALSE),"-")</f>
        <v>Service</v>
      </c>
      <c r="Q890" s="79" t="str">
        <f>IFERROR(VLOOKUP($M890,Export!$P:$R,3,FALSE),"-")</f>
        <v>ServiceSublet Gross Profit % of Sales</v>
      </c>
      <c r="R890" s="80" t="str" cm="1">
        <f t="array" ref="R890">_xlfn.IFS(P890="Service", _xlfn.IFS(I890="SALES","GP",I890="SERVICE SALES","GP",I890="PARTS SALES","GP",I890="SERVICE COS","GP",I890="PARTS COS","GP",I890="SELLING EXPENSES","Selling Expenses",I890="EMPLOYMENT EXPENSES","Selling Expenses",I890="EMPLOYMENT EXPENSES","Selling Expenses",I890="DIRECT EXPENSES","Selling Expenses",I890="INDIRECT EXPENSES","Selling Expenses"),P890="Parts",_xlfn.IFS(I890="SALES","GP",I890="SERVICE SALES","GP",I890="PARTS SALES","GP",I890="SERVICE COS","GP",I890="PARTS COS","GP",I890="SELLING EXPENSES","Selling Expenses",I890="EMPLOYMENT EXPENSES","Selling Expenses",I890="EMPLOYMENT EXPENSES","Selling Expenses",I890="DIRECT EXPENSES","Selling Expenses",I890="INDIRECT EXPENSES","Selling Expenses"))</f>
        <v>GP</v>
      </c>
    </row>
    <row r="891" spans="1:18" x14ac:dyDescent="0.2">
      <c r="A891" s="75">
        <v>4390</v>
      </c>
      <c r="B891" s="76" t="s">
        <v>120</v>
      </c>
      <c r="C891" s="76">
        <v>340</v>
      </c>
      <c r="D891" s="76" t="s">
        <v>440</v>
      </c>
      <c r="E891" s="76" t="s">
        <v>426</v>
      </c>
      <c r="F891" s="77">
        <v>120124.98</v>
      </c>
      <c r="G891" s="77">
        <v>8982.9</v>
      </c>
      <c r="H891" s="77">
        <v>129107.88</v>
      </c>
      <c r="I891" s="76" t="s">
        <v>897</v>
      </c>
      <c r="J891" s="77">
        <v>14517.42</v>
      </c>
      <c r="K891" s="78">
        <v>137502.82999999999</v>
      </c>
      <c r="M891" s="79" t="str">
        <f t="shared" si="41"/>
        <v>340-4390</v>
      </c>
      <c r="N891" s="79" t="str">
        <f t="shared" si="39"/>
        <v/>
      </c>
      <c r="O891" s="79" t="str">
        <f t="shared" si="40"/>
        <v>340</v>
      </c>
      <c r="P891" s="79" t="str">
        <f>IFERROR(VLOOKUP($M891,Export!$P:$R,2,FALSE),"-")</f>
        <v>Service</v>
      </c>
      <c r="Q891" s="79" t="str">
        <f>IFERROR(VLOOKUP($M891,Export!$P:$R,3,FALSE),"-")</f>
        <v>ServiceSublet Gross Profit % of Sales</v>
      </c>
      <c r="R891" s="80" t="str" cm="1">
        <f t="array" ref="R891">_xlfn.IFS(P891="Service", _xlfn.IFS(I891="SALES","GP",I891="SERVICE SALES","GP",I891="PARTS SALES","GP",I891="SERVICE COS","GP",I891="PARTS COS","GP",I891="SELLING EXPENSES","Selling Expenses",I891="EMPLOYMENT EXPENSES","Selling Expenses",I891="EMPLOYMENT EXPENSES","Selling Expenses",I891="DIRECT EXPENSES","Selling Expenses",I891="INDIRECT EXPENSES","Selling Expenses"),P891="Parts",_xlfn.IFS(I891="SALES","GP",I891="SERVICE SALES","GP",I891="PARTS SALES","GP",I891="SERVICE COS","GP",I891="PARTS COS","GP",I891="SELLING EXPENSES","Selling Expenses",I891="EMPLOYMENT EXPENSES","Selling Expenses",I891="EMPLOYMENT EXPENSES","Selling Expenses",I891="DIRECT EXPENSES","Selling Expenses",I891="INDIRECT EXPENSES","Selling Expenses"))</f>
        <v>GP</v>
      </c>
    </row>
    <row r="892" spans="1:18" x14ac:dyDescent="0.2">
      <c r="A892" s="75">
        <v>4390</v>
      </c>
      <c r="B892" s="76" t="s">
        <v>120</v>
      </c>
      <c r="C892" s="76">
        <v>440</v>
      </c>
      <c r="D892" s="76" t="s">
        <v>441</v>
      </c>
      <c r="E892" s="76" t="s">
        <v>426</v>
      </c>
      <c r="F892" s="77">
        <v>73121.91</v>
      </c>
      <c r="G892" s="77">
        <v>3437.89</v>
      </c>
      <c r="H892" s="77">
        <v>76559.8</v>
      </c>
      <c r="I892" s="76" t="s">
        <v>897</v>
      </c>
      <c r="J892" s="77">
        <v>6500</v>
      </c>
      <c r="K892" s="78">
        <v>64139.16</v>
      </c>
      <c r="M892" s="79" t="str">
        <f t="shared" si="41"/>
        <v>440-4390</v>
      </c>
      <c r="N892" s="79" t="str">
        <f t="shared" si="39"/>
        <v/>
      </c>
      <c r="O892" s="79" t="str">
        <f t="shared" si="40"/>
        <v>440</v>
      </c>
      <c r="P892" s="79" t="str">
        <f>IFERROR(VLOOKUP($M892,Export!$P:$R,2,FALSE),"-")</f>
        <v>Service</v>
      </c>
      <c r="Q892" s="79" t="str">
        <f>IFERROR(VLOOKUP($M892,Export!$P:$R,3,FALSE),"-")</f>
        <v>ServiceSublet Gross Profit % of Sales</v>
      </c>
      <c r="R892" s="80" t="str" cm="1">
        <f t="array" ref="R892">_xlfn.IFS(P892="Service", _xlfn.IFS(I892="SALES","GP",I892="SERVICE SALES","GP",I892="PARTS SALES","GP",I892="SERVICE COS","GP",I892="PARTS COS","GP",I892="SELLING EXPENSES","Selling Expenses",I892="EMPLOYMENT EXPENSES","Selling Expenses",I892="EMPLOYMENT EXPENSES","Selling Expenses",I892="DIRECT EXPENSES","Selling Expenses",I892="INDIRECT EXPENSES","Selling Expenses"),P892="Parts",_xlfn.IFS(I892="SALES","GP",I892="SERVICE SALES","GP",I892="PARTS SALES","GP",I892="SERVICE COS","GP",I892="PARTS COS","GP",I892="SELLING EXPENSES","Selling Expenses",I892="EMPLOYMENT EXPENSES","Selling Expenses",I892="EMPLOYMENT EXPENSES","Selling Expenses",I892="DIRECT EXPENSES","Selling Expenses",I892="INDIRECT EXPENSES","Selling Expenses"))</f>
        <v>GP</v>
      </c>
    </row>
    <row r="893" spans="1:18" x14ac:dyDescent="0.2">
      <c r="A893" s="75">
        <v>4400</v>
      </c>
      <c r="B893" s="76" t="s">
        <v>902</v>
      </c>
      <c r="C893" s="76">
        <v>140</v>
      </c>
      <c r="D893" s="76" t="s">
        <v>433</v>
      </c>
      <c r="E893" s="76" t="s">
        <v>426</v>
      </c>
      <c r="F893" s="77">
        <v>172073.93</v>
      </c>
      <c r="G893" s="77">
        <v>23072.36</v>
      </c>
      <c r="H893" s="77">
        <v>195146.29</v>
      </c>
      <c r="I893" s="76" t="s">
        <v>897</v>
      </c>
      <c r="J893" s="77">
        <v>28466.25</v>
      </c>
      <c r="K893" s="78">
        <v>243737.59</v>
      </c>
      <c r="M893" s="79" t="str">
        <f t="shared" si="41"/>
        <v>140-4400</v>
      </c>
      <c r="N893" s="79" t="str">
        <f t="shared" si="39"/>
        <v/>
      </c>
      <c r="O893" s="79" t="str">
        <f t="shared" si="40"/>
        <v>140</v>
      </c>
      <c r="P893" s="79" t="str">
        <f>IFERROR(VLOOKUP($M893,Export!$P:$R,2,FALSE),"-")</f>
        <v>Service</v>
      </c>
      <c r="Q893" s="79" t="str">
        <f>IFERROR(VLOOKUP($M893,Export!$P:$R,3,FALSE),"-")</f>
        <v>ServiceMiscellaneous Gross Profit % of Sales</v>
      </c>
      <c r="R893" s="80" t="str" cm="1">
        <f t="array" ref="R893">_xlfn.IFS(P893="Service", _xlfn.IFS(I893="SALES","GP",I893="SERVICE SALES","GP",I893="PARTS SALES","GP",I893="SERVICE COS","GP",I893="PARTS COS","GP",I893="SELLING EXPENSES","Selling Expenses",I893="EMPLOYMENT EXPENSES","Selling Expenses",I893="EMPLOYMENT EXPENSES","Selling Expenses",I893="DIRECT EXPENSES","Selling Expenses",I893="INDIRECT EXPENSES","Selling Expenses"),P893="Parts",_xlfn.IFS(I893="SALES","GP",I893="SERVICE SALES","GP",I893="PARTS SALES","GP",I893="SERVICE COS","GP",I893="PARTS COS","GP",I893="SELLING EXPENSES","Selling Expenses",I893="EMPLOYMENT EXPENSES","Selling Expenses",I893="EMPLOYMENT EXPENSES","Selling Expenses",I893="DIRECT EXPENSES","Selling Expenses",I893="INDIRECT EXPENSES","Selling Expenses"))</f>
        <v>GP</v>
      </c>
    </row>
    <row r="894" spans="1:18" x14ac:dyDescent="0.2">
      <c r="A894" s="75">
        <v>4400</v>
      </c>
      <c r="B894" s="76" t="s">
        <v>902</v>
      </c>
      <c r="C894" s="76">
        <v>142</v>
      </c>
      <c r="D894" s="76" t="s">
        <v>454</v>
      </c>
      <c r="E894" s="76" t="s">
        <v>426</v>
      </c>
      <c r="F894" s="77">
        <v>89705.4</v>
      </c>
      <c r="G894" s="77">
        <v>1562.63</v>
      </c>
      <c r="H894" s="77">
        <v>91268.03</v>
      </c>
      <c r="I894" s="76" t="s">
        <v>897</v>
      </c>
      <c r="J894" s="77">
        <v>4323.72</v>
      </c>
      <c r="K894" s="78">
        <v>43155.44</v>
      </c>
      <c r="M894" s="79" t="str">
        <f t="shared" si="41"/>
        <v>142-4400</v>
      </c>
      <c r="N894" s="79" t="str">
        <f t="shared" si="39"/>
        <v/>
      </c>
      <c r="O894" s="79" t="str">
        <f t="shared" si="40"/>
        <v>142</v>
      </c>
      <c r="P894" s="79" t="str">
        <f>IFERROR(VLOOKUP($M894,Export!$P:$R,2,FALSE),"-")</f>
        <v>Lex Service</v>
      </c>
      <c r="Q894" s="79" t="str">
        <f>IFERROR(VLOOKUP($M894,Export!$P:$R,3,FALSE),"-")</f>
        <v>Lex ServiceMiscellaneous Gross Profit % of Sales</v>
      </c>
      <c r="R894" s="80" t="e" cm="1">
        <f t="array" ref="R894">_xlfn.IFS(P894="Service", _xlfn.IFS(I894="SALES","GP",I894="SERVICE SALES","GP",I894="PARTS SALES","GP",I894="SERVICE COS","GP",I894="PARTS COS","GP",I894="SELLING EXPENSES","Selling Expenses",I894="EMPLOYMENT EXPENSES","Selling Expenses",I894="EMPLOYMENT EXPENSES","Selling Expenses",I894="DIRECT EXPENSES","Selling Expenses",I894="INDIRECT EXPENSES","Selling Expenses"),P894="Parts",_xlfn.IFS(I894="SALES","GP",I894="SERVICE SALES","GP",I894="PARTS SALES","GP",I894="SERVICE COS","GP",I894="PARTS COS","GP",I894="SELLING EXPENSES","Selling Expenses",I894="EMPLOYMENT EXPENSES","Selling Expenses",I894="EMPLOYMENT EXPENSES","Selling Expenses",I894="DIRECT EXPENSES","Selling Expenses",I894="INDIRECT EXPENSES","Selling Expenses"))</f>
        <v>#N/A</v>
      </c>
    </row>
    <row r="895" spans="1:18" x14ac:dyDescent="0.2">
      <c r="A895" s="75">
        <v>4400</v>
      </c>
      <c r="B895" s="76" t="s">
        <v>902</v>
      </c>
      <c r="C895" s="76">
        <v>147</v>
      </c>
      <c r="D895" s="76" t="s">
        <v>699</v>
      </c>
      <c r="E895" s="76" t="s">
        <v>426</v>
      </c>
      <c r="F895" s="77">
        <v>0</v>
      </c>
      <c r="G895" s="287">
        <v>0</v>
      </c>
      <c r="H895" s="77">
        <v>0</v>
      </c>
      <c r="I895" s="76" t="s">
        <v>897</v>
      </c>
      <c r="J895" s="77">
        <v>1667.89</v>
      </c>
      <c r="K895" s="78">
        <v>15839.79</v>
      </c>
      <c r="M895" s="79" t="str">
        <f t="shared" si="41"/>
        <v>147-4400</v>
      </c>
      <c r="N895" s="79" t="str">
        <f t="shared" si="39"/>
        <v/>
      </c>
      <c r="O895" s="79" t="str">
        <f t="shared" si="40"/>
        <v>147</v>
      </c>
      <c r="P895" s="79" t="str">
        <f>IFERROR(VLOOKUP($M895,Export!$P:$R,2,FALSE),"-")</f>
        <v>Service</v>
      </c>
      <c r="Q895" s="79" t="str">
        <f>IFERROR(VLOOKUP($M895,Export!$P:$R,3,FALSE),"-")</f>
        <v>ServiceMiscellaneous Gross Profit % of Sales</v>
      </c>
      <c r="R895" s="80" t="str" cm="1">
        <f t="array" ref="R895">_xlfn.IFS(P895="Service", _xlfn.IFS(I895="SALES","GP",I895="SERVICE SALES","GP",I895="PARTS SALES","GP",I895="SERVICE COS","GP",I895="PARTS COS","GP",I895="SELLING EXPENSES","Selling Expenses",I895="EMPLOYMENT EXPENSES","Selling Expenses",I895="EMPLOYMENT EXPENSES","Selling Expenses",I895="DIRECT EXPENSES","Selling Expenses",I895="INDIRECT EXPENSES","Selling Expenses"),P895="Parts",_xlfn.IFS(I895="SALES","GP",I895="SERVICE SALES","GP",I895="PARTS SALES","GP",I895="SERVICE COS","GP",I895="PARTS COS","GP",I895="SELLING EXPENSES","Selling Expenses",I895="EMPLOYMENT EXPENSES","Selling Expenses",I895="EMPLOYMENT EXPENSES","Selling Expenses",I895="DIRECT EXPENSES","Selling Expenses",I895="INDIRECT EXPENSES","Selling Expenses"))</f>
        <v>GP</v>
      </c>
    </row>
    <row r="896" spans="1:18" x14ac:dyDescent="0.2">
      <c r="A896" s="75">
        <v>4400</v>
      </c>
      <c r="B896" s="76" t="s">
        <v>902</v>
      </c>
      <c r="C896" s="76">
        <v>240</v>
      </c>
      <c r="D896" s="76" t="s">
        <v>439</v>
      </c>
      <c r="E896" s="76" t="s">
        <v>426</v>
      </c>
      <c r="F896" s="77">
        <v>130616.09</v>
      </c>
      <c r="G896" s="77">
        <v>11164.96</v>
      </c>
      <c r="H896" s="77">
        <v>141781.04999999999</v>
      </c>
      <c r="I896" s="76" t="s">
        <v>897</v>
      </c>
      <c r="J896" s="77">
        <v>18879.310000000001</v>
      </c>
      <c r="K896" s="78">
        <v>183662.39</v>
      </c>
      <c r="M896" s="79" t="str">
        <f t="shared" si="41"/>
        <v>240-4400</v>
      </c>
      <c r="N896" s="79" t="str">
        <f t="shared" si="39"/>
        <v/>
      </c>
      <c r="O896" s="79" t="str">
        <f t="shared" si="40"/>
        <v>240</v>
      </c>
      <c r="P896" s="79" t="str">
        <f>IFERROR(VLOOKUP($M896,Export!$P:$R,2,FALSE),"-")</f>
        <v>Service</v>
      </c>
      <c r="Q896" s="79" t="str">
        <f>IFERROR(VLOOKUP($M896,Export!$P:$R,3,FALSE),"-")</f>
        <v>ServiceMiscellaneous Gross Profit % of Sales</v>
      </c>
      <c r="R896" s="80" t="str" cm="1">
        <f t="array" ref="R896">_xlfn.IFS(P896="Service", _xlfn.IFS(I896="SALES","GP",I896="SERVICE SALES","GP",I896="PARTS SALES","GP",I896="SERVICE COS","GP",I896="PARTS COS","GP",I896="SELLING EXPENSES","Selling Expenses",I896="EMPLOYMENT EXPENSES","Selling Expenses",I896="EMPLOYMENT EXPENSES","Selling Expenses",I896="DIRECT EXPENSES","Selling Expenses",I896="INDIRECT EXPENSES","Selling Expenses"),P896="Parts",_xlfn.IFS(I896="SALES","GP",I896="SERVICE SALES","GP",I896="PARTS SALES","GP",I896="SERVICE COS","GP",I896="PARTS COS","GP",I896="SELLING EXPENSES","Selling Expenses",I896="EMPLOYMENT EXPENSES","Selling Expenses",I896="EMPLOYMENT EXPENSES","Selling Expenses",I896="DIRECT EXPENSES","Selling Expenses",I896="INDIRECT EXPENSES","Selling Expenses"))</f>
        <v>GP</v>
      </c>
    </row>
    <row r="897" spans="1:18" x14ac:dyDescent="0.2">
      <c r="A897" s="75">
        <v>4400</v>
      </c>
      <c r="B897" s="76" t="s">
        <v>902</v>
      </c>
      <c r="C897" s="76">
        <v>340</v>
      </c>
      <c r="D897" s="76" t="s">
        <v>440</v>
      </c>
      <c r="E897" s="76" t="s">
        <v>426</v>
      </c>
      <c r="F897" s="77">
        <v>84187.15</v>
      </c>
      <c r="G897" s="77">
        <v>8567.7099999999991</v>
      </c>
      <c r="H897" s="77">
        <v>92754.86</v>
      </c>
      <c r="I897" s="76" t="s">
        <v>897</v>
      </c>
      <c r="J897" s="77">
        <v>9253.02</v>
      </c>
      <c r="K897" s="78">
        <v>88293.56</v>
      </c>
      <c r="M897" s="79" t="str">
        <f t="shared" si="41"/>
        <v>340-4400</v>
      </c>
      <c r="N897" s="79" t="str">
        <f t="shared" si="39"/>
        <v/>
      </c>
      <c r="O897" s="79" t="str">
        <f t="shared" si="40"/>
        <v>340</v>
      </c>
      <c r="P897" s="79" t="str">
        <f>IFERROR(VLOOKUP($M897,Export!$P:$R,2,FALSE),"-")</f>
        <v>Service</v>
      </c>
      <c r="Q897" s="79" t="str">
        <f>IFERROR(VLOOKUP($M897,Export!$P:$R,3,FALSE),"-")</f>
        <v>ServiceMiscellaneous Gross Profit % of Sales</v>
      </c>
      <c r="R897" s="80" t="str" cm="1">
        <f t="array" ref="R897">_xlfn.IFS(P897="Service", _xlfn.IFS(I897="SALES","GP",I897="SERVICE SALES","GP",I897="PARTS SALES","GP",I897="SERVICE COS","GP",I897="PARTS COS","GP",I897="SELLING EXPENSES","Selling Expenses",I897="EMPLOYMENT EXPENSES","Selling Expenses",I897="EMPLOYMENT EXPENSES","Selling Expenses",I897="DIRECT EXPENSES","Selling Expenses",I897="INDIRECT EXPENSES","Selling Expenses"),P897="Parts",_xlfn.IFS(I897="SALES","GP",I897="SERVICE SALES","GP",I897="PARTS SALES","GP",I897="SERVICE COS","GP",I897="PARTS COS","GP",I897="SELLING EXPENSES","Selling Expenses",I897="EMPLOYMENT EXPENSES","Selling Expenses",I897="EMPLOYMENT EXPENSES","Selling Expenses",I897="DIRECT EXPENSES","Selling Expenses",I897="INDIRECT EXPENSES","Selling Expenses"))</f>
        <v>GP</v>
      </c>
    </row>
    <row r="898" spans="1:18" x14ac:dyDescent="0.2">
      <c r="A898" s="75">
        <v>4400</v>
      </c>
      <c r="B898" s="76" t="s">
        <v>902</v>
      </c>
      <c r="C898" s="76">
        <v>440</v>
      </c>
      <c r="D898" s="76" t="s">
        <v>441</v>
      </c>
      <c r="E898" s="76" t="s">
        <v>426</v>
      </c>
      <c r="F898" s="77">
        <v>92751.17</v>
      </c>
      <c r="G898" s="77">
        <v>2327.9</v>
      </c>
      <c r="H898" s="77">
        <v>95079.07</v>
      </c>
      <c r="I898" s="76" t="s">
        <v>897</v>
      </c>
      <c r="J898" s="77">
        <v>2500</v>
      </c>
      <c r="K898" s="78">
        <v>26410.560000000001</v>
      </c>
      <c r="M898" s="79" t="str">
        <f t="shared" si="41"/>
        <v>440-4400</v>
      </c>
      <c r="N898" s="79" t="str">
        <f t="shared" ref="N898:N961" si="42">+IF(RIGHT(A898,1)="#","#","")</f>
        <v/>
      </c>
      <c r="O898" s="79" t="str">
        <f t="shared" ref="O898:O961" si="43">+C898&amp;N898</f>
        <v>440</v>
      </c>
      <c r="P898" s="79" t="str">
        <f>IFERROR(VLOOKUP($M898,Export!$P:$R,2,FALSE),"-")</f>
        <v>Service</v>
      </c>
      <c r="Q898" s="79" t="str">
        <f>IFERROR(VLOOKUP($M898,Export!$P:$R,3,FALSE),"-")</f>
        <v>ServiceMiscellaneous Gross Profit % of Sales</v>
      </c>
      <c r="R898" s="80" t="str" cm="1">
        <f t="array" ref="R898">_xlfn.IFS(P898="Service", _xlfn.IFS(I898="SALES","GP",I898="SERVICE SALES","GP",I898="PARTS SALES","GP",I898="SERVICE COS","GP",I898="PARTS COS","GP",I898="SELLING EXPENSES","Selling Expenses",I898="EMPLOYMENT EXPENSES","Selling Expenses",I898="EMPLOYMENT EXPENSES","Selling Expenses",I898="DIRECT EXPENSES","Selling Expenses",I898="INDIRECT EXPENSES","Selling Expenses"),P898="Parts",_xlfn.IFS(I898="SALES","GP",I898="SERVICE SALES","GP",I898="PARTS SALES","GP",I898="SERVICE COS","GP",I898="PARTS COS","GP",I898="SELLING EXPENSES","Selling Expenses",I898="EMPLOYMENT EXPENSES","Selling Expenses",I898="EMPLOYMENT EXPENSES","Selling Expenses",I898="DIRECT EXPENSES","Selling Expenses",I898="INDIRECT EXPENSES","Selling Expenses"))</f>
        <v>GP</v>
      </c>
    </row>
    <row r="899" spans="1:18" x14ac:dyDescent="0.2">
      <c r="A899" s="75">
        <v>4410</v>
      </c>
      <c r="B899" s="76" t="s">
        <v>903</v>
      </c>
      <c r="C899" s="76">
        <v>140</v>
      </c>
      <c r="D899" s="76" t="s">
        <v>433</v>
      </c>
      <c r="E899" s="76" t="s">
        <v>426</v>
      </c>
      <c r="F899" s="77">
        <v>82163.13</v>
      </c>
      <c r="G899" s="77">
        <v>9278.17</v>
      </c>
      <c r="H899" s="77">
        <v>91441.3</v>
      </c>
      <c r="I899" s="76" t="s">
        <v>897</v>
      </c>
      <c r="J899" s="77">
        <v>13453.15</v>
      </c>
      <c r="K899" s="78">
        <v>124427.33</v>
      </c>
      <c r="M899" s="79" t="str">
        <f t="shared" ref="M899:M962" si="44">+C899&amp;"-"&amp;A899</f>
        <v>140-4410</v>
      </c>
      <c r="N899" s="79" t="str">
        <f t="shared" si="42"/>
        <v/>
      </c>
      <c r="O899" s="79" t="str">
        <f t="shared" si="43"/>
        <v>140</v>
      </c>
      <c r="P899" s="79" t="str">
        <f>IFERROR(VLOOKUP($M899,Export!$P:$R,2,FALSE),"-")</f>
        <v>Service</v>
      </c>
      <c r="Q899" s="79" t="str">
        <f>IFERROR(VLOOKUP($M899,Export!$P:$R,3,FALSE),"-")</f>
        <v>ServiceMiscellaneous Gross Profit % of Sales</v>
      </c>
      <c r="R899" s="80" t="str" cm="1">
        <f t="array" ref="R899">_xlfn.IFS(P899="Service", _xlfn.IFS(I899="SALES","GP",I899="SERVICE SALES","GP",I899="PARTS SALES","GP",I899="SERVICE COS","GP",I899="PARTS COS","GP",I899="SELLING EXPENSES","Selling Expenses",I899="EMPLOYMENT EXPENSES","Selling Expenses",I899="EMPLOYMENT EXPENSES","Selling Expenses",I899="DIRECT EXPENSES","Selling Expenses",I899="INDIRECT EXPENSES","Selling Expenses"),P899="Parts",_xlfn.IFS(I899="SALES","GP",I899="SERVICE SALES","GP",I899="PARTS SALES","GP",I899="SERVICE COS","GP",I899="PARTS COS","GP",I899="SELLING EXPENSES","Selling Expenses",I899="EMPLOYMENT EXPENSES","Selling Expenses",I899="EMPLOYMENT EXPENSES","Selling Expenses",I899="DIRECT EXPENSES","Selling Expenses",I899="INDIRECT EXPENSES","Selling Expenses"))</f>
        <v>GP</v>
      </c>
    </row>
    <row r="900" spans="1:18" x14ac:dyDescent="0.2">
      <c r="A900" s="75">
        <v>4410</v>
      </c>
      <c r="B900" s="76" t="s">
        <v>903</v>
      </c>
      <c r="C900" s="76">
        <v>142</v>
      </c>
      <c r="D900" s="76" t="s">
        <v>454</v>
      </c>
      <c r="E900" s="76" t="s">
        <v>426</v>
      </c>
      <c r="F900" s="77">
        <v>7319.33</v>
      </c>
      <c r="G900" s="77">
        <v>132.22</v>
      </c>
      <c r="H900" s="77">
        <v>7451.55</v>
      </c>
      <c r="I900" s="76" t="s">
        <v>897</v>
      </c>
      <c r="J900" s="77">
        <v>257.04000000000002</v>
      </c>
      <c r="K900" s="78">
        <v>2806.18</v>
      </c>
      <c r="M900" s="79" t="str">
        <f t="shared" si="44"/>
        <v>142-4410</v>
      </c>
      <c r="N900" s="79" t="str">
        <f t="shared" si="42"/>
        <v/>
      </c>
      <c r="O900" s="79" t="str">
        <f t="shared" si="43"/>
        <v>142</v>
      </c>
      <c r="P900" s="79" t="str">
        <f>IFERROR(VLOOKUP($M900,Export!$P:$R,2,FALSE),"-")</f>
        <v>Lex Service</v>
      </c>
      <c r="Q900" s="79" t="str">
        <f>IFERROR(VLOOKUP($M900,Export!$P:$R,3,FALSE),"-")</f>
        <v>Lex ServiceMiscellaneous Gross Profit % of Sales</v>
      </c>
      <c r="R900" s="80" t="e" cm="1">
        <f t="array" ref="R900">_xlfn.IFS(P900="Service", _xlfn.IFS(I900="SALES","GP",I900="SERVICE SALES","GP",I900="PARTS SALES","GP",I900="SERVICE COS","GP",I900="PARTS COS","GP",I900="SELLING EXPENSES","Selling Expenses",I900="EMPLOYMENT EXPENSES","Selling Expenses",I900="EMPLOYMENT EXPENSES","Selling Expenses",I900="DIRECT EXPENSES","Selling Expenses",I900="INDIRECT EXPENSES","Selling Expenses"),P900="Parts",_xlfn.IFS(I900="SALES","GP",I900="SERVICE SALES","GP",I900="PARTS SALES","GP",I900="SERVICE COS","GP",I900="PARTS COS","GP",I900="SELLING EXPENSES","Selling Expenses",I900="EMPLOYMENT EXPENSES","Selling Expenses",I900="EMPLOYMENT EXPENSES","Selling Expenses",I900="DIRECT EXPENSES","Selling Expenses",I900="INDIRECT EXPENSES","Selling Expenses"))</f>
        <v>#N/A</v>
      </c>
    </row>
    <row r="901" spans="1:18" x14ac:dyDescent="0.2">
      <c r="A901" s="75">
        <v>4410</v>
      </c>
      <c r="B901" s="76" t="s">
        <v>903</v>
      </c>
      <c r="C901" s="76">
        <v>147</v>
      </c>
      <c r="D901" s="76" t="s">
        <v>699</v>
      </c>
      <c r="E901" s="76" t="s">
        <v>426</v>
      </c>
      <c r="F901" s="77">
        <v>225.03</v>
      </c>
      <c r="G901" s="77">
        <v>0</v>
      </c>
      <c r="H901" s="77">
        <v>225.03</v>
      </c>
      <c r="I901" s="76" t="s">
        <v>897</v>
      </c>
      <c r="J901" s="77">
        <v>1700.41</v>
      </c>
      <c r="K901" s="78">
        <v>17149.939999999999</v>
      </c>
      <c r="M901" s="79" t="str">
        <f t="shared" si="44"/>
        <v>147-4410</v>
      </c>
      <c r="N901" s="79" t="str">
        <f t="shared" si="42"/>
        <v/>
      </c>
      <c r="O901" s="79" t="str">
        <f t="shared" si="43"/>
        <v>147</v>
      </c>
      <c r="P901" s="79" t="str">
        <f>IFERROR(VLOOKUP($M901,Export!$P:$R,2,FALSE),"-")</f>
        <v>Service</v>
      </c>
      <c r="Q901" s="79" t="str">
        <f>IFERROR(VLOOKUP($M901,Export!$P:$R,3,FALSE),"-")</f>
        <v>ServiceMiscellaneous Gross Profit % of Sales</v>
      </c>
      <c r="R901" s="80" t="str" cm="1">
        <f t="array" ref="R901">_xlfn.IFS(P901="Service", _xlfn.IFS(I901="SALES","GP",I901="SERVICE SALES","GP",I901="PARTS SALES","GP",I901="SERVICE COS","GP",I901="PARTS COS","GP",I901="SELLING EXPENSES","Selling Expenses",I901="EMPLOYMENT EXPENSES","Selling Expenses",I901="EMPLOYMENT EXPENSES","Selling Expenses",I901="DIRECT EXPENSES","Selling Expenses",I901="INDIRECT EXPENSES","Selling Expenses"),P901="Parts",_xlfn.IFS(I901="SALES","GP",I901="SERVICE SALES","GP",I901="PARTS SALES","GP",I901="SERVICE COS","GP",I901="PARTS COS","GP",I901="SELLING EXPENSES","Selling Expenses",I901="EMPLOYMENT EXPENSES","Selling Expenses",I901="EMPLOYMENT EXPENSES","Selling Expenses",I901="DIRECT EXPENSES","Selling Expenses",I901="INDIRECT EXPENSES","Selling Expenses"))</f>
        <v>GP</v>
      </c>
    </row>
    <row r="902" spans="1:18" x14ac:dyDescent="0.2">
      <c r="A902" s="75">
        <v>4410</v>
      </c>
      <c r="B902" s="76" t="s">
        <v>903</v>
      </c>
      <c r="C902" s="76">
        <v>150</v>
      </c>
      <c r="D902" s="76" t="s">
        <v>700</v>
      </c>
      <c r="E902" s="76" t="s">
        <v>426</v>
      </c>
      <c r="F902" s="77">
        <v>28918.57</v>
      </c>
      <c r="G902" s="77">
        <v>2762.01</v>
      </c>
      <c r="H902" s="77">
        <v>31680.58</v>
      </c>
      <c r="I902" s="76" t="s">
        <v>897</v>
      </c>
      <c r="J902" s="77">
        <v>0</v>
      </c>
      <c r="K902" s="78">
        <v>0</v>
      </c>
      <c r="M902" s="79" t="str">
        <f t="shared" si="44"/>
        <v>150-4410</v>
      </c>
      <c r="N902" s="79" t="str">
        <f t="shared" si="42"/>
        <v/>
      </c>
      <c r="O902" s="79" t="str">
        <f t="shared" si="43"/>
        <v>150</v>
      </c>
      <c r="P902" s="79" t="str">
        <f>IFERROR(VLOOKUP($M902,Export!$P:$R,2,FALSE),"-")</f>
        <v>Retail Detailing</v>
      </c>
      <c r="Q902" s="79" t="str">
        <f>IFERROR(VLOOKUP($M902,Export!$P:$R,3,FALSE),"-")</f>
        <v>Retail DetailingMiscellaneous Gross Profit % of Sales</v>
      </c>
      <c r="R902" s="80" t="e" cm="1">
        <f t="array" ref="R902">_xlfn.IFS(P902="Service", _xlfn.IFS(I902="SALES","GP",I902="SERVICE SALES","GP",I902="PARTS SALES","GP",I902="SERVICE COS","GP",I902="PARTS COS","GP",I902="SELLING EXPENSES","Selling Expenses",I902="EMPLOYMENT EXPENSES","Selling Expenses",I902="EMPLOYMENT EXPENSES","Selling Expenses",I902="DIRECT EXPENSES","Selling Expenses",I902="INDIRECT EXPENSES","Selling Expenses"),P902="Parts",_xlfn.IFS(I902="SALES","GP",I902="SERVICE SALES","GP",I902="PARTS SALES","GP",I902="SERVICE COS","GP",I902="PARTS COS","GP",I902="SELLING EXPENSES","Selling Expenses",I902="EMPLOYMENT EXPENSES","Selling Expenses",I902="EMPLOYMENT EXPENSES","Selling Expenses",I902="DIRECT EXPENSES","Selling Expenses",I902="INDIRECT EXPENSES","Selling Expenses"))</f>
        <v>#N/A</v>
      </c>
    </row>
    <row r="903" spans="1:18" x14ac:dyDescent="0.2">
      <c r="A903" s="75">
        <v>4410</v>
      </c>
      <c r="B903" s="76" t="s">
        <v>903</v>
      </c>
      <c r="C903" s="76">
        <v>240</v>
      </c>
      <c r="D903" s="76" t="s">
        <v>439</v>
      </c>
      <c r="E903" s="76" t="s">
        <v>426</v>
      </c>
      <c r="F903" s="77">
        <v>-2290.36</v>
      </c>
      <c r="G903" s="77">
        <v>205.81</v>
      </c>
      <c r="H903" s="77">
        <v>-2084.5500000000002</v>
      </c>
      <c r="I903" s="76" t="s">
        <v>897</v>
      </c>
      <c r="J903" s="77">
        <v>1631</v>
      </c>
      <c r="K903" s="78">
        <v>16551.14</v>
      </c>
      <c r="M903" s="79" t="str">
        <f t="shared" si="44"/>
        <v>240-4410</v>
      </c>
      <c r="N903" s="79" t="str">
        <f t="shared" si="42"/>
        <v/>
      </c>
      <c r="O903" s="79" t="str">
        <f t="shared" si="43"/>
        <v>240</v>
      </c>
      <c r="P903" s="79" t="str">
        <f>IFERROR(VLOOKUP($M903,Export!$P:$R,2,FALSE),"-")</f>
        <v>Service</v>
      </c>
      <c r="Q903" s="79" t="str">
        <f>IFERROR(VLOOKUP($M903,Export!$P:$R,3,FALSE),"-")</f>
        <v>ServiceMiscellaneous Gross Profit % of Sales</v>
      </c>
      <c r="R903" s="80" t="str" cm="1">
        <f t="array" ref="R903">_xlfn.IFS(P903="Service", _xlfn.IFS(I903="SALES","GP",I903="SERVICE SALES","GP",I903="PARTS SALES","GP",I903="SERVICE COS","GP",I903="PARTS COS","GP",I903="SELLING EXPENSES","Selling Expenses",I903="EMPLOYMENT EXPENSES","Selling Expenses",I903="EMPLOYMENT EXPENSES","Selling Expenses",I903="DIRECT EXPENSES","Selling Expenses",I903="INDIRECT EXPENSES","Selling Expenses"),P903="Parts",_xlfn.IFS(I903="SALES","GP",I903="SERVICE SALES","GP",I903="PARTS SALES","GP",I903="SERVICE COS","GP",I903="PARTS COS","GP",I903="SELLING EXPENSES","Selling Expenses",I903="EMPLOYMENT EXPENSES","Selling Expenses",I903="EMPLOYMENT EXPENSES","Selling Expenses",I903="DIRECT EXPENSES","Selling Expenses",I903="INDIRECT EXPENSES","Selling Expenses"))</f>
        <v>GP</v>
      </c>
    </row>
    <row r="904" spans="1:18" x14ac:dyDescent="0.2">
      <c r="A904" s="75">
        <v>4410</v>
      </c>
      <c r="B904" s="76" t="s">
        <v>903</v>
      </c>
      <c r="C904" s="76">
        <v>340</v>
      </c>
      <c r="D904" s="76" t="s">
        <v>440</v>
      </c>
      <c r="E904" s="76" t="s">
        <v>426</v>
      </c>
      <c r="F904" s="77">
        <v>3436.48</v>
      </c>
      <c r="G904" s="77">
        <v>68.61</v>
      </c>
      <c r="H904" s="77">
        <v>3505.09</v>
      </c>
      <c r="I904" s="76" t="s">
        <v>897</v>
      </c>
      <c r="J904" s="77">
        <v>1131.19</v>
      </c>
      <c r="K904" s="78">
        <v>10017.83</v>
      </c>
      <c r="M904" s="79" t="str">
        <f t="shared" si="44"/>
        <v>340-4410</v>
      </c>
      <c r="N904" s="79" t="str">
        <f t="shared" si="42"/>
        <v/>
      </c>
      <c r="O904" s="79" t="str">
        <f t="shared" si="43"/>
        <v>340</v>
      </c>
      <c r="P904" s="79" t="str">
        <f>IFERROR(VLOOKUP($M904,Export!$P:$R,2,FALSE),"-")</f>
        <v>Service</v>
      </c>
      <c r="Q904" s="79" t="str">
        <f>IFERROR(VLOOKUP($M904,Export!$P:$R,3,FALSE),"-")</f>
        <v>ServiceMiscellaneous Gross Profit % of Sales</v>
      </c>
      <c r="R904" s="80" t="str" cm="1">
        <f t="array" ref="R904">_xlfn.IFS(P904="Service", _xlfn.IFS(I904="SALES","GP",I904="SERVICE SALES","GP",I904="PARTS SALES","GP",I904="SERVICE COS","GP",I904="PARTS COS","GP",I904="SELLING EXPENSES","Selling Expenses",I904="EMPLOYMENT EXPENSES","Selling Expenses",I904="EMPLOYMENT EXPENSES","Selling Expenses",I904="DIRECT EXPENSES","Selling Expenses",I904="INDIRECT EXPENSES","Selling Expenses"),P904="Parts",_xlfn.IFS(I904="SALES","GP",I904="SERVICE SALES","GP",I904="PARTS SALES","GP",I904="SERVICE COS","GP",I904="PARTS COS","GP",I904="SELLING EXPENSES","Selling Expenses",I904="EMPLOYMENT EXPENSES","Selling Expenses",I904="EMPLOYMENT EXPENSES","Selling Expenses",I904="DIRECT EXPENSES","Selling Expenses",I904="INDIRECT EXPENSES","Selling Expenses"))</f>
        <v>GP</v>
      </c>
    </row>
    <row r="905" spans="1:18" x14ac:dyDescent="0.2">
      <c r="A905" s="75">
        <v>4410</v>
      </c>
      <c r="B905" s="76" t="s">
        <v>903</v>
      </c>
      <c r="C905" s="76">
        <v>440</v>
      </c>
      <c r="D905" s="76" t="s">
        <v>441</v>
      </c>
      <c r="E905" s="76" t="s">
        <v>426</v>
      </c>
      <c r="F905" s="77">
        <v>30591.24</v>
      </c>
      <c r="G905" s="77">
        <v>5768.74</v>
      </c>
      <c r="H905" s="77">
        <v>36359.980000000003</v>
      </c>
      <c r="I905" s="76" t="s">
        <v>897</v>
      </c>
      <c r="J905" s="77">
        <v>3000</v>
      </c>
      <c r="K905" s="78">
        <v>29920.080000000002</v>
      </c>
      <c r="M905" s="79" t="str">
        <f t="shared" si="44"/>
        <v>440-4410</v>
      </c>
      <c r="N905" s="79" t="str">
        <f t="shared" si="42"/>
        <v/>
      </c>
      <c r="O905" s="79" t="str">
        <f t="shared" si="43"/>
        <v>440</v>
      </c>
      <c r="P905" s="79" t="str">
        <f>IFERROR(VLOOKUP($M905,Export!$P:$R,2,FALSE),"-")</f>
        <v>Service</v>
      </c>
      <c r="Q905" s="79" t="str">
        <f>IFERROR(VLOOKUP($M905,Export!$P:$R,3,FALSE),"-")</f>
        <v>ServiceMiscellaneous Gross Profit % of Sales</v>
      </c>
      <c r="R905" s="80" t="str" cm="1">
        <f t="array" ref="R905">_xlfn.IFS(P905="Service", _xlfn.IFS(I905="SALES","GP",I905="SERVICE SALES","GP",I905="PARTS SALES","GP",I905="SERVICE COS","GP",I905="PARTS COS","GP",I905="SELLING EXPENSES","Selling Expenses",I905="EMPLOYMENT EXPENSES","Selling Expenses",I905="EMPLOYMENT EXPENSES","Selling Expenses",I905="DIRECT EXPENSES","Selling Expenses",I905="INDIRECT EXPENSES","Selling Expenses"),P905="Parts",_xlfn.IFS(I905="SALES","GP",I905="SERVICE SALES","GP",I905="PARTS SALES","GP",I905="SERVICE COS","GP",I905="PARTS COS","GP",I905="SELLING EXPENSES","Selling Expenses",I905="EMPLOYMENT EXPENSES","Selling Expenses",I905="EMPLOYMENT EXPENSES","Selling Expenses",I905="DIRECT EXPENSES","Selling Expenses",I905="INDIRECT EXPENSES","Selling Expenses"))</f>
        <v>GP</v>
      </c>
    </row>
    <row r="906" spans="1:18" x14ac:dyDescent="0.2">
      <c r="A906" s="75">
        <v>4430</v>
      </c>
      <c r="B906" s="76" t="s">
        <v>122</v>
      </c>
      <c r="C906" s="76">
        <v>140</v>
      </c>
      <c r="D906" s="76" t="s">
        <v>433</v>
      </c>
      <c r="E906" s="76" t="s">
        <v>426</v>
      </c>
      <c r="F906" s="77">
        <v>0</v>
      </c>
      <c r="G906" s="77">
        <v>0</v>
      </c>
      <c r="H906" s="77">
        <v>0</v>
      </c>
      <c r="I906" s="76" t="s">
        <v>897</v>
      </c>
      <c r="J906" s="77">
        <v>0</v>
      </c>
      <c r="K906" s="78">
        <v>-623.49</v>
      </c>
      <c r="M906" s="79" t="str">
        <f t="shared" si="44"/>
        <v>140-4430</v>
      </c>
      <c r="N906" s="79" t="str">
        <f t="shared" si="42"/>
        <v/>
      </c>
      <c r="O906" s="79" t="str">
        <f t="shared" si="43"/>
        <v>140</v>
      </c>
      <c r="P906" s="79" t="str">
        <f>IFERROR(VLOOKUP($M906,Export!$P:$R,2,FALSE),"-")</f>
        <v>Service</v>
      </c>
      <c r="Q906" s="79" t="str">
        <f>IFERROR(VLOOKUP($M906,Export!$P:$R,3,FALSE),"-")</f>
        <v>ServiceMiscellaneous Gross Profit % of Sales</v>
      </c>
      <c r="R906" s="80" t="str" cm="1">
        <f t="array" ref="R906">_xlfn.IFS(P906="Service", _xlfn.IFS(I906="SALES","GP",I906="SERVICE SALES","GP",I906="PARTS SALES","GP",I906="SERVICE COS","GP",I906="PARTS COS","GP",I906="SELLING EXPENSES","Selling Expenses",I906="EMPLOYMENT EXPENSES","Selling Expenses",I906="EMPLOYMENT EXPENSES","Selling Expenses",I906="DIRECT EXPENSES","Selling Expenses",I906="INDIRECT EXPENSES","Selling Expenses"),P906="Parts",_xlfn.IFS(I906="SALES","GP",I906="SERVICE SALES","GP",I906="PARTS SALES","GP",I906="SERVICE COS","GP",I906="PARTS COS","GP",I906="SELLING EXPENSES","Selling Expenses",I906="EMPLOYMENT EXPENSES","Selling Expenses",I906="EMPLOYMENT EXPENSES","Selling Expenses",I906="DIRECT EXPENSES","Selling Expenses",I906="INDIRECT EXPENSES","Selling Expenses"))</f>
        <v>GP</v>
      </c>
    </row>
    <row r="907" spans="1:18" x14ac:dyDescent="0.2">
      <c r="A907" s="75">
        <v>4430</v>
      </c>
      <c r="B907" s="76" t="s">
        <v>122</v>
      </c>
      <c r="C907" s="76">
        <v>440</v>
      </c>
      <c r="D907" s="76" t="s">
        <v>441</v>
      </c>
      <c r="E907" s="76" t="s">
        <v>426</v>
      </c>
      <c r="F907" s="77">
        <v>0</v>
      </c>
      <c r="G907" s="77">
        <v>0</v>
      </c>
      <c r="H907" s="77">
        <v>0</v>
      </c>
      <c r="I907" s="76" t="s">
        <v>897</v>
      </c>
      <c r="J907" s="77">
        <v>500</v>
      </c>
      <c r="K907" s="78">
        <v>3000</v>
      </c>
      <c r="M907" s="79" t="str">
        <f t="shared" si="44"/>
        <v>440-4430</v>
      </c>
      <c r="N907" s="79" t="str">
        <f t="shared" si="42"/>
        <v/>
      </c>
      <c r="O907" s="79" t="str">
        <f t="shared" si="43"/>
        <v>440</v>
      </c>
      <c r="P907" s="79" t="str">
        <f>IFERROR(VLOOKUP($M907,Export!$P:$R,2,FALSE),"-")</f>
        <v>Service</v>
      </c>
      <c r="Q907" s="79" t="str">
        <f>IFERROR(VLOOKUP($M907,Export!$P:$R,3,FALSE),"-")</f>
        <v>ServiceMiscellaneous Gross Profit % of Sales</v>
      </c>
      <c r="R907" s="80" t="str" cm="1">
        <f t="array" ref="R907">_xlfn.IFS(P907="Service", _xlfn.IFS(I907="SALES","GP",I907="SERVICE SALES","GP",I907="PARTS SALES","GP",I907="SERVICE COS","GP",I907="PARTS COS","GP",I907="SELLING EXPENSES","Selling Expenses",I907="EMPLOYMENT EXPENSES","Selling Expenses",I907="EMPLOYMENT EXPENSES","Selling Expenses",I907="DIRECT EXPENSES","Selling Expenses",I907="INDIRECT EXPENSES","Selling Expenses"),P907="Parts",_xlfn.IFS(I907="SALES","GP",I907="SERVICE SALES","GP",I907="PARTS SALES","GP",I907="SERVICE COS","GP",I907="PARTS COS","GP",I907="SELLING EXPENSES","Selling Expenses",I907="EMPLOYMENT EXPENSES","Selling Expenses",I907="EMPLOYMENT EXPENSES","Selling Expenses",I907="DIRECT EXPENSES","Selling Expenses",I907="INDIRECT EXPENSES","Selling Expenses"))</f>
        <v>GP</v>
      </c>
    </row>
    <row r="908" spans="1:18" x14ac:dyDescent="0.2">
      <c r="A908" s="75" t="s">
        <v>904</v>
      </c>
      <c r="B908" s="76" t="s">
        <v>905</v>
      </c>
      <c r="C908" s="76">
        <v>140</v>
      </c>
      <c r="D908" s="76" t="s">
        <v>433</v>
      </c>
      <c r="E908" s="76" t="s">
        <v>247</v>
      </c>
      <c r="F908" s="77">
        <v>16</v>
      </c>
      <c r="G908" s="287">
        <v>0</v>
      </c>
      <c r="H908" s="77">
        <v>16</v>
      </c>
      <c r="I908" s="76" t="s">
        <v>897</v>
      </c>
      <c r="J908" s="77">
        <v>0</v>
      </c>
      <c r="K908" s="78">
        <v>0</v>
      </c>
      <c r="M908" s="79" t="str">
        <f t="shared" si="44"/>
        <v>140-9810M#</v>
      </c>
      <c r="N908" s="79" t="str">
        <f t="shared" si="42"/>
        <v>#</v>
      </c>
      <c r="O908" s="79" t="str">
        <f t="shared" si="43"/>
        <v>140#</v>
      </c>
      <c r="P908" s="79" t="str">
        <f>IFERROR(VLOOKUP($M908,Export!$P:$R,2,FALSE),"-")</f>
        <v>-</v>
      </c>
      <c r="Q908" s="79" t="str">
        <f>IFERROR(VLOOKUP($M908,Export!$P:$R,3,FALSE),"-")</f>
        <v>-</v>
      </c>
      <c r="R908" s="80" t="e" cm="1">
        <f t="array" ref="R908">_xlfn.IFS(P908="Service", _xlfn.IFS(I908="SALES","GP",I908="SERVICE SALES","GP",I908="PARTS SALES","GP",I908="SERVICE COS","GP",I908="PARTS COS","GP",I908="SELLING EXPENSES","Selling Expenses",I908="EMPLOYMENT EXPENSES","Selling Expenses",I908="EMPLOYMENT EXPENSES","Selling Expenses",I908="DIRECT EXPENSES","Selling Expenses",I908="INDIRECT EXPENSES","Selling Expenses"),P908="Parts",_xlfn.IFS(I908="SALES","GP",I908="SERVICE SALES","GP",I908="PARTS SALES","GP",I908="SERVICE COS","GP",I908="PARTS COS","GP",I908="SELLING EXPENSES","Selling Expenses",I908="EMPLOYMENT EXPENSES","Selling Expenses",I908="EMPLOYMENT EXPENSES","Selling Expenses",I908="DIRECT EXPENSES","Selling Expenses",I908="INDIRECT EXPENSES","Selling Expenses"))</f>
        <v>#N/A</v>
      </c>
    </row>
    <row r="909" spans="1:18" x14ac:dyDescent="0.2">
      <c r="A909" s="75" t="s">
        <v>904</v>
      </c>
      <c r="B909" s="76" t="s">
        <v>905</v>
      </c>
      <c r="C909" s="76">
        <v>142</v>
      </c>
      <c r="D909" s="76" t="s">
        <v>454</v>
      </c>
      <c r="E909" s="76" t="s">
        <v>247</v>
      </c>
      <c r="F909" s="77">
        <v>8</v>
      </c>
      <c r="G909" s="287">
        <v>0</v>
      </c>
      <c r="H909" s="77">
        <v>8</v>
      </c>
      <c r="I909" s="76" t="s">
        <v>897</v>
      </c>
      <c r="J909" s="77">
        <v>0</v>
      </c>
      <c r="K909" s="78">
        <v>0</v>
      </c>
      <c r="M909" s="79" t="str">
        <f t="shared" si="44"/>
        <v>142-9810M#</v>
      </c>
      <c r="N909" s="79" t="str">
        <f t="shared" si="42"/>
        <v>#</v>
      </c>
      <c r="O909" s="79" t="str">
        <f t="shared" si="43"/>
        <v>142#</v>
      </c>
      <c r="P909" s="79" t="str">
        <f>IFERROR(VLOOKUP($M909,Export!$P:$R,2,FALSE),"-")</f>
        <v>-</v>
      </c>
      <c r="Q909" s="79" t="str">
        <f>IFERROR(VLOOKUP($M909,Export!$P:$R,3,FALSE),"-")</f>
        <v>-</v>
      </c>
      <c r="R909" s="80" t="e" cm="1">
        <f t="array" ref="R909">_xlfn.IFS(P909="Service", _xlfn.IFS(I909="SALES","GP",I909="SERVICE SALES","GP",I909="PARTS SALES","GP",I909="SERVICE COS","GP",I909="PARTS COS","GP",I909="SELLING EXPENSES","Selling Expenses",I909="EMPLOYMENT EXPENSES","Selling Expenses",I909="EMPLOYMENT EXPENSES","Selling Expenses",I909="DIRECT EXPENSES","Selling Expenses",I909="INDIRECT EXPENSES","Selling Expenses"),P909="Parts",_xlfn.IFS(I909="SALES","GP",I909="SERVICE SALES","GP",I909="PARTS SALES","GP",I909="SERVICE COS","GP",I909="PARTS COS","GP",I909="SELLING EXPENSES","Selling Expenses",I909="EMPLOYMENT EXPENSES","Selling Expenses",I909="EMPLOYMENT EXPENSES","Selling Expenses",I909="DIRECT EXPENSES","Selling Expenses",I909="INDIRECT EXPENSES","Selling Expenses"))</f>
        <v>#N/A</v>
      </c>
    </row>
    <row r="910" spans="1:18" x14ac:dyDescent="0.2">
      <c r="A910" s="75" t="s">
        <v>904</v>
      </c>
      <c r="B910" s="76" t="s">
        <v>905</v>
      </c>
      <c r="C910" s="76">
        <v>240</v>
      </c>
      <c r="D910" s="76" t="s">
        <v>439</v>
      </c>
      <c r="E910" s="76" t="s">
        <v>247</v>
      </c>
      <c r="F910" s="77">
        <v>8</v>
      </c>
      <c r="G910" s="77">
        <v>0</v>
      </c>
      <c r="H910" s="77">
        <v>8</v>
      </c>
      <c r="I910" s="76" t="s">
        <v>897</v>
      </c>
      <c r="J910" s="77">
        <v>0</v>
      </c>
      <c r="K910" s="78">
        <v>0</v>
      </c>
      <c r="M910" s="79" t="str">
        <f t="shared" si="44"/>
        <v>240-9810M#</v>
      </c>
      <c r="N910" s="79" t="str">
        <f t="shared" si="42"/>
        <v>#</v>
      </c>
      <c r="O910" s="79" t="str">
        <f t="shared" si="43"/>
        <v>240#</v>
      </c>
      <c r="P910" s="79" t="str">
        <f>IFERROR(VLOOKUP($M910,Export!$P:$R,2,FALSE),"-")</f>
        <v>-</v>
      </c>
      <c r="Q910" s="79" t="str">
        <f>IFERROR(VLOOKUP($M910,Export!$P:$R,3,FALSE),"-")</f>
        <v>-</v>
      </c>
      <c r="R910" s="80" t="e" cm="1">
        <f t="array" ref="R910">_xlfn.IFS(P910="Service", _xlfn.IFS(I910="SALES","GP",I910="SERVICE SALES","GP",I910="PARTS SALES","GP",I910="SERVICE COS","GP",I910="PARTS COS","GP",I910="SELLING EXPENSES","Selling Expenses",I910="EMPLOYMENT EXPENSES","Selling Expenses",I910="EMPLOYMENT EXPENSES","Selling Expenses",I910="DIRECT EXPENSES","Selling Expenses",I910="INDIRECT EXPENSES","Selling Expenses"),P910="Parts",_xlfn.IFS(I910="SALES","GP",I910="SERVICE SALES","GP",I910="PARTS SALES","GP",I910="SERVICE COS","GP",I910="PARTS COS","GP",I910="SELLING EXPENSES","Selling Expenses",I910="EMPLOYMENT EXPENSES","Selling Expenses",I910="EMPLOYMENT EXPENSES","Selling Expenses",I910="DIRECT EXPENSES","Selling Expenses",I910="INDIRECT EXPENSES","Selling Expenses"))</f>
        <v>#N/A</v>
      </c>
    </row>
    <row r="911" spans="1:18" x14ac:dyDescent="0.2">
      <c r="A911" s="75" t="s">
        <v>904</v>
      </c>
      <c r="B911" s="76" t="s">
        <v>905</v>
      </c>
      <c r="C911" s="76">
        <v>340</v>
      </c>
      <c r="D911" s="76" t="s">
        <v>440</v>
      </c>
      <c r="E911" s="76" t="s">
        <v>247</v>
      </c>
      <c r="F911" s="77">
        <v>8</v>
      </c>
      <c r="G911" s="287">
        <v>0</v>
      </c>
      <c r="H911" s="77">
        <v>8</v>
      </c>
      <c r="I911" s="76" t="s">
        <v>897</v>
      </c>
      <c r="J911" s="77">
        <v>0</v>
      </c>
      <c r="K911" s="78">
        <v>0</v>
      </c>
      <c r="M911" s="79" t="str">
        <f t="shared" si="44"/>
        <v>340-9810M#</v>
      </c>
      <c r="N911" s="79" t="str">
        <f t="shared" si="42"/>
        <v>#</v>
      </c>
      <c r="O911" s="79" t="str">
        <f t="shared" si="43"/>
        <v>340#</v>
      </c>
      <c r="P911" s="79" t="str">
        <f>IFERROR(VLOOKUP($M911,Export!$P:$R,2,FALSE),"-")</f>
        <v>-</v>
      </c>
      <c r="Q911" s="79" t="str">
        <f>IFERROR(VLOOKUP($M911,Export!$P:$R,3,FALSE),"-")</f>
        <v>-</v>
      </c>
      <c r="R911" s="80" t="e" cm="1">
        <f t="array" ref="R911">_xlfn.IFS(P911="Service", _xlfn.IFS(I911="SALES","GP",I911="SERVICE SALES","GP",I911="PARTS SALES","GP",I911="SERVICE COS","GP",I911="PARTS COS","GP",I911="SELLING EXPENSES","Selling Expenses",I911="EMPLOYMENT EXPENSES","Selling Expenses",I911="EMPLOYMENT EXPENSES","Selling Expenses",I911="DIRECT EXPENSES","Selling Expenses",I911="INDIRECT EXPENSES","Selling Expenses"),P911="Parts",_xlfn.IFS(I911="SALES","GP",I911="SERVICE SALES","GP",I911="PARTS SALES","GP",I911="SERVICE COS","GP",I911="PARTS COS","GP",I911="SELLING EXPENSES","Selling Expenses",I911="EMPLOYMENT EXPENSES","Selling Expenses",I911="EMPLOYMENT EXPENSES","Selling Expenses",I911="DIRECT EXPENSES","Selling Expenses",I911="INDIRECT EXPENSES","Selling Expenses"))</f>
        <v>#N/A</v>
      </c>
    </row>
    <row r="912" spans="1:18" x14ac:dyDescent="0.2">
      <c r="A912" s="75" t="s">
        <v>904</v>
      </c>
      <c r="B912" s="76" t="s">
        <v>905</v>
      </c>
      <c r="C912" s="76">
        <v>440</v>
      </c>
      <c r="D912" s="76" t="s">
        <v>441</v>
      </c>
      <c r="E912" s="76" t="s">
        <v>247</v>
      </c>
      <c r="F912" s="77">
        <v>7</v>
      </c>
      <c r="G912" s="77">
        <v>0</v>
      </c>
      <c r="H912" s="77">
        <v>7</v>
      </c>
      <c r="I912" s="76" t="s">
        <v>897</v>
      </c>
      <c r="J912" s="77">
        <v>0</v>
      </c>
      <c r="K912" s="78">
        <v>0</v>
      </c>
      <c r="M912" s="79" t="str">
        <f t="shared" si="44"/>
        <v>440-9810M#</v>
      </c>
      <c r="N912" s="79" t="str">
        <f t="shared" si="42"/>
        <v>#</v>
      </c>
      <c r="O912" s="79" t="str">
        <f t="shared" si="43"/>
        <v>440#</v>
      </c>
      <c r="P912" s="79" t="str">
        <f>IFERROR(VLOOKUP($M912,Export!$P:$R,2,FALSE),"-")</f>
        <v>-</v>
      </c>
      <c r="Q912" s="79" t="str">
        <f>IFERROR(VLOOKUP($M912,Export!$P:$R,3,FALSE),"-")</f>
        <v>-</v>
      </c>
      <c r="R912" s="80" t="e" cm="1">
        <f t="array" ref="R912">_xlfn.IFS(P912="Service", _xlfn.IFS(I912="SALES","GP",I912="SERVICE SALES","GP",I912="PARTS SALES","GP",I912="SERVICE COS","GP",I912="PARTS COS","GP",I912="SELLING EXPENSES","Selling Expenses",I912="EMPLOYMENT EXPENSES","Selling Expenses",I912="EMPLOYMENT EXPENSES","Selling Expenses",I912="DIRECT EXPENSES","Selling Expenses",I912="INDIRECT EXPENSES","Selling Expenses"),P912="Parts",_xlfn.IFS(I912="SALES","GP",I912="SERVICE SALES","GP",I912="PARTS SALES","GP",I912="SERVICE COS","GP",I912="PARTS COS","GP",I912="SELLING EXPENSES","Selling Expenses",I912="EMPLOYMENT EXPENSES","Selling Expenses",I912="EMPLOYMENT EXPENSES","Selling Expenses",I912="DIRECT EXPENSES","Selling Expenses",I912="INDIRECT EXPENSES","Selling Expenses"))</f>
        <v>#N/A</v>
      </c>
    </row>
    <row r="913" spans="1:18" x14ac:dyDescent="0.2">
      <c r="A913" s="75" t="s">
        <v>906</v>
      </c>
      <c r="B913" s="76" t="s">
        <v>907</v>
      </c>
      <c r="C913" s="76">
        <v>140</v>
      </c>
      <c r="D913" s="76" t="s">
        <v>433</v>
      </c>
      <c r="E913" s="76" t="s">
        <v>247</v>
      </c>
      <c r="F913" s="77">
        <v>16</v>
      </c>
      <c r="G913" s="77">
        <v>0</v>
      </c>
      <c r="H913" s="77">
        <v>16</v>
      </c>
      <c r="I913" s="76" t="s">
        <v>897</v>
      </c>
      <c r="J913" s="77">
        <v>0</v>
      </c>
      <c r="K913" s="78">
        <v>0</v>
      </c>
      <c r="M913" s="79" t="str">
        <f t="shared" si="44"/>
        <v>140-9811M#</v>
      </c>
      <c r="N913" s="79" t="str">
        <f t="shared" si="42"/>
        <v>#</v>
      </c>
      <c r="O913" s="79" t="str">
        <f t="shared" si="43"/>
        <v>140#</v>
      </c>
      <c r="P913" s="79" t="str">
        <f>IFERROR(VLOOKUP($M913,Export!$P:$R,2,FALSE),"-")</f>
        <v>-</v>
      </c>
      <c r="Q913" s="79" t="str">
        <f>IFERROR(VLOOKUP($M913,Export!$P:$R,3,FALSE),"-")</f>
        <v>-</v>
      </c>
      <c r="R913" s="80" t="e" cm="1">
        <f t="array" ref="R913">_xlfn.IFS(P913="Service", _xlfn.IFS(I913="SALES","GP",I913="SERVICE SALES","GP",I913="PARTS SALES","GP",I913="SERVICE COS","GP",I913="PARTS COS","GP",I913="SELLING EXPENSES","Selling Expenses",I913="EMPLOYMENT EXPENSES","Selling Expenses",I913="EMPLOYMENT EXPENSES","Selling Expenses",I913="DIRECT EXPENSES","Selling Expenses",I913="INDIRECT EXPENSES","Selling Expenses"),P913="Parts",_xlfn.IFS(I913="SALES","GP",I913="SERVICE SALES","GP",I913="PARTS SALES","GP",I913="SERVICE COS","GP",I913="PARTS COS","GP",I913="SELLING EXPENSES","Selling Expenses",I913="EMPLOYMENT EXPENSES","Selling Expenses",I913="EMPLOYMENT EXPENSES","Selling Expenses",I913="DIRECT EXPENSES","Selling Expenses",I913="INDIRECT EXPENSES","Selling Expenses"))</f>
        <v>#N/A</v>
      </c>
    </row>
    <row r="914" spans="1:18" x14ac:dyDescent="0.2">
      <c r="A914" s="75" t="s">
        <v>906</v>
      </c>
      <c r="B914" s="76" t="s">
        <v>907</v>
      </c>
      <c r="C914" s="76">
        <v>142</v>
      </c>
      <c r="D914" s="76" t="s">
        <v>454</v>
      </c>
      <c r="E914" s="76" t="s">
        <v>247</v>
      </c>
      <c r="F914" s="77">
        <v>8</v>
      </c>
      <c r="G914" s="77">
        <v>0</v>
      </c>
      <c r="H914" s="77">
        <v>8</v>
      </c>
      <c r="I914" s="76" t="s">
        <v>897</v>
      </c>
      <c r="J914" s="77">
        <v>0</v>
      </c>
      <c r="K914" s="78">
        <v>0</v>
      </c>
      <c r="M914" s="79" t="str">
        <f t="shared" si="44"/>
        <v>142-9811M#</v>
      </c>
      <c r="N914" s="79" t="str">
        <f t="shared" si="42"/>
        <v>#</v>
      </c>
      <c r="O914" s="79" t="str">
        <f t="shared" si="43"/>
        <v>142#</v>
      </c>
      <c r="P914" s="79" t="str">
        <f>IFERROR(VLOOKUP($M914,Export!$P:$R,2,FALSE),"-")</f>
        <v>-</v>
      </c>
      <c r="Q914" s="79" t="str">
        <f>IFERROR(VLOOKUP($M914,Export!$P:$R,3,FALSE),"-")</f>
        <v>-</v>
      </c>
      <c r="R914" s="80" t="e" cm="1">
        <f t="array" ref="R914">_xlfn.IFS(P914="Service", _xlfn.IFS(I914="SALES","GP",I914="SERVICE SALES","GP",I914="PARTS SALES","GP",I914="SERVICE COS","GP",I914="PARTS COS","GP",I914="SELLING EXPENSES","Selling Expenses",I914="EMPLOYMENT EXPENSES","Selling Expenses",I914="EMPLOYMENT EXPENSES","Selling Expenses",I914="DIRECT EXPENSES","Selling Expenses",I914="INDIRECT EXPENSES","Selling Expenses"),P914="Parts",_xlfn.IFS(I914="SALES","GP",I914="SERVICE SALES","GP",I914="PARTS SALES","GP",I914="SERVICE COS","GP",I914="PARTS COS","GP",I914="SELLING EXPENSES","Selling Expenses",I914="EMPLOYMENT EXPENSES","Selling Expenses",I914="EMPLOYMENT EXPENSES","Selling Expenses",I914="DIRECT EXPENSES","Selling Expenses",I914="INDIRECT EXPENSES","Selling Expenses"))</f>
        <v>#N/A</v>
      </c>
    </row>
    <row r="915" spans="1:18" x14ac:dyDescent="0.2">
      <c r="A915" s="75" t="s">
        <v>906</v>
      </c>
      <c r="B915" s="76" t="s">
        <v>907</v>
      </c>
      <c r="C915" s="76">
        <v>240</v>
      </c>
      <c r="D915" s="76" t="s">
        <v>439</v>
      </c>
      <c r="E915" s="76" t="s">
        <v>247</v>
      </c>
      <c r="F915" s="77">
        <v>8</v>
      </c>
      <c r="G915" s="77">
        <v>0</v>
      </c>
      <c r="H915" s="77">
        <v>8</v>
      </c>
      <c r="I915" s="76" t="s">
        <v>897</v>
      </c>
      <c r="J915" s="77">
        <v>0</v>
      </c>
      <c r="K915" s="78">
        <v>0</v>
      </c>
      <c r="M915" s="79" t="str">
        <f t="shared" si="44"/>
        <v>240-9811M#</v>
      </c>
      <c r="N915" s="79" t="str">
        <f t="shared" si="42"/>
        <v>#</v>
      </c>
      <c r="O915" s="79" t="str">
        <f t="shared" si="43"/>
        <v>240#</v>
      </c>
      <c r="P915" s="79" t="str">
        <f>IFERROR(VLOOKUP($M915,Export!$P:$R,2,FALSE),"-")</f>
        <v>-</v>
      </c>
      <c r="Q915" s="79" t="str">
        <f>IFERROR(VLOOKUP($M915,Export!$P:$R,3,FALSE),"-")</f>
        <v>-</v>
      </c>
      <c r="R915" s="80" t="e" cm="1">
        <f t="array" ref="R915">_xlfn.IFS(P915="Service", _xlfn.IFS(I915="SALES","GP",I915="SERVICE SALES","GP",I915="PARTS SALES","GP",I915="SERVICE COS","GP",I915="PARTS COS","GP",I915="SELLING EXPENSES","Selling Expenses",I915="EMPLOYMENT EXPENSES","Selling Expenses",I915="EMPLOYMENT EXPENSES","Selling Expenses",I915="DIRECT EXPENSES","Selling Expenses",I915="INDIRECT EXPENSES","Selling Expenses"),P915="Parts",_xlfn.IFS(I915="SALES","GP",I915="SERVICE SALES","GP",I915="PARTS SALES","GP",I915="SERVICE COS","GP",I915="PARTS COS","GP",I915="SELLING EXPENSES","Selling Expenses",I915="EMPLOYMENT EXPENSES","Selling Expenses",I915="EMPLOYMENT EXPENSES","Selling Expenses",I915="DIRECT EXPENSES","Selling Expenses",I915="INDIRECT EXPENSES","Selling Expenses"))</f>
        <v>#N/A</v>
      </c>
    </row>
    <row r="916" spans="1:18" x14ac:dyDescent="0.2">
      <c r="A916" s="75" t="s">
        <v>906</v>
      </c>
      <c r="B916" s="76" t="s">
        <v>907</v>
      </c>
      <c r="C916" s="76">
        <v>340</v>
      </c>
      <c r="D916" s="76" t="s">
        <v>440</v>
      </c>
      <c r="E916" s="76" t="s">
        <v>247</v>
      </c>
      <c r="F916" s="77">
        <v>8</v>
      </c>
      <c r="G916" s="77">
        <v>0</v>
      </c>
      <c r="H916" s="77">
        <v>8</v>
      </c>
      <c r="I916" s="76" t="s">
        <v>897</v>
      </c>
      <c r="J916" s="77">
        <v>0</v>
      </c>
      <c r="K916" s="78">
        <v>0</v>
      </c>
      <c r="M916" s="79" t="str">
        <f t="shared" si="44"/>
        <v>340-9811M#</v>
      </c>
      <c r="N916" s="79" t="str">
        <f t="shared" si="42"/>
        <v>#</v>
      </c>
      <c r="O916" s="79" t="str">
        <f t="shared" si="43"/>
        <v>340#</v>
      </c>
      <c r="P916" s="79" t="str">
        <f>IFERROR(VLOOKUP($M916,Export!$P:$R,2,FALSE),"-")</f>
        <v>-</v>
      </c>
      <c r="Q916" s="79" t="str">
        <f>IFERROR(VLOOKUP($M916,Export!$P:$R,3,FALSE),"-")</f>
        <v>-</v>
      </c>
      <c r="R916" s="80" t="e" cm="1">
        <f t="array" ref="R916">_xlfn.IFS(P916="Service", _xlfn.IFS(I916="SALES","GP",I916="SERVICE SALES","GP",I916="PARTS SALES","GP",I916="SERVICE COS","GP",I916="PARTS COS","GP",I916="SELLING EXPENSES","Selling Expenses",I916="EMPLOYMENT EXPENSES","Selling Expenses",I916="EMPLOYMENT EXPENSES","Selling Expenses",I916="DIRECT EXPENSES","Selling Expenses",I916="INDIRECT EXPENSES","Selling Expenses"),P916="Parts",_xlfn.IFS(I916="SALES","GP",I916="SERVICE SALES","GP",I916="PARTS SALES","GP",I916="SERVICE COS","GP",I916="PARTS COS","GP",I916="SELLING EXPENSES","Selling Expenses",I916="EMPLOYMENT EXPENSES","Selling Expenses",I916="EMPLOYMENT EXPENSES","Selling Expenses",I916="DIRECT EXPENSES","Selling Expenses",I916="INDIRECT EXPENSES","Selling Expenses"))</f>
        <v>#N/A</v>
      </c>
    </row>
    <row r="917" spans="1:18" x14ac:dyDescent="0.2">
      <c r="A917" s="75" t="s">
        <v>906</v>
      </c>
      <c r="B917" s="76" t="s">
        <v>907</v>
      </c>
      <c r="C917" s="76">
        <v>440</v>
      </c>
      <c r="D917" s="76" t="s">
        <v>441</v>
      </c>
      <c r="E917" s="76" t="s">
        <v>247</v>
      </c>
      <c r="F917" s="77">
        <v>7</v>
      </c>
      <c r="G917" s="77">
        <v>0</v>
      </c>
      <c r="H917" s="77">
        <v>7</v>
      </c>
      <c r="I917" s="76" t="s">
        <v>897</v>
      </c>
      <c r="J917" s="77">
        <v>0</v>
      </c>
      <c r="K917" s="78">
        <v>0</v>
      </c>
      <c r="M917" s="79" t="str">
        <f t="shared" si="44"/>
        <v>440-9811M#</v>
      </c>
      <c r="N917" s="79" t="str">
        <f t="shared" si="42"/>
        <v>#</v>
      </c>
      <c r="O917" s="79" t="str">
        <f t="shared" si="43"/>
        <v>440#</v>
      </c>
      <c r="P917" s="79" t="str">
        <f>IFERROR(VLOOKUP($M917,Export!$P:$R,2,FALSE),"-")</f>
        <v>-</v>
      </c>
      <c r="Q917" s="79" t="str">
        <f>IFERROR(VLOOKUP($M917,Export!$P:$R,3,FALSE),"-")</f>
        <v>-</v>
      </c>
      <c r="R917" s="80" t="e" cm="1">
        <f t="array" ref="R917">_xlfn.IFS(P917="Service", _xlfn.IFS(I917="SALES","GP",I917="SERVICE SALES","GP",I917="PARTS SALES","GP",I917="SERVICE COS","GP",I917="PARTS COS","GP",I917="SELLING EXPENSES","Selling Expenses",I917="EMPLOYMENT EXPENSES","Selling Expenses",I917="EMPLOYMENT EXPENSES","Selling Expenses",I917="DIRECT EXPENSES","Selling Expenses",I917="INDIRECT EXPENSES","Selling Expenses"),P917="Parts",_xlfn.IFS(I917="SALES","GP",I917="SERVICE SALES","GP",I917="PARTS SALES","GP",I917="SERVICE COS","GP",I917="PARTS COS","GP",I917="SELLING EXPENSES","Selling Expenses",I917="EMPLOYMENT EXPENSES","Selling Expenses",I917="EMPLOYMENT EXPENSES","Selling Expenses",I917="DIRECT EXPENSES","Selling Expenses",I917="INDIRECT EXPENSES","Selling Expenses"))</f>
        <v>#N/A</v>
      </c>
    </row>
    <row r="918" spans="1:18" x14ac:dyDescent="0.2">
      <c r="A918" s="75" t="s">
        <v>908</v>
      </c>
      <c r="B918" s="76" t="s">
        <v>909</v>
      </c>
      <c r="C918" s="76">
        <v>140</v>
      </c>
      <c r="D918" s="76" t="s">
        <v>433</v>
      </c>
      <c r="E918" s="76" t="s">
        <v>247</v>
      </c>
      <c r="F918" s="77">
        <v>1</v>
      </c>
      <c r="G918" s="77">
        <v>0</v>
      </c>
      <c r="H918" s="77">
        <v>1</v>
      </c>
      <c r="I918" s="76" t="s">
        <v>897</v>
      </c>
      <c r="J918" s="77">
        <v>0</v>
      </c>
      <c r="K918" s="78">
        <v>0</v>
      </c>
      <c r="M918" s="79" t="str">
        <f t="shared" si="44"/>
        <v>140-9812M#</v>
      </c>
      <c r="N918" s="79" t="str">
        <f t="shared" si="42"/>
        <v>#</v>
      </c>
      <c r="O918" s="79" t="str">
        <f t="shared" si="43"/>
        <v>140#</v>
      </c>
      <c r="P918" s="79" t="str">
        <f>IFERROR(VLOOKUP($M918,Export!$P:$R,2,FALSE),"-")</f>
        <v>-</v>
      </c>
      <c r="Q918" s="79" t="str">
        <f>IFERROR(VLOOKUP($M918,Export!$P:$R,3,FALSE),"-")</f>
        <v>-</v>
      </c>
      <c r="R918" s="80" t="e" cm="1">
        <f t="array" ref="R918">_xlfn.IFS(P918="Service", _xlfn.IFS(I918="SALES","GP",I918="SERVICE SALES","GP",I918="PARTS SALES","GP",I918="SERVICE COS","GP",I918="PARTS COS","GP",I918="SELLING EXPENSES","Selling Expenses",I918="EMPLOYMENT EXPENSES","Selling Expenses",I918="EMPLOYMENT EXPENSES","Selling Expenses",I918="DIRECT EXPENSES","Selling Expenses",I918="INDIRECT EXPENSES","Selling Expenses"),P918="Parts",_xlfn.IFS(I918="SALES","GP",I918="SERVICE SALES","GP",I918="PARTS SALES","GP",I918="SERVICE COS","GP",I918="PARTS COS","GP",I918="SELLING EXPENSES","Selling Expenses",I918="EMPLOYMENT EXPENSES","Selling Expenses",I918="EMPLOYMENT EXPENSES","Selling Expenses",I918="DIRECT EXPENSES","Selling Expenses",I918="INDIRECT EXPENSES","Selling Expenses"))</f>
        <v>#N/A</v>
      </c>
    </row>
    <row r="919" spans="1:18" x14ac:dyDescent="0.2">
      <c r="A919" s="75" t="s">
        <v>908</v>
      </c>
      <c r="B919" s="76" t="s">
        <v>909</v>
      </c>
      <c r="C919" s="76">
        <v>142</v>
      </c>
      <c r="D919" s="76" t="s">
        <v>454</v>
      </c>
      <c r="E919" s="76" t="s">
        <v>247</v>
      </c>
      <c r="F919" s="77">
        <v>1</v>
      </c>
      <c r="G919" s="287">
        <v>-1</v>
      </c>
      <c r="H919" s="77">
        <v>0</v>
      </c>
      <c r="I919" s="76" t="s">
        <v>897</v>
      </c>
      <c r="J919" s="77">
        <v>0</v>
      </c>
      <c r="K919" s="78">
        <v>0</v>
      </c>
      <c r="M919" s="79" t="str">
        <f t="shared" si="44"/>
        <v>142-9812M#</v>
      </c>
      <c r="N919" s="79" t="str">
        <f t="shared" si="42"/>
        <v>#</v>
      </c>
      <c r="O919" s="79" t="str">
        <f t="shared" si="43"/>
        <v>142#</v>
      </c>
      <c r="P919" s="79" t="str">
        <f>IFERROR(VLOOKUP($M919,Export!$P:$R,2,FALSE),"-")</f>
        <v>-</v>
      </c>
      <c r="Q919" s="79" t="str">
        <f>IFERROR(VLOOKUP($M919,Export!$P:$R,3,FALSE),"-")</f>
        <v>-</v>
      </c>
      <c r="R919" s="80" t="e" cm="1">
        <f t="array" ref="R919">_xlfn.IFS(P919="Service", _xlfn.IFS(I919="SALES","GP",I919="SERVICE SALES","GP",I919="PARTS SALES","GP",I919="SERVICE COS","GP",I919="PARTS COS","GP",I919="SELLING EXPENSES","Selling Expenses",I919="EMPLOYMENT EXPENSES","Selling Expenses",I919="EMPLOYMENT EXPENSES","Selling Expenses",I919="DIRECT EXPENSES","Selling Expenses",I919="INDIRECT EXPENSES","Selling Expenses"),P919="Parts",_xlfn.IFS(I919="SALES","GP",I919="SERVICE SALES","GP",I919="PARTS SALES","GP",I919="SERVICE COS","GP",I919="PARTS COS","GP",I919="SELLING EXPENSES","Selling Expenses",I919="EMPLOYMENT EXPENSES","Selling Expenses",I919="EMPLOYMENT EXPENSES","Selling Expenses",I919="DIRECT EXPENSES","Selling Expenses",I919="INDIRECT EXPENSES","Selling Expenses"))</f>
        <v>#N/A</v>
      </c>
    </row>
    <row r="920" spans="1:18" x14ac:dyDescent="0.2">
      <c r="A920" s="75">
        <v>4465</v>
      </c>
      <c r="B920" s="76" t="s">
        <v>105</v>
      </c>
      <c r="C920" s="76">
        <v>130</v>
      </c>
      <c r="D920" s="76" t="s">
        <v>432</v>
      </c>
      <c r="E920" s="76" t="s">
        <v>426</v>
      </c>
      <c r="F920" s="77">
        <v>666683.43999999994</v>
      </c>
      <c r="G920" s="77">
        <v>63705.75</v>
      </c>
      <c r="H920" s="77">
        <v>730389.19</v>
      </c>
      <c r="I920" s="76" t="s">
        <v>910</v>
      </c>
      <c r="J920" s="77">
        <v>73275.48</v>
      </c>
      <c r="K920" s="78">
        <v>670534.23</v>
      </c>
      <c r="M920" s="79" t="str">
        <f t="shared" si="44"/>
        <v>130-4465</v>
      </c>
      <c r="N920" s="79" t="str">
        <f t="shared" si="42"/>
        <v/>
      </c>
      <c r="O920" s="79" t="str">
        <f t="shared" si="43"/>
        <v>130</v>
      </c>
      <c r="P920" s="79" t="str">
        <f>IFERROR(VLOOKUP($M920,Export!$P:$R,2,FALSE),"-")</f>
        <v>Parts</v>
      </c>
      <c r="Q920" s="79" t="str">
        <f>IFERROR(VLOOKUP($M920,Export!$P:$R,3,FALSE),"-")</f>
        <v>PartsCounter Sales Gross Profit % of Sales</v>
      </c>
      <c r="R920" s="80" t="str" cm="1">
        <f t="array" ref="R920">_xlfn.IFS(P920="Service", _xlfn.IFS(I920="SALES","GP",I920="SERVICE SALES","GP",I920="PARTS SALES","GP",I920="SERVICE COS","GP",I920="PARTS COS","GP",I920="SELLING EXPENSES","Selling Expenses",I920="EMPLOYMENT EXPENSES","Selling Expenses",I920="EMPLOYMENT EXPENSES","Selling Expenses",I920="DIRECT EXPENSES","Selling Expenses",I920="INDIRECT EXPENSES","Selling Expenses"),P920="Parts",_xlfn.IFS(I920="SALES","GP",I920="SERVICE SALES","GP",I920="PARTS SALES","GP",I920="SERVICE COS","GP",I920="PARTS COS","GP",I920="SELLING EXPENSES","Selling Expenses",I920="EMPLOYMENT EXPENSES","Selling Expenses",I920="EMPLOYMENT EXPENSES","Selling Expenses",I920="DIRECT EXPENSES","Selling Expenses",I920="INDIRECT EXPENSES","Selling Expenses"))</f>
        <v>GP</v>
      </c>
    </row>
    <row r="921" spans="1:18" x14ac:dyDescent="0.2">
      <c r="A921" s="75">
        <v>4465</v>
      </c>
      <c r="B921" s="76" t="s">
        <v>105</v>
      </c>
      <c r="C921" s="76">
        <v>230</v>
      </c>
      <c r="D921" s="76" t="s">
        <v>438</v>
      </c>
      <c r="E921" s="76" t="s">
        <v>426</v>
      </c>
      <c r="F921" s="77">
        <v>839511</v>
      </c>
      <c r="G921" s="77">
        <v>71851.649999999994</v>
      </c>
      <c r="H921" s="77">
        <v>911362.65</v>
      </c>
      <c r="I921" s="76" t="s">
        <v>910</v>
      </c>
      <c r="J921" s="77">
        <v>79007.8</v>
      </c>
      <c r="K921" s="78">
        <v>688858.45</v>
      </c>
      <c r="M921" s="79" t="str">
        <f t="shared" si="44"/>
        <v>230-4465</v>
      </c>
      <c r="N921" s="79" t="str">
        <f t="shared" si="42"/>
        <v/>
      </c>
      <c r="O921" s="79" t="str">
        <f t="shared" si="43"/>
        <v>230</v>
      </c>
      <c r="P921" s="79" t="str">
        <f>IFERROR(VLOOKUP($M921,Export!$P:$R,2,FALSE),"-")</f>
        <v>Parts</v>
      </c>
      <c r="Q921" s="79" t="str">
        <f>IFERROR(VLOOKUP($M921,Export!$P:$R,3,FALSE),"-")</f>
        <v>PartsCounter Sales Gross Profit % of Sales</v>
      </c>
      <c r="R921" s="80" t="str" cm="1">
        <f t="array" ref="R921">_xlfn.IFS(P921="Service", _xlfn.IFS(I921="SALES","GP",I921="SERVICE SALES","GP",I921="PARTS SALES","GP",I921="SERVICE COS","GP",I921="PARTS COS","GP",I921="SELLING EXPENSES","Selling Expenses",I921="EMPLOYMENT EXPENSES","Selling Expenses",I921="EMPLOYMENT EXPENSES","Selling Expenses",I921="DIRECT EXPENSES","Selling Expenses",I921="INDIRECT EXPENSES","Selling Expenses"),P921="Parts",_xlfn.IFS(I921="SALES","GP",I921="SERVICE SALES","GP",I921="PARTS SALES","GP",I921="SERVICE COS","GP",I921="PARTS COS","GP",I921="SELLING EXPENSES","Selling Expenses",I921="EMPLOYMENT EXPENSES","Selling Expenses",I921="EMPLOYMENT EXPENSES","Selling Expenses",I921="DIRECT EXPENSES","Selling Expenses",I921="INDIRECT EXPENSES","Selling Expenses"))</f>
        <v>GP</v>
      </c>
    </row>
    <row r="922" spans="1:18" x14ac:dyDescent="0.2">
      <c r="A922" s="75">
        <v>4465</v>
      </c>
      <c r="B922" s="76" t="s">
        <v>105</v>
      </c>
      <c r="C922" s="76">
        <v>330</v>
      </c>
      <c r="D922" s="76" t="s">
        <v>457</v>
      </c>
      <c r="E922" s="76" t="s">
        <v>426</v>
      </c>
      <c r="F922" s="77">
        <v>336426.51</v>
      </c>
      <c r="G922" s="77">
        <v>30761.58</v>
      </c>
      <c r="H922" s="77">
        <v>367188.09</v>
      </c>
      <c r="I922" s="76" t="s">
        <v>910</v>
      </c>
      <c r="J922" s="77">
        <v>27704.799999999999</v>
      </c>
      <c r="K922" s="78">
        <v>216693.96</v>
      </c>
      <c r="M922" s="79" t="str">
        <f t="shared" si="44"/>
        <v>330-4465</v>
      </c>
      <c r="N922" s="79" t="str">
        <f t="shared" si="42"/>
        <v/>
      </c>
      <c r="O922" s="79" t="str">
        <f t="shared" si="43"/>
        <v>330</v>
      </c>
      <c r="P922" s="79" t="str">
        <f>IFERROR(VLOOKUP($M922,Export!$P:$R,2,FALSE),"-")</f>
        <v>Parts</v>
      </c>
      <c r="Q922" s="79" t="str">
        <f>IFERROR(VLOOKUP($M922,Export!$P:$R,3,FALSE),"-")</f>
        <v>PartsCounter Sales Gross Profit % of Sales</v>
      </c>
      <c r="R922" s="80" t="str" cm="1">
        <f t="array" ref="R922">_xlfn.IFS(P922="Service", _xlfn.IFS(I922="SALES","GP",I922="SERVICE SALES","GP",I922="PARTS SALES","GP",I922="SERVICE COS","GP",I922="PARTS COS","GP",I922="SELLING EXPENSES","Selling Expenses",I922="EMPLOYMENT EXPENSES","Selling Expenses",I922="EMPLOYMENT EXPENSES","Selling Expenses",I922="DIRECT EXPENSES","Selling Expenses",I922="INDIRECT EXPENSES","Selling Expenses"),P922="Parts",_xlfn.IFS(I922="SALES","GP",I922="SERVICE SALES","GP",I922="PARTS SALES","GP",I922="SERVICE COS","GP",I922="PARTS COS","GP",I922="SELLING EXPENSES","Selling Expenses",I922="EMPLOYMENT EXPENSES","Selling Expenses",I922="EMPLOYMENT EXPENSES","Selling Expenses",I922="DIRECT EXPENSES","Selling Expenses",I922="INDIRECT EXPENSES","Selling Expenses"))</f>
        <v>GP</v>
      </c>
    </row>
    <row r="923" spans="1:18" x14ac:dyDescent="0.2">
      <c r="A923" s="75">
        <v>4465</v>
      </c>
      <c r="B923" s="76" t="s">
        <v>105</v>
      </c>
      <c r="C923" s="76">
        <v>430</v>
      </c>
      <c r="D923" s="76" t="s">
        <v>458</v>
      </c>
      <c r="E923" s="76" t="s">
        <v>426</v>
      </c>
      <c r="F923" s="77">
        <v>167497.09</v>
      </c>
      <c r="G923" s="77">
        <v>18963.66</v>
      </c>
      <c r="H923" s="77">
        <v>186460.75</v>
      </c>
      <c r="I923" s="76" t="s">
        <v>910</v>
      </c>
      <c r="J923" s="77">
        <v>16695.509999999998</v>
      </c>
      <c r="K923" s="78">
        <v>145967.44</v>
      </c>
      <c r="M923" s="79" t="str">
        <f t="shared" si="44"/>
        <v>430-4465</v>
      </c>
      <c r="N923" s="79" t="str">
        <f t="shared" si="42"/>
        <v/>
      </c>
      <c r="O923" s="79" t="str">
        <f t="shared" si="43"/>
        <v>430</v>
      </c>
      <c r="P923" s="79" t="str">
        <f>IFERROR(VLOOKUP($M923,Export!$P:$R,2,FALSE),"-")</f>
        <v>Parts</v>
      </c>
      <c r="Q923" s="79" t="str">
        <f>IFERROR(VLOOKUP($M923,Export!$P:$R,3,FALSE),"-")</f>
        <v>PartsCounter Sales Gross Profit % of Sales</v>
      </c>
      <c r="R923" s="80" t="str" cm="1">
        <f t="array" ref="R923">_xlfn.IFS(P923="Service", _xlfn.IFS(I923="SALES","GP",I923="SERVICE SALES","GP",I923="PARTS SALES","GP",I923="SERVICE COS","GP",I923="PARTS COS","GP",I923="SELLING EXPENSES","Selling Expenses",I923="EMPLOYMENT EXPENSES","Selling Expenses",I923="EMPLOYMENT EXPENSES","Selling Expenses",I923="DIRECT EXPENSES","Selling Expenses",I923="INDIRECT EXPENSES","Selling Expenses"),P923="Parts",_xlfn.IFS(I923="SALES","GP",I923="SERVICE SALES","GP",I923="PARTS SALES","GP",I923="SERVICE COS","GP",I923="PARTS COS","GP",I923="SELLING EXPENSES","Selling Expenses",I923="EMPLOYMENT EXPENSES","Selling Expenses",I923="EMPLOYMENT EXPENSES","Selling Expenses",I923="DIRECT EXPENSES","Selling Expenses",I923="INDIRECT EXPENSES","Selling Expenses"))</f>
        <v>GP</v>
      </c>
    </row>
    <row r="924" spans="1:18" x14ac:dyDescent="0.2">
      <c r="A924" s="75">
        <v>4465</v>
      </c>
      <c r="B924" s="76" t="s">
        <v>105</v>
      </c>
      <c r="C924" s="76">
        <v>935</v>
      </c>
      <c r="D924" s="76" t="s">
        <v>442</v>
      </c>
      <c r="E924" s="76" t="s">
        <v>426</v>
      </c>
      <c r="F924" s="77">
        <v>661119.23</v>
      </c>
      <c r="G924" s="77">
        <v>62441.18</v>
      </c>
      <c r="H924" s="77">
        <v>723560.41</v>
      </c>
      <c r="I924" s="76" t="s">
        <v>910</v>
      </c>
      <c r="J924" s="77">
        <v>86485.3</v>
      </c>
      <c r="K924" s="78">
        <v>793420.79</v>
      </c>
      <c r="M924" s="79" t="str">
        <f t="shared" si="44"/>
        <v>935-4465</v>
      </c>
      <c r="N924" s="79" t="str">
        <f t="shared" si="42"/>
        <v/>
      </c>
      <c r="O924" s="79" t="str">
        <f t="shared" si="43"/>
        <v>935</v>
      </c>
      <c r="P924" s="79" t="str">
        <f>IFERROR(VLOOKUP($M924,Export!$P:$R,2,FALSE),"-")</f>
        <v>Bridgestone</v>
      </c>
      <c r="Q924" s="79" t="str">
        <f>IFERROR(VLOOKUP($M924,Export!$P:$R,3,FALSE),"-")</f>
        <v>BridgestoneCounter Sales Gross Profit % of Sales</v>
      </c>
      <c r="R924" s="80" t="e" cm="1">
        <f t="array" ref="R924">_xlfn.IFS(P924="Service", _xlfn.IFS(I924="SALES","GP",I924="SERVICE SALES","GP",I924="PARTS SALES","GP",I924="SERVICE COS","GP",I924="PARTS COS","GP",I924="SELLING EXPENSES","Selling Expenses",I924="EMPLOYMENT EXPENSES","Selling Expenses",I924="EMPLOYMENT EXPENSES","Selling Expenses",I924="DIRECT EXPENSES","Selling Expenses",I924="INDIRECT EXPENSES","Selling Expenses"),P924="Parts",_xlfn.IFS(I924="SALES","GP",I924="SERVICE SALES","GP",I924="PARTS SALES","GP",I924="SERVICE COS","GP",I924="PARTS COS","GP",I924="SELLING EXPENSES","Selling Expenses",I924="EMPLOYMENT EXPENSES","Selling Expenses",I924="EMPLOYMENT EXPENSES","Selling Expenses",I924="DIRECT EXPENSES","Selling Expenses",I924="INDIRECT EXPENSES","Selling Expenses"))</f>
        <v>#N/A</v>
      </c>
    </row>
    <row r="925" spans="1:18" x14ac:dyDescent="0.2">
      <c r="A925" s="75">
        <v>4465</v>
      </c>
      <c r="B925" s="76" t="s">
        <v>105</v>
      </c>
      <c r="C925" s="76">
        <v>936</v>
      </c>
      <c r="D925" s="76" t="s">
        <v>443</v>
      </c>
      <c r="E925" s="76" t="s">
        <v>426</v>
      </c>
      <c r="F925" s="77">
        <v>350764.33</v>
      </c>
      <c r="G925" s="287">
        <v>38020.79</v>
      </c>
      <c r="H925" s="77">
        <v>388785.12</v>
      </c>
      <c r="I925" s="76" t="s">
        <v>910</v>
      </c>
      <c r="J925" s="77">
        <v>42097.56</v>
      </c>
      <c r="K925" s="78">
        <v>386504.84</v>
      </c>
      <c r="M925" s="79" t="str">
        <f t="shared" si="44"/>
        <v>936-4465</v>
      </c>
      <c r="N925" s="79" t="str">
        <f t="shared" si="42"/>
        <v/>
      </c>
      <c r="O925" s="79" t="str">
        <f t="shared" si="43"/>
        <v>936</v>
      </c>
      <c r="P925" s="79" t="str">
        <f>IFERROR(VLOOKUP($M925,Export!$P:$R,2,FALSE),"-")</f>
        <v>Bridgestone</v>
      </c>
      <c r="Q925" s="79" t="str">
        <f>IFERROR(VLOOKUP($M925,Export!$P:$R,3,FALSE),"-")</f>
        <v>BridgestoneCounter Sales Gross Profit % of Sales</v>
      </c>
      <c r="R925" s="80" t="e" cm="1">
        <f t="array" ref="R925">_xlfn.IFS(P925="Service", _xlfn.IFS(I925="SALES","GP",I925="SERVICE SALES","GP",I925="PARTS SALES","GP",I925="SERVICE COS","GP",I925="PARTS COS","GP",I925="SELLING EXPENSES","Selling Expenses",I925="EMPLOYMENT EXPENSES","Selling Expenses",I925="EMPLOYMENT EXPENSES","Selling Expenses",I925="DIRECT EXPENSES","Selling Expenses",I925="INDIRECT EXPENSES","Selling Expenses"),P925="Parts",_xlfn.IFS(I925="SALES","GP",I925="SERVICE SALES","GP",I925="PARTS SALES","GP",I925="SERVICE COS","GP",I925="PARTS COS","GP",I925="SELLING EXPENSES","Selling Expenses",I925="EMPLOYMENT EXPENSES","Selling Expenses",I925="EMPLOYMENT EXPENSES","Selling Expenses",I925="DIRECT EXPENSES","Selling Expenses",I925="INDIRECT EXPENSES","Selling Expenses"))</f>
        <v>#N/A</v>
      </c>
    </row>
    <row r="926" spans="1:18" x14ac:dyDescent="0.2">
      <c r="A926" s="75">
        <v>4466</v>
      </c>
      <c r="B926" s="76" t="s">
        <v>106</v>
      </c>
      <c r="C926" s="76">
        <v>130</v>
      </c>
      <c r="D926" s="76" t="s">
        <v>432</v>
      </c>
      <c r="E926" s="76" t="s">
        <v>426</v>
      </c>
      <c r="F926" s="77">
        <v>2505305.34</v>
      </c>
      <c r="G926" s="77">
        <v>245721.73</v>
      </c>
      <c r="H926" s="77">
        <v>2751027.07</v>
      </c>
      <c r="I926" s="76" t="s">
        <v>910</v>
      </c>
      <c r="J926" s="77">
        <v>233042.7</v>
      </c>
      <c r="K926" s="78">
        <v>2264375.14</v>
      </c>
      <c r="M926" s="79" t="str">
        <f t="shared" si="44"/>
        <v>130-4466</v>
      </c>
      <c r="N926" s="79" t="str">
        <f t="shared" si="42"/>
        <v/>
      </c>
      <c r="O926" s="79" t="str">
        <f t="shared" si="43"/>
        <v>130</v>
      </c>
      <c r="P926" s="79" t="str">
        <f>IFERROR(VLOOKUP($M926,Export!$P:$R,2,FALSE),"-")</f>
        <v>Parts</v>
      </c>
      <c r="Q926" s="79" t="str">
        <f>IFERROR(VLOOKUP($M926,Export!$P:$R,3,FALSE),"-")</f>
        <v>PartsTrade Sales Gross Profit % of Sales</v>
      </c>
      <c r="R926" s="80" t="str" cm="1">
        <f t="array" ref="R926">_xlfn.IFS(P926="Service", _xlfn.IFS(I926="SALES","GP",I926="SERVICE SALES","GP",I926="PARTS SALES","GP",I926="SERVICE COS","GP",I926="PARTS COS","GP",I926="SELLING EXPENSES","Selling Expenses",I926="EMPLOYMENT EXPENSES","Selling Expenses",I926="EMPLOYMENT EXPENSES","Selling Expenses",I926="DIRECT EXPENSES","Selling Expenses",I926="INDIRECT EXPENSES","Selling Expenses"),P926="Parts",_xlfn.IFS(I926="SALES","GP",I926="SERVICE SALES","GP",I926="PARTS SALES","GP",I926="SERVICE COS","GP",I926="PARTS COS","GP",I926="SELLING EXPENSES","Selling Expenses",I926="EMPLOYMENT EXPENSES","Selling Expenses",I926="EMPLOYMENT EXPENSES","Selling Expenses",I926="DIRECT EXPENSES","Selling Expenses",I926="INDIRECT EXPENSES","Selling Expenses"))</f>
        <v>GP</v>
      </c>
    </row>
    <row r="927" spans="1:18" x14ac:dyDescent="0.2">
      <c r="A927" s="75">
        <v>4466</v>
      </c>
      <c r="B927" s="76" t="s">
        <v>106</v>
      </c>
      <c r="C927" s="76">
        <v>230</v>
      </c>
      <c r="D927" s="76" t="s">
        <v>438</v>
      </c>
      <c r="E927" s="76" t="s">
        <v>426</v>
      </c>
      <c r="F927" s="77">
        <v>1001117.38</v>
      </c>
      <c r="G927" s="77">
        <v>71277.47</v>
      </c>
      <c r="H927" s="77">
        <v>1072394.8500000001</v>
      </c>
      <c r="I927" s="76" t="s">
        <v>910</v>
      </c>
      <c r="J927" s="77">
        <v>126097.05</v>
      </c>
      <c r="K927" s="78">
        <v>1143867.3600000001</v>
      </c>
      <c r="M927" s="79" t="str">
        <f t="shared" si="44"/>
        <v>230-4466</v>
      </c>
      <c r="N927" s="79" t="str">
        <f t="shared" si="42"/>
        <v/>
      </c>
      <c r="O927" s="79" t="str">
        <f t="shared" si="43"/>
        <v>230</v>
      </c>
      <c r="P927" s="79" t="str">
        <f>IFERROR(VLOOKUP($M927,Export!$P:$R,2,FALSE),"-")</f>
        <v>Parts</v>
      </c>
      <c r="Q927" s="79" t="str">
        <f>IFERROR(VLOOKUP($M927,Export!$P:$R,3,FALSE),"-")</f>
        <v>PartsTrade Sales Gross Profit % of Sales</v>
      </c>
      <c r="R927" s="80" t="str" cm="1">
        <f t="array" ref="R927">_xlfn.IFS(P927="Service", _xlfn.IFS(I927="SALES","GP",I927="SERVICE SALES","GP",I927="PARTS SALES","GP",I927="SERVICE COS","GP",I927="PARTS COS","GP",I927="SELLING EXPENSES","Selling Expenses",I927="EMPLOYMENT EXPENSES","Selling Expenses",I927="EMPLOYMENT EXPENSES","Selling Expenses",I927="DIRECT EXPENSES","Selling Expenses",I927="INDIRECT EXPENSES","Selling Expenses"),P927="Parts",_xlfn.IFS(I927="SALES","GP",I927="SERVICE SALES","GP",I927="PARTS SALES","GP",I927="SERVICE COS","GP",I927="PARTS COS","GP",I927="SELLING EXPENSES","Selling Expenses",I927="EMPLOYMENT EXPENSES","Selling Expenses",I927="EMPLOYMENT EXPENSES","Selling Expenses",I927="DIRECT EXPENSES","Selling Expenses",I927="INDIRECT EXPENSES","Selling Expenses"))</f>
        <v>GP</v>
      </c>
    </row>
    <row r="928" spans="1:18" x14ac:dyDescent="0.2">
      <c r="A928" s="75">
        <v>4466</v>
      </c>
      <c r="B928" s="76" t="s">
        <v>106</v>
      </c>
      <c r="C928" s="76">
        <v>330</v>
      </c>
      <c r="D928" s="76" t="s">
        <v>457</v>
      </c>
      <c r="E928" s="76" t="s">
        <v>426</v>
      </c>
      <c r="F928" s="77">
        <v>317282.02</v>
      </c>
      <c r="G928" s="77">
        <v>35324.82</v>
      </c>
      <c r="H928" s="77">
        <v>352606.84</v>
      </c>
      <c r="I928" s="76" t="s">
        <v>910</v>
      </c>
      <c r="J928" s="77">
        <v>37636.550000000003</v>
      </c>
      <c r="K928" s="78">
        <v>335081.24</v>
      </c>
      <c r="M928" s="79" t="str">
        <f t="shared" si="44"/>
        <v>330-4466</v>
      </c>
      <c r="N928" s="79" t="str">
        <f t="shared" si="42"/>
        <v/>
      </c>
      <c r="O928" s="79" t="str">
        <f t="shared" si="43"/>
        <v>330</v>
      </c>
      <c r="P928" s="79" t="str">
        <f>IFERROR(VLOOKUP($M928,Export!$P:$R,2,FALSE),"-")</f>
        <v>Parts</v>
      </c>
      <c r="Q928" s="79" t="str">
        <f>IFERROR(VLOOKUP($M928,Export!$P:$R,3,FALSE),"-")</f>
        <v>PartsTrade Sales Gross Profit % of Sales</v>
      </c>
      <c r="R928" s="80" t="str" cm="1">
        <f t="array" ref="R928">_xlfn.IFS(P928="Service", _xlfn.IFS(I928="SALES","GP",I928="SERVICE SALES","GP",I928="PARTS SALES","GP",I928="SERVICE COS","GP",I928="PARTS COS","GP",I928="SELLING EXPENSES","Selling Expenses",I928="EMPLOYMENT EXPENSES","Selling Expenses",I928="EMPLOYMENT EXPENSES","Selling Expenses",I928="DIRECT EXPENSES","Selling Expenses",I928="INDIRECT EXPENSES","Selling Expenses"),P928="Parts",_xlfn.IFS(I928="SALES","GP",I928="SERVICE SALES","GP",I928="PARTS SALES","GP",I928="SERVICE COS","GP",I928="PARTS COS","GP",I928="SELLING EXPENSES","Selling Expenses",I928="EMPLOYMENT EXPENSES","Selling Expenses",I928="EMPLOYMENT EXPENSES","Selling Expenses",I928="DIRECT EXPENSES","Selling Expenses",I928="INDIRECT EXPENSES","Selling Expenses"))</f>
        <v>GP</v>
      </c>
    </row>
    <row r="929" spans="1:18" x14ac:dyDescent="0.2">
      <c r="A929" s="75">
        <v>4466</v>
      </c>
      <c r="B929" s="76" t="s">
        <v>106</v>
      </c>
      <c r="C929" s="76">
        <v>430</v>
      </c>
      <c r="D929" s="76" t="s">
        <v>458</v>
      </c>
      <c r="E929" s="76" t="s">
        <v>426</v>
      </c>
      <c r="F929" s="77">
        <v>15714.43</v>
      </c>
      <c r="G929" s="77">
        <v>4034.29</v>
      </c>
      <c r="H929" s="77">
        <v>19748.72</v>
      </c>
      <c r="I929" s="76" t="s">
        <v>910</v>
      </c>
      <c r="J929" s="77">
        <v>467.96</v>
      </c>
      <c r="K929" s="78">
        <v>4308.25</v>
      </c>
      <c r="M929" s="79" t="str">
        <f t="shared" si="44"/>
        <v>430-4466</v>
      </c>
      <c r="N929" s="79" t="str">
        <f t="shared" si="42"/>
        <v/>
      </c>
      <c r="O929" s="79" t="str">
        <f t="shared" si="43"/>
        <v>430</v>
      </c>
      <c r="P929" s="79" t="str">
        <f>IFERROR(VLOOKUP($M929,Export!$P:$R,2,FALSE),"-")</f>
        <v>Parts</v>
      </c>
      <c r="Q929" s="79" t="str">
        <f>IFERROR(VLOOKUP($M929,Export!$P:$R,3,FALSE),"-")</f>
        <v>PartsTrade Sales Gross Profit % of Sales</v>
      </c>
      <c r="R929" s="80" t="str" cm="1">
        <f t="array" ref="R929">_xlfn.IFS(P929="Service", _xlfn.IFS(I929="SALES","GP",I929="SERVICE SALES","GP",I929="PARTS SALES","GP",I929="SERVICE COS","GP",I929="PARTS COS","GP",I929="SELLING EXPENSES","Selling Expenses",I929="EMPLOYMENT EXPENSES","Selling Expenses",I929="EMPLOYMENT EXPENSES","Selling Expenses",I929="DIRECT EXPENSES","Selling Expenses",I929="INDIRECT EXPENSES","Selling Expenses"),P929="Parts",_xlfn.IFS(I929="SALES","GP",I929="SERVICE SALES","GP",I929="PARTS SALES","GP",I929="SERVICE COS","GP",I929="PARTS COS","GP",I929="SELLING EXPENSES","Selling Expenses",I929="EMPLOYMENT EXPENSES","Selling Expenses",I929="EMPLOYMENT EXPENSES","Selling Expenses",I929="DIRECT EXPENSES","Selling Expenses",I929="INDIRECT EXPENSES","Selling Expenses"))</f>
        <v>GP</v>
      </c>
    </row>
    <row r="930" spans="1:18" x14ac:dyDescent="0.2">
      <c r="A930" s="75">
        <v>4466</v>
      </c>
      <c r="B930" s="76" t="s">
        <v>106</v>
      </c>
      <c r="C930" s="76">
        <v>935</v>
      </c>
      <c r="D930" s="76" t="s">
        <v>442</v>
      </c>
      <c r="E930" s="76" t="s">
        <v>426</v>
      </c>
      <c r="F930" s="77">
        <v>36345.26</v>
      </c>
      <c r="G930" s="77">
        <v>3147.28</v>
      </c>
      <c r="H930" s="77">
        <v>39492.54</v>
      </c>
      <c r="I930" s="76" t="s">
        <v>910</v>
      </c>
      <c r="J930" s="77">
        <v>0</v>
      </c>
      <c r="K930" s="78">
        <v>12220.2</v>
      </c>
      <c r="M930" s="79" t="str">
        <f t="shared" si="44"/>
        <v>935-4466</v>
      </c>
      <c r="N930" s="79" t="str">
        <f t="shared" si="42"/>
        <v/>
      </c>
      <c r="O930" s="79" t="str">
        <f t="shared" si="43"/>
        <v>935</v>
      </c>
      <c r="P930" s="79" t="str">
        <f>IFERROR(VLOOKUP($M930,Export!$P:$R,2,FALSE),"-")</f>
        <v>Bridgestone</v>
      </c>
      <c r="Q930" s="79" t="str">
        <f>IFERROR(VLOOKUP($M930,Export!$P:$R,3,FALSE),"-")</f>
        <v>BridgestoneTrade Sales Gross Profit % of Sales</v>
      </c>
      <c r="R930" s="80" t="e" cm="1">
        <f t="array" ref="R930">_xlfn.IFS(P930="Service", _xlfn.IFS(I930="SALES","GP",I930="SERVICE SALES","GP",I930="PARTS SALES","GP",I930="SERVICE COS","GP",I930="PARTS COS","GP",I930="SELLING EXPENSES","Selling Expenses",I930="EMPLOYMENT EXPENSES","Selling Expenses",I930="EMPLOYMENT EXPENSES","Selling Expenses",I930="DIRECT EXPENSES","Selling Expenses",I930="INDIRECT EXPENSES","Selling Expenses"),P930="Parts",_xlfn.IFS(I930="SALES","GP",I930="SERVICE SALES","GP",I930="PARTS SALES","GP",I930="SERVICE COS","GP",I930="PARTS COS","GP",I930="SELLING EXPENSES","Selling Expenses",I930="EMPLOYMENT EXPENSES","Selling Expenses",I930="EMPLOYMENT EXPENSES","Selling Expenses",I930="DIRECT EXPENSES","Selling Expenses",I930="INDIRECT EXPENSES","Selling Expenses"))</f>
        <v>#N/A</v>
      </c>
    </row>
    <row r="931" spans="1:18" x14ac:dyDescent="0.2">
      <c r="A931" s="75">
        <v>4466</v>
      </c>
      <c r="B931" s="76" t="s">
        <v>106</v>
      </c>
      <c r="C931" s="76">
        <v>936</v>
      </c>
      <c r="D931" s="76" t="s">
        <v>443</v>
      </c>
      <c r="E931" s="76" t="s">
        <v>426</v>
      </c>
      <c r="F931" s="77">
        <v>21910.97</v>
      </c>
      <c r="G931" s="287">
        <v>5610</v>
      </c>
      <c r="H931" s="77">
        <v>27520.97</v>
      </c>
      <c r="I931" s="76" t="s">
        <v>910</v>
      </c>
      <c r="J931" s="77">
        <v>0</v>
      </c>
      <c r="K931" s="78">
        <v>8282.99</v>
      </c>
      <c r="M931" s="79" t="str">
        <f t="shared" si="44"/>
        <v>936-4466</v>
      </c>
      <c r="N931" s="79" t="str">
        <f t="shared" si="42"/>
        <v/>
      </c>
      <c r="O931" s="79" t="str">
        <f t="shared" si="43"/>
        <v>936</v>
      </c>
      <c r="P931" s="79" t="str">
        <f>IFERROR(VLOOKUP($M931,Export!$P:$R,2,FALSE),"-")</f>
        <v>Bridgestone</v>
      </c>
      <c r="Q931" s="79" t="str">
        <f>IFERROR(VLOOKUP($M931,Export!$P:$R,3,FALSE),"-")</f>
        <v>BridgestoneTrade Sales Gross Profit % of Sales</v>
      </c>
      <c r="R931" s="80" t="e" cm="1">
        <f t="array" ref="R931">_xlfn.IFS(P931="Service", _xlfn.IFS(I931="SALES","GP",I931="SERVICE SALES","GP",I931="PARTS SALES","GP",I931="SERVICE COS","GP",I931="PARTS COS","GP",I931="SELLING EXPENSES","Selling Expenses",I931="EMPLOYMENT EXPENSES","Selling Expenses",I931="EMPLOYMENT EXPENSES","Selling Expenses",I931="DIRECT EXPENSES","Selling Expenses",I931="INDIRECT EXPENSES","Selling Expenses"),P931="Parts",_xlfn.IFS(I931="SALES","GP",I931="SERVICE SALES","GP",I931="PARTS SALES","GP",I931="SERVICE COS","GP",I931="PARTS COS","GP",I931="SELLING EXPENSES","Selling Expenses",I931="EMPLOYMENT EXPENSES","Selling Expenses",I931="EMPLOYMENT EXPENSES","Selling Expenses",I931="DIRECT EXPENSES","Selling Expenses",I931="INDIRECT EXPENSES","Selling Expenses"))</f>
        <v>#N/A</v>
      </c>
    </row>
    <row r="932" spans="1:18" x14ac:dyDescent="0.2">
      <c r="A932" s="75">
        <v>4467</v>
      </c>
      <c r="B932" s="76" t="s">
        <v>911</v>
      </c>
      <c r="C932" s="76">
        <v>130</v>
      </c>
      <c r="D932" s="76" t="s">
        <v>432</v>
      </c>
      <c r="E932" s="76" t="s">
        <v>426</v>
      </c>
      <c r="F932" s="77">
        <v>490312.38</v>
      </c>
      <c r="G932" s="77">
        <v>38257.61</v>
      </c>
      <c r="H932" s="77">
        <v>528569.99</v>
      </c>
      <c r="I932" s="76" t="s">
        <v>910</v>
      </c>
      <c r="J932" s="77">
        <v>62555.13</v>
      </c>
      <c r="K932" s="78">
        <v>596639.47</v>
      </c>
      <c r="M932" s="79" t="str">
        <f t="shared" si="44"/>
        <v>130-4467</v>
      </c>
      <c r="N932" s="79" t="str">
        <f t="shared" si="42"/>
        <v/>
      </c>
      <c r="O932" s="79" t="str">
        <f t="shared" si="43"/>
        <v>130</v>
      </c>
      <c r="P932" s="79" t="str">
        <f>IFERROR(VLOOKUP($M932,Export!$P:$R,2,FALSE),"-")</f>
        <v>Parts</v>
      </c>
      <c r="Q932" s="79" t="str">
        <f>IFERROR(VLOOKUP($M932,Export!$P:$R,3,FALSE),"-")</f>
        <v>PartsTrade Sales Gross Profit % of Sales</v>
      </c>
      <c r="R932" s="80" t="str" cm="1">
        <f t="array" ref="R932">_xlfn.IFS(P932="Service", _xlfn.IFS(I932="SALES","GP",I932="SERVICE SALES","GP",I932="PARTS SALES","GP",I932="SERVICE COS","GP",I932="PARTS COS","GP",I932="SELLING EXPENSES","Selling Expenses",I932="EMPLOYMENT EXPENSES","Selling Expenses",I932="EMPLOYMENT EXPENSES","Selling Expenses",I932="DIRECT EXPENSES","Selling Expenses",I932="INDIRECT EXPENSES","Selling Expenses"),P932="Parts",_xlfn.IFS(I932="SALES","GP",I932="SERVICE SALES","GP",I932="PARTS SALES","GP",I932="SERVICE COS","GP",I932="PARTS COS","GP",I932="SELLING EXPENSES","Selling Expenses",I932="EMPLOYMENT EXPENSES","Selling Expenses",I932="EMPLOYMENT EXPENSES","Selling Expenses",I932="DIRECT EXPENSES","Selling Expenses",I932="INDIRECT EXPENSES","Selling Expenses"))</f>
        <v>GP</v>
      </c>
    </row>
    <row r="933" spans="1:18" x14ac:dyDescent="0.2">
      <c r="A933" s="75">
        <v>4467</v>
      </c>
      <c r="B933" s="76" t="s">
        <v>911</v>
      </c>
      <c r="C933" s="76">
        <v>230</v>
      </c>
      <c r="D933" s="76" t="s">
        <v>438</v>
      </c>
      <c r="E933" s="76" t="s">
        <v>426</v>
      </c>
      <c r="F933" s="77">
        <v>21483.45</v>
      </c>
      <c r="G933" s="77">
        <v>341.34</v>
      </c>
      <c r="H933" s="77">
        <v>21824.79</v>
      </c>
      <c r="I933" s="76" t="s">
        <v>910</v>
      </c>
      <c r="J933" s="77">
        <v>1475.59</v>
      </c>
      <c r="K933" s="78">
        <v>14691.85</v>
      </c>
      <c r="M933" s="79" t="str">
        <f t="shared" si="44"/>
        <v>230-4467</v>
      </c>
      <c r="N933" s="79" t="str">
        <f t="shared" si="42"/>
        <v/>
      </c>
      <c r="O933" s="79" t="str">
        <f t="shared" si="43"/>
        <v>230</v>
      </c>
      <c r="P933" s="79" t="str">
        <f>IFERROR(VLOOKUP($M933,Export!$P:$R,2,FALSE),"-")</f>
        <v>Parts</v>
      </c>
      <c r="Q933" s="79" t="str">
        <f>IFERROR(VLOOKUP($M933,Export!$P:$R,3,FALSE),"-")</f>
        <v>PartsTrade Sales Gross Profit % of Sales</v>
      </c>
      <c r="R933" s="80" t="str" cm="1">
        <f t="array" ref="R933">_xlfn.IFS(P933="Service", _xlfn.IFS(I933="SALES","GP",I933="SERVICE SALES","GP",I933="PARTS SALES","GP",I933="SERVICE COS","GP",I933="PARTS COS","GP",I933="SELLING EXPENSES","Selling Expenses",I933="EMPLOYMENT EXPENSES","Selling Expenses",I933="EMPLOYMENT EXPENSES","Selling Expenses",I933="DIRECT EXPENSES","Selling Expenses",I933="INDIRECT EXPENSES","Selling Expenses"),P933="Parts",_xlfn.IFS(I933="SALES","GP",I933="SERVICE SALES","GP",I933="PARTS SALES","GP",I933="SERVICE COS","GP",I933="PARTS COS","GP",I933="SELLING EXPENSES","Selling Expenses",I933="EMPLOYMENT EXPENSES","Selling Expenses",I933="EMPLOYMENT EXPENSES","Selling Expenses",I933="DIRECT EXPENSES","Selling Expenses",I933="INDIRECT EXPENSES","Selling Expenses"))</f>
        <v>GP</v>
      </c>
    </row>
    <row r="934" spans="1:18" x14ac:dyDescent="0.2">
      <c r="A934" s="75">
        <v>4467</v>
      </c>
      <c r="B934" s="76" t="s">
        <v>911</v>
      </c>
      <c r="C934" s="76">
        <v>330</v>
      </c>
      <c r="D934" s="76" t="s">
        <v>457</v>
      </c>
      <c r="E934" s="76" t="s">
        <v>426</v>
      </c>
      <c r="F934" s="77">
        <v>14.58</v>
      </c>
      <c r="G934" s="77">
        <v>210.87</v>
      </c>
      <c r="H934" s="77">
        <v>225.45</v>
      </c>
      <c r="I934" s="76" t="s">
        <v>910</v>
      </c>
      <c r="J934" s="77">
        <v>10.62</v>
      </c>
      <c r="K934" s="78">
        <v>78.569999999999993</v>
      </c>
      <c r="M934" s="79" t="str">
        <f t="shared" si="44"/>
        <v>330-4467</v>
      </c>
      <c r="N934" s="79" t="str">
        <f t="shared" si="42"/>
        <v/>
      </c>
      <c r="O934" s="79" t="str">
        <f t="shared" si="43"/>
        <v>330</v>
      </c>
      <c r="P934" s="79" t="str">
        <f>IFERROR(VLOOKUP($M934,Export!$P:$R,2,FALSE),"-")</f>
        <v>Parts</v>
      </c>
      <c r="Q934" s="79" t="str">
        <f>IFERROR(VLOOKUP($M934,Export!$P:$R,3,FALSE),"-")</f>
        <v>PartsTrade Sales Gross Profit % of Sales</v>
      </c>
      <c r="R934" s="80" t="str" cm="1">
        <f t="array" ref="R934">_xlfn.IFS(P934="Service", _xlfn.IFS(I934="SALES","GP",I934="SERVICE SALES","GP",I934="PARTS SALES","GP",I934="SERVICE COS","GP",I934="PARTS COS","GP",I934="SELLING EXPENSES","Selling Expenses",I934="EMPLOYMENT EXPENSES","Selling Expenses",I934="EMPLOYMENT EXPENSES","Selling Expenses",I934="DIRECT EXPENSES","Selling Expenses",I934="INDIRECT EXPENSES","Selling Expenses"),P934="Parts",_xlfn.IFS(I934="SALES","GP",I934="SERVICE SALES","GP",I934="PARTS SALES","GP",I934="SERVICE COS","GP",I934="PARTS COS","GP",I934="SELLING EXPENSES","Selling Expenses",I934="EMPLOYMENT EXPENSES","Selling Expenses",I934="EMPLOYMENT EXPENSES","Selling Expenses",I934="DIRECT EXPENSES","Selling Expenses",I934="INDIRECT EXPENSES","Selling Expenses"))</f>
        <v>GP</v>
      </c>
    </row>
    <row r="935" spans="1:18" x14ac:dyDescent="0.2">
      <c r="A935" s="75">
        <v>4467</v>
      </c>
      <c r="B935" s="76" t="s">
        <v>911</v>
      </c>
      <c r="C935" s="76">
        <v>430</v>
      </c>
      <c r="D935" s="76" t="s">
        <v>458</v>
      </c>
      <c r="E935" s="76" t="s">
        <v>426</v>
      </c>
      <c r="F935" s="77">
        <v>274.02999999999997</v>
      </c>
      <c r="G935" s="77">
        <v>170</v>
      </c>
      <c r="H935" s="77">
        <v>444.03</v>
      </c>
      <c r="I935" s="76" t="s">
        <v>910</v>
      </c>
      <c r="J935" s="77">
        <v>16.600000000000001</v>
      </c>
      <c r="K935" s="78">
        <v>97.15</v>
      </c>
      <c r="M935" s="79" t="str">
        <f t="shared" si="44"/>
        <v>430-4467</v>
      </c>
      <c r="N935" s="79" t="str">
        <f t="shared" si="42"/>
        <v/>
      </c>
      <c r="O935" s="79" t="str">
        <f t="shared" si="43"/>
        <v>430</v>
      </c>
      <c r="P935" s="79" t="str">
        <f>IFERROR(VLOOKUP($M935,Export!$P:$R,2,FALSE),"-")</f>
        <v>Parts</v>
      </c>
      <c r="Q935" s="79" t="str">
        <f>IFERROR(VLOOKUP($M935,Export!$P:$R,3,FALSE),"-")</f>
        <v>PartsTrade Sales Gross Profit % of Sales</v>
      </c>
      <c r="R935" s="80" t="str" cm="1">
        <f t="array" ref="R935">_xlfn.IFS(P935="Service", _xlfn.IFS(I935="SALES","GP",I935="SERVICE SALES","GP",I935="PARTS SALES","GP",I935="SERVICE COS","GP",I935="PARTS COS","GP",I935="SELLING EXPENSES","Selling Expenses",I935="EMPLOYMENT EXPENSES","Selling Expenses",I935="EMPLOYMENT EXPENSES","Selling Expenses",I935="DIRECT EXPENSES","Selling Expenses",I935="INDIRECT EXPENSES","Selling Expenses"),P935="Parts",_xlfn.IFS(I935="SALES","GP",I935="SERVICE SALES","GP",I935="PARTS SALES","GP",I935="SERVICE COS","GP",I935="PARTS COS","GP",I935="SELLING EXPENSES","Selling Expenses",I935="EMPLOYMENT EXPENSES","Selling Expenses",I935="EMPLOYMENT EXPENSES","Selling Expenses",I935="DIRECT EXPENSES","Selling Expenses",I935="INDIRECT EXPENSES","Selling Expenses"))</f>
        <v>GP</v>
      </c>
    </row>
    <row r="936" spans="1:18" x14ac:dyDescent="0.2">
      <c r="A936" s="75">
        <v>4467</v>
      </c>
      <c r="B936" s="76" t="s">
        <v>911</v>
      </c>
      <c r="C936" s="76">
        <v>935</v>
      </c>
      <c r="D936" s="76" t="s">
        <v>442</v>
      </c>
      <c r="E936" s="76" t="s">
        <v>426</v>
      </c>
      <c r="F936" s="77">
        <v>40227.300000000003</v>
      </c>
      <c r="G936" s="77">
        <v>4030.71</v>
      </c>
      <c r="H936" s="77">
        <v>44258.01</v>
      </c>
      <c r="I936" s="76" t="s">
        <v>910</v>
      </c>
      <c r="J936" s="77">
        <v>8505.0400000000009</v>
      </c>
      <c r="K936" s="78">
        <v>77392.539999999994</v>
      </c>
      <c r="M936" s="79" t="str">
        <f t="shared" si="44"/>
        <v>935-4467</v>
      </c>
      <c r="N936" s="79" t="str">
        <f t="shared" si="42"/>
        <v/>
      </c>
      <c r="O936" s="79" t="str">
        <f t="shared" si="43"/>
        <v>935</v>
      </c>
      <c r="P936" s="79" t="str">
        <f>IFERROR(VLOOKUP($M936,Export!$P:$R,2,FALSE),"-")</f>
        <v>Bridgestone</v>
      </c>
      <c r="Q936" s="79" t="str">
        <f>IFERROR(VLOOKUP($M936,Export!$P:$R,3,FALSE),"-")</f>
        <v>BridgestoneTrade Sales Gross Profit % of Sales</v>
      </c>
      <c r="R936" s="80" t="e" cm="1">
        <f t="array" ref="R936">_xlfn.IFS(P936="Service", _xlfn.IFS(I936="SALES","GP",I936="SERVICE SALES","GP",I936="PARTS SALES","GP",I936="SERVICE COS","GP",I936="PARTS COS","GP",I936="SELLING EXPENSES","Selling Expenses",I936="EMPLOYMENT EXPENSES","Selling Expenses",I936="EMPLOYMENT EXPENSES","Selling Expenses",I936="DIRECT EXPENSES","Selling Expenses",I936="INDIRECT EXPENSES","Selling Expenses"),P936="Parts",_xlfn.IFS(I936="SALES","GP",I936="SERVICE SALES","GP",I936="PARTS SALES","GP",I936="SERVICE COS","GP",I936="PARTS COS","GP",I936="SELLING EXPENSES","Selling Expenses",I936="EMPLOYMENT EXPENSES","Selling Expenses",I936="EMPLOYMENT EXPENSES","Selling Expenses",I936="DIRECT EXPENSES","Selling Expenses",I936="INDIRECT EXPENSES","Selling Expenses"))</f>
        <v>#N/A</v>
      </c>
    </row>
    <row r="937" spans="1:18" x14ac:dyDescent="0.2">
      <c r="A937" s="75">
        <v>4467</v>
      </c>
      <c r="B937" s="76" t="s">
        <v>911</v>
      </c>
      <c r="C937" s="76">
        <v>936</v>
      </c>
      <c r="D937" s="76" t="s">
        <v>443</v>
      </c>
      <c r="E937" s="76" t="s">
        <v>426</v>
      </c>
      <c r="F937" s="77">
        <v>6764.14</v>
      </c>
      <c r="G937" s="77">
        <v>1224.49</v>
      </c>
      <c r="H937" s="77">
        <v>7988.63</v>
      </c>
      <c r="I937" s="76" t="s">
        <v>910</v>
      </c>
      <c r="J937" s="77">
        <v>507.17</v>
      </c>
      <c r="K937" s="78">
        <v>4689.93</v>
      </c>
      <c r="M937" s="79" t="str">
        <f t="shared" si="44"/>
        <v>936-4467</v>
      </c>
      <c r="N937" s="79" t="str">
        <f t="shared" si="42"/>
        <v/>
      </c>
      <c r="O937" s="79" t="str">
        <f t="shared" si="43"/>
        <v>936</v>
      </c>
      <c r="P937" s="79" t="str">
        <f>IFERROR(VLOOKUP($M937,Export!$P:$R,2,FALSE),"-")</f>
        <v>Bridgestone</v>
      </c>
      <c r="Q937" s="79" t="str">
        <f>IFERROR(VLOOKUP($M937,Export!$P:$R,3,FALSE),"-")</f>
        <v>BridgestoneTrade Sales Gross Profit % of Sales</v>
      </c>
      <c r="R937" s="80" t="e" cm="1">
        <f t="array" ref="R937">_xlfn.IFS(P937="Service", _xlfn.IFS(I937="SALES","GP",I937="SERVICE SALES","GP",I937="PARTS SALES","GP",I937="SERVICE COS","GP",I937="PARTS COS","GP",I937="SELLING EXPENSES","Selling Expenses",I937="EMPLOYMENT EXPENSES","Selling Expenses",I937="EMPLOYMENT EXPENSES","Selling Expenses",I937="DIRECT EXPENSES","Selling Expenses",I937="INDIRECT EXPENSES","Selling Expenses"),P937="Parts",_xlfn.IFS(I937="SALES","GP",I937="SERVICE SALES","GP",I937="PARTS SALES","GP",I937="SERVICE COS","GP",I937="PARTS COS","GP",I937="SELLING EXPENSES","Selling Expenses",I937="EMPLOYMENT EXPENSES","Selling Expenses",I937="EMPLOYMENT EXPENSES","Selling Expenses",I937="DIRECT EXPENSES","Selling Expenses",I937="INDIRECT EXPENSES","Selling Expenses"))</f>
        <v>#N/A</v>
      </c>
    </row>
    <row r="938" spans="1:18" x14ac:dyDescent="0.2">
      <c r="A938" s="75">
        <v>4468</v>
      </c>
      <c r="B938" s="76" t="s">
        <v>912</v>
      </c>
      <c r="C938" s="76">
        <v>130</v>
      </c>
      <c r="D938" s="76" t="s">
        <v>432</v>
      </c>
      <c r="E938" s="76" t="s">
        <v>426</v>
      </c>
      <c r="F938" s="77">
        <v>656233.64</v>
      </c>
      <c r="G938" s="77">
        <v>45082.28</v>
      </c>
      <c r="H938" s="77">
        <v>701315.92</v>
      </c>
      <c r="I938" s="76" t="s">
        <v>910</v>
      </c>
      <c r="J938" s="77">
        <v>97064.45</v>
      </c>
      <c r="K938" s="78">
        <v>965319.04</v>
      </c>
      <c r="M938" s="79" t="str">
        <f t="shared" si="44"/>
        <v>130-4468</v>
      </c>
      <c r="N938" s="79" t="str">
        <f t="shared" si="42"/>
        <v/>
      </c>
      <c r="O938" s="79" t="str">
        <f t="shared" si="43"/>
        <v>130</v>
      </c>
      <c r="P938" s="79" t="str">
        <f>IFERROR(VLOOKUP($M938,Export!$P:$R,2,FALSE),"-")</f>
        <v>Parts</v>
      </c>
      <c r="Q938" s="79" t="str">
        <f>IFERROR(VLOOKUP($M938,Export!$P:$R,3,FALSE),"-")</f>
        <v>PartsCounter Sales Gross Profit % of Sales</v>
      </c>
      <c r="R938" s="80" t="str" cm="1">
        <f t="array" ref="R938">_xlfn.IFS(P938="Service", _xlfn.IFS(I938="SALES","GP",I938="SERVICE SALES","GP",I938="PARTS SALES","GP",I938="SERVICE COS","GP",I938="PARTS COS","GP",I938="SELLING EXPENSES","Selling Expenses",I938="EMPLOYMENT EXPENSES","Selling Expenses",I938="EMPLOYMENT EXPENSES","Selling Expenses",I938="DIRECT EXPENSES","Selling Expenses",I938="INDIRECT EXPENSES","Selling Expenses"),P938="Parts",_xlfn.IFS(I938="SALES","GP",I938="SERVICE SALES","GP",I938="PARTS SALES","GP",I938="SERVICE COS","GP",I938="PARTS COS","GP",I938="SELLING EXPENSES","Selling Expenses",I938="EMPLOYMENT EXPENSES","Selling Expenses",I938="EMPLOYMENT EXPENSES","Selling Expenses",I938="DIRECT EXPENSES","Selling Expenses",I938="INDIRECT EXPENSES","Selling Expenses"))</f>
        <v>GP</v>
      </c>
    </row>
    <row r="939" spans="1:18" x14ac:dyDescent="0.2">
      <c r="A939" s="75">
        <v>4468</v>
      </c>
      <c r="B939" s="76" t="s">
        <v>912</v>
      </c>
      <c r="C939" s="76">
        <v>230</v>
      </c>
      <c r="D939" s="76" t="s">
        <v>438</v>
      </c>
      <c r="E939" s="76" t="s">
        <v>426</v>
      </c>
      <c r="F939" s="77">
        <v>251425.88</v>
      </c>
      <c r="G939" s="77">
        <v>10286.18</v>
      </c>
      <c r="H939" s="77">
        <v>261712.06</v>
      </c>
      <c r="I939" s="76" t="s">
        <v>910</v>
      </c>
      <c r="J939" s="77">
        <v>35578.769999999997</v>
      </c>
      <c r="K939" s="78">
        <v>322670.94</v>
      </c>
      <c r="M939" s="79" t="str">
        <f t="shared" si="44"/>
        <v>230-4468</v>
      </c>
      <c r="N939" s="79" t="str">
        <f t="shared" si="42"/>
        <v/>
      </c>
      <c r="O939" s="79" t="str">
        <f t="shared" si="43"/>
        <v>230</v>
      </c>
      <c r="P939" s="79" t="str">
        <f>IFERROR(VLOOKUP($M939,Export!$P:$R,2,FALSE),"-")</f>
        <v>Parts</v>
      </c>
      <c r="Q939" s="79" t="str">
        <f>IFERROR(VLOOKUP($M939,Export!$P:$R,3,FALSE),"-")</f>
        <v>PartsCounter Sales Gross Profit % of Sales</v>
      </c>
      <c r="R939" s="80" t="str" cm="1">
        <f t="array" ref="R939">_xlfn.IFS(P939="Service", _xlfn.IFS(I939="SALES","GP",I939="SERVICE SALES","GP",I939="PARTS SALES","GP",I939="SERVICE COS","GP",I939="PARTS COS","GP",I939="SELLING EXPENSES","Selling Expenses",I939="EMPLOYMENT EXPENSES","Selling Expenses",I939="EMPLOYMENT EXPENSES","Selling Expenses",I939="DIRECT EXPENSES","Selling Expenses",I939="INDIRECT EXPENSES","Selling Expenses"),P939="Parts",_xlfn.IFS(I939="SALES","GP",I939="SERVICE SALES","GP",I939="PARTS SALES","GP",I939="SERVICE COS","GP",I939="PARTS COS","GP",I939="SELLING EXPENSES","Selling Expenses",I939="EMPLOYMENT EXPENSES","Selling Expenses",I939="EMPLOYMENT EXPENSES","Selling Expenses",I939="DIRECT EXPENSES","Selling Expenses",I939="INDIRECT EXPENSES","Selling Expenses"))</f>
        <v>GP</v>
      </c>
    </row>
    <row r="940" spans="1:18" x14ac:dyDescent="0.2">
      <c r="A940" s="75">
        <v>4468</v>
      </c>
      <c r="B940" s="76" t="s">
        <v>912</v>
      </c>
      <c r="C940" s="76">
        <v>330</v>
      </c>
      <c r="D940" s="76" t="s">
        <v>457</v>
      </c>
      <c r="E940" s="76" t="s">
        <v>426</v>
      </c>
      <c r="F940" s="77">
        <v>3570.8</v>
      </c>
      <c r="G940" s="287">
        <v>793.56</v>
      </c>
      <c r="H940" s="77">
        <v>4364.3599999999997</v>
      </c>
      <c r="I940" s="76" t="s">
        <v>910</v>
      </c>
      <c r="J940" s="77">
        <v>964.93</v>
      </c>
      <c r="K940" s="78">
        <v>6592.59</v>
      </c>
      <c r="M940" s="79" t="str">
        <f t="shared" si="44"/>
        <v>330-4468</v>
      </c>
      <c r="N940" s="79" t="str">
        <f t="shared" si="42"/>
        <v/>
      </c>
      <c r="O940" s="79" t="str">
        <f t="shared" si="43"/>
        <v>330</v>
      </c>
      <c r="P940" s="79" t="str">
        <f>IFERROR(VLOOKUP($M940,Export!$P:$R,2,FALSE),"-")</f>
        <v>Parts</v>
      </c>
      <c r="Q940" s="79" t="str">
        <f>IFERROR(VLOOKUP($M940,Export!$P:$R,3,FALSE),"-")</f>
        <v>PartsCounter Sales Gross Profit % of Sales</v>
      </c>
      <c r="R940" s="80" t="str" cm="1">
        <f t="array" ref="R940">_xlfn.IFS(P940="Service", _xlfn.IFS(I940="SALES","GP",I940="SERVICE SALES","GP",I940="PARTS SALES","GP",I940="SERVICE COS","GP",I940="PARTS COS","GP",I940="SELLING EXPENSES","Selling Expenses",I940="EMPLOYMENT EXPENSES","Selling Expenses",I940="EMPLOYMENT EXPENSES","Selling Expenses",I940="DIRECT EXPENSES","Selling Expenses",I940="INDIRECT EXPENSES","Selling Expenses"),P940="Parts",_xlfn.IFS(I940="SALES","GP",I940="SERVICE SALES","GP",I940="PARTS SALES","GP",I940="SERVICE COS","GP",I940="PARTS COS","GP",I940="SELLING EXPENSES","Selling Expenses",I940="EMPLOYMENT EXPENSES","Selling Expenses",I940="EMPLOYMENT EXPENSES","Selling Expenses",I940="DIRECT EXPENSES","Selling Expenses",I940="INDIRECT EXPENSES","Selling Expenses"))</f>
        <v>GP</v>
      </c>
    </row>
    <row r="941" spans="1:18" x14ac:dyDescent="0.2">
      <c r="A941" s="75">
        <v>4468</v>
      </c>
      <c r="B941" s="76" t="s">
        <v>912</v>
      </c>
      <c r="C941" s="76">
        <v>430</v>
      </c>
      <c r="D941" s="76" t="s">
        <v>458</v>
      </c>
      <c r="E941" s="76" t="s">
        <v>426</v>
      </c>
      <c r="F941" s="77">
        <v>4396.74</v>
      </c>
      <c r="G941" s="77">
        <v>261.14999999999998</v>
      </c>
      <c r="H941" s="77">
        <v>4657.8900000000003</v>
      </c>
      <c r="I941" s="76" t="s">
        <v>910</v>
      </c>
      <c r="J941" s="77">
        <v>490.59</v>
      </c>
      <c r="K941" s="78">
        <v>3884.06</v>
      </c>
      <c r="M941" s="79" t="str">
        <f t="shared" si="44"/>
        <v>430-4468</v>
      </c>
      <c r="N941" s="79" t="str">
        <f t="shared" si="42"/>
        <v/>
      </c>
      <c r="O941" s="79" t="str">
        <f t="shared" si="43"/>
        <v>430</v>
      </c>
      <c r="P941" s="79" t="str">
        <f>IFERROR(VLOOKUP($M941,Export!$P:$R,2,FALSE),"-")</f>
        <v>Parts</v>
      </c>
      <c r="Q941" s="79" t="str">
        <f>IFERROR(VLOOKUP($M941,Export!$P:$R,3,FALSE),"-")</f>
        <v>PartsCounter Sales Gross Profit % of Sales</v>
      </c>
      <c r="R941" s="80" t="str" cm="1">
        <f t="array" ref="R941">_xlfn.IFS(P941="Service", _xlfn.IFS(I941="SALES","GP",I941="SERVICE SALES","GP",I941="PARTS SALES","GP",I941="SERVICE COS","GP",I941="PARTS COS","GP",I941="SELLING EXPENSES","Selling Expenses",I941="EMPLOYMENT EXPENSES","Selling Expenses",I941="EMPLOYMENT EXPENSES","Selling Expenses",I941="DIRECT EXPENSES","Selling Expenses",I941="INDIRECT EXPENSES","Selling Expenses"),P941="Parts",_xlfn.IFS(I941="SALES","GP",I941="SERVICE SALES","GP",I941="PARTS SALES","GP",I941="SERVICE COS","GP",I941="PARTS COS","GP",I941="SELLING EXPENSES","Selling Expenses",I941="EMPLOYMENT EXPENSES","Selling Expenses",I941="EMPLOYMENT EXPENSES","Selling Expenses",I941="DIRECT EXPENSES","Selling Expenses",I941="INDIRECT EXPENSES","Selling Expenses"))</f>
        <v>GP</v>
      </c>
    </row>
    <row r="942" spans="1:18" x14ac:dyDescent="0.2">
      <c r="A942" s="75">
        <v>4468</v>
      </c>
      <c r="B942" s="76" t="s">
        <v>912</v>
      </c>
      <c r="C942" s="76">
        <v>936</v>
      </c>
      <c r="D942" s="76" t="s">
        <v>443</v>
      </c>
      <c r="E942" s="76" t="s">
        <v>426</v>
      </c>
      <c r="F942" s="77">
        <v>1267</v>
      </c>
      <c r="G942" s="287">
        <v>0</v>
      </c>
      <c r="H942" s="77">
        <v>1267</v>
      </c>
      <c r="I942" s="76" t="s">
        <v>910</v>
      </c>
      <c r="J942" s="77">
        <v>0</v>
      </c>
      <c r="K942" s="78">
        <v>0</v>
      </c>
      <c r="M942" s="79" t="str">
        <f t="shared" si="44"/>
        <v>936-4468</v>
      </c>
      <c r="N942" s="79" t="str">
        <f t="shared" si="42"/>
        <v/>
      </c>
      <c r="O942" s="79" t="str">
        <f t="shared" si="43"/>
        <v>936</v>
      </c>
      <c r="P942" s="79" t="str">
        <f>IFERROR(VLOOKUP($M942,Export!$P:$R,2,FALSE),"-")</f>
        <v>Bridgestone</v>
      </c>
      <c r="Q942" s="79" t="str">
        <f>IFERROR(VLOOKUP($M942,Export!$P:$R,3,FALSE),"-")</f>
        <v>BridgestoneCounter Sales Gross Profit % of Sales</v>
      </c>
      <c r="R942" s="80" t="e" cm="1">
        <f t="array" ref="R942">_xlfn.IFS(P942="Service", _xlfn.IFS(I942="SALES","GP",I942="SERVICE SALES","GP",I942="PARTS SALES","GP",I942="SERVICE COS","GP",I942="PARTS COS","GP",I942="SELLING EXPENSES","Selling Expenses",I942="EMPLOYMENT EXPENSES","Selling Expenses",I942="EMPLOYMENT EXPENSES","Selling Expenses",I942="DIRECT EXPENSES","Selling Expenses",I942="INDIRECT EXPENSES","Selling Expenses"),P942="Parts",_xlfn.IFS(I942="SALES","GP",I942="SERVICE SALES","GP",I942="PARTS SALES","GP",I942="SERVICE COS","GP",I942="PARTS COS","GP",I942="SELLING EXPENSES","Selling Expenses",I942="EMPLOYMENT EXPENSES","Selling Expenses",I942="EMPLOYMENT EXPENSES","Selling Expenses",I942="DIRECT EXPENSES","Selling Expenses",I942="INDIRECT EXPENSES","Selling Expenses"))</f>
        <v>#N/A</v>
      </c>
    </row>
    <row r="943" spans="1:18" x14ac:dyDescent="0.2">
      <c r="A943" s="75">
        <v>4475</v>
      </c>
      <c r="B943" s="76" t="s">
        <v>107</v>
      </c>
      <c r="C943" s="76">
        <v>130</v>
      </c>
      <c r="D943" s="76" t="s">
        <v>432</v>
      </c>
      <c r="E943" s="76" t="s">
        <v>426</v>
      </c>
      <c r="F943" s="77">
        <v>686421.88</v>
      </c>
      <c r="G943" s="77">
        <v>73539.509999999995</v>
      </c>
      <c r="H943" s="77">
        <v>759961.39</v>
      </c>
      <c r="I943" s="76" t="s">
        <v>910</v>
      </c>
      <c r="J943" s="77">
        <v>96141.38</v>
      </c>
      <c r="K943" s="78">
        <v>952490.68</v>
      </c>
      <c r="M943" s="79" t="str">
        <f t="shared" si="44"/>
        <v>130-4475</v>
      </c>
      <c r="N943" s="79" t="str">
        <f t="shared" si="42"/>
        <v/>
      </c>
      <c r="O943" s="79" t="str">
        <f t="shared" si="43"/>
        <v>130</v>
      </c>
      <c r="P943" s="79" t="str">
        <f>IFERROR(VLOOKUP($M943,Export!$P:$R,2,FALSE),"-")</f>
        <v>Parts</v>
      </c>
      <c r="Q943" s="79" t="str">
        <f>IFERROR(VLOOKUP($M943,Export!$P:$R,3,FALSE),"-")</f>
        <v>PartsWorkshop Retail Sales Gross Profit % of Sales</v>
      </c>
      <c r="R943" s="80" t="str" cm="1">
        <f t="array" ref="R943">_xlfn.IFS(P943="Service", _xlfn.IFS(I943="SALES","GP",I943="SERVICE SALES","GP",I943="PARTS SALES","GP",I943="SERVICE COS","GP",I943="PARTS COS","GP",I943="SELLING EXPENSES","Selling Expenses",I943="EMPLOYMENT EXPENSES","Selling Expenses",I943="EMPLOYMENT EXPENSES","Selling Expenses",I943="DIRECT EXPENSES","Selling Expenses",I943="INDIRECT EXPENSES","Selling Expenses"),P943="Parts",_xlfn.IFS(I943="SALES","GP",I943="SERVICE SALES","GP",I943="PARTS SALES","GP",I943="SERVICE COS","GP",I943="PARTS COS","GP",I943="SELLING EXPENSES","Selling Expenses",I943="EMPLOYMENT EXPENSES","Selling Expenses",I943="EMPLOYMENT EXPENSES","Selling Expenses",I943="DIRECT EXPENSES","Selling Expenses",I943="INDIRECT EXPENSES","Selling Expenses"))</f>
        <v>GP</v>
      </c>
    </row>
    <row r="944" spans="1:18" x14ac:dyDescent="0.2">
      <c r="A944" s="75">
        <v>4475</v>
      </c>
      <c r="B944" s="76" t="s">
        <v>107</v>
      </c>
      <c r="C944" s="76">
        <v>132</v>
      </c>
      <c r="D944" s="76" t="s">
        <v>453</v>
      </c>
      <c r="E944" s="76" t="s">
        <v>426</v>
      </c>
      <c r="F944" s="77">
        <v>78687.570000000007</v>
      </c>
      <c r="G944" s="77">
        <v>9046.98</v>
      </c>
      <c r="H944" s="77">
        <v>87734.55</v>
      </c>
      <c r="I944" s="76" t="s">
        <v>910</v>
      </c>
      <c r="J944" s="77">
        <v>0</v>
      </c>
      <c r="K944" s="78">
        <v>9545.5400000000009</v>
      </c>
      <c r="M944" s="79" t="str">
        <f t="shared" si="44"/>
        <v>132-4475</v>
      </c>
      <c r="N944" s="79" t="str">
        <f t="shared" si="42"/>
        <v/>
      </c>
      <c r="O944" s="79" t="str">
        <f t="shared" si="43"/>
        <v>132</v>
      </c>
      <c r="P944" s="79" t="str">
        <f>IFERROR(VLOOKUP($M944,Export!$P:$R,2,FALSE),"-")</f>
        <v>LEX Parts</v>
      </c>
      <c r="Q944" s="79" t="str">
        <f>IFERROR(VLOOKUP($M944,Export!$P:$R,3,FALSE),"-")</f>
        <v>LEX PartsWorkshop Retail Sales Gross Profit % of Sales</v>
      </c>
      <c r="R944" s="80" t="e" cm="1">
        <f t="array" ref="R944">_xlfn.IFS(P944="Service", _xlfn.IFS(I944="SALES","GP",I944="SERVICE SALES","GP",I944="PARTS SALES","GP",I944="SERVICE COS","GP",I944="PARTS COS","GP",I944="SELLING EXPENSES","Selling Expenses",I944="EMPLOYMENT EXPENSES","Selling Expenses",I944="EMPLOYMENT EXPENSES","Selling Expenses",I944="DIRECT EXPENSES","Selling Expenses",I944="INDIRECT EXPENSES","Selling Expenses"),P944="Parts",_xlfn.IFS(I944="SALES","GP",I944="SERVICE SALES","GP",I944="PARTS SALES","GP",I944="SERVICE COS","GP",I944="PARTS COS","GP",I944="SELLING EXPENSES","Selling Expenses",I944="EMPLOYMENT EXPENSES","Selling Expenses",I944="EMPLOYMENT EXPENSES","Selling Expenses",I944="DIRECT EXPENSES","Selling Expenses",I944="INDIRECT EXPENSES","Selling Expenses"))</f>
        <v>#N/A</v>
      </c>
    </row>
    <row r="945" spans="1:18" x14ac:dyDescent="0.2">
      <c r="A945" s="75">
        <v>4475</v>
      </c>
      <c r="B945" s="76" t="s">
        <v>107</v>
      </c>
      <c r="C945" s="76">
        <v>230</v>
      </c>
      <c r="D945" s="76" t="s">
        <v>438</v>
      </c>
      <c r="E945" s="76" t="s">
        <v>426</v>
      </c>
      <c r="F945" s="77">
        <v>274733.46999999997</v>
      </c>
      <c r="G945" s="77">
        <v>22147.86</v>
      </c>
      <c r="H945" s="77">
        <v>296881.33</v>
      </c>
      <c r="I945" s="76" t="s">
        <v>910</v>
      </c>
      <c r="J945" s="77">
        <v>33308.949999999997</v>
      </c>
      <c r="K945" s="78">
        <v>313007.57</v>
      </c>
      <c r="M945" s="79" t="str">
        <f t="shared" si="44"/>
        <v>230-4475</v>
      </c>
      <c r="N945" s="79" t="str">
        <f t="shared" si="42"/>
        <v/>
      </c>
      <c r="O945" s="79" t="str">
        <f t="shared" si="43"/>
        <v>230</v>
      </c>
      <c r="P945" s="79" t="str">
        <f>IFERROR(VLOOKUP($M945,Export!$P:$R,2,FALSE),"-")</f>
        <v>Parts</v>
      </c>
      <c r="Q945" s="79" t="str">
        <f>IFERROR(VLOOKUP($M945,Export!$P:$R,3,FALSE),"-")</f>
        <v>PartsWorkshop Retail Sales Gross Profit % of Sales</v>
      </c>
      <c r="R945" s="80" t="str" cm="1">
        <f t="array" ref="R945">_xlfn.IFS(P945="Service", _xlfn.IFS(I945="SALES","GP",I945="SERVICE SALES","GP",I945="PARTS SALES","GP",I945="SERVICE COS","GP",I945="PARTS COS","GP",I945="SELLING EXPENSES","Selling Expenses",I945="EMPLOYMENT EXPENSES","Selling Expenses",I945="EMPLOYMENT EXPENSES","Selling Expenses",I945="DIRECT EXPENSES","Selling Expenses",I945="INDIRECT EXPENSES","Selling Expenses"),P945="Parts",_xlfn.IFS(I945="SALES","GP",I945="SERVICE SALES","GP",I945="PARTS SALES","GP",I945="SERVICE COS","GP",I945="PARTS COS","GP",I945="SELLING EXPENSES","Selling Expenses",I945="EMPLOYMENT EXPENSES","Selling Expenses",I945="EMPLOYMENT EXPENSES","Selling Expenses",I945="DIRECT EXPENSES","Selling Expenses",I945="INDIRECT EXPENSES","Selling Expenses"))</f>
        <v>GP</v>
      </c>
    </row>
    <row r="946" spans="1:18" x14ac:dyDescent="0.2">
      <c r="A946" s="75">
        <v>4475</v>
      </c>
      <c r="B946" s="76" t="s">
        <v>107</v>
      </c>
      <c r="C946" s="76">
        <v>330</v>
      </c>
      <c r="D946" s="76" t="s">
        <v>457</v>
      </c>
      <c r="E946" s="76" t="s">
        <v>426</v>
      </c>
      <c r="F946" s="77">
        <v>201236.98</v>
      </c>
      <c r="G946" s="77">
        <v>26435.81</v>
      </c>
      <c r="H946" s="77">
        <v>227672.79</v>
      </c>
      <c r="I946" s="76" t="s">
        <v>910</v>
      </c>
      <c r="J946" s="77">
        <v>24674.19</v>
      </c>
      <c r="K946" s="78">
        <v>223946.99</v>
      </c>
      <c r="M946" s="79" t="str">
        <f t="shared" si="44"/>
        <v>330-4475</v>
      </c>
      <c r="N946" s="79" t="str">
        <f t="shared" si="42"/>
        <v/>
      </c>
      <c r="O946" s="79" t="str">
        <f t="shared" si="43"/>
        <v>330</v>
      </c>
      <c r="P946" s="79" t="str">
        <f>IFERROR(VLOOKUP($M946,Export!$P:$R,2,FALSE),"-")</f>
        <v>Parts</v>
      </c>
      <c r="Q946" s="79" t="str">
        <f>IFERROR(VLOOKUP($M946,Export!$P:$R,3,FALSE),"-")</f>
        <v>PartsWorkshop Retail Sales Gross Profit % of Sales</v>
      </c>
      <c r="R946" s="80" t="str" cm="1">
        <f t="array" ref="R946">_xlfn.IFS(P946="Service", _xlfn.IFS(I946="SALES","GP",I946="SERVICE SALES","GP",I946="PARTS SALES","GP",I946="SERVICE COS","GP",I946="PARTS COS","GP",I946="SELLING EXPENSES","Selling Expenses",I946="EMPLOYMENT EXPENSES","Selling Expenses",I946="EMPLOYMENT EXPENSES","Selling Expenses",I946="DIRECT EXPENSES","Selling Expenses",I946="INDIRECT EXPENSES","Selling Expenses"),P946="Parts",_xlfn.IFS(I946="SALES","GP",I946="SERVICE SALES","GP",I946="PARTS SALES","GP",I946="SERVICE COS","GP",I946="PARTS COS","GP",I946="SELLING EXPENSES","Selling Expenses",I946="EMPLOYMENT EXPENSES","Selling Expenses",I946="EMPLOYMENT EXPENSES","Selling Expenses",I946="DIRECT EXPENSES","Selling Expenses",I946="INDIRECT EXPENSES","Selling Expenses"))</f>
        <v>GP</v>
      </c>
    </row>
    <row r="947" spans="1:18" x14ac:dyDescent="0.2">
      <c r="A947" s="75">
        <v>4475</v>
      </c>
      <c r="B947" s="76" t="s">
        <v>107</v>
      </c>
      <c r="C947" s="76">
        <v>430</v>
      </c>
      <c r="D947" s="76" t="s">
        <v>458</v>
      </c>
      <c r="E947" s="76" t="s">
        <v>426</v>
      </c>
      <c r="F947" s="77">
        <v>150699.60999999999</v>
      </c>
      <c r="G947" s="77">
        <v>13141.88</v>
      </c>
      <c r="H947" s="77">
        <v>163841.49</v>
      </c>
      <c r="I947" s="76" t="s">
        <v>910</v>
      </c>
      <c r="J947" s="77">
        <v>10111.32</v>
      </c>
      <c r="K947" s="78">
        <v>95047.18</v>
      </c>
      <c r="M947" s="79" t="str">
        <f t="shared" si="44"/>
        <v>430-4475</v>
      </c>
      <c r="N947" s="79" t="str">
        <f t="shared" si="42"/>
        <v/>
      </c>
      <c r="O947" s="79" t="str">
        <f t="shared" si="43"/>
        <v>430</v>
      </c>
      <c r="P947" s="79" t="str">
        <f>IFERROR(VLOOKUP($M947,Export!$P:$R,2,FALSE),"-")</f>
        <v>Parts</v>
      </c>
      <c r="Q947" s="79" t="str">
        <f>IFERROR(VLOOKUP($M947,Export!$P:$R,3,FALSE),"-")</f>
        <v>PartsWorkshop Retail Sales Gross Profit % of Sales</v>
      </c>
      <c r="R947" s="80" t="str" cm="1">
        <f t="array" ref="R947">_xlfn.IFS(P947="Service", _xlfn.IFS(I947="SALES","GP",I947="SERVICE SALES","GP",I947="PARTS SALES","GP",I947="SERVICE COS","GP",I947="PARTS COS","GP",I947="SELLING EXPENSES","Selling Expenses",I947="EMPLOYMENT EXPENSES","Selling Expenses",I947="EMPLOYMENT EXPENSES","Selling Expenses",I947="DIRECT EXPENSES","Selling Expenses",I947="INDIRECT EXPENSES","Selling Expenses"),P947="Parts",_xlfn.IFS(I947="SALES","GP",I947="SERVICE SALES","GP",I947="PARTS SALES","GP",I947="SERVICE COS","GP",I947="PARTS COS","GP",I947="SELLING EXPENSES","Selling Expenses",I947="EMPLOYMENT EXPENSES","Selling Expenses",I947="EMPLOYMENT EXPENSES","Selling Expenses",I947="DIRECT EXPENSES","Selling Expenses",I947="INDIRECT EXPENSES","Selling Expenses"))</f>
        <v>GP</v>
      </c>
    </row>
    <row r="948" spans="1:18" x14ac:dyDescent="0.2">
      <c r="A948" s="75">
        <v>4475</v>
      </c>
      <c r="B948" s="76" t="s">
        <v>107</v>
      </c>
      <c r="C948" s="76">
        <v>935</v>
      </c>
      <c r="D948" s="76" t="s">
        <v>442</v>
      </c>
      <c r="E948" s="76" t="s">
        <v>426</v>
      </c>
      <c r="F948" s="77">
        <v>7090.61</v>
      </c>
      <c r="G948" s="77">
        <v>1593.76</v>
      </c>
      <c r="H948" s="77">
        <v>8684.3700000000008</v>
      </c>
      <c r="I948" s="76" t="s">
        <v>910</v>
      </c>
      <c r="J948" s="77">
        <v>0</v>
      </c>
      <c r="K948" s="78">
        <v>5298.23</v>
      </c>
      <c r="M948" s="79" t="str">
        <f t="shared" si="44"/>
        <v>935-4475</v>
      </c>
      <c r="N948" s="79" t="str">
        <f t="shared" si="42"/>
        <v/>
      </c>
      <c r="O948" s="79" t="str">
        <f t="shared" si="43"/>
        <v>935</v>
      </c>
      <c r="P948" s="79" t="str">
        <f>IFERROR(VLOOKUP($M948,Export!$P:$R,2,FALSE),"-")</f>
        <v>Bridgestone</v>
      </c>
      <c r="Q948" s="79" t="str">
        <f>IFERROR(VLOOKUP($M948,Export!$P:$R,3,FALSE),"-")</f>
        <v>BridgestoneWorkshop Retail Sales Gross Profit % of Sales</v>
      </c>
      <c r="R948" s="80" t="e" cm="1">
        <f t="array" ref="R948">_xlfn.IFS(P948="Service", _xlfn.IFS(I948="SALES","GP",I948="SERVICE SALES","GP",I948="PARTS SALES","GP",I948="SERVICE COS","GP",I948="PARTS COS","GP",I948="SELLING EXPENSES","Selling Expenses",I948="EMPLOYMENT EXPENSES","Selling Expenses",I948="EMPLOYMENT EXPENSES","Selling Expenses",I948="DIRECT EXPENSES","Selling Expenses",I948="INDIRECT EXPENSES","Selling Expenses"),P948="Parts",_xlfn.IFS(I948="SALES","GP",I948="SERVICE SALES","GP",I948="PARTS SALES","GP",I948="SERVICE COS","GP",I948="PARTS COS","GP",I948="SELLING EXPENSES","Selling Expenses",I948="EMPLOYMENT EXPENSES","Selling Expenses",I948="EMPLOYMENT EXPENSES","Selling Expenses",I948="DIRECT EXPENSES","Selling Expenses",I948="INDIRECT EXPENSES","Selling Expenses"))</f>
        <v>#N/A</v>
      </c>
    </row>
    <row r="949" spans="1:18" x14ac:dyDescent="0.2">
      <c r="A949" s="75">
        <v>4475</v>
      </c>
      <c r="B949" s="76" t="s">
        <v>107</v>
      </c>
      <c r="C949" s="76">
        <v>936</v>
      </c>
      <c r="D949" s="76" t="s">
        <v>443</v>
      </c>
      <c r="E949" s="76" t="s">
        <v>426</v>
      </c>
      <c r="F949" s="77">
        <v>5904.21</v>
      </c>
      <c r="G949" s="77">
        <v>93.57</v>
      </c>
      <c r="H949" s="77">
        <v>5997.78</v>
      </c>
      <c r="I949" s="76" t="s">
        <v>910</v>
      </c>
      <c r="J949" s="77">
        <v>0</v>
      </c>
      <c r="K949" s="78">
        <v>306.95999999999998</v>
      </c>
      <c r="M949" s="79" t="str">
        <f t="shared" si="44"/>
        <v>936-4475</v>
      </c>
      <c r="N949" s="79" t="str">
        <f t="shared" si="42"/>
        <v/>
      </c>
      <c r="O949" s="79" t="str">
        <f t="shared" si="43"/>
        <v>936</v>
      </c>
      <c r="P949" s="79" t="str">
        <f>IFERROR(VLOOKUP($M949,Export!$P:$R,2,FALSE),"-")</f>
        <v>Bridgestone</v>
      </c>
      <c r="Q949" s="79" t="str">
        <f>IFERROR(VLOOKUP($M949,Export!$P:$R,3,FALSE),"-")</f>
        <v>BridgestoneWorkshop Retail Sales Gross Profit % of Sales</v>
      </c>
      <c r="R949" s="80" t="e" cm="1">
        <f t="array" ref="R949">_xlfn.IFS(P949="Service", _xlfn.IFS(I949="SALES","GP",I949="SERVICE SALES","GP",I949="PARTS SALES","GP",I949="SERVICE COS","GP",I949="PARTS COS","GP",I949="SELLING EXPENSES","Selling Expenses",I949="EMPLOYMENT EXPENSES","Selling Expenses",I949="EMPLOYMENT EXPENSES","Selling Expenses",I949="DIRECT EXPENSES","Selling Expenses",I949="INDIRECT EXPENSES","Selling Expenses"),P949="Parts",_xlfn.IFS(I949="SALES","GP",I949="SERVICE SALES","GP",I949="PARTS SALES","GP",I949="SERVICE COS","GP",I949="PARTS COS","GP",I949="SELLING EXPENSES","Selling Expenses",I949="EMPLOYMENT EXPENSES","Selling Expenses",I949="EMPLOYMENT EXPENSES","Selling Expenses",I949="DIRECT EXPENSES","Selling Expenses",I949="INDIRECT EXPENSES","Selling Expenses"))</f>
        <v>#N/A</v>
      </c>
    </row>
    <row r="950" spans="1:18" x14ac:dyDescent="0.2">
      <c r="A950" s="75">
        <v>4480</v>
      </c>
      <c r="B950" s="76" t="s">
        <v>913</v>
      </c>
      <c r="C950" s="76">
        <v>130</v>
      </c>
      <c r="D950" s="76" t="s">
        <v>432</v>
      </c>
      <c r="E950" s="76" t="s">
        <v>426</v>
      </c>
      <c r="F950" s="77">
        <v>78948.399999999994</v>
      </c>
      <c r="G950" s="77">
        <v>7145.25</v>
      </c>
      <c r="H950" s="77">
        <v>86093.65</v>
      </c>
      <c r="I950" s="76" t="s">
        <v>910</v>
      </c>
      <c r="J950" s="77">
        <v>0</v>
      </c>
      <c r="K950" s="78">
        <v>40153.120000000003</v>
      </c>
      <c r="M950" s="79" t="str">
        <f t="shared" si="44"/>
        <v>130-4480</v>
      </c>
      <c r="N950" s="79" t="str">
        <f t="shared" si="42"/>
        <v/>
      </c>
      <c r="O950" s="79" t="str">
        <f t="shared" si="43"/>
        <v>130</v>
      </c>
      <c r="P950" s="79" t="str">
        <f>IFERROR(VLOOKUP($M950,Export!$P:$R,2,FALSE),"-")</f>
        <v>Parts</v>
      </c>
      <c r="Q950" s="79" t="str">
        <f>IFERROR(VLOOKUP($M950,Export!$P:$R,3,FALSE),"-")</f>
        <v>PartsWorkshop Retail Sales Gross Profit % of Sales</v>
      </c>
      <c r="R950" s="80" t="str" cm="1">
        <f t="array" ref="R950">_xlfn.IFS(P950="Service", _xlfn.IFS(I950="SALES","GP",I950="SERVICE SALES","GP",I950="PARTS SALES","GP",I950="SERVICE COS","GP",I950="PARTS COS","GP",I950="SELLING EXPENSES","Selling Expenses",I950="EMPLOYMENT EXPENSES","Selling Expenses",I950="EMPLOYMENT EXPENSES","Selling Expenses",I950="DIRECT EXPENSES","Selling Expenses",I950="INDIRECT EXPENSES","Selling Expenses"),P950="Parts",_xlfn.IFS(I950="SALES","GP",I950="SERVICE SALES","GP",I950="PARTS SALES","GP",I950="SERVICE COS","GP",I950="PARTS COS","GP",I950="SELLING EXPENSES","Selling Expenses",I950="EMPLOYMENT EXPENSES","Selling Expenses",I950="EMPLOYMENT EXPENSES","Selling Expenses",I950="DIRECT EXPENSES","Selling Expenses",I950="INDIRECT EXPENSES","Selling Expenses"))</f>
        <v>GP</v>
      </c>
    </row>
    <row r="951" spans="1:18" x14ac:dyDescent="0.2">
      <c r="A951" s="75">
        <v>4480</v>
      </c>
      <c r="B951" s="76" t="s">
        <v>913</v>
      </c>
      <c r="C951" s="76">
        <v>230</v>
      </c>
      <c r="D951" s="76" t="s">
        <v>438</v>
      </c>
      <c r="E951" s="76" t="s">
        <v>426</v>
      </c>
      <c r="F951" s="77">
        <v>42584.61</v>
      </c>
      <c r="G951" s="77">
        <v>2356</v>
      </c>
      <c r="H951" s="77">
        <v>44940.61</v>
      </c>
      <c r="I951" s="76" t="s">
        <v>910</v>
      </c>
      <c r="J951" s="77">
        <v>0</v>
      </c>
      <c r="K951" s="78">
        <v>16146.42</v>
      </c>
      <c r="M951" s="79" t="str">
        <f t="shared" si="44"/>
        <v>230-4480</v>
      </c>
      <c r="N951" s="79" t="str">
        <f t="shared" si="42"/>
        <v/>
      </c>
      <c r="O951" s="79" t="str">
        <f t="shared" si="43"/>
        <v>230</v>
      </c>
      <c r="P951" s="79" t="str">
        <f>IFERROR(VLOOKUP($M951,Export!$P:$R,2,FALSE),"-")</f>
        <v>Parts</v>
      </c>
      <c r="Q951" s="79" t="str">
        <f>IFERROR(VLOOKUP($M951,Export!$P:$R,3,FALSE),"-")</f>
        <v>PartsWorkshop Retail Sales Gross Profit % of Sales</v>
      </c>
      <c r="R951" s="80" t="str" cm="1">
        <f t="array" ref="R951">_xlfn.IFS(P951="Service", _xlfn.IFS(I951="SALES","GP",I951="SERVICE SALES","GP",I951="PARTS SALES","GP",I951="SERVICE COS","GP",I951="PARTS COS","GP",I951="SELLING EXPENSES","Selling Expenses",I951="EMPLOYMENT EXPENSES","Selling Expenses",I951="EMPLOYMENT EXPENSES","Selling Expenses",I951="DIRECT EXPENSES","Selling Expenses",I951="INDIRECT EXPENSES","Selling Expenses"),P951="Parts",_xlfn.IFS(I951="SALES","GP",I951="SERVICE SALES","GP",I951="PARTS SALES","GP",I951="SERVICE COS","GP",I951="PARTS COS","GP",I951="SELLING EXPENSES","Selling Expenses",I951="EMPLOYMENT EXPENSES","Selling Expenses",I951="EMPLOYMENT EXPENSES","Selling Expenses",I951="DIRECT EXPENSES","Selling Expenses",I951="INDIRECT EXPENSES","Selling Expenses"))</f>
        <v>GP</v>
      </c>
    </row>
    <row r="952" spans="1:18" x14ac:dyDescent="0.2">
      <c r="A952" s="75">
        <v>4480</v>
      </c>
      <c r="B952" s="76" t="s">
        <v>913</v>
      </c>
      <c r="C952" s="76">
        <v>330</v>
      </c>
      <c r="D952" s="76" t="s">
        <v>457</v>
      </c>
      <c r="E952" s="76" t="s">
        <v>426</v>
      </c>
      <c r="F952" s="77">
        <v>35905.42</v>
      </c>
      <c r="G952" s="77">
        <v>12404.03</v>
      </c>
      <c r="H952" s="77">
        <v>48309.45</v>
      </c>
      <c r="I952" s="76" t="s">
        <v>910</v>
      </c>
      <c r="J952" s="77">
        <v>0</v>
      </c>
      <c r="K952" s="78">
        <v>24086.639999999999</v>
      </c>
      <c r="M952" s="79" t="str">
        <f t="shared" si="44"/>
        <v>330-4480</v>
      </c>
      <c r="N952" s="79" t="str">
        <f t="shared" si="42"/>
        <v/>
      </c>
      <c r="O952" s="79" t="str">
        <f t="shared" si="43"/>
        <v>330</v>
      </c>
      <c r="P952" s="79" t="str">
        <f>IFERROR(VLOOKUP($M952,Export!$P:$R,2,FALSE),"-")</f>
        <v>Parts</v>
      </c>
      <c r="Q952" s="79" t="str">
        <f>IFERROR(VLOOKUP($M952,Export!$P:$R,3,FALSE),"-")</f>
        <v>PartsWorkshop Retail Sales Gross Profit % of Sales</v>
      </c>
      <c r="R952" s="80" t="str" cm="1">
        <f t="array" ref="R952">_xlfn.IFS(P952="Service", _xlfn.IFS(I952="SALES","GP",I952="SERVICE SALES","GP",I952="PARTS SALES","GP",I952="SERVICE COS","GP",I952="PARTS COS","GP",I952="SELLING EXPENSES","Selling Expenses",I952="EMPLOYMENT EXPENSES","Selling Expenses",I952="EMPLOYMENT EXPENSES","Selling Expenses",I952="DIRECT EXPENSES","Selling Expenses",I952="INDIRECT EXPENSES","Selling Expenses"),P952="Parts",_xlfn.IFS(I952="SALES","GP",I952="SERVICE SALES","GP",I952="PARTS SALES","GP",I952="SERVICE COS","GP",I952="PARTS COS","GP",I952="SELLING EXPENSES","Selling Expenses",I952="EMPLOYMENT EXPENSES","Selling Expenses",I952="EMPLOYMENT EXPENSES","Selling Expenses",I952="DIRECT EXPENSES","Selling Expenses",I952="INDIRECT EXPENSES","Selling Expenses"))</f>
        <v>GP</v>
      </c>
    </row>
    <row r="953" spans="1:18" x14ac:dyDescent="0.2">
      <c r="A953" s="75">
        <v>4480</v>
      </c>
      <c r="B953" s="76" t="s">
        <v>913</v>
      </c>
      <c r="C953" s="76">
        <v>430</v>
      </c>
      <c r="D953" s="76" t="s">
        <v>458</v>
      </c>
      <c r="E953" s="76" t="s">
        <v>426</v>
      </c>
      <c r="F953" s="77">
        <v>10438.17</v>
      </c>
      <c r="G953" s="77">
        <v>1453.91</v>
      </c>
      <c r="H953" s="77">
        <v>11892.08</v>
      </c>
      <c r="I953" s="76" t="s">
        <v>910</v>
      </c>
      <c r="J953" s="77">
        <v>0</v>
      </c>
      <c r="K953" s="78">
        <v>3095.62</v>
      </c>
      <c r="M953" s="79" t="str">
        <f t="shared" si="44"/>
        <v>430-4480</v>
      </c>
      <c r="N953" s="79" t="str">
        <f t="shared" si="42"/>
        <v/>
      </c>
      <c r="O953" s="79" t="str">
        <f t="shared" si="43"/>
        <v>430</v>
      </c>
      <c r="P953" s="79" t="str">
        <f>IFERROR(VLOOKUP($M953,Export!$P:$R,2,FALSE),"-")</f>
        <v>Parts</v>
      </c>
      <c r="Q953" s="79" t="str">
        <f>IFERROR(VLOOKUP($M953,Export!$P:$R,3,FALSE),"-")</f>
        <v>PartsWorkshop Retail Sales Gross Profit % of Sales</v>
      </c>
      <c r="R953" s="80" t="str" cm="1">
        <f t="array" ref="R953">_xlfn.IFS(P953="Service", _xlfn.IFS(I953="SALES","GP",I953="SERVICE SALES","GP",I953="PARTS SALES","GP",I953="SERVICE COS","GP",I953="PARTS COS","GP",I953="SELLING EXPENSES","Selling Expenses",I953="EMPLOYMENT EXPENSES","Selling Expenses",I953="EMPLOYMENT EXPENSES","Selling Expenses",I953="DIRECT EXPENSES","Selling Expenses",I953="INDIRECT EXPENSES","Selling Expenses"),P953="Parts",_xlfn.IFS(I953="SALES","GP",I953="SERVICE SALES","GP",I953="PARTS SALES","GP",I953="SERVICE COS","GP",I953="PARTS COS","GP",I953="SELLING EXPENSES","Selling Expenses",I953="EMPLOYMENT EXPENSES","Selling Expenses",I953="EMPLOYMENT EXPENSES","Selling Expenses",I953="DIRECT EXPENSES","Selling Expenses",I953="INDIRECT EXPENSES","Selling Expenses"))</f>
        <v>GP</v>
      </c>
    </row>
    <row r="954" spans="1:18" x14ac:dyDescent="0.2">
      <c r="A954" s="75">
        <v>4481</v>
      </c>
      <c r="B954" s="76" t="s">
        <v>914</v>
      </c>
      <c r="C954" s="76">
        <v>130</v>
      </c>
      <c r="D954" s="76" t="s">
        <v>432</v>
      </c>
      <c r="E954" s="76" t="s">
        <v>426</v>
      </c>
      <c r="F954" s="77">
        <v>5307.3</v>
      </c>
      <c r="G954" s="77">
        <v>0</v>
      </c>
      <c r="H954" s="77">
        <v>5307.3</v>
      </c>
      <c r="I954" s="76" t="s">
        <v>910</v>
      </c>
      <c r="J954" s="77">
        <v>0</v>
      </c>
      <c r="K954" s="78">
        <v>956.87</v>
      </c>
      <c r="M954" s="79" t="str">
        <f t="shared" si="44"/>
        <v>130-4481</v>
      </c>
      <c r="N954" s="79" t="str">
        <f t="shared" si="42"/>
        <v/>
      </c>
      <c r="O954" s="79" t="str">
        <f t="shared" si="43"/>
        <v>130</v>
      </c>
      <c r="P954" s="79" t="str">
        <f>IFERROR(VLOOKUP($M954,Export!$P:$R,2,FALSE),"-")</f>
        <v>Parts</v>
      </c>
      <c r="Q954" s="79" t="str">
        <f>IFERROR(VLOOKUP($M954,Export!$P:$R,3,FALSE),"-")</f>
        <v>PartsWorkshop Retail Sales Gross Profit % of Sales</v>
      </c>
      <c r="R954" s="80" t="str" cm="1">
        <f t="array" ref="R954">_xlfn.IFS(P954="Service", _xlfn.IFS(I954="SALES","GP",I954="SERVICE SALES","GP",I954="PARTS SALES","GP",I954="SERVICE COS","GP",I954="PARTS COS","GP",I954="SELLING EXPENSES","Selling Expenses",I954="EMPLOYMENT EXPENSES","Selling Expenses",I954="EMPLOYMENT EXPENSES","Selling Expenses",I954="DIRECT EXPENSES","Selling Expenses",I954="INDIRECT EXPENSES","Selling Expenses"),P954="Parts",_xlfn.IFS(I954="SALES","GP",I954="SERVICE SALES","GP",I954="PARTS SALES","GP",I954="SERVICE COS","GP",I954="PARTS COS","GP",I954="SELLING EXPENSES","Selling Expenses",I954="EMPLOYMENT EXPENSES","Selling Expenses",I954="EMPLOYMENT EXPENSES","Selling Expenses",I954="DIRECT EXPENSES","Selling Expenses",I954="INDIRECT EXPENSES","Selling Expenses"))</f>
        <v>GP</v>
      </c>
    </row>
    <row r="955" spans="1:18" x14ac:dyDescent="0.2">
      <c r="A955" s="75">
        <v>4481</v>
      </c>
      <c r="B955" s="76" t="s">
        <v>914</v>
      </c>
      <c r="C955" s="76">
        <v>230</v>
      </c>
      <c r="D955" s="76" t="s">
        <v>438</v>
      </c>
      <c r="E955" s="76" t="s">
        <v>426</v>
      </c>
      <c r="F955" s="77">
        <v>3850.18</v>
      </c>
      <c r="G955" s="287">
        <v>0</v>
      </c>
      <c r="H955" s="77">
        <v>3850.18</v>
      </c>
      <c r="I955" s="76" t="s">
        <v>910</v>
      </c>
      <c r="J955" s="77">
        <v>0</v>
      </c>
      <c r="K955" s="78">
        <v>1471.15</v>
      </c>
      <c r="M955" s="79" t="str">
        <f t="shared" si="44"/>
        <v>230-4481</v>
      </c>
      <c r="N955" s="79" t="str">
        <f t="shared" si="42"/>
        <v/>
      </c>
      <c r="O955" s="79" t="str">
        <f t="shared" si="43"/>
        <v>230</v>
      </c>
      <c r="P955" s="79" t="str">
        <f>IFERROR(VLOOKUP($M955,Export!$P:$R,2,FALSE),"-")</f>
        <v>Parts</v>
      </c>
      <c r="Q955" s="79" t="str">
        <f>IFERROR(VLOOKUP($M955,Export!$P:$R,3,FALSE),"-")</f>
        <v>PartsWorkshop Retail Sales Gross Profit % of Sales</v>
      </c>
      <c r="R955" s="80" t="str" cm="1">
        <f t="array" ref="R955">_xlfn.IFS(P955="Service", _xlfn.IFS(I955="SALES","GP",I955="SERVICE SALES","GP",I955="PARTS SALES","GP",I955="SERVICE COS","GP",I955="PARTS COS","GP",I955="SELLING EXPENSES","Selling Expenses",I955="EMPLOYMENT EXPENSES","Selling Expenses",I955="EMPLOYMENT EXPENSES","Selling Expenses",I955="DIRECT EXPENSES","Selling Expenses",I955="INDIRECT EXPENSES","Selling Expenses"),P955="Parts",_xlfn.IFS(I955="SALES","GP",I955="SERVICE SALES","GP",I955="PARTS SALES","GP",I955="SERVICE COS","GP",I955="PARTS COS","GP",I955="SELLING EXPENSES","Selling Expenses",I955="EMPLOYMENT EXPENSES","Selling Expenses",I955="EMPLOYMENT EXPENSES","Selling Expenses",I955="DIRECT EXPENSES","Selling Expenses",I955="INDIRECT EXPENSES","Selling Expenses"))</f>
        <v>GP</v>
      </c>
    </row>
    <row r="956" spans="1:18" x14ac:dyDescent="0.2">
      <c r="A956" s="75">
        <v>4481</v>
      </c>
      <c r="B956" s="76" t="s">
        <v>914</v>
      </c>
      <c r="C956" s="76">
        <v>330</v>
      </c>
      <c r="D956" s="76" t="s">
        <v>457</v>
      </c>
      <c r="E956" s="76" t="s">
        <v>426</v>
      </c>
      <c r="F956" s="77">
        <v>6272.58</v>
      </c>
      <c r="G956" s="287">
        <v>640.42999999999995</v>
      </c>
      <c r="H956" s="77">
        <v>6913.01</v>
      </c>
      <c r="I956" s="76" t="s">
        <v>910</v>
      </c>
      <c r="J956" s="77">
        <v>0</v>
      </c>
      <c r="K956" s="78">
        <v>3054.62</v>
      </c>
      <c r="M956" s="79" t="str">
        <f t="shared" si="44"/>
        <v>330-4481</v>
      </c>
      <c r="N956" s="79" t="str">
        <f t="shared" si="42"/>
        <v/>
      </c>
      <c r="O956" s="79" t="str">
        <f t="shared" si="43"/>
        <v>330</v>
      </c>
      <c r="P956" s="79" t="str">
        <f>IFERROR(VLOOKUP($M956,Export!$P:$R,2,FALSE),"-")</f>
        <v>Parts</v>
      </c>
      <c r="Q956" s="79" t="str">
        <f>IFERROR(VLOOKUP($M956,Export!$P:$R,3,FALSE),"-")</f>
        <v>PartsWorkshop Retail Sales Gross Profit % of Sales</v>
      </c>
      <c r="R956" s="80" t="str" cm="1">
        <f t="array" ref="R956">_xlfn.IFS(P956="Service", _xlfn.IFS(I956="SALES","GP",I956="SERVICE SALES","GP",I956="PARTS SALES","GP",I956="SERVICE COS","GP",I956="PARTS COS","GP",I956="SELLING EXPENSES","Selling Expenses",I956="EMPLOYMENT EXPENSES","Selling Expenses",I956="EMPLOYMENT EXPENSES","Selling Expenses",I956="DIRECT EXPENSES","Selling Expenses",I956="INDIRECT EXPENSES","Selling Expenses"),P956="Parts",_xlfn.IFS(I956="SALES","GP",I956="SERVICE SALES","GP",I956="PARTS SALES","GP",I956="SERVICE COS","GP",I956="PARTS COS","GP",I956="SELLING EXPENSES","Selling Expenses",I956="EMPLOYMENT EXPENSES","Selling Expenses",I956="EMPLOYMENT EXPENSES","Selling Expenses",I956="DIRECT EXPENSES","Selling Expenses",I956="INDIRECT EXPENSES","Selling Expenses"))</f>
        <v>GP</v>
      </c>
    </row>
    <row r="957" spans="1:18" x14ac:dyDescent="0.2">
      <c r="A957" s="75">
        <v>4481</v>
      </c>
      <c r="B957" s="76" t="s">
        <v>914</v>
      </c>
      <c r="C957" s="76">
        <v>430</v>
      </c>
      <c r="D957" s="76" t="s">
        <v>458</v>
      </c>
      <c r="E957" s="76" t="s">
        <v>426</v>
      </c>
      <c r="F957" s="77">
        <v>395.85</v>
      </c>
      <c r="G957" s="77">
        <v>809.59</v>
      </c>
      <c r="H957" s="77">
        <v>1205.44</v>
      </c>
      <c r="I957" s="76" t="s">
        <v>910</v>
      </c>
      <c r="J957" s="77">
        <v>0</v>
      </c>
      <c r="K957" s="78">
        <v>1145.5999999999999</v>
      </c>
      <c r="M957" s="79" t="str">
        <f t="shared" si="44"/>
        <v>430-4481</v>
      </c>
      <c r="N957" s="79" t="str">
        <f t="shared" si="42"/>
        <v/>
      </c>
      <c r="O957" s="79" t="str">
        <f t="shared" si="43"/>
        <v>430</v>
      </c>
      <c r="P957" s="79" t="str">
        <f>IFERROR(VLOOKUP($M957,Export!$P:$R,2,FALSE),"-")</f>
        <v>Parts</v>
      </c>
      <c r="Q957" s="79" t="str">
        <f>IFERROR(VLOOKUP($M957,Export!$P:$R,3,FALSE),"-")</f>
        <v>PartsWorkshop Retail Sales Gross Profit % of Sales</v>
      </c>
      <c r="R957" s="80" t="str" cm="1">
        <f t="array" ref="R957">_xlfn.IFS(P957="Service", _xlfn.IFS(I957="SALES","GP",I957="SERVICE SALES","GP",I957="PARTS SALES","GP",I957="SERVICE COS","GP",I957="PARTS COS","GP",I957="SELLING EXPENSES","Selling Expenses",I957="EMPLOYMENT EXPENSES","Selling Expenses",I957="EMPLOYMENT EXPENSES","Selling Expenses",I957="DIRECT EXPENSES","Selling Expenses",I957="INDIRECT EXPENSES","Selling Expenses"),P957="Parts",_xlfn.IFS(I957="SALES","GP",I957="SERVICE SALES","GP",I957="PARTS SALES","GP",I957="SERVICE COS","GP",I957="PARTS COS","GP",I957="SELLING EXPENSES","Selling Expenses",I957="EMPLOYMENT EXPENSES","Selling Expenses",I957="EMPLOYMENT EXPENSES","Selling Expenses",I957="DIRECT EXPENSES","Selling Expenses",I957="INDIRECT EXPENSES","Selling Expenses"))</f>
        <v>GP</v>
      </c>
    </row>
    <row r="958" spans="1:18" x14ac:dyDescent="0.2">
      <c r="A958" s="75">
        <v>4482</v>
      </c>
      <c r="B958" s="76" t="s">
        <v>915</v>
      </c>
      <c r="C958" s="76">
        <v>130</v>
      </c>
      <c r="D958" s="76" t="s">
        <v>432</v>
      </c>
      <c r="E958" s="76" t="s">
        <v>426</v>
      </c>
      <c r="F958" s="77">
        <v>24286.46</v>
      </c>
      <c r="G958" s="287">
        <v>2203.35</v>
      </c>
      <c r="H958" s="77">
        <v>26489.81</v>
      </c>
      <c r="I958" s="76" t="s">
        <v>910</v>
      </c>
      <c r="J958" s="77">
        <v>9105.0400000000009</v>
      </c>
      <c r="K958" s="78">
        <v>96644.24</v>
      </c>
      <c r="M958" s="79" t="str">
        <f t="shared" si="44"/>
        <v>130-4482</v>
      </c>
      <c r="N958" s="79" t="str">
        <f t="shared" si="42"/>
        <v/>
      </c>
      <c r="O958" s="79" t="str">
        <f t="shared" si="43"/>
        <v>130</v>
      </c>
      <c r="P958" s="79" t="str">
        <f>IFERROR(VLOOKUP($M958,Export!$P:$R,2,FALSE),"-")</f>
        <v>Parts</v>
      </c>
      <c r="Q958" s="79" t="str">
        <f>IFERROR(VLOOKUP($M958,Export!$P:$R,3,FALSE),"-")</f>
        <v>PartsWorkshop Retail Sales Gross Profit % of Sales</v>
      </c>
      <c r="R958" s="80" t="str" cm="1">
        <f t="array" ref="R958">_xlfn.IFS(P958="Service", _xlfn.IFS(I958="SALES","GP",I958="SERVICE SALES","GP",I958="PARTS SALES","GP",I958="SERVICE COS","GP",I958="PARTS COS","GP",I958="SELLING EXPENSES","Selling Expenses",I958="EMPLOYMENT EXPENSES","Selling Expenses",I958="EMPLOYMENT EXPENSES","Selling Expenses",I958="DIRECT EXPENSES","Selling Expenses",I958="INDIRECT EXPENSES","Selling Expenses"),P958="Parts",_xlfn.IFS(I958="SALES","GP",I958="SERVICE SALES","GP",I958="PARTS SALES","GP",I958="SERVICE COS","GP",I958="PARTS COS","GP",I958="SELLING EXPENSES","Selling Expenses",I958="EMPLOYMENT EXPENSES","Selling Expenses",I958="EMPLOYMENT EXPENSES","Selling Expenses",I958="DIRECT EXPENSES","Selling Expenses",I958="INDIRECT EXPENSES","Selling Expenses"))</f>
        <v>GP</v>
      </c>
    </row>
    <row r="959" spans="1:18" x14ac:dyDescent="0.2">
      <c r="A959" s="75">
        <v>4482</v>
      </c>
      <c r="B959" s="76" t="s">
        <v>915</v>
      </c>
      <c r="C959" s="76">
        <v>230</v>
      </c>
      <c r="D959" s="76" t="s">
        <v>438</v>
      </c>
      <c r="E959" s="76" t="s">
        <v>426</v>
      </c>
      <c r="F959" s="77">
        <v>6785.09</v>
      </c>
      <c r="G959" s="77">
        <v>594.85</v>
      </c>
      <c r="H959" s="77">
        <v>7379.94</v>
      </c>
      <c r="I959" s="76" t="s">
        <v>910</v>
      </c>
      <c r="J959" s="77">
        <v>2753.46</v>
      </c>
      <c r="K959" s="78">
        <v>27749.73</v>
      </c>
      <c r="M959" s="79" t="str">
        <f t="shared" si="44"/>
        <v>230-4482</v>
      </c>
      <c r="N959" s="79" t="str">
        <f t="shared" si="42"/>
        <v/>
      </c>
      <c r="O959" s="79" t="str">
        <f t="shared" si="43"/>
        <v>230</v>
      </c>
      <c r="P959" s="79" t="str">
        <f>IFERROR(VLOOKUP($M959,Export!$P:$R,2,FALSE),"-")</f>
        <v>Parts</v>
      </c>
      <c r="Q959" s="79" t="str">
        <f>IFERROR(VLOOKUP($M959,Export!$P:$R,3,FALSE),"-")</f>
        <v>PartsWorkshop Retail Sales Gross Profit % of Sales</v>
      </c>
      <c r="R959" s="80" t="str" cm="1">
        <f t="array" ref="R959">_xlfn.IFS(P959="Service", _xlfn.IFS(I959="SALES","GP",I959="SERVICE SALES","GP",I959="PARTS SALES","GP",I959="SERVICE COS","GP",I959="PARTS COS","GP",I959="SELLING EXPENSES","Selling Expenses",I959="EMPLOYMENT EXPENSES","Selling Expenses",I959="EMPLOYMENT EXPENSES","Selling Expenses",I959="DIRECT EXPENSES","Selling Expenses",I959="INDIRECT EXPENSES","Selling Expenses"),P959="Parts",_xlfn.IFS(I959="SALES","GP",I959="SERVICE SALES","GP",I959="PARTS SALES","GP",I959="SERVICE COS","GP",I959="PARTS COS","GP",I959="SELLING EXPENSES","Selling Expenses",I959="EMPLOYMENT EXPENSES","Selling Expenses",I959="EMPLOYMENT EXPENSES","Selling Expenses",I959="DIRECT EXPENSES","Selling Expenses",I959="INDIRECT EXPENSES","Selling Expenses"))</f>
        <v>GP</v>
      </c>
    </row>
    <row r="960" spans="1:18" x14ac:dyDescent="0.2">
      <c r="A960" s="75">
        <v>4482</v>
      </c>
      <c r="B960" s="76" t="s">
        <v>915</v>
      </c>
      <c r="C960" s="76">
        <v>330</v>
      </c>
      <c r="D960" s="76" t="s">
        <v>457</v>
      </c>
      <c r="E960" s="76" t="s">
        <v>426</v>
      </c>
      <c r="F960" s="77">
        <v>16631.82</v>
      </c>
      <c r="G960" s="77">
        <v>1242.5899999999999</v>
      </c>
      <c r="H960" s="77">
        <v>17874.41</v>
      </c>
      <c r="I960" s="76" t="s">
        <v>910</v>
      </c>
      <c r="J960" s="77">
        <v>2807.67</v>
      </c>
      <c r="K960" s="78">
        <v>25121.47</v>
      </c>
      <c r="M960" s="79" t="str">
        <f t="shared" si="44"/>
        <v>330-4482</v>
      </c>
      <c r="N960" s="79" t="str">
        <f t="shared" si="42"/>
        <v/>
      </c>
      <c r="O960" s="79" t="str">
        <f t="shared" si="43"/>
        <v>330</v>
      </c>
      <c r="P960" s="79" t="str">
        <f>IFERROR(VLOOKUP($M960,Export!$P:$R,2,FALSE),"-")</f>
        <v>Parts</v>
      </c>
      <c r="Q960" s="79" t="str">
        <f>IFERROR(VLOOKUP($M960,Export!$P:$R,3,FALSE),"-")</f>
        <v>PartsWorkshop Retail Sales Gross Profit % of Sales</v>
      </c>
      <c r="R960" s="80" t="str" cm="1">
        <f t="array" ref="R960">_xlfn.IFS(P960="Service", _xlfn.IFS(I960="SALES","GP",I960="SERVICE SALES","GP",I960="PARTS SALES","GP",I960="SERVICE COS","GP",I960="PARTS COS","GP",I960="SELLING EXPENSES","Selling Expenses",I960="EMPLOYMENT EXPENSES","Selling Expenses",I960="EMPLOYMENT EXPENSES","Selling Expenses",I960="DIRECT EXPENSES","Selling Expenses",I960="INDIRECT EXPENSES","Selling Expenses"),P960="Parts",_xlfn.IFS(I960="SALES","GP",I960="SERVICE SALES","GP",I960="PARTS SALES","GP",I960="SERVICE COS","GP",I960="PARTS COS","GP",I960="SELLING EXPENSES","Selling Expenses",I960="EMPLOYMENT EXPENSES","Selling Expenses",I960="EMPLOYMENT EXPENSES","Selling Expenses",I960="DIRECT EXPENSES","Selling Expenses",I960="INDIRECT EXPENSES","Selling Expenses"))</f>
        <v>GP</v>
      </c>
    </row>
    <row r="961" spans="1:18" x14ac:dyDescent="0.2">
      <c r="A961" s="75">
        <v>4482</v>
      </c>
      <c r="B961" s="76" t="s">
        <v>915</v>
      </c>
      <c r="C961" s="76">
        <v>430</v>
      </c>
      <c r="D961" s="76" t="s">
        <v>458</v>
      </c>
      <c r="E961" s="76" t="s">
        <v>426</v>
      </c>
      <c r="F961" s="77">
        <v>30698.77</v>
      </c>
      <c r="G961" s="77">
        <v>5671.5</v>
      </c>
      <c r="H961" s="77">
        <v>36370.269999999997</v>
      </c>
      <c r="I961" s="76" t="s">
        <v>910</v>
      </c>
      <c r="J961" s="77">
        <v>1657.3</v>
      </c>
      <c r="K961" s="78">
        <v>15582.08</v>
      </c>
      <c r="M961" s="79" t="str">
        <f t="shared" si="44"/>
        <v>430-4482</v>
      </c>
      <c r="N961" s="79" t="str">
        <f t="shared" si="42"/>
        <v/>
      </c>
      <c r="O961" s="79" t="str">
        <f t="shared" si="43"/>
        <v>430</v>
      </c>
      <c r="P961" s="79" t="str">
        <f>IFERROR(VLOOKUP($M961,Export!$P:$R,2,FALSE),"-")</f>
        <v>Parts</v>
      </c>
      <c r="Q961" s="79" t="str">
        <f>IFERROR(VLOOKUP($M961,Export!$P:$R,3,FALSE),"-")</f>
        <v>PartsWorkshop Retail Sales Gross Profit % of Sales</v>
      </c>
      <c r="R961" s="80" t="str" cm="1">
        <f t="array" ref="R961">_xlfn.IFS(P961="Service", _xlfn.IFS(I961="SALES","GP",I961="SERVICE SALES","GP",I961="PARTS SALES","GP",I961="SERVICE COS","GP",I961="PARTS COS","GP",I961="SELLING EXPENSES","Selling Expenses",I961="EMPLOYMENT EXPENSES","Selling Expenses",I961="EMPLOYMENT EXPENSES","Selling Expenses",I961="DIRECT EXPENSES","Selling Expenses",I961="INDIRECT EXPENSES","Selling Expenses"),P961="Parts",_xlfn.IFS(I961="SALES","GP",I961="SERVICE SALES","GP",I961="PARTS SALES","GP",I961="SERVICE COS","GP",I961="PARTS COS","GP",I961="SELLING EXPENSES","Selling Expenses",I961="EMPLOYMENT EXPENSES","Selling Expenses",I961="EMPLOYMENT EXPENSES","Selling Expenses",I961="DIRECT EXPENSES","Selling Expenses",I961="INDIRECT EXPENSES","Selling Expenses"))</f>
        <v>GP</v>
      </c>
    </row>
    <row r="962" spans="1:18" x14ac:dyDescent="0.2">
      <c r="A962" s="75">
        <v>4495</v>
      </c>
      <c r="B962" s="76" t="s">
        <v>916</v>
      </c>
      <c r="C962" s="76">
        <v>130</v>
      </c>
      <c r="D962" s="76" t="s">
        <v>432</v>
      </c>
      <c r="E962" s="76" t="s">
        <v>426</v>
      </c>
      <c r="F962" s="77">
        <v>0</v>
      </c>
      <c r="G962" s="77">
        <v>0</v>
      </c>
      <c r="H962" s="77">
        <v>0</v>
      </c>
      <c r="I962" s="76" t="s">
        <v>910</v>
      </c>
      <c r="J962" s="77">
        <v>0</v>
      </c>
      <c r="K962" s="78">
        <v>25.37</v>
      </c>
      <c r="M962" s="79" t="str">
        <f t="shared" si="44"/>
        <v>130-4495</v>
      </c>
      <c r="N962" s="79" t="str">
        <f t="shared" ref="N962:N1025" si="45">+IF(RIGHT(A962,1)="#","#","")</f>
        <v/>
      </c>
      <c r="O962" s="79" t="str">
        <f t="shared" ref="O962:O1025" si="46">+C962&amp;N962</f>
        <v>130</v>
      </c>
      <c r="P962" s="79" t="str">
        <f>IFERROR(VLOOKUP($M962,Export!$P:$R,2,FALSE),"-")</f>
        <v>Parts</v>
      </c>
      <c r="Q962" s="79" t="str">
        <f>IFERROR(VLOOKUP($M962,Export!$P:$R,3,FALSE),"-")</f>
        <v>PartsOther Sales Gross Profit % of Sales</v>
      </c>
      <c r="R962" s="80" t="str" cm="1">
        <f t="array" ref="R962">_xlfn.IFS(P962="Service", _xlfn.IFS(I962="SALES","GP",I962="SERVICE SALES","GP",I962="PARTS SALES","GP",I962="SERVICE COS","GP",I962="PARTS COS","GP",I962="SELLING EXPENSES","Selling Expenses",I962="EMPLOYMENT EXPENSES","Selling Expenses",I962="EMPLOYMENT EXPENSES","Selling Expenses",I962="DIRECT EXPENSES","Selling Expenses",I962="INDIRECT EXPENSES","Selling Expenses"),P962="Parts",_xlfn.IFS(I962="SALES","GP",I962="SERVICE SALES","GP",I962="PARTS SALES","GP",I962="SERVICE COS","GP",I962="PARTS COS","GP",I962="SELLING EXPENSES","Selling Expenses",I962="EMPLOYMENT EXPENSES","Selling Expenses",I962="EMPLOYMENT EXPENSES","Selling Expenses",I962="DIRECT EXPENSES","Selling Expenses",I962="INDIRECT EXPENSES","Selling Expenses"))</f>
        <v>GP</v>
      </c>
    </row>
    <row r="963" spans="1:18" x14ac:dyDescent="0.2">
      <c r="A963" s="75">
        <v>4495</v>
      </c>
      <c r="B963" s="76" t="s">
        <v>916</v>
      </c>
      <c r="C963" s="76">
        <v>230</v>
      </c>
      <c r="D963" s="76" t="s">
        <v>438</v>
      </c>
      <c r="E963" s="76" t="s">
        <v>426</v>
      </c>
      <c r="F963" s="77">
        <v>13.65</v>
      </c>
      <c r="G963" s="77">
        <v>0</v>
      </c>
      <c r="H963" s="77">
        <v>13.65</v>
      </c>
      <c r="I963" s="76" t="s">
        <v>910</v>
      </c>
      <c r="J963" s="77">
        <v>0</v>
      </c>
      <c r="K963" s="78">
        <v>0</v>
      </c>
      <c r="M963" s="79" t="str">
        <f t="shared" ref="M963:M1026" si="47">+C963&amp;"-"&amp;A963</f>
        <v>230-4495</v>
      </c>
      <c r="N963" s="79" t="str">
        <f t="shared" si="45"/>
        <v/>
      </c>
      <c r="O963" s="79" t="str">
        <f t="shared" si="46"/>
        <v>230</v>
      </c>
      <c r="P963" s="79" t="str">
        <f>IFERROR(VLOOKUP($M963,Export!$P:$R,2,FALSE),"-")</f>
        <v>Parts</v>
      </c>
      <c r="Q963" s="79" t="str">
        <f>IFERROR(VLOOKUP($M963,Export!$P:$R,3,FALSE),"-")</f>
        <v>PartsOther Sales Gross Profit % of Sales</v>
      </c>
      <c r="R963" s="80" t="str" cm="1">
        <f t="array" ref="R963">_xlfn.IFS(P963="Service", _xlfn.IFS(I963="SALES","GP",I963="SERVICE SALES","GP",I963="PARTS SALES","GP",I963="SERVICE COS","GP",I963="PARTS COS","GP",I963="SELLING EXPENSES","Selling Expenses",I963="EMPLOYMENT EXPENSES","Selling Expenses",I963="EMPLOYMENT EXPENSES","Selling Expenses",I963="DIRECT EXPENSES","Selling Expenses",I963="INDIRECT EXPENSES","Selling Expenses"),P963="Parts",_xlfn.IFS(I963="SALES","GP",I963="SERVICE SALES","GP",I963="PARTS SALES","GP",I963="SERVICE COS","GP",I963="PARTS COS","GP",I963="SELLING EXPENSES","Selling Expenses",I963="EMPLOYMENT EXPENSES","Selling Expenses",I963="EMPLOYMENT EXPENSES","Selling Expenses",I963="DIRECT EXPENSES","Selling Expenses",I963="INDIRECT EXPENSES","Selling Expenses"))</f>
        <v>GP</v>
      </c>
    </row>
    <row r="964" spans="1:18" x14ac:dyDescent="0.2">
      <c r="A964" s="75">
        <v>4500</v>
      </c>
      <c r="B964" s="76" t="s">
        <v>108</v>
      </c>
      <c r="C964" s="76">
        <v>130</v>
      </c>
      <c r="D964" s="76" t="s">
        <v>432</v>
      </c>
      <c r="E964" s="76" t="s">
        <v>426</v>
      </c>
      <c r="F964" s="77">
        <v>289836.46000000002</v>
      </c>
      <c r="G964" s="77">
        <v>7895.26</v>
      </c>
      <c r="H964" s="77">
        <v>297731.71999999997</v>
      </c>
      <c r="I964" s="76" t="s">
        <v>910</v>
      </c>
      <c r="J964" s="77">
        <v>104490.88</v>
      </c>
      <c r="K964" s="78">
        <v>886463.93</v>
      </c>
      <c r="M964" s="79" t="str">
        <f t="shared" si="47"/>
        <v>130-4500</v>
      </c>
      <c r="N964" s="79" t="str">
        <f t="shared" si="45"/>
        <v/>
      </c>
      <c r="O964" s="79" t="str">
        <f t="shared" si="46"/>
        <v>130</v>
      </c>
      <c r="P964" s="79" t="str">
        <f>IFERROR(VLOOKUP($M964,Export!$P:$R,2,FALSE),"-")</f>
        <v>Parts</v>
      </c>
      <c r="Q964" s="79" t="str">
        <f>IFERROR(VLOOKUP($M964,Export!$P:$R,3,FALSE),"-")</f>
        <v>PartsWarranty Sales Gross Profit % of Sales</v>
      </c>
      <c r="R964" s="80" t="str" cm="1">
        <f t="array" ref="R964">_xlfn.IFS(P964="Service", _xlfn.IFS(I964="SALES","GP",I964="SERVICE SALES","GP",I964="PARTS SALES","GP",I964="SERVICE COS","GP",I964="PARTS COS","GP",I964="SELLING EXPENSES","Selling Expenses",I964="EMPLOYMENT EXPENSES","Selling Expenses",I964="EMPLOYMENT EXPENSES","Selling Expenses",I964="DIRECT EXPENSES","Selling Expenses",I964="INDIRECT EXPENSES","Selling Expenses"),P964="Parts",_xlfn.IFS(I964="SALES","GP",I964="SERVICE SALES","GP",I964="PARTS SALES","GP",I964="SERVICE COS","GP",I964="PARTS COS","GP",I964="SELLING EXPENSES","Selling Expenses",I964="EMPLOYMENT EXPENSES","Selling Expenses",I964="EMPLOYMENT EXPENSES","Selling Expenses",I964="DIRECT EXPENSES","Selling Expenses",I964="INDIRECT EXPENSES","Selling Expenses"))</f>
        <v>GP</v>
      </c>
    </row>
    <row r="965" spans="1:18" x14ac:dyDescent="0.2">
      <c r="A965" s="75">
        <v>4500</v>
      </c>
      <c r="B965" s="76" t="s">
        <v>108</v>
      </c>
      <c r="C965" s="76">
        <v>132</v>
      </c>
      <c r="D965" s="76" t="s">
        <v>453</v>
      </c>
      <c r="E965" s="76" t="s">
        <v>426</v>
      </c>
      <c r="F965" s="77">
        <v>59877.69</v>
      </c>
      <c r="G965" s="77">
        <v>12617.55</v>
      </c>
      <c r="H965" s="77">
        <v>72495.240000000005</v>
      </c>
      <c r="I965" s="76" t="s">
        <v>910</v>
      </c>
      <c r="J965" s="77">
        <v>0</v>
      </c>
      <c r="K965" s="78">
        <v>13898.37</v>
      </c>
      <c r="M965" s="79" t="str">
        <f t="shared" si="47"/>
        <v>132-4500</v>
      </c>
      <c r="N965" s="79" t="str">
        <f t="shared" si="45"/>
        <v/>
      </c>
      <c r="O965" s="79" t="str">
        <f t="shared" si="46"/>
        <v>132</v>
      </c>
      <c r="P965" s="79" t="str">
        <f>IFERROR(VLOOKUP($M965,Export!$P:$R,2,FALSE),"-")</f>
        <v>LEX Parts</v>
      </c>
      <c r="Q965" s="79" t="str">
        <f>IFERROR(VLOOKUP($M965,Export!$P:$R,3,FALSE),"-")</f>
        <v>LEX PartsWarranty Sales Gross Profit % of Sales</v>
      </c>
      <c r="R965" s="80" t="e" cm="1">
        <f t="array" ref="R965">_xlfn.IFS(P965="Service", _xlfn.IFS(I965="SALES","GP",I965="SERVICE SALES","GP",I965="PARTS SALES","GP",I965="SERVICE COS","GP",I965="PARTS COS","GP",I965="SELLING EXPENSES","Selling Expenses",I965="EMPLOYMENT EXPENSES","Selling Expenses",I965="EMPLOYMENT EXPENSES","Selling Expenses",I965="DIRECT EXPENSES","Selling Expenses",I965="INDIRECT EXPENSES","Selling Expenses"),P965="Parts",_xlfn.IFS(I965="SALES","GP",I965="SERVICE SALES","GP",I965="PARTS SALES","GP",I965="SERVICE COS","GP",I965="PARTS COS","GP",I965="SELLING EXPENSES","Selling Expenses",I965="EMPLOYMENT EXPENSES","Selling Expenses",I965="EMPLOYMENT EXPENSES","Selling Expenses",I965="DIRECT EXPENSES","Selling Expenses",I965="INDIRECT EXPENSES","Selling Expenses"))</f>
        <v>#N/A</v>
      </c>
    </row>
    <row r="966" spans="1:18" x14ac:dyDescent="0.2">
      <c r="A966" s="75">
        <v>4500</v>
      </c>
      <c r="B966" s="76" t="s">
        <v>108</v>
      </c>
      <c r="C966" s="76">
        <v>230</v>
      </c>
      <c r="D966" s="76" t="s">
        <v>438</v>
      </c>
      <c r="E966" s="76" t="s">
        <v>426</v>
      </c>
      <c r="F966" s="77">
        <v>214705.31</v>
      </c>
      <c r="G966" s="77">
        <v>9252.8799999999992</v>
      </c>
      <c r="H966" s="77">
        <v>223958.19</v>
      </c>
      <c r="I966" s="76" t="s">
        <v>910</v>
      </c>
      <c r="J966" s="77">
        <v>49505.64</v>
      </c>
      <c r="K966" s="78">
        <v>424361.89</v>
      </c>
      <c r="M966" s="79" t="str">
        <f t="shared" si="47"/>
        <v>230-4500</v>
      </c>
      <c r="N966" s="79" t="str">
        <f t="shared" si="45"/>
        <v/>
      </c>
      <c r="O966" s="79" t="str">
        <f t="shared" si="46"/>
        <v>230</v>
      </c>
      <c r="P966" s="79" t="str">
        <f>IFERROR(VLOOKUP($M966,Export!$P:$R,2,FALSE),"-")</f>
        <v>Parts</v>
      </c>
      <c r="Q966" s="79" t="str">
        <f>IFERROR(VLOOKUP($M966,Export!$P:$R,3,FALSE),"-")</f>
        <v>PartsWarranty Sales Gross Profit % of Sales</v>
      </c>
      <c r="R966" s="80" t="str" cm="1">
        <f t="array" ref="R966">_xlfn.IFS(P966="Service", _xlfn.IFS(I966="SALES","GP",I966="SERVICE SALES","GP",I966="PARTS SALES","GP",I966="SERVICE COS","GP",I966="PARTS COS","GP",I966="SELLING EXPENSES","Selling Expenses",I966="EMPLOYMENT EXPENSES","Selling Expenses",I966="EMPLOYMENT EXPENSES","Selling Expenses",I966="DIRECT EXPENSES","Selling Expenses",I966="INDIRECT EXPENSES","Selling Expenses"),P966="Parts",_xlfn.IFS(I966="SALES","GP",I966="SERVICE SALES","GP",I966="PARTS SALES","GP",I966="SERVICE COS","GP",I966="PARTS COS","GP",I966="SELLING EXPENSES","Selling Expenses",I966="EMPLOYMENT EXPENSES","Selling Expenses",I966="EMPLOYMENT EXPENSES","Selling Expenses",I966="DIRECT EXPENSES","Selling Expenses",I966="INDIRECT EXPENSES","Selling Expenses"))</f>
        <v>GP</v>
      </c>
    </row>
    <row r="967" spans="1:18" x14ac:dyDescent="0.2">
      <c r="A967" s="75">
        <v>4500</v>
      </c>
      <c r="B967" s="76" t="s">
        <v>108</v>
      </c>
      <c r="C967" s="76">
        <v>330</v>
      </c>
      <c r="D967" s="76" t="s">
        <v>457</v>
      </c>
      <c r="E967" s="76" t="s">
        <v>426</v>
      </c>
      <c r="F967" s="77">
        <v>101564.69</v>
      </c>
      <c r="G967" s="77">
        <v>7094.59</v>
      </c>
      <c r="H967" s="77">
        <v>108659.28</v>
      </c>
      <c r="I967" s="76" t="s">
        <v>910</v>
      </c>
      <c r="J967" s="77">
        <v>27410.36</v>
      </c>
      <c r="K967" s="78">
        <v>234120.03</v>
      </c>
      <c r="M967" s="79" t="str">
        <f t="shared" si="47"/>
        <v>330-4500</v>
      </c>
      <c r="N967" s="79" t="str">
        <f t="shared" si="45"/>
        <v/>
      </c>
      <c r="O967" s="79" t="str">
        <f t="shared" si="46"/>
        <v>330</v>
      </c>
      <c r="P967" s="79" t="str">
        <f>IFERROR(VLOOKUP($M967,Export!$P:$R,2,FALSE),"-")</f>
        <v>Parts</v>
      </c>
      <c r="Q967" s="79" t="str">
        <f>IFERROR(VLOOKUP($M967,Export!$P:$R,3,FALSE),"-")</f>
        <v>PartsWarranty Sales Gross Profit % of Sales</v>
      </c>
      <c r="R967" s="80" t="str" cm="1">
        <f t="array" ref="R967">_xlfn.IFS(P967="Service", _xlfn.IFS(I967="SALES","GP",I967="SERVICE SALES","GP",I967="PARTS SALES","GP",I967="SERVICE COS","GP",I967="PARTS COS","GP",I967="SELLING EXPENSES","Selling Expenses",I967="EMPLOYMENT EXPENSES","Selling Expenses",I967="EMPLOYMENT EXPENSES","Selling Expenses",I967="DIRECT EXPENSES","Selling Expenses",I967="INDIRECT EXPENSES","Selling Expenses"),P967="Parts",_xlfn.IFS(I967="SALES","GP",I967="SERVICE SALES","GP",I967="PARTS SALES","GP",I967="SERVICE COS","GP",I967="PARTS COS","GP",I967="SELLING EXPENSES","Selling Expenses",I967="EMPLOYMENT EXPENSES","Selling Expenses",I967="EMPLOYMENT EXPENSES","Selling Expenses",I967="DIRECT EXPENSES","Selling Expenses",I967="INDIRECT EXPENSES","Selling Expenses"))</f>
        <v>GP</v>
      </c>
    </row>
    <row r="968" spans="1:18" x14ac:dyDescent="0.2">
      <c r="A968" s="75">
        <v>4500</v>
      </c>
      <c r="B968" s="76" t="s">
        <v>108</v>
      </c>
      <c r="C968" s="76">
        <v>430</v>
      </c>
      <c r="D968" s="76" t="s">
        <v>458</v>
      </c>
      <c r="E968" s="76" t="s">
        <v>426</v>
      </c>
      <c r="F968" s="77">
        <v>86903.54</v>
      </c>
      <c r="G968" s="77">
        <v>3995.24</v>
      </c>
      <c r="H968" s="77">
        <v>90898.78</v>
      </c>
      <c r="I968" s="76" t="s">
        <v>910</v>
      </c>
      <c r="J968" s="77">
        <v>5128.5600000000004</v>
      </c>
      <c r="K968" s="78">
        <v>52208.53</v>
      </c>
      <c r="M968" s="79" t="str">
        <f t="shared" si="47"/>
        <v>430-4500</v>
      </c>
      <c r="N968" s="79" t="str">
        <f t="shared" si="45"/>
        <v/>
      </c>
      <c r="O968" s="79" t="str">
        <f t="shared" si="46"/>
        <v>430</v>
      </c>
      <c r="P968" s="79" t="str">
        <f>IFERROR(VLOOKUP($M968,Export!$P:$R,2,FALSE),"-")</f>
        <v>Parts</v>
      </c>
      <c r="Q968" s="79" t="str">
        <f>IFERROR(VLOOKUP($M968,Export!$P:$R,3,FALSE),"-")</f>
        <v>PartsWarranty Sales Gross Profit % of Sales</v>
      </c>
      <c r="R968" s="80" t="str" cm="1">
        <f t="array" ref="R968">_xlfn.IFS(P968="Service", _xlfn.IFS(I968="SALES","GP",I968="SERVICE SALES","GP",I968="PARTS SALES","GP",I968="SERVICE COS","GP",I968="PARTS COS","GP",I968="SELLING EXPENSES","Selling Expenses",I968="EMPLOYMENT EXPENSES","Selling Expenses",I968="EMPLOYMENT EXPENSES","Selling Expenses",I968="DIRECT EXPENSES","Selling Expenses",I968="INDIRECT EXPENSES","Selling Expenses"),P968="Parts",_xlfn.IFS(I968="SALES","GP",I968="SERVICE SALES","GP",I968="PARTS SALES","GP",I968="SERVICE COS","GP",I968="PARTS COS","GP",I968="SELLING EXPENSES","Selling Expenses",I968="EMPLOYMENT EXPENSES","Selling Expenses",I968="EMPLOYMENT EXPENSES","Selling Expenses",I968="DIRECT EXPENSES","Selling Expenses",I968="INDIRECT EXPENSES","Selling Expenses"))</f>
        <v>GP</v>
      </c>
    </row>
    <row r="969" spans="1:18" x14ac:dyDescent="0.2">
      <c r="A969" s="75">
        <v>4505</v>
      </c>
      <c r="B969" s="76" t="s">
        <v>109</v>
      </c>
      <c r="C969" s="76">
        <v>130</v>
      </c>
      <c r="D969" s="76" t="s">
        <v>432</v>
      </c>
      <c r="E969" s="76" t="s">
        <v>426</v>
      </c>
      <c r="F969" s="77">
        <v>298540.09999999998</v>
      </c>
      <c r="G969" s="287">
        <v>17254.599999999999</v>
      </c>
      <c r="H969" s="77">
        <v>315794.7</v>
      </c>
      <c r="I969" s="76" t="s">
        <v>910</v>
      </c>
      <c r="J969" s="77">
        <v>29219.61</v>
      </c>
      <c r="K969" s="78">
        <v>294486.36</v>
      </c>
      <c r="M969" s="79" t="str">
        <f t="shared" si="47"/>
        <v>130-4505</v>
      </c>
      <c r="N969" s="79" t="str">
        <f t="shared" si="45"/>
        <v/>
      </c>
      <c r="O969" s="79" t="str">
        <f t="shared" si="46"/>
        <v>130</v>
      </c>
      <c r="P969" s="79" t="str">
        <f>IFERROR(VLOOKUP($M969,Export!$P:$R,2,FALSE),"-")</f>
        <v>Parts</v>
      </c>
      <c r="Q969" s="79" t="str">
        <f>IFERROR(VLOOKUP($M969,Export!$P:$R,3,FALSE),"-")</f>
        <v>PartsInternal Sales Gross Profit % of Sales</v>
      </c>
      <c r="R969" s="80" t="str" cm="1">
        <f t="array" ref="R969">_xlfn.IFS(P969="Service", _xlfn.IFS(I969="SALES","GP",I969="SERVICE SALES","GP",I969="PARTS SALES","GP",I969="SERVICE COS","GP",I969="PARTS COS","GP",I969="SELLING EXPENSES","Selling Expenses",I969="EMPLOYMENT EXPENSES","Selling Expenses",I969="EMPLOYMENT EXPENSES","Selling Expenses",I969="DIRECT EXPENSES","Selling Expenses",I969="INDIRECT EXPENSES","Selling Expenses"),P969="Parts",_xlfn.IFS(I969="SALES","GP",I969="SERVICE SALES","GP",I969="PARTS SALES","GP",I969="SERVICE COS","GP",I969="PARTS COS","GP",I969="SELLING EXPENSES","Selling Expenses",I969="EMPLOYMENT EXPENSES","Selling Expenses",I969="EMPLOYMENT EXPENSES","Selling Expenses",I969="DIRECT EXPENSES","Selling Expenses",I969="INDIRECT EXPENSES","Selling Expenses"))</f>
        <v>GP</v>
      </c>
    </row>
    <row r="970" spans="1:18" x14ac:dyDescent="0.2">
      <c r="A970" s="75">
        <v>4505</v>
      </c>
      <c r="B970" s="76" t="s">
        <v>109</v>
      </c>
      <c r="C970" s="76">
        <v>132</v>
      </c>
      <c r="D970" s="76" t="s">
        <v>453</v>
      </c>
      <c r="E970" s="76" t="s">
        <v>426</v>
      </c>
      <c r="F970" s="77">
        <v>42361.3</v>
      </c>
      <c r="G970" s="77">
        <v>3298.33</v>
      </c>
      <c r="H970" s="77">
        <v>45659.63</v>
      </c>
      <c r="I970" s="76" t="s">
        <v>910</v>
      </c>
      <c r="J970" s="77">
        <v>0</v>
      </c>
      <c r="K970" s="78">
        <v>3437.29</v>
      </c>
      <c r="M970" s="79" t="str">
        <f t="shared" si="47"/>
        <v>132-4505</v>
      </c>
      <c r="N970" s="79" t="str">
        <f t="shared" si="45"/>
        <v/>
      </c>
      <c r="O970" s="79" t="str">
        <f t="shared" si="46"/>
        <v>132</v>
      </c>
      <c r="P970" s="79" t="str">
        <f>IFERROR(VLOOKUP($M970,Export!$P:$R,2,FALSE),"-")</f>
        <v>LEX Parts</v>
      </c>
      <c r="Q970" s="79" t="str">
        <f>IFERROR(VLOOKUP($M970,Export!$P:$R,3,FALSE),"-")</f>
        <v>LEX PartsInternal Sales Gross Profit % of Sales</v>
      </c>
      <c r="R970" s="80" t="e" cm="1">
        <f t="array" ref="R970">_xlfn.IFS(P970="Service", _xlfn.IFS(I970="SALES","GP",I970="SERVICE SALES","GP",I970="PARTS SALES","GP",I970="SERVICE COS","GP",I970="PARTS COS","GP",I970="SELLING EXPENSES","Selling Expenses",I970="EMPLOYMENT EXPENSES","Selling Expenses",I970="EMPLOYMENT EXPENSES","Selling Expenses",I970="DIRECT EXPENSES","Selling Expenses",I970="INDIRECT EXPENSES","Selling Expenses"),P970="Parts",_xlfn.IFS(I970="SALES","GP",I970="SERVICE SALES","GP",I970="PARTS SALES","GP",I970="SERVICE COS","GP",I970="PARTS COS","GP",I970="SELLING EXPENSES","Selling Expenses",I970="EMPLOYMENT EXPENSES","Selling Expenses",I970="EMPLOYMENT EXPENSES","Selling Expenses",I970="DIRECT EXPENSES","Selling Expenses",I970="INDIRECT EXPENSES","Selling Expenses"))</f>
        <v>#N/A</v>
      </c>
    </row>
    <row r="971" spans="1:18" x14ac:dyDescent="0.2">
      <c r="A971" s="75">
        <v>4505</v>
      </c>
      <c r="B971" s="76" t="s">
        <v>109</v>
      </c>
      <c r="C971" s="76">
        <v>230</v>
      </c>
      <c r="D971" s="76" t="s">
        <v>438</v>
      </c>
      <c r="E971" s="76" t="s">
        <v>426</v>
      </c>
      <c r="F971" s="77">
        <v>68610.03</v>
      </c>
      <c r="G971" s="77">
        <v>4930.2700000000004</v>
      </c>
      <c r="H971" s="77">
        <v>73540.3</v>
      </c>
      <c r="I971" s="76" t="s">
        <v>910</v>
      </c>
      <c r="J971" s="77">
        <v>14001.62</v>
      </c>
      <c r="K971" s="78">
        <v>113224.12</v>
      </c>
      <c r="M971" s="79" t="str">
        <f t="shared" si="47"/>
        <v>230-4505</v>
      </c>
      <c r="N971" s="79" t="str">
        <f t="shared" si="45"/>
        <v/>
      </c>
      <c r="O971" s="79" t="str">
        <f t="shared" si="46"/>
        <v>230</v>
      </c>
      <c r="P971" s="79" t="str">
        <f>IFERROR(VLOOKUP($M971,Export!$P:$R,2,FALSE),"-")</f>
        <v>Parts</v>
      </c>
      <c r="Q971" s="79" t="str">
        <f>IFERROR(VLOOKUP($M971,Export!$P:$R,3,FALSE),"-")</f>
        <v>PartsInternal Sales Gross Profit % of Sales</v>
      </c>
      <c r="R971" s="80" t="str" cm="1">
        <f t="array" ref="R971">_xlfn.IFS(P971="Service", _xlfn.IFS(I971="SALES","GP",I971="SERVICE SALES","GP",I971="PARTS SALES","GP",I971="SERVICE COS","GP",I971="PARTS COS","GP",I971="SELLING EXPENSES","Selling Expenses",I971="EMPLOYMENT EXPENSES","Selling Expenses",I971="EMPLOYMENT EXPENSES","Selling Expenses",I971="DIRECT EXPENSES","Selling Expenses",I971="INDIRECT EXPENSES","Selling Expenses"),P971="Parts",_xlfn.IFS(I971="SALES","GP",I971="SERVICE SALES","GP",I971="PARTS SALES","GP",I971="SERVICE COS","GP",I971="PARTS COS","GP",I971="SELLING EXPENSES","Selling Expenses",I971="EMPLOYMENT EXPENSES","Selling Expenses",I971="EMPLOYMENT EXPENSES","Selling Expenses",I971="DIRECT EXPENSES","Selling Expenses",I971="INDIRECT EXPENSES","Selling Expenses"))</f>
        <v>GP</v>
      </c>
    </row>
    <row r="972" spans="1:18" x14ac:dyDescent="0.2">
      <c r="A972" s="75">
        <v>4505</v>
      </c>
      <c r="B972" s="76" t="s">
        <v>109</v>
      </c>
      <c r="C972" s="76">
        <v>330</v>
      </c>
      <c r="D972" s="76" t="s">
        <v>457</v>
      </c>
      <c r="E972" s="76" t="s">
        <v>426</v>
      </c>
      <c r="F972" s="77">
        <v>32418.25</v>
      </c>
      <c r="G972" s="77">
        <v>3904.41</v>
      </c>
      <c r="H972" s="77">
        <v>36322.660000000003</v>
      </c>
      <c r="I972" s="76" t="s">
        <v>910</v>
      </c>
      <c r="J972" s="77">
        <v>3990.08</v>
      </c>
      <c r="K972" s="78">
        <v>39162.01</v>
      </c>
      <c r="M972" s="79" t="str">
        <f t="shared" si="47"/>
        <v>330-4505</v>
      </c>
      <c r="N972" s="79" t="str">
        <f t="shared" si="45"/>
        <v/>
      </c>
      <c r="O972" s="79" t="str">
        <f t="shared" si="46"/>
        <v>330</v>
      </c>
      <c r="P972" s="79" t="str">
        <f>IFERROR(VLOOKUP($M972,Export!$P:$R,2,FALSE),"-")</f>
        <v>Parts</v>
      </c>
      <c r="Q972" s="79" t="str">
        <f>IFERROR(VLOOKUP($M972,Export!$P:$R,3,FALSE),"-")</f>
        <v>PartsInternal Sales Gross Profit % of Sales</v>
      </c>
      <c r="R972" s="80" t="str" cm="1">
        <f t="array" ref="R972">_xlfn.IFS(P972="Service", _xlfn.IFS(I972="SALES","GP",I972="SERVICE SALES","GP",I972="PARTS SALES","GP",I972="SERVICE COS","GP",I972="PARTS COS","GP",I972="SELLING EXPENSES","Selling Expenses",I972="EMPLOYMENT EXPENSES","Selling Expenses",I972="EMPLOYMENT EXPENSES","Selling Expenses",I972="DIRECT EXPENSES","Selling Expenses",I972="INDIRECT EXPENSES","Selling Expenses"),P972="Parts",_xlfn.IFS(I972="SALES","GP",I972="SERVICE SALES","GP",I972="PARTS SALES","GP",I972="SERVICE COS","GP",I972="PARTS COS","GP",I972="SELLING EXPENSES","Selling Expenses",I972="EMPLOYMENT EXPENSES","Selling Expenses",I972="EMPLOYMENT EXPENSES","Selling Expenses",I972="DIRECT EXPENSES","Selling Expenses",I972="INDIRECT EXPENSES","Selling Expenses"))</f>
        <v>GP</v>
      </c>
    </row>
    <row r="973" spans="1:18" x14ac:dyDescent="0.2">
      <c r="A973" s="75">
        <v>4505</v>
      </c>
      <c r="B973" s="76" t="s">
        <v>109</v>
      </c>
      <c r="C973" s="76">
        <v>430</v>
      </c>
      <c r="D973" s="76" t="s">
        <v>458</v>
      </c>
      <c r="E973" s="76" t="s">
        <v>426</v>
      </c>
      <c r="F973" s="77">
        <v>1184956.1100000001</v>
      </c>
      <c r="G973" s="77">
        <v>87068.32</v>
      </c>
      <c r="H973" s="77">
        <v>1272024.43</v>
      </c>
      <c r="I973" s="76" t="s">
        <v>910</v>
      </c>
      <c r="J973" s="77">
        <v>130723.95</v>
      </c>
      <c r="K973" s="78">
        <v>1116248.54</v>
      </c>
      <c r="M973" s="79" t="str">
        <f t="shared" si="47"/>
        <v>430-4505</v>
      </c>
      <c r="N973" s="79" t="str">
        <f t="shared" si="45"/>
        <v/>
      </c>
      <c r="O973" s="79" t="str">
        <f t="shared" si="46"/>
        <v>430</v>
      </c>
      <c r="P973" s="79" t="str">
        <f>IFERROR(VLOOKUP($M973,Export!$P:$R,2,FALSE),"-")</f>
        <v>Parts</v>
      </c>
      <c r="Q973" s="79" t="str">
        <f>IFERROR(VLOOKUP($M973,Export!$P:$R,3,FALSE),"-")</f>
        <v>PartsInternal Sales Gross Profit % of Sales</v>
      </c>
      <c r="R973" s="80" t="str" cm="1">
        <f t="array" ref="R973">_xlfn.IFS(P973="Service", _xlfn.IFS(I973="SALES","GP",I973="SERVICE SALES","GP",I973="PARTS SALES","GP",I973="SERVICE COS","GP",I973="PARTS COS","GP",I973="SELLING EXPENSES","Selling Expenses",I973="EMPLOYMENT EXPENSES","Selling Expenses",I973="EMPLOYMENT EXPENSES","Selling Expenses",I973="DIRECT EXPENSES","Selling Expenses",I973="INDIRECT EXPENSES","Selling Expenses"),P973="Parts",_xlfn.IFS(I973="SALES","GP",I973="SERVICE SALES","GP",I973="PARTS SALES","GP",I973="SERVICE COS","GP",I973="PARTS COS","GP",I973="SELLING EXPENSES","Selling Expenses",I973="EMPLOYMENT EXPENSES","Selling Expenses",I973="EMPLOYMENT EXPENSES","Selling Expenses",I973="DIRECT EXPENSES","Selling Expenses",I973="INDIRECT EXPENSES","Selling Expenses"))</f>
        <v>GP</v>
      </c>
    </row>
    <row r="974" spans="1:18" x14ac:dyDescent="0.2">
      <c r="A974" s="75">
        <v>4505</v>
      </c>
      <c r="B974" s="76" t="s">
        <v>109</v>
      </c>
      <c r="C974" s="76">
        <v>935</v>
      </c>
      <c r="D974" s="76" t="s">
        <v>442</v>
      </c>
      <c r="E974" s="76" t="s">
        <v>426</v>
      </c>
      <c r="F974" s="77">
        <v>69004</v>
      </c>
      <c r="G974" s="287">
        <v>11686.68</v>
      </c>
      <c r="H974" s="77">
        <v>80690.679999999993</v>
      </c>
      <c r="I974" s="76" t="s">
        <v>910</v>
      </c>
      <c r="J974" s="77">
        <v>19034.97</v>
      </c>
      <c r="K974" s="78">
        <v>185990.21</v>
      </c>
      <c r="M974" s="79" t="str">
        <f t="shared" si="47"/>
        <v>935-4505</v>
      </c>
      <c r="N974" s="79" t="str">
        <f t="shared" si="45"/>
        <v/>
      </c>
      <c r="O974" s="79" t="str">
        <f t="shared" si="46"/>
        <v>935</v>
      </c>
      <c r="P974" s="79" t="str">
        <f>IFERROR(VLOOKUP($M974,Export!$P:$R,2,FALSE),"-")</f>
        <v>Bridgestone</v>
      </c>
      <c r="Q974" s="79" t="str">
        <f>IFERROR(VLOOKUP($M974,Export!$P:$R,3,FALSE),"-")</f>
        <v>BridgestoneInternal Sales Gross Profit % of Sales</v>
      </c>
      <c r="R974" s="80" t="e" cm="1">
        <f t="array" ref="R974">_xlfn.IFS(P974="Service", _xlfn.IFS(I974="SALES","GP",I974="SERVICE SALES","GP",I974="PARTS SALES","GP",I974="SERVICE COS","GP",I974="PARTS COS","GP",I974="SELLING EXPENSES","Selling Expenses",I974="EMPLOYMENT EXPENSES","Selling Expenses",I974="EMPLOYMENT EXPENSES","Selling Expenses",I974="DIRECT EXPENSES","Selling Expenses",I974="INDIRECT EXPENSES","Selling Expenses"),P974="Parts",_xlfn.IFS(I974="SALES","GP",I974="SERVICE SALES","GP",I974="PARTS SALES","GP",I974="SERVICE COS","GP",I974="PARTS COS","GP",I974="SELLING EXPENSES","Selling Expenses",I974="EMPLOYMENT EXPENSES","Selling Expenses",I974="EMPLOYMENT EXPENSES","Selling Expenses",I974="DIRECT EXPENSES","Selling Expenses",I974="INDIRECT EXPENSES","Selling Expenses"))</f>
        <v>#N/A</v>
      </c>
    </row>
    <row r="975" spans="1:18" x14ac:dyDescent="0.2">
      <c r="A975" s="75">
        <v>4505</v>
      </c>
      <c r="B975" s="76" t="s">
        <v>109</v>
      </c>
      <c r="C975" s="76">
        <v>936</v>
      </c>
      <c r="D975" s="76" t="s">
        <v>443</v>
      </c>
      <c r="E975" s="76" t="s">
        <v>426</v>
      </c>
      <c r="F975" s="77">
        <v>377</v>
      </c>
      <c r="G975" s="77">
        <v>0</v>
      </c>
      <c r="H975" s="77">
        <v>377</v>
      </c>
      <c r="I975" s="76" t="s">
        <v>910</v>
      </c>
      <c r="J975" s="77">
        <v>636.12</v>
      </c>
      <c r="K975" s="78">
        <v>8280.19</v>
      </c>
      <c r="M975" s="79" t="str">
        <f t="shared" si="47"/>
        <v>936-4505</v>
      </c>
      <c r="N975" s="79" t="str">
        <f t="shared" si="45"/>
        <v/>
      </c>
      <c r="O975" s="79" t="str">
        <f t="shared" si="46"/>
        <v>936</v>
      </c>
      <c r="P975" s="79" t="str">
        <f>IFERROR(VLOOKUP($M975,Export!$P:$R,2,FALSE),"-")</f>
        <v>Bridgestone</v>
      </c>
      <c r="Q975" s="79" t="str">
        <f>IFERROR(VLOOKUP($M975,Export!$P:$R,3,FALSE),"-")</f>
        <v>BridgestoneInternal Sales Gross Profit % of Sales</v>
      </c>
      <c r="R975" s="80" t="e" cm="1">
        <f t="array" ref="R975">_xlfn.IFS(P975="Service", _xlfn.IFS(I975="SALES","GP",I975="SERVICE SALES","GP",I975="PARTS SALES","GP",I975="SERVICE COS","GP",I975="PARTS COS","GP",I975="SELLING EXPENSES","Selling Expenses",I975="EMPLOYMENT EXPENSES","Selling Expenses",I975="EMPLOYMENT EXPENSES","Selling Expenses",I975="DIRECT EXPENSES","Selling Expenses",I975="INDIRECT EXPENSES","Selling Expenses"),P975="Parts",_xlfn.IFS(I975="SALES","GP",I975="SERVICE SALES","GP",I975="PARTS SALES","GP",I975="SERVICE COS","GP",I975="PARTS COS","GP",I975="SELLING EXPENSES","Selling Expenses",I975="EMPLOYMENT EXPENSES","Selling Expenses",I975="EMPLOYMENT EXPENSES","Selling Expenses",I975="DIRECT EXPENSES","Selling Expenses",I975="INDIRECT EXPENSES","Selling Expenses"))</f>
        <v>#N/A</v>
      </c>
    </row>
    <row r="976" spans="1:18" x14ac:dyDescent="0.2">
      <c r="A976" s="75">
        <v>4510</v>
      </c>
      <c r="B976" s="76" t="s">
        <v>917</v>
      </c>
      <c r="C976" s="76">
        <v>130</v>
      </c>
      <c r="D976" s="76" t="s">
        <v>432</v>
      </c>
      <c r="E976" s="76" t="s">
        <v>426</v>
      </c>
      <c r="F976" s="77">
        <v>40.54</v>
      </c>
      <c r="G976" s="77">
        <v>0</v>
      </c>
      <c r="H976" s="77">
        <v>40.54</v>
      </c>
      <c r="I976" s="76" t="s">
        <v>910</v>
      </c>
      <c r="J976" s="77">
        <v>0</v>
      </c>
      <c r="K976" s="78">
        <v>30.15</v>
      </c>
      <c r="M976" s="79" t="str">
        <f t="shared" si="47"/>
        <v>130-4510</v>
      </c>
      <c r="N976" s="79" t="str">
        <f t="shared" si="45"/>
        <v/>
      </c>
      <c r="O976" s="79" t="str">
        <f t="shared" si="46"/>
        <v>130</v>
      </c>
      <c r="P976" s="79" t="str">
        <f>IFERROR(VLOOKUP($M976,Export!$P:$R,2,FALSE),"-")</f>
        <v>Parts</v>
      </c>
      <c r="Q976" s="79" t="str">
        <f>IFERROR(VLOOKUP($M976,Export!$P:$R,3,FALSE),"-")</f>
        <v>PartsInternal Sales Gross Profit % of Sales</v>
      </c>
      <c r="R976" s="80" t="str" cm="1">
        <f t="array" ref="R976">_xlfn.IFS(P976="Service", _xlfn.IFS(I976="SALES","GP",I976="SERVICE SALES","GP",I976="PARTS SALES","GP",I976="SERVICE COS","GP",I976="PARTS COS","GP",I976="SELLING EXPENSES","Selling Expenses",I976="EMPLOYMENT EXPENSES","Selling Expenses",I976="EMPLOYMENT EXPENSES","Selling Expenses",I976="DIRECT EXPENSES","Selling Expenses",I976="INDIRECT EXPENSES","Selling Expenses"),P976="Parts",_xlfn.IFS(I976="SALES","GP",I976="SERVICE SALES","GP",I976="PARTS SALES","GP",I976="SERVICE COS","GP",I976="PARTS COS","GP",I976="SELLING EXPENSES","Selling Expenses",I976="EMPLOYMENT EXPENSES","Selling Expenses",I976="EMPLOYMENT EXPENSES","Selling Expenses",I976="DIRECT EXPENSES","Selling Expenses",I976="INDIRECT EXPENSES","Selling Expenses"))</f>
        <v>GP</v>
      </c>
    </row>
    <row r="977" spans="1:18" x14ac:dyDescent="0.2">
      <c r="A977" s="75">
        <v>4510</v>
      </c>
      <c r="B977" s="76" t="s">
        <v>917</v>
      </c>
      <c r="C977" s="76">
        <v>230</v>
      </c>
      <c r="D977" s="76" t="s">
        <v>438</v>
      </c>
      <c r="E977" s="76" t="s">
        <v>426</v>
      </c>
      <c r="F977" s="77">
        <v>22</v>
      </c>
      <c r="G977" s="77">
        <v>0</v>
      </c>
      <c r="H977" s="77">
        <v>22</v>
      </c>
      <c r="I977" s="76" t="s">
        <v>910</v>
      </c>
      <c r="J977" s="77">
        <v>0</v>
      </c>
      <c r="K977" s="78">
        <v>0</v>
      </c>
      <c r="M977" s="79" t="str">
        <f t="shared" si="47"/>
        <v>230-4510</v>
      </c>
      <c r="N977" s="79" t="str">
        <f t="shared" si="45"/>
        <v/>
      </c>
      <c r="O977" s="79" t="str">
        <f t="shared" si="46"/>
        <v>230</v>
      </c>
      <c r="P977" s="79" t="str">
        <f>IFERROR(VLOOKUP($M977,Export!$P:$R,2,FALSE),"-")</f>
        <v>Parts</v>
      </c>
      <c r="Q977" s="79" t="str">
        <f>IFERROR(VLOOKUP($M977,Export!$P:$R,3,FALSE),"-")</f>
        <v>PartsInternal Sales Gross Profit % of Sales</v>
      </c>
      <c r="R977" s="80" t="str" cm="1">
        <f t="array" ref="R977">_xlfn.IFS(P977="Service", _xlfn.IFS(I977="SALES","GP",I977="SERVICE SALES","GP",I977="PARTS SALES","GP",I977="SERVICE COS","GP",I977="PARTS COS","GP",I977="SELLING EXPENSES","Selling Expenses",I977="EMPLOYMENT EXPENSES","Selling Expenses",I977="EMPLOYMENT EXPENSES","Selling Expenses",I977="DIRECT EXPENSES","Selling Expenses",I977="INDIRECT EXPENSES","Selling Expenses"),P977="Parts",_xlfn.IFS(I977="SALES","GP",I977="SERVICE SALES","GP",I977="PARTS SALES","GP",I977="SERVICE COS","GP",I977="PARTS COS","GP",I977="SELLING EXPENSES","Selling Expenses",I977="EMPLOYMENT EXPENSES","Selling Expenses",I977="EMPLOYMENT EXPENSES","Selling Expenses",I977="DIRECT EXPENSES","Selling Expenses",I977="INDIRECT EXPENSES","Selling Expenses"))</f>
        <v>GP</v>
      </c>
    </row>
    <row r="978" spans="1:18" x14ac:dyDescent="0.2">
      <c r="A978" s="75">
        <v>4510</v>
      </c>
      <c r="B978" s="76" t="s">
        <v>917</v>
      </c>
      <c r="C978" s="76">
        <v>330</v>
      </c>
      <c r="D978" s="76" t="s">
        <v>457</v>
      </c>
      <c r="E978" s="76" t="s">
        <v>426</v>
      </c>
      <c r="F978" s="77">
        <v>21.84</v>
      </c>
      <c r="G978" s="77">
        <v>0</v>
      </c>
      <c r="H978" s="77">
        <v>21.84</v>
      </c>
      <c r="I978" s="76" t="s">
        <v>910</v>
      </c>
      <c r="J978" s="77">
        <v>0</v>
      </c>
      <c r="K978" s="78">
        <v>0</v>
      </c>
      <c r="M978" s="79" t="str">
        <f t="shared" si="47"/>
        <v>330-4510</v>
      </c>
      <c r="N978" s="79" t="str">
        <f t="shared" si="45"/>
        <v/>
      </c>
      <c r="O978" s="79" t="str">
        <f t="shared" si="46"/>
        <v>330</v>
      </c>
      <c r="P978" s="79" t="str">
        <f>IFERROR(VLOOKUP($M978,Export!$P:$R,2,FALSE),"-")</f>
        <v>Parts</v>
      </c>
      <c r="Q978" s="79" t="str">
        <f>IFERROR(VLOOKUP($M978,Export!$P:$R,3,FALSE),"-")</f>
        <v>PartsInternal Sales Gross Profit % of Sales</v>
      </c>
      <c r="R978" s="80" t="str" cm="1">
        <f t="array" ref="R978">_xlfn.IFS(P978="Service", _xlfn.IFS(I978="SALES","GP",I978="SERVICE SALES","GP",I978="PARTS SALES","GP",I978="SERVICE COS","GP",I978="PARTS COS","GP",I978="SELLING EXPENSES","Selling Expenses",I978="EMPLOYMENT EXPENSES","Selling Expenses",I978="EMPLOYMENT EXPENSES","Selling Expenses",I978="DIRECT EXPENSES","Selling Expenses",I978="INDIRECT EXPENSES","Selling Expenses"),P978="Parts",_xlfn.IFS(I978="SALES","GP",I978="SERVICE SALES","GP",I978="PARTS SALES","GP",I978="SERVICE COS","GP",I978="PARTS COS","GP",I978="SELLING EXPENSES","Selling Expenses",I978="EMPLOYMENT EXPENSES","Selling Expenses",I978="EMPLOYMENT EXPENSES","Selling Expenses",I978="DIRECT EXPENSES","Selling Expenses",I978="INDIRECT EXPENSES","Selling Expenses"))</f>
        <v>GP</v>
      </c>
    </row>
    <row r="979" spans="1:18" x14ac:dyDescent="0.2">
      <c r="A979" s="75">
        <v>4510</v>
      </c>
      <c r="B979" s="76" t="s">
        <v>917</v>
      </c>
      <c r="C979" s="76">
        <v>430</v>
      </c>
      <c r="D979" s="76" t="s">
        <v>458</v>
      </c>
      <c r="E979" s="76" t="s">
        <v>426</v>
      </c>
      <c r="F979" s="77">
        <v>535.5</v>
      </c>
      <c r="G979" s="77">
        <v>0</v>
      </c>
      <c r="H979" s="77">
        <v>535.5</v>
      </c>
      <c r="I979" s="76" t="s">
        <v>910</v>
      </c>
      <c r="J979" s="77">
        <v>0</v>
      </c>
      <c r="K979" s="78">
        <v>0</v>
      </c>
      <c r="M979" s="79" t="str">
        <f t="shared" si="47"/>
        <v>430-4510</v>
      </c>
      <c r="N979" s="79" t="str">
        <f t="shared" si="45"/>
        <v/>
      </c>
      <c r="O979" s="79" t="str">
        <f t="shared" si="46"/>
        <v>430</v>
      </c>
      <c r="P979" s="79" t="str">
        <f>IFERROR(VLOOKUP($M979,Export!$P:$R,2,FALSE),"-")</f>
        <v>Parts</v>
      </c>
      <c r="Q979" s="79" t="str">
        <f>IFERROR(VLOOKUP($M979,Export!$P:$R,3,FALSE),"-")</f>
        <v>PartsInternal Sales Gross Profit % of Sales</v>
      </c>
      <c r="R979" s="80" t="str" cm="1">
        <f t="array" ref="R979">_xlfn.IFS(P979="Service", _xlfn.IFS(I979="SALES","GP",I979="SERVICE SALES","GP",I979="PARTS SALES","GP",I979="SERVICE COS","GP",I979="PARTS COS","GP",I979="SELLING EXPENSES","Selling Expenses",I979="EMPLOYMENT EXPENSES","Selling Expenses",I979="EMPLOYMENT EXPENSES","Selling Expenses",I979="DIRECT EXPENSES","Selling Expenses",I979="INDIRECT EXPENSES","Selling Expenses"),P979="Parts",_xlfn.IFS(I979="SALES","GP",I979="SERVICE SALES","GP",I979="PARTS SALES","GP",I979="SERVICE COS","GP",I979="PARTS COS","GP",I979="SELLING EXPENSES","Selling Expenses",I979="EMPLOYMENT EXPENSES","Selling Expenses",I979="EMPLOYMENT EXPENSES","Selling Expenses",I979="DIRECT EXPENSES","Selling Expenses",I979="INDIRECT EXPENSES","Selling Expenses"))</f>
        <v>GP</v>
      </c>
    </row>
    <row r="980" spans="1:18" x14ac:dyDescent="0.2">
      <c r="A980" s="75">
        <v>4530</v>
      </c>
      <c r="B980" s="76" t="s">
        <v>918</v>
      </c>
      <c r="C980" s="76">
        <v>130</v>
      </c>
      <c r="D980" s="76" t="s">
        <v>432</v>
      </c>
      <c r="E980" s="76" t="s">
        <v>426</v>
      </c>
      <c r="F980" s="77">
        <v>30821.79</v>
      </c>
      <c r="G980" s="77">
        <v>999.92</v>
      </c>
      <c r="H980" s="77">
        <v>31821.71</v>
      </c>
      <c r="I980" s="76" t="s">
        <v>910</v>
      </c>
      <c r="J980" s="77">
        <v>0</v>
      </c>
      <c r="K980" s="78">
        <v>10709.15</v>
      </c>
      <c r="M980" s="79" t="str">
        <f t="shared" si="47"/>
        <v>130-4530</v>
      </c>
      <c r="N980" s="79" t="str">
        <f t="shared" si="45"/>
        <v/>
      </c>
      <c r="O980" s="79" t="str">
        <f t="shared" si="46"/>
        <v>130</v>
      </c>
      <c r="P980" s="79" t="str">
        <f>IFERROR(VLOOKUP($M980,Export!$P:$R,2,FALSE),"-")</f>
        <v>Parts</v>
      </c>
      <c r="Q980" s="79" t="str">
        <f>IFERROR(VLOOKUP($M980,Export!$P:$R,3,FALSE),"-")</f>
        <v>PartsOther Sales Gross Profit % of Sales</v>
      </c>
      <c r="R980" s="80" t="str" cm="1">
        <f t="array" ref="R980">_xlfn.IFS(P980="Service", _xlfn.IFS(I980="SALES","GP",I980="SERVICE SALES","GP",I980="PARTS SALES","GP",I980="SERVICE COS","GP",I980="PARTS COS","GP",I980="SELLING EXPENSES","Selling Expenses",I980="EMPLOYMENT EXPENSES","Selling Expenses",I980="EMPLOYMENT EXPENSES","Selling Expenses",I980="DIRECT EXPENSES","Selling Expenses",I980="INDIRECT EXPENSES","Selling Expenses"),P980="Parts",_xlfn.IFS(I980="SALES","GP",I980="SERVICE SALES","GP",I980="PARTS SALES","GP",I980="SERVICE COS","GP",I980="PARTS COS","GP",I980="SELLING EXPENSES","Selling Expenses",I980="EMPLOYMENT EXPENSES","Selling Expenses",I980="EMPLOYMENT EXPENSES","Selling Expenses",I980="DIRECT EXPENSES","Selling Expenses",I980="INDIRECT EXPENSES","Selling Expenses"))</f>
        <v>GP</v>
      </c>
    </row>
    <row r="981" spans="1:18" x14ac:dyDescent="0.2">
      <c r="A981" s="75">
        <v>4530</v>
      </c>
      <c r="B981" s="76" t="s">
        <v>918</v>
      </c>
      <c r="C981" s="76">
        <v>230</v>
      </c>
      <c r="D981" s="76" t="s">
        <v>438</v>
      </c>
      <c r="E981" s="76" t="s">
        <v>426</v>
      </c>
      <c r="F981" s="77">
        <v>-4422.72</v>
      </c>
      <c r="G981" s="77">
        <v>4148.22</v>
      </c>
      <c r="H981" s="77">
        <v>-274.5</v>
      </c>
      <c r="I981" s="76" t="s">
        <v>910</v>
      </c>
      <c r="J981" s="77">
        <v>0</v>
      </c>
      <c r="K981" s="78">
        <v>2942.16</v>
      </c>
      <c r="M981" s="79" t="str">
        <f t="shared" si="47"/>
        <v>230-4530</v>
      </c>
      <c r="N981" s="79" t="str">
        <f t="shared" si="45"/>
        <v/>
      </c>
      <c r="O981" s="79" t="str">
        <f t="shared" si="46"/>
        <v>230</v>
      </c>
      <c r="P981" s="79" t="str">
        <f>IFERROR(VLOOKUP($M981,Export!$P:$R,2,FALSE),"-")</f>
        <v>Parts</v>
      </c>
      <c r="Q981" s="79" t="str">
        <f>IFERROR(VLOOKUP($M981,Export!$P:$R,3,FALSE),"-")</f>
        <v>PartsOther Sales Gross Profit % of Sales</v>
      </c>
      <c r="R981" s="80" t="str" cm="1">
        <f t="array" ref="R981">_xlfn.IFS(P981="Service", _xlfn.IFS(I981="SALES","GP",I981="SERVICE SALES","GP",I981="PARTS SALES","GP",I981="SERVICE COS","GP",I981="PARTS COS","GP",I981="SELLING EXPENSES","Selling Expenses",I981="EMPLOYMENT EXPENSES","Selling Expenses",I981="EMPLOYMENT EXPENSES","Selling Expenses",I981="DIRECT EXPENSES","Selling Expenses",I981="INDIRECT EXPENSES","Selling Expenses"),P981="Parts",_xlfn.IFS(I981="SALES","GP",I981="SERVICE SALES","GP",I981="PARTS SALES","GP",I981="SERVICE COS","GP",I981="PARTS COS","GP",I981="SELLING EXPENSES","Selling Expenses",I981="EMPLOYMENT EXPENSES","Selling Expenses",I981="EMPLOYMENT EXPENSES","Selling Expenses",I981="DIRECT EXPENSES","Selling Expenses",I981="INDIRECT EXPENSES","Selling Expenses"))</f>
        <v>GP</v>
      </c>
    </row>
    <row r="982" spans="1:18" x14ac:dyDescent="0.2">
      <c r="A982" s="75">
        <v>4530</v>
      </c>
      <c r="B982" s="76" t="s">
        <v>918</v>
      </c>
      <c r="C982" s="76">
        <v>330</v>
      </c>
      <c r="D982" s="76" t="s">
        <v>457</v>
      </c>
      <c r="E982" s="76" t="s">
        <v>426</v>
      </c>
      <c r="F982" s="77">
        <v>18182.349999999999</v>
      </c>
      <c r="G982" s="77">
        <v>1019.56</v>
      </c>
      <c r="H982" s="77">
        <v>19201.91</v>
      </c>
      <c r="I982" s="76" t="s">
        <v>910</v>
      </c>
      <c r="J982" s="77">
        <v>0</v>
      </c>
      <c r="K982" s="78">
        <v>3874.61</v>
      </c>
      <c r="M982" s="79" t="str">
        <f t="shared" si="47"/>
        <v>330-4530</v>
      </c>
      <c r="N982" s="79" t="str">
        <f t="shared" si="45"/>
        <v/>
      </c>
      <c r="O982" s="79" t="str">
        <f t="shared" si="46"/>
        <v>330</v>
      </c>
      <c r="P982" s="79" t="str">
        <f>IFERROR(VLOOKUP($M982,Export!$P:$R,2,FALSE),"-")</f>
        <v>Parts</v>
      </c>
      <c r="Q982" s="79" t="str">
        <f>IFERROR(VLOOKUP($M982,Export!$P:$R,3,FALSE),"-")</f>
        <v>PartsOther Sales Gross Profit % of Sales</v>
      </c>
      <c r="R982" s="80" t="str" cm="1">
        <f t="array" ref="R982">_xlfn.IFS(P982="Service", _xlfn.IFS(I982="SALES","GP",I982="SERVICE SALES","GP",I982="PARTS SALES","GP",I982="SERVICE COS","GP",I982="PARTS COS","GP",I982="SELLING EXPENSES","Selling Expenses",I982="EMPLOYMENT EXPENSES","Selling Expenses",I982="EMPLOYMENT EXPENSES","Selling Expenses",I982="DIRECT EXPENSES","Selling Expenses",I982="INDIRECT EXPENSES","Selling Expenses"),P982="Parts",_xlfn.IFS(I982="SALES","GP",I982="SERVICE SALES","GP",I982="PARTS SALES","GP",I982="SERVICE COS","GP",I982="PARTS COS","GP",I982="SELLING EXPENSES","Selling Expenses",I982="EMPLOYMENT EXPENSES","Selling Expenses",I982="EMPLOYMENT EXPENSES","Selling Expenses",I982="DIRECT EXPENSES","Selling Expenses",I982="INDIRECT EXPENSES","Selling Expenses"))</f>
        <v>GP</v>
      </c>
    </row>
    <row r="983" spans="1:18" x14ac:dyDescent="0.2">
      <c r="A983" s="75">
        <v>4530</v>
      </c>
      <c r="B983" s="76" t="s">
        <v>918</v>
      </c>
      <c r="C983" s="76">
        <v>430</v>
      </c>
      <c r="D983" s="76" t="s">
        <v>458</v>
      </c>
      <c r="E983" s="76" t="s">
        <v>426</v>
      </c>
      <c r="F983" s="77">
        <v>-63707.4</v>
      </c>
      <c r="G983" s="77">
        <v>-386.1</v>
      </c>
      <c r="H983" s="77">
        <v>-64093.5</v>
      </c>
      <c r="I983" s="76" t="s">
        <v>910</v>
      </c>
      <c r="J983" s="77">
        <v>0</v>
      </c>
      <c r="K983" s="78">
        <v>-14.98</v>
      </c>
      <c r="M983" s="79" t="str">
        <f t="shared" si="47"/>
        <v>430-4530</v>
      </c>
      <c r="N983" s="79" t="str">
        <f t="shared" si="45"/>
        <v/>
      </c>
      <c r="O983" s="79" t="str">
        <f t="shared" si="46"/>
        <v>430</v>
      </c>
      <c r="P983" s="79" t="str">
        <f>IFERROR(VLOOKUP($M983,Export!$P:$R,2,FALSE),"-")</f>
        <v>Parts</v>
      </c>
      <c r="Q983" s="79" t="str">
        <f>IFERROR(VLOOKUP($M983,Export!$P:$R,3,FALSE),"-")</f>
        <v>PartsOther Sales Gross Profit % of Sales</v>
      </c>
      <c r="R983" s="80" t="str" cm="1">
        <f t="array" ref="R983">_xlfn.IFS(P983="Service", _xlfn.IFS(I983="SALES","GP",I983="SERVICE SALES","GP",I983="PARTS SALES","GP",I983="SERVICE COS","GP",I983="PARTS COS","GP",I983="SELLING EXPENSES","Selling Expenses",I983="EMPLOYMENT EXPENSES","Selling Expenses",I983="EMPLOYMENT EXPENSES","Selling Expenses",I983="DIRECT EXPENSES","Selling Expenses",I983="INDIRECT EXPENSES","Selling Expenses"),P983="Parts",_xlfn.IFS(I983="SALES","GP",I983="SERVICE SALES","GP",I983="PARTS SALES","GP",I983="SERVICE COS","GP",I983="PARTS COS","GP",I983="SELLING EXPENSES","Selling Expenses",I983="EMPLOYMENT EXPENSES","Selling Expenses",I983="EMPLOYMENT EXPENSES","Selling Expenses",I983="DIRECT EXPENSES","Selling Expenses",I983="INDIRECT EXPENSES","Selling Expenses"))</f>
        <v>GP</v>
      </c>
    </row>
    <row r="984" spans="1:18" x14ac:dyDescent="0.2">
      <c r="A984" s="75">
        <v>4530</v>
      </c>
      <c r="B984" s="76" t="s">
        <v>918</v>
      </c>
      <c r="C984" s="76">
        <v>935</v>
      </c>
      <c r="D984" s="76" t="s">
        <v>442</v>
      </c>
      <c r="E984" s="76" t="s">
        <v>426</v>
      </c>
      <c r="F984" s="77">
        <v>0</v>
      </c>
      <c r="G984" s="77">
        <v>0</v>
      </c>
      <c r="H984" s="77">
        <v>0</v>
      </c>
      <c r="I984" s="76" t="s">
        <v>910</v>
      </c>
      <c r="J984" s="77">
        <v>0</v>
      </c>
      <c r="K984" s="78">
        <v>88.66</v>
      </c>
      <c r="M984" s="79" t="str">
        <f t="shared" si="47"/>
        <v>935-4530</v>
      </c>
      <c r="N984" s="79" t="str">
        <f t="shared" si="45"/>
        <v/>
      </c>
      <c r="O984" s="79" t="str">
        <f t="shared" si="46"/>
        <v>935</v>
      </c>
      <c r="P984" s="79" t="str">
        <f>IFERROR(VLOOKUP($M984,Export!$P:$R,2,FALSE),"-")</f>
        <v>Bridgestone</v>
      </c>
      <c r="Q984" s="79" t="str">
        <f>IFERROR(VLOOKUP($M984,Export!$P:$R,3,FALSE),"-")</f>
        <v>BridgestoneOther Sales Gross Profit % of Sales</v>
      </c>
      <c r="R984" s="80" t="e" cm="1">
        <f t="array" ref="R984">_xlfn.IFS(P984="Service", _xlfn.IFS(I984="SALES","GP",I984="SERVICE SALES","GP",I984="PARTS SALES","GP",I984="SERVICE COS","GP",I984="PARTS COS","GP",I984="SELLING EXPENSES","Selling Expenses",I984="EMPLOYMENT EXPENSES","Selling Expenses",I984="EMPLOYMENT EXPENSES","Selling Expenses",I984="DIRECT EXPENSES","Selling Expenses",I984="INDIRECT EXPENSES","Selling Expenses"),P984="Parts",_xlfn.IFS(I984="SALES","GP",I984="SERVICE SALES","GP",I984="PARTS SALES","GP",I984="SERVICE COS","GP",I984="PARTS COS","GP",I984="SELLING EXPENSES","Selling Expenses",I984="EMPLOYMENT EXPENSES","Selling Expenses",I984="EMPLOYMENT EXPENSES","Selling Expenses",I984="DIRECT EXPENSES","Selling Expenses",I984="INDIRECT EXPENSES","Selling Expenses"))</f>
        <v>#N/A</v>
      </c>
    </row>
    <row r="985" spans="1:18" x14ac:dyDescent="0.2">
      <c r="A985" s="75">
        <v>4530</v>
      </c>
      <c r="B985" s="76" t="s">
        <v>918</v>
      </c>
      <c r="C985" s="76">
        <v>936</v>
      </c>
      <c r="D985" s="76" t="s">
        <v>443</v>
      </c>
      <c r="E985" s="76" t="s">
        <v>426</v>
      </c>
      <c r="F985" s="77">
        <v>0</v>
      </c>
      <c r="G985" s="77">
        <v>0</v>
      </c>
      <c r="H985" s="77">
        <v>0</v>
      </c>
      <c r="I985" s="76" t="s">
        <v>910</v>
      </c>
      <c r="J985" s="77">
        <v>0</v>
      </c>
      <c r="K985" s="78">
        <v>1234.72</v>
      </c>
      <c r="M985" s="79" t="str">
        <f t="shared" si="47"/>
        <v>936-4530</v>
      </c>
      <c r="N985" s="79" t="str">
        <f t="shared" si="45"/>
        <v/>
      </c>
      <c r="O985" s="79" t="str">
        <f t="shared" si="46"/>
        <v>936</v>
      </c>
      <c r="P985" s="79" t="str">
        <f>IFERROR(VLOOKUP($M985,Export!$P:$R,2,FALSE),"-")</f>
        <v>Bridgestone</v>
      </c>
      <c r="Q985" s="79" t="str">
        <f>IFERROR(VLOOKUP($M985,Export!$P:$R,3,FALSE),"-")</f>
        <v>BridgestoneOther Sales Gross Profit % of Sales</v>
      </c>
      <c r="R985" s="80" t="e" cm="1">
        <f t="array" ref="R985">_xlfn.IFS(P985="Service", _xlfn.IFS(I985="SALES","GP",I985="SERVICE SALES","GP",I985="PARTS SALES","GP",I985="SERVICE COS","GP",I985="PARTS COS","GP",I985="SELLING EXPENSES","Selling Expenses",I985="EMPLOYMENT EXPENSES","Selling Expenses",I985="EMPLOYMENT EXPENSES","Selling Expenses",I985="DIRECT EXPENSES","Selling Expenses",I985="INDIRECT EXPENSES","Selling Expenses"),P985="Parts",_xlfn.IFS(I985="SALES","GP",I985="SERVICE SALES","GP",I985="PARTS SALES","GP",I985="SERVICE COS","GP",I985="PARTS COS","GP",I985="SELLING EXPENSES","Selling Expenses",I985="EMPLOYMENT EXPENSES","Selling Expenses",I985="EMPLOYMENT EXPENSES","Selling Expenses",I985="DIRECT EXPENSES","Selling Expenses",I985="INDIRECT EXPENSES","Selling Expenses"))</f>
        <v>#N/A</v>
      </c>
    </row>
    <row r="986" spans="1:18" x14ac:dyDescent="0.2">
      <c r="A986" s="75">
        <v>4531</v>
      </c>
      <c r="B986" s="76" t="s">
        <v>919</v>
      </c>
      <c r="C986" s="76">
        <v>130</v>
      </c>
      <c r="D986" s="76" t="s">
        <v>432</v>
      </c>
      <c r="E986" s="76" t="s">
        <v>426</v>
      </c>
      <c r="F986" s="77">
        <v>1679.66</v>
      </c>
      <c r="G986" s="77">
        <v>-70.209999999999994</v>
      </c>
      <c r="H986" s="77">
        <v>1609.45</v>
      </c>
      <c r="I986" s="76" t="s">
        <v>910</v>
      </c>
      <c r="J986" s="77">
        <v>0</v>
      </c>
      <c r="K986" s="78">
        <v>-9382.2000000000007</v>
      </c>
      <c r="M986" s="79" t="str">
        <f t="shared" si="47"/>
        <v>130-4531</v>
      </c>
      <c r="N986" s="79" t="str">
        <f t="shared" si="45"/>
        <v/>
      </c>
      <c r="O986" s="79" t="str">
        <f t="shared" si="46"/>
        <v>130</v>
      </c>
      <c r="P986" s="79" t="str">
        <f>IFERROR(VLOOKUP($M986,Export!$P:$R,2,FALSE),"-")</f>
        <v>Parts</v>
      </c>
      <c r="Q986" s="79" t="str">
        <f>IFERROR(VLOOKUP($M986,Export!$P:$R,3,FALSE),"-")</f>
        <v>PartsOther Sales Gross Profit % of Sales</v>
      </c>
      <c r="R986" s="80" t="str" cm="1">
        <f t="array" ref="R986">_xlfn.IFS(P986="Service", _xlfn.IFS(I986="SALES","GP",I986="SERVICE SALES","GP",I986="PARTS SALES","GP",I986="SERVICE COS","GP",I986="PARTS COS","GP",I986="SELLING EXPENSES","Selling Expenses",I986="EMPLOYMENT EXPENSES","Selling Expenses",I986="EMPLOYMENT EXPENSES","Selling Expenses",I986="DIRECT EXPENSES","Selling Expenses",I986="INDIRECT EXPENSES","Selling Expenses"),P986="Parts",_xlfn.IFS(I986="SALES","GP",I986="SERVICE SALES","GP",I986="PARTS SALES","GP",I986="SERVICE COS","GP",I986="PARTS COS","GP",I986="SELLING EXPENSES","Selling Expenses",I986="EMPLOYMENT EXPENSES","Selling Expenses",I986="EMPLOYMENT EXPENSES","Selling Expenses",I986="DIRECT EXPENSES","Selling Expenses",I986="INDIRECT EXPENSES","Selling Expenses"))</f>
        <v>GP</v>
      </c>
    </row>
    <row r="987" spans="1:18" x14ac:dyDescent="0.2">
      <c r="A987" s="75">
        <v>4531</v>
      </c>
      <c r="B987" s="76" t="s">
        <v>919</v>
      </c>
      <c r="C987" s="76">
        <v>230</v>
      </c>
      <c r="D987" s="76" t="s">
        <v>438</v>
      </c>
      <c r="E987" s="76" t="s">
        <v>426</v>
      </c>
      <c r="F987" s="77">
        <v>3964.33</v>
      </c>
      <c r="G987" s="77">
        <v>-76.06</v>
      </c>
      <c r="H987" s="77">
        <v>3888.27</v>
      </c>
      <c r="I987" s="76" t="s">
        <v>910</v>
      </c>
      <c r="J987" s="77">
        <v>0</v>
      </c>
      <c r="K987" s="78">
        <v>-1143.0999999999999</v>
      </c>
      <c r="M987" s="79" t="str">
        <f t="shared" si="47"/>
        <v>230-4531</v>
      </c>
      <c r="N987" s="79" t="str">
        <f t="shared" si="45"/>
        <v/>
      </c>
      <c r="O987" s="79" t="str">
        <f t="shared" si="46"/>
        <v>230</v>
      </c>
      <c r="P987" s="79" t="str">
        <f>IFERROR(VLOOKUP($M987,Export!$P:$R,2,FALSE),"-")</f>
        <v>Parts</v>
      </c>
      <c r="Q987" s="79" t="str">
        <f>IFERROR(VLOOKUP($M987,Export!$P:$R,3,FALSE),"-")</f>
        <v>PartsOther Sales Gross Profit % of Sales</v>
      </c>
      <c r="R987" s="80" t="str" cm="1">
        <f t="array" ref="R987">_xlfn.IFS(P987="Service", _xlfn.IFS(I987="SALES","GP",I987="SERVICE SALES","GP",I987="PARTS SALES","GP",I987="SERVICE COS","GP",I987="PARTS COS","GP",I987="SELLING EXPENSES","Selling Expenses",I987="EMPLOYMENT EXPENSES","Selling Expenses",I987="EMPLOYMENT EXPENSES","Selling Expenses",I987="DIRECT EXPENSES","Selling Expenses",I987="INDIRECT EXPENSES","Selling Expenses"),P987="Parts",_xlfn.IFS(I987="SALES","GP",I987="SERVICE SALES","GP",I987="PARTS SALES","GP",I987="SERVICE COS","GP",I987="PARTS COS","GP",I987="SELLING EXPENSES","Selling Expenses",I987="EMPLOYMENT EXPENSES","Selling Expenses",I987="EMPLOYMENT EXPENSES","Selling Expenses",I987="DIRECT EXPENSES","Selling Expenses",I987="INDIRECT EXPENSES","Selling Expenses"))</f>
        <v>GP</v>
      </c>
    </row>
    <row r="988" spans="1:18" x14ac:dyDescent="0.2">
      <c r="A988" s="75">
        <v>4531</v>
      </c>
      <c r="B988" s="76" t="s">
        <v>919</v>
      </c>
      <c r="C988" s="76">
        <v>330</v>
      </c>
      <c r="D988" s="76" t="s">
        <v>457</v>
      </c>
      <c r="E988" s="76" t="s">
        <v>426</v>
      </c>
      <c r="F988" s="77">
        <v>718</v>
      </c>
      <c r="G988" s="77">
        <v>-28.21</v>
      </c>
      <c r="H988" s="77">
        <v>689.79</v>
      </c>
      <c r="I988" s="76" t="s">
        <v>910</v>
      </c>
      <c r="J988" s="77">
        <v>0</v>
      </c>
      <c r="K988" s="78">
        <v>-493.66</v>
      </c>
      <c r="M988" s="79" t="str">
        <f t="shared" si="47"/>
        <v>330-4531</v>
      </c>
      <c r="N988" s="79" t="str">
        <f t="shared" si="45"/>
        <v/>
      </c>
      <c r="O988" s="79" t="str">
        <f t="shared" si="46"/>
        <v>330</v>
      </c>
      <c r="P988" s="79" t="str">
        <f>IFERROR(VLOOKUP($M988,Export!$P:$R,2,FALSE),"-")</f>
        <v>Parts</v>
      </c>
      <c r="Q988" s="79" t="str">
        <f>IFERROR(VLOOKUP($M988,Export!$P:$R,3,FALSE),"-")</f>
        <v>PartsOther Sales Gross Profit % of Sales</v>
      </c>
      <c r="R988" s="80" t="str" cm="1">
        <f t="array" ref="R988">_xlfn.IFS(P988="Service", _xlfn.IFS(I988="SALES","GP",I988="SERVICE SALES","GP",I988="PARTS SALES","GP",I988="SERVICE COS","GP",I988="PARTS COS","GP",I988="SELLING EXPENSES","Selling Expenses",I988="EMPLOYMENT EXPENSES","Selling Expenses",I988="EMPLOYMENT EXPENSES","Selling Expenses",I988="DIRECT EXPENSES","Selling Expenses",I988="INDIRECT EXPENSES","Selling Expenses"),P988="Parts",_xlfn.IFS(I988="SALES","GP",I988="SERVICE SALES","GP",I988="PARTS SALES","GP",I988="SERVICE COS","GP",I988="PARTS COS","GP",I988="SELLING EXPENSES","Selling Expenses",I988="EMPLOYMENT EXPENSES","Selling Expenses",I988="EMPLOYMENT EXPENSES","Selling Expenses",I988="DIRECT EXPENSES","Selling Expenses",I988="INDIRECT EXPENSES","Selling Expenses"))</f>
        <v>GP</v>
      </c>
    </row>
    <row r="989" spans="1:18" x14ac:dyDescent="0.2">
      <c r="A989" s="75">
        <v>4531</v>
      </c>
      <c r="B989" s="76" t="s">
        <v>919</v>
      </c>
      <c r="C989" s="76">
        <v>430</v>
      </c>
      <c r="D989" s="76" t="s">
        <v>458</v>
      </c>
      <c r="E989" s="76" t="s">
        <v>426</v>
      </c>
      <c r="F989" s="77">
        <v>3999.08</v>
      </c>
      <c r="G989" s="287">
        <v>168.88</v>
      </c>
      <c r="H989" s="77">
        <v>4167.96</v>
      </c>
      <c r="I989" s="76" t="s">
        <v>910</v>
      </c>
      <c r="J989" s="77">
        <v>0</v>
      </c>
      <c r="K989" s="78">
        <v>-65.209999999999994</v>
      </c>
      <c r="M989" s="79" t="str">
        <f t="shared" si="47"/>
        <v>430-4531</v>
      </c>
      <c r="N989" s="79" t="str">
        <f t="shared" si="45"/>
        <v/>
      </c>
      <c r="O989" s="79" t="str">
        <f t="shared" si="46"/>
        <v>430</v>
      </c>
      <c r="P989" s="79" t="str">
        <f>IFERROR(VLOOKUP($M989,Export!$P:$R,2,FALSE),"-")</f>
        <v>Parts</v>
      </c>
      <c r="Q989" s="79" t="str">
        <f>IFERROR(VLOOKUP($M989,Export!$P:$R,3,FALSE),"-")</f>
        <v>PartsOther Sales Gross Profit % of Sales</v>
      </c>
      <c r="R989" s="80" t="str" cm="1">
        <f t="array" ref="R989">_xlfn.IFS(P989="Service", _xlfn.IFS(I989="SALES","GP",I989="SERVICE SALES","GP",I989="PARTS SALES","GP",I989="SERVICE COS","GP",I989="PARTS COS","GP",I989="SELLING EXPENSES","Selling Expenses",I989="EMPLOYMENT EXPENSES","Selling Expenses",I989="EMPLOYMENT EXPENSES","Selling Expenses",I989="DIRECT EXPENSES","Selling Expenses",I989="INDIRECT EXPENSES","Selling Expenses"),P989="Parts",_xlfn.IFS(I989="SALES","GP",I989="SERVICE SALES","GP",I989="PARTS SALES","GP",I989="SERVICE COS","GP",I989="PARTS COS","GP",I989="SELLING EXPENSES","Selling Expenses",I989="EMPLOYMENT EXPENSES","Selling Expenses",I989="EMPLOYMENT EXPENSES","Selling Expenses",I989="DIRECT EXPENSES","Selling Expenses",I989="INDIRECT EXPENSES","Selling Expenses"))</f>
        <v>GP</v>
      </c>
    </row>
    <row r="990" spans="1:18" x14ac:dyDescent="0.2">
      <c r="A990" s="75">
        <v>4531</v>
      </c>
      <c r="B990" s="76" t="s">
        <v>919</v>
      </c>
      <c r="C990" s="76">
        <v>935</v>
      </c>
      <c r="D990" s="76" t="s">
        <v>442</v>
      </c>
      <c r="E990" s="76" t="s">
        <v>426</v>
      </c>
      <c r="F990" s="77">
        <v>17114.330000000002</v>
      </c>
      <c r="G990" s="287">
        <v>826.55</v>
      </c>
      <c r="H990" s="77">
        <v>17940.88</v>
      </c>
      <c r="I990" s="76" t="s">
        <v>910</v>
      </c>
      <c r="J990" s="77">
        <v>0</v>
      </c>
      <c r="K990" s="78">
        <v>1610.63</v>
      </c>
      <c r="M990" s="79" t="str">
        <f t="shared" si="47"/>
        <v>935-4531</v>
      </c>
      <c r="N990" s="79" t="str">
        <f t="shared" si="45"/>
        <v/>
      </c>
      <c r="O990" s="79" t="str">
        <f t="shared" si="46"/>
        <v>935</v>
      </c>
      <c r="P990" s="79" t="str">
        <f>IFERROR(VLOOKUP($M990,Export!$P:$R,2,FALSE),"-")</f>
        <v>Bridgestone</v>
      </c>
      <c r="Q990" s="79" t="str">
        <f>IFERROR(VLOOKUP($M990,Export!$P:$R,3,FALSE),"-")</f>
        <v>BridgestoneOther Sales Gross Profit % of Sales</v>
      </c>
      <c r="R990" s="80" t="e" cm="1">
        <f t="array" ref="R990">_xlfn.IFS(P990="Service", _xlfn.IFS(I990="SALES","GP",I990="SERVICE SALES","GP",I990="PARTS SALES","GP",I990="SERVICE COS","GP",I990="PARTS COS","GP",I990="SELLING EXPENSES","Selling Expenses",I990="EMPLOYMENT EXPENSES","Selling Expenses",I990="EMPLOYMENT EXPENSES","Selling Expenses",I990="DIRECT EXPENSES","Selling Expenses",I990="INDIRECT EXPENSES","Selling Expenses"),P990="Parts",_xlfn.IFS(I990="SALES","GP",I990="SERVICE SALES","GP",I990="PARTS SALES","GP",I990="SERVICE COS","GP",I990="PARTS COS","GP",I990="SELLING EXPENSES","Selling Expenses",I990="EMPLOYMENT EXPENSES","Selling Expenses",I990="EMPLOYMENT EXPENSES","Selling Expenses",I990="DIRECT EXPENSES","Selling Expenses",I990="INDIRECT EXPENSES","Selling Expenses"))</f>
        <v>#N/A</v>
      </c>
    </row>
    <row r="991" spans="1:18" x14ac:dyDescent="0.2">
      <c r="A991" s="75">
        <v>4531</v>
      </c>
      <c r="B991" s="76" t="s">
        <v>919</v>
      </c>
      <c r="C991" s="76">
        <v>936</v>
      </c>
      <c r="D991" s="76" t="s">
        <v>443</v>
      </c>
      <c r="E991" s="76" t="s">
        <v>426</v>
      </c>
      <c r="F991" s="77">
        <v>566.54999999999995</v>
      </c>
      <c r="G991" s="77">
        <v>-47.71</v>
      </c>
      <c r="H991" s="77">
        <v>518.84</v>
      </c>
      <c r="I991" s="76" t="s">
        <v>910</v>
      </c>
      <c r="J991" s="77">
        <v>0</v>
      </c>
      <c r="K991" s="78">
        <v>-313.79000000000002</v>
      </c>
      <c r="M991" s="79" t="str">
        <f t="shared" si="47"/>
        <v>936-4531</v>
      </c>
      <c r="N991" s="79" t="str">
        <f t="shared" si="45"/>
        <v/>
      </c>
      <c r="O991" s="79" t="str">
        <f t="shared" si="46"/>
        <v>936</v>
      </c>
      <c r="P991" s="79" t="str">
        <f>IFERROR(VLOOKUP($M991,Export!$P:$R,2,FALSE),"-")</f>
        <v>Bridgestone</v>
      </c>
      <c r="Q991" s="79" t="str">
        <f>IFERROR(VLOOKUP($M991,Export!$P:$R,3,FALSE),"-")</f>
        <v>BridgestoneOther Sales Gross Profit % of Sales</v>
      </c>
      <c r="R991" s="80" t="e" cm="1">
        <f t="array" ref="R991">_xlfn.IFS(P991="Service", _xlfn.IFS(I991="SALES","GP",I991="SERVICE SALES","GP",I991="PARTS SALES","GP",I991="SERVICE COS","GP",I991="PARTS COS","GP",I991="SELLING EXPENSES","Selling Expenses",I991="EMPLOYMENT EXPENSES","Selling Expenses",I991="EMPLOYMENT EXPENSES","Selling Expenses",I991="DIRECT EXPENSES","Selling Expenses",I991="INDIRECT EXPENSES","Selling Expenses"),P991="Parts",_xlfn.IFS(I991="SALES","GP",I991="SERVICE SALES","GP",I991="PARTS SALES","GP",I991="SERVICE COS","GP",I991="PARTS COS","GP",I991="SELLING EXPENSES","Selling Expenses",I991="EMPLOYMENT EXPENSES","Selling Expenses",I991="EMPLOYMENT EXPENSES","Selling Expenses",I991="DIRECT EXPENSES","Selling Expenses",I991="INDIRECT EXPENSES","Selling Expenses"))</f>
        <v>#N/A</v>
      </c>
    </row>
    <row r="992" spans="1:18" x14ac:dyDescent="0.2">
      <c r="A992" s="75">
        <v>7020</v>
      </c>
      <c r="B992" s="76" t="s">
        <v>75</v>
      </c>
      <c r="C992" s="76">
        <v>110</v>
      </c>
      <c r="D992" s="76" t="s">
        <v>430</v>
      </c>
      <c r="E992" s="76" t="s">
        <v>426</v>
      </c>
      <c r="F992" s="77">
        <v>230430.05</v>
      </c>
      <c r="G992" s="287">
        <v>18850</v>
      </c>
      <c r="H992" s="77">
        <v>249280.05</v>
      </c>
      <c r="I992" s="76" t="s">
        <v>920</v>
      </c>
      <c r="J992" s="77">
        <v>24000</v>
      </c>
      <c r="K992" s="78">
        <v>205965.5</v>
      </c>
      <c r="M992" s="79" t="str">
        <f t="shared" si="47"/>
        <v>110-7020</v>
      </c>
      <c r="N992" s="79" t="str">
        <f t="shared" si="45"/>
        <v/>
      </c>
      <c r="O992" s="79" t="str">
        <f t="shared" si="46"/>
        <v>110</v>
      </c>
      <c r="P992" s="79" t="str">
        <f>IFERROR(VLOOKUP($M992,Export!$P:$R,2,FALSE),"-")</f>
        <v>New Vehicle</v>
      </c>
      <c r="Q992" s="79" t="str">
        <f>IFERROR(VLOOKUP($M992,Export!$P:$R,3,FALSE),"-")</f>
        <v>New VehicleCommission p.u.</v>
      </c>
      <c r="R992" s="80" t="e" cm="1">
        <f t="array" ref="R992">_xlfn.IFS(P992="Service", _xlfn.IFS(I992="SALES","GP",I992="SERVICE SALES","GP",I992="PARTS SALES","GP",I992="SERVICE COS","GP",I992="PARTS COS","GP",I992="SELLING EXPENSES","Selling Expenses",I992="EMPLOYMENT EXPENSES","Selling Expenses",I992="EMPLOYMENT EXPENSES","Selling Expenses",I992="DIRECT EXPENSES","Selling Expenses",I992="INDIRECT EXPENSES","Selling Expenses"),P992="Parts",_xlfn.IFS(I992="SALES","GP",I992="SERVICE SALES","GP",I992="PARTS SALES","GP",I992="SERVICE COS","GP",I992="PARTS COS","GP",I992="SELLING EXPENSES","Selling Expenses",I992="EMPLOYMENT EXPENSES","Selling Expenses",I992="EMPLOYMENT EXPENSES","Selling Expenses",I992="DIRECT EXPENSES","Selling Expenses",I992="INDIRECT EXPENSES","Selling Expenses"))</f>
        <v>#N/A</v>
      </c>
    </row>
    <row r="993" spans="1:18" x14ac:dyDescent="0.2">
      <c r="A993" s="75">
        <v>7020</v>
      </c>
      <c r="B993" s="76" t="s">
        <v>75</v>
      </c>
      <c r="C993" s="76">
        <v>112</v>
      </c>
      <c r="D993" s="76" t="s">
        <v>349</v>
      </c>
      <c r="E993" s="76" t="s">
        <v>426</v>
      </c>
      <c r="F993" s="77">
        <v>358690.19</v>
      </c>
      <c r="G993" s="77">
        <v>23593.94</v>
      </c>
      <c r="H993" s="77">
        <v>382284.13</v>
      </c>
      <c r="I993" s="76" t="s">
        <v>920</v>
      </c>
      <c r="J993" s="77">
        <v>34889.17</v>
      </c>
      <c r="K993" s="78">
        <v>327173.28999999998</v>
      </c>
      <c r="M993" s="79" t="str">
        <f t="shared" si="47"/>
        <v>112-7020</v>
      </c>
      <c r="N993" s="79" t="str">
        <f t="shared" si="45"/>
        <v/>
      </c>
      <c r="O993" s="79" t="str">
        <f t="shared" si="46"/>
        <v>112</v>
      </c>
      <c r="P993" s="79" t="str">
        <f>IFERROR(VLOOKUP($M993,Export!$P:$R,2,FALSE),"-")</f>
        <v>LEX New Vehicle</v>
      </c>
      <c r="Q993" s="79" t="str">
        <f>IFERROR(VLOOKUP($M993,Export!$P:$R,3,FALSE),"-")</f>
        <v>LEX New VehicleCommission p.u.</v>
      </c>
      <c r="R993" s="80" t="e" cm="1">
        <f t="array" ref="R993">_xlfn.IFS(P993="Service", _xlfn.IFS(I993="SALES","GP",I993="SERVICE SALES","GP",I993="PARTS SALES","GP",I993="SERVICE COS","GP",I993="PARTS COS","GP",I993="SELLING EXPENSES","Selling Expenses",I993="EMPLOYMENT EXPENSES","Selling Expenses",I993="EMPLOYMENT EXPENSES","Selling Expenses",I993="DIRECT EXPENSES","Selling Expenses",I993="INDIRECT EXPENSES","Selling Expenses"),P993="Parts",_xlfn.IFS(I993="SALES","GP",I993="SERVICE SALES","GP",I993="PARTS SALES","GP",I993="SERVICE COS","GP",I993="PARTS COS","GP",I993="SELLING EXPENSES","Selling Expenses",I993="EMPLOYMENT EXPENSES","Selling Expenses",I993="EMPLOYMENT EXPENSES","Selling Expenses",I993="DIRECT EXPENSES","Selling Expenses",I993="INDIRECT EXPENSES","Selling Expenses"))</f>
        <v>#N/A</v>
      </c>
    </row>
    <row r="994" spans="1:18" x14ac:dyDescent="0.2">
      <c r="A994" s="75">
        <v>7020</v>
      </c>
      <c r="B994" s="76" t="s">
        <v>75</v>
      </c>
      <c r="C994" s="76">
        <v>120</v>
      </c>
      <c r="D994" s="76" t="s">
        <v>431</v>
      </c>
      <c r="E994" s="76" t="s">
        <v>426</v>
      </c>
      <c r="F994" s="77">
        <v>267123</v>
      </c>
      <c r="G994" s="77">
        <v>37610</v>
      </c>
      <c r="H994" s="77">
        <v>304733</v>
      </c>
      <c r="I994" s="76" t="s">
        <v>920</v>
      </c>
      <c r="J994" s="77">
        <v>18959.169999999998</v>
      </c>
      <c r="K994" s="78">
        <v>164394.01999999999</v>
      </c>
      <c r="M994" s="79" t="str">
        <f t="shared" si="47"/>
        <v>120-7020</v>
      </c>
      <c r="N994" s="79" t="str">
        <f t="shared" si="45"/>
        <v/>
      </c>
      <c r="O994" s="79" t="str">
        <f t="shared" si="46"/>
        <v>120</v>
      </c>
      <c r="P994" s="79" t="str">
        <f>IFERROR(VLOOKUP($M994,Export!$P:$R,2,FALSE),"-")</f>
        <v>Used Vehicle</v>
      </c>
      <c r="Q994" s="79" t="str">
        <f>IFERROR(VLOOKUP($M994,Export!$P:$R,3,FALSE),"-")</f>
        <v>Used VehicleCommission per retail</v>
      </c>
      <c r="R994" s="80" t="e" cm="1">
        <f t="array" ref="R994">_xlfn.IFS(P994="Service", _xlfn.IFS(I994="SALES","GP",I994="SERVICE SALES","GP",I994="PARTS SALES","GP",I994="SERVICE COS","GP",I994="PARTS COS","GP",I994="SELLING EXPENSES","Selling Expenses",I994="EMPLOYMENT EXPENSES","Selling Expenses",I994="EMPLOYMENT EXPENSES","Selling Expenses",I994="DIRECT EXPENSES","Selling Expenses",I994="INDIRECT EXPENSES","Selling Expenses"),P994="Parts",_xlfn.IFS(I994="SALES","GP",I994="SERVICE SALES","GP",I994="PARTS SALES","GP",I994="SERVICE COS","GP",I994="PARTS COS","GP",I994="SELLING EXPENSES","Selling Expenses",I994="EMPLOYMENT EXPENSES","Selling Expenses",I994="EMPLOYMENT EXPENSES","Selling Expenses",I994="DIRECT EXPENSES","Selling Expenses",I994="INDIRECT EXPENSES","Selling Expenses"))</f>
        <v>#N/A</v>
      </c>
    </row>
    <row r="995" spans="1:18" x14ac:dyDescent="0.2">
      <c r="A995" s="75">
        <v>7020</v>
      </c>
      <c r="B995" s="76" t="s">
        <v>75</v>
      </c>
      <c r="C995" s="76">
        <v>121</v>
      </c>
      <c r="D995" s="76" t="s">
        <v>449</v>
      </c>
      <c r="E995" s="76" t="s">
        <v>426</v>
      </c>
      <c r="F995" s="77">
        <v>0</v>
      </c>
      <c r="G995" s="77">
        <v>0</v>
      </c>
      <c r="H995" s="77">
        <v>0</v>
      </c>
      <c r="I995" s="76" t="s">
        <v>920</v>
      </c>
      <c r="J995" s="77">
        <v>10000</v>
      </c>
      <c r="K995" s="78">
        <v>132189</v>
      </c>
      <c r="M995" s="79" t="str">
        <f t="shared" si="47"/>
        <v>121-7020</v>
      </c>
      <c r="N995" s="79" t="str">
        <f t="shared" si="45"/>
        <v/>
      </c>
      <c r="O995" s="79" t="str">
        <f t="shared" si="46"/>
        <v>121</v>
      </c>
      <c r="P995" s="79" t="str">
        <f>IFERROR(VLOOKUP($M995,Export!$P:$R,2,FALSE),"-")</f>
        <v>Used Vehicle</v>
      </c>
      <c r="Q995" s="79" t="str">
        <f>IFERROR(VLOOKUP($M995,Export!$P:$R,3,FALSE),"-")</f>
        <v>Used VehicleCommission per retail</v>
      </c>
      <c r="R995" s="80" t="e" cm="1">
        <f t="array" ref="R995">_xlfn.IFS(P995="Service", _xlfn.IFS(I995="SALES","GP",I995="SERVICE SALES","GP",I995="PARTS SALES","GP",I995="SERVICE COS","GP",I995="PARTS COS","GP",I995="SELLING EXPENSES","Selling Expenses",I995="EMPLOYMENT EXPENSES","Selling Expenses",I995="EMPLOYMENT EXPENSES","Selling Expenses",I995="DIRECT EXPENSES","Selling Expenses",I995="INDIRECT EXPENSES","Selling Expenses"),P995="Parts",_xlfn.IFS(I995="SALES","GP",I995="SERVICE SALES","GP",I995="PARTS SALES","GP",I995="SERVICE COS","GP",I995="PARTS COS","GP",I995="SELLING EXPENSES","Selling Expenses",I995="EMPLOYMENT EXPENSES","Selling Expenses",I995="EMPLOYMENT EXPENSES","Selling Expenses",I995="DIRECT EXPENSES","Selling Expenses",I995="INDIRECT EXPENSES","Selling Expenses"))</f>
        <v>#N/A</v>
      </c>
    </row>
    <row r="996" spans="1:18" x14ac:dyDescent="0.2">
      <c r="A996" s="75">
        <v>7020</v>
      </c>
      <c r="B996" s="76" t="s">
        <v>75</v>
      </c>
      <c r="C996" s="76">
        <v>122</v>
      </c>
      <c r="D996" s="76" t="s">
        <v>452</v>
      </c>
      <c r="E996" s="76" t="s">
        <v>426</v>
      </c>
      <c r="F996" s="77">
        <v>26215.25</v>
      </c>
      <c r="G996" s="77">
        <v>11745.46</v>
      </c>
      <c r="H996" s="77">
        <v>37960.71</v>
      </c>
      <c r="I996" s="76" t="s">
        <v>920</v>
      </c>
      <c r="J996" s="77">
        <v>0</v>
      </c>
      <c r="K996" s="78">
        <v>11773.4</v>
      </c>
      <c r="M996" s="79" t="str">
        <f t="shared" si="47"/>
        <v>122-7020</v>
      </c>
      <c r="N996" s="79" t="str">
        <f t="shared" si="45"/>
        <v/>
      </c>
      <c r="O996" s="79" t="str">
        <f t="shared" si="46"/>
        <v>122</v>
      </c>
      <c r="P996" s="79" t="str">
        <f>IFERROR(VLOOKUP($M996,Export!$P:$R,2,FALSE),"-")</f>
        <v>LEX Used Vehicle</v>
      </c>
      <c r="Q996" s="79" t="str">
        <f>IFERROR(VLOOKUP($M996,Export!$P:$R,3,FALSE),"-")</f>
        <v>LEX Used VehicleCommission per retail</v>
      </c>
      <c r="R996" s="80" t="e" cm="1">
        <f t="array" ref="R996">_xlfn.IFS(P996="Service", _xlfn.IFS(I996="SALES","GP",I996="SERVICE SALES","GP",I996="PARTS SALES","GP",I996="SERVICE COS","GP",I996="PARTS COS","GP",I996="SELLING EXPENSES","Selling Expenses",I996="EMPLOYMENT EXPENSES","Selling Expenses",I996="EMPLOYMENT EXPENSES","Selling Expenses",I996="DIRECT EXPENSES","Selling Expenses",I996="INDIRECT EXPENSES","Selling Expenses"),P996="Parts",_xlfn.IFS(I996="SALES","GP",I996="SERVICE SALES","GP",I996="PARTS SALES","GP",I996="SERVICE COS","GP",I996="PARTS COS","GP",I996="SELLING EXPENSES","Selling Expenses",I996="EMPLOYMENT EXPENSES","Selling Expenses",I996="EMPLOYMENT EXPENSES","Selling Expenses",I996="DIRECT EXPENSES","Selling Expenses",I996="INDIRECT EXPENSES","Selling Expenses"))</f>
        <v>#N/A</v>
      </c>
    </row>
    <row r="997" spans="1:18" x14ac:dyDescent="0.2">
      <c r="A997" s="75">
        <v>7020</v>
      </c>
      <c r="B997" s="76" t="s">
        <v>75</v>
      </c>
      <c r="C997" s="76">
        <v>130</v>
      </c>
      <c r="D997" s="76" t="s">
        <v>432</v>
      </c>
      <c r="E997" s="76" t="s">
        <v>426</v>
      </c>
      <c r="F997" s="77">
        <v>31015.86</v>
      </c>
      <c r="G997" s="287">
        <v>4041.33</v>
      </c>
      <c r="H997" s="77">
        <v>35057.19</v>
      </c>
      <c r="I997" s="76" t="s">
        <v>920</v>
      </c>
      <c r="J997" s="77">
        <v>12032.62</v>
      </c>
      <c r="K997" s="78">
        <v>94098.240000000005</v>
      </c>
      <c r="M997" s="79" t="str">
        <f t="shared" si="47"/>
        <v>130-7020</v>
      </c>
      <c r="N997" s="79" t="str">
        <f t="shared" si="45"/>
        <v/>
      </c>
      <c r="O997" s="79" t="str">
        <f t="shared" si="46"/>
        <v>130</v>
      </c>
      <c r="P997" s="79" t="str">
        <f>IFERROR(VLOOKUP($M997,Export!$P:$R,2,FALSE),"-")</f>
        <v>Parts</v>
      </c>
      <c r="Q997" s="79" t="str">
        <f>IFERROR(VLOOKUP($M997,Export!$P:$R,3,FALSE),"-")</f>
        <v>PartsSalaries &amp; Commission as % of Sales</v>
      </c>
      <c r="R997" s="80" t="str" cm="1">
        <f t="array" ref="R997">_xlfn.IFS(P997="Service", _xlfn.IFS(I997="SALES","GP",I997="SERVICE SALES","GP",I997="PARTS SALES","GP",I997="SERVICE COS","GP",I997="PARTS COS","GP",I997="SELLING EXPENSES","Selling Expenses",I997="EMPLOYMENT EXPENSES","Selling Expenses",I997="EMPLOYMENT EXPENSES","Selling Expenses",I997="DIRECT EXPENSES","Selling Expenses",I997="INDIRECT EXPENSES","Selling Expenses"),P997="Parts",_xlfn.IFS(I997="SALES","GP",I997="SERVICE SALES","GP",I997="PARTS SALES","GP",I997="SERVICE COS","GP",I997="PARTS COS","GP",I997="SELLING EXPENSES","Selling Expenses",I997="EMPLOYMENT EXPENSES","Selling Expenses",I997="EMPLOYMENT EXPENSES","Selling Expenses",I997="DIRECT EXPENSES","Selling Expenses",I997="INDIRECT EXPENSES","Selling Expenses"))</f>
        <v>Selling Expenses</v>
      </c>
    </row>
    <row r="998" spans="1:18" x14ac:dyDescent="0.2">
      <c r="A998" s="75">
        <v>7020</v>
      </c>
      <c r="B998" s="76" t="s">
        <v>75</v>
      </c>
      <c r="C998" s="76">
        <v>140</v>
      </c>
      <c r="D998" s="76" t="s">
        <v>433</v>
      </c>
      <c r="E998" s="76" t="s">
        <v>426</v>
      </c>
      <c r="F998" s="77">
        <v>26063.56</v>
      </c>
      <c r="G998" s="77">
        <v>3587</v>
      </c>
      <c r="H998" s="77">
        <v>29650.560000000001</v>
      </c>
      <c r="I998" s="76" t="s">
        <v>920</v>
      </c>
      <c r="J998" s="77">
        <v>6500</v>
      </c>
      <c r="K998" s="78">
        <v>71782.12</v>
      </c>
      <c r="M998" s="79" t="str">
        <f t="shared" si="47"/>
        <v>140-7020</v>
      </c>
      <c r="N998" s="79" t="str">
        <f t="shared" si="45"/>
        <v/>
      </c>
      <c r="O998" s="79" t="str">
        <f t="shared" si="46"/>
        <v>140</v>
      </c>
      <c r="P998" s="79" t="str">
        <f>IFERROR(VLOOKUP($M998,Export!$P:$R,2,FALSE),"-")</f>
        <v>Service</v>
      </c>
      <c r="Q998" s="79" t="str">
        <f>IFERROR(VLOOKUP($M998,Export!$P:$R,3,FALSE),"-")</f>
        <v>ServiceSalaries, Commission &amp; Leave as % of Sales</v>
      </c>
      <c r="R998" s="80" t="str" cm="1">
        <f t="array" ref="R998">_xlfn.IFS(P998="Service", _xlfn.IFS(I998="SALES","GP",I998="SERVICE SALES","GP",I998="PARTS SALES","GP",I998="SERVICE COS","GP",I998="PARTS COS","GP",I998="SELLING EXPENSES","Selling Expenses",I998="EMPLOYMENT EXPENSES","Selling Expenses",I998="EMPLOYMENT EXPENSES","Selling Expenses",I998="DIRECT EXPENSES","Selling Expenses",I998="INDIRECT EXPENSES","Selling Expenses"),P998="Parts",_xlfn.IFS(I998="SALES","GP",I998="SERVICE SALES","GP",I998="PARTS SALES","GP",I998="SERVICE COS","GP",I998="PARTS COS","GP",I998="SELLING EXPENSES","Selling Expenses",I998="EMPLOYMENT EXPENSES","Selling Expenses",I998="EMPLOYMENT EXPENSES","Selling Expenses",I998="DIRECT EXPENSES","Selling Expenses",I998="INDIRECT EXPENSES","Selling Expenses"))</f>
        <v>Selling Expenses</v>
      </c>
    </row>
    <row r="999" spans="1:18" x14ac:dyDescent="0.2">
      <c r="A999" s="75">
        <v>7020</v>
      </c>
      <c r="B999" s="76" t="s">
        <v>75</v>
      </c>
      <c r="C999" s="76">
        <v>142</v>
      </c>
      <c r="D999" s="76" t="s">
        <v>454</v>
      </c>
      <c r="E999" s="76" t="s">
        <v>426</v>
      </c>
      <c r="F999" s="77">
        <v>32643.84</v>
      </c>
      <c r="G999" s="77">
        <v>3954.67</v>
      </c>
      <c r="H999" s="77">
        <v>36598.51</v>
      </c>
      <c r="I999" s="76" t="s">
        <v>920</v>
      </c>
      <c r="J999" s="77">
        <v>770</v>
      </c>
      <c r="K999" s="78">
        <v>10981</v>
      </c>
      <c r="M999" s="79" t="str">
        <f t="shared" si="47"/>
        <v>142-7020</v>
      </c>
      <c r="N999" s="79" t="str">
        <f t="shared" si="45"/>
        <v/>
      </c>
      <c r="O999" s="79" t="str">
        <f t="shared" si="46"/>
        <v>142</v>
      </c>
      <c r="P999" s="79" t="str">
        <f>IFERROR(VLOOKUP($M999,Export!$P:$R,2,FALSE),"-")</f>
        <v>Lex Service</v>
      </c>
      <c r="Q999" s="79" t="str">
        <f>IFERROR(VLOOKUP($M999,Export!$P:$R,3,FALSE),"-")</f>
        <v>Lex ServiceSalaries, Commission &amp; Leave as % of Sales</v>
      </c>
      <c r="R999" s="80" t="e" cm="1">
        <f t="array" ref="R999">_xlfn.IFS(P999="Service", _xlfn.IFS(I999="SALES","GP",I999="SERVICE SALES","GP",I999="PARTS SALES","GP",I999="SERVICE COS","GP",I999="PARTS COS","GP",I999="SELLING EXPENSES","Selling Expenses",I999="EMPLOYMENT EXPENSES","Selling Expenses",I999="EMPLOYMENT EXPENSES","Selling Expenses",I999="DIRECT EXPENSES","Selling Expenses",I999="INDIRECT EXPENSES","Selling Expenses"),P999="Parts",_xlfn.IFS(I999="SALES","GP",I999="SERVICE SALES","GP",I999="PARTS SALES","GP",I999="SERVICE COS","GP",I999="PARTS COS","GP",I999="SELLING EXPENSES","Selling Expenses",I999="EMPLOYMENT EXPENSES","Selling Expenses",I999="EMPLOYMENT EXPENSES","Selling Expenses",I999="DIRECT EXPENSES","Selling Expenses",I999="INDIRECT EXPENSES","Selling Expenses"))</f>
        <v>#N/A</v>
      </c>
    </row>
    <row r="1000" spans="1:18" x14ac:dyDescent="0.2">
      <c r="A1000" s="75">
        <v>7020</v>
      </c>
      <c r="B1000" s="76" t="s">
        <v>75</v>
      </c>
      <c r="C1000" s="76">
        <v>147</v>
      </c>
      <c r="D1000" s="76" t="s">
        <v>699</v>
      </c>
      <c r="E1000" s="76" t="s">
        <v>426</v>
      </c>
      <c r="F1000" s="77">
        <v>2272.31</v>
      </c>
      <c r="G1000" s="77">
        <v>0</v>
      </c>
      <c r="H1000" s="77">
        <v>2272.31</v>
      </c>
      <c r="I1000" s="76" t="s">
        <v>920</v>
      </c>
      <c r="J1000" s="77">
        <v>1000</v>
      </c>
      <c r="K1000" s="78">
        <v>13241.56</v>
      </c>
      <c r="M1000" s="79" t="str">
        <f t="shared" si="47"/>
        <v>147-7020</v>
      </c>
      <c r="N1000" s="79" t="str">
        <f t="shared" si="45"/>
        <v/>
      </c>
      <c r="O1000" s="79" t="str">
        <f t="shared" si="46"/>
        <v>147</v>
      </c>
      <c r="P1000" s="79" t="str">
        <f>IFERROR(VLOOKUP($M1000,Export!$P:$R,2,FALSE),"-")</f>
        <v>Service</v>
      </c>
      <c r="Q1000" s="79" t="str">
        <f>IFERROR(VLOOKUP($M1000,Export!$P:$R,3,FALSE),"-")</f>
        <v>ServiceSalaries, Commission &amp; Leave as % of Sales</v>
      </c>
      <c r="R1000" s="80" t="str" cm="1">
        <f t="array" ref="R1000">_xlfn.IFS(P1000="Service", _xlfn.IFS(I1000="SALES","GP",I1000="SERVICE SALES","GP",I1000="PARTS SALES","GP",I1000="SERVICE COS","GP",I1000="PARTS COS","GP",I1000="SELLING EXPENSES","Selling Expenses",I1000="EMPLOYMENT EXPENSES","Selling Expenses",I1000="EMPLOYMENT EXPENSES","Selling Expenses",I1000="DIRECT EXPENSES","Selling Expenses",I1000="INDIRECT EXPENSES","Selling Expenses"),P1000="Parts",_xlfn.IFS(I1000="SALES","GP",I1000="SERVICE SALES","GP",I1000="PARTS SALES","GP",I1000="SERVICE COS","GP",I1000="PARTS COS","GP",I1000="SELLING EXPENSES","Selling Expenses",I1000="EMPLOYMENT EXPENSES","Selling Expenses",I1000="EMPLOYMENT EXPENSES","Selling Expenses",I1000="DIRECT EXPENSES","Selling Expenses",I1000="INDIRECT EXPENSES","Selling Expenses"))</f>
        <v>Selling Expenses</v>
      </c>
    </row>
    <row r="1001" spans="1:18" x14ac:dyDescent="0.2">
      <c r="A1001" s="75">
        <v>7020</v>
      </c>
      <c r="B1001" s="76" t="s">
        <v>75</v>
      </c>
      <c r="C1001" s="76">
        <v>150</v>
      </c>
      <c r="D1001" s="76" t="s">
        <v>700</v>
      </c>
      <c r="E1001" s="76" t="s">
        <v>426</v>
      </c>
      <c r="F1001" s="77">
        <v>6092.22</v>
      </c>
      <c r="G1001" s="77">
        <v>1333.33</v>
      </c>
      <c r="H1001" s="77">
        <v>7425.55</v>
      </c>
      <c r="I1001" s="76" t="s">
        <v>920</v>
      </c>
      <c r="J1001" s="77">
        <v>0</v>
      </c>
      <c r="K1001" s="78">
        <v>0</v>
      </c>
      <c r="M1001" s="79" t="str">
        <f t="shared" si="47"/>
        <v>150-7020</v>
      </c>
      <c r="N1001" s="79" t="str">
        <f t="shared" si="45"/>
        <v/>
      </c>
      <c r="O1001" s="79" t="str">
        <f t="shared" si="46"/>
        <v>150</v>
      </c>
      <c r="P1001" s="79" t="str">
        <f>IFERROR(VLOOKUP($M1001,Export!$P:$R,2,FALSE),"-")</f>
        <v>Retail Detailing</v>
      </c>
      <c r="Q1001" s="79" t="str">
        <f>IFERROR(VLOOKUP($M1001,Export!$P:$R,3,FALSE),"-")</f>
        <v>Retail DetailingSalaries, Commission &amp; Leave as % of Sales</v>
      </c>
      <c r="R1001" s="80" t="e" cm="1">
        <f t="array" ref="R1001">_xlfn.IFS(P1001="Service", _xlfn.IFS(I1001="SALES","GP",I1001="SERVICE SALES","GP",I1001="PARTS SALES","GP",I1001="SERVICE COS","GP",I1001="PARTS COS","GP",I1001="SELLING EXPENSES","Selling Expenses",I1001="EMPLOYMENT EXPENSES","Selling Expenses",I1001="EMPLOYMENT EXPENSES","Selling Expenses",I1001="DIRECT EXPENSES","Selling Expenses",I1001="INDIRECT EXPENSES","Selling Expenses"),P1001="Parts",_xlfn.IFS(I1001="SALES","GP",I1001="SERVICE SALES","GP",I1001="PARTS SALES","GP",I1001="SERVICE COS","GP",I1001="PARTS COS","GP",I1001="SELLING EXPENSES","Selling Expenses",I1001="EMPLOYMENT EXPENSES","Selling Expenses",I1001="EMPLOYMENT EXPENSES","Selling Expenses",I1001="DIRECT EXPENSES","Selling Expenses",I1001="INDIRECT EXPENSES","Selling Expenses"))</f>
        <v>#N/A</v>
      </c>
    </row>
    <row r="1002" spans="1:18" x14ac:dyDescent="0.2">
      <c r="A1002" s="75">
        <v>7020</v>
      </c>
      <c r="B1002" s="76" t="s">
        <v>75</v>
      </c>
      <c r="C1002" s="76">
        <v>160</v>
      </c>
      <c r="D1002" s="76" t="s">
        <v>434</v>
      </c>
      <c r="E1002" s="76" t="s">
        <v>426</v>
      </c>
      <c r="F1002" s="77">
        <v>203291.24</v>
      </c>
      <c r="G1002" s="77">
        <v>23254.68</v>
      </c>
      <c r="H1002" s="77">
        <v>226545.92000000001</v>
      </c>
      <c r="I1002" s="76" t="s">
        <v>920</v>
      </c>
      <c r="J1002" s="77">
        <v>26262.5</v>
      </c>
      <c r="K1002" s="78">
        <v>254363.17</v>
      </c>
      <c r="M1002" s="79" t="str">
        <f t="shared" si="47"/>
        <v>160-7020</v>
      </c>
      <c r="N1002" s="79" t="str">
        <f t="shared" si="45"/>
        <v/>
      </c>
      <c r="O1002" s="79" t="str">
        <f t="shared" si="46"/>
        <v>160</v>
      </c>
      <c r="P1002" s="79" t="str">
        <f>IFERROR(VLOOKUP($M1002,Export!$P:$R,2,FALSE),"-")</f>
        <v>F&amp;I</v>
      </c>
      <c r="Q1002" s="79" t="str">
        <f>IFERROR(VLOOKUP($M1002,Export!$P:$R,3,FALSE),"-")</f>
        <v>F&amp;ISalaries &amp; Commission per vehicle retailed</v>
      </c>
      <c r="R1002" s="80" t="e" cm="1">
        <f t="array" ref="R1002">_xlfn.IFS(P1002="Service", _xlfn.IFS(I1002="SALES","GP",I1002="SERVICE SALES","GP",I1002="PARTS SALES","GP",I1002="SERVICE COS","GP",I1002="PARTS COS","GP",I1002="SELLING EXPENSES","Selling Expenses",I1002="EMPLOYMENT EXPENSES","Selling Expenses",I1002="EMPLOYMENT EXPENSES","Selling Expenses",I1002="DIRECT EXPENSES","Selling Expenses",I1002="INDIRECT EXPENSES","Selling Expenses"),P1002="Parts",_xlfn.IFS(I1002="SALES","GP",I1002="SERVICE SALES","GP",I1002="PARTS SALES","GP",I1002="SERVICE COS","GP",I1002="PARTS COS","GP",I1002="SELLING EXPENSES","Selling Expenses",I1002="EMPLOYMENT EXPENSES","Selling Expenses",I1002="EMPLOYMENT EXPENSES","Selling Expenses",I1002="DIRECT EXPENSES","Selling Expenses",I1002="INDIRECT EXPENSES","Selling Expenses"))</f>
        <v>#N/A</v>
      </c>
    </row>
    <row r="1003" spans="1:18" x14ac:dyDescent="0.2">
      <c r="A1003" s="75">
        <v>7020</v>
      </c>
      <c r="B1003" s="76" t="s">
        <v>75</v>
      </c>
      <c r="C1003" s="76">
        <v>162</v>
      </c>
      <c r="D1003" s="76" t="s">
        <v>455</v>
      </c>
      <c r="E1003" s="76" t="s">
        <v>426</v>
      </c>
      <c r="F1003" s="77">
        <v>70676</v>
      </c>
      <c r="G1003" s="77">
        <v>9967</v>
      </c>
      <c r="H1003" s="77">
        <v>80643</v>
      </c>
      <c r="I1003" s="76" t="s">
        <v>920</v>
      </c>
      <c r="J1003" s="77">
        <v>0</v>
      </c>
      <c r="K1003" s="78">
        <v>0</v>
      </c>
      <c r="M1003" s="79" t="str">
        <f t="shared" si="47"/>
        <v>162-7020</v>
      </c>
      <c r="N1003" s="79" t="str">
        <f t="shared" si="45"/>
        <v/>
      </c>
      <c r="O1003" s="79" t="str">
        <f t="shared" si="46"/>
        <v>162</v>
      </c>
      <c r="P1003" s="79" t="str">
        <f>IFERROR(VLOOKUP($M1003,Export!$P:$R,2,FALSE),"-")</f>
        <v>LEX F&amp;I</v>
      </c>
      <c r="Q1003" s="79" t="str">
        <f>IFERROR(VLOOKUP($M1003,Export!$P:$R,3,FALSE),"-")</f>
        <v>LEX F&amp;ISalaries &amp; Commission per vehicle retailed</v>
      </c>
      <c r="R1003" s="80" t="e" cm="1">
        <f t="array" ref="R1003">_xlfn.IFS(P1003="Service", _xlfn.IFS(I1003="SALES","GP",I1003="SERVICE SALES","GP",I1003="PARTS SALES","GP",I1003="SERVICE COS","GP",I1003="PARTS COS","GP",I1003="SELLING EXPENSES","Selling Expenses",I1003="EMPLOYMENT EXPENSES","Selling Expenses",I1003="EMPLOYMENT EXPENSES","Selling Expenses",I1003="DIRECT EXPENSES","Selling Expenses",I1003="INDIRECT EXPENSES","Selling Expenses"),P1003="Parts",_xlfn.IFS(I1003="SALES","GP",I1003="SERVICE SALES","GP",I1003="PARTS SALES","GP",I1003="SERVICE COS","GP",I1003="PARTS COS","GP",I1003="SELLING EXPENSES","Selling Expenses",I1003="EMPLOYMENT EXPENSES","Selling Expenses",I1003="EMPLOYMENT EXPENSES","Selling Expenses",I1003="DIRECT EXPENSES","Selling Expenses",I1003="INDIRECT EXPENSES","Selling Expenses"))</f>
        <v>#N/A</v>
      </c>
    </row>
    <row r="1004" spans="1:18" x14ac:dyDescent="0.2">
      <c r="A1004" s="75">
        <v>7020</v>
      </c>
      <c r="B1004" s="76" t="s">
        <v>75</v>
      </c>
      <c r="C1004" s="76">
        <v>210</v>
      </c>
      <c r="D1004" s="76" t="s">
        <v>436</v>
      </c>
      <c r="E1004" s="76" t="s">
        <v>426</v>
      </c>
      <c r="F1004" s="77">
        <v>201535</v>
      </c>
      <c r="G1004" s="77">
        <v>25750</v>
      </c>
      <c r="H1004" s="77">
        <v>227285</v>
      </c>
      <c r="I1004" s="76" t="s">
        <v>920</v>
      </c>
      <c r="J1004" s="77">
        <v>21110</v>
      </c>
      <c r="K1004" s="78">
        <v>207020</v>
      </c>
      <c r="M1004" s="79" t="str">
        <f t="shared" si="47"/>
        <v>210-7020</v>
      </c>
      <c r="N1004" s="79" t="str">
        <f t="shared" si="45"/>
        <v/>
      </c>
      <c r="O1004" s="79" t="str">
        <f t="shared" si="46"/>
        <v>210</v>
      </c>
      <c r="P1004" s="79" t="str">
        <f>IFERROR(VLOOKUP($M1004,Export!$P:$R,2,FALSE),"-")</f>
        <v>New Vehicle</v>
      </c>
      <c r="Q1004" s="79" t="str">
        <f>IFERROR(VLOOKUP($M1004,Export!$P:$R,3,FALSE),"-")</f>
        <v>New VehicleCommission p.u.</v>
      </c>
      <c r="R1004" s="80" t="e" cm="1">
        <f t="array" ref="R1004">_xlfn.IFS(P1004="Service", _xlfn.IFS(I1004="SALES","GP",I1004="SERVICE SALES","GP",I1004="PARTS SALES","GP",I1004="SERVICE COS","GP",I1004="PARTS COS","GP",I1004="SELLING EXPENSES","Selling Expenses",I1004="EMPLOYMENT EXPENSES","Selling Expenses",I1004="EMPLOYMENT EXPENSES","Selling Expenses",I1004="DIRECT EXPENSES","Selling Expenses",I1004="INDIRECT EXPENSES","Selling Expenses"),P1004="Parts",_xlfn.IFS(I1004="SALES","GP",I1004="SERVICE SALES","GP",I1004="PARTS SALES","GP",I1004="SERVICE COS","GP",I1004="PARTS COS","GP",I1004="SELLING EXPENSES","Selling Expenses",I1004="EMPLOYMENT EXPENSES","Selling Expenses",I1004="EMPLOYMENT EXPENSES","Selling Expenses",I1004="DIRECT EXPENSES","Selling Expenses",I1004="INDIRECT EXPENSES","Selling Expenses"))</f>
        <v>#N/A</v>
      </c>
    </row>
    <row r="1005" spans="1:18" x14ac:dyDescent="0.2">
      <c r="A1005" s="75">
        <v>7020</v>
      </c>
      <c r="B1005" s="76" t="s">
        <v>75</v>
      </c>
      <c r="C1005" s="76">
        <v>220</v>
      </c>
      <c r="D1005" s="76" t="s">
        <v>437</v>
      </c>
      <c r="E1005" s="76" t="s">
        <v>426</v>
      </c>
      <c r="F1005" s="77">
        <v>123097.9</v>
      </c>
      <c r="G1005" s="77">
        <v>15790</v>
      </c>
      <c r="H1005" s="77">
        <v>138887.9</v>
      </c>
      <c r="I1005" s="76" t="s">
        <v>920</v>
      </c>
      <c r="J1005" s="77">
        <v>11000</v>
      </c>
      <c r="K1005" s="78">
        <v>104124.23</v>
      </c>
      <c r="M1005" s="79" t="str">
        <f t="shared" si="47"/>
        <v>220-7020</v>
      </c>
      <c r="N1005" s="79" t="str">
        <f t="shared" si="45"/>
        <v/>
      </c>
      <c r="O1005" s="79" t="str">
        <f t="shared" si="46"/>
        <v>220</v>
      </c>
      <c r="P1005" s="79" t="str">
        <f>IFERROR(VLOOKUP($M1005,Export!$P:$R,2,FALSE),"-")</f>
        <v>Used Vehicle</v>
      </c>
      <c r="Q1005" s="79" t="str">
        <f>IFERROR(VLOOKUP($M1005,Export!$P:$R,3,FALSE),"-")</f>
        <v>Used VehicleCommission per retail</v>
      </c>
      <c r="R1005" s="80" t="e" cm="1">
        <f t="array" ref="R1005">_xlfn.IFS(P1005="Service", _xlfn.IFS(I1005="SALES","GP",I1005="SERVICE SALES","GP",I1005="PARTS SALES","GP",I1005="SERVICE COS","GP",I1005="PARTS COS","GP",I1005="SELLING EXPENSES","Selling Expenses",I1005="EMPLOYMENT EXPENSES","Selling Expenses",I1005="EMPLOYMENT EXPENSES","Selling Expenses",I1005="DIRECT EXPENSES","Selling Expenses",I1005="INDIRECT EXPENSES","Selling Expenses"),P1005="Parts",_xlfn.IFS(I1005="SALES","GP",I1005="SERVICE SALES","GP",I1005="PARTS SALES","GP",I1005="SERVICE COS","GP",I1005="PARTS COS","GP",I1005="SELLING EXPENSES","Selling Expenses",I1005="EMPLOYMENT EXPENSES","Selling Expenses",I1005="EMPLOYMENT EXPENSES","Selling Expenses",I1005="DIRECT EXPENSES","Selling Expenses",I1005="INDIRECT EXPENSES","Selling Expenses"))</f>
        <v>#N/A</v>
      </c>
    </row>
    <row r="1006" spans="1:18" x14ac:dyDescent="0.2">
      <c r="A1006" s="75">
        <v>7020</v>
      </c>
      <c r="B1006" s="76" t="s">
        <v>75</v>
      </c>
      <c r="C1006" s="76">
        <v>230</v>
      </c>
      <c r="D1006" s="76" t="s">
        <v>438</v>
      </c>
      <c r="E1006" s="76" t="s">
        <v>426</v>
      </c>
      <c r="F1006" s="77">
        <v>5568.95</v>
      </c>
      <c r="G1006" s="77">
        <v>683.33</v>
      </c>
      <c r="H1006" s="77">
        <v>6252.28</v>
      </c>
      <c r="I1006" s="76" t="s">
        <v>920</v>
      </c>
      <c r="J1006" s="77">
        <v>567</v>
      </c>
      <c r="K1006" s="78">
        <v>6303</v>
      </c>
      <c r="M1006" s="79" t="str">
        <f t="shared" si="47"/>
        <v>230-7020</v>
      </c>
      <c r="N1006" s="79" t="str">
        <f t="shared" si="45"/>
        <v/>
      </c>
      <c r="O1006" s="79" t="str">
        <f t="shared" si="46"/>
        <v>230</v>
      </c>
      <c r="P1006" s="79" t="str">
        <f>IFERROR(VLOOKUP($M1006,Export!$P:$R,2,FALSE),"-")</f>
        <v>Parts</v>
      </c>
      <c r="Q1006" s="79" t="str">
        <f>IFERROR(VLOOKUP($M1006,Export!$P:$R,3,FALSE),"-")</f>
        <v>PartsSalaries &amp; Commission as % of Sales</v>
      </c>
      <c r="R1006" s="80" t="str" cm="1">
        <f t="array" ref="R1006">_xlfn.IFS(P1006="Service", _xlfn.IFS(I1006="SALES","GP",I1006="SERVICE SALES","GP",I1006="PARTS SALES","GP",I1006="SERVICE COS","GP",I1006="PARTS COS","GP",I1006="SELLING EXPENSES","Selling Expenses",I1006="EMPLOYMENT EXPENSES","Selling Expenses",I1006="EMPLOYMENT EXPENSES","Selling Expenses",I1006="DIRECT EXPENSES","Selling Expenses",I1006="INDIRECT EXPENSES","Selling Expenses"),P1006="Parts",_xlfn.IFS(I1006="SALES","GP",I1006="SERVICE SALES","GP",I1006="PARTS SALES","GP",I1006="SERVICE COS","GP",I1006="PARTS COS","GP",I1006="SELLING EXPENSES","Selling Expenses",I1006="EMPLOYMENT EXPENSES","Selling Expenses",I1006="EMPLOYMENT EXPENSES","Selling Expenses",I1006="DIRECT EXPENSES","Selling Expenses",I1006="INDIRECT EXPENSES","Selling Expenses"))</f>
        <v>Selling Expenses</v>
      </c>
    </row>
    <row r="1007" spans="1:18" x14ac:dyDescent="0.2">
      <c r="A1007" s="75">
        <v>7020</v>
      </c>
      <c r="B1007" s="76" t="s">
        <v>75</v>
      </c>
      <c r="C1007" s="76">
        <v>240</v>
      </c>
      <c r="D1007" s="76" t="s">
        <v>439</v>
      </c>
      <c r="E1007" s="76" t="s">
        <v>426</v>
      </c>
      <c r="F1007" s="77">
        <v>22766.55</v>
      </c>
      <c r="G1007" s="77">
        <v>2625</v>
      </c>
      <c r="H1007" s="77">
        <v>25391.55</v>
      </c>
      <c r="I1007" s="76" t="s">
        <v>920</v>
      </c>
      <c r="J1007" s="77">
        <v>2525.08</v>
      </c>
      <c r="K1007" s="78">
        <v>30853.95</v>
      </c>
      <c r="M1007" s="79" t="str">
        <f t="shared" si="47"/>
        <v>240-7020</v>
      </c>
      <c r="N1007" s="79" t="str">
        <f t="shared" si="45"/>
        <v/>
      </c>
      <c r="O1007" s="79" t="str">
        <f t="shared" si="46"/>
        <v>240</v>
      </c>
      <c r="P1007" s="79" t="str">
        <f>IFERROR(VLOOKUP($M1007,Export!$P:$R,2,FALSE),"-")</f>
        <v>Service</v>
      </c>
      <c r="Q1007" s="79" t="str">
        <f>IFERROR(VLOOKUP($M1007,Export!$P:$R,3,FALSE),"-")</f>
        <v>ServiceSalaries, Commission &amp; Leave as % of Sales</v>
      </c>
      <c r="R1007" s="80" t="str" cm="1">
        <f t="array" ref="R1007">_xlfn.IFS(P1007="Service", _xlfn.IFS(I1007="SALES","GP",I1007="SERVICE SALES","GP",I1007="PARTS SALES","GP",I1007="SERVICE COS","GP",I1007="PARTS COS","GP",I1007="SELLING EXPENSES","Selling Expenses",I1007="EMPLOYMENT EXPENSES","Selling Expenses",I1007="EMPLOYMENT EXPENSES","Selling Expenses",I1007="DIRECT EXPENSES","Selling Expenses",I1007="INDIRECT EXPENSES","Selling Expenses"),P1007="Parts",_xlfn.IFS(I1007="SALES","GP",I1007="SERVICE SALES","GP",I1007="PARTS SALES","GP",I1007="SERVICE COS","GP",I1007="PARTS COS","GP",I1007="SELLING EXPENSES","Selling Expenses",I1007="EMPLOYMENT EXPENSES","Selling Expenses",I1007="EMPLOYMENT EXPENSES","Selling Expenses",I1007="DIRECT EXPENSES","Selling Expenses",I1007="INDIRECT EXPENSES","Selling Expenses"))</f>
        <v>Selling Expenses</v>
      </c>
    </row>
    <row r="1008" spans="1:18" x14ac:dyDescent="0.2">
      <c r="A1008" s="75">
        <v>7020</v>
      </c>
      <c r="B1008" s="76" t="s">
        <v>75</v>
      </c>
      <c r="C1008" s="76">
        <v>260</v>
      </c>
      <c r="D1008" s="76" t="s">
        <v>456</v>
      </c>
      <c r="E1008" s="76" t="s">
        <v>426</v>
      </c>
      <c r="F1008" s="77">
        <v>133495</v>
      </c>
      <c r="G1008" s="77">
        <v>13464</v>
      </c>
      <c r="H1008" s="77">
        <v>146959</v>
      </c>
      <c r="I1008" s="76" t="s">
        <v>920</v>
      </c>
      <c r="J1008" s="77">
        <v>6375</v>
      </c>
      <c r="K1008" s="78">
        <v>72593</v>
      </c>
      <c r="M1008" s="79" t="str">
        <f t="shared" si="47"/>
        <v>260-7020</v>
      </c>
      <c r="N1008" s="79" t="str">
        <f t="shared" si="45"/>
        <v/>
      </c>
      <c r="O1008" s="79" t="str">
        <f t="shared" si="46"/>
        <v>260</v>
      </c>
      <c r="P1008" s="79" t="str">
        <f>IFERROR(VLOOKUP($M1008,Export!$P:$R,2,FALSE),"-")</f>
        <v>F&amp;I</v>
      </c>
      <c r="Q1008" s="79" t="str">
        <f>IFERROR(VLOOKUP($M1008,Export!$P:$R,3,FALSE),"-")</f>
        <v>F&amp;ISalaries &amp; Commission per vehicle retailed</v>
      </c>
      <c r="R1008" s="80" t="e" cm="1">
        <f t="array" ref="R1008">_xlfn.IFS(P1008="Service", _xlfn.IFS(I1008="SALES","GP",I1008="SERVICE SALES","GP",I1008="PARTS SALES","GP",I1008="SERVICE COS","GP",I1008="PARTS COS","GP",I1008="SELLING EXPENSES","Selling Expenses",I1008="EMPLOYMENT EXPENSES","Selling Expenses",I1008="EMPLOYMENT EXPENSES","Selling Expenses",I1008="DIRECT EXPENSES","Selling Expenses",I1008="INDIRECT EXPENSES","Selling Expenses"),P1008="Parts",_xlfn.IFS(I1008="SALES","GP",I1008="SERVICE SALES","GP",I1008="PARTS SALES","GP",I1008="SERVICE COS","GP",I1008="PARTS COS","GP",I1008="SELLING EXPENSES","Selling Expenses",I1008="EMPLOYMENT EXPENSES","Selling Expenses",I1008="EMPLOYMENT EXPENSES","Selling Expenses",I1008="DIRECT EXPENSES","Selling Expenses",I1008="INDIRECT EXPENSES","Selling Expenses"))</f>
        <v>#N/A</v>
      </c>
    </row>
    <row r="1009" spans="1:18" x14ac:dyDescent="0.2">
      <c r="A1009" s="75">
        <v>7020</v>
      </c>
      <c r="B1009" s="76" t="s">
        <v>75</v>
      </c>
      <c r="C1009" s="76">
        <v>330</v>
      </c>
      <c r="D1009" s="76" t="s">
        <v>457</v>
      </c>
      <c r="E1009" s="76" t="s">
        <v>426</v>
      </c>
      <c r="F1009" s="77">
        <v>1611.01</v>
      </c>
      <c r="G1009" s="77">
        <v>283.33</v>
      </c>
      <c r="H1009" s="77">
        <v>1894.34</v>
      </c>
      <c r="I1009" s="76" t="s">
        <v>920</v>
      </c>
      <c r="J1009" s="77">
        <v>283.33</v>
      </c>
      <c r="K1009" s="78">
        <v>2364.98</v>
      </c>
      <c r="M1009" s="79" t="str">
        <f t="shared" si="47"/>
        <v>330-7020</v>
      </c>
      <c r="N1009" s="79" t="str">
        <f t="shared" si="45"/>
        <v/>
      </c>
      <c r="O1009" s="79" t="str">
        <f t="shared" si="46"/>
        <v>330</v>
      </c>
      <c r="P1009" s="79" t="str">
        <f>IFERROR(VLOOKUP($M1009,Export!$P:$R,2,FALSE),"-")</f>
        <v>Parts</v>
      </c>
      <c r="Q1009" s="79" t="str">
        <f>IFERROR(VLOOKUP($M1009,Export!$P:$R,3,FALSE),"-")</f>
        <v>PartsSalaries &amp; Commission as % of Sales</v>
      </c>
      <c r="R1009" s="80" t="str" cm="1">
        <f t="array" ref="R1009">_xlfn.IFS(P1009="Service", _xlfn.IFS(I1009="SALES","GP",I1009="SERVICE SALES","GP",I1009="PARTS SALES","GP",I1009="SERVICE COS","GP",I1009="PARTS COS","GP",I1009="SELLING EXPENSES","Selling Expenses",I1009="EMPLOYMENT EXPENSES","Selling Expenses",I1009="EMPLOYMENT EXPENSES","Selling Expenses",I1009="DIRECT EXPENSES","Selling Expenses",I1009="INDIRECT EXPENSES","Selling Expenses"),P1009="Parts",_xlfn.IFS(I1009="SALES","GP",I1009="SERVICE SALES","GP",I1009="PARTS SALES","GP",I1009="SERVICE COS","GP",I1009="PARTS COS","GP",I1009="SELLING EXPENSES","Selling Expenses",I1009="EMPLOYMENT EXPENSES","Selling Expenses",I1009="EMPLOYMENT EXPENSES","Selling Expenses",I1009="DIRECT EXPENSES","Selling Expenses",I1009="INDIRECT EXPENSES","Selling Expenses"))</f>
        <v>Selling Expenses</v>
      </c>
    </row>
    <row r="1010" spans="1:18" x14ac:dyDescent="0.2">
      <c r="A1010" s="75">
        <v>7020</v>
      </c>
      <c r="B1010" s="76" t="s">
        <v>75</v>
      </c>
      <c r="C1010" s="76">
        <v>340</v>
      </c>
      <c r="D1010" s="76" t="s">
        <v>440</v>
      </c>
      <c r="E1010" s="76" t="s">
        <v>426</v>
      </c>
      <c r="F1010" s="77">
        <v>7470.44</v>
      </c>
      <c r="G1010" s="287">
        <v>1541.67</v>
      </c>
      <c r="H1010" s="77">
        <v>9012.11</v>
      </c>
      <c r="I1010" s="76" t="s">
        <v>920</v>
      </c>
      <c r="J1010" s="77">
        <v>2108.33</v>
      </c>
      <c r="K1010" s="78">
        <v>22043.11</v>
      </c>
      <c r="M1010" s="79" t="str">
        <f t="shared" si="47"/>
        <v>340-7020</v>
      </c>
      <c r="N1010" s="79" t="str">
        <f t="shared" si="45"/>
        <v/>
      </c>
      <c r="O1010" s="79" t="str">
        <f t="shared" si="46"/>
        <v>340</v>
      </c>
      <c r="P1010" s="79" t="str">
        <f>IFERROR(VLOOKUP($M1010,Export!$P:$R,2,FALSE),"-")</f>
        <v>Service</v>
      </c>
      <c r="Q1010" s="79" t="str">
        <f>IFERROR(VLOOKUP($M1010,Export!$P:$R,3,FALSE),"-")</f>
        <v>ServiceSalaries, Commission &amp; Leave as % of Sales</v>
      </c>
      <c r="R1010" s="80" t="str" cm="1">
        <f t="array" ref="R1010">_xlfn.IFS(P1010="Service", _xlfn.IFS(I1010="SALES","GP",I1010="SERVICE SALES","GP",I1010="PARTS SALES","GP",I1010="SERVICE COS","GP",I1010="PARTS COS","GP",I1010="SELLING EXPENSES","Selling Expenses",I1010="EMPLOYMENT EXPENSES","Selling Expenses",I1010="EMPLOYMENT EXPENSES","Selling Expenses",I1010="DIRECT EXPENSES","Selling Expenses",I1010="INDIRECT EXPENSES","Selling Expenses"),P1010="Parts",_xlfn.IFS(I1010="SALES","GP",I1010="SERVICE SALES","GP",I1010="PARTS SALES","GP",I1010="SERVICE COS","GP",I1010="PARTS COS","GP",I1010="SELLING EXPENSES","Selling Expenses",I1010="EMPLOYMENT EXPENSES","Selling Expenses",I1010="EMPLOYMENT EXPENSES","Selling Expenses",I1010="DIRECT EXPENSES","Selling Expenses",I1010="INDIRECT EXPENSES","Selling Expenses"))</f>
        <v>Selling Expenses</v>
      </c>
    </row>
    <row r="1011" spans="1:18" x14ac:dyDescent="0.2">
      <c r="A1011" s="75">
        <v>7020</v>
      </c>
      <c r="B1011" s="76" t="s">
        <v>75</v>
      </c>
      <c r="C1011" s="76">
        <v>430</v>
      </c>
      <c r="D1011" s="76" t="s">
        <v>458</v>
      </c>
      <c r="E1011" s="76" t="s">
        <v>426</v>
      </c>
      <c r="F1011" s="77">
        <v>1200</v>
      </c>
      <c r="G1011" s="287">
        <v>300</v>
      </c>
      <c r="H1011" s="77">
        <v>1500</v>
      </c>
      <c r="I1011" s="76" t="s">
        <v>920</v>
      </c>
      <c r="J1011" s="77">
        <v>0</v>
      </c>
      <c r="K1011" s="78">
        <v>1169</v>
      </c>
      <c r="M1011" s="79" t="str">
        <f t="shared" si="47"/>
        <v>430-7020</v>
      </c>
      <c r="N1011" s="79" t="str">
        <f t="shared" si="45"/>
        <v/>
      </c>
      <c r="O1011" s="79" t="str">
        <f t="shared" si="46"/>
        <v>430</v>
      </c>
      <c r="P1011" s="79" t="str">
        <f>IFERROR(VLOOKUP($M1011,Export!$P:$R,2,FALSE),"-")</f>
        <v>Parts</v>
      </c>
      <c r="Q1011" s="79" t="str">
        <f>IFERROR(VLOOKUP($M1011,Export!$P:$R,3,FALSE),"-")</f>
        <v>PartsSalaries &amp; Commission as % of Sales</v>
      </c>
      <c r="R1011" s="80" t="str" cm="1">
        <f t="array" ref="R1011">_xlfn.IFS(P1011="Service", _xlfn.IFS(I1011="SALES","GP",I1011="SERVICE SALES","GP",I1011="PARTS SALES","GP",I1011="SERVICE COS","GP",I1011="PARTS COS","GP",I1011="SELLING EXPENSES","Selling Expenses",I1011="EMPLOYMENT EXPENSES","Selling Expenses",I1011="EMPLOYMENT EXPENSES","Selling Expenses",I1011="DIRECT EXPENSES","Selling Expenses",I1011="INDIRECT EXPENSES","Selling Expenses"),P1011="Parts",_xlfn.IFS(I1011="SALES","GP",I1011="SERVICE SALES","GP",I1011="PARTS SALES","GP",I1011="SERVICE COS","GP",I1011="PARTS COS","GP",I1011="SELLING EXPENSES","Selling Expenses",I1011="EMPLOYMENT EXPENSES","Selling Expenses",I1011="EMPLOYMENT EXPENSES","Selling Expenses",I1011="DIRECT EXPENSES","Selling Expenses",I1011="INDIRECT EXPENSES","Selling Expenses"))</f>
        <v>Selling Expenses</v>
      </c>
    </row>
    <row r="1012" spans="1:18" x14ac:dyDescent="0.2">
      <c r="A1012" s="75">
        <v>7020</v>
      </c>
      <c r="B1012" s="76" t="s">
        <v>75</v>
      </c>
      <c r="C1012" s="76">
        <v>440</v>
      </c>
      <c r="D1012" s="76" t="s">
        <v>441</v>
      </c>
      <c r="E1012" s="76" t="s">
        <v>426</v>
      </c>
      <c r="F1012" s="77">
        <v>23524.66</v>
      </c>
      <c r="G1012" s="77">
        <v>2541.67</v>
      </c>
      <c r="H1012" s="77">
        <v>26066.33</v>
      </c>
      <c r="I1012" s="76" t="s">
        <v>920</v>
      </c>
      <c r="J1012" s="77">
        <v>1241.67</v>
      </c>
      <c r="K1012" s="78">
        <v>11828.42</v>
      </c>
      <c r="M1012" s="79" t="str">
        <f t="shared" si="47"/>
        <v>440-7020</v>
      </c>
      <c r="N1012" s="79" t="str">
        <f t="shared" si="45"/>
        <v/>
      </c>
      <c r="O1012" s="79" t="str">
        <f t="shared" si="46"/>
        <v>440</v>
      </c>
      <c r="P1012" s="79" t="str">
        <f>IFERROR(VLOOKUP($M1012,Export!$P:$R,2,FALSE),"-")</f>
        <v>Service</v>
      </c>
      <c r="Q1012" s="79" t="str">
        <f>IFERROR(VLOOKUP($M1012,Export!$P:$R,3,FALSE),"-")</f>
        <v>ServiceSalaries, Commission &amp; Leave as % of Sales</v>
      </c>
      <c r="R1012" s="80" t="str" cm="1">
        <f t="array" ref="R1012">_xlfn.IFS(P1012="Service", _xlfn.IFS(I1012="SALES","GP",I1012="SERVICE SALES","GP",I1012="PARTS SALES","GP",I1012="SERVICE COS","GP",I1012="PARTS COS","GP",I1012="SELLING EXPENSES","Selling Expenses",I1012="EMPLOYMENT EXPENSES","Selling Expenses",I1012="EMPLOYMENT EXPENSES","Selling Expenses",I1012="DIRECT EXPENSES","Selling Expenses",I1012="INDIRECT EXPENSES","Selling Expenses"),P1012="Parts",_xlfn.IFS(I1012="SALES","GP",I1012="SERVICE SALES","GP",I1012="PARTS SALES","GP",I1012="SERVICE COS","GP",I1012="PARTS COS","GP",I1012="SELLING EXPENSES","Selling Expenses",I1012="EMPLOYMENT EXPENSES","Selling Expenses",I1012="EMPLOYMENT EXPENSES","Selling Expenses",I1012="DIRECT EXPENSES","Selling Expenses",I1012="INDIRECT EXPENSES","Selling Expenses"))</f>
        <v>Selling Expenses</v>
      </c>
    </row>
    <row r="1013" spans="1:18" x14ac:dyDescent="0.2">
      <c r="A1013" s="75">
        <v>7020</v>
      </c>
      <c r="B1013" s="76" t="s">
        <v>75</v>
      </c>
      <c r="C1013" s="76">
        <v>935</v>
      </c>
      <c r="D1013" s="76" t="s">
        <v>442</v>
      </c>
      <c r="E1013" s="76" t="s">
        <v>426</v>
      </c>
      <c r="F1013" s="77">
        <v>2170.44</v>
      </c>
      <c r="G1013" s="77">
        <v>542.61</v>
      </c>
      <c r="H1013" s="77">
        <v>2713.05</v>
      </c>
      <c r="I1013" s="76" t="s">
        <v>920</v>
      </c>
      <c r="J1013" s="77">
        <v>0</v>
      </c>
      <c r="K1013" s="78">
        <v>418.72</v>
      </c>
      <c r="M1013" s="79" t="str">
        <f t="shared" si="47"/>
        <v>935-7020</v>
      </c>
      <c r="N1013" s="79" t="str">
        <f t="shared" si="45"/>
        <v/>
      </c>
      <c r="O1013" s="79" t="str">
        <f t="shared" si="46"/>
        <v>935</v>
      </c>
      <c r="P1013" s="79" t="str">
        <f>IFERROR(VLOOKUP($M1013,Export!$P:$R,2,FALSE),"-")</f>
        <v>Bridgestone</v>
      </c>
      <c r="Q1013" s="79" t="str">
        <f>IFERROR(VLOOKUP($M1013,Export!$P:$R,3,FALSE),"-")</f>
        <v>BridgestoneSalaries, Commission &amp; Leave as % of Sales</v>
      </c>
      <c r="R1013" s="80" t="e" cm="1">
        <f t="array" ref="R1013">_xlfn.IFS(P1013="Service", _xlfn.IFS(I1013="SALES","GP",I1013="SERVICE SALES","GP",I1013="PARTS SALES","GP",I1013="SERVICE COS","GP",I1013="PARTS COS","GP",I1013="SELLING EXPENSES","Selling Expenses",I1013="EMPLOYMENT EXPENSES","Selling Expenses",I1013="EMPLOYMENT EXPENSES","Selling Expenses",I1013="DIRECT EXPENSES","Selling Expenses",I1013="INDIRECT EXPENSES","Selling Expenses"),P1013="Parts",_xlfn.IFS(I1013="SALES","GP",I1013="SERVICE SALES","GP",I1013="PARTS SALES","GP",I1013="SERVICE COS","GP",I1013="PARTS COS","GP",I1013="SELLING EXPENSES","Selling Expenses",I1013="EMPLOYMENT EXPENSES","Selling Expenses",I1013="EMPLOYMENT EXPENSES","Selling Expenses",I1013="DIRECT EXPENSES","Selling Expenses",I1013="INDIRECT EXPENSES","Selling Expenses"))</f>
        <v>#N/A</v>
      </c>
    </row>
    <row r="1014" spans="1:18" x14ac:dyDescent="0.2">
      <c r="A1014" s="75">
        <v>7020</v>
      </c>
      <c r="B1014" s="76" t="s">
        <v>75</v>
      </c>
      <c r="C1014" s="76">
        <v>936</v>
      </c>
      <c r="D1014" s="76" t="s">
        <v>443</v>
      </c>
      <c r="E1014" s="76" t="s">
        <v>426</v>
      </c>
      <c r="F1014" s="77">
        <v>1869.99</v>
      </c>
      <c r="G1014" s="77">
        <v>166.67</v>
      </c>
      <c r="H1014" s="77">
        <v>2036.66</v>
      </c>
      <c r="I1014" s="76" t="s">
        <v>920</v>
      </c>
      <c r="J1014" s="77">
        <v>166.67</v>
      </c>
      <c r="K1014" s="78">
        <v>1125.02</v>
      </c>
      <c r="M1014" s="79" t="str">
        <f t="shared" si="47"/>
        <v>936-7020</v>
      </c>
      <c r="N1014" s="79" t="str">
        <f t="shared" si="45"/>
        <v/>
      </c>
      <c r="O1014" s="79" t="str">
        <f t="shared" si="46"/>
        <v>936</v>
      </c>
      <c r="P1014" s="79" t="str">
        <f>IFERROR(VLOOKUP($M1014,Export!$P:$R,2,FALSE),"-")</f>
        <v>Bridgestone</v>
      </c>
      <c r="Q1014" s="79" t="str">
        <f>IFERROR(VLOOKUP($M1014,Export!$P:$R,3,FALSE),"-")</f>
        <v>BridgestoneSalaries, Commission &amp; Leave as % of Sales</v>
      </c>
      <c r="R1014" s="80" t="e" cm="1">
        <f t="array" ref="R1014">_xlfn.IFS(P1014="Service", _xlfn.IFS(I1014="SALES","GP",I1014="SERVICE SALES","GP",I1014="PARTS SALES","GP",I1014="SERVICE COS","GP",I1014="PARTS COS","GP",I1014="SELLING EXPENSES","Selling Expenses",I1014="EMPLOYMENT EXPENSES","Selling Expenses",I1014="EMPLOYMENT EXPENSES","Selling Expenses",I1014="DIRECT EXPENSES","Selling Expenses",I1014="INDIRECT EXPENSES","Selling Expenses"),P1014="Parts",_xlfn.IFS(I1014="SALES","GP",I1014="SERVICE SALES","GP",I1014="PARTS SALES","GP",I1014="SERVICE COS","GP",I1014="PARTS COS","GP",I1014="SELLING EXPENSES","Selling Expenses",I1014="EMPLOYMENT EXPENSES","Selling Expenses",I1014="EMPLOYMENT EXPENSES","Selling Expenses",I1014="DIRECT EXPENSES","Selling Expenses",I1014="INDIRECT EXPENSES","Selling Expenses"))</f>
        <v>#N/A</v>
      </c>
    </row>
    <row r="1015" spans="1:18" x14ac:dyDescent="0.2">
      <c r="A1015" s="75">
        <v>7030</v>
      </c>
      <c r="B1015" s="76" t="s">
        <v>921</v>
      </c>
      <c r="C1015" s="76">
        <v>110</v>
      </c>
      <c r="D1015" s="76" t="s">
        <v>430</v>
      </c>
      <c r="E1015" s="76" t="s">
        <v>426</v>
      </c>
      <c r="F1015" s="77">
        <v>2200</v>
      </c>
      <c r="G1015" s="77">
        <v>200</v>
      </c>
      <c r="H1015" s="77">
        <v>2400</v>
      </c>
      <c r="I1015" s="76" t="s">
        <v>920</v>
      </c>
      <c r="J1015" s="77">
        <v>375</v>
      </c>
      <c r="K1015" s="78">
        <v>2836.96</v>
      </c>
      <c r="M1015" s="79" t="str">
        <f t="shared" si="47"/>
        <v>110-7030</v>
      </c>
      <c r="N1015" s="79" t="str">
        <f t="shared" si="45"/>
        <v/>
      </c>
      <c r="O1015" s="79" t="str">
        <f t="shared" si="46"/>
        <v>110</v>
      </c>
      <c r="P1015" s="79" t="str">
        <f>IFERROR(VLOOKUP($M1015,Export!$P:$R,2,FALSE),"-")</f>
        <v>Used Vehicle</v>
      </c>
      <c r="Q1015" s="79" t="str">
        <f>IFERROR(VLOOKUP($M1015,Export!$P:$R,3,FALSE),"-")</f>
        <v>Used VehicleOther Variable expenses per retail</v>
      </c>
      <c r="R1015" s="80" t="e" cm="1">
        <f t="array" ref="R1015">_xlfn.IFS(P1015="Service", _xlfn.IFS(I1015="SALES","GP",I1015="SERVICE SALES","GP",I1015="PARTS SALES","GP",I1015="SERVICE COS","GP",I1015="PARTS COS","GP",I1015="SELLING EXPENSES","Selling Expenses",I1015="EMPLOYMENT EXPENSES","Selling Expenses",I1015="EMPLOYMENT EXPENSES","Selling Expenses",I1015="DIRECT EXPENSES","Selling Expenses",I1015="INDIRECT EXPENSES","Selling Expenses"),P1015="Parts",_xlfn.IFS(I1015="SALES","GP",I1015="SERVICE SALES","GP",I1015="PARTS SALES","GP",I1015="SERVICE COS","GP",I1015="PARTS COS","GP",I1015="SELLING EXPENSES","Selling Expenses",I1015="EMPLOYMENT EXPENSES","Selling Expenses",I1015="EMPLOYMENT EXPENSES","Selling Expenses",I1015="DIRECT EXPENSES","Selling Expenses",I1015="INDIRECT EXPENSES","Selling Expenses"))</f>
        <v>#N/A</v>
      </c>
    </row>
    <row r="1016" spans="1:18" x14ac:dyDescent="0.2">
      <c r="A1016" s="75">
        <v>7030</v>
      </c>
      <c r="B1016" s="76" t="s">
        <v>921</v>
      </c>
      <c r="C1016" s="76">
        <v>112</v>
      </c>
      <c r="D1016" s="76" t="s">
        <v>349</v>
      </c>
      <c r="E1016" s="76" t="s">
        <v>426</v>
      </c>
      <c r="F1016" s="77">
        <v>8010.87</v>
      </c>
      <c r="G1016" s="77">
        <v>900</v>
      </c>
      <c r="H1016" s="77">
        <v>8910.8700000000008</v>
      </c>
      <c r="I1016" s="76" t="s">
        <v>920</v>
      </c>
      <c r="J1016" s="77">
        <v>1200</v>
      </c>
      <c r="K1016" s="78">
        <v>9560.8700000000008</v>
      </c>
      <c r="M1016" s="79" t="str">
        <f t="shared" si="47"/>
        <v>112-7030</v>
      </c>
      <c r="N1016" s="79" t="str">
        <f t="shared" si="45"/>
        <v/>
      </c>
      <c r="O1016" s="79" t="str">
        <f t="shared" si="46"/>
        <v>112</v>
      </c>
      <c r="P1016" s="79" t="str">
        <f>IFERROR(VLOOKUP($M1016,Export!$P:$R,2,FALSE),"-")</f>
        <v>LEX New Vehicle</v>
      </c>
      <c r="Q1016" s="79" t="str">
        <f>IFERROR(VLOOKUP($M1016,Export!$P:$R,3,FALSE),"-")</f>
        <v>LEX New VehicleOther Variable expenses p.u.</v>
      </c>
      <c r="R1016" s="80" t="e" cm="1">
        <f t="array" ref="R1016">_xlfn.IFS(P1016="Service", _xlfn.IFS(I1016="SALES","GP",I1016="SERVICE SALES","GP",I1016="PARTS SALES","GP",I1016="SERVICE COS","GP",I1016="PARTS COS","GP",I1016="SELLING EXPENSES","Selling Expenses",I1016="EMPLOYMENT EXPENSES","Selling Expenses",I1016="EMPLOYMENT EXPENSES","Selling Expenses",I1016="DIRECT EXPENSES","Selling Expenses",I1016="INDIRECT EXPENSES","Selling Expenses"),P1016="Parts",_xlfn.IFS(I1016="SALES","GP",I1016="SERVICE SALES","GP",I1016="PARTS SALES","GP",I1016="SERVICE COS","GP",I1016="PARTS COS","GP",I1016="SELLING EXPENSES","Selling Expenses",I1016="EMPLOYMENT EXPENSES","Selling Expenses",I1016="EMPLOYMENT EXPENSES","Selling Expenses",I1016="DIRECT EXPENSES","Selling Expenses",I1016="INDIRECT EXPENSES","Selling Expenses"))</f>
        <v>#N/A</v>
      </c>
    </row>
    <row r="1017" spans="1:18" x14ac:dyDescent="0.2">
      <c r="A1017" s="75">
        <v>7030</v>
      </c>
      <c r="B1017" s="76" t="s">
        <v>921</v>
      </c>
      <c r="C1017" s="76">
        <v>120</v>
      </c>
      <c r="D1017" s="76" t="s">
        <v>431</v>
      </c>
      <c r="E1017" s="76" t="s">
        <v>426</v>
      </c>
      <c r="F1017" s="77">
        <v>5550</v>
      </c>
      <c r="G1017" s="77">
        <v>800</v>
      </c>
      <c r="H1017" s="77">
        <v>6350</v>
      </c>
      <c r="I1017" s="76" t="s">
        <v>920</v>
      </c>
      <c r="J1017" s="77">
        <v>100</v>
      </c>
      <c r="K1017" s="78">
        <v>1675</v>
      </c>
      <c r="M1017" s="79" t="str">
        <f t="shared" si="47"/>
        <v>120-7030</v>
      </c>
      <c r="N1017" s="79" t="str">
        <f t="shared" si="45"/>
        <v/>
      </c>
      <c r="O1017" s="79" t="str">
        <f t="shared" si="46"/>
        <v>120</v>
      </c>
      <c r="P1017" s="79" t="str">
        <f>IFERROR(VLOOKUP($M1017,Export!$P:$R,2,FALSE),"-")</f>
        <v>Used Vehicle</v>
      </c>
      <c r="Q1017" s="79" t="str">
        <f>IFERROR(VLOOKUP($M1017,Export!$P:$R,3,FALSE),"-")</f>
        <v>Used VehicleOther Variable expenses per retail</v>
      </c>
      <c r="R1017" s="80" t="e" cm="1">
        <f t="array" ref="R1017">_xlfn.IFS(P1017="Service", _xlfn.IFS(I1017="SALES","GP",I1017="SERVICE SALES","GP",I1017="PARTS SALES","GP",I1017="SERVICE COS","GP",I1017="PARTS COS","GP",I1017="SELLING EXPENSES","Selling Expenses",I1017="EMPLOYMENT EXPENSES","Selling Expenses",I1017="EMPLOYMENT EXPENSES","Selling Expenses",I1017="DIRECT EXPENSES","Selling Expenses",I1017="INDIRECT EXPENSES","Selling Expenses"),P1017="Parts",_xlfn.IFS(I1017="SALES","GP",I1017="SERVICE SALES","GP",I1017="PARTS SALES","GP",I1017="SERVICE COS","GP",I1017="PARTS COS","GP",I1017="SELLING EXPENSES","Selling Expenses",I1017="EMPLOYMENT EXPENSES","Selling Expenses",I1017="EMPLOYMENT EXPENSES","Selling Expenses",I1017="DIRECT EXPENSES","Selling Expenses",I1017="INDIRECT EXPENSES","Selling Expenses"))</f>
        <v>#N/A</v>
      </c>
    </row>
    <row r="1018" spans="1:18" x14ac:dyDescent="0.2">
      <c r="A1018" s="75">
        <v>7030</v>
      </c>
      <c r="B1018" s="76" t="s">
        <v>921</v>
      </c>
      <c r="C1018" s="76">
        <v>121</v>
      </c>
      <c r="D1018" s="76" t="s">
        <v>449</v>
      </c>
      <c r="E1018" s="76" t="s">
        <v>426</v>
      </c>
      <c r="F1018" s="77">
        <v>0</v>
      </c>
      <c r="G1018" s="77">
        <v>0</v>
      </c>
      <c r="H1018" s="77">
        <v>0</v>
      </c>
      <c r="I1018" s="76" t="s">
        <v>920</v>
      </c>
      <c r="J1018" s="77">
        <v>100</v>
      </c>
      <c r="K1018" s="78">
        <v>1186.96</v>
      </c>
      <c r="M1018" s="79" t="str">
        <f t="shared" si="47"/>
        <v>121-7030</v>
      </c>
      <c r="N1018" s="79" t="str">
        <f t="shared" si="45"/>
        <v/>
      </c>
      <c r="O1018" s="79" t="str">
        <f t="shared" si="46"/>
        <v>121</v>
      </c>
      <c r="P1018" s="79" t="str">
        <f>IFERROR(VLOOKUP($M1018,Export!$P:$R,2,FALSE),"-")</f>
        <v>Used Vehicle</v>
      </c>
      <c r="Q1018" s="79" t="str">
        <f>IFERROR(VLOOKUP($M1018,Export!$P:$R,3,FALSE),"-")</f>
        <v>Used VehicleOther Variable expenses per retail</v>
      </c>
      <c r="R1018" s="80" t="e" cm="1">
        <f t="array" ref="R1018">_xlfn.IFS(P1018="Service", _xlfn.IFS(I1018="SALES","GP",I1018="SERVICE SALES","GP",I1018="PARTS SALES","GP",I1018="SERVICE COS","GP",I1018="PARTS COS","GP",I1018="SELLING EXPENSES","Selling Expenses",I1018="EMPLOYMENT EXPENSES","Selling Expenses",I1018="EMPLOYMENT EXPENSES","Selling Expenses",I1018="DIRECT EXPENSES","Selling Expenses",I1018="INDIRECT EXPENSES","Selling Expenses"),P1018="Parts",_xlfn.IFS(I1018="SALES","GP",I1018="SERVICE SALES","GP",I1018="PARTS SALES","GP",I1018="SERVICE COS","GP",I1018="PARTS COS","GP",I1018="SELLING EXPENSES","Selling Expenses",I1018="EMPLOYMENT EXPENSES","Selling Expenses",I1018="EMPLOYMENT EXPENSES","Selling Expenses",I1018="DIRECT EXPENSES","Selling Expenses",I1018="INDIRECT EXPENSES","Selling Expenses"))</f>
        <v>#N/A</v>
      </c>
    </row>
    <row r="1019" spans="1:18" x14ac:dyDescent="0.2">
      <c r="A1019" s="75">
        <v>7030</v>
      </c>
      <c r="B1019" s="76" t="s">
        <v>921</v>
      </c>
      <c r="C1019" s="76">
        <v>122</v>
      </c>
      <c r="D1019" s="76" t="s">
        <v>452</v>
      </c>
      <c r="E1019" s="76" t="s">
        <v>426</v>
      </c>
      <c r="F1019" s="77">
        <v>600</v>
      </c>
      <c r="G1019" s="77">
        <v>0</v>
      </c>
      <c r="H1019" s="77">
        <v>600</v>
      </c>
      <c r="I1019" s="76" t="s">
        <v>920</v>
      </c>
      <c r="J1019" s="77">
        <v>0</v>
      </c>
      <c r="K1019" s="78">
        <v>600</v>
      </c>
      <c r="M1019" s="79" t="str">
        <f t="shared" si="47"/>
        <v>122-7030</v>
      </c>
      <c r="N1019" s="79" t="str">
        <f t="shared" si="45"/>
        <v/>
      </c>
      <c r="O1019" s="79" t="str">
        <f t="shared" si="46"/>
        <v>122</v>
      </c>
      <c r="P1019" s="79" t="str">
        <f>IFERROR(VLOOKUP($M1019,Export!$P:$R,2,FALSE),"-")</f>
        <v>LEX Used Vehicle</v>
      </c>
      <c r="Q1019" s="79" t="str">
        <f>IFERROR(VLOOKUP($M1019,Export!$P:$R,3,FALSE),"-")</f>
        <v>LEX Used VehicleOther Variable expenses per retail</v>
      </c>
      <c r="R1019" s="80" t="e" cm="1">
        <f t="array" ref="R1019">_xlfn.IFS(P1019="Service", _xlfn.IFS(I1019="SALES","GP",I1019="SERVICE SALES","GP",I1019="PARTS SALES","GP",I1019="SERVICE COS","GP",I1019="PARTS COS","GP",I1019="SELLING EXPENSES","Selling Expenses",I1019="EMPLOYMENT EXPENSES","Selling Expenses",I1019="EMPLOYMENT EXPENSES","Selling Expenses",I1019="DIRECT EXPENSES","Selling Expenses",I1019="INDIRECT EXPENSES","Selling Expenses"),P1019="Parts",_xlfn.IFS(I1019="SALES","GP",I1019="SERVICE SALES","GP",I1019="PARTS SALES","GP",I1019="SERVICE COS","GP",I1019="PARTS COS","GP",I1019="SELLING EXPENSES","Selling Expenses",I1019="EMPLOYMENT EXPENSES","Selling Expenses",I1019="EMPLOYMENT EXPENSES","Selling Expenses",I1019="DIRECT EXPENSES","Selling Expenses",I1019="INDIRECT EXPENSES","Selling Expenses"))</f>
        <v>#N/A</v>
      </c>
    </row>
    <row r="1020" spans="1:18" x14ac:dyDescent="0.2">
      <c r="A1020" s="75">
        <v>7030</v>
      </c>
      <c r="B1020" s="76" t="s">
        <v>921</v>
      </c>
      <c r="C1020" s="76">
        <v>200</v>
      </c>
      <c r="D1020" s="76" t="s">
        <v>428</v>
      </c>
      <c r="E1020" s="76" t="s">
        <v>426</v>
      </c>
      <c r="F1020" s="77">
        <v>0</v>
      </c>
      <c r="G1020" s="77">
        <v>0</v>
      </c>
      <c r="H1020" s="77">
        <v>0</v>
      </c>
      <c r="I1020" s="76" t="s">
        <v>920</v>
      </c>
      <c r="J1020" s="77">
        <v>0</v>
      </c>
      <c r="K1020" s="78">
        <v>1400</v>
      </c>
      <c r="M1020" s="79" t="str">
        <f t="shared" si="47"/>
        <v>200-7030</v>
      </c>
      <c r="N1020" s="79" t="str">
        <f t="shared" si="45"/>
        <v/>
      </c>
      <c r="O1020" s="79" t="str">
        <f t="shared" si="46"/>
        <v>200</v>
      </c>
      <c r="P1020" s="79" t="str">
        <f>IFERROR(VLOOKUP($M1020,Export!$P:$R,2,FALSE),"-")</f>
        <v>New Vehicle</v>
      </c>
      <c r="Q1020" s="79" t="str">
        <f>IFERROR(VLOOKUP($M1020,Export!$P:$R,3,FALSE),"-")</f>
        <v>New VehicleOther Variable expenses p.u.</v>
      </c>
      <c r="R1020" s="80" t="e" cm="1">
        <f t="array" ref="R1020">_xlfn.IFS(P1020="Service", _xlfn.IFS(I1020="SALES","GP",I1020="SERVICE SALES","GP",I1020="PARTS SALES","GP",I1020="SERVICE COS","GP",I1020="PARTS COS","GP",I1020="SELLING EXPENSES","Selling Expenses",I1020="EMPLOYMENT EXPENSES","Selling Expenses",I1020="EMPLOYMENT EXPENSES","Selling Expenses",I1020="DIRECT EXPENSES","Selling Expenses",I1020="INDIRECT EXPENSES","Selling Expenses"),P1020="Parts",_xlfn.IFS(I1020="SALES","GP",I1020="SERVICE SALES","GP",I1020="PARTS SALES","GP",I1020="SERVICE COS","GP",I1020="PARTS COS","GP",I1020="SELLING EXPENSES","Selling Expenses",I1020="EMPLOYMENT EXPENSES","Selling Expenses",I1020="EMPLOYMENT EXPENSES","Selling Expenses",I1020="DIRECT EXPENSES","Selling Expenses",I1020="INDIRECT EXPENSES","Selling Expenses"))</f>
        <v>#N/A</v>
      </c>
    </row>
    <row r="1021" spans="1:18" x14ac:dyDescent="0.2">
      <c r="A1021" s="75">
        <v>7030</v>
      </c>
      <c r="B1021" s="76" t="s">
        <v>921</v>
      </c>
      <c r="C1021" s="76">
        <v>210</v>
      </c>
      <c r="D1021" s="76" t="s">
        <v>436</v>
      </c>
      <c r="E1021" s="76" t="s">
        <v>426</v>
      </c>
      <c r="F1021" s="77">
        <v>5900</v>
      </c>
      <c r="G1021" s="77">
        <v>100</v>
      </c>
      <c r="H1021" s="77">
        <v>6000</v>
      </c>
      <c r="I1021" s="76" t="s">
        <v>920</v>
      </c>
      <c r="J1021" s="77">
        <v>100</v>
      </c>
      <c r="K1021" s="78">
        <v>1173.92</v>
      </c>
      <c r="M1021" s="79" t="str">
        <f t="shared" si="47"/>
        <v>210-7030</v>
      </c>
      <c r="N1021" s="79" t="str">
        <f t="shared" si="45"/>
        <v/>
      </c>
      <c r="O1021" s="79" t="str">
        <f t="shared" si="46"/>
        <v>210</v>
      </c>
      <c r="P1021" s="79" t="str">
        <f>IFERROR(VLOOKUP($M1021,Export!$P:$R,2,FALSE),"-")</f>
        <v>New Vehicle</v>
      </c>
      <c r="Q1021" s="79" t="str">
        <f>IFERROR(VLOOKUP($M1021,Export!$P:$R,3,FALSE),"-")</f>
        <v>New VehicleOther Variable expenses p.u.</v>
      </c>
      <c r="R1021" s="80" t="e" cm="1">
        <f t="array" ref="R1021">_xlfn.IFS(P1021="Service", _xlfn.IFS(I1021="SALES","GP",I1021="SERVICE SALES","GP",I1021="PARTS SALES","GP",I1021="SERVICE COS","GP",I1021="PARTS COS","GP",I1021="SELLING EXPENSES","Selling Expenses",I1021="EMPLOYMENT EXPENSES","Selling Expenses",I1021="EMPLOYMENT EXPENSES","Selling Expenses",I1021="DIRECT EXPENSES","Selling Expenses",I1021="INDIRECT EXPENSES","Selling Expenses"),P1021="Parts",_xlfn.IFS(I1021="SALES","GP",I1021="SERVICE SALES","GP",I1021="PARTS SALES","GP",I1021="SERVICE COS","GP",I1021="PARTS COS","GP",I1021="SELLING EXPENSES","Selling Expenses",I1021="EMPLOYMENT EXPENSES","Selling Expenses",I1021="EMPLOYMENT EXPENSES","Selling Expenses",I1021="DIRECT EXPENSES","Selling Expenses",I1021="INDIRECT EXPENSES","Selling Expenses"))</f>
        <v>#N/A</v>
      </c>
    </row>
    <row r="1022" spans="1:18" x14ac:dyDescent="0.2">
      <c r="A1022" s="75">
        <v>7030</v>
      </c>
      <c r="B1022" s="76" t="s">
        <v>921</v>
      </c>
      <c r="C1022" s="76">
        <v>220</v>
      </c>
      <c r="D1022" s="76" t="s">
        <v>437</v>
      </c>
      <c r="E1022" s="76" t="s">
        <v>426</v>
      </c>
      <c r="F1022" s="77">
        <v>1300</v>
      </c>
      <c r="G1022" s="77">
        <v>200</v>
      </c>
      <c r="H1022" s="77">
        <v>1500</v>
      </c>
      <c r="I1022" s="76" t="s">
        <v>920</v>
      </c>
      <c r="J1022" s="77">
        <v>600</v>
      </c>
      <c r="K1022" s="78">
        <v>5886.96</v>
      </c>
      <c r="M1022" s="79" t="str">
        <f t="shared" si="47"/>
        <v>220-7030</v>
      </c>
      <c r="N1022" s="79" t="str">
        <f t="shared" si="45"/>
        <v/>
      </c>
      <c r="O1022" s="79" t="str">
        <f t="shared" si="46"/>
        <v>220</v>
      </c>
      <c r="P1022" s="79" t="str">
        <f>IFERROR(VLOOKUP($M1022,Export!$P:$R,2,FALSE),"-")</f>
        <v>Used Vehicle</v>
      </c>
      <c r="Q1022" s="79" t="str">
        <f>IFERROR(VLOOKUP($M1022,Export!$P:$R,3,FALSE),"-")</f>
        <v>Used VehicleOther Variable expenses per retail</v>
      </c>
      <c r="R1022" s="80" t="e" cm="1">
        <f t="array" ref="R1022">_xlfn.IFS(P1022="Service", _xlfn.IFS(I1022="SALES","GP",I1022="SERVICE SALES","GP",I1022="PARTS SALES","GP",I1022="SERVICE COS","GP",I1022="PARTS COS","GP",I1022="SELLING EXPENSES","Selling Expenses",I1022="EMPLOYMENT EXPENSES","Selling Expenses",I1022="EMPLOYMENT EXPENSES","Selling Expenses",I1022="DIRECT EXPENSES","Selling Expenses",I1022="INDIRECT EXPENSES","Selling Expenses"),P1022="Parts",_xlfn.IFS(I1022="SALES","GP",I1022="SERVICE SALES","GP",I1022="PARTS SALES","GP",I1022="SERVICE COS","GP",I1022="PARTS COS","GP",I1022="SELLING EXPENSES","Selling Expenses",I1022="EMPLOYMENT EXPENSES","Selling Expenses",I1022="EMPLOYMENT EXPENSES","Selling Expenses",I1022="DIRECT EXPENSES","Selling Expenses",I1022="INDIRECT EXPENSES","Selling Expenses"))</f>
        <v>#N/A</v>
      </c>
    </row>
    <row r="1023" spans="1:18" x14ac:dyDescent="0.2">
      <c r="A1023" s="75">
        <v>7040</v>
      </c>
      <c r="B1023" s="76" t="s">
        <v>922</v>
      </c>
      <c r="C1023" s="76">
        <v>110</v>
      </c>
      <c r="D1023" s="76" t="s">
        <v>430</v>
      </c>
      <c r="E1023" s="76" t="s">
        <v>426</v>
      </c>
      <c r="F1023" s="77">
        <v>71795.009999999995</v>
      </c>
      <c r="G1023" s="77">
        <v>3391.26</v>
      </c>
      <c r="H1023" s="77">
        <v>75186.27</v>
      </c>
      <c r="I1023" s="76" t="s">
        <v>920</v>
      </c>
      <c r="J1023" s="77">
        <v>4100</v>
      </c>
      <c r="K1023" s="78">
        <v>46951.33</v>
      </c>
      <c r="M1023" s="79" t="str">
        <f t="shared" si="47"/>
        <v>110-7040</v>
      </c>
      <c r="N1023" s="79" t="str">
        <f t="shared" si="45"/>
        <v/>
      </c>
      <c r="O1023" s="79" t="str">
        <f t="shared" si="46"/>
        <v>110</v>
      </c>
      <c r="P1023" s="79" t="str">
        <f>IFERROR(VLOOKUP($M1023,Export!$P:$R,2,FALSE),"-")</f>
        <v>Used Vehicle</v>
      </c>
      <c r="Q1023" s="79" t="str">
        <f>IFERROR(VLOOKUP($M1023,Export!$P:$R,3,FALSE),"-")</f>
        <v>Used VehicleEx NV demonstrators gross profit p.u.</v>
      </c>
      <c r="R1023" s="80" t="e" cm="1">
        <f t="array" ref="R1023">_xlfn.IFS(P1023="Service", _xlfn.IFS(I1023="SALES","GP",I1023="SERVICE SALES","GP",I1023="PARTS SALES","GP",I1023="SERVICE COS","GP",I1023="PARTS COS","GP",I1023="SELLING EXPENSES","Selling Expenses",I1023="EMPLOYMENT EXPENSES","Selling Expenses",I1023="EMPLOYMENT EXPENSES","Selling Expenses",I1023="DIRECT EXPENSES","Selling Expenses",I1023="INDIRECT EXPENSES","Selling Expenses"),P1023="Parts",_xlfn.IFS(I1023="SALES","GP",I1023="SERVICE SALES","GP",I1023="PARTS SALES","GP",I1023="SERVICE COS","GP",I1023="PARTS COS","GP",I1023="SELLING EXPENSES","Selling Expenses",I1023="EMPLOYMENT EXPENSES","Selling Expenses",I1023="EMPLOYMENT EXPENSES","Selling Expenses",I1023="DIRECT EXPENSES","Selling Expenses",I1023="INDIRECT EXPENSES","Selling Expenses"))</f>
        <v>#N/A</v>
      </c>
    </row>
    <row r="1024" spans="1:18" x14ac:dyDescent="0.2">
      <c r="A1024" s="75">
        <v>7040</v>
      </c>
      <c r="B1024" s="76" t="s">
        <v>922</v>
      </c>
      <c r="C1024" s="76">
        <v>112</v>
      </c>
      <c r="D1024" s="76" t="s">
        <v>349</v>
      </c>
      <c r="E1024" s="76" t="s">
        <v>426</v>
      </c>
      <c r="F1024" s="77">
        <v>51402.5</v>
      </c>
      <c r="G1024" s="77">
        <v>3002.3</v>
      </c>
      <c r="H1024" s="77">
        <v>54404.800000000003</v>
      </c>
      <c r="I1024" s="76" t="s">
        <v>920</v>
      </c>
      <c r="J1024" s="77">
        <v>1600</v>
      </c>
      <c r="K1024" s="78">
        <v>17997.400000000001</v>
      </c>
      <c r="M1024" s="79" t="str">
        <f t="shared" si="47"/>
        <v>112-7040</v>
      </c>
      <c r="N1024" s="79" t="str">
        <f t="shared" si="45"/>
        <v/>
      </c>
      <c r="O1024" s="79" t="str">
        <f t="shared" si="46"/>
        <v>112</v>
      </c>
      <c r="P1024" s="79" t="str">
        <f>IFERROR(VLOOKUP($M1024,Export!$P:$R,2,FALSE),"-")</f>
        <v>LEX New Vehicle</v>
      </c>
      <c r="Q1024" s="79" t="str">
        <f>IFERROR(VLOOKUP($M1024,Export!$P:$R,3,FALSE),"-")</f>
        <v>LEX New VehicleOther Variable expenses p.u.</v>
      </c>
      <c r="R1024" s="80" t="e" cm="1">
        <f t="array" ref="R1024">_xlfn.IFS(P1024="Service", _xlfn.IFS(I1024="SALES","GP",I1024="SERVICE SALES","GP",I1024="PARTS SALES","GP",I1024="SERVICE COS","GP",I1024="PARTS COS","GP",I1024="SELLING EXPENSES","Selling Expenses",I1024="EMPLOYMENT EXPENSES","Selling Expenses",I1024="EMPLOYMENT EXPENSES","Selling Expenses",I1024="DIRECT EXPENSES","Selling Expenses",I1024="INDIRECT EXPENSES","Selling Expenses"),P1024="Parts",_xlfn.IFS(I1024="SALES","GP",I1024="SERVICE SALES","GP",I1024="PARTS SALES","GP",I1024="SERVICE COS","GP",I1024="PARTS COS","GP",I1024="SELLING EXPENSES","Selling Expenses",I1024="EMPLOYMENT EXPENSES","Selling Expenses",I1024="EMPLOYMENT EXPENSES","Selling Expenses",I1024="DIRECT EXPENSES","Selling Expenses",I1024="INDIRECT EXPENSES","Selling Expenses"))</f>
        <v>#N/A</v>
      </c>
    </row>
    <row r="1025" spans="1:18" x14ac:dyDescent="0.2">
      <c r="A1025" s="75">
        <v>7040</v>
      </c>
      <c r="B1025" s="76" t="s">
        <v>922</v>
      </c>
      <c r="C1025" s="76">
        <v>120</v>
      </c>
      <c r="D1025" s="76" t="s">
        <v>431</v>
      </c>
      <c r="E1025" s="76" t="s">
        <v>426</v>
      </c>
      <c r="F1025" s="77">
        <v>33293.660000000003</v>
      </c>
      <c r="G1025" s="77">
        <v>600</v>
      </c>
      <c r="H1025" s="77">
        <v>33893.660000000003</v>
      </c>
      <c r="I1025" s="76" t="s">
        <v>920</v>
      </c>
      <c r="J1025" s="77">
        <v>1200</v>
      </c>
      <c r="K1025" s="78">
        <v>12382.13</v>
      </c>
      <c r="M1025" s="79" t="str">
        <f t="shared" si="47"/>
        <v>120-7040</v>
      </c>
      <c r="N1025" s="79" t="str">
        <f t="shared" si="45"/>
        <v/>
      </c>
      <c r="O1025" s="79" t="str">
        <f t="shared" si="46"/>
        <v>120</v>
      </c>
      <c r="P1025" s="79" t="str">
        <f>IFERROR(VLOOKUP($M1025,Export!$P:$R,2,FALSE),"-")</f>
        <v>Used Vehicle</v>
      </c>
      <c r="Q1025" s="79" t="str">
        <f>IFERROR(VLOOKUP($M1025,Export!$P:$R,3,FALSE),"-")</f>
        <v>Used VehicleOther Variable expenses per retail</v>
      </c>
      <c r="R1025" s="80" t="e" cm="1">
        <f t="array" ref="R1025">_xlfn.IFS(P1025="Service", _xlfn.IFS(I1025="SALES","GP",I1025="SERVICE SALES","GP",I1025="PARTS SALES","GP",I1025="SERVICE COS","GP",I1025="PARTS COS","GP",I1025="SELLING EXPENSES","Selling Expenses",I1025="EMPLOYMENT EXPENSES","Selling Expenses",I1025="EMPLOYMENT EXPENSES","Selling Expenses",I1025="DIRECT EXPENSES","Selling Expenses",I1025="INDIRECT EXPENSES","Selling Expenses"),P1025="Parts",_xlfn.IFS(I1025="SALES","GP",I1025="SERVICE SALES","GP",I1025="PARTS SALES","GP",I1025="SERVICE COS","GP",I1025="PARTS COS","GP",I1025="SELLING EXPENSES","Selling Expenses",I1025="EMPLOYMENT EXPENSES","Selling Expenses",I1025="EMPLOYMENT EXPENSES","Selling Expenses",I1025="DIRECT EXPENSES","Selling Expenses",I1025="INDIRECT EXPENSES","Selling Expenses"))</f>
        <v>#N/A</v>
      </c>
    </row>
    <row r="1026" spans="1:18" x14ac:dyDescent="0.2">
      <c r="A1026" s="75">
        <v>7040</v>
      </c>
      <c r="B1026" s="76" t="s">
        <v>922</v>
      </c>
      <c r="C1026" s="76">
        <v>121</v>
      </c>
      <c r="D1026" s="76" t="s">
        <v>449</v>
      </c>
      <c r="E1026" s="76" t="s">
        <v>426</v>
      </c>
      <c r="F1026" s="77">
        <v>0</v>
      </c>
      <c r="G1026" s="77">
        <v>0</v>
      </c>
      <c r="H1026" s="77">
        <v>0</v>
      </c>
      <c r="I1026" s="76" t="s">
        <v>920</v>
      </c>
      <c r="J1026" s="77">
        <v>1200</v>
      </c>
      <c r="K1026" s="78">
        <v>11640.6</v>
      </c>
      <c r="M1026" s="79" t="str">
        <f t="shared" si="47"/>
        <v>121-7040</v>
      </c>
      <c r="N1026" s="79" t="str">
        <f t="shared" ref="N1026:N1089" si="48">+IF(RIGHT(A1026,1)="#","#","")</f>
        <v/>
      </c>
      <c r="O1026" s="79" t="str">
        <f t="shared" ref="O1026:O1089" si="49">+C1026&amp;N1026</f>
        <v>121</v>
      </c>
      <c r="P1026" s="79" t="str">
        <f>IFERROR(VLOOKUP($M1026,Export!$P:$R,2,FALSE),"-")</f>
        <v>Used Vehicle</v>
      </c>
      <c r="Q1026" s="79" t="str">
        <f>IFERROR(VLOOKUP($M1026,Export!$P:$R,3,FALSE),"-")</f>
        <v>Used VehicleOther Variable expenses per retail</v>
      </c>
      <c r="R1026" s="80" t="e" cm="1">
        <f t="array" ref="R1026">_xlfn.IFS(P1026="Service", _xlfn.IFS(I1026="SALES","GP",I1026="SERVICE SALES","GP",I1026="PARTS SALES","GP",I1026="SERVICE COS","GP",I1026="PARTS COS","GP",I1026="SELLING EXPENSES","Selling Expenses",I1026="EMPLOYMENT EXPENSES","Selling Expenses",I1026="EMPLOYMENT EXPENSES","Selling Expenses",I1026="DIRECT EXPENSES","Selling Expenses",I1026="INDIRECT EXPENSES","Selling Expenses"),P1026="Parts",_xlfn.IFS(I1026="SALES","GP",I1026="SERVICE SALES","GP",I1026="PARTS SALES","GP",I1026="SERVICE COS","GP",I1026="PARTS COS","GP",I1026="SELLING EXPENSES","Selling Expenses",I1026="EMPLOYMENT EXPENSES","Selling Expenses",I1026="EMPLOYMENT EXPENSES","Selling Expenses",I1026="DIRECT EXPENSES","Selling Expenses",I1026="INDIRECT EXPENSES","Selling Expenses"))</f>
        <v>#N/A</v>
      </c>
    </row>
    <row r="1027" spans="1:18" x14ac:dyDescent="0.2">
      <c r="A1027" s="75">
        <v>7040</v>
      </c>
      <c r="B1027" s="76" t="s">
        <v>922</v>
      </c>
      <c r="C1027" s="76">
        <v>122</v>
      </c>
      <c r="D1027" s="76" t="s">
        <v>452</v>
      </c>
      <c r="E1027" s="76" t="s">
        <v>426</v>
      </c>
      <c r="F1027" s="77">
        <v>3851</v>
      </c>
      <c r="G1027" s="77">
        <v>1287</v>
      </c>
      <c r="H1027" s="77">
        <v>5138</v>
      </c>
      <c r="I1027" s="76" t="s">
        <v>920</v>
      </c>
      <c r="J1027" s="77">
        <v>0</v>
      </c>
      <c r="K1027" s="78">
        <v>0</v>
      </c>
      <c r="M1027" s="79" t="str">
        <f t="shared" ref="M1027:M1090" si="50">+C1027&amp;"-"&amp;A1027</f>
        <v>122-7040</v>
      </c>
      <c r="N1027" s="79" t="str">
        <f t="shared" si="48"/>
        <v/>
      </c>
      <c r="O1027" s="79" t="str">
        <f t="shared" si="49"/>
        <v>122</v>
      </c>
      <c r="P1027" s="79" t="str">
        <f>IFERROR(VLOOKUP($M1027,Export!$P:$R,2,FALSE),"-")</f>
        <v>LEX Used Vehicle</v>
      </c>
      <c r="Q1027" s="79" t="str">
        <f>IFERROR(VLOOKUP($M1027,Export!$P:$R,3,FALSE),"-")</f>
        <v>LEX Used VehicleOther Variable expenses per retail</v>
      </c>
      <c r="R1027" s="80" t="e" cm="1">
        <f t="array" ref="R1027">_xlfn.IFS(P1027="Service", _xlfn.IFS(I1027="SALES","GP",I1027="SERVICE SALES","GP",I1027="PARTS SALES","GP",I1027="SERVICE COS","GP",I1027="PARTS COS","GP",I1027="SELLING EXPENSES","Selling Expenses",I1027="EMPLOYMENT EXPENSES","Selling Expenses",I1027="EMPLOYMENT EXPENSES","Selling Expenses",I1027="DIRECT EXPENSES","Selling Expenses",I1027="INDIRECT EXPENSES","Selling Expenses"),P1027="Parts",_xlfn.IFS(I1027="SALES","GP",I1027="SERVICE SALES","GP",I1027="PARTS SALES","GP",I1027="SERVICE COS","GP",I1027="PARTS COS","GP",I1027="SELLING EXPENSES","Selling Expenses",I1027="EMPLOYMENT EXPENSES","Selling Expenses",I1027="EMPLOYMENT EXPENSES","Selling Expenses",I1027="DIRECT EXPENSES","Selling Expenses",I1027="INDIRECT EXPENSES","Selling Expenses"))</f>
        <v>#N/A</v>
      </c>
    </row>
    <row r="1028" spans="1:18" x14ac:dyDescent="0.2">
      <c r="A1028" s="75">
        <v>7040</v>
      </c>
      <c r="B1028" s="76" t="s">
        <v>922</v>
      </c>
      <c r="C1028" s="76">
        <v>210</v>
      </c>
      <c r="D1028" s="76" t="s">
        <v>436</v>
      </c>
      <c r="E1028" s="76" t="s">
        <v>426</v>
      </c>
      <c r="F1028" s="77">
        <v>29736</v>
      </c>
      <c r="G1028" s="77">
        <v>1162.08</v>
      </c>
      <c r="H1028" s="77">
        <v>30898.080000000002</v>
      </c>
      <c r="I1028" s="76" t="s">
        <v>920</v>
      </c>
      <c r="J1028" s="77">
        <v>3459.23</v>
      </c>
      <c r="K1028" s="78">
        <v>57643.23</v>
      </c>
      <c r="M1028" s="79" t="str">
        <f t="shared" si="50"/>
        <v>210-7040</v>
      </c>
      <c r="N1028" s="79" t="str">
        <f t="shared" si="48"/>
        <v/>
      </c>
      <c r="O1028" s="79" t="str">
        <f t="shared" si="49"/>
        <v>210</v>
      </c>
      <c r="P1028" s="79" t="str">
        <f>IFERROR(VLOOKUP($M1028,Export!$P:$R,2,FALSE),"-")</f>
        <v>Used Vehicle</v>
      </c>
      <c r="Q1028" s="79" t="str">
        <f>IFERROR(VLOOKUP($M1028,Export!$P:$R,3,FALSE),"-")</f>
        <v>Used VehicleEx NV demonstrators gross profit p.u.</v>
      </c>
      <c r="R1028" s="80" t="e" cm="1">
        <f t="array" ref="R1028">_xlfn.IFS(P1028="Service", _xlfn.IFS(I1028="SALES","GP",I1028="SERVICE SALES","GP",I1028="PARTS SALES","GP",I1028="SERVICE COS","GP",I1028="PARTS COS","GP",I1028="SELLING EXPENSES","Selling Expenses",I1028="EMPLOYMENT EXPENSES","Selling Expenses",I1028="EMPLOYMENT EXPENSES","Selling Expenses",I1028="DIRECT EXPENSES","Selling Expenses",I1028="INDIRECT EXPENSES","Selling Expenses"),P1028="Parts",_xlfn.IFS(I1028="SALES","GP",I1028="SERVICE SALES","GP",I1028="PARTS SALES","GP",I1028="SERVICE COS","GP",I1028="PARTS COS","GP",I1028="SELLING EXPENSES","Selling Expenses",I1028="EMPLOYMENT EXPENSES","Selling Expenses",I1028="EMPLOYMENT EXPENSES","Selling Expenses",I1028="DIRECT EXPENSES","Selling Expenses",I1028="INDIRECT EXPENSES","Selling Expenses"))</f>
        <v>#N/A</v>
      </c>
    </row>
    <row r="1029" spans="1:18" x14ac:dyDescent="0.2">
      <c r="A1029" s="75">
        <v>7040</v>
      </c>
      <c r="B1029" s="76" t="s">
        <v>922</v>
      </c>
      <c r="C1029" s="76">
        <v>220</v>
      </c>
      <c r="D1029" s="76" t="s">
        <v>437</v>
      </c>
      <c r="E1029" s="76" t="s">
        <v>426</v>
      </c>
      <c r="F1029" s="77">
        <v>20530.09</v>
      </c>
      <c r="G1029" s="77">
        <v>557.09</v>
      </c>
      <c r="H1029" s="77">
        <v>21087.18</v>
      </c>
      <c r="I1029" s="76" t="s">
        <v>920</v>
      </c>
      <c r="J1029" s="77">
        <v>2000</v>
      </c>
      <c r="K1029" s="78">
        <v>24249.11</v>
      </c>
      <c r="M1029" s="79" t="str">
        <f t="shared" si="50"/>
        <v>220-7040</v>
      </c>
      <c r="N1029" s="79" t="str">
        <f t="shared" si="48"/>
        <v/>
      </c>
      <c r="O1029" s="79" t="str">
        <f t="shared" si="49"/>
        <v>220</v>
      </c>
      <c r="P1029" s="79" t="str">
        <f>IFERROR(VLOOKUP($M1029,Export!$P:$R,2,FALSE),"-")</f>
        <v>Used Vehicle</v>
      </c>
      <c r="Q1029" s="79" t="str">
        <f>IFERROR(VLOOKUP($M1029,Export!$P:$R,3,FALSE),"-")</f>
        <v>Used VehicleOther Variable expenses per retail</v>
      </c>
      <c r="R1029" s="80" t="e" cm="1">
        <f t="array" ref="R1029">_xlfn.IFS(P1029="Service", _xlfn.IFS(I1029="SALES","GP",I1029="SERVICE SALES","GP",I1029="PARTS SALES","GP",I1029="SERVICE COS","GP",I1029="PARTS COS","GP",I1029="SELLING EXPENSES","Selling Expenses",I1029="EMPLOYMENT EXPENSES","Selling Expenses",I1029="EMPLOYMENT EXPENSES","Selling Expenses",I1029="DIRECT EXPENSES","Selling Expenses",I1029="INDIRECT EXPENSES","Selling Expenses"),P1029="Parts",_xlfn.IFS(I1029="SALES","GP",I1029="SERVICE SALES","GP",I1029="PARTS SALES","GP",I1029="SERVICE COS","GP",I1029="PARTS COS","GP",I1029="SELLING EXPENSES","Selling Expenses",I1029="EMPLOYMENT EXPENSES","Selling Expenses",I1029="EMPLOYMENT EXPENSES","Selling Expenses",I1029="DIRECT EXPENSES","Selling Expenses",I1029="INDIRECT EXPENSES","Selling Expenses"))</f>
        <v>#N/A</v>
      </c>
    </row>
    <row r="1030" spans="1:18" x14ac:dyDescent="0.2">
      <c r="A1030" s="75">
        <v>7060</v>
      </c>
      <c r="B1030" s="76" t="s">
        <v>123</v>
      </c>
      <c r="C1030" s="76">
        <v>110</v>
      </c>
      <c r="D1030" s="76" t="s">
        <v>430</v>
      </c>
      <c r="E1030" s="76" t="s">
        <v>426</v>
      </c>
      <c r="F1030" s="77">
        <v>51269.48</v>
      </c>
      <c r="G1030" s="77">
        <v>2096.2199999999998</v>
      </c>
      <c r="H1030" s="77">
        <v>53365.7</v>
      </c>
      <c r="I1030" s="76" t="s">
        <v>920</v>
      </c>
      <c r="J1030" s="77">
        <v>3750</v>
      </c>
      <c r="K1030" s="78">
        <v>37242.22</v>
      </c>
      <c r="M1030" s="79" t="str">
        <f t="shared" si="50"/>
        <v>110-7060</v>
      </c>
      <c r="N1030" s="79" t="str">
        <f t="shared" si="48"/>
        <v/>
      </c>
      <c r="O1030" s="79" t="str">
        <f t="shared" si="49"/>
        <v>110</v>
      </c>
      <c r="P1030" s="79" t="str">
        <f>IFERROR(VLOOKUP($M1030,Export!$P:$R,2,FALSE),"-")</f>
        <v>New Vehicle</v>
      </c>
      <c r="Q1030" s="79" t="str">
        <f>IFERROR(VLOOKUP($M1030,Export!$P:$R,3,FALSE),"-")</f>
        <v>New VehicleOther Variable expenses p.u.</v>
      </c>
      <c r="R1030" s="80" t="e" cm="1">
        <f t="array" ref="R1030">_xlfn.IFS(P1030="Service", _xlfn.IFS(I1030="SALES","GP",I1030="SERVICE SALES","GP",I1030="PARTS SALES","GP",I1030="SERVICE COS","GP",I1030="PARTS COS","GP",I1030="SELLING EXPENSES","Selling Expenses",I1030="EMPLOYMENT EXPENSES","Selling Expenses",I1030="EMPLOYMENT EXPENSES","Selling Expenses",I1030="DIRECT EXPENSES","Selling Expenses",I1030="INDIRECT EXPENSES","Selling Expenses"),P1030="Parts",_xlfn.IFS(I1030="SALES","GP",I1030="SERVICE SALES","GP",I1030="PARTS SALES","GP",I1030="SERVICE COS","GP",I1030="PARTS COS","GP",I1030="SELLING EXPENSES","Selling Expenses",I1030="EMPLOYMENT EXPENSES","Selling Expenses",I1030="EMPLOYMENT EXPENSES","Selling Expenses",I1030="DIRECT EXPENSES","Selling Expenses",I1030="INDIRECT EXPENSES","Selling Expenses"))</f>
        <v>#N/A</v>
      </c>
    </row>
    <row r="1031" spans="1:18" x14ac:dyDescent="0.2">
      <c r="A1031" s="75">
        <v>7060</v>
      </c>
      <c r="B1031" s="76" t="s">
        <v>123</v>
      </c>
      <c r="C1031" s="76">
        <v>112</v>
      </c>
      <c r="D1031" s="76" t="s">
        <v>349</v>
      </c>
      <c r="E1031" s="76" t="s">
        <v>426</v>
      </c>
      <c r="F1031" s="77">
        <v>45370.17</v>
      </c>
      <c r="G1031" s="77">
        <v>6424.86</v>
      </c>
      <c r="H1031" s="77">
        <v>51795.03</v>
      </c>
      <c r="I1031" s="76" t="s">
        <v>920</v>
      </c>
      <c r="J1031" s="77">
        <v>3250</v>
      </c>
      <c r="K1031" s="78">
        <v>36663.870000000003</v>
      </c>
      <c r="M1031" s="79" t="str">
        <f t="shared" si="50"/>
        <v>112-7060</v>
      </c>
      <c r="N1031" s="79" t="str">
        <f t="shared" si="48"/>
        <v/>
      </c>
      <c r="O1031" s="79" t="str">
        <f t="shared" si="49"/>
        <v>112</v>
      </c>
      <c r="P1031" s="79" t="str">
        <f>IFERROR(VLOOKUP($M1031,Export!$P:$R,2,FALSE),"-")</f>
        <v>LEX New Vehicle</v>
      </c>
      <c r="Q1031" s="79" t="str">
        <f>IFERROR(VLOOKUP($M1031,Export!$P:$R,3,FALSE),"-")</f>
        <v>LEX New VehicleOther Variable expenses p.u.</v>
      </c>
      <c r="R1031" s="80" t="e" cm="1">
        <f t="array" ref="R1031">_xlfn.IFS(P1031="Service", _xlfn.IFS(I1031="SALES","GP",I1031="SERVICE SALES","GP",I1031="PARTS SALES","GP",I1031="SERVICE COS","GP",I1031="PARTS COS","GP",I1031="SELLING EXPENSES","Selling Expenses",I1031="EMPLOYMENT EXPENSES","Selling Expenses",I1031="EMPLOYMENT EXPENSES","Selling Expenses",I1031="DIRECT EXPENSES","Selling Expenses",I1031="INDIRECT EXPENSES","Selling Expenses"),P1031="Parts",_xlfn.IFS(I1031="SALES","GP",I1031="SERVICE SALES","GP",I1031="PARTS SALES","GP",I1031="SERVICE COS","GP",I1031="PARTS COS","GP",I1031="SELLING EXPENSES","Selling Expenses",I1031="EMPLOYMENT EXPENSES","Selling Expenses",I1031="EMPLOYMENT EXPENSES","Selling Expenses",I1031="DIRECT EXPENSES","Selling Expenses",I1031="INDIRECT EXPENSES","Selling Expenses"))</f>
        <v>#N/A</v>
      </c>
    </row>
    <row r="1032" spans="1:18" x14ac:dyDescent="0.2">
      <c r="A1032" s="75">
        <v>7060</v>
      </c>
      <c r="B1032" s="76" t="s">
        <v>123</v>
      </c>
      <c r="C1032" s="76">
        <v>120</v>
      </c>
      <c r="D1032" s="76" t="s">
        <v>431</v>
      </c>
      <c r="E1032" s="76" t="s">
        <v>426</v>
      </c>
      <c r="F1032" s="77">
        <v>86642.54</v>
      </c>
      <c r="G1032" s="77">
        <v>4210.57</v>
      </c>
      <c r="H1032" s="77">
        <v>90853.11</v>
      </c>
      <c r="I1032" s="76" t="s">
        <v>920</v>
      </c>
      <c r="J1032" s="77">
        <v>6250</v>
      </c>
      <c r="K1032" s="78">
        <v>58095.34</v>
      </c>
      <c r="M1032" s="79" t="str">
        <f t="shared" si="50"/>
        <v>120-7060</v>
      </c>
      <c r="N1032" s="79" t="str">
        <f t="shared" si="48"/>
        <v/>
      </c>
      <c r="O1032" s="79" t="str">
        <f t="shared" si="49"/>
        <v>120</v>
      </c>
      <c r="P1032" s="79" t="str">
        <f>IFERROR(VLOOKUP($M1032,Export!$P:$R,2,FALSE),"-")</f>
        <v>Used Vehicle</v>
      </c>
      <c r="Q1032" s="79" t="str">
        <f>IFERROR(VLOOKUP($M1032,Export!$P:$R,3,FALSE),"-")</f>
        <v>Used VehicleOther Variable expenses per retail</v>
      </c>
      <c r="R1032" s="80" t="e" cm="1">
        <f t="array" ref="R1032">_xlfn.IFS(P1032="Service", _xlfn.IFS(I1032="SALES","GP",I1032="SERVICE SALES","GP",I1032="PARTS SALES","GP",I1032="SERVICE COS","GP",I1032="PARTS COS","GP",I1032="SELLING EXPENSES","Selling Expenses",I1032="EMPLOYMENT EXPENSES","Selling Expenses",I1032="EMPLOYMENT EXPENSES","Selling Expenses",I1032="DIRECT EXPENSES","Selling Expenses",I1032="INDIRECT EXPENSES","Selling Expenses"),P1032="Parts",_xlfn.IFS(I1032="SALES","GP",I1032="SERVICE SALES","GP",I1032="PARTS SALES","GP",I1032="SERVICE COS","GP",I1032="PARTS COS","GP",I1032="SELLING EXPENSES","Selling Expenses",I1032="EMPLOYMENT EXPENSES","Selling Expenses",I1032="EMPLOYMENT EXPENSES","Selling Expenses",I1032="DIRECT EXPENSES","Selling Expenses",I1032="INDIRECT EXPENSES","Selling Expenses"))</f>
        <v>#N/A</v>
      </c>
    </row>
    <row r="1033" spans="1:18" x14ac:dyDescent="0.2">
      <c r="A1033" s="75">
        <v>7060</v>
      </c>
      <c r="B1033" s="76" t="s">
        <v>123</v>
      </c>
      <c r="C1033" s="76">
        <v>121</v>
      </c>
      <c r="D1033" s="76" t="s">
        <v>449</v>
      </c>
      <c r="E1033" s="76" t="s">
        <v>426</v>
      </c>
      <c r="F1033" s="77">
        <v>1783.27</v>
      </c>
      <c r="G1033" s="77">
        <v>0</v>
      </c>
      <c r="H1033" s="77">
        <v>1783.27</v>
      </c>
      <c r="I1033" s="76" t="s">
        <v>920</v>
      </c>
      <c r="J1033" s="77">
        <v>800</v>
      </c>
      <c r="K1033" s="78">
        <v>6271.46</v>
      </c>
      <c r="M1033" s="79" t="str">
        <f t="shared" si="50"/>
        <v>121-7060</v>
      </c>
      <c r="N1033" s="79" t="str">
        <f t="shared" si="48"/>
        <v/>
      </c>
      <c r="O1033" s="79" t="str">
        <f t="shared" si="49"/>
        <v>121</v>
      </c>
      <c r="P1033" s="79" t="str">
        <f>IFERROR(VLOOKUP($M1033,Export!$P:$R,2,FALSE),"-")</f>
        <v>Used Vehicle</v>
      </c>
      <c r="Q1033" s="79" t="str">
        <f>IFERROR(VLOOKUP($M1033,Export!$P:$R,3,FALSE),"-")</f>
        <v>Used VehicleOther Variable expenses per retail</v>
      </c>
      <c r="R1033" s="80" t="e" cm="1">
        <f t="array" ref="R1033">_xlfn.IFS(P1033="Service", _xlfn.IFS(I1033="SALES","GP",I1033="SERVICE SALES","GP",I1033="PARTS SALES","GP",I1033="SERVICE COS","GP",I1033="PARTS COS","GP",I1033="SELLING EXPENSES","Selling Expenses",I1033="EMPLOYMENT EXPENSES","Selling Expenses",I1033="EMPLOYMENT EXPENSES","Selling Expenses",I1033="DIRECT EXPENSES","Selling Expenses",I1033="INDIRECT EXPENSES","Selling Expenses"),P1033="Parts",_xlfn.IFS(I1033="SALES","GP",I1033="SERVICE SALES","GP",I1033="PARTS SALES","GP",I1033="SERVICE COS","GP",I1033="PARTS COS","GP",I1033="SELLING EXPENSES","Selling Expenses",I1033="EMPLOYMENT EXPENSES","Selling Expenses",I1033="EMPLOYMENT EXPENSES","Selling Expenses",I1033="DIRECT EXPENSES","Selling Expenses",I1033="INDIRECT EXPENSES","Selling Expenses"))</f>
        <v>#N/A</v>
      </c>
    </row>
    <row r="1034" spans="1:18" x14ac:dyDescent="0.2">
      <c r="A1034" s="75">
        <v>7060</v>
      </c>
      <c r="B1034" s="76" t="s">
        <v>123</v>
      </c>
      <c r="C1034" s="76">
        <v>122</v>
      </c>
      <c r="D1034" s="76" t="s">
        <v>452</v>
      </c>
      <c r="E1034" s="76" t="s">
        <v>426</v>
      </c>
      <c r="F1034" s="77">
        <v>3399.28</v>
      </c>
      <c r="G1034" s="77">
        <v>2754</v>
      </c>
      <c r="H1034" s="77">
        <v>6153.28</v>
      </c>
      <c r="I1034" s="76" t="s">
        <v>920</v>
      </c>
      <c r="J1034" s="77">
        <v>0</v>
      </c>
      <c r="K1034" s="78">
        <v>360</v>
      </c>
      <c r="M1034" s="79" t="str">
        <f t="shared" si="50"/>
        <v>122-7060</v>
      </c>
      <c r="N1034" s="79" t="str">
        <f t="shared" si="48"/>
        <v/>
      </c>
      <c r="O1034" s="79" t="str">
        <f t="shared" si="49"/>
        <v>122</v>
      </c>
      <c r="P1034" s="79" t="str">
        <f>IFERROR(VLOOKUP($M1034,Export!$P:$R,2,FALSE),"-")</f>
        <v>LEX Used Vehicle</v>
      </c>
      <c r="Q1034" s="79" t="str">
        <f>IFERROR(VLOOKUP($M1034,Export!$P:$R,3,FALSE),"-")</f>
        <v>LEX Used VehicleOther Variable expenses per retail</v>
      </c>
      <c r="R1034" s="80" t="e" cm="1">
        <f t="array" ref="R1034">_xlfn.IFS(P1034="Service", _xlfn.IFS(I1034="SALES","GP",I1034="SERVICE SALES","GP",I1034="PARTS SALES","GP",I1034="SERVICE COS","GP",I1034="PARTS COS","GP",I1034="SELLING EXPENSES","Selling Expenses",I1034="EMPLOYMENT EXPENSES","Selling Expenses",I1034="EMPLOYMENT EXPENSES","Selling Expenses",I1034="DIRECT EXPENSES","Selling Expenses",I1034="INDIRECT EXPENSES","Selling Expenses"),P1034="Parts",_xlfn.IFS(I1034="SALES","GP",I1034="SERVICE SALES","GP",I1034="PARTS SALES","GP",I1034="SERVICE COS","GP",I1034="PARTS COS","GP",I1034="SELLING EXPENSES","Selling Expenses",I1034="EMPLOYMENT EXPENSES","Selling Expenses",I1034="EMPLOYMENT EXPENSES","Selling Expenses",I1034="DIRECT EXPENSES","Selling Expenses",I1034="INDIRECT EXPENSES","Selling Expenses"))</f>
        <v>#N/A</v>
      </c>
    </row>
    <row r="1035" spans="1:18" x14ac:dyDescent="0.2">
      <c r="A1035" s="75">
        <v>7060</v>
      </c>
      <c r="B1035" s="76" t="s">
        <v>123</v>
      </c>
      <c r="C1035" s="76">
        <v>130</v>
      </c>
      <c r="D1035" s="76" t="s">
        <v>432</v>
      </c>
      <c r="E1035" s="76" t="s">
        <v>426</v>
      </c>
      <c r="F1035" s="77">
        <v>3225.06</v>
      </c>
      <c r="G1035" s="77">
        <v>0</v>
      </c>
      <c r="H1035" s="77">
        <v>3225.06</v>
      </c>
      <c r="I1035" s="76" t="s">
        <v>920</v>
      </c>
      <c r="J1035" s="77">
        <v>750</v>
      </c>
      <c r="K1035" s="78">
        <v>4984.97</v>
      </c>
      <c r="M1035" s="79" t="str">
        <f t="shared" si="50"/>
        <v>130-7060</v>
      </c>
      <c r="N1035" s="79" t="str">
        <f t="shared" si="48"/>
        <v/>
      </c>
      <c r="O1035" s="79" t="str">
        <f t="shared" si="49"/>
        <v>130</v>
      </c>
      <c r="P1035" s="79" t="str">
        <f>IFERROR(VLOOKUP($M1035,Export!$P:$R,2,FALSE),"-")</f>
        <v>Parts</v>
      </c>
      <c r="Q1035" s="79" t="str">
        <f>IFERROR(VLOOKUP($M1035,Export!$P:$R,3,FALSE),"-")</f>
        <v>PartsOther Expenses as % of Sales</v>
      </c>
      <c r="R1035" s="80" t="str" cm="1">
        <f t="array" ref="R1035">_xlfn.IFS(P1035="Service", _xlfn.IFS(I1035="SALES","GP",I1035="SERVICE SALES","GP",I1035="PARTS SALES","GP",I1035="SERVICE COS","GP",I1035="PARTS COS","GP",I1035="SELLING EXPENSES","Selling Expenses",I1035="EMPLOYMENT EXPENSES","Selling Expenses",I1035="EMPLOYMENT EXPENSES","Selling Expenses",I1035="DIRECT EXPENSES","Selling Expenses",I1035="INDIRECT EXPENSES","Selling Expenses"),P1035="Parts",_xlfn.IFS(I1035="SALES","GP",I1035="SERVICE SALES","GP",I1035="PARTS SALES","GP",I1035="SERVICE COS","GP",I1035="PARTS COS","GP",I1035="SELLING EXPENSES","Selling Expenses",I1035="EMPLOYMENT EXPENSES","Selling Expenses",I1035="EMPLOYMENT EXPENSES","Selling Expenses",I1035="DIRECT EXPENSES","Selling Expenses",I1035="INDIRECT EXPENSES","Selling Expenses"))</f>
        <v>Selling Expenses</v>
      </c>
    </row>
    <row r="1036" spans="1:18" x14ac:dyDescent="0.2">
      <c r="A1036" s="75">
        <v>7060</v>
      </c>
      <c r="B1036" s="76" t="s">
        <v>123</v>
      </c>
      <c r="C1036" s="76">
        <v>140</v>
      </c>
      <c r="D1036" s="76" t="s">
        <v>433</v>
      </c>
      <c r="E1036" s="76" t="s">
        <v>426</v>
      </c>
      <c r="F1036" s="77">
        <v>60055.5</v>
      </c>
      <c r="G1036" s="77">
        <v>2061.63</v>
      </c>
      <c r="H1036" s="77">
        <v>62117.13</v>
      </c>
      <c r="I1036" s="76" t="s">
        <v>920</v>
      </c>
      <c r="J1036" s="77">
        <v>6800</v>
      </c>
      <c r="K1036" s="78">
        <v>62554.25</v>
      </c>
      <c r="M1036" s="79" t="str">
        <f t="shared" si="50"/>
        <v>140-7060</v>
      </c>
      <c r="N1036" s="79" t="str">
        <f t="shared" si="48"/>
        <v/>
      </c>
      <c r="O1036" s="79" t="str">
        <f t="shared" si="49"/>
        <v>140</v>
      </c>
      <c r="P1036" s="79" t="str">
        <f>IFERROR(VLOOKUP($M1036,Export!$P:$R,2,FALSE),"-")</f>
        <v>Service</v>
      </c>
      <c r="Q1036" s="79" t="str">
        <f>IFERROR(VLOOKUP($M1036,Export!$P:$R,3,FALSE),"-")</f>
        <v>ServiceOther Expenses as % of Sales</v>
      </c>
      <c r="R1036" s="80" t="str" cm="1">
        <f t="array" ref="R1036">_xlfn.IFS(P1036="Service", _xlfn.IFS(I1036="SALES","GP",I1036="SERVICE SALES","GP",I1036="PARTS SALES","GP",I1036="SERVICE COS","GP",I1036="PARTS COS","GP",I1036="SELLING EXPENSES","Selling Expenses",I1036="EMPLOYMENT EXPENSES","Selling Expenses",I1036="EMPLOYMENT EXPENSES","Selling Expenses",I1036="DIRECT EXPENSES","Selling Expenses",I1036="INDIRECT EXPENSES","Selling Expenses"),P1036="Parts",_xlfn.IFS(I1036="SALES","GP",I1036="SERVICE SALES","GP",I1036="PARTS SALES","GP",I1036="SERVICE COS","GP",I1036="PARTS COS","GP",I1036="SELLING EXPENSES","Selling Expenses",I1036="EMPLOYMENT EXPENSES","Selling Expenses",I1036="EMPLOYMENT EXPENSES","Selling Expenses",I1036="DIRECT EXPENSES","Selling Expenses",I1036="INDIRECT EXPENSES","Selling Expenses"))</f>
        <v>Selling Expenses</v>
      </c>
    </row>
    <row r="1037" spans="1:18" x14ac:dyDescent="0.2">
      <c r="A1037" s="75">
        <v>7060</v>
      </c>
      <c r="B1037" s="76" t="s">
        <v>123</v>
      </c>
      <c r="C1037" s="76">
        <v>142</v>
      </c>
      <c r="D1037" s="76" t="s">
        <v>454</v>
      </c>
      <c r="E1037" s="76" t="s">
        <v>426</v>
      </c>
      <c r="F1037" s="77">
        <v>36160.410000000003</v>
      </c>
      <c r="G1037" s="77">
        <v>5283.43</v>
      </c>
      <c r="H1037" s="77">
        <v>41443.839999999997</v>
      </c>
      <c r="I1037" s="76" t="s">
        <v>920</v>
      </c>
      <c r="J1037" s="77">
        <v>0</v>
      </c>
      <c r="K1037" s="78">
        <v>0</v>
      </c>
      <c r="M1037" s="79" t="str">
        <f t="shared" si="50"/>
        <v>142-7060</v>
      </c>
      <c r="N1037" s="79" t="str">
        <f t="shared" si="48"/>
        <v/>
      </c>
      <c r="O1037" s="79" t="str">
        <f t="shared" si="49"/>
        <v>142</v>
      </c>
      <c r="P1037" s="79" t="str">
        <f>IFERROR(VLOOKUP($M1037,Export!$P:$R,2,FALSE),"-")</f>
        <v>Lex Service</v>
      </c>
      <c r="Q1037" s="79" t="str">
        <f>IFERROR(VLOOKUP($M1037,Export!$P:$R,3,FALSE),"-")</f>
        <v>Lex ServiceOther Expenses as % of Sales</v>
      </c>
      <c r="R1037" s="80" t="e" cm="1">
        <f t="array" ref="R1037">_xlfn.IFS(P1037="Service", _xlfn.IFS(I1037="SALES","GP",I1037="SERVICE SALES","GP",I1037="PARTS SALES","GP",I1037="SERVICE COS","GP",I1037="PARTS COS","GP",I1037="SELLING EXPENSES","Selling Expenses",I1037="EMPLOYMENT EXPENSES","Selling Expenses",I1037="EMPLOYMENT EXPENSES","Selling Expenses",I1037="DIRECT EXPENSES","Selling Expenses",I1037="INDIRECT EXPENSES","Selling Expenses"),P1037="Parts",_xlfn.IFS(I1037="SALES","GP",I1037="SERVICE SALES","GP",I1037="PARTS SALES","GP",I1037="SERVICE COS","GP",I1037="PARTS COS","GP",I1037="SELLING EXPENSES","Selling Expenses",I1037="EMPLOYMENT EXPENSES","Selling Expenses",I1037="EMPLOYMENT EXPENSES","Selling Expenses",I1037="DIRECT EXPENSES","Selling Expenses",I1037="INDIRECT EXPENSES","Selling Expenses"))</f>
        <v>#N/A</v>
      </c>
    </row>
    <row r="1038" spans="1:18" x14ac:dyDescent="0.2">
      <c r="A1038" s="75">
        <v>7060</v>
      </c>
      <c r="B1038" s="76" t="s">
        <v>123</v>
      </c>
      <c r="C1038" s="76">
        <v>147</v>
      </c>
      <c r="D1038" s="76" t="s">
        <v>699</v>
      </c>
      <c r="E1038" s="76" t="s">
        <v>426</v>
      </c>
      <c r="F1038" s="77">
        <v>1943.73</v>
      </c>
      <c r="G1038" s="77">
        <v>0</v>
      </c>
      <c r="H1038" s="77">
        <v>1943.73</v>
      </c>
      <c r="I1038" s="76" t="s">
        <v>920</v>
      </c>
      <c r="J1038" s="77">
        <v>1900</v>
      </c>
      <c r="K1038" s="78">
        <v>30385.09</v>
      </c>
      <c r="M1038" s="79" t="str">
        <f t="shared" si="50"/>
        <v>147-7060</v>
      </c>
      <c r="N1038" s="79" t="str">
        <f t="shared" si="48"/>
        <v/>
      </c>
      <c r="O1038" s="79" t="str">
        <f t="shared" si="49"/>
        <v>147</v>
      </c>
      <c r="P1038" s="79" t="str">
        <f>IFERROR(VLOOKUP($M1038,Export!$P:$R,2,FALSE),"-")</f>
        <v>Service</v>
      </c>
      <c r="Q1038" s="79" t="str">
        <f>IFERROR(VLOOKUP($M1038,Export!$P:$R,3,FALSE),"-")</f>
        <v>ServiceOther Expenses as % of Sales</v>
      </c>
      <c r="R1038" s="80" t="str" cm="1">
        <f t="array" ref="R1038">_xlfn.IFS(P1038="Service", _xlfn.IFS(I1038="SALES","GP",I1038="SERVICE SALES","GP",I1038="PARTS SALES","GP",I1038="SERVICE COS","GP",I1038="PARTS COS","GP",I1038="SELLING EXPENSES","Selling Expenses",I1038="EMPLOYMENT EXPENSES","Selling Expenses",I1038="EMPLOYMENT EXPENSES","Selling Expenses",I1038="DIRECT EXPENSES","Selling Expenses",I1038="INDIRECT EXPENSES","Selling Expenses"),P1038="Parts",_xlfn.IFS(I1038="SALES","GP",I1038="SERVICE SALES","GP",I1038="PARTS SALES","GP",I1038="SERVICE COS","GP",I1038="PARTS COS","GP",I1038="SELLING EXPENSES","Selling Expenses",I1038="EMPLOYMENT EXPENSES","Selling Expenses",I1038="EMPLOYMENT EXPENSES","Selling Expenses",I1038="DIRECT EXPENSES","Selling Expenses",I1038="INDIRECT EXPENSES","Selling Expenses"))</f>
        <v>Selling Expenses</v>
      </c>
    </row>
    <row r="1039" spans="1:18" x14ac:dyDescent="0.2">
      <c r="A1039" s="75">
        <v>7060</v>
      </c>
      <c r="B1039" s="76" t="s">
        <v>123</v>
      </c>
      <c r="C1039" s="76">
        <v>210</v>
      </c>
      <c r="D1039" s="76" t="s">
        <v>436</v>
      </c>
      <c r="E1039" s="76" t="s">
        <v>426</v>
      </c>
      <c r="F1039" s="77">
        <v>56777.39</v>
      </c>
      <c r="G1039" s="77">
        <v>1460.95</v>
      </c>
      <c r="H1039" s="77">
        <v>58238.34</v>
      </c>
      <c r="I1039" s="76" t="s">
        <v>920</v>
      </c>
      <c r="J1039" s="77">
        <v>2185.6</v>
      </c>
      <c r="K1039" s="78">
        <v>25897.98</v>
      </c>
      <c r="M1039" s="79" t="str">
        <f t="shared" si="50"/>
        <v>210-7060</v>
      </c>
      <c r="N1039" s="79" t="str">
        <f t="shared" si="48"/>
        <v/>
      </c>
      <c r="O1039" s="79" t="str">
        <f t="shared" si="49"/>
        <v>210</v>
      </c>
      <c r="P1039" s="79" t="str">
        <f>IFERROR(VLOOKUP($M1039,Export!$P:$R,2,FALSE),"-")</f>
        <v>New Vehicle</v>
      </c>
      <c r="Q1039" s="79" t="str">
        <f>IFERROR(VLOOKUP($M1039,Export!$P:$R,3,FALSE),"-")</f>
        <v>New VehicleOther Variable expenses p.u.</v>
      </c>
      <c r="R1039" s="80" t="e" cm="1">
        <f t="array" ref="R1039">_xlfn.IFS(P1039="Service", _xlfn.IFS(I1039="SALES","GP",I1039="SERVICE SALES","GP",I1039="PARTS SALES","GP",I1039="SERVICE COS","GP",I1039="PARTS COS","GP",I1039="SELLING EXPENSES","Selling Expenses",I1039="EMPLOYMENT EXPENSES","Selling Expenses",I1039="EMPLOYMENT EXPENSES","Selling Expenses",I1039="DIRECT EXPENSES","Selling Expenses",I1039="INDIRECT EXPENSES","Selling Expenses"),P1039="Parts",_xlfn.IFS(I1039="SALES","GP",I1039="SERVICE SALES","GP",I1039="PARTS SALES","GP",I1039="SERVICE COS","GP",I1039="PARTS COS","GP",I1039="SELLING EXPENSES","Selling Expenses",I1039="EMPLOYMENT EXPENSES","Selling Expenses",I1039="EMPLOYMENT EXPENSES","Selling Expenses",I1039="DIRECT EXPENSES","Selling Expenses",I1039="INDIRECT EXPENSES","Selling Expenses"))</f>
        <v>#N/A</v>
      </c>
    </row>
    <row r="1040" spans="1:18" x14ac:dyDescent="0.2">
      <c r="A1040" s="75">
        <v>7060</v>
      </c>
      <c r="B1040" s="76" t="s">
        <v>123</v>
      </c>
      <c r="C1040" s="76">
        <v>220</v>
      </c>
      <c r="D1040" s="76" t="s">
        <v>437</v>
      </c>
      <c r="E1040" s="76" t="s">
        <v>426</v>
      </c>
      <c r="F1040" s="77">
        <v>52890.65</v>
      </c>
      <c r="G1040" s="77">
        <v>6202.36</v>
      </c>
      <c r="H1040" s="77">
        <v>59093.01</v>
      </c>
      <c r="I1040" s="76" t="s">
        <v>920</v>
      </c>
      <c r="J1040" s="77">
        <v>2400</v>
      </c>
      <c r="K1040" s="78">
        <v>26603.72</v>
      </c>
      <c r="M1040" s="79" t="str">
        <f t="shared" si="50"/>
        <v>220-7060</v>
      </c>
      <c r="N1040" s="79" t="str">
        <f t="shared" si="48"/>
        <v/>
      </c>
      <c r="O1040" s="79" t="str">
        <f t="shared" si="49"/>
        <v>220</v>
      </c>
      <c r="P1040" s="79" t="str">
        <f>IFERROR(VLOOKUP($M1040,Export!$P:$R,2,FALSE),"-")</f>
        <v>Used Vehicle</v>
      </c>
      <c r="Q1040" s="79" t="str">
        <f>IFERROR(VLOOKUP($M1040,Export!$P:$R,3,FALSE),"-")</f>
        <v>Used VehicleOther Variable expenses per retail</v>
      </c>
      <c r="R1040" s="80" t="e" cm="1">
        <f t="array" ref="R1040">_xlfn.IFS(P1040="Service", _xlfn.IFS(I1040="SALES","GP",I1040="SERVICE SALES","GP",I1040="PARTS SALES","GP",I1040="SERVICE COS","GP",I1040="PARTS COS","GP",I1040="SELLING EXPENSES","Selling Expenses",I1040="EMPLOYMENT EXPENSES","Selling Expenses",I1040="EMPLOYMENT EXPENSES","Selling Expenses",I1040="DIRECT EXPENSES","Selling Expenses",I1040="INDIRECT EXPENSES","Selling Expenses"),P1040="Parts",_xlfn.IFS(I1040="SALES","GP",I1040="SERVICE SALES","GP",I1040="PARTS SALES","GP",I1040="SERVICE COS","GP",I1040="PARTS COS","GP",I1040="SELLING EXPENSES","Selling Expenses",I1040="EMPLOYMENT EXPENSES","Selling Expenses",I1040="EMPLOYMENT EXPENSES","Selling Expenses",I1040="DIRECT EXPENSES","Selling Expenses",I1040="INDIRECT EXPENSES","Selling Expenses"))</f>
        <v>#N/A</v>
      </c>
    </row>
    <row r="1041" spans="1:18" x14ac:dyDescent="0.2">
      <c r="A1041" s="75">
        <v>7060</v>
      </c>
      <c r="B1041" s="76" t="s">
        <v>123</v>
      </c>
      <c r="C1041" s="76">
        <v>230</v>
      </c>
      <c r="D1041" s="76" t="s">
        <v>438</v>
      </c>
      <c r="E1041" s="76" t="s">
        <v>426</v>
      </c>
      <c r="F1041" s="77">
        <v>2538.29</v>
      </c>
      <c r="G1041" s="77">
        <v>0</v>
      </c>
      <c r="H1041" s="77">
        <v>2538.29</v>
      </c>
      <c r="I1041" s="76" t="s">
        <v>920</v>
      </c>
      <c r="J1041" s="77">
        <v>0</v>
      </c>
      <c r="K1041" s="78">
        <v>0</v>
      </c>
      <c r="M1041" s="79" t="str">
        <f t="shared" si="50"/>
        <v>230-7060</v>
      </c>
      <c r="N1041" s="79" t="str">
        <f t="shared" si="48"/>
        <v/>
      </c>
      <c r="O1041" s="79" t="str">
        <f t="shared" si="49"/>
        <v>230</v>
      </c>
      <c r="P1041" s="79" t="str">
        <f>IFERROR(VLOOKUP($M1041,Export!$P:$R,2,FALSE),"-")</f>
        <v>Parts</v>
      </c>
      <c r="Q1041" s="79" t="str">
        <f>IFERROR(VLOOKUP($M1041,Export!$P:$R,3,FALSE),"-")</f>
        <v>PartsOther Expenses as % of Sales</v>
      </c>
      <c r="R1041" s="80" t="str" cm="1">
        <f t="array" ref="R1041">_xlfn.IFS(P1041="Service", _xlfn.IFS(I1041="SALES","GP",I1041="SERVICE SALES","GP",I1041="PARTS SALES","GP",I1041="SERVICE COS","GP",I1041="PARTS COS","GP",I1041="SELLING EXPENSES","Selling Expenses",I1041="EMPLOYMENT EXPENSES","Selling Expenses",I1041="EMPLOYMENT EXPENSES","Selling Expenses",I1041="DIRECT EXPENSES","Selling Expenses",I1041="INDIRECT EXPENSES","Selling Expenses"),P1041="Parts",_xlfn.IFS(I1041="SALES","GP",I1041="SERVICE SALES","GP",I1041="PARTS SALES","GP",I1041="SERVICE COS","GP",I1041="PARTS COS","GP",I1041="SELLING EXPENSES","Selling Expenses",I1041="EMPLOYMENT EXPENSES","Selling Expenses",I1041="EMPLOYMENT EXPENSES","Selling Expenses",I1041="DIRECT EXPENSES","Selling Expenses",I1041="INDIRECT EXPENSES","Selling Expenses"))</f>
        <v>Selling Expenses</v>
      </c>
    </row>
    <row r="1042" spans="1:18" x14ac:dyDescent="0.2">
      <c r="A1042" s="75">
        <v>7060</v>
      </c>
      <c r="B1042" s="76" t="s">
        <v>123</v>
      </c>
      <c r="C1042" s="76">
        <v>240</v>
      </c>
      <c r="D1042" s="76" t="s">
        <v>439</v>
      </c>
      <c r="E1042" s="76" t="s">
        <v>426</v>
      </c>
      <c r="F1042" s="77">
        <v>23038.03</v>
      </c>
      <c r="G1042" s="77">
        <v>2231.2199999999998</v>
      </c>
      <c r="H1042" s="77">
        <v>25269.25</v>
      </c>
      <c r="I1042" s="76" t="s">
        <v>920</v>
      </c>
      <c r="J1042" s="77">
        <v>5500</v>
      </c>
      <c r="K1042" s="78">
        <v>51257.82</v>
      </c>
      <c r="M1042" s="79" t="str">
        <f t="shared" si="50"/>
        <v>240-7060</v>
      </c>
      <c r="N1042" s="79" t="str">
        <f t="shared" si="48"/>
        <v/>
      </c>
      <c r="O1042" s="79" t="str">
        <f t="shared" si="49"/>
        <v>240</v>
      </c>
      <c r="P1042" s="79" t="str">
        <f>IFERROR(VLOOKUP($M1042,Export!$P:$R,2,FALSE),"-")</f>
        <v>Service</v>
      </c>
      <c r="Q1042" s="79" t="str">
        <f>IFERROR(VLOOKUP($M1042,Export!$P:$R,3,FALSE),"-")</f>
        <v>ServiceOther Expenses as % of Sales</v>
      </c>
      <c r="R1042" s="80" t="str" cm="1">
        <f t="array" ref="R1042">_xlfn.IFS(P1042="Service", _xlfn.IFS(I1042="SALES","GP",I1042="SERVICE SALES","GP",I1042="PARTS SALES","GP",I1042="SERVICE COS","GP",I1042="PARTS COS","GP",I1042="SELLING EXPENSES","Selling Expenses",I1042="EMPLOYMENT EXPENSES","Selling Expenses",I1042="EMPLOYMENT EXPENSES","Selling Expenses",I1042="DIRECT EXPENSES","Selling Expenses",I1042="INDIRECT EXPENSES","Selling Expenses"),P1042="Parts",_xlfn.IFS(I1042="SALES","GP",I1042="SERVICE SALES","GP",I1042="PARTS SALES","GP",I1042="SERVICE COS","GP",I1042="PARTS COS","GP",I1042="SELLING EXPENSES","Selling Expenses",I1042="EMPLOYMENT EXPENSES","Selling Expenses",I1042="EMPLOYMENT EXPENSES","Selling Expenses",I1042="DIRECT EXPENSES","Selling Expenses",I1042="INDIRECT EXPENSES","Selling Expenses"))</f>
        <v>Selling Expenses</v>
      </c>
    </row>
    <row r="1043" spans="1:18" x14ac:dyDescent="0.2">
      <c r="A1043" s="75">
        <v>7060</v>
      </c>
      <c r="B1043" s="76" t="s">
        <v>123</v>
      </c>
      <c r="C1043" s="76">
        <v>340</v>
      </c>
      <c r="D1043" s="76" t="s">
        <v>440</v>
      </c>
      <c r="E1043" s="76" t="s">
        <v>426</v>
      </c>
      <c r="F1043" s="77">
        <v>31834.86</v>
      </c>
      <c r="G1043" s="77">
        <v>3834.08</v>
      </c>
      <c r="H1043" s="77">
        <v>35668.94</v>
      </c>
      <c r="I1043" s="76" t="s">
        <v>920</v>
      </c>
      <c r="J1043" s="77">
        <v>7426.34</v>
      </c>
      <c r="K1043" s="78">
        <v>73592.28</v>
      </c>
      <c r="M1043" s="79" t="str">
        <f t="shared" si="50"/>
        <v>340-7060</v>
      </c>
      <c r="N1043" s="79" t="str">
        <f t="shared" si="48"/>
        <v/>
      </c>
      <c r="O1043" s="79" t="str">
        <f t="shared" si="49"/>
        <v>340</v>
      </c>
      <c r="P1043" s="79" t="str">
        <f>IFERROR(VLOOKUP($M1043,Export!$P:$R,2,FALSE),"-")</f>
        <v>Service</v>
      </c>
      <c r="Q1043" s="79" t="str">
        <f>IFERROR(VLOOKUP($M1043,Export!$P:$R,3,FALSE),"-")</f>
        <v>ServiceOther Expenses as % of Sales</v>
      </c>
      <c r="R1043" s="80" t="str" cm="1">
        <f t="array" ref="R1043">_xlfn.IFS(P1043="Service", _xlfn.IFS(I1043="SALES","GP",I1043="SERVICE SALES","GP",I1043="PARTS SALES","GP",I1043="SERVICE COS","GP",I1043="PARTS COS","GP",I1043="SELLING EXPENSES","Selling Expenses",I1043="EMPLOYMENT EXPENSES","Selling Expenses",I1043="EMPLOYMENT EXPENSES","Selling Expenses",I1043="DIRECT EXPENSES","Selling Expenses",I1043="INDIRECT EXPENSES","Selling Expenses"),P1043="Parts",_xlfn.IFS(I1043="SALES","GP",I1043="SERVICE SALES","GP",I1043="PARTS SALES","GP",I1043="SERVICE COS","GP",I1043="PARTS COS","GP",I1043="SELLING EXPENSES","Selling Expenses",I1043="EMPLOYMENT EXPENSES","Selling Expenses",I1043="EMPLOYMENT EXPENSES","Selling Expenses",I1043="DIRECT EXPENSES","Selling Expenses",I1043="INDIRECT EXPENSES","Selling Expenses"))</f>
        <v>Selling Expenses</v>
      </c>
    </row>
    <row r="1044" spans="1:18" x14ac:dyDescent="0.2">
      <c r="A1044" s="75">
        <v>7060</v>
      </c>
      <c r="B1044" s="76" t="s">
        <v>123</v>
      </c>
      <c r="C1044" s="76">
        <v>400</v>
      </c>
      <c r="D1044" s="76" t="s">
        <v>923</v>
      </c>
      <c r="E1044" s="76" t="s">
        <v>426</v>
      </c>
      <c r="F1044" s="77">
        <v>0</v>
      </c>
      <c r="G1044" s="77">
        <v>0</v>
      </c>
      <c r="H1044" s="77">
        <v>0</v>
      </c>
      <c r="I1044" s="76" t="s">
        <v>920</v>
      </c>
      <c r="J1044" s="77">
        <v>0</v>
      </c>
      <c r="K1044" s="78">
        <v>-0.22</v>
      </c>
      <c r="M1044" s="79" t="str">
        <f t="shared" si="50"/>
        <v>400-7060</v>
      </c>
      <c r="N1044" s="79" t="str">
        <f t="shared" si="48"/>
        <v/>
      </c>
      <c r="O1044" s="79" t="str">
        <f t="shared" si="49"/>
        <v>400</v>
      </c>
      <c r="P1044" s="79" t="str">
        <f>IFERROR(VLOOKUP($M1044,Export!$P:$R,2,FALSE),"-")</f>
        <v>New Vehicle</v>
      </c>
      <c r="Q1044" s="79" t="str">
        <f>IFERROR(VLOOKUP($M1044,Export!$P:$R,3,FALSE),"-")</f>
        <v>New VehicleOther Variable expenses p.u.</v>
      </c>
      <c r="R1044" s="80" t="e" cm="1">
        <f t="array" ref="R1044">_xlfn.IFS(P1044="Service", _xlfn.IFS(I1044="SALES","GP",I1044="SERVICE SALES","GP",I1044="PARTS SALES","GP",I1044="SERVICE COS","GP",I1044="PARTS COS","GP",I1044="SELLING EXPENSES","Selling Expenses",I1044="EMPLOYMENT EXPENSES","Selling Expenses",I1044="EMPLOYMENT EXPENSES","Selling Expenses",I1044="DIRECT EXPENSES","Selling Expenses",I1044="INDIRECT EXPENSES","Selling Expenses"),P1044="Parts",_xlfn.IFS(I1044="SALES","GP",I1044="SERVICE SALES","GP",I1044="PARTS SALES","GP",I1044="SERVICE COS","GP",I1044="PARTS COS","GP",I1044="SELLING EXPENSES","Selling Expenses",I1044="EMPLOYMENT EXPENSES","Selling Expenses",I1044="EMPLOYMENT EXPENSES","Selling Expenses",I1044="DIRECT EXPENSES","Selling Expenses",I1044="INDIRECT EXPENSES","Selling Expenses"))</f>
        <v>#N/A</v>
      </c>
    </row>
    <row r="1045" spans="1:18" x14ac:dyDescent="0.2">
      <c r="A1045" s="75">
        <v>7060</v>
      </c>
      <c r="B1045" s="76" t="s">
        <v>123</v>
      </c>
      <c r="C1045" s="76">
        <v>430</v>
      </c>
      <c r="D1045" s="76" t="s">
        <v>458</v>
      </c>
      <c r="E1045" s="76" t="s">
        <v>426</v>
      </c>
      <c r="F1045" s="77">
        <v>436.18</v>
      </c>
      <c r="G1045" s="77">
        <v>0</v>
      </c>
      <c r="H1045" s="77">
        <v>436.18</v>
      </c>
      <c r="I1045" s="76" t="s">
        <v>920</v>
      </c>
      <c r="J1045" s="77">
        <v>0</v>
      </c>
      <c r="K1045" s="78">
        <v>0</v>
      </c>
      <c r="M1045" s="79" t="str">
        <f t="shared" si="50"/>
        <v>430-7060</v>
      </c>
      <c r="N1045" s="79" t="str">
        <f t="shared" si="48"/>
        <v/>
      </c>
      <c r="O1045" s="79" t="str">
        <f t="shared" si="49"/>
        <v>430</v>
      </c>
      <c r="P1045" s="79" t="str">
        <f>IFERROR(VLOOKUP($M1045,Export!$P:$R,2,FALSE),"-")</f>
        <v>Parts</v>
      </c>
      <c r="Q1045" s="79" t="str">
        <f>IFERROR(VLOOKUP($M1045,Export!$P:$R,3,FALSE),"-")</f>
        <v>PartsOther Expenses as % of Sales</v>
      </c>
      <c r="R1045" s="80" t="str" cm="1">
        <f t="array" ref="R1045">_xlfn.IFS(P1045="Service", _xlfn.IFS(I1045="SALES","GP",I1045="SERVICE SALES","GP",I1045="PARTS SALES","GP",I1045="SERVICE COS","GP",I1045="PARTS COS","GP",I1045="SELLING EXPENSES","Selling Expenses",I1045="EMPLOYMENT EXPENSES","Selling Expenses",I1045="EMPLOYMENT EXPENSES","Selling Expenses",I1045="DIRECT EXPENSES","Selling Expenses",I1045="INDIRECT EXPENSES","Selling Expenses"),P1045="Parts",_xlfn.IFS(I1045="SALES","GP",I1045="SERVICE SALES","GP",I1045="PARTS SALES","GP",I1045="SERVICE COS","GP",I1045="PARTS COS","GP",I1045="SELLING EXPENSES","Selling Expenses",I1045="EMPLOYMENT EXPENSES","Selling Expenses",I1045="EMPLOYMENT EXPENSES","Selling Expenses",I1045="DIRECT EXPENSES","Selling Expenses",I1045="INDIRECT EXPENSES","Selling Expenses"))</f>
        <v>Selling Expenses</v>
      </c>
    </row>
    <row r="1046" spans="1:18" x14ac:dyDescent="0.2">
      <c r="A1046" s="75">
        <v>7060</v>
      </c>
      <c r="B1046" s="76" t="s">
        <v>123</v>
      </c>
      <c r="C1046" s="76">
        <v>440</v>
      </c>
      <c r="D1046" s="76" t="s">
        <v>441</v>
      </c>
      <c r="E1046" s="76" t="s">
        <v>426</v>
      </c>
      <c r="F1046" s="77">
        <v>76181.899999999994</v>
      </c>
      <c r="G1046" s="77">
        <v>2075.37</v>
      </c>
      <c r="H1046" s="77">
        <v>78257.27</v>
      </c>
      <c r="I1046" s="76" t="s">
        <v>920</v>
      </c>
      <c r="J1046" s="77">
        <v>3631.48</v>
      </c>
      <c r="K1046" s="78">
        <v>28151.02</v>
      </c>
      <c r="M1046" s="79" t="str">
        <f t="shared" si="50"/>
        <v>440-7060</v>
      </c>
      <c r="N1046" s="79" t="str">
        <f t="shared" si="48"/>
        <v/>
      </c>
      <c r="O1046" s="79" t="str">
        <f t="shared" si="49"/>
        <v>440</v>
      </c>
      <c r="P1046" s="79" t="str">
        <f>IFERROR(VLOOKUP($M1046,Export!$P:$R,2,FALSE),"-")</f>
        <v>Service</v>
      </c>
      <c r="Q1046" s="79" t="str">
        <f>IFERROR(VLOOKUP($M1046,Export!$P:$R,3,FALSE),"-")</f>
        <v>ServiceOther Expenses as % of Sales</v>
      </c>
      <c r="R1046" s="80" t="str" cm="1">
        <f t="array" ref="R1046">_xlfn.IFS(P1046="Service", _xlfn.IFS(I1046="SALES","GP",I1046="SERVICE SALES","GP",I1046="PARTS SALES","GP",I1046="SERVICE COS","GP",I1046="PARTS COS","GP",I1046="SELLING EXPENSES","Selling Expenses",I1046="EMPLOYMENT EXPENSES","Selling Expenses",I1046="EMPLOYMENT EXPENSES","Selling Expenses",I1046="DIRECT EXPENSES","Selling Expenses",I1046="INDIRECT EXPENSES","Selling Expenses"),P1046="Parts",_xlfn.IFS(I1046="SALES","GP",I1046="SERVICE SALES","GP",I1046="PARTS SALES","GP",I1046="SERVICE COS","GP",I1046="PARTS COS","GP",I1046="SELLING EXPENSES","Selling Expenses",I1046="EMPLOYMENT EXPENSES","Selling Expenses",I1046="EMPLOYMENT EXPENSES","Selling Expenses",I1046="DIRECT EXPENSES","Selling Expenses",I1046="INDIRECT EXPENSES","Selling Expenses"))</f>
        <v>Selling Expenses</v>
      </c>
    </row>
    <row r="1047" spans="1:18" x14ac:dyDescent="0.2">
      <c r="A1047" s="75">
        <v>7060</v>
      </c>
      <c r="B1047" s="76" t="s">
        <v>123</v>
      </c>
      <c r="C1047" s="76">
        <v>935</v>
      </c>
      <c r="D1047" s="76" t="s">
        <v>442</v>
      </c>
      <c r="E1047" s="76" t="s">
        <v>426</v>
      </c>
      <c r="F1047" s="77">
        <v>2105.9</v>
      </c>
      <c r="G1047" s="77">
        <v>0</v>
      </c>
      <c r="H1047" s="77">
        <v>2105.9</v>
      </c>
      <c r="I1047" s="76" t="s">
        <v>920</v>
      </c>
      <c r="J1047" s="77">
        <v>0</v>
      </c>
      <c r="K1047" s="78">
        <v>0</v>
      </c>
      <c r="M1047" s="79" t="str">
        <f t="shared" si="50"/>
        <v>935-7060</v>
      </c>
      <c r="N1047" s="79" t="str">
        <f t="shared" si="48"/>
        <v/>
      </c>
      <c r="O1047" s="79" t="str">
        <f t="shared" si="49"/>
        <v>935</v>
      </c>
      <c r="P1047" s="79" t="str">
        <f>IFERROR(VLOOKUP($M1047,Export!$P:$R,2,FALSE),"-")</f>
        <v>Bridgestone</v>
      </c>
      <c r="Q1047" s="79" t="str">
        <f>IFERROR(VLOOKUP($M1047,Export!$P:$R,3,FALSE),"-")</f>
        <v>BridgestoneOther Expenses as % of Sales</v>
      </c>
      <c r="R1047" s="80" t="e" cm="1">
        <f t="array" ref="R1047">_xlfn.IFS(P1047="Service", _xlfn.IFS(I1047="SALES","GP",I1047="SERVICE SALES","GP",I1047="PARTS SALES","GP",I1047="SERVICE COS","GP",I1047="PARTS COS","GP",I1047="SELLING EXPENSES","Selling Expenses",I1047="EMPLOYMENT EXPENSES","Selling Expenses",I1047="EMPLOYMENT EXPENSES","Selling Expenses",I1047="DIRECT EXPENSES","Selling Expenses",I1047="INDIRECT EXPENSES","Selling Expenses"),P1047="Parts",_xlfn.IFS(I1047="SALES","GP",I1047="SERVICE SALES","GP",I1047="PARTS SALES","GP",I1047="SERVICE COS","GP",I1047="PARTS COS","GP",I1047="SELLING EXPENSES","Selling Expenses",I1047="EMPLOYMENT EXPENSES","Selling Expenses",I1047="EMPLOYMENT EXPENSES","Selling Expenses",I1047="DIRECT EXPENSES","Selling Expenses",I1047="INDIRECT EXPENSES","Selling Expenses"))</f>
        <v>#N/A</v>
      </c>
    </row>
    <row r="1048" spans="1:18" x14ac:dyDescent="0.2">
      <c r="A1048" s="75">
        <v>7060</v>
      </c>
      <c r="B1048" s="76" t="s">
        <v>123</v>
      </c>
      <c r="C1048" s="76">
        <v>936</v>
      </c>
      <c r="D1048" s="76" t="s">
        <v>443</v>
      </c>
      <c r="E1048" s="76" t="s">
        <v>426</v>
      </c>
      <c r="F1048" s="77">
        <v>1938.02</v>
      </c>
      <c r="G1048" s="77">
        <v>0</v>
      </c>
      <c r="H1048" s="77">
        <v>1938.02</v>
      </c>
      <c r="I1048" s="76" t="s">
        <v>920</v>
      </c>
      <c r="J1048" s="77">
        <v>91.31</v>
      </c>
      <c r="K1048" s="78">
        <v>913.08</v>
      </c>
      <c r="M1048" s="79" t="str">
        <f t="shared" si="50"/>
        <v>936-7060</v>
      </c>
      <c r="N1048" s="79" t="str">
        <f t="shared" si="48"/>
        <v/>
      </c>
      <c r="O1048" s="79" t="str">
        <f t="shared" si="49"/>
        <v>936</v>
      </c>
      <c r="P1048" s="79" t="str">
        <f>IFERROR(VLOOKUP($M1048,Export!$P:$R,2,FALSE),"-")</f>
        <v>Bridgestone</v>
      </c>
      <c r="Q1048" s="79" t="str">
        <f>IFERROR(VLOOKUP($M1048,Export!$P:$R,3,FALSE),"-")</f>
        <v>BridgestoneOther Expenses as % of Sales</v>
      </c>
      <c r="R1048" s="80" t="e" cm="1">
        <f t="array" ref="R1048">_xlfn.IFS(P1048="Service", _xlfn.IFS(I1048="SALES","GP",I1048="SERVICE SALES","GP",I1048="PARTS SALES","GP",I1048="SERVICE COS","GP",I1048="PARTS COS","GP",I1048="SELLING EXPENSES","Selling Expenses",I1048="EMPLOYMENT EXPENSES","Selling Expenses",I1048="EMPLOYMENT EXPENSES","Selling Expenses",I1048="DIRECT EXPENSES","Selling Expenses",I1048="INDIRECT EXPENSES","Selling Expenses"),P1048="Parts",_xlfn.IFS(I1048="SALES","GP",I1048="SERVICE SALES","GP",I1048="PARTS SALES","GP",I1048="SERVICE COS","GP",I1048="PARTS COS","GP",I1048="SELLING EXPENSES","Selling Expenses",I1048="EMPLOYMENT EXPENSES","Selling Expenses",I1048="EMPLOYMENT EXPENSES","Selling Expenses",I1048="DIRECT EXPENSES","Selling Expenses",I1048="INDIRECT EXPENSES","Selling Expenses"))</f>
        <v>#N/A</v>
      </c>
    </row>
    <row r="1049" spans="1:18" x14ac:dyDescent="0.2">
      <c r="A1049" s="75">
        <v>7080</v>
      </c>
      <c r="B1049" s="76" t="s">
        <v>76</v>
      </c>
      <c r="C1049" s="76">
        <v>110</v>
      </c>
      <c r="D1049" s="76" t="s">
        <v>430</v>
      </c>
      <c r="E1049" s="76" t="s">
        <v>426</v>
      </c>
      <c r="F1049" s="77">
        <v>63414.79</v>
      </c>
      <c r="G1049" s="77">
        <v>2731.76</v>
      </c>
      <c r="H1049" s="77">
        <v>66146.55</v>
      </c>
      <c r="I1049" s="76" t="s">
        <v>920</v>
      </c>
      <c r="J1049" s="77">
        <v>4900</v>
      </c>
      <c r="K1049" s="78">
        <v>108148.24</v>
      </c>
      <c r="M1049" s="79" t="str">
        <f t="shared" si="50"/>
        <v>110-7080</v>
      </c>
      <c r="N1049" s="79" t="str">
        <f t="shared" si="48"/>
        <v/>
      </c>
      <c r="O1049" s="79" t="str">
        <f t="shared" si="49"/>
        <v>110</v>
      </c>
      <c r="P1049" s="79" t="str">
        <f>IFERROR(VLOOKUP($M1049,Export!$P:$R,2,FALSE),"-")</f>
        <v>New Vehicle</v>
      </c>
      <c r="Q1049" s="79" t="str">
        <f>IFERROR(VLOOKUP($M1049,Export!$P:$R,3,FALSE),"-")</f>
        <v>New VehicleAdvertising p.u.</v>
      </c>
      <c r="R1049" s="80" t="e" cm="1">
        <f t="array" ref="R1049">_xlfn.IFS(P1049="Service", _xlfn.IFS(I1049="SALES","GP",I1049="SERVICE SALES","GP",I1049="PARTS SALES","GP",I1049="SERVICE COS","GP",I1049="PARTS COS","GP",I1049="SELLING EXPENSES","Selling Expenses",I1049="EMPLOYMENT EXPENSES","Selling Expenses",I1049="EMPLOYMENT EXPENSES","Selling Expenses",I1049="DIRECT EXPENSES","Selling Expenses",I1049="INDIRECT EXPENSES","Selling Expenses"),P1049="Parts",_xlfn.IFS(I1049="SALES","GP",I1049="SERVICE SALES","GP",I1049="PARTS SALES","GP",I1049="SERVICE COS","GP",I1049="PARTS COS","GP",I1049="SELLING EXPENSES","Selling Expenses",I1049="EMPLOYMENT EXPENSES","Selling Expenses",I1049="EMPLOYMENT EXPENSES","Selling Expenses",I1049="DIRECT EXPENSES","Selling Expenses",I1049="INDIRECT EXPENSES","Selling Expenses"))</f>
        <v>#N/A</v>
      </c>
    </row>
    <row r="1050" spans="1:18" x14ac:dyDescent="0.2">
      <c r="A1050" s="75">
        <v>7080</v>
      </c>
      <c r="B1050" s="76" t="s">
        <v>76</v>
      </c>
      <c r="C1050" s="76">
        <v>112</v>
      </c>
      <c r="D1050" s="76" t="s">
        <v>349</v>
      </c>
      <c r="E1050" s="76" t="s">
        <v>426</v>
      </c>
      <c r="F1050" s="77">
        <v>44864.21</v>
      </c>
      <c r="G1050" s="77">
        <v>1081.55</v>
      </c>
      <c r="H1050" s="77">
        <v>45945.760000000002</v>
      </c>
      <c r="I1050" s="76" t="s">
        <v>920</v>
      </c>
      <c r="J1050" s="77">
        <v>7700</v>
      </c>
      <c r="K1050" s="78">
        <v>98329.25</v>
      </c>
      <c r="M1050" s="79" t="str">
        <f t="shared" si="50"/>
        <v>112-7080</v>
      </c>
      <c r="N1050" s="79" t="str">
        <f t="shared" si="48"/>
        <v/>
      </c>
      <c r="O1050" s="79" t="str">
        <f t="shared" si="49"/>
        <v>112</v>
      </c>
      <c r="P1050" s="79" t="str">
        <f>IFERROR(VLOOKUP($M1050,Export!$P:$R,2,FALSE),"-")</f>
        <v>LEX New Vehicle</v>
      </c>
      <c r="Q1050" s="79" t="str">
        <f>IFERROR(VLOOKUP($M1050,Export!$P:$R,3,FALSE),"-")</f>
        <v>LEX New VehicleAdvertising p.u.</v>
      </c>
      <c r="R1050" s="80" t="e" cm="1">
        <f t="array" ref="R1050">_xlfn.IFS(P1050="Service", _xlfn.IFS(I1050="SALES","GP",I1050="SERVICE SALES","GP",I1050="PARTS SALES","GP",I1050="SERVICE COS","GP",I1050="PARTS COS","GP",I1050="SELLING EXPENSES","Selling Expenses",I1050="EMPLOYMENT EXPENSES","Selling Expenses",I1050="EMPLOYMENT EXPENSES","Selling Expenses",I1050="DIRECT EXPENSES","Selling Expenses",I1050="INDIRECT EXPENSES","Selling Expenses"),P1050="Parts",_xlfn.IFS(I1050="SALES","GP",I1050="SERVICE SALES","GP",I1050="PARTS SALES","GP",I1050="SERVICE COS","GP",I1050="PARTS COS","GP",I1050="SELLING EXPENSES","Selling Expenses",I1050="EMPLOYMENT EXPENSES","Selling Expenses",I1050="EMPLOYMENT EXPENSES","Selling Expenses",I1050="DIRECT EXPENSES","Selling Expenses",I1050="INDIRECT EXPENSES","Selling Expenses"))</f>
        <v>#N/A</v>
      </c>
    </row>
    <row r="1051" spans="1:18" x14ac:dyDescent="0.2">
      <c r="A1051" s="75">
        <v>7080</v>
      </c>
      <c r="B1051" s="76" t="s">
        <v>76</v>
      </c>
      <c r="C1051" s="76">
        <v>120</v>
      </c>
      <c r="D1051" s="76" t="s">
        <v>431</v>
      </c>
      <c r="E1051" s="76" t="s">
        <v>426</v>
      </c>
      <c r="F1051" s="77">
        <v>83890.42</v>
      </c>
      <c r="G1051" s="77">
        <v>5831.21</v>
      </c>
      <c r="H1051" s="77">
        <v>89721.63</v>
      </c>
      <c r="I1051" s="76" t="s">
        <v>920</v>
      </c>
      <c r="J1051" s="77">
        <v>6837.64</v>
      </c>
      <c r="K1051" s="78">
        <v>53019.1</v>
      </c>
      <c r="M1051" s="79" t="str">
        <f t="shared" si="50"/>
        <v>120-7080</v>
      </c>
      <c r="N1051" s="79" t="str">
        <f t="shared" si="48"/>
        <v/>
      </c>
      <c r="O1051" s="79" t="str">
        <f t="shared" si="49"/>
        <v>120</v>
      </c>
      <c r="P1051" s="79" t="str">
        <f>IFERROR(VLOOKUP($M1051,Export!$P:$R,2,FALSE),"-")</f>
        <v>Used Vehicle</v>
      </c>
      <c r="Q1051" s="79" t="str">
        <f>IFERROR(VLOOKUP($M1051,Export!$P:$R,3,FALSE),"-")</f>
        <v>Used VehicleAdvertising per retail</v>
      </c>
      <c r="R1051" s="80" t="e" cm="1">
        <f t="array" ref="R1051">_xlfn.IFS(P1051="Service", _xlfn.IFS(I1051="SALES","GP",I1051="SERVICE SALES","GP",I1051="PARTS SALES","GP",I1051="SERVICE COS","GP",I1051="PARTS COS","GP",I1051="SELLING EXPENSES","Selling Expenses",I1051="EMPLOYMENT EXPENSES","Selling Expenses",I1051="EMPLOYMENT EXPENSES","Selling Expenses",I1051="DIRECT EXPENSES","Selling Expenses",I1051="INDIRECT EXPENSES","Selling Expenses"),P1051="Parts",_xlfn.IFS(I1051="SALES","GP",I1051="SERVICE SALES","GP",I1051="PARTS SALES","GP",I1051="SERVICE COS","GP",I1051="PARTS COS","GP",I1051="SELLING EXPENSES","Selling Expenses",I1051="EMPLOYMENT EXPENSES","Selling Expenses",I1051="EMPLOYMENT EXPENSES","Selling Expenses",I1051="DIRECT EXPENSES","Selling Expenses",I1051="INDIRECT EXPENSES","Selling Expenses"))</f>
        <v>#N/A</v>
      </c>
    </row>
    <row r="1052" spans="1:18" x14ac:dyDescent="0.2">
      <c r="A1052" s="75">
        <v>7080</v>
      </c>
      <c r="B1052" s="76" t="s">
        <v>76</v>
      </c>
      <c r="C1052" s="76">
        <v>121</v>
      </c>
      <c r="D1052" s="76" t="s">
        <v>449</v>
      </c>
      <c r="E1052" s="76" t="s">
        <v>426</v>
      </c>
      <c r="F1052" s="77">
        <v>0</v>
      </c>
      <c r="G1052" s="77">
        <v>0</v>
      </c>
      <c r="H1052" s="77">
        <v>0</v>
      </c>
      <c r="I1052" s="76" t="s">
        <v>920</v>
      </c>
      <c r="J1052" s="77">
        <v>1099.3900000000001</v>
      </c>
      <c r="K1052" s="78">
        <v>18545.52</v>
      </c>
      <c r="M1052" s="79" t="str">
        <f t="shared" si="50"/>
        <v>121-7080</v>
      </c>
      <c r="N1052" s="79" t="str">
        <f t="shared" si="48"/>
        <v/>
      </c>
      <c r="O1052" s="79" t="str">
        <f t="shared" si="49"/>
        <v>121</v>
      </c>
      <c r="P1052" s="79" t="str">
        <f>IFERROR(VLOOKUP($M1052,Export!$P:$R,2,FALSE),"-")</f>
        <v>Used Vehicle</v>
      </c>
      <c r="Q1052" s="79" t="str">
        <f>IFERROR(VLOOKUP($M1052,Export!$P:$R,3,FALSE),"-")</f>
        <v>Used VehicleAdvertising per retail</v>
      </c>
      <c r="R1052" s="80" t="e" cm="1">
        <f t="array" ref="R1052">_xlfn.IFS(P1052="Service", _xlfn.IFS(I1052="SALES","GP",I1052="SERVICE SALES","GP",I1052="PARTS SALES","GP",I1052="SERVICE COS","GP",I1052="PARTS COS","GP",I1052="SELLING EXPENSES","Selling Expenses",I1052="EMPLOYMENT EXPENSES","Selling Expenses",I1052="EMPLOYMENT EXPENSES","Selling Expenses",I1052="DIRECT EXPENSES","Selling Expenses",I1052="INDIRECT EXPENSES","Selling Expenses"),P1052="Parts",_xlfn.IFS(I1052="SALES","GP",I1052="SERVICE SALES","GP",I1052="PARTS SALES","GP",I1052="SERVICE COS","GP",I1052="PARTS COS","GP",I1052="SELLING EXPENSES","Selling Expenses",I1052="EMPLOYMENT EXPENSES","Selling Expenses",I1052="EMPLOYMENT EXPENSES","Selling Expenses",I1052="DIRECT EXPENSES","Selling Expenses",I1052="INDIRECT EXPENSES","Selling Expenses"))</f>
        <v>#N/A</v>
      </c>
    </row>
    <row r="1053" spans="1:18" x14ac:dyDescent="0.2">
      <c r="A1053" s="75">
        <v>7080</v>
      </c>
      <c r="B1053" s="76" t="s">
        <v>76</v>
      </c>
      <c r="C1053" s="76">
        <v>122</v>
      </c>
      <c r="D1053" s="76" t="s">
        <v>452</v>
      </c>
      <c r="E1053" s="76" t="s">
        <v>426</v>
      </c>
      <c r="F1053" s="77">
        <v>18460</v>
      </c>
      <c r="G1053" s="77">
        <v>411</v>
      </c>
      <c r="H1053" s="77">
        <v>18871</v>
      </c>
      <c r="I1053" s="76" t="s">
        <v>920</v>
      </c>
      <c r="J1053" s="77">
        <v>0</v>
      </c>
      <c r="K1053" s="78">
        <v>5503.93</v>
      </c>
      <c r="M1053" s="79" t="str">
        <f t="shared" si="50"/>
        <v>122-7080</v>
      </c>
      <c r="N1053" s="79" t="str">
        <f t="shared" si="48"/>
        <v/>
      </c>
      <c r="O1053" s="79" t="str">
        <f t="shared" si="49"/>
        <v>122</v>
      </c>
      <c r="P1053" s="79" t="str">
        <f>IFERROR(VLOOKUP($M1053,Export!$P:$R,2,FALSE),"-")</f>
        <v>LEX Used Vehicle</v>
      </c>
      <c r="Q1053" s="79" t="str">
        <f>IFERROR(VLOOKUP($M1053,Export!$P:$R,3,FALSE),"-")</f>
        <v>LEX Used VehicleAdvertising per retail</v>
      </c>
      <c r="R1053" s="80" t="e" cm="1">
        <f t="array" ref="R1053">_xlfn.IFS(P1053="Service", _xlfn.IFS(I1053="SALES","GP",I1053="SERVICE SALES","GP",I1053="PARTS SALES","GP",I1053="SERVICE COS","GP",I1053="PARTS COS","GP",I1053="SELLING EXPENSES","Selling Expenses",I1053="EMPLOYMENT EXPENSES","Selling Expenses",I1053="EMPLOYMENT EXPENSES","Selling Expenses",I1053="DIRECT EXPENSES","Selling Expenses",I1053="INDIRECT EXPENSES","Selling Expenses"),P1053="Parts",_xlfn.IFS(I1053="SALES","GP",I1053="SERVICE SALES","GP",I1053="PARTS SALES","GP",I1053="SERVICE COS","GP",I1053="PARTS COS","GP",I1053="SELLING EXPENSES","Selling Expenses",I1053="EMPLOYMENT EXPENSES","Selling Expenses",I1053="EMPLOYMENT EXPENSES","Selling Expenses",I1053="DIRECT EXPENSES","Selling Expenses",I1053="INDIRECT EXPENSES","Selling Expenses"))</f>
        <v>#N/A</v>
      </c>
    </row>
    <row r="1054" spans="1:18" x14ac:dyDescent="0.2">
      <c r="A1054" s="75">
        <v>7080</v>
      </c>
      <c r="B1054" s="76" t="s">
        <v>76</v>
      </c>
      <c r="C1054" s="76">
        <v>130</v>
      </c>
      <c r="D1054" s="76" t="s">
        <v>432</v>
      </c>
      <c r="E1054" s="76" t="s">
        <v>426</v>
      </c>
      <c r="F1054" s="77">
        <v>5680.74</v>
      </c>
      <c r="G1054" s="77">
        <v>2131.3000000000002</v>
      </c>
      <c r="H1054" s="77">
        <v>7812.04</v>
      </c>
      <c r="I1054" s="76" t="s">
        <v>920</v>
      </c>
      <c r="J1054" s="77">
        <v>442.9</v>
      </c>
      <c r="K1054" s="78">
        <v>4579.07</v>
      </c>
      <c r="M1054" s="79" t="str">
        <f t="shared" si="50"/>
        <v>130-7080</v>
      </c>
      <c r="N1054" s="79" t="str">
        <f t="shared" si="48"/>
        <v/>
      </c>
      <c r="O1054" s="79" t="str">
        <f t="shared" si="49"/>
        <v>130</v>
      </c>
      <c r="P1054" s="79" t="str">
        <f>IFERROR(VLOOKUP($M1054,Export!$P:$R,2,FALSE),"-")</f>
        <v>Parts</v>
      </c>
      <c r="Q1054" s="79" t="str">
        <f>IFERROR(VLOOKUP($M1054,Export!$P:$R,3,FALSE),"-")</f>
        <v>PartsOther Expenses as % of Sales</v>
      </c>
      <c r="R1054" s="80" t="str" cm="1">
        <f t="array" ref="R1054">_xlfn.IFS(P1054="Service", _xlfn.IFS(I1054="SALES","GP",I1054="SERVICE SALES","GP",I1054="PARTS SALES","GP",I1054="SERVICE COS","GP",I1054="PARTS COS","GP",I1054="SELLING EXPENSES","Selling Expenses",I1054="EMPLOYMENT EXPENSES","Selling Expenses",I1054="EMPLOYMENT EXPENSES","Selling Expenses",I1054="DIRECT EXPENSES","Selling Expenses",I1054="INDIRECT EXPENSES","Selling Expenses"),P1054="Parts",_xlfn.IFS(I1054="SALES","GP",I1054="SERVICE SALES","GP",I1054="PARTS SALES","GP",I1054="SERVICE COS","GP",I1054="PARTS COS","GP",I1054="SELLING EXPENSES","Selling Expenses",I1054="EMPLOYMENT EXPENSES","Selling Expenses",I1054="EMPLOYMENT EXPENSES","Selling Expenses",I1054="DIRECT EXPENSES","Selling Expenses",I1054="INDIRECT EXPENSES","Selling Expenses"))</f>
        <v>Selling Expenses</v>
      </c>
    </row>
    <row r="1055" spans="1:18" x14ac:dyDescent="0.2">
      <c r="A1055" s="75">
        <v>7080</v>
      </c>
      <c r="B1055" s="76" t="s">
        <v>76</v>
      </c>
      <c r="C1055" s="76">
        <v>140</v>
      </c>
      <c r="D1055" s="76" t="s">
        <v>433</v>
      </c>
      <c r="E1055" s="76" t="s">
        <v>426</v>
      </c>
      <c r="F1055" s="77">
        <v>4791.8</v>
      </c>
      <c r="G1055" s="77">
        <v>2153.12</v>
      </c>
      <c r="H1055" s="77">
        <v>6944.92</v>
      </c>
      <c r="I1055" s="76" t="s">
        <v>920</v>
      </c>
      <c r="J1055" s="77">
        <v>245.74</v>
      </c>
      <c r="K1055" s="78">
        <v>2633.96</v>
      </c>
      <c r="M1055" s="79" t="str">
        <f t="shared" si="50"/>
        <v>140-7080</v>
      </c>
      <c r="N1055" s="79" t="str">
        <f t="shared" si="48"/>
        <v/>
      </c>
      <c r="O1055" s="79" t="str">
        <f t="shared" si="49"/>
        <v>140</v>
      </c>
      <c r="P1055" s="79" t="str">
        <f>IFERROR(VLOOKUP($M1055,Export!$P:$R,2,FALSE),"-")</f>
        <v>Service</v>
      </c>
      <c r="Q1055" s="79" t="str">
        <f>IFERROR(VLOOKUP($M1055,Export!$P:$R,3,FALSE),"-")</f>
        <v>ServiceOther Expenses as % of Sales</v>
      </c>
      <c r="R1055" s="80" t="str" cm="1">
        <f t="array" ref="R1055">_xlfn.IFS(P1055="Service", _xlfn.IFS(I1055="SALES","GP",I1055="SERVICE SALES","GP",I1055="PARTS SALES","GP",I1055="SERVICE COS","GP",I1055="PARTS COS","GP",I1055="SELLING EXPENSES","Selling Expenses",I1055="EMPLOYMENT EXPENSES","Selling Expenses",I1055="EMPLOYMENT EXPENSES","Selling Expenses",I1055="DIRECT EXPENSES","Selling Expenses",I1055="INDIRECT EXPENSES","Selling Expenses"),P1055="Parts",_xlfn.IFS(I1055="SALES","GP",I1055="SERVICE SALES","GP",I1055="PARTS SALES","GP",I1055="SERVICE COS","GP",I1055="PARTS COS","GP",I1055="SELLING EXPENSES","Selling Expenses",I1055="EMPLOYMENT EXPENSES","Selling Expenses",I1055="EMPLOYMENT EXPENSES","Selling Expenses",I1055="DIRECT EXPENSES","Selling Expenses",I1055="INDIRECT EXPENSES","Selling Expenses"))</f>
        <v>Selling Expenses</v>
      </c>
    </row>
    <row r="1056" spans="1:18" x14ac:dyDescent="0.2">
      <c r="A1056" s="75">
        <v>7080</v>
      </c>
      <c r="B1056" s="76" t="s">
        <v>76</v>
      </c>
      <c r="C1056" s="76">
        <v>160</v>
      </c>
      <c r="D1056" s="76" t="s">
        <v>434</v>
      </c>
      <c r="E1056" s="76" t="s">
        <v>426</v>
      </c>
      <c r="F1056" s="77">
        <v>36.86</v>
      </c>
      <c r="G1056" s="77">
        <v>72.73</v>
      </c>
      <c r="H1056" s="77">
        <v>109.59</v>
      </c>
      <c r="I1056" s="76" t="s">
        <v>920</v>
      </c>
      <c r="J1056" s="77">
        <v>38.380000000000003</v>
      </c>
      <c r="K1056" s="78">
        <v>472.05</v>
      </c>
      <c r="M1056" s="79" t="str">
        <f t="shared" si="50"/>
        <v>160-7080</v>
      </c>
      <c r="N1056" s="79" t="str">
        <f t="shared" si="48"/>
        <v/>
      </c>
      <c r="O1056" s="79" t="str">
        <f t="shared" si="49"/>
        <v>160</v>
      </c>
      <c r="P1056" s="79" t="str">
        <f>IFERROR(VLOOKUP($M1056,Export!$P:$R,2,FALSE),"-")</f>
        <v>F&amp;I</v>
      </c>
      <c r="Q1056" s="79" t="str">
        <f>IFERROR(VLOOKUP($M1056,Export!$P:$R,3,FALSE),"-")</f>
        <v>F&amp;IOther Expenses per vehicle retailed</v>
      </c>
      <c r="R1056" s="80" t="e" cm="1">
        <f t="array" ref="R1056">_xlfn.IFS(P1056="Service", _xlfn.IFS(I1056="SALES","GP",I1056="SERVICE SALES","GP",I1056="PARTS SALES","GP",I1056="SERVICE COS","GP",I1056="PARTS COS","GP",I1056="SELLING EXPENSES","Selling Expenses",I1056="EMPLOYMENT EXPENSES","Selling Expenses",I1056="EMPLOYMENT EXPENSES","Selling Expenses",I1056="DIRECT EXPENSES","Selling Expenses",I1056="INDIRECT EXPENSES","Selling Expenses"),P1056="Parts",_xlfn.IFS(I1056="SALES","GP",I1056="SERVICE SALES","GP",I1056="PARTS SALES","GP",I1056="SERVICE COS","GP",I1056="PARTS COS","GP",I1056="SELLING EXPENSES","Selling Expenses",I1056="EMPLOYMENT EXPENSES","Selling Expenses",I1056="EMPLOYMENT EXPENSES","Selling Expenses",I1056="DIRECT EXPENSES","Selling Expenses",I1056="INDIRECT EXPENSES","Selling Expenses"))</f>
        <v>#N/A</v>
      </c>
    </row>
    <row r="1057" spans="1:18" x14ac:dyDescent="0.2">
      <c r="A1057" s="75">
        <v>7080</v>
      </c>
      <c r="B1057" s="76" t="s">
        <v>76</v>
      </c>
      <c r="C1057" s="76">
        <v>210</v>
      </c>
      <c r="D1057" s="76" t="s">
        <v>436</v>
      </c>
      <c r="E1057" s="76" t="s">
        <v>426</v>
      </c>
      <c r="F1057" s="77">
        <v>36425.980000000003</v>
      </c>
      <c r="G1057" s="77">
        <v>220.85</v>
      </c>
      <c r="H1057" s="77">
        <v>36646.83</v>
      </c>
      <c r="I1057" s="76" t="s">
        <v>920</v>
      </c>
      <c r="J1057" s="77">
        <v>5408.72</v>
      </c>
      <c r="K1057" s="78">
        <v>62045.279999999999</v>
      </c>
      <c r="M1057" s="79" t="str">
        <f t="shared" si="50"/>
        <v>210-7080</v>
      </c>
      <c r="N1057" s="79" t="str">
        <f t="shared" si="48"/>
        <v/>
      </c>
      <c r="O1057" s="79" t="str">
        <f t="shared" si="49"/>
        <v>210</v>
      </c>
      <c r="P1057" s="79" t="str">
        <f>IFERROR(VLOOKUP($M1057,Export!$P:$R,2,FALSE),"-")</f>
        <v>New Vehicle</v>
      </c>
      <c r="Q1057" s="79" t="str">
        <f>IFERROR(VLOOKUP($M1057,Export!$P:$R,3,FALSE),"-")</f>
        <v>New VehicleAdvertising p.u.</v>
      </c>
      <c r="R1057" s="80" t="e" cm="1">
        <f t="array" ref="R1057">_xlfn.IFS(P1057="Service", _xlfn.IFS(I1057="SALES","GP",I1057="SERVICE SALES","GP",I1057="PARTS SALES","GP",I1057="SERVICE COS","GP",I1057="PARTS COS","GP",I1057="SELLING EXPENSES","Selling Expenses",I1057="EMPLOYMENT EXPENSES","Selling Expenses",I1057="EMPLOYMENT EXPENSES","Selling Expenses",I1057="DIRECT EXPENSES","Selling Expenses",I1057="INDIRECT EXPENSES","Selling Expenses"),P1057="Parts",_xlfn.IFS(I1057="SALES","GP",I1057="SERVICE SALES","GP",I1057="PARTS SALES","GP",I1057="SERVICE COS","GP",I1057="PARTS COS","GP",I1057="SELLING EXPENSES","Selling Expenses",I1057="EMPLOYMENT EXPENSES","Selling Expenses",I1057="EMPLOYMENT EXPENSES","Selling Expenses",I1057="DIRECT EXPENSES","Selling Expenses",I1057="INDIRECT EXPENSES","Selling Expenses"))</f>
        <v>#N/A</v>
      </c>
    </row>
    <row r="1058" spans="1:18" x14ac:dyDescent="0.2">
      <c r="A1058" s="75">
        <v>7080</v>
      </c>
      <c r="B1058" s="76" t="s">
        <v>76</v>
      </c>
      <c r="C1058" s="76">
        <v>220</v>
      </c>
      <c r="D1058" s="76" t="s">
        <v>437</v>
      </c>
      <c r="E1058" s="76" t="s">
        <v>426</v>
      </c>
      <c r="F1058" s="77">
        <v>33313.75</v>
      </c>
      <c r="G1058" s="77">
        <v>188.49</v>
      </c>
      <c r="H1058" s="77">
        <v>33502.239999999998</v>
      </c>
      <c r="I1058" s="76" t="s">
        <v>920</v>
      </c>
      <c r="J1058" s="77">
        <v>5100.4799999999996</v>
      </c>
      <c r="K1058" s="78">
        <v>53673.98</v>
      </c>
      <c r="M1058" s="79" t="str">
        <f t="shared" si="50"/>
        <v>220-7080</v>
      </c>
      <c r="N1058" s="79" t="str">
        <f t="shared" si="48"/>
        <v/>
      </c>
      <c r="O1058" s="79" t="str">
        <f t="shared" si="49"/>
        <v>220</v>
      </c>
      <c r="P1058" s="79" t="str">
        <f>IFERROR(VLOOKUP($M1058,Export!$P:$R,2,FALSE),"-")</f>
        <v>Used Vehicle</v>
      </c>
      <c r="Q1058" s="79" t="str">
        <f>IFERROR(VLOOKUP($M1058,Export!$P:$R,3,FALSE),"-")</f>
        <v>Used VehicleAdvertising per retail</v>
      </c>
      <c r="R1058" s="80" t="e" cm="1">
        <f t="array" ref="R1058">_xlfn.IFS(P1058="Service", _xlfn.IFS(I1058="SALES","GP",I1058="SERVICE SALES","GP",I1058="PARTS SALES","GP",I1058="SERVICE COS","GP",I1058="PARTS COS","GP",I1058="SELLING EXPENSES","Selling Expenses",I1058="EMPLOYMENT EXPENSES","Selling Expenses",I1058="EMPLOYMENT EXPENSES","Selling Expenses",I1058="DIRECT EXPENSES","Selling Expenses",I1058="INDIRECT EXPENSES","Selling Expenses"),P1058="Parts",_xlfn.IFS(I1058="SALES","GP",I1058="SERVICE SALES","GP",I1058="PARTS SALES","GP",I1058="SERVICE COS","GP",I1058="PARTS COS","GP",I1058="SELLING EXPENSES","Selling Expenses",I1058="EMPLOYMENT EXPENSES","Selling Expenses",I1058="EMPLOYMENT EXPENSES","Selling Expenses",I1058="DIRECT EXPENSES","Selling Expenses",I1058="INDIRECT EXPENSES","Selling Expenses"))</f>
        <v>#N/A</v>
      </c>
    </row>
    <row r="1059" spans="1:18" x14ac:dyDescent="0.2">
      <c r="A1059" s="75">
        <v>7080</v>
      </c>
      <c r="B1059" s="76" t="s">
        <v>76</v>
      </c>
      <c r="C1059" s="76">
        <v>230</v>
      </c>
      <c r="D1059" s="76" t="s">
        <v>438</v>
      </c>
      <c r="E1059" s="76" t="s">
        <v>426</v>
      </c>
      <c r="F1059" s="77">
        <v>283.63</v>
      </c>
      <c r="G1059" s="77">
        <v>193.83</v>
      </c>
      <c r="H1059" s="77">
        <v>477.46</v>
      </c>
      <c r="I1059" s="76" t="s">
        <v>920</v>
      </c>
      <c r="J1059" s="77">
        <v>1977.35</v>
      </c>
      <c r="K1059" s="78">
        <v>21851.16</v>
      </c>
      <c r="M1059" s="79" t="str">
        <f t="shared" si="50"/>
        <v>230-7080</v>
      </c>
      <c r="N1059" s="79" t="str">
        <f t="shared" si="48"/>
        <v/>
      </c>
      <c r="O1059" s="79" t="str">
        <f t="shared" si="49"/>
        <v>230</v>
      </c>
      <c r="P1059" s="79" t="str">
        <f>IFERROR(VLOOKUP($M1059,Export!$P:$R,2,FALSE),"-")</f>
        <v>Parts</v>
      </c>
      <c r="Q1059" s="79" t="str">
        <f>IFERROR(VLOOKUP($M1059,Export!$P:$R,3,FALSE),"-")</f>
        <v>PartsOther Expenses as % of Sales</v>
      </c>
      <c r="R1059" s="80" t="str" cm="1">
        <f t="array" ref="R1059">_xlfn.IFS(P1059="Service", _xlfn.IFS(I1059="SALES","GP",I1059="SERVICE SALES","GP",I1059="PARTS SALES","GP",I1059="SERVICE COS","GP",I1059="PARTS COS","GP",I1059="SELLING EXPENSES","Selling Expenses",I1059="EMPLOYMENT EXPENSES","Selling Expenses",I1059="EMPLOYMENT EXPENSES","Selling Expenses",I1059="DIRECT EXPENSES","Selling Expenses",I1059="INDIRECT EXPENSES","Selling Expenses"),P1059="Parts",_xlfn.IFS(I1059="SALES","GP",I1059="SERVICE SALES","GP",I1059="PARTS SALES","GP",I1059="SERVICE COS","GP",I1059="PARTS COS","GP",I1059="SELLING EXPENSES","Selling Expenses",I1059="EMPLOYMENT EXPENSES","Selling Expenses",I1059="EMPLOYMENT EXPENSES","Selling Expenses",I1059="DIRECT EXPENSES","Selling Expenses",I1059="INDIRECT EXPENSES","Selling Expenses"))</f>
        <v>Selling Expenses</v>
      </c>
    </row>
    <row r="1060" spans="1:18" x14ac:dyDescent="0.2">
      <c r="A1060" s="75">
        <v>7080</v>
      </c>
      <c r="B1060" s="76" t="s">
        <v>76</v>
      </c>
      <c r="C1060" s="76">
        <v>240</v>
      </c>
      <c r="D1060" s="76" t="s">
        <v>439</v>
      </c>
      <c r="E1060" s="76" t="s">
        <v>426</v>
      </c>
      <c r="F1060" s="77">
        <v>274.91000000000003</v>
      </c>
      <c r="G1060" s="77">
        <v>176.61</v>
      </c>
      <c r="H1060" s="77">
        <v>451.52</v>
      </c>
      <c r="I1060" s="76" t="s">
        <v>920</v>
      </c>
      <c r="J1060" s="77">
        <v>1925.28</v>
      </c>
      <c r="K1060" s="78">
        <v>21309.56</v>
      </c>
      <c r="M1060" s="79" t="str">
        <f t="shared" si="50"/>
        <v>240-7080</v>
      </c>
      <c r="N1060" s="79" t="str">
        <f t="shared" si="48"/>
        <v/>
      </c>
      <c r="O1060" s="79" t="str">
        <f t="shared" si="49"/>
        <v>240</v>
      </c>
      <c r="P1060" s="79" t="str">
        <f>IFERROR(VLOOKUP($M1060,Export!$P:$R,2,FALSE),"-")</f>
        <v>Service</v>
      </c>
      <c r="Q1060" s="79" t="str">
        <f>IFERROR(VLOOKUP($M1060,Export!$P:$R,3,FALSE),"-")</f>
        <v>ServiceOther Expenses as % of Sales</v>
      </c>
      <c r="R1060" s="80" t="str" cm="1">
        <f t="array" ref="R1060">_xlfn.IFS(P1060="Service", _xlfn.IFS(I1060="SALES","GP",I1060="SERVICE SALES","GP",I1060="PARTS SALES","GP",I1060="SERVICE COS","GP",I1060="PARTS COS","GP",I1060="SELLING EXPENSES","Selling Expenses",I1060="EMPLOYMENT EXPENSES","Selling Expenses",I1060="EMPLOYMENT EXPENSES","Selling Expenses",I1060="DIRECT EXPENSES","Selling Expenses",I1060="INDIRECT EXPENSES","Selling Expenses"),P1060="Parts",_xlfn.IFS(I1060="SALES","GP",I1060="SERVICE SALES","GP",I1060="PARTS SALES","GP",I1060="SERVICE COS","GP",I1060="PARTS COS","GP",I1060="SELLING EXPENSES","Selling Expenses",I1060="EMPLOYMENT EXPENSES","Selling Expenses",I1060="EMPLOYMENT EXPENSES","Selling Expenses",I1060="DIRECT EXPENSES","Selling Expenses",I1060="INDIRECT EXPENSES","Selling Expenses"))</f>
        <v>Selling Expenses</v>
      </c>
    </row>
    <row r="1061" spans="1:18" x14ac:dyDescent="0.2">
      <c r="A1061" s="75">
        <v>7080</v>
      </c>
      <c r="B1061" s="76" t="s">
        <v>76</v>
      </c>
      <c r="C1061" s="76">
        <v>340</v>
      </c>
      <c r="D1061" s="76" t="s">
        <v>440</v>
      </c>
      <c r="E1061" s="76" t="s">
        <v>426</v>
      </c>
      <c r="F1061" s="77">
        <v>125.68</v>
      </c>
      <c r="G1061" s="77">
        <v>88.97</v>
      </c>
      <c r="H1061" s="77">
        <v>214.65</v>
      </c>
      <c r="I1061" s="76" t="s">
        <v>920</v>
      </c>
      <c r="J1061" s="77">
        <v>1034.32</v>
      </c>
      <c r="K1061" s="78">
        <v>11273.49</v>
      </c>
      <c r="M1061" s="79" t="str">
        <f t="shared" si="50"/>
        <v>340-7080</v>
      </c>
      <c r="N1061" s="79" t="str">
        <f t="shared" si="48"/>
        <v/>
      </c>
      <c r="O1061" s="79" t="str">
        <f t="shared" si="49"/>
        <v>340</v>
      </c>
      <c r="P1061" s="79" t="str">
        <f>IFERROR(VLOOKUP($M1061,Export!$P:$R,2,FALSE),"-")</f>
        <v>Service</v>
      </c>
      <c r="Q1061" s="79" t="str">
        <f>IFERROR(VLOOKUP($M1061,Export!$P:$R,3,FALSE),"-")</f>
        <v>ServiceOther Expenses as % of Sales</v>
      </c>
      <c r="R1061" s="80" t="str" cm="1">
        <f t="array" ref="R1061">_xlfn.IFS(P1061="Service", _xlfn.IFS(I1061="SALES","GP",I1061="SERVICE SALES","GP",I1061="PARTS SALES","GP",I1061="SERVICE COS","GP",I1061="PARTS COS","GP",I1061="SELLING EXPENSES","Selling Expenses",I1061="EMPLOYMENT EXPENSES","Selling Expenses",I1061="EMPLOYMENT EXPENSES","Selling Expenses",I1061="DIRECT EXPENSES","Selling Expenses",I1061="INDIRECT EXPENSES","Selling Expenses"),P1061="Parts",_xlfn.IFS(I1061="SALES","GP",I1061="SERVICE SALES","GP",I1061="PARTS SALES","GP",I1061="SERVICE COS","GP",I1061="PARTS COS","GP",I1061="SELLING EXPENSES","Selling Expenses",I1061="EMPLOYMENT EXPENSES","Selling Expenses",I1061="EMPLOYMENT EXPENSES","Selling Expenses",I1061="DIRECT EXPENSES","Selling Expenses",I1061="INDIRECT EXPENSES","Selling Expenses"))</f>
        <v>Selling Expenses</v>
      </c>
    </row>
    <row r="1062" spans="1:18" x14ac:dyDescent="0.2">
      <c r="A1062" s="75">
        <v>7080</v>
      </c>
      <c r="B1062" s="76" t="s">
        <v>76</v>
      </c>
      <c r="C1062" s="76">
        <v>440</v>
      </c>
      <c r="D1062" s="76" t="s">
        <v>441</v>
      </c>
      <c r="E1062" s="76" t="s">
        <v>426</v>
      </c>
      <c r="F1062" s="77">
        <v>800</v>
      </c>
      <c r="G1062" s="77">
        <v>0</v>
      </c>
      <c r="H1062" s="77">
        <v>800</v>
      </c>
      <c r="I1062" s="76" t="s">
        <v>920</v>
      </c>
      <c r="J1062" s="77">
        <v>1259.21</v>
      </c>
      <c r="K1062" s="78">
        <v>13029.38</v>
      </c>
      <c r="M1062" s="79" t="str">
        <f t="shared" si="50"/>
        <v>440-7080</v>
      </c>
      <c r="N1062" s="79" t="str">
        <f t="shared" si="48"/>
        <v/>
      </c>
      <c r="O1062" s="79" t="str">
        <f t="shared" si="49"/>
        <v>440</v>
      </c>
      <c r="P1062" s="79" t="str">
        <f>IFERROR(VLOOKUP($M1062,Export!$P:$R,2,FALSE),"-")</f>
        <v>Service</v>
      </c>
      <c r="Q1062" s="79" t="str">
        <f>IFERROR(VLOOKUP($M1062,Export!$P:$R,3,FALSE),"-")</f>
        <v>ServiceOther Expenses as % of Sales</v>
      </c>
      <c r="R1062" s="80" t="str" cm="1">
        <f t="array" ref="R1062">_xlfn.IFS(P1062="Service", _xlfn.IFS(I1062="SALES","GP",I1062="SERVICE SALES","GP",I1062="PARTS SALES","GP",I1062="SERVICE COS","GP",I1062="PARTS COS","GP",I1062="SELLING EXPENSES","Selling Expenses",I1062="EMPLOYMENT EXPENSES","Selling Expenses",I1062="EMPLOYMENT EXPENSES","Selling Expenses",I1062="DIRECT EXPENSES","Selling Expenses",I1062="INDIRECT EXPENSES","Selling Expenses"),P1062="Parts",_xlfn.IFS(I1062="SALES","GP",I1062="SERVICE SALES","GP",I1062="PARTS SALES","GP",I1062="SERVICE COS","GP",I1062="PARTS COS","GP",I1062="SELLING EXPENSES","Selling Expenses",I1062="EMPLOYMENT EXPENSES","Selling Expenses",I1062="EMPLOYMENT EXPENSES","Selling Expenses",I1062="DIRECT EXPENSES","Selling Expenses",I1062="INDIRECT EXPENSES","Selling Expenses"))</f>
        <v>Selling Expenses</v>
      </c>
    </row>
    <row r="1063" spans="1:18" x14ac:dyDescent="0.2">
      <c r="A1063" s="75">
        <v>7080</v>
      </c>
      <c r="B1063" s="76" t="s">
        <v>76</v>
      </c>
      <c r="C1063" s="76">
        <v>935</v>
      </c>
      <c r="D1063" s="76" t="s">
        <v>442</v>
      </c>
      <c r="E1063" s="76" t="s">
        <v>426</v>
      </c>
      <c r="F1063" s="77">
        <v>2326.2399999999998</v>
      </c>
      <c r="G1063" s="77">
        <v>0</v>
      </c>
      <c r="H1063" s="77">
        <v>2326.2399999999998</v>
      </c>
      <c r="I1063" s="76" t="s">
        <v>920</v>
      </c>
      <c r="J1063" s="77">
        <v>18.760000000000002</v>
      </c>
      <c r="K1063" s="78">
        <v>224.4</v>
      </c>
      <c r="M1063" s="79" t="str">
        <f t="shared" si="50"/>
        <v>935-7080</v>
      </c>
      <c r="N1063" s="79" t="str">
        <f t="shared" si="48"/>
        <v/>
      </c>
      <c r="O1063" s="79" t="str">
        <f t="shared" si="49"/>
        <v>935</v>
      </c>
      <c r="P1063" s="79" t="str">
        <f>IFERROR(VLOOKUP($M1063,Export!$P:$R,2,FALSE),"-")</f>
        <v>Bridgestone</v>
      </c>
      <c r="Q1063" s="79" t="str">
        <f>IFERROR(VLOOKUP($M1063,Export!$P:$R,3,FALSE),"-")</f>
        <v>BridgestoneOther Expenses as % of Sales</v>
      </c>
      <c r="R1063" s="80" t="e" cm="1">
        <f t="array" ref="R1063">_xlfn.IFS(P1063="Service", _xlfn.IFS(I1063="SALES","GP",I1063="SERVICE SALES","GP",I1063="PARTS SALES","GP",I1063="SERVICE COS","GP",I1063="PARTS COS","GP",I1063="SELLING EXPENSES","Selling Expenses",I1063="EMPLOYMENT EXPENSES","Selling Expenses",I1063="EMPLOYMENT EXPENSES","Selling Expenses",I1063="DIRECT EXPENSES","Selling Expenses",I1063="INDIRECT EXPENSES","Selling Expenses"),P1063="Parts",_xlfn.IFS(I1063="SALES","GP",I1063="SERVICE SALES","GP",I1063="PARTS SALES","GP",I1063="SERVICE COS","GP",I1063="PARTS COS","GP",I1063="SELLING EXPENSES","Selling Expenses",I1063="EMPLOYMENT EXPENSES","Selling Expenses",I1063="EMPLOYMENT EXPENSES","Selling Expenses",I1063="DIRECT EXPENSES","Selling Expenses",I1063="INDIRECT EXPENSES","Selling Expenses"))</f>
        <v>#N/A</v>
      </c>
    </row>
    <row r="1064" spans="1:18" x14ac:dyDescent="0.2">
      <c r="A1064" s="75">
        <v>7080</v>
      </c>
      <c r="B1064" s="76" t="s">
        <v>76</v>
      </c>
      <c r="C1064" s="76">
        <v>936</v>
      </c>
      <c r="D1064" s="76" t="s">
        <v>443</v>
      </c>
      <c r="E1064" s="76" t="s">
        <v>426</v>
      </c>
      <c r="F1064" s="77">
        <v>133.19</v>
      </c>
      <c r="G1064" s="77">
        <v>0</v>
      </c>
      <c r="H1064" s="77">
        <v>133.19</v>
      </c>
      <c r="I1064" s="76" t="s">
        <v>920</v>
      </c>
      <c r="J1064" s="77">
        <v>966.54</v>
      </c>
      <c r="K1064" s="78">
        <v>10790.3</v>
      </c>
      <c r="M1064" s="79" t="str">
        <f t="shared" si="50"/>
        <v>936-7080</v>
      </c>
      <c r="N1064" s="79" t="str">
        <f t="shared" si="48"/>
        <v/>
      </c>
      <c r="O1064" s="79" t="str">
        <f t="shared" si="49"/>
        <v>936</v>
      </c>
      <c r="P1064" s="79" t="str">
        <f>IFERROR(VLOOKUP($M1064,Export!$P:$R,2,FALSE),"-")</f>
        <v>Bridgestone</v>
      </c>
      <c r="Q1064" s="79" t="str">
        <f>IFERROR(VLOOKUP($M1064,Export!$P:$R,3,FALSE),"-")</f>
        <v>BridgestoneOther Expenses as % of Sales</v>
      </c>
      <c r="R1064" s="80" t="e" cm="1">
        <f t="array" ref="R1064">_xlfn.IFS(P1064="Service", _xlfn.IFS(I1064="SALES","GP",I1064="SERVICE SALES","GP",I1064="PARTS SALES","GP",I1064="SERVICE COS","GP",I1064="PARTS COS","GP",I1064="SELLING EXPENSES","Selling Expenses",I1064="EMPLOYMENT EXPENSES","Selling Expenses",I1064="EMPLOYMENT EXPENSES","Selling Expenses",I1064="DIRECT EXPENSES","Selling Expenses",I1064="INDIRECT EXPENSES","Selling Expenses"),P1064="Parts",_xlfn.IFS(I1064="SALES","GP",I1064="SERVICE SALES","GP",I1064="PARTS SALES","GP",I1064="SERVICE COS","GP",I1064="PARTS COS","GP",I1064="SELLING EXPENSES","Selling Expenses",I1064="EMPLOYMENT EXPENSES","Selling Expenses",I1064="EMPLOYMENT EXPENSES","Selling Expenses",I1064="DIRECT EXPENSES","Selling Expenses",I1064="INDIRECT EXPENSES","Selling Expenses"))</f>
        <v>#N/A</v>
      </c>
    </row>
    <row r="1065" spans="1:18" x14ac:dyDescent="0.2">
      <c r="A1065" s="75">
        <v>7000</v>
      </c>
      <c r="B1065" s="76" t="s">
        <v>924</v>
      </c>
      <c r="C1065" s="76">
        <v>110</v>
      </c>
      <c r="D1065" s="76" t="s">
        <v>430</v>
      </c>
      <c r="E1065" s="76" t="s">
        <v>426</v>
      </c>
      <c r="F1065" s="77">
        <v>212756.52</v>
      </c>
      <c r="G1065" s="77">
        <v>25923.71</v>
      </c>
      <c r="H1065" s="77">
        <v>238680.23</v>
      </c>
      <c r="I1065" s="76" t="s">
        <v>925</v>
      </c>
      <c r="J1065" s="77">
        <v>19708.330000000002</v>
      </c>
      <c r="K1065" s="78">
        <v>193997.47</v>
      </c>
      <c r="M1065" s="79" t="str">
        <f t="shared" si="50"/>
        <v>110-7000</v>
      </c>
      <c r="N1065" s="79" t="str">
        <f t="shared" si="48"/>
        <v/>
      </c>
      <c r="O1065" s="79" t="str">
        <f t="shared" si="49"/>
        <v>110</v>
      </c>
      <c r="P1065" s="79" t="str">
        <f>IFERROR(VLOOKUP($M1065,Export!$P:$R,2,FALSE),"-")</f>
        <v>New Vehicle</v>
      </c>
      <c r="Q1065" s="79" t="str">
        <f>IFERROR(VLOOKUP($M1065,Export!$P:$R,3,FALSE),"-")</f>
        <v>New VehicleSalaries &amp; Wages p.u.</v>
      </c>
      <c r="R1065" s="80" t="e" cm="1">
        <f t="array" ref="R1065">_xlfn.IFS(P1065="Service", _xlfn.IFS(I1065="SALES","GP",I1065="SERVICE SALES","GP",I1065="PARTS SALES","GP",I1065="SERVICE COS","GP",I1065="PARTS COS","GP",I1065="SELLING EXPENSES","Selling Expenses",I1065="EMPLOYMENT EXPENSES","Selling Expenses",I1065="EMPLOYMENT EXPENSES","Selling Expenses",I1065="DIRECT EXPENSES","Selling Expenses",I1065="INDIRECT EXPENSES","Selling Expenses"),P1065="Parts",_xlfn.IFS(I1065="SALES","GP",I1065="SERVICE SALES","GP",I1065="PARTS SALES","GP",I1065="SERVICE COS","GP",I1065="PARTS COS","GP",I1065="SELLING EXPENSES","Selling Expenses",I1065="EMPLOYMENT EXPENSES","Selling Expenses",I1065="EMPLOYMENT EXPENSES","Selling Expenses",I1065="DIRECT EXPENSES","Selling Expenses",I1065="INDIRECT EXPENSES","Selling Expenses"))</f>
        <v>#N/A</v>
      </c>
    </row>
    <row r="1066" spans="1:18" x14ac:dyDescent="0.2">
      <c r="A1066" s="75">
        <v>7000</v>
      </c>
      <c r="B1066" s="76" t="s">
        <v>924</v>
      </c>
      <c r="C1066" s="76">
        <v>112</v>
      </c>
      <c r="D1066" s="76" t="s">
        <v>349</v>
      </c>
      <c r="E1066" s="76" t="s">
        <v>426</v>
      </c>
      <c r="F1066" s="77">
        <v>161393.85</v>
      </c>
      <c r="G1066" s="77">
        <v>12566.38</v>
      </c>
      <c r="H1066" s="77">
        <v>173960.23</v>
      </c>
      <c r="I1066" s="76" t="s">
        <v>925</v>
      </c>
      <c r="J1066" s="77">
        <v>25000</v>
      </c>
      <c r="K1066" s="78">
        <v>206791.95</v>
      </c>
      <c r="M1066" s="79" t="str">
        <f t="shared" si="50"/>
        <v>112-7000</v>
      </c>
      <c r="N1066" s="79" t="str">
        <f t="shared" si="48"/>
        <v/>
      </c>
      <c r="O1066" s="79" t="str">
        <f t="shared" si="49"/>
        <v>112</v>
      </c>
      <c r="P1066" s="79" t="str">
        <f>IFERROR(VLOOKUP($M1066,Export!$P:$R,2,FALSE),"-")</f>
        <v>LEX New Vehicle</v>
      </c>
      <c r="Q1066" s="79" t="str">
        <f>IFERROR(VLOOKUP($M1066,Export!$P:$R,3,FALSE),"-")</f>
        <v>LEX New VehicleSalaries &amp; Wages p.u.</v>
      </c>
      <c r="R1066" s="80" t="e" cm="1">
        <f t="array" ref="R1066">_xlfn.IFS(P1066="Service", _xlfn.IFS(I1066="SALES","GP",I1066="SERVICE SALES","GP",I1066="PARTS SALES","GP",I1066="SERVICE COS","GP",I1066="PARTS COS","GP",I1066="SELLING EXPENSES","Selling Expenses",I1066="EMPLOYMENT EXPENSES","Selling Expenses",I1066="EMPLOYMENT EXPENSES","Selling Expenses",I1066="DIRECT EXPENSES","Selling Expenses",I1066="INDIRECT EXPENSES","Selling Expenses"),P1066="Parts",_xlfn.IFS(I1066="SALES","GP",I1066="SERVICE SALES","GP",I1066="PARTS SALES","GP",I1066="SERVICE COS","GP",I1066="PARTS COS","GP",I1066="SELLING EXPENSES","Selling Expenses",I1066="EMPLOYMENT EXPENSES","Selling Expenses",I1066="EMPLOYMENT EXPENSES","Selling Expenses",I1066="DIRECT EXPENSES","Selling Expenses",I1066="INDIRECT EXPENSES","Selling Expenses"))</f>
        <v>#N/A</v>
      </c>
    </row>
    <row r="1067" spans="1:18" x14ac:dyDescent="0.2">
      <c r="A1067" s="75">
        <v>7000</v>
      </c>
      <c r="B1067" s="76" t="s">
        <v>924</v>
      </c>
      <c r="C1067" s="76">
        <v>120</v>
      </c>
      <c r="D1067" s="76" t="s">
        <v>431</v>
      </c>
      <c r="E1067" s="76" t="s">
        <v>426</v>
      </c>
      <c r="F1067" s="77">
        <v>133924.22</v>
      </c>
      <c r="G1067" s="77">
        <v>15358.99</v>
      </c>
      <c r="H1067" s="77">
        <v>149283.21</v>
      </c>
      <c r="I1067" s="76" t="s">
        <v>925</v>
      </c>
      <c r="J1067" s="77">
        <v>12500</v>
      </c>
      <c r="K1067" s="78">
        <v>149408.04</v>
      </c>
      <c r="M1067" s="79" t="str">
        <f t="shared" si="50"/>
        <v>120-7000</v>
      </c>
      <c r="N1067" s="79" t="str">
        <f t="shared" si="48"/>
        <v/>
      </c>
      <c r="O1067" s="79" t="str">
        <f t="shared" si="49"/>
        <v>120</v>
      </c>
      <c r="P1067" s="79" t="str">
        <f>IFERROR(VLOOKUP($M1067,Export!$P:$R,2,FALSE),"-")</f>
        <v>Used Vehicle</v>
      </c>
      <c r="Q1067" s="79" t="str">
        <f>IFERROR(VLOOKUP($M1067,Export!$P:$R,3,FALSE),"-")</f>
        <v>Used VehicleSalaries &amp; Wages per retail</v>
      </c>
      <c r="R1067" s="80" t="e" cm="1">
        <f t="array" ref="R1067">_xlfn.IFS(P1067="Service", _xlfn.IFS(I1067="SALES","GP",I1067="SERVICE SALES","GP",I1067="PARTS SALES","GP",I1067="SERVICE COS","GP",I1067="PARTS COS","GP",I1067="SELLING EXPENSES","Selling Expenses",I1067="EMPLOYMENT EXPENSES","Selling Expenses",I1067="EMPLOYMENT EXPENSES","Selling Expenses",I1067="DIRECT EXPENSES","Selling Expenses",I1067="INDIRECT EXPENSES","Selling Expenses"),P1067="Parts",_xlfn.IFS(I1067="SALES","GP",I1067="SERVICE SALES","GP",I1067="PARTS SALES","GP",I1067="SERVICE COS","GP",I1067="PARTS COS","GP",I1067="SELLING EXPENSES","Selling Expenses",I1067="EMPLOYMENT EXPENSES","Selling Expenses",I1067="EMPLOYMENT EXPENSES","Selling Expenses",I1067="DIRECT EXPENSES","Selling Expenses",I1067="INDIRECT EXPENSES","Selling Expenses"))</f>
        <v>#N/A</v>
      </c>
    </row>
    <row r="1068" spans="1:18" x14ac:dyDescent="0.2">
      <c r="A1068" s="75">
        <v>7000</v>
      </c>
      <c r="B1068" s="76" t="s">
        <v>924</v>
      </c>
      <c r="C1068" s="76">
        <v>121</v>
      </c>
      <c r="D1068" s="76" t="s">
        <v>449</v>
      </c>
      <c r="E1068" s="76" t="s">
        <v>426</v>
      </c>
      <c r="F1068" s="77">
        <v>89129.76</v>
      </c>
      <c r="G1068" s="77">
        <v>12413.59</v>
      </c>
      <c r="H1068" s="77">
        <v>101543.35</v>
      </c>
      <c r="I1068" s="76" t="s">
        <v>925</v>
      </c>
      <c r="J1068" s="77">
        <v>8750</v>
      </c>
      <c r="K1068" s="78">
        <v>98838.58</v>
      </c>
      <c r="M1068" s="79" t="str">
        <f t="shared" si="50"/>
        <v>121-7000</v>
      </c>
      <c r="N1068" s="79" t="str">
        <f t="shared" si="48"/>
        <v/>
      </c>
      <c r="O1068" s="79" t="str">
        <f t="shared" si="49"/>
        <v>121</v>
      </c>
      <c r="P1068" s="79" t="str">
        <f>IFERROR(VLOOKUP($M1068,Export!$P:$R,2,FALSE),"-")</f>
        <v>Used Vehicle</v>
      </c>
      <c r="Q1068" s="79" t="str">
        <f>IFERROR(VLOOKUP($M1068,Export!$P:$R,3,FALSE),"-")</f>
        <v>Used VehicleSalaries &amp; Wages per retail</v>
      </c>
      <c r="R1068" s="80" t="e" cm="1">
        <f t="array" ref="R1068">_xlfn.IFS(P1068="Service", _xlfn.IFS(I1068="SALES","GP",I1068="SERVICE SALES","GP",I1068="PARTS SALES","GP",I1068="SERVICE COS","GP",I1068="PARTS COS","GP",I1068="SELLING EXPENSES","Selling Expenses",I1068="EMPLOYMENT EXPENSES","Selling Expenses",I1068="EMPLOYMENT EXPENSES","Selling Expenses",I1068="DIRECT EXPENSES","Selling Expenses",I1068="INDIRECT EXPENSES","Selling Expenses"),P1068="Parts",_xlfn.IFS(I1068="SALES","GP",I1068="SERVICE SALES","GP",I1068="PARTS SALES","GP",I1068="SERVICE COS","GP",I1068="PARTS COS","GP",I1068="SELLING EXPENSES","Selling Expenses",I1068="EMPLOYMENT EXPENSES","Selling Expenses",I1068="EMPLOYMENT EXPENSES","Selling Expenses",I1068="DIRECT EXPENSES","Selling Expenses",I1068="INDIRECT EXPENSES","Selling Expenses"))</f>
        <v>#N/A</v>
      </c>
    </row>
    <row r="1069" spans="1:18" x14ac:dyDescent="0.2">
      <c r="A1069" s="75">
        <v>7000</v>
      </c>
      <c r="B1069" s="76" t="s">
        <v>924</v>
      </c>
      <c r="C1069" s="76">
        <v>122</v>
      </c>
      <c r="D1069" s="76" t="s">
        <v>452</v>
      </c>
      <c r="E1069" s="76" t="s">
        <v>426</v>
      </c>
      <c r="F1069" s="77">
        <v>84031.25</v>
      </c>
      <c r="G1069" s="77">
        <v>12410.9</v>
      </c>
      <c r="H1069" s="77">
        <v>96442.15</v>
      </c>
      <c r="I1069" s="76" t="s">
        <v>925</v>
      </c>
      <c r="J1069" s="77">
        <v>0</v>
      </c>
      <c r="K1069" s="78">
        <v>6457.66</v>
      </c>
      <c r="M1069" s="79" t="str">
        <f t="shared" si="50"/>
        <v>122-7000</v>
      </c>
      <c r="N1069" s="79" t="str">
        <f t="shared" si="48"/>
        <v/>
      </c>
      <c r="O1069" s="79" t="str">
        <f t="shared" si="49"/>
        <v>122</v>
      </c>
      <c r="P1069" s="79" t="str">
        <f>IFERROR(VLOOKUP($M1069,Export!$P:$R,2,FALSE),"-")</f>
        <v>LEX Used Vehicle</v>
      </c>
      <c r="Q1069" s="79" t="str">
        <f>IFERROR(VLOOKUP($M1069,Export!$P:$R,3,FALSE),"-")</f>
        <v>LEX Used VehicleSalaries &amp; Wages per retail</v>
      </c>
      <c r="R1069" s="80" t="e" cm="1">
        <f t="array" ref="R1069">_xlfn.IFS(P1069="Service", _xlfn.IFS(I1069="SALES","GP",I1069="SERVICE SALES","GP",I1069="PARTS SALES","GP",I1069="SERVICE COS","GP",I1069="PARTS COS","GP",I1069="SELLING EXPENSES","Selling Expenses",I1069="EMPLOYMENT EXPENSES","Selling Expenses",I1069="EMPLOYMENT EXPENSES","Selling Expenses",I1069="DIRECT EXPENSES","Selling Expenses",I1069="INDIRECT EXPENSES","Selling Expenses"),P1069="Parts",_xlfn.IFS(I1069="SALES","GP",I1069="SERVICE SALES","GP",I1069="PARTS SALES","GP",I1069="SERVICE COS","GP",I1069="PARTS COS","GP",I1069="SELLING EXPENSES","Selling Expenses",I1069="EMPLOYMENT EXPENSES","Selling Expenses",I1069="EMPLOYMENT EXPENSES","Selling Expenses",I1069="DIRECT EXPENSES","Selling Expenses",I1069="INDIRECT EXPENSES","Selling Expenses"))</f>
        <v>#N/A</v>
      </c>
    </row>
    <row r="1070" spans="1:18" x14ac:dyDescent="0.2">
      <c r="A1070" s="75">
        <v>7000</v>
      </c>
      <c r="B1070" s="76" t="s">
        <v>924</v>
      </c>
      <c r="C1070" s="76">
        <v>140</v>
      </c>
      <c r="D1070" s="76" t="s">
        <v>433</v>
      </c>
      <c r="E1070" s="76" t="s">
        <v>426</v>
      </c>
      <c r="F1070" s="77">
        <v>0</v>
      </c>
      <c r="G1070" s="77">
        <v>0</v>
      </c>
      <c r="H1070" s="77">
        <v>0</v>
      </c>
      <c r="I1070" s="76" t="s">
        <v>925</v>
      </c>
      <c r="J1070" s="77">
        <v>0</v>
      </c>
      <c r="K1070" s="78">
        <v>482.6</v>
      </c>
      <c r="M1070" s="79" t="str">
        <f t="shared" si="50"/>
        <v>140-7000</v>
      </c>
      <c r="N1070" s="79" t="str">
        <f t="shared" si="48"/>
        <v/>
      </c>
      <c r="O1070" s="79" t="str">
        <f t="shared" si="49"/>
        <v>140</v>
      </c>
      <c r="P1070" s="79" t="str">
        <f>IFERROR(VLOOKUP($M1070,Export!$P:$R,2,FALSE),"-")</f>
        <v>Service</v>
      </c>
      <c r="Q1070" s="79" t="str">
        <f>IFERROR(VLOOKUP($M1070,Export!$P:$R,3,FALSE),"-")</f>
        <v>ServiceSalaries, Commission &amp; Leave as % of Sales</v>
      </c>
      <c r="R1070" s="80" t="str" cm="1">
        <f t="array" ref="R1070">_xlfn.IFS(P1070="Service", _xlfn.IFS(I1070="SALES","GP",I1070="SERVICE SALES","GP",I1070="PARTS SALES","GP",I1070="SERVICE COS","GP",I1070="PARTS COS","GP",I1070="SELLING EXPENSES","Selling Expenses",I1070="EMPLOYMENT EXPENSES","Selling Expenses",I1070="EMPLOYMENT EXPENSES","Selling Expenses",I1070="DIRECT EXPENSES","Selling Expenses",I1070="INDIRECT EXPENSES","Selling Expenses"),P1070="Parts",_xlfn.IFS(I1070="SALES","GP",I1070="SERVICE SALES","GP",I1070="PARTS SALES","GP",I1070="SERVICE COS","GP",I1070="PARTS COS","GP",I1070="SELLING EXPENSES","Selling Expenses",I1070="EMPLOYMENT EXPENSES","Selling Expenses",I1070="EMPLOYMENT EXPENSES","Selling Expenses",I1070="DIRECT EXPENSES","Selling Expenses",I1070="INDIRECT EXPENSES","Selling Expenses"))</f>
        <v>Selling Expenses</v>
      </c>
    </row>
    <row r="1071" spans="1:18" x14ac:dyDescent="0.2">
      <c r="A1071" s="75">
        <v>7000</v>
      </c>
      <c r="B1071" s="76" t="s">
        <v>924</v>
      </c>
      <c r="C1071" s="76">
        <v>150</v>
      </c>
      <c r="D1071" s="76" t="s">
        <v>700</v>
      </c>
      <c r="E1071" s="76" t="s">
        <v>426</v>
      </c>
      <c r="F1071" s="77">
        <v>135</v>
      </c>
      <c r="G1071" s="77">
        <v>0</v>
      </c>
      <c r="H1071" s="77">
        <v>135</v>
      </c>
      <c r="I1071" s="76" t="s">
        <v>925</v>
      </c>
      <c r="J1071" s="77">
        <v>0</v>
      </c>
      <c r="K1071" s="78">
        <v>0</v>
      </c>
      <c r="M1071" s="79" t="str">
        <f t="shared" si="50"/>
        <v>150-7000</v>
      </c>
      <c r="N1071" s="79" t="str">
        <f t="shared" si="48"/>
        <v/>
      </c>
      <c r="O1071" s="79" t="str">
        <f t="shared" si="49"/>
        <v>150</v>
      </c>
      <c r="P1071" s="79" t="str">
        <f>IFERROR(VLOOKUP($M1071,Export!$P:$R,2,FALSE),"-")</f>
        <v>Retail Detailing</v>
      </c>
      <c r="Q1071" s="79" t="str">
        <f>IFERROR(VLOOKUP($M1071,Export!$P:$R,3,FALSE),"-")</f>
        <v>Retail DetailingSalaries, Commission &amp; Leave as % of Sales</v>
      </c>
      <c r="R1071" s="80" t="e" cm="1">
        <f t="array" ref="R1071">_xlfn.IFS(P1071="Service", _xlfn.IFS(I1071="SALES","GP",I1071="SERVICE SALES","GP",I1071="PARTS SALES","GP",I1071="SERVICE COS","GP",I1071="PARTS COS","GP",I1071="SELLING EXPENSES","Selling Expenses",I1071="EMPLOYMENT EXPENSES","Selling Expenses",I1071="EMPLOYMENT EXPENSES","Selling Expenses",I1071="DIRECT EXPENSES","Selling Expenses",I1071="INDIRECT EXPENSES","Selling Expenses"),P1071="Parts",_xlfn.IFS(I1071="SALES","GP",I1071="SERVICE SALES","GP",I1071="PARTS SALES","GP",I1071="SERVICE COS","GP",I1071="PARTS COS","GP",I1071="SELLING EXPENSES","Selling Expenses",I1071="EMPLOYMENT EXPENSES","Selling Expenses",I1071="EMPLOYMENT EXPENSES","Selling Expenses",I1071="DIRECT EXPENSES","Selling Expenses",I1071="INDIRECT EXPENSES","Selling Expenses"))</f>
        <v>#N/A</v>
      </c>
    </row>
    <row r="1072" spans="1:18" x14ac:dyDescent="0.2">
      <c r="A1072" s="75">
        <v>7000</v>
      </c>
      <c r="B1072" s="76" t="s">
        <v>924</v>
      </c>
      <c r="C1072" s="76">
        <v>160</v>
      </c>
      <c r="D1072" s="76" t="s">
        <v>434</v>
      </c>
      <c r="E1072" s="76" t="s">
        <v>426</v>
      </c>
      <c r="F1072" s="77">
        <v>5093.6099999999997</v>
      </c>
      <c r="G1072" s="77">
        <v>553.41</v>
      </c>
      <c r="H1072" s="77">
        <v>5647.02</v>
      </c>
      <c r="I1072" s="76" t="s">
        <v>925</v>
      </c>
      <c r="J1072" s="77">
        <v>0</v>
      </c>
      <c r="K1072" s="78">
        <v>0</v>
      </c>
      <c r="M1072" s="79" t="str">
        <f t="shared" si="50"/>
        <v>160-7000</v>
      </c>
      <c r="N1072" s="79" t="str">
        <f t="shared" si="48"/>
        <v/>
      </c>
      <c r="O1072" s="79" t="str">
        <f t="shared" si="49"/>
        <v>160</v>
      </c>
      <c r="P1072" s="79" t="str">
        <f>IFERROR(VLOOKUP($M1072,Export!$P:$R,2,FALSE),"-")</f>
        <v>F&amp;I</v>
      </c>
      <c r="Q1072" s="79" t="str">
        <f>IFERROR(VLOOKUP($M1072,Export!$P:$R,3,FALSE),"-")</f>
        <v>F&amp;ISalaries &amp; Commission per vehicle retailed</v>
      </c>
      <c r="R1072" s="80" t="e" cm="1">
        <f t="array" ref="R1072">_xlfn.IFS(P1072="Service", _xlfn.IFS(I1072="SALES","GP",I1072="SERVICE SALES","GP",I1072="PARTS SALES","GP",I1072="SERVICE COS","GP",I1072="PARTS COS","GP",I1072="SELLING EXPENSES","Selling Expenses",I1072="EMPLOYMENT EXPENSES","Selling Expenses",I1072="EMPLOYMENT EXPENSES","Selling Expenses",I1072="DIRECT EXPENSES","Selling Expenses",I1072="INDIRECT EXPENSES","Selling Expenses"),P1072="Parts",_xlfn.IFS(I1072="SALES","GP",I1072="SERVICE SALES","GP",I1072="PARTS SALES","GP",I1072="SERVICE COS","GP",I1072="PARTS COS","GP",I1072="SELLING EXPENSES","Selling Expenses",I1072="EMPLOYMENT EXPENSES","Selling Expenses",I1072="EMPLOYMENT EXPENSES","Selling Expenses",I1072="DIRECT EXPENSES","Selling Expenses",I1072="INDIRECT EXPENSES","Selling Expenses"))</f>
        <v>#N/A</v>
      </c>
    </row>
    <row r="1073" spans="1:18" x14ac:dyDescent="0.2">
      <c r="A1073" s="75">
        <v>7000</v>
      </c>
      <c r="B1073" s="76" t="s">
        <v>924</v>
      </c>
      <c r="C1073" s="76">
        <v>210</v>
      </c>
      <c r="D1073" s="76" t="s">
        <v>436</v>
      </c>
      <c r="E1073" s="76" t="s">
        <v>426</v>
      </c>
      <c r="F1073" s="77">
        <v>141888.56</v>
      </c>
      <c r="G1073" s="77">
        <v>10545.78</v>
      </c>
      <c r="H1073" s="77">
        <v>152434.34</v>
      </c>
      <c r="I1073" s="76" t="s">
        <v>925</v>
      </c>
      <c r="J1073" s="77">
        <v>12083.33</v>
      </c>
      <c r="K1073" s="78">
        <v>130464.26</v>
      </c>
      <c r="M1073" s="79" t="str">
        <f t="shared" si="50"/>
        <v>210-7000</v>
      </c>
      <c r="N1073" s="79" t="str">
        <f t="shared" si="48"/>
        <v/>
      </c>
      <c r="O1073" s="79" t="str">
        <f t="shared" si="49"/>
        <v>210</v>
      </c>
      <c r="P1073" s="79" t="str">
        <f>IFERROR(VLOOKUP($M1073,Export!$P:$R,2,FALSE),"-")</f>
        <v>New Vehicle</v>
      </c>
      <c r="Q1073" s="79" t="str">
        <f>IFERROR(VLOOKUP($M1073,Export!$P:$R,3,FALSE),"-")</f>
        <v>New VehicleSalaries &amp; Wages p.u.</v>
      </c>
      <c r="R1073" s="80" t="e" cm="1">
        <f t="array" ref="R1073">_xlfn.IFS(P1073="Service", _xlfn.IFS(I1073="SALES","GP",I1073="SERVICE SALES","GP",I1073="PARTS SALES","GP",I1073="SERVICE COS","GP",I1073="PARTS COS","GP",I1073="SELLING EXPENSES","Selling Expenses",I1073="EMPLOYMENT EXPENSES","Selling Expenses",I1073="EMPLOYMENT EXPENSES","Selling Expenses",I1073="DIRECT EXPENSES","Selling Expenses",I1073="INDIRECT EXPENSES","Selling Expenses"),P1073="Parts",_xlfn.IFS(I1073="SALES","GP",I1073="SERVICE SALES","GP",I1073="PARTS SALES","GP",I1073="SERVICE COS","GP",I1073="PARTS COS","GP",I1073="SELLING EXPENSES","Selling Expenses",I1073="EMPLOYMENT EXPENSES","Selling Expenses",I1073="EMPLOYMENT EXPENSES","Selling Expenses",I1073="DIRECT EXPENSES","Selling Expenses",I1073="INDIRECT EXPENSES","Selling Expenses"))</f>
        <v>#N/A</v>
      </c>
    </row>
    <row r="1074" spans="1:18" x14ac:dyDescent="0.2">
      <c r="A1074" s="75">
        <v>7000</v>
      </c>
      <c r="B1074" s="76" t="s">
        <v>924</v>
      </c>
      <c r="C1074" s="76">
        <v>220</v>
      </c>
      <c r="D1074" s="76" t="s">
        <v>437</v>
      </c>
      <c r="E1074" s="76" t="s">
        <v>426</v>
      </c>
      <c r="F1074" s="77">
        <v>180542.47</v>
      </c>
      <c r="G1074" s="77">
        <v>21994.01</v>
      </c>
      <c r="H1074" s="77">
        <v>202536.48</v>
      </c>
      <c r="I1074" s="76" t="s">
        <v>925</v>
      </c>
      <c r="J1074" s="77">
        <v>12916.67</v>
      </c>
      <c r="K1074" s="78">
        <v>127416.78</v>
      </c>
      <c r="M1074" s="79" t="str">
        <f t="shared" si="50"/>
        <v>220-7000</v>
      </c>
      <c r="N1074" s="79" t="str">
        <f t="shared" si="48"/>
        <v/>
      </c>
      <c r="O1074" s="79" t="str">
        <f t="shared" si="49"/>
        <v>220</v>
      </c>
      <c r="P1074" s="79" t="str">
        <f>IFERROR(VLOOKUP($M1074,Export!$P:$R,2,FALSE),"-")</f>
        <v>Used Vehicle</v>
      </c>
      <c r="Q1074" s="79" t="str">
        <f>IFERROR(VLOOKUP($M1074,Export!$P:$R,3,FALSE),"-")</f>
        <v>Used VehicleSalaries &amp; Wages per retail</v>
      </c>
      <c r="R1074" s="80" t="e" cm="1">
        <f t="array" ref="R1074">_xlfn.IFS(P1074="Service", _xlfn.IFS(I1074="SALES","GP",I1074="SERVICE SALES","GP",I1074="PARTS SALES","GP",I1074="SERVICE COS","GP",I1074="PARTS COS","GP",I1074="SELLING EXPENSES","Selling Expenses",I1074="EMPLOYMENT EXPENSES","Selling Expenses",I1074="EMPLOYMENT EXPENSES","Selling Expenses",I1074="DIRECT EXPENSES","Selling Expenses",I1074="INDIRECT EXPENSES","Selling Expenses"),P1074="Parts",_xlfn.IFS(I1074="SALES","GP",I1074="SERVICE SALES","GP",I1074="PARTS SALES","GP",I1074="SERVICE COS","GP",I1074="PARTS COS","GP",I1074="SELLING EXPENSES","Selling Expenses",I1074="EMPLOYMENT EXPENSES","Selling Expenses",I1074="EMPLOYMENT EXPENSES","Selling Expenses",I1074="DIRECT EXPENSES","Selling Expenses",I1074="INDIRECT EXPENSES","Selling Expenses"))</f>
        <v>#N/A</v>
      </c>
    </row>
    <row r="1075" spans="1:18" x14ac:dyDescent="0.2">
      <c r="A1075" s="75">
        <v>7000</v>
      </c>
      <c r="B1075" s="76" t="s">
        <v>924</v>
      </c>
      <c r="C1075" s="76">
        <v>260</v>
      </c>
      <c r="D1075" s="76" t="s">
        <v>456</v>
      </c>
      <c r="E1075" s="76" t="s">
        <v>426</v>
      </c>
      <c r="F1075" s="77">
        <v>16427.849999999999</v>
      </c>
      <c r="G1075" s="77">
        <v>553.41</v>
      </c>
      <c r="H1075" s="77">
        <v>16981.259999999998</v>
      </c>
      <c r="I1075" s="76" t="s">
        <v>925</v>
      </c>
      <c r="J1075" s="77">
        <v>0</v>
      </c>
      <c r="K1075" s="78">
        <v>0</v>
      </c>
      <c r="M1075" s="79" t="str">
        <f t="shared" si="50"/>
        <v>260-7000</v>
      </c>
      <c r="N1075" s="79" t="str">
        <f t="shared" si="48"/>
        <v/>
      </c>
      <c r="O1075" s="79" t="str">
        <f t="shared" si="49"/>
        <v>260</v>
      </c>
      <c r="P1075" s="79" t="str">
        <f>IFERROR(VLOOKUP($M1075,Export!$P:$R,2,FALSE),"-")</f>
        <v>F&amp;I</v>
      </c>
      <c r="Q1075" s="79" t="str">
        <f>IFERROR(VLOOKUP($M1075,Export!$P:$R,3,FALSE),"-")</f>
        <v>F&amp;ISalaries &amp; Commission per vehicle retailed</v>
      </c>
      <c r="R1075" s="80" t="e" cm="1">
        <f t="array" ref="R1075">_xlfn.IFS(P1075="Service", _xlfn.IFS(I1075="SALES","GP",I1075="SERVICE SALES","GP",I1075="PARTS SALES","GP",I1075="SERVICE COS","GP",I1075="PARTS COS","GP",I1075="SELLING EXPENSES","Selling Expenses",I1075="EMPLOYMENT EXPENSES","Selling Expenses",I1075="EMPLOYMENT EXPENSES","Selling Expenses",I1075="DIRECT EXPENSES","Selling Expenses",I1075="INDIRECT EXPENSES","Selling Expenses"),P1075="Parts",_xlfn.IFS(I1075="SALES","GP",I1075="SERVICE SALES","GP",I1075="PARTS SALES","GP",I1075="SERVICE COS","GP",I1075="PARTS COS","GP",I1075="SELLING EXPENSES","Selling Expenses",I1075="EMPLOYMENT EXPENSES","Selling Expenses",I1075="EMPLOYMENT EXPENSES","Selling Expenses",I1075="DIRECT EXPENSES","Selling Expenses",I1075="INDIRECT EXPENSES","Selling Expenses"))</f>
        <v>#N/A</v>
      </c>
    </row>
    <row r="1076" spans="1:18" x14ac:dyDescent="0.2">
      <c r="A1076" s="75">
        <v>7190</v>
      </c>
      <c r="B1076" s="76" t="s">
        <v>926</v>
      </c>
      <c r="C1076" s="76">
        <v>110</v>
      </c>
      <c r="D1076" s="76" t="s">
        <v>430</v>
      </c>
      <c r="E1076" s="76" t="s">
        <v>426</v>
      </c>
      <c r="F1076" s="77">
        <v>37200.449999999997</v>
      </c>
      <c r="G1076" s="77">
        <v>3998.95</v>
      </c>
      <c r="H1076" s="77">
        <v>41199.4</v>
      </c>
      <c r="I1076" s="76" t="s">
        <v>925</v>
      </c>
      <c r="J1076" s="77">
        <v>12268.93</v>
      </c>
      <c r="K1076" s="78">
        <v>122941.08</v>
      </c>
      <c r="M1076" s="79" t="str">
        <f t="shared" si="50"/>
        <v>110-7190</v>
      </c>
      <c r="N1076" s="79" t="str">
        <f t="shared" si="48"/>
        <v/>
      </c>
      <c r="O1076" s="79" t="str">
        <f t="shared" si="49"/>
        <v>110</v>
      </c>
      <c r="P1076" s="79" t="str">
        <f>IFERROR(VLOOKUP($M1076,Export!$P:$R,2,FALSE),"-")</f>
        <v>New Vehicle</v>
      </c>
      <c r="Q1076" s="79" t="str">
        <f>IFERROR(VLOOKUP($M1076,Export!$P:$R,3,FALSE),"-")</f>
        <v>New VehicleSalaries &amp; Wages p.u.</v>
      </c>
      <c r="R1076" s="80" t="e" cm="1">
        <f t="array" ref="R1076">_xlfn.IFS(P1076="Service", _xlfn.IFS(I1076="SALES","GP",I1076="SERVICE SALES","GP",I1076="PARTS SALES","GP",I1076="SERVICE COS","GP",I1076="PARTS COS","GP",I1076="SELLING EXPENSES","Selling Expenses",I1076="EMPLOYMENT EXPENSES","Selling Expenses",I1076="EMPLOYMENT EXPENSES","Selling Expenses",I1076="DIRECT EXPENSES","Selling Expenses",I1076="INDIRECT EXPENSES","Selling Expenses"),P1076="Parts",_xlfn.IFS(I1076="SALES","GP",I1076="SERVICE SALES","GP",I1076="PARTS SALES","GP",I1076="SERVICE COS","GP",I1076="PARTS COS","GP",I1076="SELLING EXPENSES","Selling Expenses",I1076="EMPLOYMENT EXPENSES","Selling Expenses",I1076="EMPLOYMENT EXPENSES","Selling Expenses",I1076="DIRECT EXPENSES","Selling Expenses",I1076="INDIRECT EXPENSES","Selling Expenses"))</f>
        <v>#N/A</v>
      </c>
    </row>
    <row r="1077" spans="1:18" x14ac:dyDescent="0.2">
      <c r="A1077" s="75">
        <v>7190</v>
      </c>
      <c r="B1077" s="76" t="s">
        <v>926</v>
      </c>
      <c r="C1077" s="76">
        <v>112</v>
      </c>
      <c r="D1077" s="76" t="s">
        <v>349</v>
      </c>
      <c r="E1077" s="76" t="s">
        <v>426</v>
      </c>
      <c r="F1077" s="77">
        <v>0</v>
      </c>
      <c r="G1077" s="77">
        <v>0</v>
      </c>
      <c r="H1077" s="77">
        <v>0</v>
      </c>
      <c r="I1077" s="76" t="s">
        <v>925</v>
      </c>
      <c r="J1077" s="77">
        <v>1719.87</v>
      </c>
      <c r="K1077" s="78">
        <v>28712.41</v>
      </c>
      <c r="M1077" s="79" t="str">
        <f t="shared" si="50"/>
        <v>112-7190</v>
      </c>
      <c r="N1077" s="79" t="str">
        <f t="shared" si="48"/>
        <v/>
      </c>
      <c r="O1077" s="79" t="str">
        <f t="shared" si="49"/>
        <v>112</v>
      </c>
      <c r="P1077" s="79" t="str">
        <f>IFERROR(VLOOKUP($M1077,Export!$P:$R,2,FALSE),"-")</f>
        <v>LEX New Vehicle</v>
      </c>
      <c r="Q1077" s="79" t="str">
        <f>IFERROR(VLOOKUP($M1077,Export!$P:$R,3,FALSE),"-")</f>
        <v>LEX New VehicleSalaries &amp; Wages p.u.</v>
      </c>
      <c r="R1077" s="80" t="e" cm="1">
        <f t="array" ref="R1077">_xlfn.IFS(P1077="Service", _xlfn.IFS(I1077="SALES","GP",I1077="SERVICE SALES","GP",I1077="PARTS SALES","GP",I1077="SERVICE COS","GP",I1077="PARTS COS","GP",I1077="SELLING EXPENSES","Selling Expenses",I1077="EMPLOYMENT EXPENSES","Selling Expenses",I1077="EMPLOYMENT EXPENSES","Selling Expenses",I1077="DIRECT EXPENSES","Selling Expenses",I1077="INDIRECT EXPENSES","Selling Expenses"),P1077="Parts",_xlfn.IFS(I1077="SALES","GP",I1077="SERVICE SALES","GP",I1077="PARTS SALES","GP",I1077="SERVICE COS","GP",I1077="PARTS COS","GP",I1077="SELLING EXPENSES","Selling Expenses",I1077="EMPLOYMENT EXPENSES","Selling Expenses",I1077="EMPLOYMENT EXPENSES","Selling Expenses",I1077="DIRECT EXPENSES","Selling Expenses",I1077="INDIRECT EXPENSES","Selling Expenses"))</f>
        <v>#N/A</v>
      </c>
    </row>
    <row r="1078" spans="1:18" x14ac:dyDescent="0.2">
      <c r="A1078" s="75">
        <v>7190</v>
      </c>
      <c r="B1078" s="76" t="s">
        <v>926</v>
      </c>
      <c r="C1078" s="76">
        <v>120</v>
      </c>
      <c r="D1078" s="76" t="s">
        <v>431</v>
      </c>
      <c r="E1078" s="76" t="s">
        <v>426</v>
      </c>
      <c r="F1078" s="77">
        <v>13089.94</v>
      </c>
      <c r="G1078" s="77">
        <v>5914.84</v>
      </c>
      <c r="H1078" s="77">
        <v>19004.78</v>
      </c>
      <c r="I1078" s="76" t="s">
        <v>925</v>
      </c>
      <c r="J1078" s="77">
        <v>1083.33</v>
      </c>
      <c r="K1078" s="78">
        <v>10491.41</v>
      </c>
      <c r="M1078" s="79" t="str">
        <f t="shared" si="50"/>
        <v>120-7190</v>
      </c>
      <c r="N1078" s="79" t="str">
        <f t="shared" si="48"/>
        <v/>
      </c>
      <c r="O1078" s="79" t="str">
        <f t="shared" si="49"/>
        <v>120</v>
      </c>
      <c r="P1078" s="79" t="str">
        <f>IFERROR(VLOOKUP($M1078,Export!$P:$R,2,FALSE),"-")</f>
        <v>Used Vehicle</v>
      </c>
      <c r="Q1078" s="79" t="str">
        <f>IFERROR(VLOOKUP($M1078,Export!$P:$R,3,FALSE),"-")</f>
        <v>Used VehicleSalaries &amp; Wages per retail</v>
      </c>
      <c r="R1078" s="80" t="e" cm="1">
        <f t="array" ref="R1078">_xlfn.IFS(P1078="Service", _xlfn.IFS(I1078="SALES","GP",I1078="SERVICE SALES","GP",I1078="PARTS SALES","GP",I1078="SERVICE COS","GP",I1078="PARTS COS","GP",I1078="SELLING EXPENSES","Selling Expenses",I1078="EMPLOYMENT EXPENSES","Selling Expenses",I1078="EMPLOYMENT EXPENSES","Selling Expenses",I1078="DIRECT EXPENSES","Selling Expenses",I1078="INDIRECT EXPENSES","Selling Expenses"),P1078="Parts",_xlfn.IFS(I1078="SALES","GP",I1078="SERVICE SALES","GP",I1078="PARTS SALES","GP",I1078="SERVICE COS","GP",I1078="PARTS COS","GP",I1078="SELLING EXPENSES","Selling Expenses",I1078="EMPLOYMENT EXPENSES","Selling Expenses",I1078="EMPLOYMENT EXPENSES","Selling Expenses",I1078="DIRECT EXPENSES","Selling Expenses",I1078="INDIRECT EXPENSES","Selling Expenses"))</f>
        <v>#N/A</v>
      </c>
    </row>
    <row r="1079" spans="1:18" x14ac:dyDescent="0.2">
      <c r="A1079" s="75">
        <v>7190</v>
      </c>
      <c r="B1079" s="76" t="s">
        <v>926</v>
      </c>
      <c r="C1079" s="76">
        <v>121</v>
      </c>
      <c r="D1079" s="76" t="s">
        <v>449</v>
      </c>
      <c r="E1079" s="76" t="s">
        <v>426</v>
      </c>
      <c r="F1079" s="77">
        <v>0</v>
      </c>
      <c r="G1079" s="77">
        <v>0</v>
      </c>
      <c r="H1079" s="77">
        <v>0</v>
      </c>
      <c r="I1079" s="76" t="s">
        <v>925</v>
      </c>
      <c r="J1079" s="77">
        <v>0</v>
      </c>
      <c r="K1079" s="78">
        <v>1907.94</v>
      </c>
      <c r="M1079" s="79" t="str">
        <f t="shared" si="50"/>
        <v>121-7190</v>
      </c>
      <c r="N1079" s="79" t="str">
        <f t="shared" si="48"/>
        <v/>
      </c>
      <c r="O1079" s="79" t="str">
        <f t="shared" si="49"/>
        <v>121</v>
      </c>
      <c r="P1079" s="79" t="str">
        <f>IFERROR(VLOOKUP($M1079,Export!$P:$R,2,FALSE),"-")</f>
        <v>Used Vehicle</v>
      </c>
      <c r="Q1079" s="79" t="str">
        <f>IFERROR(VLOOKUP($M1079,Export!$P:$R,3,FALSE),"-")</f>
        <v>Used VehicleSalaries &amp; Wages per retail</v>
      </c>
      <c r="R1079" s="80" t="e" cm="1">
        <f t="array" ref="R1079">_xlfn.IFS(P1079="Service", _xlfn.IFS(I1079="SALES","GP",I1079="SERVICE SALES","GP",I1079="PARTS SALES","GP",I1079="SERVICE COS","GP",I1079="PARTS COS","GP",I1079="SELLING EXPENSES","Selling Expenses",I1079="EMPLOYMENT EXPENSES","Selling Expenses",I1079="EMPLOYMENT EXPENSES","Selling Expenses",I1079="DIRECT EXPENSES","Selling Expenses",I1079="INDIRECT EXPENSES","Selling Expenses"),P1079="Parts",_xlfn.IFS(I1079="SALES","GP",I1079="SERVICE SALES","GP",I1079="PARTS SALES","GP",I1079="SERVICE COS","GP",I1079="PARTS COS","GP",I1079="SELLING EXPENSES","Selling Expenses",I1079="EMPLOYMENT EXPENSES","Selling Expenses",I1079="EMPLOYMENT EXPENSES","Selling Expenses",I1079="DIRECT EXPENSES","Selling Expenses",I1079="INDIRECT EXPENSES","Selling Expenses"))</f>
        <v>#N/A</v>
      </c>
    </row>
    <row r="1080" spans="1:18" x14ac:dyDescent="0.2">
      <c r="A1080" s="75">
        <v>7190</v>
      </c>
      <c r="B1080" s="76" t="s">
        <v>926</v>
      </c>
      <c r="C1080" s="76">
        <v>122</v>
      </c>
      <c r="D1080" s="76" t="s">
        <v>452</v>
      </c>
      <c r="E1080" s="76" t="s">
        <v>426</v>
      </c>
      <c r="F1080" s="77">
        <v>0</v>
      </c>
      <c r="G1080" s="77">
        <v>0</v>
      </c>
      <c r="H1080" s="77">
        <v>0</v>
      </c>
      <c r="I1080" s="76" t="s">
        <v>925</v>
      </c>
      <c r="J1080" s="77">
        <v>0</v>
      </c>
      <c r="K1080" s="78">
        <v>1823.64</v>
      </c>
      <c r="M1080" s="79" t="str">
        <f t="shared" si="50"/>
        <v>122-7190</v>
      </c>
      <c r="N1080" s="79" t="str">
        <f t="shared" si="48"/>
        <v/>
      </c>
      <c r="O1080" s="79" t="str">
        <f t="shared" si="49"/>
        <v>122</v>
      </c>
      <c r="P1080" s="79" t="str">
        <f>IFERROR(VLOOKUP($M1080,Export!$P:$R,2,FALSE),"-")</f>
        <v>LEX Used Vehicle</v>
      </c>
      <c r="Q1080" s="79" t="str">
        <f>IFERROR(VLOOKUP($M1080,Export!$P:$R,3,FALSE),"-")</f>
        <v>LEX Used VehicleSalaries &amp; Wages per retail</v>
      </c>
      <c r="R1080" s="80" t="e" cm="1">
        <f t="array" ref="R1080">_xlfn.IFS(P1080="Service", _xlfn.IFS(I1080="SALES","GP",I1080="SERVICE SALES","GP",I1080="PARTS SALES","GP",I1080="SERVICE COS","GP",I1080="PARTS COS","GP",I1080="SELLING EXPENSES","Selling Expenses",I1080="EMPLOYMENT EXPENSES","Selling Expenses",I1080="EMPLOYMENT EXPENSES","Selling Expenses",I1080="DIRECT EXPENSES","Selling Expenses",I1080="INDIRECT EXPENSES","Selling Expenses"),P1080="Parts",_xlfn.IFS(I1080="SALES","GP",I1080="SERVICE SALES","GP",I1080="PARTS SALES","GP",I1080="SERVICE COS","GP",I1080="PARTS COS","GP",I1080="SELLING EXPENSES","Selling Expenses",I1080="EMPLOYMENT EXPENSES","Selling Expenses",I1080="EMPLOYMENT EXPENSES","Selling Expenses",I1080="DIRECT EXPENSES","Selling Expenses",I1080="INDIRECT EXPENSES","Selling Expenses"))</f>
        <v>#N/A</v>
      </c>
    </row>
    <row r="1081" spans="1:18" x14ac:dyDescent="0.2">
      <c r="A1081" s="75">
        <v>7190</v>
      </c>
      <c r="B1081" s="76" t="s">
        <v>926</v>
      </c>
      <c r="C1081" s="76">
        <v>130</v>
      </c>
      <c r="D1081" s="76" t="s">
        <v>432</v>
      </c>
      <c r="E1081" s="76" t="s">
        <v>426</v>
      </c>
      <c r="F1081" s="77">
        <v>372889.87</v>
      </c>
      <c r="G1081" s="77">
        <v>40135.33</v>
      </c>
      <c r="H1081" s="77">
        <v>413025.2</v>
      </c>
      <c r="I1081" s="76" t="s">
        <v>925</v>
      </c>
      <c r="J1081" s="77">
        <v>44527.56</v>
      </c>
      <c r="K1081" s="78">
        <v>430668.39</v>
      </c>
      <c r="M1081" s="79" t="str">
        <f t="shared" si="50"/>
        <v>130-7190</v>
      </c>
      <c r="N1081" s="79" t="str">
        <f t="shared" si="48"/>
        <v/>
      </c>
      <c r="O1081" s="79" t="str">
        <f t="shared" si="49"/>
        <v>130</v>
      </c>
      <c r="P1081" s="79" t="str">
        <f>IFERROR(VLOOKUP($M1081,Export!$P:$R,2,FALSE),"-")</f>
        <v>Parts</v>
      </c>
      <c r="Q1081" s="79" t="str">
        <f>IFERROR(VLOOKUP($M1081,Export!$P:$R,3,FALSE),"-")</f>
        <v>PartsSalaries &amp; Commission as % of Sales</v>
      </c>
      <c r="R1081" s="80" t="str" cm="1">
        <f t="array" ref="R1081">_xlfn.IFS(P1081="Service", _xlfn.IFS(I1081="SALES","GP",I1081="SERVICE SALES","GP",I1081="PARTS SALES","GP",I1081="SERVICE COS","GP",I1081="PARTS COS","GP",I1081="SELLING EXPENSES","Selling Expenses",I1081="EMPLOYMENT EXPENSES","Selling Expenses",I1081="EMPLOYMENT EXPENSES","Selling Expenses",I1081="DIRECT EXPENSES","Selling Expenses",I1081="INDIRECT EXPENSES","Selling Expenses"),P1081="Parts",_xlfn.IFS(I1081="SALES","GP",I1081="SERVICE SALES","GP",I1081="PARTS SALES","GP",I1081="SERVICE COS","GP",I1081="PARTS COS","GP",I1081="SELLING EXPENSES","Selling Expenses",I1081="EMPLOYMENT EXPENSES","Selling Expenses",I1081="EMPLOYMENT EXPENSES","Selling Expenses",I1081="DIRECT EXPENSES","Selling Expenses",I1081="INDIRECT EXPENSES","Selling Expenses"))</f>
        <v>Selling Expenses</v>
      </c>
    </row>
    <row r="1082" spans="1:18" x14ac:dyDescent="0.2">
      <c r="A1082" s="75">
        <v>7190</v>
      </c>
      <c r="B1082" s="76" t="s">
        <v>926</v>
      </c>
      <c r="C1082" s="76">
        <v>132</v>
      </c>
      <c r="D1082" s="76" t="s">
        <v>453</v>
      </c>
      <c r="E1082" s="76" t="s">
        <v>426</v>
      </c>
      <c r="F1082" s="77">
        <v>14018</v>
      </c>
      <c r="G1082" s="77">
        <v>4459</v>
      </c>
      <c r="H1082" s="77">
        <v>18477</v>
      </c>
      <c r="I1082" s="76" t="s">
        <v>925</v>
      </c>
      <c r="J1082" s="77">
        <v>0</v>
      </c>
      <c r="K1082" s="78">
        <v>0</v>
      </c>
      <c r="M1082" s="79" t="str">
        <f t="shared" si="50"/>
        <v>132-7190</v>
      </c>
      <c r="N1082" s="79" t="str">
        <f t="shared" si="48"/>
        <v/>
      </c>
      <c r="O1082" s="79" t="str">
        <f t="shared" si="49"/>
        <v>132</v>
      </c>
      <c r="P1082" s="79" t="str">
        <f>IFERROR(VLOOKUP($M1082,Export!$P:$R,2,FALSE),"-")</f>
        <v>LEX Parts</v>
      </c>
      <c r="Q1082" s="79" t="str">
        <f>IFERROR(VLOOKUP($M1082,Export!$P:$R,3,FALSE),"-")</f>
        <v>LEX PartsSalaries &amp; Commission as % of Sales</v>
      </c>
      <c r="R1082" s="80" t="e" cm="1">
        <f t="array" ref="R1082">_xlfn.IFS(P1082="Service", _xlfn.IFS(I1082="SALES","GP",I1082="SERVICE SALES","GP",I1082="PARTS SALES","GP",I1082="SERVICE COS","GP",I1082="PARTS COS","GP",I1082="SELLING EXPENSES","Selling Expenses",I1082="EMPLOYMENT EXPENSES","Selling Expenses",I1082="EMPLOYMENT EXPENSES","Selling Expenses",I1082="DIRECT EXPENSES","Selling Expenses",I1082="INDIRECT EXPENSES","Selling Expenses"),P1082="Parts",_xlfn.IFS(I1082="SALES","GP",I1082="SERVICE SALES","GP",I1082="PARTS SALES","GP",I1082="SERVICE COS","GP",I1082="PARTS COS","GP",I1082="SELLING EXPENSES","Selling Expenses",I1082="EMPLOYMENT EXPENSES","Selling Expenses",I1082="EMPLOYMENT EXPENSES","Selling Expenses",I1082="DIRECT EXPENSES","Selling Expenses",I1082="INDIRECT EXPENSES","Selling Expenses"))</f>
        <v>#N/A</v>
      </c>
    </row>
    <row r="1083" spans="1:18" x14ac:dyDescent="0.2">
      <c r="A1083" s="75">
        <v>7190</v>
      </c>
      <c r="B1083" s="76" t="s">
        <v>926</v>
      </c>
      <c r="C1083" s="76">
        <v>140</v>
      </c>
      <c r="D1083" s="76" t="s">
        <v>433</v>
      </c>
      <c r="E1083" s="76" t="s">
        <v>426</v>
      </c>
      <c r="F1083" s="77">
        <v>503996.39</v>
      </c>
      <c r="G1083" s="77">
        <v>62853.41</v>
      </c>
      <c r="H1083" s="77">
        <v>566849.80000000005</v>
      </c>
      <c r="I1083" s="76" t="s">
        <v>925</v>
      </c>
      <c r="J1083" s="77">
        <v>82129.61</v>
      </c>
      <c r="K1083" s="78">
        <v>994677.27</v>
      </c>
      <c r="M1083" s="79" t="str">
        <f t="shared" si="50"/>
        <v>140-7190</v>
      </c>
      <c r="N1083" s="79" t="str">
        <f t="shared" si="48"/>
        <v/>
      </c>
      <c r="O1083" s="79" t="str">
        <f t="shared" si="49"/>
        <v>140</v>
      </c>
      <c r="P1083" s="79" t="str">
        <f>IFERROR(VLOOKUP($M1083,Export!$P:$R,2,FALSE),"-")</f>
        <v>Service</v>
      </c>
      <c r="Q1083" s="79" t="str">
        <f>IFERROR(VLOOKUP($M1083,Export!$P:$R,3,FALSE),"-")</f>
        <v>ServiceSalaries, Commission &amp; Leave as % of Sales</v>
      </c>
      <c r="R1083" s="80" t="str" cm="1">
        <f t="array" ref="R1083">_xlfn.IFS(P1083="Service", _xlfn.IFS(I1083="SALES","GP",I1083="SERVICE SALES","GP",I1083="PARTS SALES","GP",I1083="SERVICE COS","GP",I1083="PARTS COS","GP",I1083="SELLING EXPENSES","Selling Expenses",I1083="EMPLOYMENT EXPENSES","Selling Expenses",I1083="EMPLOYMENT EXPENSES","Selling Expenses",I1083="DIRECT EXPENSES","Selling Expenses",I1083="INDIRECT EXPENSES","Selling Expenses"),P1083="Parts",_xlfn.IFS(I1083="SALES","GP",I1083="SERVICE SALES","GP",I1083="PARTS SALES","GP",I1083="SERVICE COS","GP",I1083="PARTS COS","GP",I1083="SELLING EXPENSES","Selling Expenses",I1083="EMPLOYMENT EXPENSES","Selling Expenses",I1083="EMPLOYMENT EXPENSES","Selling Expenses",I1083="DIRECT EXPENSES","Selling Expenses",I1083="INDIRECT EXPENSES","Selling Expenses"))</f>
        <v>Selling Expenses</v>
      </c>
    </row>
    <row r="1084" spans="1:18" x14ac:dyDescent="0.2">
      <c r="A1084" s="75">
        <v>7190</v>
      </c>
      <c r="B1084" s="76" t="s">
        <v>926</v>
      </c>
      <c r="C1084" s="76">
        <v>142</v>
      </c>
      <c r="D1084" s="76" t="s">
        <v>454</v>
      </c>
      <c r="E1084" s="76" t="s">
        <v>426</v>
      </c>
      <c r="F1084" s="77">
        <v>229109.74</v>
      </c>
      <c r="G1084" s="77">
        <v>17445.490000000002</v>
      </c>
      <c r="H1084" s="77">
        <v>246555.23</v>
      </c>
      <c r="I1084" s="76" t="s">
        <v>925</v>
      </c>
      <c r="J1084" s="77">
        <v>45335.15</v>
      </c>
      <c r="K1084" s="78">
        <v>324279.93</v>
      </c>
      <c r="M1084" s="79" t="str">
        <f t="shared" si="50"/>
        <v>142-7190</v>
      </c>
      <c r="N1084" s="79" t="str">
        <f t="shared" si="48"/>
        <v/>
      </c>
      <c r="O1084" s="79" t="str">
        <f t="shared" si="49"/>
        <v>142</v>
      </c>
      <c r="P1084" s="79" t="str">
        <f>IFERROR(VLOOKUP($M1084,Export!$P:$R,2,FALSE),"-")</f>
        <v>Lex Service</v>
      </c>
      <c r="Q1084" s="79" t="str">
        <f>IFERROR(VLOOKUP($M1084,Export!$P:$R,3,FALSE),"-")</f>
        <v>Lex ServiceSalaries, Commission &amp; Leave as % of Sales</v>
      </c>
      <c r="R1084" s="80" t="e" cm="1">
        <f t="array" ref="R1084">_xlfn.IFS(P1084="Service", _xlfn.IFS(I1084="SALES","GP",I1084="SERVICE SALES","GP",I1084="PARTS SALES","GP",I1084="SERVICE COS","GP",I1084="PARTS COS","GP",I1084="SELLING EXPENSES","Selling Expenses",I1084="EMPLOYMENT EXPENSES","Selling Expenses",I1084="EMPLOYMENT EXPENSES","Selling Expenses",I1084="DIRECT EXPENSES","Selling Expenses",I1084="INDIRECT EXPENSES","Selling Expenses"),P1084="Parts",_xlfn.IFS(I1084="SALES","GP",I1084="SERVICE SALES","GP",I1084="PARTS SALES","GP",I1084="SERVICE COS","GP",I1084="PARTS COS","GP",I1084="SELLING EXPENSES","Selling Expenses",I1084="EMPLOYMENT EXPENSES","Selling Expenses",I1084="EMPLOYMENT EXPENSES","Selling Expenses",I1084="DIRECT EXPENSES","Selling Expenses",I1084="INDIRECT EXPENSES","Selling Expenses"))</f>
        <v>#N/A</v>
      </c>
    </row>
    <row r="1085" spans="1:18" x14ac:dyDescent="0.2">
      <c r="A1085" s="75">
        <v>7190</v>
      </c>
      <c r="B1085" s="76" t="s">
        <v>926</v>
      </c>
      <c r="C1085" s="76">
        <v>147</v>
      </c>
      <c r="D1085" s="76" t="s">
        <v>699</v>
      </c>
      <c r="E1085" s="76" t="s">
        <v>426</v>
      </c>
      <c r="F1085" s="77">
        <v>392.66</v>
      </c>
      <c r="G1085" s="77">
        <v>0</v>
      </c>
      <c r="H1085" s="77">
        <v>392.66</v>
      </c>
      <c r="I1085" s="76" t="s">
        <v>925</v>
      </c>
      <c r="J1085" s="77">
        <v>7040.95</v>
      </c>
      <c r="K1085" s="78">
        <v>83295.710000000006</v>
      </c>
      <c r="M1085" s="79" t="str">
        <f t="shared" si="50"/>
        <v>147-7190</v>
      </c>
      <c r="N1085" s="79" t="str">
        <f t="shared" si="48"/>
        <v/>
      </c>
      <c r="O1085" s="79" t="str">
        <f t="shared" si="49"/>
        <v>147</v>
      </c>
      <c r="P1085" s="79" t="str">
        <f>IFERROR(VLOOKUP($M1085,Export!$P:$R,2,FALSE),"-")</f>
        <v>Service</v>
      </c>
      <c r="Q1085" s="79" t="str">
        <f>IFERROR(VLOOKUP($M1085,Export!$P:$R,3,FALSE),"-")</f>
        <v>ServiceSalaries, Commission &amp; Leave as % of Sales</v>
      </c>
      <c r="R1085" s="80" t="str" cm="1">
        <f t="array" ref="R1085">_xlfn.IFS(P1085="Service", _xlfn.IFS(I1085="SALES","GP",I1085="SERVICE SALES","GP",I1085="PARTS SALES","GP",I1085="SERVICE COS","GP",I1085="PARTS COS","GP",I1085="SELLING EXPENSES","Selling Expenses",I1085="EMPLOYMENT EXPENSES","Selling Expenses",I1085="EMPLOYMENT EXPENSES","Selling Expenses",I1085="DIRECT EXPENSES","Selling Expenses",I1085="INDIRECT EXPENSES","Selling Expenses"),P1085="Parts",_xlfn.IFS(I1085="SALES","GP",I1085="SERVICE SALES","GP",I1085="PARTS SALES","GP",I1085="SERVICE COS","GP",I1085="PARTS COS","GP",I1085="SELLING EXPENSES","Selling Expenses",I1085="EMPLOYMENT EXPENSES","Selling Expenses",I1085="EMPLOYMENT EXPENSES","Selling Expenses",I1085="DIRECT EXPENSES","Selling Expenses",I1085="INDIRECT EXPENSES","Selling Expenses"))</f>
        <v>Selling Expenses</v>
      </c>
    </row>
    <row r="1086" spans="1:18" x14ac:dyDescent="0.2">
      <c r="A1086" s="75">
        <v>7190</v>
      </c>
      <c r="B1086" s="76" t="s">
        <v>926</v>
      </c>
      <c r="C1086" s="76">
        <v>150</v>
      </c>
      <c r="D1086" s="76" t="s">
        <v>700</v>
      </c>
      <c r="E1086" s="76" t="s">
        <v>426</v>
      </c>
      <c r="F1086" s="77">
        <v>286479.77</v>
      </c>
      <c r="G1086" s="77">
        <v>37907.25</v>
      </c>
      <c r="H1086" s="77">
        <v>324387.02</v>
      </c>
      <c r="I1086" s="76" t="s">
        <v>925</v>
      </c>
      <c r="J1086" s="77">
        <v>0</v>
      </c>
      <c r="K1086" s="78">
        <v>0</v>
      </c>
      <c r="M1086" s="79" t="str">
        <f t="shared" si="50"/>
        <v>150-7190</v>
      </c>
      <c r="N1086" s="79" t="str">
        <f t="shared" si="48"/>
        <v/>
      </c>
      <c r="O1086" s="79" t="str">
        <f t="shared" si="49"/>
        <v>150</v>
      </c>
      <c r="P1086" s="79" t="str">
        <f>IFERROR(VLOOKUP($M1086,Export!$P:$R,2,FALSE),"-")</f>
        <v>Retail Detailing</v>
      </c>
      <c r="Q1086" s="79" t="str">
        <f>IFERROR(VLOOKUP($M1086,Export!$P:$R,3,FALSE),"-")</f>
        <v>Retail DetailingSalaries, Commission &amp; Leave as % of Sales</v>
      </c>
      <c r="R1086" s="80" t="e" cm="1">
        <f t="array" ref="R1086">_xlfn.IFS(P1086="Service", _xlfn.IFS(I1086="SALES","GP",I1086="SERVICE SALES","GP",I1086="PARTS SALES","GP",I1086="SERVICE COS","GP",I1086="PARTS COS","GP",I1086="SELLING EXPENSES","Selling Expenses",I1086="EMPLOYMENT EXPENSES","Selling Expenses",I1086="EMPLOYMENT EXPENSES","Selling Expenses",I1086="DIRECT EXPENSES","Selling Expenses",I1086="INDIRECT EXPENSES","Selling Expenses"),P1086="Parts",_xlfn.IFS(I1086="SALES","GP",I1086="SERVICE SALES","GP",I1086="PARTS SALES","GP",I1086="SERVICE COS","GP",I1086="PARTS COS","GP",I1086="SELLING EXPENSES","Selling Expenses",I1086="EMPLOYMENT EXPENSES","Selling Expenses",I1086="EMPLOYMENT EXPENSES","Selling Expenses",I1086="DIRECT EXPENSES","Selling Expenses",I1086="INDIRECT EXPENSES","Selling Expenses"))</f>
        <v>#N/A</v>
      </c>
    </row>
    <row r="1087" spans="1:18" x14ac:dyDescent="0.2">
      <c r="A1087" s="75">
        <v>7190</v>
      </c>
      <c r="B1087" s="76" t="s">
        <v>926</v>
      </c>
      <c r="C1087" s="76">
        <v>160</v>
      </c>
      <c r="D1087" s="76" t="s">
        <v>434</v>
      </c>
      <c r="E1087" s="76" t="s">
        <v>426</v>
      </c>
      <c r="F1087" s="77">
        <v>100159.66</v>
      </c>
      <c r="G1087" s="77">
        <v>11490.65</v>
      </c>
      <c r="H1087" s="77">
        <v>111650.31</v>
      </c>
      <c r="I1087" s="76" t="s">
        <v>925</v>
      </c>
      <c r="J1087" s="77">
        <v>15666.67</v>
      </c>
      <c r="K1087" s="78">
        <v>154196.89000000001</v>
      </c>
      <c r="M1087" s="79" t="str">
        <f t="shared" si="50"/>
        <v>160-7190</v>
      </c>
      <c r="N1087" s="79" t="str">
        <f t="shared" si="48"/>
        <v/>
      </c>
      <c r="O1087" s="79" t="str">
        <f t="shared" si="49"/>
        <v>160</v>
      </c>
      <c r="P1087" s="79" t="str">
        <f>IFERROR(VLOOKUP($M1087,Export!$P:$R,2,FALSE),"-")</f>
        <v>F&amp;I</v>
      </c>
      <c r="Q1087" s="79" t="str">
        <f>IFERROR(VLOOKUP($M1087,Export!$P:$R,3,FALSE),"-")</f>
        <v>F&amp;ISalaries &amp; Commission per vehicle retailed</v>
      </c>
      <c r="R1087" s="80" t="e" cm="1">
        <f t="array" ref="R1087">_xlfn.IFS(P1087="Service", _xlfn.IFS(I1087="SALES","GP",I1087="SERVICE SALES","GP",I1087="PARTS SALES","GP",I1087="SERVICE COS","GP",I1087="PARTS COS","GP",I1087="SELLING EXPENSES","Selling Expenses",I1087="EMPLOYMENT EXPENSES","Selling Expenses",I1087="EMPLOYMENT EXPENSES","Selling Expenses",I1087="DIRECT EXPENSES","Selling Expenses",I1087="INDIRECT EXPENSES","Selling Expenses"),P1087="Parts",_xlfn.IFS(I1087="SALES","GP",I1087="SERVICE SALES","GP",I1087="PARTS SALES","GP",I1087="SERVICE COS","GP",I1087="PARTS COS","GP",I1087="SELLING EXPENSES","Selling Expenses",I1087="EMPLOYMENT EXPENSES","Selling Expenses",I1087="EMPLOYMENT EXPENSES","Selling Expenses",I1087="DIRECT EXPENSES","Selling Expenses",I1087="INDIRECT EXPENSES","Selling Expenses"))</f>
        <v>#N/A</v>
      </c>
    </row>
    <row r="1088" spans="1:18" x14ac:dyDescent="0.2">
      <c r="A1088" s="75">
        <v>7190</v>
      </c>
      <c r="B1088" s="76" t="s">
        <v>926</v>
      </c>
      <c r="C1088" s="76">
        <v>162</v>
      </c>
      <c r="D1088" s="76" t="s">
        <v>455</v>
      </c>
      <c r="E1088" s="76" t="s">
        <v>426</v>
      </c>
      <c r="F1088" s="77">
        <v>61055</v>
      </c>
      <c r="G1088" s="77">
        <v>7347</v>
      </c>
      <c r="H1088" s="77">
        <v>68402</v>
      </c>
      <c r="I1088" s="76" t="s">
        <v>925</v>
      </c>
      <c r="J1088" s="77">
        <v>0</v>
      </c>
      <c r="K1088" s="78">
        <v>6359.96</v>
      </c>
      <c r="M1088" s="79" t="str">
        <f t="shared" si="50"/>
        <v>162-7190</v>
      </c>
      <c r="N1088" s="79" t="str">
        <f t="shared" si="48"/>
        <v/>
      </c>
      <c r="O1088" s="79" t="str">
        <f t="shared" si="49"/>
        <v>162</v>
      </c>
      <c r="P1088" s="79" t="str">
        <f>IFERROR(VLOOKUP($M1088,Export!$P:$R,2,FALSE),"-")</f>
        <v>LEX F&amp;I</v>
      </c>
      <c r="Q1088" s="79" t="str">
        <f>IFERROR(VLOOKUP($M1088,Export!$P:$R,3,FALSE),"-")</f>
        <v>LEX F&amp;ISalaries &amp; Commission per vehicle retailed</v>
      </c>
      <c r="R1088" s="80" t="e" cm="1">
        <f t="array" ref="R1088">_xlfn.IFS(P1088="Service", _xlfn.IFS(I1088="SALES","GP",I1088="SERVICE SALES","GP",I1088="PARTS SALES","GP",I1088="SERVICE COS","GP",I1088="PARTS COS","GP",I1088="SELLING EXPENSES","Selling Expenses",I1088="EMPLOYMENT EXPENSES","Selling Expenses",I1088="EMPLOYMENT EXPENSES","Selling Expenses",I1088="DIRECT EXPENSES","Selling Expenses",I1088="INDIRECT EXPENSES","Selling Expenses"),P1088="Parts",_xlfn.IFS(I1088="SALES","GP",I1088="SERVICE SALES","GP",I1088="PARTS SALES","GP",I1088="SERVICE COS","GP",I1088="PARTS COS","GP",I1088="SELLING EXPENSES","Selling Expenses",I1088="EMPLOYMENT EXPENSES","Selling Expenses",I1088="EMPLOYMENT EXPENSES","Selling Expenses",I1088="DIRECT EXPENSES","Selling Expenses",I1088="INDIRECT EXPENSES","Selling Expenses"))</f>
        <v>#N/A</v>
      </c>
    </row>
    <row r="1089" spans="1:18" x14ac:dyDescent="0.2">
      <c r="A1089" s="75">
        <v>7190</v>
      </c>
      <c r="B1089" s="76" t="s">
        <v>926</v>
      </c>
      <c r="C1089" s="76">
        <v>170</v>
      </c>
      <c r="D1089" s="76" t="s">
        <v>676</v>
      </c>
      <c r="E1089" s="76" t="s">
        <v>426</v>
      </c>
      <c r="F1089" s="77">
        <v>0</v>
      </c>
      <c r="G1089" s="77">
        <v>0</v>
      </c>
      <c r="H1089" s="77">
        <v>0</v>
      </c>
      <c r="I1089" s="76" t="s">
        <v>925</v>
      </c>
      <c r="J1089" s="77">
        <v>0</v>
      </c>
      <c r="K1089" s="78">
        <v>11560.11</v>
      </c>
      <c r="M1089" s="79" t="str">
        <f t="shared" si="50"/>
        <v>170-7190</v>
      </c>
      <c r="N1089" s="79" t="str">
        <f t="shared" si="48"/>
        <v/>
      </c>
      <c r="O1089" s="79" t="str">
        <f t="shared" si="49"/>
        <v>170</v>
      </c>
      <c r="P1089" s="79" t="str">
        <f>IFERROR(VLOOKUP($M1089,Export!$P:$R,2,FALSE),"-")</f>
        <v>Admin &amp; Other</v>
      </c>
      <c r="Q1089" s="79" t="str">
        <f>IFERROR(VLOOKUP($M1089,Export!$P:$R,3,FALSE),"-")</f>
        <v xml:space="preserve">Admin &amp; OtherStaff Remuneration &amp; Benefits as % of Total Gross </v>
      </c>
      <c r="R1089" s="80" t="e" cm="1">
        <f t="array" ref="R1089">_xlfn.IFS(P1089="Service", _xlfn.IFS(I1089="SALES","GP",I1089="SERVICE SALES","GP",I1089="PARTS SALES","GP",I1089="SERVICE COS","GP",I1089="PARTS COS","GP",I1089="SELLING EXPENSES","Selling Expenses",I1089="EMPLOYMENT EXPENSES","Selling Expenses",I1089="EMPLOYMENT EXPENSES","Selling Expenses",I1089="DIRECT EXPENSES","Selling Expenses",I1089="INDIRECT EXPENSES","Selling Expenses"),P1089="Parts",_xlfn.IFS(I1089="SALES","GP",I1089="SERVICE SALES","GP",I1089="PARTS SALES","GP",I1089="SERVICE COS","GP",I1089="PARTS COS","GP",I1089="SELLING EXPENSES","Selling Expenses",I1089="EMPLOYMENT EXPENSES","Selling Expenses",I1089="EMPLOYMENT EXPENSES","Selling Expenses",I1089="DIRECT EXPENSES","Selling Expenses",I1089="INDIRECT EXPENSES","Selling Expenses"))</f>
        <v>#N/A</v>
      </c>
    </row>
    <row r="1090" spans="1:18" x14ac:dyDescent="0.2">
      <c r="A1090" s="75">
        <v>7190</v>
      </c>
      <c r="B1090" s="76" t="s">
        <v>926</v>
      </c>
      <c r="C1090" s="76">
        <v>210</v>
      </c>
      <c r="D1090" s="76" t="s">
        <v>436</v>
      </c>
      <c r="E1090" s="76" t="s">
        <v>426</v>
      </c>
      <c r="F1090" s="77">
        <v>82498.89</v>
      </c>
      <c r="G1090" s="77">
        <v>10233.6</v>
      </c>
      <c r="H1090" s="77">
        <v>92732.49</v>
      </c>
      <c r="I1090" s="76" t="s">
        <v>925</v>
      </c>
      <c r="J1090" s="77">
        <v>6059.47</v>
      </c>
      <c r="K1090" s="78">
        <v>55765.57</v>
      </c>
      <c r="M1090" s="79" t="str">
        <f t="shared" si="50"/>
        <v>210-7190</v>
      </c>
      <c r="N1090" s="79" t="str">
        <f t="shared" ref="N1090:N1153" si="51">+IF(RIGHT(A1090,1)="#","#","")</f>
        <v/>
      </c>
      <c r="O1090" s="79" t="str">
        <f t="shared" ref="O1090:O1153" si="52">+C1090&amp;N1090</f>
        <v>210</v>
      </c>
      <c r="P1090" s="79" t="str">
        <f>IFERROR(VLOOKUP($M1090,Export!$P:$R,2,FALSE),"-")</f>
        <v>New Vehicle</v>
      </c>
      <c r="Q1090" s="79" t="str">
        <f>IFERROR(VLOOKUP($M1090,Export!$P:$R,3,FALSE),"-")</f>
        <v>New VehicleSalaries &amp; Wages p.u.</v>
      </c>
      <c r="R1090" s="80" t="e" cm="1">
        <f t="array" ref="R1090">_xlfn.IFS(P1090="Service", _xlfn.IFS(I1090="SALES","GP",I1090="SERVICE SALES","GP",I1090="PARTS SALES","GP",I1090="SERVICE COS","GP",I1090="PARTS COS","GP",I1090="SELLING EXPENSES","Selling Expenses",I1090="EMPLOYMENT EXPENSES","Selling Expenses",I1090="EMPLOYMENT EXPENSES","Selling Expenses",I1090="DIRECT EXPENSES","Selling Expenses",I1090="INDIRECT EXPENSES","Selling Expenses"),P1090="Parts",_xlfn.IFS(I1090="SALES","GP",I1090="SERVICE SALES","GP",I1090="PARTS SALES","GP",I1090="SERVICE COS","GP",I1090="PARTS COS","GP",I1090="SELLING EXPENSES","Selling Expenses",I1090="EMPLOYMENT EXPENSES","Selling Expenses",I1090="EMPLOYMENT EXPENSES","Selling Expenses",I1090="DIRECT EXPENSES","Selling Expenses",I1090="INDIRECT EXPENSES","Selling Expenses"))</f>
        <v>#N/A</v>
      </c>
    </row>
    <row r="1091" spans="1:18" x14ac:dyDescent="0.2">
      <c r="A1091" s="75">
        <v>7190</v>
      </c>
      <c r="B1091" s="76" t="s">
        <v>926</v>
      </c>
      <c r="C1091" s="76">
        <v>220</v>
      </c>
      <c r="D1091" s="76" t="s">
        <v>437</v>
      </c>
      <c r="E1091" s="76" t="s">
        <v>426</v>
      </c>
      <c r="F1091" s="77">
        <v>132605.9</v>
      </c>
      <c r="G1091" s="77">
        <v>21237.41</v>
      </c>
      <c r="H1091" s="77">
        <v>153843.31</v>
      </c>
      <c r="I1091" s="76" t="s">
        <v>925</v>
      </c>
      <c r="J1091" s="77">
        <v>11250</v>
      </c>
      <c r="K1091" s="78">
        <v>92184.01</v>
      </c>
      <c r="M1091" s="79" t="str">
        <f t="shared" ref="M1091:M1154" si="53">+C1091&amp;"-"&amp;A1091</f>
        <v>220-7190</v>
      </c>
      <c r="N1091" s="79" t="str">
        <f t="shared" si="51"/>
        <v/>
      </c>
      <c r="O1091" s="79" t="str">
        <f t="shared" si="52"/>
        <v>220</v>
      </c>
      <c r="P1091" s="79" t="str">
        <f>IFERROR(VLOOKUP($M1091,Export!$P:$R,2,FALSE),"-")</f>
        <v>Used Vehicle</v>
      </c>
      <c r="Q1091" s="79" t="str">
        <f>IFERROR(VLOOKUP($M1091,Export!$P:$R,3,FALSE),"-")</f>
        <v>Used VehicleSalaries &amp; Wages per retail</v>
      </c>
      <c r="R1091" s="80" t="e" cm="1">
        <f t="array" ref="R1091">_xlfn.IFS(P1091="Service", _xlfn.IFS(I1091="SALES","GP",I1091="SERVICE SALES","GP",I1091="PARTS SALES","GP",I1091="SERVICE COS","GP",I1091="PARTS COS","GP",I1091="SELLING EXPENSES","Selling Expenses",I1091="EMPLOYMENT EXPENSES","Selling Expenses",I1091="EMPLOYMENT EXPENSES","Selling Expenses",I1091="DIRECT EXPENSES","Selling Expenses",I1091="INDIRECT EXPENSES","Selling Expenses"),P1091="Parts",_xlfn.IFS(I1091="SALES","GP",I1091="SERVICE SALES","GP",I1091="PARTS SALES","GP",I1091="SERVICE COS","GP",I1091="PARTS COS","GP",I1091="SELLING EXPENSES","Selling Expenses",I1091="EMPLOYMENT EXPENSES","Selling Expenses",I1091="EMPLOYMENT EXPENSES","Selling Expenses",I1091="DIRECT EXPENSES","Selling Expenses",I1091="INDIRECT EXPENSES","Selling Expenses"))</f>
        <v>#N/A</v>
      </c>
    </row>
    <row r="1092" spans="1:18" x14ac:dyDescent="0.2">
      <c r="A1092" s="75">
        <v>7190</v>
      </c>
      <c r="B1092" s="76" t="s">
        <v>926</v>
      </c>
      <c r="C1092" s="76">
        <v>230</v>
      </c>
      <c r="D1092" s="76" t="s">
        <v>438</v>
      </c>
      <c r="E1092" s="76" t="s">
        <v>426</v>
      </c>
      <c r="F1092" s="77">
        <v>179206.51</v>
      </c>
      <c r="G1092" s="77">
        <v>37396.400000000001</v>
      </c>
      <c r="H1092" s="77">
        <v>216602.91</v>
      </c>
      <c r="I1092" s="76" t="s">
        <v>925</v>
      </c>
      <c r="J1092" s="77">
        <v>19821.04</v>
      </c>
      <c r="K1092" s="78">
        <v>183257.51</v>
      </c>
      <c r="M1092" s="79" t="str">
        <f t="shared" si="53"/>
        <v>230-7190</v>
      </c>
      <c r="N1092" s="79" t="str">
        <f t="shared" si="51"/>
        <v/>
      </c>
      <c r="O1092" s="79" t="str">
        <f t="shared" si="52"/>
        <v>230</v>
      </c>
      <c r="P1092" s="79" t="str">
        <f>IFERROR(VLOOKUP($M1092,Export!$P:$R,2,FALSE),"-")</f>
        <v>Parts</v>
      </c>
      <c r="Q1092" s="79" t="str">
        <f>IFERROR(VLOOKUP($M1092,Export!$P:$R,3,FALSE),"-")</f>
        <v>PartsSalaries &amp; Commission as % of Sales</v>
      </c>
      <c r="R1092" s="80" t="str" cm="1">
        <f t="array" ref="R1092">_xlfn.IFS(P1092="Service", _xlfn.IFS(I1092="SALES","GP",I1092="SERVICE SALES","GP",I1092="PARTS SALES","GP",I1092="SERVICE COS","GP",I1092="PARTS COS","GP",I1092="SELLING EXPENSES","Selling Expenses",I1092="EMPLOYMENT EXPENSES","Selling Expenses",I1092="EMPLOYMENT EXPENSES","Selling Expenses",I1092="DIRECT EXPENSES","Selling Expenses",I1092="INDIRECT EXPENSES","Selling Expenses"),P1092="Parts",_xlfn.IFS(I1092="SALES","GP",I1092="SERVICE SALES","GP",I1092="PARTS SALES","GP",I1092="SERVICE COS","GP",I1092="PARTS COS","GP",I1092="SELLING EXPENSES","Selling Expenses",I1092="EMPLOYMENT EXPENSES","Selling Expenses",I1092="EMPLOYMENT EXPENSES","Selling Expenses",I1092="DIRECT EXPENSES","Selling Expenses",I1092="INDIRECT EXPENSES","Selling Expenses"))</f>
        <v>Selling Expenses</v>
      </c>
    </row>
    <row r="1093" spans="1:18" x14ac:dyDescent="0.2">
      <c r="A1093" s="75">
        <v>7190</v>
      </c>
      <c r="B1093" s="76" t="s">
        <v>926</v>
      </c>
      <c r="C1093" s="76">
        <v>240</v>
      </c>
      <c r="D1093" s="76" t="s">
        <v>439</v>
      </c>
      <c r="E1093" s="76" t="s">
        <v>426</v>
      </c>
      <c r="F1093" s="77">
        <v>239814.13</v>
      </c>
      <c r="G1093" s="77">
        <v>28941.83</v>
      </c>
      <c r="H1093" s="77">
        <v>268755.96000000002</v>
      </c>
      <c r="I1093" s="76" t="s">
        <v>925</v>
      </c>
      <c r="J1093" s="77">
        <v>38479.65</v>
      </c>
      <c r="K1093" s="78">
        <v>332225.94</v>
      </c>
      <c r="M1093" s="79" t="str">
        <f t="shared" si="53"/>
        <v>240-7190</v>
      </c>
      <c r="N1093" s="79" t="str">
        <f t="shared" si="51"/>
        <v/>
      </c>
      <c r="O1093" s="79" t="str">
        <f t="shared" si="52"/>
        <v>240</v>
      </c>
      <c r="P1093" s="79" t="str">
        <f>IFERROR(VLOOKUP($M1093,Export!$P:$R,2,FALSE),"-")</f>
        <v>Service</v>
      </c>
      <c r="Q1093" s="79" t="str">
        <f>IFERROR(VLOOKUP($M1093,Export!$P:$R,3,FALSE),"-")</f>
        <v>ServiceSalaries, Commission &amp; Leave as % of Sales</v>
      </c>
      <c r="R1093" s="80" t="str" cm="1">
        <f t="array" ref="R1093">_xlfn.IFS(P1093="Service", _xlfn.IFS(I1093="SALES","GP",I1093="SERVICE SALES","GP",I1093="PARTS SALES","GP",I1093="SERVICE COS","GP",I1093="PARTS COS","GP",I1093="SELLING EXPENSES","Selling Expenses",I1093="EMPLOYMENT EXPENSES","Selling Expenses",I1093="EMPLOYMENT EXPENSES","Selling Expenses",I1093="DIRECT EXPENSES","Selling Expenses",I1093="INDIRECT EXPENSES","Selling Expenses"),P1093="Parts",_xlfn.IFS(I1093="SALES","GP",I1093="SERVICE SALES","GP",I1093="PARTS SALES","GP",I1093="SERVICE COS","GP",I1093="PARTS COS","GP",I1093="SELLING EXPENSES","Selling Expenses",I1093="EMPLOYMENT EXPENSES","Selling Expenses",I1093="EMPLOYMENT EXPENSES","Selling Expenses",I1093="DIRECT EXPENSES","Selling Expenses",I1093="INDIRECT EXPENSES","Selling Expenses"))</f>
        <v>Selling Expenses</v>
      </c>
    </row>
    <row r="1094" spans="1:18" x14ac:dyDescent="0.2">
      <c r="A1094" s="75">
        <v>7190</v>
      </c>
      <c r="B1094" s="76" t="s">
        <v>926</v>
      </c>
      <c r="C1094" s="76">
        <v>260</v>
      </c>
      <c r="D1094" s="76" t="s">
        <v>456</v>
      </c>
      <c r="E1094" s="76" t="s">
        <v>426</v>
      </c>
      <c r="F1094" s="77">
        <v>88660.78</v>
      </c>
      <c r="G1094" s="77">
        <v>10377.4</v>
      </c>
      <c r="H1094" s="77">
        <v>99038.18</v>
      </c>
      <c r="I1094" s="76" t="s">
        <v>925</v>
      </c>
      <c r="J1094" s="77">
        <v>7916.67</v>
      </c>
      <c r="K1094" s="78">
        <v>70350.559999999998</v>
      </c>
      <c r="M1094" s="79" t="str">
        <f t="shared" si="53"/>
        <v>260-7190</v>
      </c>
      <c r="N1094" s="79" t="str">
        <f t="shared" si="51"/>
        <v/>
      </c>
      <c r="O1094" s="79" t="str">
        <f t="shared" si="52"/>
        <v>260</v>
      </c>
      <c r="P1094" s="79" t="str">
        <f>IFERROR(VLOOKUP($M1094,Export!$P:$R,2,FALSE),"-")</f>
        <v>F&amp;I</v>
      </c>
      <c r="Q1094" s="79" t="str">
        <f>IFERROR(VLOOKUP($M1094,Export!$P:$R,3,FALSE),"-")</f>
        <v>F&amp;ISalaries &amp; Commission per vehicle retailed</v>
      </c>
      <c r="R1094" s="80" t="e" cm="1">
        <f t="array" ref="R1094">_xlfn.IFS(P1094="Service", _xlfn.IFS(I1094="SALES","GP",I1094="SERVICE SALES","GP",I1094="PARTS SALES","GP",I1094="SERVICE COS","GP",I1094="PARTS COS","GP",I1094="SELLING EXPENSES","Selling Expenses",I1094="EMPLOYMENT EXPENSES","Selling Expenses",I1094="EMPLOYMENT EXPENSES","Selling Expenses",I1094="DIRECT EXPENSES","Selling Expenses",I1094="INDIRECT EXPENSES","Selling Expenses"),P1094="Parts",_xlfn.IFS(I1094="SALES","GP",I1094="SERVICE SALES","GP",I1094="PARTS SALES","GP",I1094="SERVICE COS","GP",I1094="PARTS COS","GP",I1094="SELLING EXPENSES","Selling Expenses",I1094="EMPLOYMENT EXPENSES","Selling Expenses",I1094="EMPLOYMENT EXPENSES","Selling Expenses",I1094="DIRECT EXPENSES","Selling Expenses",I1094="INDIRECT EXPENSES","Selling Expenses"))</f>
        <v>#N/A</v>
      </c>
    </row>
    <row r="1095" spans="1:18" x14ac:dyDescent="0.2">
      <c r="A1095" s="75">
        <v>7190</v>
      </c>
      <c r="B1095" s="76" t="s">
        <v>926</v>
      </c>
      <c r="C1095" s="76">
        <v>330</v>
      </c>
      <c r="D1095" s="76" t="s">
        <v>457</v>
      </c>
      <c r="E1095" s="76" t="s">
        <v>426</v>
      </c>
      <c r="F1095" s="77">
        <v>48164.17</v>
      </c>
      <c r="G1095" s="77">
        <v>6165.77</v>
      </c>
      <c r="H1095" s="77">
        <v>54329.94</v>
      </c>
      <c r="I1095" s="76" t="s">
        <v>925</v>
      </c>
      <c r="J1095" s="77">
        <v>6121.03</v>
      </c>
      <c r="K1095" s="78">
        <v>36726.18</v>
      </c>
      <c r="M1095" s="79" t="str">
        <f t="shared" si="53"/>
        <v>330-7190</v>
      </c>
      <c r="N1095" s="79" t="str">
        <f t="shared" si="51"/>
        <v/>
      </c>
      <c r="O1095" s="79" t="str">
        <f t="shared" si="52"/>
        <v>330</v>
      </c>
      <c r="P1095" s="79" t="str">
        <f>IFERROR(VLOOKUP($M1095,Export!$P:$R,2,FALSE),"-")</f>
        <v>Parts</v>
      </c>
      <c r="Q1095" s="79" t="str">
        <f>IFERROR(VLOOKUP($M1095,Export!$P:$R,3,FALSE),"-")</f>
        <v>PartsSalaries &amp; Commission as % of Sales</v>
      </c>
      <c r="R1095" s="80" t="str" cm="1">
        <f t="array" ref="R1095">_xlfn.IFS(P1095="Service", _xlfn.IFS(I1095="SALES","GP",I1095="SERVICE SALES","GP",I1095="PARTS SALES","GP",I1095="SERVICE COS","GP",I1095="PARTS COS","GP",I1095="SELLING EXPENSES","Selling Expenses",I1095="EMPLOYMENT EXPENSES","Selling Expenses",I1095="EMPLOYMENT EXPENSES","Selling Expenses",I1095="DIRECT EXPENSES","Selling Expenses",I1095="INDIRECT EXPENSES","Selling Expenses"),P1095="Parts",_xlfn.IFS(I1095="SALES","GP",I1095="SERVICE SALES","GP",I1095="PARTS SALES","GP",I1095="SERVICE COS","GP",I1095="PARTS COS","GP",I1095="SELLING EXPENSES","Selling Expenses",I1095="EMPLOYMENT EXPENSES","Selling Expenses",I1095="EMPLOYMENT EXPENSES","Selling Expenses",I1095="DIRECT EXPENSES","Selling Expenses",I1095="INDIRECT EXPENSES","Selling Expenses"))</f>
        <v>Selling Expenses</v>
      </c>
    </row>
    <row r="1096" spans="1:18" x14ac:dyDescent="0.2">
      <c r="A1096" s="75">
        <v>7190</v>
      </c>
      <c r="B1096" s="76" t="s">
        <v>926</v>
      </c>
      <c r="C1096" s="76">
        <v>340</v>
      </c>
      <c r="D1096" s="76" t="s">
        <v>440</v>
      </c>
      <c r="E1096" s="76" t="s">
        <v>426</v>
      </c>
      <c r="F1096" s="77">
        <v>198867.48</v>
      </c>
      <c r="G1096" s="77">
        <v>18847.439999999999</v>
      </c>
      <c r="H1096" s="77">
        <v>217714.92</v>
      </c>
      <c r="I1096" s="76" t="s">
        <v>925</v>
      </c>
      <c r="J1096" s="77">
        <v>24559.83</v>
      </c>
      <c r="K1096" s="78">
        <v>282633.32</v>
      </c>
      <c r="M1096" s="79" t="str">
        <f t="shared" si="53"/>
        <v>340-7190</v>
      </c>
      <c r="N1096" s="79" t="str">
        <f t="shared" si="51"/>
        <v/>
      </c>
      <c r="O1096" s="79" t="str">
        <f t="shared" si="52"/>
        <v>340</v>
      </c>
      <c r="P1096" s="79" t="str">
        <f>IFERROR(VLOOKUP($M1096,Export!$P:$R,2,FALSE),"-")</f>
        <v>Service</v>
      </c>
      <c r="Q1096" s="79" t="str">
        <f>IFERROR(VLOOKUP($M1096,Export!$P:$R,3,FALSE),"-")</f>
        <v>ServiceSalaries, Commission &amp; Leave as % of Sales</v>
      </c>
      <c r="R1096" s="80" t="str" cm="1">
        <f t="array" ref="R1096">_xlfn.IFS(P1096="Service", _xlfn.IFS(I1096="SALES","GP",I1096="SERVICE SALES","GP",I1096="PARTS SALES","GP",I1096="SERVICE COS","GP",I1096="PARTS COS","GP",I1096="SELLING EXPENSES","Selling Expenses",I1096="EMPLOYMENT EXPENSES","Selling Expenses",I1096="EMPLOYMENT EXPENSES","Selling Expenses",I1096="DIRECT EXPENSES","Selling Expenses",I1096="INDIRECT EXPENSES","Selling Expenses"),P1096="Parts",_xlfn.IFS(I1096="SALES","GP",I1096="SERVICE SALES","GP",I1096="PARTS SALES","GP",I1096="SERVICE COS","GP",I1096="PARTS COS","GP",I1096="SELLING EXPENSES","Selling Expenses",I1096="EMPLOYMENT EXPENSES","Selling Expenses",I1096="EMPLOYMENT EXPENSES","Selling Expenses",I1096="DIRECT EXPENSES","Selling Expenses",I1096="INDIRECT EXPENSES","Selling Expenses"))</f>
        <v>Selling Expenses</v>
      </c>
    </row>
    <row r="1097" spans="1:18" x14ac:dyDescent="0.2">
      <c r="A1097" s="75">
        <v>7190</v>
      </c>
      <c r="B1097" s="76" t="s">
        <v>926</v>
      </c>
      <c r="C1097" s="76">
        <v>410</v>
      </c>
      <c r="D1097" s="76" t="s">
        <v>927</v>
      </c>
      <c r="E1097" s="76" t="s">
        <v>426</v>
      </c>
      <c r="F1097" s="77">
        <v>0</v>
      </c>
      <c r="G1097" s="77">
        <v>0</v>
      </c>
      <c r="H1097" s="77">
        <v>0</v>
      </c>
      <c r="I1097" s="76" t="s">
        <v>925</v>
      </c>
      <c r="J1097" s="77">
        <v>0</v>
      </c>
      <c r="K1097" s="78">
        <v>315</v>
      </c>
      <c r="M1097" s="79" t="str">
        <f t="shared" si="53"/>
        <v>410-7190</v>
      </c>
      <c r="N1097" s="79" t="str">
        <f t="shared" si="51"/>
        <v/>
      </c>
      <c r="O1097" s="79" t="str">
        <f t="shared" si="52"/>
        <v>410</v>
      </c>
      <c r="P1097" s="79" t="str">
        <f>IFERROR(VLOOKUP($M1097,Export!$P:$R,2,FALSE),"-")</f>
        <v>Used Vehicle</v>
      </c>
      <c r="Q1097" s="79" t="str">
        <f>IFERROR(VLOOKUP($M1097,Export!$P:$R,3,FALSE),"-")</f>
        <v>Used VehicleSalaries &amp; Wages per retail</v>
      </c>
      <c r="R1097" s="80" t="e" cm="1">
        <f t="array" ref="R1097">_xlfn.IFS(P1097="Service", _xlfn.IFS(I1097="SALES","GP",I1097="SERVICE SALES","GP",I1097="PARTS SALES","GP",I1097="SERVICE COS","GP",I1097="PARTS COS","GP",I1097="SELLING EXPENSES","Selling Expenses",I1097="EMPLOYMENT EXPENSES","Selling Expenses",I1097="EMPLOYMENT EXPENSES","Selling Expenses",I1097="DIRECT EXPENSES","Selling Expenses",I1097="INDIRECT EXPENSES","Selling Expenses"),P1097="Parts",_xlfn.IFS(I1097="SALES","GP",I1097="SERVICE SALES","GP",I1097="PARTS SALES","GP",I1097="SERVICE COS","GP",I1097="PARTS COS","GP",I1097="SELLING EXPENSES","Selling Expenses",I1097="EMPLOYMENT EXPENSES","Selling Expenses",I1097="EMPLOYMENT EXPENSES","Selling Expenses",I1097="DIRECT EXPENSES","Selling Expenses",I1097="INDIRECT EXPENSES","Selling Expenses"))</f>
        <v>#N/A</v>
      </c>
    </row>
    <row r="1098" spans="1:18" x14ac:dyDescent="0.2">
      <c r="A1098" s="75">
        <v>7190</v>
      </c>
      <c r="B1098" s="76" t="s">
        <v>926</v>
      </c>
      <c r="C1098" s="76">
        <v>430</v>
      </c>
      <c r="D1098" s="76" t="s">
        <v>458</v>
      </c>
      <c r="E1098" s="76" t="s">
        <v>426</v>
      </c>
      <c r="F1098" s="77">
        <v>51176.94</v>
      </c>
      <c r="G1098" s="77">
        <v>5021.88</v>
      </c>
      <c r="H1098" s="77">
        <v>56198.82</v>
      </c>
      <c r="I1098" s="76" t="s">
        <v>925</v>
      </c>
      <c r="J1098" s="77">
        <v>6437.82</v>
      </c>
      <c r="K1098" s="78">
        <v>57918.11</v>
      </c>
      <c r="M1098" s="79" t="str">
        <f t="shared" si="53"/>
        <v>430-7190</v>
      </c>
      <c r="N1098" s="79" t="str">
        <f t="shared" si="51"/>
        <v/>
      </c>
      <c r="O1098" s="79" t="str">
        <f t="shared" si="52"/>
        <v>430</v>
      </c>
      <c r="P1098" s="79" t="str">
        <f>IFERROR(VLOOKUP($M1098,Export!$P:$R,2,FALSE),"-")</f>
        <v>Parts</v>
      </c>
      <c r="Q1098" s="79" t="str">
        <f>IFERROR(VLOOKUP($M1098,Export!$P:$R,3,FALSE),"-")</f>
        <v>PartsSalaries &amp; Commission as % of Sales</v>
      </c>
      <c r="R1098" s="80" t="str" cm="1">
        <f t="array" ref="R1098">_xlfn.IFS(P1098="Service", _xlfn.IFS(I1098="SALES","GP",I1098="SERVICE SALES","GP",I1098="PARTS SALES","GP",I1098="SERVICE COS","GP",I1098="PARTS COS","GP",I1098="SELLING EXPENSES","Selling Expenses",I1098="EMPLOYMENT EXPENSES","Selling Expenses",I1098="EMPLOYMENT EXPENSES","Selling Expenses",I1098="DIRECT EXPENSES","Selling Expenses",I1098="INDIRECT EXPENSES","Selling Expenses"),P1098="Parts",_xlfn.IFS(I1098="SALES","GP",I1098="SERVICE SALES","GP",I1098="PARTS SALES","GP",I1098="SERVICE COS","GP",I1098="PARTS COS","GP",I1098="SELLING EXPENSES","Selling Expenses",I1098="EMPLOYMENT EXPENSES","Selling Expenses",I1098="EMPLOYMENT EXPENSES","Selling Expenses",I1098="DIRECT EXPENSES","Selling Expenses",I1098="INDIRECT EXPENSES","Selling Expenses"))</f>
        <v>Selling Expenses</v>
      </c>
    </row>
    <row r="1099" spans="1:18" x14ac:dyDescent="0.2">
      <c r="A1099" s="75">
        <v>7190</v>
      </c>
      <c r="B1099" s="76" t="s">
        <v>926</v>
      </c>
      <c r="C1099" s="76">
        <v>440</v>
      </c>
      <c r="D1099" s="76" t="s">
        <v>441</v>
      </c>
      <c r="E1099" s="76" t="s">
        <v>426</v>
      </c>
      <c r="F1099" s="77">
        <v>253872.05</v>
      </c>
      <c r="G1099" s="77">
        <v>36210.120000000003</v>
      </c>
      <c r="H1099" s="77">
        <v>290082.17</v>
      </c>
      <c r="I1099" s="76" t="s">
        <v>925</v>
      </c>
      <c r="J1099" s="77">
        <v>22286.42</v>
      </c>
      <c r="K1099" s="78">
        <v>218375.49</v>
      </c>
      <c r="M1099" s="79" t="str">
        <f t="shared" si="53"/>
        <v>440-7190</v>
      </c>
      <c r="N1099" s="79" t="str">
        <f t="shared" si="51"/>
        <v/>
      </c>
      <c r="O1099" s="79" t="str">
        <f t="shared" si="52"/>
        <v>440</v>
      </c>
      <c r="P1099" s="79" t="str">
        <f>IFERROR(VLOOKUP($M1099,Export!$P:$R,2,FALSE),"-")</f>
        <v>Service</v>
      </c>
      <c r="Q1099" s="79" t="str">
        <f>IFERROR(VLOOKUP($M1099,Export!$P:$R,3,FALSE),"-")</f>
        <v>ServiceSalaries, Commission &amp; Leave as % of Sales</v>
      </c>
      <c r="R1099" s="80" t="str" cm="1">
        <f t="array" ref="R1099">_xlfn.IFS(P1099="Service", _xlfn.IFS(I1099="SALES","GP",I1099="SERVICE SALES","GP",I1099="PARTS SALES","GP",I1099="SERVICE COS","GP",I1099="PARTS COS","GP",I1099="SELLING EXPENSES","Selling Expenses",I1099="EMPLOYMENT EXPENSES","Selling Expenses",I1099="EMPLOYMENT EXPENSES","Selling Expenses",I1099="DIRECT EXPENSES","Selling Expenses",I1099="INDIRECT EXPENSES","Selling Expenses"),P1099="Parts",_xlfn.IFS(I1099="SALES","GP",I1099="SERVICE SALES","GP",I1099="PARTS SALES","GP",I1099="SERVICE COS","GP",I1099="PARTS COS","GP",I1099="SELLING EXPENSES","Selling Expenses",I1099="EMPLOYMENT EXPENSES","Selling Expenses",I1099="EMPLOYMENT EXPENSES","Selling Expenses",I1099="DIRECT EXPENSES","Selling Expenses",I1099="INDIRECT EXPENSES","Selling Expenses"))</f>
        <v>Selling Expenses</v>
      </c>
    </row>
    <row r="1100" spans="1:18" x14ac:dyDescent="0.2">
      <c r="A1100" s="75">
        <v>7190</v>
      </c>
      <c r="B1100" s="76" t="s">
        <v>926</v>
      </c>
      <c r="C1100" s="76">
        <v>935</v>
      </c>
      <c r="D1100" s="76" t="s">
        <v>442</v>
      </c>
      <c r="E1100" s="76" t="s">
        <v>426</v>
      </c>
      <c r="F1100" s="77">
        <v>187888.06</v>
      </c>
      <c r="G1100" s="77">
        <v>23258.07</v>
      </c>
      <c r="H1100" s="77">
        <v>211146.13</v>
      </c>
      <c r="I1100" s="76" t="s">
        <v>925</v>
      </c>
      <c r="J1100" s="77">
        <v>15210</v>
      </c>
      <c r="K1100" s="78">
        <v>161448.37</v>
      </c>
      <c r="M1100" s="79" t="str">
        <f t="shared" si="53"/>
        <v>935-7190</v>
      </c>
      <c r="N1100" s="79" t="str">
        <f t="shared" si="51"/>
        <v/>
      </c>
      <c r="O1100" s="79" t="str">
        <f t="shared" si="52"/>
        <v>935</v>
      </c>
      <c r="P1100" s="79" t="str">
        <f>IFERROR(VLOOKUP($M1100,Export!$P:$R,2,FALSE),"-")</f>
        <v>Bridgestone</v>
      </c>
      <c r="Q1100" s="79" t="str">
        <f>IFERROR(VLOOKUP($M1100,Export!$P:$R,3,FALSE),"-")</f>
        <v>BridgestoneSalaries, Commission &amp; Leave as % of Sales</v>
      </c>
      <c r="R1100" s="80" t="e" cm="1">
        <f t="array" ref="R1100">_xlfn.IFS(P1100="Service", _xlfn.IFS(I1100="SALES","GP",I1100="SERVICE SALES","GP",I1100="PARTS SALES","GP",I1100="SERVICE COS","GP",I1100="PARTS COS","GP",I1100="SELLING EXPENSES","Selling Expenses",I1100="EMPLOYMENT EXPENSES","Selling Expenses",I1100="EMPLOYMENT EXPENSES","Selling Expenses",I1100="DIRECT EXPENSES","Selling Expenses",I1100="INDIRECT EXPENSES","Selling Expenses"),P1100="Parts",_xlfn.IFS(I1100="SALES","GP",I1100="SERVICE SALES","GP",I1100="PARTS SALES","GP",I1100="SERVICE COS","GP",I1100="PARTS COS","GP",I1100="SELLING EXPENSES","Selling Expenses",I1100="EMPLOYMENT EXPENSES","Selling Expenses",I1100="EMPLOYMENT EXPENSES","Selling Expenses",I1100="DIRECT EXPENSES","Selling Expenses",I1100="INDIRECT EXPENSES","Selling Expenses"))</f>
        <v>#N/A</v>
      </c>
    </row>
    <row r="1101" spans="1:18" x14ac:dyDescent="0.2">
      <c r="A1101" s="75">
        <v>7190</v>
      </c>
      <c r="B1101" s="76" t="s">
        <v>926</v>
      </c>
      <c r="C1101" s="76">
        <v>936</v>
      </c>
      <c r="D1101" s="76" t="s">
        <v>443</v>
      </c>
      <c r="E1101" s="76" t="s">
        <v>426</v>
      </c>
      <c r="F1101" s="77">
        <v>51526.89</v>
      </c>
      <c r="G1101" s="77">
        <v>6061.74</v>
      </c>
      <c r="H1101" s="77">
        <v>57588.63</v>
      </c>
      <c r="I1101" s="76" t="s">
        <v>925</v>
      </c>
      <c r="J1101" s="77">
        <v>5156.67</v>
      </c>
      <c r="K1101" s="78">
        <v>65209.55</v>
      </c>
      <c r="M1101" s="79" t="str">
        <f t="shared" si="53"/>
        <v>936-7190</v>
      </c>
      <c r="N1101" s="79" t="str">
        <f t="shared" si="51"/>
        <v/>
      </c>
      <c r="O1101" s="79" t="str">
        <f t="shared" si="52"/>
        <v>936</v>
      </c>
      <c r="P1101" s="79" t="str">
        <f>IFERROR(VLOOKUP($M1101,Export!$P:$R,2,FALSE),"-")</f>
        <v>Bridgestone</v>
      </c>
      <c r="Q1101" s="79" t="str">
        <f>IFERROR(VLOOKUP($M1101,Export!$P:$R,3,FALSE),"-")</f>
        <v>BridgestoneSalaries, Commission &amp; Leave as % of Sales</v>
      </c>
      <c r="R1101" s="80" t="e" cm="1">
        <f t="array" ref="R1101">_xlfn.IFS(P1101="Service", _xlfn.IFS(I1101="SALES","GP",I1101="SERVICE SALES","GP",I1101="PARTS SALES","GP",I1101="SERVICE COS","GP",I1101="PARTS COS","GP",I1101="SELLING EXPENSES","Selling Expenses",I1101="EMPLOYMENT EXPENSES","Selling Expenses",I1101="EMPLOYMENT EXPENSES","Selling Expenses",I1101="DIRECT EXPENSES","Selling Expenses",I1101="INDIRECT EXPENSES","Selling Expenses"),P1101="Parts",_xlfn.IFS(I1101="SALES","GP",I1101="SERVICE SALES","GP",I1101="PARTS SALES","GP",I1101="SERVICE COS","GP",I1101="PARTS COS","GP",I1101="SELLING EXPENSES","Selling Expenses",I1101="EMPLOYMENT EXPENSES","Selling Expenses",I1101="EMPLOYMENT EXPENSES","Selling Expenses",I1101="DIRECT EXPENSES","Selling Expenses",I1101="INDIRECT EXPENSES","Selling Expenses"))</f>
        <v>#N/A</v>
      </c>
    </row>
    <row r="1102" spans="1:18" x14ac:dyDescent="0.2">
      <c r="A1102" s="75">
        <v>7211</v>
      </c>
      <c r="B1102" s="76" t="s">
        <v>928</v>
      </c>
      <c r="C1102" s="76">
        <v>110</v>
      </c>
      <c r="D1102" s="76" t="s">
        <v>430</v>
      </c>
      <c r="E1102" s="76" t="s">
        <v>426</v>
      </c>
      <c r="F1102" s="77">
        <v>3037.32</v>
      </c>
      <c r="G1102" s="77">
        <v>1471.21</v>
      </c>
      <c r="H1102" s="77">
        <v>4508.53</v>
      </c>
      <c r="I1102" s="76" t="s">
        <v>925</v>
      </c>
      <c r="J1102" s="77">
        <v>890.42</v>
      </c>
      <c r="K1102" s="78">
        <v>6856.43</v>
      </c>
      <c r="M1102" s="79" t="str">
        <f t="shared" si="53"/>
        <v>110-7211</v>
      </c>
      <c r="N1102" s="79" t="str">
        <f t="shared" si="51"/>
        <v/>
      </c>
      <c r="O1102" s="79" t="str">
        <f t="shared" si="52"/>
        <v>110</v>
      </c>
      <c r="P1102" s="79" t="str">
        <f>IFERROR(VLOOKUP($M1102,Export!$P:$R,2,FALSE),"-")</f>
        <v>New Vehicle</v>
      </c>
      <c r="Q1102" s="79" t="str">
        <f>IFERROR(VLOOKUP($M1102,Export!$P:$R,3,FALSE),"-")</f>
        <v>New VehicleSalaries &amp; Wages p.u.</v>
      </c>
      <c r="R1102" s="80" t="e" cm="1">
        <f t="array" ref="R1102">_xlfn.IFS(P1102="Service", _xlfn.IFS(I1102="SALES","GP",I1102="SERVICE SALES","GP",I1102="PARTS SALES","GP",I1102="SERVICE COS","GP",I1102="PARTS COS","GP",I1102="SELLING EXPENSES","Selling Expenses",I1102="EMPLOYMENT EXPENSES","Selling Expenses",I1102="EMPLOYMENT EXPENSES","Selling Expenses",I1102="DIRECT EXPENSES","Selling Expenses",I1102="INDIRECT EXPENSES","Selling Expenses"),P1102="Parts",_xlfn.IFS(I1102="SALES","GP",I1102="SERVICE SALES","GP",I1102="PARTS SALES","GP",I1102="SERVICE COS","GP",I1102="PARTS COS","GP",I1102="SELLING EXPENSES","Selling Expenses",I1102="EMPLOYMENT EXPENSES","Selling Expenses",I1102="EMPLOYMENT EXPENSES","Selling Expenses",I1102="DIRECT EXPENSES","Selling Expenses",I1102="INDIRECT EXPENSES","Selling Expenses"))</f>
        <v>#N/A</v>
      </c>
    </row>
    <row r="1103" spans="1:18" x14ac:dyDescent="0.2">
      <c r="A1103" s="75">
        <v>7211</v>
      </c>
      <c r="B1103" s="76" t="s">
        <v>928</v>
      </c>
      <c r="C1103" s="76">
        <v>112</v>
      </c>
      <c r="D1103" s="76" t="s">
        <v>349</v>
      </c>
      <c r="E1103" s="76" t="s">
        <v>426</v>
      </c>
      <c r="F1103" s="77">
        <v>2456.09</v>
      </c>
      <c r="G1103" s="77">
        <v>3179.21</v>
      </c>
      <c r="H1103" s="77">
        <v>5635.3</v>
      </c>
      <c r="I1103" s="76" t="s">
        <v>925</v>
      </c>
      <c r="J1103" s="77">
        <v>100</v>
      </c>
      <c r="K1103" s="78">
        <v>1137.98</v>
      </c>
      <c r="M1103" s="79" t="str">
        <f t="shared" si="53"/>
        <v>112-7211</v>
      </c>
      <c r="N1103" s="79" t="str">
        <f t="shared" si="51"/>
        <v/>
      </c>
      <c r="O1103" s="79" t="str">
        <f t="shared" si="52"/>
        <v>112</v>
      </c>
      <c r="P1103" s="79" t="str">
        <f>IFERROR(VLOOKUP($M1103,Export!$P:$R,2,FALSE),"-")</f>
        <v>LEX New Vehicle</v>
      </c>
      <c r="Q1103" s="79" t="str">
        <f>IFERROR(VLOOKUP($M1103,Export!$P:$R,3,FALSE),"-")</f>
        <v>LEX New VehicleSalaries &amp; Wages p.u.</v>
      </c>
      <c r="R1103" s="80" t="e" cm="1">
        <f t="array" ref="R1103">_xlfn.IFS(P1103="Service", _xlfn.IFS(I1103="SALES","GP",I1103="SERVICE SALES","GP",I1103="PARTS SALES","GP",I1103="SERVICE COS","GP",I1103="PARTS COS","GP",I1103="SELLING EXPENSES","Selling Expenses",I1103="EMPLOYMENT EXPENSES","Selling Expenses",I1103="EMPLOYMENT EXPENSES","Selling Expenses",I1103="DIRECT EXPENSES","Selling Expenses",I1103="INDIRECT EXPENSES","Selling Expenses"),P1103="Parts",_xlfn.IFS(I1103="SALES","GP",I1103="SERVICE SALES","GP",I1103="PARTS SALES","GP",I1103="SERVICE COS","GP",I1103="PARTS COS","GP",I1103="SELLING EXPENSES","Selling Expenses",I1103="EMPLOYMENT EXPENSES","Selling Expenses",I1103="EMPLOYMENT EXPENSES","Selling Expenses",I1103="DIRECT EXPENSES","Selling Expenses",I1103="INDIRECT EXPENSES","Selling Expenses"))</f>
        <v>#N/A</v>
      </c>
    </row>
    <row r="1104" spans="1:18" x14ac:dyDescent="0.2">
      <c r="A1104" s="75">
        <v>7211</v>
      </c>
      <c r="B1104" s="76" t="s">
        <v>928</v>
      </c>
      <c r="C1104" s="76">
        <v>120</v>
      </c>
      <c r="D1104" s="76" t="s">
        <v>431</v>
      </c>
      <c r="E1104" s="76" t="s">
        <v>426</v>
      </c>
      <c r="F1104" s="77">
        <v>1768.75</v>
      </c>
      <c r="G1104" s="77">
        <v>1961.53</v>
      </c>
      <c r="H1104" s="77">
        <v>3730.28</v>
      </c>
      <c r="I1104" s="76" t="s">
        <v>925</v>
      </c>
      <c r="J1104" s="77">
        <v>511.27</v>
      </c>
      <c r="K1104" s="78">
        <v>3092.62</v>
      </c>
      <c r="M1104" s="79" t="str">
        <f t="shared" si="53"/>
        <v>120-7211</v>
      </c>
      <c r="N1104" s="79" t="str">
        <f t="shared" si="51"/>
        <v/>
      </c>
      <c r="O1104" s="79" t="str">
        <f t="shared" si="52"/>
        <v>120</v>
      </c>
      <c r="P1104" s="79" t="str">
        <f>IFERROR(VLOOKUP($M1104,Export!$P:$R,2,FALSE),"-")</f>
        <v>Used Vehicle</v>
      </c>
      <c r="Q1104" s="79" t="str">
        <f>IFERROR(VLOOKUP($M1104,Export!$P:$R,3,FALSE),"-")</f>
        <v>Used VehicleSalaries &amp; Wages per retail</v>
      </c>
      <c r="R1104" s="80" t="e" cm="1">
        <f t="array" ref="R1104">_xlfn.IFS(P1104="Service", _xlfn.IFS(I1104="SALES","GP",I1104="SERVICE SALES","GP",I1104="PARTS SALES","GP",I1104="SERVICE COS","GP",I1104="PARTS COS","GP",I1104="SELLING EXPENSES","Selling Expenses",I1104="EMPLOYMENT EXPENSES","Selling Expenses",I1104="EMPLOYMENT EXPENSES","Selling Expenses",I1104="DIRECT EXPENSES","Selling Expenses",I1104="INDIRECT EXPENSES","Selling Expenses"),P1104="Parts",_xlfn.IFS(I1104="SALES","GP",I1104="SERVICE SALES","GP",I1104="PARTS SALES","GP",I1104="SERVICE COS","GP",I1104="PARTS COS","GP",I1104="SELLING EXPENSES","Selling Expenses",I1104="EMPLOYMENT EXPENSES","Selling Expenses",I1104="EMPLOYMENT EXPENSES","Selling Expenses",I1104="DIRECT EXPENSES","Selling Expenses",I1104="INDIRECT EXPENSES","Selling Expenses"))</f>
        <v>#N/A</v>
      </c>
    </row>
    <row r="1105" spans="1:18" x14ac:dyDescent="0.2">
      <c r="A1105" s="75">
        <v>7211</v>
      </c>
      <c r="B1105" s="76" t="s">
        <v>928</v>
      </c>
      <c r="C1105" s="76">
        <v>121</v>
      </c>
      <c r="D1105" s="76" t="s">
        <v>449</v>
      </c>
      <c r="E1105" s="76" t="s">
        <v>426</v>
      </c>
      <c r="F1105" s="77">
        <v>1403.85</v>
      </c>
      <c r="G1105" s="77">
        <v>1961.53</v>
      </c>
      <c r="H1105" s="77">
        <v>3365.38</v>
      </c>
      <c r="I1105" s="76" t="s">
        <v>925</v>
      </c>
      <c r="J1105" s="77">
        <v>200</v>
      </c>
      <c r="K1105" s="78">
        <v>1200</v>
      </c>
      <c r="M1105" s="79" t="str">
        <f t="shared" si="53"/>
        <v>121-7211</v>
      </c>
      <c r="N1105" s="79" t="str">
        <f t="shared" si="51"/>
        <v/>
      </c>
      <c r="O1105" s="79" t="str">
        <f t="shared" si="52"/>
        <v>121</v>
      </c>
      <c r="P1105" s="79" t="str">
        <f>IFERROR(VLOOKUP($M1105,Export!$P:$R,2,FALSE),"-")</f>
        <v>Used Vehicle</v>
      </c>
      <c r="Q1105" s="79" t="str">
        <f>IFERROR(VLOOKUP($M1105,Export!$P:$R,3,FALSE),"-")</f>
        <v>Used VehicleSalaries &amp; Wages per retail</v>
      </c>
      <c r="R1105" s="80" t="e" cm="1">
        <f t="array" ref="R1105">_xlfn.IFS(P1105="Service", _xlfn.IFS(I1105="SALES","GP",I1105="SERVICE SALES","GP",I1105="PARTS SALES","GP",I1105="SERVICE COS","GP",I1105="PARTS COS","GP",I1105="SELLING EXPENSES","Selling Expenses",I1105="EMPLOYMENT EXPENSES","Selling Expenses",I1105="EMPLOYMENT EXPENSES","Selling Expenses",I1105="DIRECT EXPENSES","Selling Expenses",I1105="INDIRECT EXPENSES","Selling Expenses"),P1105="Parts",_xlfn.IFS(I1105="SALES","GP",I1105="SERVICE SALES","GP",I1105="PARTS SALES","GP",I1105="SERVICE COS","GP",I1105="PARTS COS","GP",I1105="SELLING EXPENSES","Selling Expenses",I1105="EMPLOYMENT EXPENSES","Selling Expenses",I1105="EMPLOYMENT EXPENSES","Selling Expenses",I1105="DIRECT EXPENSES","Selling Expenses",I1105="INDIRECT EXPENSES","Selling Expenses"))</f>
        <v>#N/A</v>
      </c>
    </row>
    <row r="1106" spans="1:18" x14ac:dyDescent="0.2">
      <c r="A1106" s="75">
        <v>7211</v>
      </c>
      <c r="B1106" s="76" t="s">
        <v>928</v>
      </c>
      <c r="C1106" s="76">
        <v>122</v>
      </c>
      <c r="D1106" s="76" t="s">
        <v>452</v>
      </c>
      <c r="E1106" s="76" t="s">
        <v>426</v>
      </c>
      <c r="F1106" s="77">
        <v>317.31</v>
      </c>
      <c r="G1106" s="77">
        <v>101.54</v>
      </c>
      <c r="H1106" s="77">
        <v>418.85</v>
      </c>
      <c r="I1106" s="76" t="s">
        <v>925</v>
      </c>
      <c r="J1106" s="77">
        <v>0</v>
      </c>
      <c r="K1106" s="78">
        <v>0</v>
      </c>
      <c r="M1106" s="79" t="str">
        <f t="shared" si="53"/>
        <v>122-7211</v>
      </c>
      <c r="N1106" s="79" t="str">
        <f t="shared" si="51"/>
        <v/>
      </c>
      <c r="O1106" s="79" t="str">
        <f t="shared" si="52"/>
        <v>122</v>
      </c>
      <c r="P1106" s="79" t="str">
        <f>IFERROR(VLOOKUP($M1106,Export!$P:$R,2,FALSE),"-")</f>
        <v>LEX Used Vehicle</v>
      </c>
      <c r="Q1106" s="79" t="str">
        <f>IFERROR(VLOOKUP($M1106,Export!$P:$R,3,FALSE),"-")</f>
        <v>LEX Used VehicleSalaries &amp; Wages per retail</v>
      </c>
      <c r="R1106" s="80" t="e" cm="1">
        <f t="array" ref="R1106">_xlfn.IFS(P1106="Service", _xlfn.IFS(I1106="SALES","GP",I1106="SERVICE SALES","GP",I1106="PARTS SALES","GP",I1106="SERVICE COS","GP",I1106="PARTS COS","GP",I1106="SELLING EXPENSES","Selling Expenses",I1106="EMPLOYMENT EXPENSES","Selling Expenses",I1106="EMPLOYMENT EXPENSES","Selling Expenses",I1106="DIRECT EXPENSES","Selling Expenses",I1106="INDIRECT EXPENSES","Selling Expenses"),P1106="Parts",_xlfn.IFS(I1106="SALES","GP",I1106="SERVICE SALES","GP",I1106="PARTS SALES","GP",I1106="SERVICE COS","GP",I1106="PARTS COS","GP",I1106="SELLING EXPENSES","Selling Expenses",I1106="EMPLOYMENT EXPENSES","Selling Expenses",I1106="EMPLOYMENT EXPENSES","Selling Expenses",I1106="DIRECT EXPENSES","Selling Expenses",I1106="INDIRECT EXPENSES","Selling Expenses"))</f>
        <v>#N/A</v>
      </c>
    </row>
    <row r="1107" spans="1:18" x14ac:dyDescent="0.2">
      <c r="A1107" s="75">
        <v>7211</v>
      </c>
      <c r="B1107" s="76" t="s">
        <v>928</v>
      </c>
      <c r="C1107" s="76">
        <v>130</v>
      </c>
      <c r="D1107" s="76" t="s">
        <v>432</v>
      </c>
      <c r="E1107" s="76" t="s">
        <v>426</v>
      </c>
      <c r="F1107" s="77">
        <v>19723.8</v>
      </c>
      <c r="G1107" s="77">
        <v>247.13</v>
      </c>
      <c r="H1107" s="77">
        <v>19970.93</v>
      </c>
      <c r="I1107" s="76" t="s">
        <v>925</v>
      </c>
      <c r="J1107" s="77">
        <v>1335.94</v>
      </c>
      <c r="K1107" s="78">
        <v>17048.71</v>
      </c>
      <c r="M1107" s="79" t="str">
        <f t="shared" si="53"/>
        <v>130-7211</v>
      </c>
      <c r="N1107" s="79" t="str">
        <f t="shared" si="51"/>
        <v/>
      </c>
      <c r="O1107" s="79" t="str">
        <f t="shared" si="52"/>
        <v>130</v>
      </c>
      <c r="P1107" s="79" t="str">
        <f>IFERROR(VLOOKUP($M1107,Export!$P:$R,2,FALSE),"-")</f>
        <v>Parts</v>
      </c>
      <c r="Q1107" s="79" t="str">
        <f>IFERROR(VLOOKUP($M1107,Export!$P:$R,3,FALSE),"-")</f>
        <v>PartsSalaries &amp; Commission as % of Sales</v>
      </c>
      <c r="R1107" s="80" t="str" cm="1">
        <f t="array" ref="R1107">_xlfn.IFS(P1107="Service", _xlfn.IFS(I1107="SALES","GP",I1107="SERVICE SALES","GP",I1107="PARTS SALES","GP",I1107="SERVICE COS","GP",I1107="PARTS COS","GP",I1107="SELLING EXPENSES","Selling Expenses",I1107="EMPLOYMENT EXPENSES","Selling Expenses",I1107="EMPLOYMENT EXPENSES","Selling Expenses",I1107="DIRECT EXPENSES","Selling Expenses",I1107="INDIRECT EXPENSES","Selling Expenses"),P1107="Parts",_xlfn.IFS(I1107="SALES","GP",I1107="SERVICE SALES","GP",I1107="PARTS SALES","GP",I1107="SERVICE COS","GP",I1107="PARTS COS","GP",I1107="SELLING EXPENSES","Selling Expenses",I1107="EMPLOYMENT EXPENSES","Selling Expenses",I1107="EMPLOYMENT EXPENSES","Selling Expenses",I1107="DIRECT EXPENSES","Selling Expenses",I1107="INDIRECT EXPENSES","Selling Expenses"))</f>
        <v>Selling Expenses</v>
      </c>
    </row>
    <row r="1108" spans="1:18" x14ac:dyDescent="0.2">
      <c r="A1108" s="75">
        <v>7211</v>
      </c>
      <c r="B1108" s="76" t="s">
        <v>928</v>
      </c>
      <c r="C1108" s="76">
        <v>140</v>
      </c>
      <c r="D1108" s="76" t="s">
        <v>433</v>
      </c>
      <c r="E1108" s="76" t="s">
        <v>426</v>
      </c>
      <c r="F1108" s="77">
        <v>56608.45</v>
      </c>
      <c r="G1108" s="77">
        <v>8568.73</v>
      </c>
      <c r="H1108" s="77">
        <v>65177.18</v>
      </c>
      <c r="I1108" s="76" t="s">
        <v>925</v>
      </c>
      <c r="J1108" s="77">
        <v>4625</v>
      </c>
      <c r="K1108" s="78">
        <v>60646.89</v>
      </c>
      <c r="M1108" s="79" t="str">
        <f t="shared" si="53"/>
        <v>140-7211</v>
      </c>
      <c r="N1108" s="79" t="str">
        <f t="shared" si="51"/>
        <v/>
      </c>
      <c r="O1108" s="79" t="str">
        <f t="shared" si="52"/>
        <v>140</v>
      </c>
      <c r="P1108" s="79" t="str">
        <f>IFERROR(VLOOKUP($M1108,Export!$P:$R,2,FALSE),"-")</f>
        <v>Service</v>
      </c>
      <c r="Q1108" s="79" t="str">
        <f>IFERROR(VLOOKUP($M1108,Export!$P:$R,3,FALSE),"-")</f>
        <v>ServiceSalaries, Commission &amp; Leave as % of Sales</v>
      </c>
      <c r="R1108" s="80" t="str" cm="1">
        <f t="array" ref="R1108">_xlfn.IFS(P1108="Service", _xlfn.IFS(I1108="SALES","GP",I1108="SERVICE SALES","GP",I1108="PARTS SALES","GP",I1108="SERVICE COS","GP",I1108="PARTS COS","GP",I1108="SELLING EXPENSES","Selling Expenses",I1108="EMPLOYMENT EXPENSES","Selling Expenses",I1108="EMPLOYMENT EXPENSES","Selling Expenses",I1108="DIRECT EXPENSES","Selling Expenses",I1108="INDIRECT EXPENSES","Selling Expenses"),P1108="Parts",_xlfn.IFS(I1108="SALES","GP",I1108="SERVICE SALES","GP",I1108="PARTS SALES","GP",I1108="SERVICE COS","GP",I1108="PARTS COS","GP",I1108="SELLING EXPENSES","Selling Expenses",I1108="EMPLOYMENT EXPENSES","Selling Expenses",I1108="EMPLOYMENT EXPENSES","Selling Expenses",I1108="DIRECT EXPENSES","Selling Expenses",I1108="INDIRECT EXPENSES","Selling Expenses"))</f>
        <v>Selling Expenses</v>
      </c>
    </row>
    <row r="1109" spans="1:18" x14ac:dyDescent="0.2">
      <c r="A1109" s="75">
        <v>7211</v>
      </c>
      <c r="B1109" s="76" t="s">
        <v>928</v>
      </c>
      <c r="C1109" s="76">
        <v>142</v>
      </c>
      <c r="D1109" s="76" t="s">
        <v>454</v>
      </c>
      <c r="E1109" s="76" t="s">
        <v>426</v>
      </c>
      <c r="F1109" s="77">
        <v>22548.03</v>
      </c>
      <c r="G1109" s="77">
        <v>470.94</v>
      </c>
      <c r="H1109" s="77">
        <v>23018.97</v>
      </c>
      <c r="I1109" s="76" t="s">
        <v>925</v>
      </c>
      <c r="J1109" s="77">
        <v>4625</v>
      </c>
      <c r="K1109" s="78">
        <v>29474.7</v>
      </c>
      <c r="M1109" s="79" t="str">
        <f t="shared" si="53"/>
        <v>142-7211</v>
      </c>
      <c r="N1109" s="79" t="str">
        <f t="shared" si="51"/>
        <v/>
      </c>
      <c r="O1109" s="79" t="str">
        <f t="shared" si="52"/>
        <v>142</v>
      </c>
      <c r="P1109" s="79" t="str">
        <f>IFERROR(VLOOKUP($M1109,Export!$P:$R,2,FALSE),"-")</f>
        <v>Lex Service</v>
      </c>
      <c r="Q1109" s="79" t="str">
        <f>IFERROR(VLOOKUP($M1109,Export!$P:$R,3,FALSE),"-")</f>
        <v>Lex ServiceSalaries, Commission &amp; Leave as % of Sales</v>
      </c>
      <c r="R1109" s="80" t="e" cm="1">
        <f t="array" ref="R1109">_xlfn.IFS(P1109="Service", _xlfn.IFS(I1109="SALES","GP",I1109="SERVICE SALES","GP",I1109="PARTS SALES","GP",I1109="SERVICE COS","GP",I1109="PARTS COS","GP",I1109="SELLING EXPENSES","Selling Expenses",I1109="EMPLOYMENT EXPENSES","Selling Expenses",I1109="EMPLOYMENT EXPENSES","Selling Expenses",I1109="DIRECT EXPENSES","Selling Expenses",I1109="INDIRECT EXPENSES","Selling Expenses"),P1109="Parts",_xlfn.IFS(I1109="SALES","GP",I1109="SERVICE SALES","GP",I1109="PARTS SALES","GP",I1109="SERVICE COS","GP",I1109="PARTS COS","GP",I1109="SELLING EXPENSES","Selling Expenses",I1109="EMPLOYMENT EXPENSES","Selling Expenses",I1109="EMPLOYMENT EXPENSES","Selling Expenses",I1109="DIRECT EXPENSES","Selling Expenses",I1109="INDIRECT EXPENSES","Selling Expenses"))</f>
        <v>#N/A</v>
      </c>
    </row>
    <row r="1110" spans="1:18" x14ac:dyDescent="0.2">
      <c r="A1110" s="75">
        <v>7211</v>
      </c>
      <c r="B1110" s="76" t="s">
        <v>928</v>
      </c>
      <c r="C1110" s="76">
        <v>147</v>
      </c>
      <c r="D1110" s="76" t="s">
        <v>699</v>
      </c>
      <c r="E1110" s="76" t="s">
        <v>426</v>
      </c>
      <c r="F1110" s="77">
        <v>0</v>
      </c>
      <c r="G1110" s="77">
        <v>0</v>
      </c>
      <c r="H1110" s="77">
        <v>0</v>
      </c>
      <c r="I1110" s="76" t="s">
        <v>925</v>
      </c>
      <c r="J1110" s="77">
        <v>850</v>
      </c>
      <c r="K1110" s="78">
        <v>8439.02</v>
      </c>
      <c r="M1110" s="79" t="str">
        <f t="shared" si="53"/>
        <v>147-7211</v>
      </c>
      <c r="N1110" s="79" t="str">
        <f t="shared" si="51"/>
        <v/>
      </c>
      <c r="O1110" s="79" t="str">
        <f t="shared" si="52"/>
        <v>147</v>
      </c>
      <c r="P1110" s="79" t="str">
        <f>IFERROR(VLOOKUP($M1110,Export!$P:$R,2,FALSE),"-")</f>
        <v>Service</v>
      </c>
      <c r="Q1110" s="79" t="str">
        <f>IFERROR(VLOOKUP($M1110,Export!$P:$R,3,FALSE),"-")</f>
        <v>ServiceSalaries, Commission &amp; Leave as % of Sales</v>
      </c>
      <c r="R1110" s="80" t="str" cm="1">
        <f t="array" ref="R1110">_xlfn.IFS(P1110="Service", _xlfn.IFS(I1110="SALES","GP",I1110="SERVICE SALES","GP",I1110="PARTS SALES","GP",I1110="SERVICE COS","GP",I1110="PARTS COS","GP",I1110="SELLING EXPENSES","Selling Expenses",I1110="EMPLOYMENT EXPENSES","Selling Expenses",I1110="EMPLOYMENT EXPENSES","Selling Expenses",I1110="DIRECT EXPENSES","Selling Expenses",I1110="INDIRECT EXPENSES","Selling Expenses"),P1110="Parts",_xlfn.IFS(I1110="SALES","GP",I1110="SERVICE SALES","GP",I1110="PARTS SALES","GP",I1110="SERVICE COS","GP",I1110="PARTS COS","GP",I1110="SELLING EXPENSES","Selling Expenses",I1110="EMPLOYMENT EXPENSES","Selling Expenses",I1110="EMPLOYMENT EXPENSES","Selling Expenses",I1110="DIRECT EXPENSES","Selling Expenses",I1110="INDIRECT EXPENSES","Selling Expenses"))</f>
        <v>Selling Expenses</v>
      </c>
    </row>
    <row r="1111" spans="1:18" x14ac:dyDescent="0.2">
      <c r="A1111" s="75">
        <v>7211</v>
      </c>
      <c r="B1111" s="76" t="s">
        <v>928</v>
      </c>
      <c r="C1111" s="76">
        <v>150</v>
      </c>
      <c r="D1111" s="76" t="s">
        <v>700</v>
      </c>
      <c r="E1111" s="76" t="s">
        <v>426</v>
      </c>
      <c r="F1111" s="77">
        <v>6116.38</v>
      </c>
      <c r="G1111" s="77">
        <v>1161.9000000000001</v>
      </c>
      <c r="H1111" s="77">
        <v>7278.28</v>
      </c>
      <c r="I1111" s="76" t="s">
        <v>925</v>
      </c>
      <c r="J1111" s="77">
        <v>0</v>
      </c>
      <c r="K1111" s="78">
        <v>0</v>
      </c>
      <c r="M1111" s="79" t="str">
        <f t="shared" si="53"/>
        <v>150-7211</v>
      </c>
      <c r="N1111" s="79" t="str">
        <f t="shared" si="51"/>
        <v/>
      </c>
      <c r="O1111" s="79" t="str">
        <f t="shared" si="52"/>
        <v>150</v>
      </c>
      <c r="P1111" s="79" t="str">
        <f>IFERROR(VLOOKUP($M1111,Export!$P:$R,2,FALSE),"-")</f>
        <v>Retail Detailing</v>
      </c>
      <c r="Q1111" s="79" t="str">
        <f>IFERROR(VLOOKUP($M1111,Export!$P:$R,3,FALSE),"-")</f>
        <v>Retail DetailingSalaries, Commission &amp; Leave as % of Sales</v>
      </c>
      <c r="R1111" s="80" t="e" cm="1">
        <f t="array" ref="R1111">_xlfn.IFS(P1111="Service", _xlfn.IFS(I1111="SALES","GP",I1111="SERVICE SALES","GP",I1111="PARTS SALES","GP",I1111="SERVICE COS","GP",I1111="PARTS COS","GP",I1111="SELLING EXPENSES","Selling Expenses",I1111="EMPLOYMENT EXPENSES","Selling Expenses",I1111="EMPLOYMENT EXPENSES","Selling Expenses",I1111="DIRECT EXPENSES","Selling Expenses",I1111="INDIRECT EXPENSES","Selling Expenses"),P1111="Parts",_xlfn.IFS(I1111="SALES","GP",I1111="SERVICE SALES","GP",I1111="PARTS SALES","GP",I1111="SERVICE COS","GP",I1111="PARTS COS","GP",I1111="SELLING EXPENSES","Selling Expenses",I1111="EMPLOYMENT EXPENSES","Selling Expenses",I1111="EMPLOYMENT EXPENSES","Selling Expenses",I1111="DIRECT EXPENSES","Selling Expenses",I1111="INDIRECT EXPENSES","Selling Expenses"))</f>
        <v>#N/A</v>
      </c>
    </row>
    <row r="1112" spans="1:18" x14ac:dyDescent="0.2">
      <c r="A1112" s="75">
        <v>7211</v>
      </c>
      <c r="B1112" s="76" t="s">
        <v>928</v>
      </c>
      <c r="C1112" s="76">
        <v>160</v>
      </c>
      <c r="D1112" s="76" t="s">
        <v>434</v>
      </c>
      <c r="E1112" s="76" t="s">
        <v>426</v>
      </c>
      <c r="F1112" s="77">
        <v>284.14</v>
      </c>
      <c r="G1112" s="77">
        <v>1701.91</v>
      </c>
      <c r="H1112" s="77">
        <v>1986.05</v>
      </c>
      <c r="I1112" s="76" t="s">
        <v>925</v>
      </c>
      <c r="J1112" s="77">
        <v>131.31</v>
      </c>
      <c r="K1112" s="78">
        <v>816.3</v>
      </c>
      <c r="M1112" s="79" t="str">
        <f t="shared" si="53"/>
        <v>160-7211</v>
      </c>
      <c r="N1112" s="79" t="str">
        <f t="shared" si="51"/>
        <v/>
      </c>
      <c r="O1112" s="79" t="str">
        <f t="shared" si="52"/>
        <v>160</v>
      </c>
      <c r="P1112" s="79" t="str">
        <f>IFERROR(VLOOKUP($M1112,Export!$P:$R,2,FALSE),"-")</f>
        <v>F&amp;I</v>
      </c>
      <c r="Q1112" s="79" t="str">
        <f>IFERROR(VLOOKUP($M1112,Export!$P:$R,3,FALSE),"-")</f>
        <v>F&amp;ISalaries &amp; Commission per vehicle retailed</v>
      </c>
      <c r="R1112" s="80" t="e" cm="1">
        <f t="array" ref="R1112">_xlfn.IFS(P1112="Service", _xlfn.IFS(I1112="SALES","GP",I1112="SERVICE SALES","GP",I1112="PARTS SALES","GP",I1112="SERVICE COS","GP",I1112="PARTS COS","GP",I1112="SELLING EXPENSES","Selling Expenses",I1112="EMPLOYMENT EXPENSES","Selling Expenses",I1112="EMPLOYMENT EXPENSES","Selling Expenses",I1112="DIRECT EXPENSES","Selling Expenses",I1112="INDIRECT EXPENSES","Selling Expenses"),P1112="Parts",_xlfn.IFS(I1112="SALES","GP",I1112="SERVICE SALES","GP",I1112="PARTS SALES","GP",I1112="SERVICE COS","GP",I1112="PARTS COS","GP",I1112="SELLING EXPENSES","Selling Expenses",I1112="EMPLOYMENT EXPENSES","Selling Expenses",I1112="EMPLOYMENT EXPENSES","Selling Expenses",I1112="DIRECT EXPENSES","Selling Expenses",I1112="INDIRECT EXPENSES","Selling Expenses"))</f>
        <v>#N/A</v>
      </c>
    </row>
    <row r="1113" spans="1:18" x14ac:dyDescent="0.2">
      <c r="A1113" s="75">
        <v>7211</v>
      </c>
      <c r="B1113" s="76" t="s">
        <v>928</v>
      </c>
      <c r="C1113" s="76">
        <v>210</v>
      </c>
      <c r="D1113" s="76" t="s">
        <v>436</v>
      </c>
      <c r="E1113" s="76" t="s">
        <v>426</v>
      </c>
      <c r="F1113" s="77">
        <v>3889.85</v>
      </c>
      <c r="G1113" s="77">
        <v>0</v>
      </c>
      <c r="H1113" s="77">
        <v>3889.85</v>
      </c>
      <c r="I1113" s="76" t="s">
        <v>925</v>
      </c>
      <c r="J1113" s="77">
        <v>422.2</v>
      </c>
      <c r="K1113" s="78">
        <v>3673.01</v>
      </c>
      <c r="M1113" s="79" t="str">
        <f t="shared" si="53"/>
        <v>210-7211</v>
      </c>
      <c r="N1113" s="79" t="str">
        <f t="shared" si="51"/>
        <v/>
      </c>
      <c r="O1113" s="79" t="str">
        <f t="shared" si="52"/>
        <v>210</v>
      </c>
      <c r="P1113" s="79" t="str">
        <f>IFERROR(VLOOKUP($M1113,Export!$P:$R,2,FALSE),"-")</f>
        <v>New Vehicle</v>
      </c>
      <c r="Q1113" s="79" t="str">
        <f>IFERROR(VLOOKUP($M1113,Export!$P:$R,3,FALSE),"-")</f>
        <v>New VehicleSalaries &amp; Wages p.u.</v>
      </c>
      <c r="R1113" s="80" t="e" cm="1">
        <f t="array" ref="R1113">_xlfn.IFS(P1113="Service", _xlfn.IFS(I1113="SALES","GP",I1113="SERVICE SALES","GP",I1113="PARTS SALES","GP",I1113="SERVICE COS","GP",I1113="PARTS COS","GP",I1113="SELLING EXPENSES","Selling Expenses",I1113="EMPLOYMENT EXPENSES","Selling Expenses",I1113="EMPLOYMENT EXPENSES","Selling Expenses",I1113="DIRECT EXPENSES","Selling Expenses",I1113="INDIRECT EXPENSES","Selling Expenses"),P1113="Parts",_xlfn.IFS(I1113="SALES","GP",I1113="SERVICE SALES","GP",I1113="PARTS SALES","GP",I1113="SERVICE COS","GP",I1113="PARTS COS","GP",I1113="SELLING EXPENSES","Selling Expenses",I1113="EMPLOYMENT EXPENSES","Selling Expenses",I1113="EMPLOYMENT EXPENSES","Selling Expenses",I1113="DIRECT EXPENSES","Selling Expenses",I1113="INDIRECT EXPENSES","Selling Expenses"))</f>
        <v>#N/A</v>
      </c>
    </row>
    <row r="1114" spans="1:18" x14ac:dyDescent="0.2">
      <c r="A1114" s="75">
        <v>7211</v>
      </c>
      <c r="B1114" s="76" t="s">
        <v>928</v>
      </c>
      <c r="C1114" s="76">
        <v>220</v>
      </c>
      <c r="D1114" s="76" t="s">
        <v>437</v>
      </c>
      <c r="E1114" s="76" t="s">
        <v>426</v>
      </c>
      <c r="F1114" s="77">
        <v>3848.18</v>
      </c>
      <c r="G1114" s="77">
        <v>561.65</v>
      </c>
      <c r="H1114" s="77">
        <v>4409.83</v>
      </c>
      <c r="I1114" s="76" t="s">
        <v>925</v>
      </c>
      <c r="J1114" s="77">
        <v>65.94</v>
      </c>
      <c r="K1114" s="78">
        <v>5079.1899999999996</v>
      </c>
      <c r="M1114" s="79" t="str">
        <f t="shared" si="53"/>
        <v>220-7211</v>
      </c>
      <c r="N1114" s="79" t="str">
        <f t="shared" si="51"/>
        <v/>
      </c>
      <c r="O1114" s="79" t="str">
        <f t="shared" si="52"/>
        <v>220</v>
      </c>
      <c r="P1114" s="79" t="str">
        <f>IFERROR(VLOOKUP($M1114,Export!$P:$R,2,FALSE),"-")</f>
        <v>Used Vehicle</v>
      </c>
      <c r="Q1114" s="79" t="str">
        <f>IFERROR(VLOOKUP($M1114,Export!$P:$R,3,FALSE),"-")</f>
        <v>Used VehicleSalaries &amp; Wages per retail</v>
      </c>
      <c r="R1114" s="80" t="e" cm="1">
        <f t="array" ref="R1114">_xlfn.IFS(P1114="Service", _xlfn.IFS(I1114="SALES","GP",I1114="SERVICE SALES","GP",I1114="PARTS SALES","GP",I1114="SERVICE COS","GP",I1114="PARTS COS","GP",I1114="SELLING EXPENSES","Selling Expenses",I1114="EMPLOYMENT EXPENSES","Selling Expenses",I1114="EMPLOYMENT EXPENSES","Selling Expenses",I1114="DIRECT EXPENSES","Selling Expenses",I1114="INDIRECT EXPENSES","Selling Expenses"),P1114="Parts",_xlfn.IFS(I1114="SALES","GP",I1114="SERVICE SALES","GP",I1114="PARTS SALES","GP",I1114="SERVICE COS","GP",I1114="PARTS COS","GP",I1114="SELLING EXPENSES","Selling Expenses",I1114="EMPLOYMENT EXPENSES","Selling Expenses",I1114="EMPLOYMENT EXPENSES","Selling Expenses",I1114="DIRECT EXPENSES","Selling Expenses",I1114="INDIRECT EXPENSES","Selling Expenses"))</f>
        <v>#N/A</v>
      </c>
    </row>
    <row r="1115" spans="1:18" x14ac:dyDescent="0.2">
      <c r="A1115" s="75">
        <v>7211</v>
      </c>
      <c r="B1115" s="76" t="s">
        <v>928</v>
      </c>
      <c r="C1115" s="76">
        <v>230</v>
      </c>
      <c r="D1115" s="76" t="s">
        <v>438</v>
      </c>
      <c r="E1115" s="76" t="s">
        <v>426</v>
      </c>
      <c r="F1115" s="77">
        <v>5191.16</v>
      </c>
      <c r="G1115" s="77">
        <v>366.3</v>
      </c>
      <c r="H1115" s="77">
        <v>5557.46</v>
      </c>
      <c r="I1115" s="76" t="s">
        <v>925</v>
      </c>
      <c r="J1115" s="77">
        <v>237.36</v>
      </c>
      <c r="K1115" s="78">
        <v>4793.4799999999996</v>
      </c>
      <c r="M1115" s="79" t="str">
        <f t="shared" si="53"/>
        <v>230-7211</v>
      </c>
      <c r="N1115" s="79" t="str">
        <f t="shared" si="51"/>
        <v/>
      </c>
      <c r="O1115" s="79" t="str">
        <f t="shared" si="52"/>
        <v>230</v>
      </c>
      <c r="P1115" s="79" t="str">
        <f>IFERROR(VLOOKUP($M1115,Export!$P:$R,2,FALSE),"-")</f>
        <v>Parts</v>
      </c>
      <c r="Q1115" s="79" t="str">
        <f>IFERROR(VLOOKUP($M1115,Export!$P:$R,3,FALSE),"-")</f>
        <v>PartsSalaries &amp; Commission as % of Sales</v>
      </c>
      <c r="R1115" s="80" t="str" cm="1">
        <f t="array" ref="R1115">_xlfn.IFS(P1115="Service", _xlfn.IFS(I1115="SALES","GP",I1115="SERVICE SALES","GP",I1115="PARTS SALES","GP",I1115="SERVICE COS","GP",I1115="PARTS COS","GP",I1115="SELLING EXPENSES","Selling Expenses",I1115="EMPLOYMENT EXPENSES","Selling Expenses",I1115="EMPLOYMENT EXPENSES","Selling Expenses",I1115="DIRECT EXPENSES","Selling Expenses",I1115="INDIRECT EXPENSES","Selling Expenses"),P1115="Parts",_xlfn.IFS(I1115="SALES","GP",I1115="SERVICE SALES","GP",I1115="PARTS SALES","GP",I1115="SERVICE COS","GP",I1115="PARTS COS","GP",I1115="SELLING EXPENSES","Selling Expenses",I1115="EMPLOYMENT EXPENSES","Selling Expenses",I1115="EMPLOYMENT EXPENSES","Selling Expenses",I1115="DIRECT EXPENSES","Selling Expenses",I1115="INDIRECT EXPENSES","Selling Expenses"))</f>
        <v>Selling Expenses</v>
      </c>
    </row>
    <row r="1116" spans="1:18" x14ac:dyDescent="0.2">
      <c r="A1116" s="75">
        <v>7211</v>
      </c>
      <c r="B1116" s="76" t="s">
        <v>928</v>
      </c>
      <c r="C1116" s="76">
        <v>240</v>
      </c>
      <c r="D1116" s="76" t="s">
        <v>439</v>
      </c>
      <c r="E1116" s="76" t="s">
        <v>426</v>
      </c>
      <c r="F1116" s="77">
        <v>26949.61</v>
      </c>
      <c r="G1116" s="77">
        <v>680</v>
      </c>
      <c r="H1116" s="77">
        <v>27629.61</v>
      </c>
      <c r="I1116" s="76" t="s">
        <v>925</v>
      </c>
      <c r="J1116" s="77">
        <v>3500</v>
      </c>
      <c r="K1116" s="78">
        <v>35226.589999999997</v>
      </c>
      <c r="M1116" s="79" t="str">
        <f t="shared" si="53"/>
        <v>240-7211</v>
      </c>
      <c r="N1116" s="79" t="str">
        <f t="shared" si="51"/>
        <v/>
      </c>
      <c r="O1116" s="79" t="str">
        <f t="shared" si="52"/>
        <v>240</v>
      </c>
      <c r="P1116" s="79" t="str">
        <f>IFERROR(VLOOKUP($M1116,Export!$P:$R,2,FALSE),"-")</f>
        <v>Service</v>
      </c>
      <c r="Q1116" s="79" t="str">
        <f>IFERROR(VLOOKUP($M1116,Export!$P:$R,3,FALSE),"-")</f>
        <v>ServiceSalaries, Commission &amp; Leave as % of Sales</v>
      </c>
      <c r="R1116" s="80" t="str" cm="1">
        <f t="array" ref="R1116">_xlfn.IFS(P1116="Service", _xlfn.IFS(I1116="SALES","GP",I1116="SERVICE SALES","GP",I1116="PARTS SALES","GP",I1116="SERVICE COS","GP",I1116="PARTS COS","GP",I1116="SELLING EXPENSES","Selling Expenses",I1116="EMPLOYMENT EXPENSES","Selling Expenses",I1116="EMPLOYMENT EXPENSES","Selling Expenses",I1116="DIRECT EXPENSES","Selling Expenses",I1116="INDIRECT EXPENSES","Selling Expenses"),P1116="Parts",_xlfn.IFS(I1116="SALES","GP",I1116="SERVICE SALES","GP",I1116="PARTS SALES","GP",I1116="SERVICE COS","GP",I1116="PARTS COS","GP",I1116="SELLING EXPENSES","Selling Expenses",I1116="EMPLOYMENT EXPENSES","Selling Expenses",I1116="EMPLOYMENT EXPENSES","Selling Expenses",I1116="DIRECT EXPENSES","Selling Expenses",I1116="INDIRECT EXPENSES","Selling Expenses"))</f>
        <v>Selling Expenses</v>
      </c>
    </row>
    <row r="1117" spans="1:18" x14ac:dyDescent="0.2">
      <c r="A1117" s="75">
        <v>7211</v>
      </c>
      <c r="B1117" s="76" t="s">
        <v>928</v>
      </c>
      <c r="C1117" s="76">
        <v>260</v>
      </c>
      <c r="D1117" s="76" t="s">
        <v>456</v>
      </c>
      <c r="E1117" s="76" t="s">
        <v>426</v>
      </c>
      <c r="F1117" s="77">
        <v>2043.77</v>
      </c>
      <c r="G1117" s="77">
        <v>0</v>
      </c>
      <c r="H1117" s="77">
        <v>2043.77</v>
      </c>
      <c r="I1117" s="76" t="s">
        <v>925</v>
      </c>
      <c r="J1117" s="77">
        <v>35</v>
      </c>
      <c r="K1117" s="78">
        <v>1686.56</v>
      </c>
      <c r="M1117" s="79" t="str">
        <f t="shared" si="53"/>
        <v>260-7211</v>
      </c>
      <c r="N1117" s="79" t="str">
        <f t="shared" si="51"/>
        <v/>
      </c>
      <c r="O1117" s="79" t="str">
        <f t="shared" si="52"/>
        <v>260</v>
      </c>
      <c r="P1117" s="79" t="str">
        <f>IFERROR(VLOOKUP($M1117,Export!$P:$R,2,FALSE),"-")</f>
        <v>F&amp;I</v>
      </c>
      <c r="Q1117" s="79" t="str">
        <f>IFERROR(VLOOKUP($M1117,Export!$P:$R,3,FALSE),"-")</f>
        <v>F&amp;ISalaries &amp; Commission per vehicle retailed</v>
      </c>
      <c r="R1117" s="80" t="e" cm="1">
        <f t="array" ref="R1117">_xlfn.IFS(P1117="Service", _xlfn.IFS(I1117="SALES","GP",I1117="SERVICE SALES","GP",I1117="PARTS SALES","GP",I1117="SERVICE COS","GP",I1117="PARTS COS","GP",I1117="SELLING EXPENSES","Selling Expenses",I1117="EMPLOYMENT EXPENSES","Selling Expenses",I1117="EMPLOYMENT EXPENSES","Selling Expenses",I1117="DIRECT EXPENSES","Selling Expenses",I1117="INDIRECT EXPENSES","Selling Expenses"),P1117="Parts",_xlfn.IFS(I1117="SALES","GP",I1117="SERVICE SALES","GP",I1117="PARTS SALES","GP",I1117="SERVICE COS","GP",I1117="PARTS COS","GP",I1117="SELLING EXPENSES","Selling Expenses",I1117="EMPLOYMENT EXPENSES","Selling Expenses",I1117="EMPLOYMENT EXPENSES","Selling Expenses",I1117="DIRECT EXPENSES","Selling Expenses",I1117="INDIRECT EXPENSES","Selling Expenses"))</f>
        <v>#N/A</v>
      </c>
    </row>
    <row r="1118" spans="1:18" x14ac:dyDescent="0.2">
      <c r="A1118" s="75">
        <v>7211</v>
      </c>
      <c r="B1118" s="76" t="s">
        <v>928</v>
      </c>
      <c r="C1118" s="76">
        <v>330</v>
      </c>
      <c r="D1118" s="76" t="s">
        <v>457</v>
      </c>
      <c r="E1118" s="76" t="s">
        <v>426</v>
      </c>
      <c r="F1118" s="77">
        <v>2534.4</v>
      </c>
      <c r="G1118" s="77">
        <v>58.32</v>
      </c>
      <c r="H1118" s="77">
        <v>2592.7199999999998</v>
      </c>
      <c r="I1118" s="76" t="s">
        <v>925</v>
      </c>
      <c r="J1118" s="77">
        <v>22.67</v>
      </c>
      <c r="K1118" s="78">
        <v>136.02000000000001</v>
      </c>
      <c r="M1118" s="79" t="str">
        <f t="shared" si="53"/>
        <v>330-7211</v>
      </c>
      <c r="N1118" s="79" t="str">
        <f t="shared" si="51"/>
        <v/>
      </c>
      <c r="O1118" s="79" t="str">
        <f t="shared" si="52"/>
        <v>330</v>
      </c>
      <c r="P1118" s="79" t="str">
        <f>IFERROR(VLOOKUP($M1118,Export!$P:$R,2,FALSE),"-")</f>
        <v>Parts</v>
      </c>
      <c r="Q1118" s="79" t="str">
        <f>IFERROR(VLOOKUP($M1118,Export!$P:$R,3,FALSE),"-")</f>
        <v>PartsSalaries &amp; Commission as % of Sales</v>
      </c>
      <c r="R1118" s="80" t="str" cm="1">
        <f t="array" ref="R1118">_xlfn.IFS(P1118="Service", _xlfn.IFS(I1118="SALES","GP",I1118="SERVICE SALES","GP",I1118="PARTS SALES","GP",I1118="SERVICE COS","GP",I1118="PARTS COS","GP",I1118="SELLING EXPENSES","Selling Expenses",I1118="EMPLOYMENT EXPENSES","Selling Expenses",I1118="EMPLOYMENT EXPENSES","Selling Expenses",I1118="DIRECT EXPENSES","Selling Expenses",I1118="INDIRECT EXPENSES","Selling Expenses"),P1118="Parts",_xlfn.IFS(I1118="SALES","GP",I1118="SERVICE SALES","GP",I1118="PARTS SALES","GP",I1118="SERVICE COS","GP",I1118="PARTS COS","GP",I1118="SELLING EXPENSES","Selling Expenses",I1118="EMPLOYMENT EXPENSES","Selling Expenses",I1118="EMPLOYMENT EXPENSES","Selling Expenses",I1118="DIRECT EXPENSES","Selling Expenses",I1118="INDIRECT EXPENSES","Selling Expenses"))</f>
        <v>Selling Expenses</v>
      </c>
    </row>
    <row r="1119" spans="1:18" x14ac:dyDescent="0.2">
      <c r="A1119" s="75">
        <v>7211</v>
      </c>
      <c r="B1119" s="76" t="s">
        <v>928</v>
      </c>
      <c r="C1119" s="76">
        <v>340</v>
      </c>
      <c r="D1119" s="76" t="s">
        <v>440</v>
      </c>
      <c r="E1119" s="76" t="s">
        <v>426</v>
      </c>
      <c r="F1119" s="77">
        <v>19529.13</v>
      </c>
      <c r="G1119" s="77">
        <v>2519.37</v>
      </c>
      <c r="H1119" s="77">
        <v>22048.5</v>
      </c>
      <c r="I1119" s="76" t="s">
        <v>925</v>
      </c>
      <c r="J1119" s="77">
        <v>2500</v>
      </c>
      <c r="K1119" s="78">
        <v>22494.01</v>
      </c>
      <c r="M1119" s="79" t="str">
        <f t="shared" si="53"/>
        <v>340-7211</v>
      </c>
      <c r="N1119" s="79" t="str">
        <f t="shared" si="51"/>
        <v/>
      </c>
      <c r="O1119" s="79" t="str">
        <f t="shared" si="52"/>
        <v>340</v>
      </c>
      <c r="P1119" s="79" t="str">
        <f>IFERROR(VLOOKUP($M1119,Export!$P:$R,2,FALSE),"-")</f>
        <v>Service</v>
      </c>
      <c r="Q1119" s="79" t="str">
        <f>IFERROR(VLOOKUP($M1119,Export!$P:$R,3,FALSE),"-")</f>
        <v>ServiceSalaries, Commission &amp; Leave as % of Sales</v>
      </c>
      <c r="R1119" s="80" t="str" cm="1">
        <f t="array" ref="R1119">_xlfn.IFS(P1119="Service", _xlfn.IFS(I1119="SALES","GP",I1119="SERVICE SALES","GP",I1119="PARTS SALES","GP",I1119="SERVICE COS","GP",I1119="PARTS COS","GP",I1119="SELLING EXPENSES","Selling Expenses",I1119="EMPLOYMENT EXPENSES","Selling Expenses",I1119="EMPLOYMENT EXPENSES","Selling Expenses",I1119="DIRECT EXPENSES","Selling Expenses",I1119="INDIRECT EXPENSES","Selling Expenses"),P1119="Parts",_xlfn.IFS(I1119="SALES","GP",I1119="SERVICE SALES","GP",I1119="PARTS SALES","GP",I1119="SERVICE COS","GP",I1119="PARTS COS","GP",I1119="SELLING EXPENSES","Selling Expenses",I1119="EMPLOYMENT EXPENSES","Selling Expenses",I1119="EMPLOYMENT EXPENSES","Selling Expenses",I1119="DIRECT EXPENSES","Selling Expenses",I1119="INDIRECT EXPENSES","Selling Expenses"))</f>
        <v>Selling Expenses</v>
      </c>
    </row>
    <row r="1120" spans="1:18" x14ac:dyDescent="0.2">
      <c r="A1120" s="75">
        <v>7211</v>
      </c>
      <c r="B1120" s="76" t="s">
        <v>928</v>
      </c>
      <c r="C1120" s="76">
        <v>430</v>
      </c>
      <c r="D1120" s="76" t="s">
        <v>458</v>
      </c>
      <c r="E1120" s="76" t="s">
        <v>426</v>
      </c>
      <c r="F1120" s="77">
        <v>2792.38</v>
      </c>
      <c r="G1120" s="77">
        <v>2160.0500000000002</v>
      </c>
      <c r="H1120" s="77">
        <v>4952.43</v>
      </c>
      <c r="I1120" s="76" t="s">
        <v>925</v>
      </c>
      <c r="J1120" s="77">
        <v>59</v>
      </c>
      <c r="K1120" s="78">
        <v>3189.65</v>
      </c>
      <c r="M1120" s="79" t="str">
        <f t="shared" si="53"/>
        <v>430-7211</v>
      </c>
      <c r="N1120" s="79" t="str">
        <f t="shared" si="51"/>
        <v/>
      </c>
      <c r="O1120" s="79" t="str">
        <f t="shared" si="52"/>
        <v>430</v>
      </c>
      <c r="P1120" s="79" t="str">
        <f>IFERROR(VLOOKUP($M1120,Export!$P:$R,2,FALSE),"-")</f>
        <v>Parts</v>
      </c>
      <c r="Q1120" s="79" t="str">
        <f>IFERROR(VLOOKUP($M1120,Export!$P:$R,3,FALSE),"-")</f>
        <v>PartsSalaries &amp; Commission as % of Sales</v>
      </c>
      <c r="R1120" s="80" t="str" cm="1">
        <f t="array" ref="R1120">_xlfn.IFS(P1120="Service", _xlfn.IFS(I1120="SALES","GP",I1120="SERVICE SALES","GP",I1120="PARTS SALES","GP",I1120="SERVICE COS","GP",I1120="PARTS COS","GP",I1120="SELLING EXPENSES","Selling Expenses",I1120="EMPLOYMENT EXPENSES","Selling Expenses",I1120="EMPLOYMENT EXPENSES","Selling Expenses",I1120="DIRECT EXPENSES","Selling Expenses",I1120="INDIRECT EXPENSES","Selling Expenses"),P1120="Parts",_xlfn.IFS(I1120="SALES","GP",I1120="SERVICE SALES","GP",I1120="PARTS SALES","GP",I1120="SERVICE COS","GP",I1120="PARTS COS","GP",I1120="SELLING EXPENSES","Selling Expenses",I1120="EMPLOYMENT EXPENSES","Selling Expenses",I1120="EMPLOYMENT EXPENSES","Selling Expenses",I1120="DIRECT EXPENSES","Selling Expenses",I1120="INDIRECT EXPENSES","Selling Expenses"))</f>
        <v>Selling Expenses</v>
      </c>
    </row>
    <row r="1121" spans="1:18" x14ac:dyDescent="0.2">
      <c r="A1121" s="75">
        <v>7211</v>
      </c>
      <c r="B1121" s="76" t="s">
        <v>928</v>
      </c>
      <c r="C1121" s="76">
        <v>440</v>
      </c>
      <c r="D1121" s="76" t="s">
        <v>441</v>
      </c>
      <c r="E1121" s="76" t="s">
        <v>426</v>
      </c>
      <c r="F1121" s="77">
        <v>18622.939999999999</v>
      </c>
      <c r="G1121" s="77">
        <v>2808</v>
      </c>
      <c r="H1121" s="77">
        <v>21430.94</v>
      </c>
      <c r="I1121" s="76" t="s">
        <v>925</v>
      </c>
      <c r="J1121" s="77">
        <v>204.33</v>
      </c>
      <c r="K1121" s="78">
        <v>5689.11</v>
      </c>
      <c r="M1121" s="79" t="str">
        <f t="shared" si="53"/>
        <v>440-7211</v>
      </c>
      <c r="N1121" s="79" t="str">
        <f t="shared" si="51"/>
        <v/>
      </c>
      <c r="O1121" s="79" t="str">
        <f t="shared" si="52"/>
        <v>440</v>
      </c>
      <c r="P1121" s="79" t="str">
        <f>IFERROR(VLOOKUP($M1121,Export!$P:$R,2,FALSE),"-")</f>
        <v>Service</v>
      </c>
      <c r="Q1121" s="79" t="str">
        <f>IFERROR(VLOOKUP($M1121,Export!$P:$R,3,FALSE),"-")</f>
        <v>ServiceSalaries, Commission &amp; Leave as % of Sales</v>
      </c>
      <c r="R1121" s="80" t="str" cm="1">
        <f t="array" ref="R1121">_xlfn.IFS(P1121="Service", _xlfn.IFS(I1121="SALES","GP",I1121="SERVICE SALES","GP",I1121="PARTS SALES","GP",I1121="SERVICE COS","GP",I1121="PARTS COS","GP",I1121="SELLING EXPENSES","Selling Expenses",I1121="EMPLOYMENT EXPENSES","Selling Expenses",I1121="EMPLOYMENT EXPENSES","Selling Expenses",I1121="DIRECT EXPENSES","Selling Expenses",I1121="INDIRECT EXPENSES","Selling Expenses"),P1121="Parts",_xlfn.IFS(I1121="SALES","GP",I1121="SERVICE SALES","GP",I1121="PARTS SALES","GP",I1121="SERVICE COS","GP",I1121="PARTS COS","GP",I1121="SELLING EXPENSES","Selling Expenses",I1121="EMPLOYMENT EXPENSES","Selling Expenses",I1121="EMPLOYMENT EXPENSES","Selling Expenses",I1121="DIRECT EXPENSES","Selling Expenses",I1121="INDIRECT EXPENSES","Selling Expenses"))</f>
        <v>Selling Expenses</v>
      </c>
    </row>
    <row r="1122" spans="1:18" x14ac:dyDescent="0.2">
      <c r="A1122" s="75">
        <v>7211</v>
      </c>
      <c r="B1122" s="76" t="s">
        <v>928</v>
      </c>
      <c r="C1122" s="76">
        <v>935</v>
      </c>
      <c r="D1122" s="76" t="s">
        <v>442</v>
      </c>
      <c r="E1122" s="76" t="s">
        <v>426</v>
      </c>
      <c r="F1122" s="77">
        <v>81.540000000000006</v>
      </c>
      <c r="G1122" s="287">
        <v>0</v>
      </c>
      <c r="H1122" s="77">
        <v>81.540000000000006</v>
      </c>
      <c r="I1122" s="76" t="s">
        <v>925</v>
      </c>
      <c r="J1122" s="77">
        <v>351.7</v>
      </c>
      <c r="K1122" s="78">
        <v>2195</v>
      </c>
      <c r="M1122" s="79" t="str">
        <f t="shared" si="53"/>
        <v>935-7211</v>
      </c>
      <c r="N1122" s="79" t="str">
        <f t="shared" si="51"/>
        <v/>
      </c>
      <c r="O1122" s="79" t="str">
        <f t="shared" si="52"/>
        <v>935</v>
      </c>
      <c r="P1122" s="79" t="str">
        <f>IFERROR(VLOOKUP($M1122,Export!$P:$R,2,FALSE),"-")</f>
        <v>Bridgestone</v>
      </c>
      <c r="Q1122" s="79" t="str">
        <f>IFERROR(VLOOKUP($M1122,Export!$P:$R,3,FALSE),"-")</f>
        <v>BridgestoneSalaries, Commission &amp; Leave as % of Sales</v>
      </c>
      <c r="R1122" s="80" t="e" cm="1">
        <f t="array" ref="R1122">_xlfn.IFS(P1122="Service", _xlfn.IFS(I1122="SALES","GP",I1122="SERVICE SALES","GP",I1122="PARTS SALES","GP",I1122="SERVICE COS","GP",I1122="PARTS COS","GP",I1122="SELLING EXPENSES","Selling Expenses",I1122="EMPLOYMENT EXPENSES","Selling Expenses",I1122="EMPLOYMENT EXPENSES","Selling Expenses",I1122="DIRECT EXPENSES","Selling Expenses",I1122="INDIRECT EXPENSES","Selling Expenses"),P1122="Parts",_xlfn.IFS(I1122="SALES","GP",I1122="SERVICE SALES","GP",I1122="PARTS SALES","GP",I1122="SERVICE COS","GP",I1122="PARTS COS","GP",I1122="SELLING EXPENSES","Selling Expenses",I1122="EMPLOYMENT EXPENSES","Selling Expenses",I1122="EMPLOYMENT EXPENSES","Selling Expenses",I1122="DIRECT EXPENSES","Selling Expenses",I1122="INDIRECT EXPENSES","Selling Expenses"))</f>
        <v>#N/A</v>
      </c>
    </row>
    <row r="1123" spans="1:18" x14ac:dyDescent="0.2">
      <c r="A1123" s="75">
        <v>7211</v>
      </c>
      <c r="B1123" s="76" t="s">
        <v>928</v>
      </c>
      <c r="C1123" s="76">
        <v>936</v>
      </c>
      <c r="D1123" s="76" t="s">
        <v>443</v>
      </c>
      <c r="E1123" s="76" t="s">
        <v>426</v>
      </c>
      <c r="F1123" s="77">
        <v>4161.88</v>
      </c>
      <c r="G1123" s="77">
        <v>637.5</v>
      </c>
      <c r="H1123" s="77">
        <v>4799.38</v>
      </c>
      <c r="I1123" s="76" t="s">
        <v>925</v>
      </c>
      <c r="J1123" s="77">
        <v>30.42</v>
      </c>
      <c r="K1123" s="78">
        <v>1755.02</v>
      </c>
      <c r="M1123" s="79" t="str">
        <f t="shared" si="53"/>
        <v>936-7211</v>
      </c>
      <c r="N1123" s="79" t="str">
        <f t="shared" si="51"/>
        <v/>
      </c>
      <c r="O1123" s="79" t="str">
        <f t="shared" si="52"/>
        <v>936</v>
      </c>
      <c r="P1123" s="79" t="str">
        <f>IFERROR(VLOOKUP($M1123,Export!$P:$R,2,FALSE),"-")</f>
        <v>Bridgestone</v>
      </c>
      <c r="Q1123" s="79" t="str">
        <f>IFERROR(VLOOKUP($M1123,Export!$P:$R,3,FALSE),"-")</f>
        <v>BridgestoneSalaries, Commission &amp; Leave as % of Sales</v>
      </c>
      <c r="R1123" s="80" t="e" cm="1">
        <f t="array" ref="R1123">_xlfn.IFS(P1123="Service", _xlfn.IFS(I1123="SALES","GP",I1123="SERVICE SALES","GP",I1123="PARTS SALES","GP",I1123="SERVICE COS","GP",I1123="PARTS COS","GP",I1123="SELLING EXPENSES","Selling Expenses",I1123="EMPLOYMENT EXPENSES","Selling Expenses",I1123="EMPLOYMENT EXPENSES","Selling Expenses",I1123="DIRECT EXPENSES","Selling Expenses",I1123="INDIRECT EXPENSES","Selling Expenses"),P1123="Parts",_xlfn.IFS(I1123="SALES","GP",I1123="SERVICE SALES","GP",I1123="PARTS SALES","GP",I1123="SERVICE COS","GP",I1123="PARTS COS","GP",I1123="SELLING EXPENSES","Selling Expenses",I1123="EMPLOYMENT EXPENSES","Selling Expenses",I1123="EMPLOYMENT EXPENSES","Selling Expenses",I1123="DIRECT EXPENSES","Selling Expenses",I1123="INDIRECT EXPENSES","Selling Expenses"))</f>
        <v>#N/A</v>
      </c>
    </row>
    <row r="1124" spans="1:18" x14ac:dyDescent="0.2">
      <c r="A1124" s="75">
        <v>7240</v>
      </c>
      <c r="B1124" s="76" t="s">
        <v>929</v>
      </c>
      <c r="C1124" s="76">
        <v>110</v>
      </c>
      <c r="D1124" s="76" t="s">
        <v>430</v>
      </c>
      <c r="E1124" s="76" t="s">
        <v>426</v>
      </c>
      <c r="F1124" s="77">
        <v>3697.49</v>
      </c>
      <c r="G1124" s="77">
        <v>305.20999999999998</v>
      </c>
      <c r="H1124" s="77">
        <v>4002.7</v>
      </c>
      <c r="I1124" s="76" t="s">
        <v>925</v>
      </c>
      <c r="J1124" s="77">
        <v>502.47</v>
      </c>
      <c r="K1124" s="78">
        <v>3567.7</v>
      </c>
      <c r="M1124" s="79" t="str">
        <f t="shared" si="53"/>
        <v>110-7240</v>
      </c>
      <c r="N1124" s="79" t="str">
        <f t="shared" si="51"/>
        <v/>
      </c>
      <c r="O1124" s="79" t="str">
        <f t="shared" si="52"/>
        <v>110</v>
      </c>
      <c r="P1124" s="79" t="str">
        <f>IFERROR(VLOOKUP($M1124,Export!$P:$R,2,FALSE),"-")</f>
        <v>Admin &amp; Other</v>
      </c>
      <c r="Q1124" s="79" t="str">
        <f>IFERROR(VLOOKUP($M1124,Export!$P:$R,3,FALSE),"-")</f>
        <v xml:space="preserve">Admin &amp; OtherStaff Remuneration &amp; Benefits as % of Total Gross </v>
      </c>
      <c r="R1124" s="80" t="e" cm="1">
        <f t="array" ref="R1124">_xlfn.IFS(P1124="Service", _xlfn.IFS(I1124="SALES","GP",I1124="SERVICE SALES","GP",I1124="PARTS SALES","GP",I1124="SERVICE COS","GP",I1124="PARTS COS","GP",I1124="SELLING EXPENSES","Selling Expenses",I1124="EMPLOYMENT EXPENSES","Selling Expenses",I1124="EMPLOYMENT EXPENSES","Selling Expenses",I1124="DIRECT EXPENSES","Selling Expenses",I1124="INDIRECT EXPENSES","Selling Expenses"),P1124="Parts",_xlfn.IFS(I1124="SALES","GP",I1124="SERVICE SALES","GP",I1124="PARTS SALES","GP",I1124="SERVICE COS","GP",I1124="PARTS COS","GP",I1124="SELLING EXPENSES","Selling Expenses",I1124="EMPLOYMENT EXPENSES","Selling Expenses",I1124="EMPLOYMENT EXPENSES","Selling Expenses",I1124="DIRECT EXPENSES","Selling Expenses",I1124="INDIRECT EXPENSES","Selling Expenses"))</f>
        <v>#N/A</v>
      </c>
    </row>
    <row r="1125" spans="1:18" x14ac:dyDescent="0.2">
      <c r="A1125" s="75">
        <v>7240</v>
      </c>
      <c r="B1125" s="76" t="s">
        <v>929</v>
      </c>
      <c r="C1125" s="76">
        <v>112</v>
      </c>
      <c r="D1125" s="76" t="s">
        <v>349</v>
      </c>
      <c r="E1125" s="76" t="s">
        <v>426</v>
      </c>
      <c r="F1125" s="77">
        <v>2327.11</v>
      </c>
      <c r="G1125" s="77">
        <v>169.55</v>
      </c>
      <c r="H1125" s="77">
        <v>2496.66</v>
      </c>
      <c r="I1125" s="76" t="s">
        <v>925</v>
      </c>
      <c r="J1125" s="77">
        <v>446.64</v>
      </c>
      <c r="K1125" s="78">
        <v>3014.44</v>
      </c>
      <c r="M1125" s="79" t="str">
        <f t="shared" si="53"/>
        <v>112-7240</v>
      </c>
      <c r="N1125" s="79" t="str">
        <f t="shared" si="51"/>
        <v/>
      </c>
      <c r="O1125" s="79" t="str">
        <f t="shared" si="52"/>
        <v>112</v>
      </c>
      <c r="P1125" s="79" t="str">
        <f>IFERROR(VLOOKUP($M1125,Export!$P:$R,2,FALSE),"-")</f>
        <v>LEX Admin &amp; Other</v>
      </c>
      <c r="Q1125" s="79" t="str">
        <f>IFERROR(VLOOKUP($M1125,Export!$P:$R,3,FALSE),"-")</f>
        <v xml:space="preserve">LEX Admin &amp; OtherStaff Remuneration &amp; Benefits as % of Total Gross </v>
      </c>
      <c r="R1125" s="80" t="e" cm="1">
        <f t="array" ref="R1125">_xlfn.IFS(P1125="Service", _xlfn.IFS(I1125="SALES","GP",I1125="SERVICE SALES","GP",I1125="PARTS SALES","GP",I1125="SERVICE COS","GP",I1125="PARTS COS","GP",I1125="SELLING EXPENSES","Selling Expenses",I1125="EMPLOYMENT EXPENSES","Selling Expenses",I1125="EMPLOYMENT EXPENSES","Selling Expenses",I1125="DIRECT EXPENSES","Selling Expenses",I1125="INDIRECT EXPENSES","Selling Expenses"),P1125="Parts",_xlfn.IFS(I1125="SALES","GP",I1125="SERVICE SALES","GP",I1125="PARTS SALES","GP",I1125="SERVICE COS","GP",I1125="PARTS COS","GP",I1125="SELLING EXPENSES","Selling Expenses",I1125="EMPLOYMENT EXPENSES","Selling Expenses",I1125="EMPLOYMENT EXPENSES","Selling Expenses",I1125="DIRECT EXPENSES","Selling Expenses",I1125="INDIRECT EXPENSES","Selling Expenses"))</f>
        <v>#N/A</v>
      </c>
    </row>
    <row r="1126" spans="1:18" x14ac:dyDescent="0.2">
      <c r="A1126" s="75">
        <v>7240</v>
      </c>
      <c r="B1126" s="76" t="s">
        <v>929</v>
      </c>
      <c r="C1126" s="76">
        <v>120</v>
      </c>
      <c r="D1126" s="76" t="s">
        <v>431</v>
      </c>
      <c r="E1126" s="76" t="s">
        <v>426</v>
      </c>
      <c r="F1126" s="77">
        <v>2051.63</v>
      </c>
      <c r="G1126" s="77">
        <v>101.73</v>
      </c>
      <c r="H1126" s="77">
        <v>2153.36</v>
      </c>
      <c r="I1126" s="76" t="s">
        <v>925</v>
      </c>
      <c r="J1126" s="77">
        <v>669.96</v>
      </c>
      <c r="K1126" s="78">
        <v>4188.8100000000004</v>
      </c>
      <c r="M1126" s="79" t="str">
        <f t="shared" si="53"/>
        <v>120-7240</v>
      </c>
      <c r="N1126" s="79" t="str">
        <f t="shared" si="51"/>
        <v/>
      </c>
      <c r="O1126" s="79" t="str">
        <f t="shared" si="52"/>
        <v>120</v>
      </c>
      <c r="P1126" s="79" t="str">
        <f>IFERROR(VLOOKUP($M1126,Export!$P:$R,2,FALSE),"-")</f>
        <v>Admin &amp; Other</v>
      </c>
      <c r="Q1126" s="79" t="str">
        <f>IFERROR(VLOOKUP($M1126,Export!$P:$R,3,FALSE),"-")</f>
        <v xml:space="preserve">Admin &amp; OtherStaff Remuneration &amp; Benefits as % of Total Gross </v>
      </c>
      <c r="R1126" s="80" t="e" cm="1">
        <f t="array" ref="R1126">_xlfn.IFS(P1126="Service", _xlfn.IFS(I1126="SALES","GP",I1126="SERVICE SALES","GP",I1126="PARTS SALES","GP",I1126="SERVICE COS","GP",I1126="PARTS COS","GP",I1126="SELLING EXPENSES","Selling Expenses",I1126="EMPLOYMENT EXPENSES","Selling Expenses",I1126="EMPLOYMENT EXPENSES","Selling Expenses",I1126="DIRECT EXPENSES","Selling Expenses",I1126="INDIRECT EXPENSES","Selling Expenses"),P1126="Parts",_xlfn.IFS(I1126="SALES","GP",I1126="SERVICE SALES","GP",I1126="PARTS SALES","GP",I1126="SERVICE COS","GP",I1126="PARTS COS","GP",I1126="SELLING EXPENSES","Selling Expenses",I1126="EMPLOYMENT EXPENSES","Selling Expenses",I1126="EMPLOYMENT EXPENSES","Selling Expenses",I1126="DIRECT EXPENSES","Selling Expenses",I1126="INDIRECT EXPENSES","Selling Expenses"))</f>
        <v>#N/A</v>
      </c>
    </row>
    <row r="1127" spans="1:18" x14ac:dyDescent="0.2">
      <c r="A1127" s="75">
        <v>7240</v>
      </c>
      <c r="B1127" s="76" t="s">
        <v>929</v>
      </c>
      <c r="C1127" s="76">
        <v>121</v>
      </c>
      <c r="D1127" s="76" t="s">
        <v>449</v>
      </c>
      <c r="E1127" s="76" t="s">
        <v>426</v>
      </c>
      <c r="F1127" s="77">
        <v>1185.7</v>
      </c>
      <c r="G1127" s="287">
        <v>67.819999999999993</v>
      </c>
      <c r="H1127" s="77">
        <v>1253.52</v>
      </c>
      <c r="I1127" s="76" t="s">
        <v>925</v>
      </c>
      <c r="J1127" s="77">
        <v>334.98</v>
      </c>
      <c r="K1127" s="78">
        <v>2167.12</v>
      </c>
      <c r="M1127" s="79" t="str">
        <f t="shared" si="53"/>
        <v>121-7240</v>
      </c>
      <c r="N1127" s="79" t="str">
        <f t="shared" si="51"/>
        <v/>
      </c>
      <c r="O1127" s="79" t="str">
        <f t="shared" si="52"/>
        <v>121</v>
      </c>
      <c r="P1127" s="79" t="str">
        <f>IFERROR(VLOOKUP($M1127,Export!$P:$R,2,FALSE),"-")</f>
        <v>Admin &amp; Other</v>
      </c>
      <c r="Q1127" s="79" t="str">
        <f>IFERROR(VLOOKUP($M1127,Export!$P:$R,3,FALSE),"-")</f>
        <v xml:space="preserve">Admin &amp; OtherStaff Remuneration &amp; Benefits as % of Total Gross </v>
      </c>
      <c r="R1127" s="80" t="e" cm="1">
        <f t="array" ref="R1127">_xlfn.IFS(P1127="Service", _xlfn.IFS(I1127="SALES","GP",I1127="SERVICE SALES","GP",I1127="PARTS SALES","GP",I1127="SERVICE COS","GP",I1127="PARTS COS","GP",I1127="SELLING EXPENSES","Selling Expenses",I1127="EMPLOYMENT EXPENSES","Selling Expenses",I1127="EMPLOYMENT EXPENSES","Selling Expenses",I1127="DIRECT EXPENSES","Selling Expenses",I1127="INDIRECT EXPENSES","Selling Expenses"),P1127="Parts",_xlfn.IFS(I1127="SALES","GP",I1127="SERVICE SALES","GP",I1127="PARTS SALES","GP",I1127="SERVICE COS","GP",I1127="PARTS COS","GP",I1127="SELLING EXPENSES","Selling Expenses",I1127="EMPLOYMENT EXPENSES","Selling Expenses",I1127="EMPLOYMENT EXPENSES","Selling Expenses",I1127="DIRECT EXPENSES","Selling Expenses",I1127="INDIRECT EXPENSES","Selling Expenses"))</f>
        <v>#N/A</v>
      </c>
    </row>
    <row r="1128" spans="1:18" x14ac:dyDescent="0.2">
      <c r="A1128" s="75">
        <v>7240</v>
      </c>
      <c r="B1128" s="76" t="s">
        <v>929</v>
      </c>
      <c r="C1128" s="76">
        <v>130</v>
      </c>
      <c r="D1128" s="76" t="s">
        <v>432</v>
      </c>
      <c r="E1128" s="76" t="s">
        <v>426</v>
      </c>
      <c r="F1128" s="77">
        <v>3881.67</v>
      </c>
      <c r="G1128" s="77">
        <v>373.02</v>
      </c>
      <c r="H1128" s="77">
        <v>4254.6899999999996</v>
      </c>
      <c r="I1128" s="76" t="s">
        <v>925</v>
      </c>
      <c r="J1128" s="77">
        <v>223.32</v>
      </c>
      <c r="K1128" s="78">
        <v>2396.66</v>
      </c>
      <c r="M1128" s="79" t="str">
        <f t="shared" si="53"/>
        <v>130-7240</v>
      </c>
      <c r="N1128" s="79" t="str">
        <f t="shared" si="51"/>
        <v/>
      </c>
      <c r="O1128" s="79" t="str">
        <f t="shared" si="52"/>
        <v>130</v>
      </c>
      <c r="P1128" s="79" t="str">
        <f>IFERROR(VLOOKUP($M1128,Export!$P:$R,2,FALSE),"-")</f>
        <v>Admin &amp; Other</v>
      </c>
      <c r="Q1128" s="79" t="str">
        <f>IFERROR(VLOOKUP($M1128,Export!$P:$R,3,FALSE),"-")</f>
        <v xml:space="preserve">Admin &amp; OtherStaff Remuneration &amp; Benefits as % of Total Gross </v>
      </c>
      <c r="R1128" s="80" t="e" cm="1">
        <f t="array" ref="R1128">_xlfn.IFS(P1128="Service", _xlfn.IFS(I1128="SALES","GP",I1128="SERVICE SALES","GP",I1128="PARTS SALES","GP",I1128="SERVICE COS","GP",I1128="PARTS COS","GP",I1128="SELLING EXPENSES","Selling Expenses",I1128="EMPLOYMENT EXPENSES","Selling Expenses",I1128="EMPLOYMENT EXPENSES","Selling Expenses",I1128="DIRECT EXPENSES","Selling Expenses",I1128="INDIRECT EXPENSES","Selling Expenses"),P1128="Parts",_xlfn.IFS(I1128="SALES","GP",I1128="SERVICE SALES","GP",I1128="PARTS SALES","GP",I1128="SERVICE COS","GP",I1128="PARTS COS","GP",I1128="SELLING EXPENSES","Selling Expenses",I1128="EMPLOYMENT EXPENSES","Selling Expenses",I1128="EMPLOYMENT EXPENSES","Selling Expenses",I1128="DIRECT EXPENSES","Selling Expenses",I1128="INDIRECT EXPENSES","Selling Expenses"))</f>
        <v>#N/A</v>
      </c>
    </row>
    <row r="1129" spans="1:18" x14ac:dyDescent="0.2">
      <c r="A1129" s="75">
        <v>7240</v>
      </c>
      <c r="B1129" s="76" t="s">
        <v>929</v>
      </c>
      <c r="C1129" s="76">
        <v>140</v>
      </c>
      <c r="D1129" s="76" t="s">
        <v>433</v>
      </c>
      <c r="E1129" s="76" t="s">
        <v>426</v>
      </c>
      <c r="F1129" s="77">
        <v>10319.14</v>
      </c>
      <c r="G1129" s="77">
        <v>949.5</v>
      </c>
      <c r="H1129" s="77">
        <v>11268.64</v>
      </c>
      <c r="I1129" s="76" t="s">
        <v>925</v>
      </c>
      <c r="J1129" s="77">
        <v>837.45</v>
      </c>
      <c r="K1129" s="78">
        <v>8207.0499999999993</v>
      </c>
      <c r="M1129" s="79" t="str">
        <f t="shared" si="53"/>
        <v>140-7240</v>
      </c>
      <c r="N1129" s="79" t="str">
        <f t="shared" si="51"/>
        <v/>
      </c>
      <c r="O1129" s="79" t="str">
        <f t="shared" si="52"/>
        <v>140</v>
      </c>
      <c r="P1129" s="79" t="str">
        <f>IFERROR(VLOOKUP($M1129,Export!$P:$R,2,FALSE),"-")</f>
        <v>Admin &amp; Other</v>
      </c>
      <c r="Q1129" s="79" t="str">
        <f>IFERROR(VLOOKUP($M1129,Export!$P:$R,3,FALSE),"-")</f>
        <v xml:space="preserve">Admin &amp; OtherStaff Remuneration &amp; Benefits as % of Total Gross </v>
      </c>
      <c r="R1129" s="80" t="e" cm="1">
        <f t="array" ref="R1129">_xlfn.IFS(P1129="Service", _xlfn.IFS(I1129="SALES","GP",I1129="SERVICE SALES","GP",I1129="PARTS SALES","GP",I1129="SERVICE COS","GP",I1129="PARTS COS","GP",I1129="SELLING EXPENSES","Selling Expenses",I1129="EMPLOYMENT EXPENSES","Selling Expenses",I1129="EMPLOYMENT EXPENSES","Selling Expenses",I1129="DIRECT EXPENSES","Selling Expenses",I1129="INDIRECT EXPENSES","Selling Expenses"),P1129="Parts",_xlfn.IFS(I1129="SALES","GP",I1129="SERVICE SALES","GP",I1129="PARTS SALES","GP",I1129="SERVICE COS","GP",I1129="PARTS COS","GP",I1129="SELLING EXPENSES","Selling Expenses",I1129="EMPLOYMENT EXPENSES","Selling Expenses",I1129="EMPLOYMENT EXPENSES","Selling Expenses",I1129="DIRECT EXPENSES","Selling Expenses",I1129="INDIRECT EXPENSES","Selling Expenses"))</f>
        <v>#N/A</v>
      </c>
    </row>
    <row r="1130" spans="1:18" x14ac:dyDescent="0.2">
      <c r="A1130" s="75">
        <v>7240</v>
      </c>
      <c r="B1130" s="76" t="s">
        <v>929</v>
      </c>
      <c r="C1130" s="76">
        <v>142</v>
      </c>
      <c r="D1130" s="76" t="s">
        <v>454</v>
      </c>
      <c r="E1130" s="76" t="s">
        <v>426</v>
      </c>
      <c r="F1130" s="77">
        <v>5410.23</v>
      </c>
      <c r="G1130" s="77">
        <v>508.66</v>
      </c>
      <c r="H1130" s="77">
        <v>5918.89</v>
      </c>
      <c r="I1130" s="76" t="s">
        <v>925</v>
      </c>
      <c r="J1130" s="77">
        <v>0</v>
      </c>
      <c r="K1130" s="78">
        <v>0</v>
      </c>
      <c r="M1130" s="79" t="str">
        <f t="shared" si="53"/>
        <v>142-7240</v>
      </c>
      <c r="N1130" s="79" t="str">
        <f t="shared" si="51"/>
        <v/>
      </c>
      <c r="O1130" s="79" t="str">
        <f t="shared" si="52"/>
        <v>142</v>
      </c>
      <c r="P1130" s="79" t="str">
        <f>IFERROR(VLOOKUP($M1130,Export!$P:$R,2,FALSE),"-")</f>
        <v>LEX Admin &amp; Other</v>
      </c>
      <c r="Q1130" s="79" t="str">
        <f>IFERROR(VLOOKUP($M1130,Export!$P:$R,3,FALSE),"-")</f>
        <v xml:space="preserve">LEX Admin &amp; OtherStaff Remuneration &amp; Benefits as % of Total Gross </v>
      </c>
      <c r="R1130" s="80" t="e" cm="1">
        <f t="array" ref="R1130">_xlfn.IFS(P1130="Service", _xlfn.IFS(I1130="SALES","GP",I1130="SERVICE SALES","GP",I1130="PARTS SALES","GP",I1130="SERVICE COS","GP",I1130="PARTS COS","GP",I1130="SELLING EXPENSES","Selling Expenses",I1130="EMPLOYMENT EXPENSES","Selling Expenses",I1130="EMPLOYMENT EXPENSES","Selling Expenses",I1130="DIRECT EXPENSES","Selling Expenses",I1130="INDIRECT EXPENSES","Selling Expenses"),P1130="Parts",_xlfn.IFS(I1130="SALES","GP",I1130="SERVICE SALES","GP",I1130="PARTS SALES","GP",I1130="SERVICE COS","GP",I1130="PARTS COS","GP",I1130="SELLING EXPENSES","Selling Expenses",I1130="EMPLOYMENT EXPENSES","Selling Expenses",I1130="EMPLOYMENT EXPENSES","Selling Expenses",I1130="DIRECT EXPENSES","Selling Expenses",I1130="INDIRECT EXPENSES","Selling Expenses"))</f>
        <v>#N/A</v>
      </c>
    </row>
    <row r="1131" spans="1:18" x14ac:dyDescent="0.2">
      <c r="A1131" s="75">
        <v>7240</v>
      </c>
      <c r="B1131" s="76" t="s">
        <v>929</v>
      </c>
      <c r="C1131" s="76">
        <v>147</v>
      </c>
      <c r="D1131" s="76" t="s">
        <v>699</v>
      </c>
      <c r="E1131" s="76" t="s">
        <v>426</v>
      </c>
      <c r="F1131" s="77">
        <v>387.7</v>
      </c>
      <c r="G1131" s="77">
        <v>0</v>
      </c>
      <c r="H1131" s="77">
        <v>387.7</v>
      </c>
      <c r="I1131" s="76" t="s">
        <v>925</v>
      </c>
      <c r="J1131" s="77">
        <v>111.66</v>
      </c>
      <c r="K1131" s="78">
        <v>706.05</v>
      </c>
      <c r="M1131" s="79" t="str">
        <f t="shared" si="53"/>
        <v>147-7240</v>
      </c>
      <c r="N1131" s="79" t="str">
        <f t="shared" si="51"/>
        <v/>
      </c>
      <c r="O1131" s="79" t="str">
        <f t="shared" si="52"/>
        <v>147</v>
      </c>
      <c r="P1131" s="79" t="str">
        <f>IFERROR(VLOOKUP($M1131,Export!$P:$R,2,FALSE),"-")</f>
        <v>Admin &amp; Other</v>
      </c>
      <c r="Q1131" s="79" t="str">
        <f>IFERROR(VLOOKUP($M1131,Export!$P:$R,3,FALSE),"-")</f>
        <v xml:space="preserve">Admin &amp; OtherStaff Remuneration &amp; Benefits as % of Total Gross </v>
      </c>
      <c r="R1131" s="80" t="e" cm="1">
        <f t="array" ref="R1131">_xlfn.IFS(P1131="Service", _xlfn.IFS(I1131="SALES","GP",I1131="SERVICE SALES","GP",I1131="PARTS SALES","GP",I1131="SERVICE COS","GP",I1131="PARTS COS","GP",I1131="SELLING EXPENSES","Selling Expenses",I1131="EMPLOYMENT EXPENSES","Selling Expenses",I1131="EMPLOYMENT EXPENSES","Selling Expenses",I1131="DIRECT EXPENSES","Selling Expenses",I1131="INDIRECT EXPENSES","Selling Expenses"),P1131="Parts",_xlfn.IFS(I1131="SALES","GP",I1131="SERVICE SALES","GP",I1131="PARTS SALES","GP",I1131="SERVICE COS","GP",I1131="PARTS COS","GP",I1131="SELLING EXPENSES","Selling Expenses",I1131="EMPLOYMENT EXPENSES","Selling Expenses",I1131="EMPLOYMENT EXPENSES","Selling Expenses",I1131="DIRECT EXPENSES","Selling Expenses",I1131="INDIRECT EXPENSES","Selling Expenses"))</f>
        <v>#N/A</v>
      </c>
    </row>
    <row r="1132" spans="1:18" x14ac:dyDescent="0.2">
      <c r="A1132" s="75">
        <v>7240</v>
      </c>
      <c r="B1132" s="76" t="s">
        <v>929</v>
      </c>
      <c r="C1132" s="76">
        <v>150</v>
      </c>
      <c r="D1132" s="76" t="s">
        <v>700</v>
      </c>
      <c r="E1132" s="76" t="s">
        <v>426</v>
      </c>
      <c r="F1132" s="77">
        <v>2558.19</v>
      </c>
      <c r="G1132" s="77">
        <v>271.27999999999997</v>
      </c>
      <c r="H1132" s="77">
        <v>2829.47</v>
      </c>
      <c r="I1132" s="76" t="s">
        <v>925</v>
      </c>
      <c r="J1132" s="77">
        <v>0</v>
      </c>
      <c r="K1132" s="78">
        <v>0</v>
      </c>
      <c r="M1132" s="79" t="str">
        <f t="shared" si="53"/>
        <v>150-7240</v>
      </c>
      <c r="N1132" s="79" t="str">
        <f t="shared" si="51"/>
        <v/>
      </c>
      <c r="O1132" s="79" t="str">
        <f t="shared" si="52"/>
        <v>150</v>
      </c>
      <c r="P1132" s="79" t="str">
        <f>IFERROR(VLOOKUP($M1132,Export!$P:$R,2,FALSE),"-")</f>
        <v>LEX Admin &amp; Other</v>
      </c>
      <c r="Q1132" s="79" t="str">
        <f>IFERROR(VLOOKUP($M1132,Export!$P:$R,3,FALSE),"-")</f>
        <v xml:space="preserve">LEX Admin &amp; OtherStaff Remuneration &amp; Benefits as % of Total Gross </v>
      </c>
      <c r="R1132" s="80" t="e" cm="1">
        <f t="array" ref="R1132">_xlfn.IFS(P1132="Service", _xlfn.IFS(I1132="SALES","GP",I1132="SERVICE SALES","GP",I1132="PARTS SALES","GP",I1132="SERVICE COS","GP",I1132="PARTS COS","GP",I1132="SELLING EXPENSES","Selling Expenses",I1132="EMPLOYMENT EXPENSES","Selling Expenses",I1132="EMPLOYMENT EXPENSES","Selling Expenses",I1132="DIRECT EXPENSES","Selling Expenses",I1132="INDIRECT EXPENSES","Selling Expenses"),P1132="Parts",_xlfn.IFS(I1132="SALES","GP",I1132="SERVICE SALES","GP",I1132="PARTS SALES","GP",I1132="SERVICE COS","GP",I1132="PARTS COS","GP",I1132="SELLING EXPENSES","Selling Expenses",I1132="EMPLOYMENT EXPENSES","Selling Expenses",I1132="EMPLOYMENT EXPENSES","Selling Expenses",I1132="DIRECT EXPENSES","Selling Expenses",I1132="INDIRECT EXPENSES","Selling Expenses"))</f>
        <v>#N/A</v>
      </c>
    </row>
    <row r="1133" spans="1:18" x14ac:dyDescent="0.2">
      <c r="A1133" s="75">
        <v>7240</v>
      </c>
      <c r="B1133" s="76" t="s">
        <v>929</v>
      </c>
      <c r="C1133" s="76">
        <v>160</v>
      </c>
      <c r="D1133" s="76" t="s">
        <v>434</v>
      </c>
      <c r="E1133" s="76" t="s">
        <v>426</v>
      </c>
      <c r="F1133" s="77">
        <v>1323.42</v>
      </c>
      <c r="G1133" s="77">
        <v>101.73</v>
      </c>
      <c r="H1133" s="77">
        <v>1425.15</v>
      </c>
      <c r="I1133" s="76" t="s">
        <v>925</v>
      </c>
      <c r="J1133" s="77">
        <v>223.32</v>
      </c>
      <c r="K1133" s="78">
        <v>1510.04</v>
      </c>
      <c r="M1133" s="79" t="str">
        <f t="shared" si="53"/>
        <v>160-7240</v>
      </c>
      <c r="N1133" s="79" t="str">
        <f t="shared" si="51"/>
        <v/>
      </c>
      <c r="O1133" s="79" t="str">
        <f t="shared" si="52"/>
        <v>160</v>
      </c>
      <c r="P1133" s="79" t="str">
        <f>IFERROR(VLOOKUP($M1133,Export!$P:$R,2,FALSE),"-")</f>
        <v>Admin &amp; Other</v>
      </c>
      <c r="Q1133" s="79" t="str">
        <f>IFERROR(VLOOKUP($M1133,Export!$P:$R,3,FALSE),"-")</f>
        <v xml:space="preserve">Admin &amp; OtherStaff Remuneration &amp; Benefits as % of Total Gross </v>
      </c>
      <c r="R1133" s="80" t="e" cm="1">
        <f t="array" ref="R1133">_xlfn.IFS(P1133="Service", _xlfn.IFS(I1133="SALES","GP",I1133="SERVICE SALES","GP",I1133="PARTS SALES","GP",I1133="SERVICE COS","GP",I1133="PARTS COS","GP",I1133="SELLING EXPENSES","Selling Expenses",I1133="EMPLOYMENT EXPENSES","Selling Expenses",I1133="EMPLOYMENT EXPENSES","Selling Expenses",I1133="DIRECT EXPENSES","Selling Expenses",I1133="INDIRECT EXPENSES","Selling Expenses"),P1133="Parts",_xlfn.IFS(I1133="SALES","GP",I1133="SERVICE SALES","GP",I1133="PARTS SALES","GP",I1133="SERVICE COS","GP",I1133="PARTS COS","GP",I1133="SELLING EXPENSES","Selling Expenses",I1133="EMPLOYMENT EXPENSES","Selling Expenses",I1133="EMPLOYMENT EXPENSES","Selling Expenses",I1133="DIRECT EXPENSES","Selling Expenses",I1133="INDIRECT EXPENSES","Selling Expenses"))</f>
        <v>#N/A</v>
      </c>
    </row>
    <row r="1134" spans="1:18" x14ac:dyDescent="0.2">
      <c r="A1134" s="75">
        <v>7240</v>
      </c>
      <c r="B1134" s="76" t="s">
        <v>929</v>
      </c>
      <c r="C1134" s="76">
        <v>210</v>
      </c>
      <c r="D1134" s="76" t="s">
        <v>436</v>
      </c>
      <c r="E1134" s="76" t="s">
        <v>426</v>
      </c>
      <c r="F1134" s="77">
        <v>1643.19</v>
      </c>
      <c r="G1134" s="77">
        <v>135.63999999999999</v>
      </c>
      <c r="H1134" s="77">
        <v>1778.83</v>
      </c>
      <c r="I1134" s="76" t="s">
        <v>925</v>
      </c>
      <c r="J1134" s="77">
        <v>223.32</v>
      </c>
      <c r="K1134" s="78">
        <v>1561.64</v>
      </c>
      <c r="M1134" s="79" t="str">
        <f t="shared" si="53"/>
        <v>210-7240</v>
      </c>
      <c r="N1134" s="79" t="str">
        <f t="shared" si="51"/>
        <v/>
      </c>
      <c r="O1134" s="79" t="str">
        <f t="shared" si="52"/>
        <v>210</v>
      </c>
      <c r="P1134" s="79" t="str">
        <f>IFERROR(VLOOKUP($M1134,Export!$P:$R,2,FALSE),"-")</f>
        <v>Admin &amp; Other</v>
      </c>
      <c r="Q1134" s="79" t="str">
        <f>IFERROR(VLOOKUP($M1134,Export!$P:$R,3,FALSE),"-")</f>
        <v xml:space="preserve">Admin &amp; OtherStaff Remuneration &amp; Benefits as % of Total Gross </v>
      </c>
      <c r="R1134" s="80" t="e" cm="1">
        <f t="array" ref="R1134">_xlfn.IFS(P1134="Service", _xlfn.IFS(I1134="SALES","GP",I1134="SERVICE SALES","GP",I1134="PARTS SALES","GP",I1134="SERVICE COS","GP",I1134="PARTS COS","GP",I1134="SELLING EXPENSES","Selling Expenses",I1134="EMPLOYMENT EXPENSES","Selling Expenses",I1134="EMPLOYMENT EXPENSES","Selling Expenses",I1134="DIRECT EXPENSES","Selling Expenses",I1134="INDIRECT EXPENSES","Selling Expenses"),P1134="Parts",_xlfn.IFS(I1134="SALES","GP",I1134="SERVICE SALES","GP",I1134="PARTS SALES","GP",I1134="SERVICE COS","GP",I1134="PARTS COS","GP",I1134="SELLING EXPENSES","Selling Expenses",I1134="EMPLOYMENT EXPENSES","Selling Expenses",I1134="EMPLOYMENT EXPENSES","Selling Expenses",I1134="DIRECT EXPENSES","Selling Expenses",I1134="INDIRECT EXPENSES","Selling Expenses"))</f>
        <v>#N/A</v>
      </c>
    </row>
    <row r="1135" spans="1:18" x14ac:dyDescent="0.2">
      <c r="A1135" s="75">
        <v>7240</v>
      </c>
      <c r="B1135" s="76" t="s">
        <v>929</v>
      </c>
      <c r="C1135" s="76">
        <v>220</v>
      </c>
      <c r="D1135" s="76" t="s">
        <v>437</v>
      </c>
      <c r="E1135" s="76" t="s">
        <v>426</v>
      </c>
      <c r="F1135" s="77">
        <v>1461.13</v>
      </c>
      <c r="G1135" s="77">
        <v>135.63999999999999</v>
      </c>
      <c r="H1135" s="77">
        <v>1596.77</v>
      </c>
      <c r="I1135" s="76" t="s">
        <v>925</v>
      </c>
      <c r="J1135" s="77">
        <v>111.66</v>
      </c>
      <c r="K1135" s="78">
        <v>782.89</v>
      </c>
      <c r="M1135" s="79" t="str">
        <f t="shared" si="53"/>
        <v>220-7240</v>
      </c>
      <c r="N1135" s="79" t="str">
        <f t="shared" si="51"/>
        <v/>
      </c>
      <c r="O1135" s="79" t="str">
        <f t="shared" si="52"/>
        <v>220</v>
      </c>
      <c r="P1135" s="79" t="str">
        <f>IFERROR(VLOOKUP($M1135,Export!$P:$R,2,FALSE),"-")</f>
        <v>Admin &amp; Other</v>
      </c>
      <c r="Q1135" s="79" t="str">
        <f>IFERROR(VLOOKUP($M1135,Export!$P:$R,3,FALSE),"-")</f>
        <v xml:space="preserve">Admin &amp; OtherStaff Remuneration &amp; Benefits as % of Total Gross </v>
      </c>
      <c r="R1135" s="80" t="e" cm="1">
        <f t="array" ref="R1135">_xlfn.IFS(P1135="Service", _xlfn.IFS(I1135="SALES","GP",I1135="SERVICE SALES","GP",I1135="PARTS SALES","GP",I1135="SERVICE COS","GP",I1135="PARTS COS","GP",I1135="SELLING EXPENSES","Selling Expenses",I1135="EMPLOYMENT EXPENSES","Selling Expenses",I1135="EMPLOYMENT EXPENSES","Selling Expenses",I1135="DIRECT EXPENSES","Selling Expenses",I1135="INDIRECT EXPENSES","Selling Expenses"),P1135="Parts",_xlfn.IFS(I1135="SALES","GP",I1135="SERVICE SALES","GP",I1135="PARTS SALES","GP",I1135="SERVICE COS","GP",I1135="PARTS COS","GP",I1135="SELLING EXPENSES","Selling Expenses",I1135="EMPLOYMENT EXPENSES","Selling Expenses",I1135="EMPLOYMENT EXPENSES","Selling Expenses",I1135="DIRECT EXPENSES","Selling Expenses",I1135="INDIRECT EXPENSES","Selling Expenses"))</f>
        <v>#N/A</v>
      </c>
    </row>
    <row r="1136" spans="1:18" x14ac:dyDescent="0.2">
      <c r="A1136" s="75">
        <v>7240</v>
      </c>
      <c r="B1136" s="76" t="s">
        <v>929</v>
      </c>
      <c r="C1136" s="76">
        <v>230</v>
      </c>
      <c r="D1136" s="76" t="s">
        <v>438</v>
      </c>
      <c r="E1136" s="76" t="s">
        <v>426</v>
      </c>
      <c r="F1136" s="77">
        <v>1141.3599999999999</v>
      </c>
      <c r="G1136" s="77">
        <v>101.73</v>
      </c>
      <c r="H1136" s="77">
        <v>1243.0899999999999</v>
      </c>
      <c r="I1136" s="76" t="s">
        <v>925</v>
      </c>
      <c r="J1136" s="77">
        <v>111.66</v>
      </c>
      <c r="K1136" s="78">
        <v>1322.6</v>
      </c>
      <c r="M1136" s="79" t="str">
        <f t="shared" si="53"/>
        <v>230-7240</v>
      </c>
      <c r="N1136" s="79" t="str">
        <f t="shared" si="51"/>
        <v/>
      </c>
      <c r="O1136" s="79" t="str">
        <f t="shared" si="52"/>
        <v>230</v>
      </c>
      <c r="P1136" s="79" t="str">
        <f>IFERROR(VLOOKUP($M1136,Export!$P:$R,2,FALSE),"-")</f>
        <v>Admin &amp; Other</v>
      </c>
      <c r="Q1136" s="79" t="str">
        <f>IFERROR(VLOOKUP($M1136,Export!$P:$R,3,FALSE),"-")</f>
        <v xml:space="preserve">Admin &amp; OtherStaff Remuneration &amp; Benefits as % of Total Gross </v>
      </c>
      <c r="R1136" s="80" t="e" cm="1">
        <f t="array" ref="R1136">_xlfn.IFS(P1136="Service", _xlfn.IFS(I1136="SALES","GP",I1136="SERVICE SALES","GP",I1136="PARTS SALES","GP",I1136="SERVICE COS","GP",I1136="PARTS COS","GP",I1136="SELLING EXPENSES","Selling Expenses",I1136="EMPLOYMENT EXPENSES","Selling Expenses",I1136="EMPLOYMENT EXPENSES","Selling Expenses",I1136="DIRECT EXPENSES","Selling Expenses",I1136="INDIRECT EXPENSES","Selling Expenses"),P1136="Parts",_xlfn.IFS(I1136="SALES","GP",I1136="SERVICE SALES","GP",I1136="PARTS SALES","GP",I1136="SERVICE COS","GP",I1136="PARTS COS","GP",I1136="SELLING EXPENSES","Selling Expenses",I1136="EMPLOYMENT EXPENSES","Selling Expenses",I1136="EMPLOYMENT EXPENSES","Selling Expenses",I1136="DIRECT EXPENSES","Selling Expenses",I1136="INDIRECT EXPENSES","Selling Expenses"))</f>
        <v>#N/A</v>
      </c>
    </row>
    <row r="1137" spans="1:18" x14ac:dyDescent="0.2">
      <c r="A1137" s="75">
        <v>7240</v>
      </c>
      <c r="B1137" s="76" t="s">
        <v>929</v>
      </c>
      <c r="C1137" s="76">
        <v>240</v>
      </c>
      <c r="D1137" s="76" t="s">
        <v>439</v>
      </c>
      <c r="E1137" s="76" t="s">
        <v>426</v>
      </c>
      <c r="F1137" s="77">
        <v>5891.31</v>
      </c>
      <c r="G1137" s="77">
        <v>576.48</v>
      </c>
      <c r="H1137" s="77">
        <v>6467.79</v>
      </c>
      <c r="I1137" s="76" t="s">
        <v>925</v>
      </c>
      <c r="J1137" s="77">
        <v>279.14999999999998</v>
      </c>
      <c r="K1137" s="78">
        <v>2331.71</v>
      </c>
      <c r="M1137" s="79" t="str">
        <f t="shared" si="53"/>
        <v>240-7240</v>
      </c>
      <c r="N1137" s="79" t="str">
        <f t="shared" si="51"/>
        <v/>
      </c>
      <c r="O1137" s="79" t="str">
        <f t="shared" si="52"/>
        <v>240</v>
      </c>
      <c r="P1137" s="79" t="str">
        <f>IFERROR(VLOOKUP($M1137,Export!$P:$R,2,FALSE),"-")</f>
        <v>Admin &amp; Other</v>
      </c>
      <c r="Q1137" s="79" t="str">
        <f>IFERROR(VLOOKUP($M1137,Export!$P:$R,3,FALSE),"-")</f>
        <v xml:space="preserve">Admin &amp; OtherStaff Remuneration &amp; Benefits as % of Total Gross </v>
      </c>
      <c r="R1137" s="80" t="e" cm="1">
        <f t="array" ref="R1137">_xlfn.IFS(P1137="Service", _xlfn.IFS(I1137="SALES","GP",I1137="SERVICE SALES","GP",I1137="PARTS SALES","GP",I1137="SERVICE COS","GP",I1137="PARTS COS","GP",I1137="SELLING EXPENSES","Selling Expenses",I1137="EMPLOYMENT EXPENSES","Selling Expenses",I1137="EMPLOYMENT EXPENSES","Selling Expenses",I1137="DIRECT EXPENSES","Selling Expenses",I1137="INDIRECT EXPENSES","Selling Expenses"),P1137="Parts",_xlfn.IFS(I1137="SALES","GP",I1137="SERVICE SALES","GP",I1137="PARTS SALES","GP",I1137="SERVICE COS","GP",I1137="PARTS COS","GP",I1137="SELLING EXPENSES","Selling Expenses",I1137="EMPLOYMENT EXPENSES","Selling Expenses",I1137="EMPLOYMENT EXPENSES","Selling Expenses",I1137="DIRECT EXPENSES","Selling Expenses",I1137="INDIRECT EXPENSES","Selling Expenses"))</f>
        <v>#N/A</v>
      </c>
    </row>
    <row r="1138" spans="1:18" x14ac:dyDescent="0.2">
      <c r="A1138" s="75">
        <v>7240</v>
      </c>
      <c r="B1138" s="76" t="s">
        <v>929</v>
      </c>
      <c r="C1138" s="76">
        <v>260</v>
      </c>
      <c r="D1138" s="76" t="s">
        <v>456</v>
      </c>
      <c r="E1138" s="76" t="s">
        <v>426</v>
      </c>
      <c r="F1138" s="77">
        <v>821.59</v>
      </c>
      <c r="G1138" s="77">
        <v>67.819999999999993</v>
      </c>
      <c r="H1138" s="77">
        <v>889.41</v>
      </c>
      <c r="I1138" s="76" t="s">
        <v>925</v>
      </c>
      <c r="J1138" s="77">
        <v>111.66</v>
      </c>
      <c r="K1138" s="78">
        <v>793.49</v>
      </c>
      <c r="M1138" s="79" t="str">
        <f t="shared" si="53"/>
        <v>260-7240</v>
      </c>
      <c r="N1138" s="79" t="str">
        <f t="shared" si="51"/>
        <v/>
      </c>
      <c r="O1138" s="79" t="str">
        <f t="shared" si="52"/>
        <v>260</v>
      </c>
      <c r="P1138" s="79" t="str">
        <f>IFERROR(VLOOKUP($M1138,Export!$P:$R,2,FALSE),"-")</f>
        <v>Admin &amp; Other</v>
      </c>
      <c r="Q1138" s="79" t="str">
        <f>IFERROR(VLOOKUP($M1138,Export!$P:$R,3,FALSE),"-")</f>
        <v xml:space="preserve">Admin &amp; OtherStaff Remuneration &amp; Benefits as % of Total Gross </v>
      </c>
      <c r="R1138" s="80" t="e" cm="1">
        <f t="array" ref="R1138">_xlfn.IFS(P1138="Service", _xlfn.IFS(I1138="SALES","GP",I1138="SERVICE SALES","GP",I1138="PARTS SALES","GP",I1138="SERVICE COS","GP",I1138="PARTS COS","GP",I1138="SELLING EXPENSES","Selling Expenses",I1138="EMPLOYMENT EXPENSES","Selling Expenses",I1138="EMPLOYMENT EXPENSES","Selling Expenses",I1138="DIRECT EXPENSES","Selling Expenses",I1138="INDIRECT EXPENSES","Selling Expenses"),P1138="Parts",_xlfn.IFS(I1138="SALES","GP",I1138="SERVICE SALES","GP",I1138="PARTS SALES","GP",I1138="SERVICE COS","GP",I1138="PARTS COS","GP",I1138="SELLING EXPENSES","Selling Expenses",I1138="EMPLOYMENT EXPENSES","Selling Expenses",I1138="EMPLOYMENT EXPENSES","Selling Expenses",I1138="DIRECT EXPENSES","Selling Expenses",I1138="INDIRECT EXPENSES","Selling Expenses"))</f>
        <v>#N/A</v>
      </c>
    </row>
    <row r="1139" spans="1:18" x14ac:dyDescent="0.2">
      <c r="A1139" s="75">
        <v>7240</v>
      </c>
      <c r="B1139" s="76" t="s">
        <v>929</v>
      </c>
      <c r="C1139" s="76">
        <v>330</v>
      </c>
      <c r="D1139" s="76" t="s">
        <v>457</v>
      </c>
      <c r="E1139" s="76" t="s">
        <v>426</v>
      </c>
      <c r="F1139" s="77">
        <v>501.82</v>
      </c>
      <c r="G1139" s="77">
        <v>33.909999999999997</v>
      </c>
      <c r="H1139" s="77">
        <v>535.73</v>
      </c>
      <c r="I1139" s="76" t="s">
        <v>925</v>
      </c>
      <c r="J1139" s="77">
        <v>111.66</v>
      </c>
      <c r="K1139" s="78">
        <v>431.4</v>
      </c>
      <c r="M1139" s="79" t="str">
        <f t="shared" si="53"/>
        <v>330-7240</v>
      </c>
      <c r="N1139" s="79" t="str">
        <f t="shared" si="51"/>
        <v/>
      </c>
      <c r="O1139" s="79" t="str">
        <f t="shared" si="52"/>
        <v>330</v>
      </c>
      <c r="P1139" s="79" t="str">
        <f>IFERROR(VLOOKUP($M1139,Export!$P:$R,2,FALSE),"-")</f>
        <v>Admin &amp; Other</v>
      </c>
      <c r="Q1139" s="79" t="str">
        <f>IFERROR(VLOOKUP($M1139,Export!$P:$R,3,FALSE),"-")</f>
        <v xml:space="preserve">Admin &amp; OtherStaff Remuneration &amp; Benefits as % of Total Gross </v>
      </c>
      <c r="R1139" s="80" t="e" cm="1">
        <f t="array" ref="R1139">_xlfn.IFS(P1139="Service", _xlfn.IFS(I1139="SALES","GP",I1139="SERVICE SALES","GP",I1139="PARTS SALES","GP",I1139="SERVICE COS","GP",I1139="PARTS COS","GP",I1139="SELLING EXPENSES","Selling Expenses",I1139="EMPLOYMENT EXPENSES","Selling Expenses",I1139="EMPLOYMENT EXPENSES","Selling Expenses",I1139="DIRECT EXPENSES","Selling Expenses",I1139="INDIRECT EXPENSES","Selling Expenses"),P1139="Parts",_xlfn.IFS(I1139="SALES","GP",I1139="SERVICE SALES","GP",I1139="PARTS SALES","GP",I1139="SERVICE COS","GP",I1139="PARTS COS","GP",I1139="SELLING EXPENSES","Selling Expenses",I1139="EMPLOYMENT EXPENSES","Selling Expenses",I1139="EMPLOYMENT EXPENSES","Selling Expenses",I1139="DIRECT EXPENSES","Selling Expenses",I1139="INDIRECT EXPENSES","Selling Expenses"))</f>
        <v>#N/A</v>
      </c>
    </row>
    <row r="1140" spans="1:18" x14ac:dyDescent="0.2">
      <c r="A1140" s="75">
        <v>7240</v>
      </c>
      <c r="B1140" s="76" t="s">
        <v>929</v>
      </c>
      <c r="C1140" s="76">
        <v>340</v>
      </c>
      <c r="D1140" s="76" t="s">
        <v>440</v>
      </c>
      <c r="E1140" s="76" t="s">
        <v>426</v>
      </c>
      <c r="F1140" s="77">
        <v>3881.67</v>
      </c>
      <c r="G1140" s="77">
        <v>373.02</v>
      </c>
      <c r="H1140" s="77">
        <v>4254.6899999999996</v>
      </c>
      <c r="I1140" s="76" t="s">
        <v>925</v>
      </c>
      <c r="J1140" s="77">
        <v>223.32</v>
      </c>
      <c r="K1140" s="78">
        <v>1694.77</v>
      </c>
      <c r="M1140" s="79" t="str">
        <f t="shared" si="53"/>
        <v>340-7240</v>
      </c>
      <c r="N1140" s="79" t="str">
        <f t="shared" si="51"/>
        <v/>
      </c>
      <c r="O1140" s="79" t="str">
        <f t="shared" si="52"/>
        <v>340</v>
      </c>
      <c r="P1140" s="79" t="str">
        <f>IFERROR(VLOOKUP($M1140,Export!$P:$R,2,FALSE),"-")</f>
        <v>Admin &amp; Other</v>
      </c>
      <c r="Q1140" s="79" t="str">
        <f>IFERROR(VLOOKUP($M1140,Export!$P:$R,3,FALSE),"-")</f>
        <v xml:space="preserve">Admin &amp; OtherStaff Remuneration &amp; Benefits as % of Total Gross </v>
      </c>
      <c r="R1140" s="80" t="e" cm="1">
        <f t="array" ref="R1140">_xlfn.IFS(P1140="Service", _xlfn.IFS(I1140="SALES","GP",I1140="SERVICE SALES","GP",I1140="PARTS SALES","GP",I1140="SERVICE COS","GP",I1140="PARTS COS","GP",I1140="SELLING EXPENSES","Selling Expenses",I1140="EMPLOYMENT EXPENSES","Selling Expenses",I1140="EMPLOYMENT EXPENSES","Selling Expenses",I1140="DIRECT EXPENSES","Selling Expenses",I1140="INDIRECT EXPENSES","Selling Expenses"),P1140="Parts",_xlfn.IFS(I1140="SALES","GP",I1140="SERVICE SALES","GP",I1140="PARTS SALES","GP",I1140="SERVICE COS","GP",I1140="PARTS COS","GP",I1140="SELLING EXPENSES","Selling Expenses",I1140="EMPLOYMENT EXPENSES","Selling Expenses",I1140="EMPLOYMENT EXPENSES","Selling Expenses",I1140="DIRECT EXPENSES","Selling Expenses",I1140="INDIRECT EXPENSES","Selling Expenses"))</f>
        <v>#N/A</v>
      </c>
    </row>
    <row r="1141" spans="1:18" x14ac:dyDescent="0.2">
      <c r="A1141" s="75">
        <v>7240</v>
      </c>
      <c r="B1141" s="76" t="s">
        <v>929</v>
      </c>
      <c r="C1141" s="76">
        <v>430</v>
      </c>
      <c r="D1141" s="76" t="s">
        <v>458</v>
      </c>
      <c r="E1141" s="76" t="s">
        <v>426</v>
      </c>
      <c r="F1141" s="77">
        <v>501.82</v>
      </c>
      <c r="G1141" s="77">
        <v>33.909999999999997</v>
      </c>
      <c r="H1141" s="77">
        <v>535.73</v>
      </c>
      <c r="I1141" s="76" t="s">
        <v>925</v>
      </c>
      <c r="J1141" s="77">
        <v>111.66</v>
      </c>
      <c r="K1141" s="78">
        <v>443.49</v>
      </c>
      <c r="M1141" s="79" t="str">
        <f t="shared" si="53"/>
        <v>430-7240</v>
      </c>
      <c r="N1141" s="79" t="str">
        <f t="shared" si="51"/>
        <v/>
      </c>
      <c r="O1141" s="79" t="str">
        <f t="shared" si="52"/>
        <v>430</v>
      </c>
      <c r="P1141" s="79" t="str">
        <f>IFERROR(VLOOKUP($M1141,Export!$P:$R,2,FALSE),"-")</f>
        <v>Admin &amp; Other</v>
      </c>
      <c r="Q1141" s="79" t="str">
        <f>IFERROR(VLOOKUP($M1141,Export!$P:$R,3,FALSE),"-")</f>
        <v xml:space="preserve">Admin &amp; OtherStaff Remuneration &amp; Benefits as % of Total Gross </v>
      </c>
      <c r="R1141" s="80" t="e" cm="1">
        <f t="array" ref="R1141">_xlfn.IFS(P1141="Service", _xlfn.IFS(I1141="SALES","GP",I1141="SERVICE SALES","GP",I1141="PARTS SALES","GP",I1141="SERVICE COS","GP",I1141="PARTS COS","GP",I1141="SELLING EXPENSES","Selling Expenses",I1141="EMPLOYMENT EXPENSES","Selling Expenses",I1141="EMPLOYMENT EXPENSES","Selling Expenses",I1141="DIRECT EXPENSES","Selling Expenses",I1141="INDIRECT EXPENSES","Selling Expenses"),P1141="Parts",_xlfn.IFS(I1141="SALES","GP",I1141="SERVICE SALES","GP",I1141="PARTS SALES","GP",I1141="SERVICE COS","GP",I1141="PARTS COS","GP",I1141="SELLING EXPENSES","Selling Expenses",I1141="EMPLOYMENT EXPENSES","Selling Expenses",I1141="EMPLOYMENT EXPENSES","Selling Expenses",I1141="DIRECT EXPENSES","Selling Expenses",I1141="INDIRECT EXPENSES","Selling Expenses"))</f>
        <v>#N/A</v>
      </c>
    </row>
    <row r="1142" spans="1:18" x14ac:dyDescent="0.2">
      <c r="A1142" s="75">
        <v>7240</v>
      </c>
      <c r="B1142" s="76" t="s">
        <v>929</v>
      </c>
      <c r="C1142" s="76">
        <v>440</v>
      </c>
      <c r="D1142" s="76" t="s">
        <v>441</v>
      </c>
      <c r="E1142" s="76" t="s">
        <v>426</v>
      </c>
      <c r="F1142" s="77">
        <v>3881.67</v>
      </c>
      <c r="G1142" s="77">
        <v>373.02</v>
      </c>
      <c r="H1142" s="77">
        <v>4254.6899999999996</v>
      </c>
      <c r="I1142" s="76" t="s">
        <v>925</v>
      </c>
      <c r="J1142" s="77">
        <v>223.32</v>
      </c>
      <c r="K1142" s="78">
        <v>1038.69</v>
      </c>
      <c r="M1142" s="79" t="str">
        <f t="shared" si="53"/>
        <v>440-7240</v>
      </c>
      <c r="N1142" s="79" t="str">
        <f t="shared" si="51"/>
        <v/>
      </c>
      <c r="O1142" s="79" t="str">
        <f t="shared" si="52"/>
        <v>440</v>
      </c>
      <c r="P1142" s="79" t="str">
        <f>IFERROR(VLOOKUP($M1142,Export!$P:$R,2,FALSE),"-")</f>
        <v>Admin &amp; Other</v>
      </c>
      <c r="Q1142" s="79" t="str">
        <f>IFERROR(VLOOKUP($M1142,Export!$P:$R,3,FALSE),"-")</f>
        <v xml:space="preserve">Admin &amp; OtherStaff Remuneration &amp; Benefits as % of Total Gross </v>
      </c>
      <c r="R1142" s="80" t="e" cm="1">
        <f t="array" ref="R1142">_xlfn.IFS(P1142="Service", _xlfn.IFS(I1142="SALES","GP",I1142="SERVICE SALES","GP",I1142="PARTS SALES","GP",I1142="SERVICE COS","GP",I1142="PARTS COS","GP",I1142="SELLING EXPENSES","Selling Expenses",I1142="EMPLOYMENT EXPENSES","Selling Expenses",I1142="EMPLOYMENT EXPENSES","Selling Expenses",I1142="DIRECT EXPENSES","Selling Expenses",I1142="INDIRECT EXPENSES","Selling Expenses"),P1142="Parts",_xlfn.IFS(I1142="SALES","GP",I1142="SERVICE SALES","GP",I1142="PARTS SALES","GP",I1142="SERVICE COS","GP",I1142="PARTS COS","GP",I1142="SELLING EXPENSES","Selling Expenses",I1142="EMPLOYMENT EXPENSES","Selling Expenses",I1142="EMPLOYMENT EXPENSES","Selling Expenses",I1142="DIRECT EXPENSES","Selling Expenses",I1142="INDIRECT EXPENSES","Selling Expenses"))</f>
        <v>#N/A</v>
      </c>
    </row>
    <row r="1143" spans="1:18" x14ac:dyDescent="0.2">
      <c r="A1143" s="75">
        <v>7240</v>
      </c>
      <c r="B1143" s="76" t="s">
        <v>929</v>
      </c>
      <c r="C1143" s="76">
        <v>935</v>
      </c>
      <c r="D1143" s="76" t="s">
        <v>442</v>
      </c>
      <c r="E1143" s="76" t="s">
        <v>426</v>
      </c>
      <c r="F1143" s="77">
        <v>1780.9</v>
      </c>
      <c r="G1143" s="77">
        <v>169.55</v>
      </c>
      <c r="H1143" s="77">
        <v>1950.45</v>
      </c>
      <c r="I1143" s="76" t="s">
        <v>925</v>
      </c>
      <c r="J1143" s="77">
        <v>111.66</v>
      </c>
      <c r="K1143" s="78">
        <v>861</v>
      </c>
      <c r="M1143" s="79" t="str">
        <f t="shared" si="53"/>
        <v>935-7240</v>
      </c>
      <c r="N1143" s="79" t="str">
        <f t="shared" si="51"/>
        <v/>
      </c>
      <c r="O1143" s="79" t="str">
        <f t="shared" si="52"/>
        <v>935</v>
      </c>
      <c r="P1143" s="79" t="str">
        <f>IFERROR(VLOOKUP($M1143,Export!$P:$R,2,FALSE),"-")</f>
        <v>LEX Admin &amp; Other</v>
      </c>
      <c r="Q1143" s="79" t="str">
        <f>IFERROR(VLOOKUP($M1143,Export!$P:$R,3,FALSE),"-")</f>
        <v xml:space="preserve">LEX Admin &amp; OtherStaff Remuneration &amp; Benefits as % of Total Gross </v>
      </c>
      <c r="R1143" s="80" t="e" cm="1">
        <f t="array" ref="R1143">_xlfn.IFS(P1143="Service", _xlfn.IFS(I1143="SALES","GP",I1143="SERVICE SALES","GP",I1143="PARTS SALES","GP",I1143="SERVICE COS","GP",I1143="PARTS COS","GP",I1143="SELLING EXPENSES","Selling Expenses",I1143="EMPLOYMENT EXPENSES","Selling Expenses",I1143="EMPLOYMENT EXPENSES","Selling Expenses",I1143="DIRECT EXPENSES","Selling Expenses",I1143="INDIRECT EXPENSES","Selling Expenses"),P1143="Parts",_xlfn.IFS(I1143="SALES","GP",I1143="SERVICE SALES","GP",I1143="PARTS SALES","GP",I1143="SERVICE COS","GP",I1143="PARTS COS","GP",I1143="SELLING EXPENSES","Selling Expenses",I1143="EMPLOYMENT EXPENSES","Selling Expenses",I1143="EMPLOYMENT EXPENSES","Selling Expenses",I1143="DIRECT EXPENSES","Selling Expenses",I1143="INDIRECT EXPENSES","Selling Expenses"))</f>
        <v>#N/A</v>
      </c>
    </row>
    <row r="1144" spans="1:18" x14ac:dyDescent="0.2">
      <c r="A1144" s="75">
        <v>7240</v>
      </c>
      <c r="B1144" s="76" t="s">
        <v>929</v>
      </c>
      <c r="C1144" s="76">
        <v>936</v>
      </c>
      <c r="D1144" s="76" t="s">
        <v>443</v>
      </c>
      <c r="E1144" s="76" t="s">
        <v>426</v>
      </c>
      <c r="F1144" s="77">
        <v>501.82</v>
      </c>
      <c r="G1144" s="77">
        <v>33.909999999999997</v>
      </c>
      <c r="H1144" s="77">
        <v>535.73</v>
      </c>
      <c r="I1144" s="76" t="s">
        <v>925</v>
      </c>
      <c r="J1144" s="77">
        <v>111.66</v>
      </c>
      <c r="K1144" s="78">
        <v>655.36</v>
      </c>
      <c r="M1144" s="79" t="str">
        <f t="shared" si="53"/>
        <v>936-7240</v>
      </c>
      <c r="N1144" s="79" t="str">
        <f t="shared" si="51"/>
        <v/>
      </c>
      <c r="O1144" s="79" t="str">
        <f t="shared" si="52"/>
        <v>936</v>
      </c>
      <c r="P1144" s="79" t="str">
        <f>IFERROR(VLOOKUP($M1144,Export!$P:$R,2,FALSE),"-")</f>
        <v>LEX Admin &amp; Other</v>
      </c>
      <c r="Q1144" s="79" t="str">
        <f>IFERROR(VLOOKUP($M1144,Export!$P:$R,3,FALSE),"-")</f>
        <v xml:space="preserve">LEX Admin &amp; OtherStaff Remuneration &amp; Benefits as % of Total Gross </v>
      </c>
      <c r="R1144" s="80" t="e" cm="1">
        <f t="array" ref="R1144">_xlfn.IFS(P1144="Service", _xlfn.IFS(I1144="SALES","GP",I1144="SERVICE SALES","GP",I1144="PARTS SALES","GP",I1144="SERVICE COS","GP",I1144="PARTS COS","GP",I1144="SELLING EXPENSES","Selling Expenses",I1144="EMPLOYMENT EXPENSES","Selling Expenses",I1144="EMPLOYMENT EXPENSES","Selling Expenses",I1144="DIRECT EXPENSES","Selling Expenses",I1144="INDIRECT EXPENSES","Selling Expenses"),P1144="Parts",_xlfn.IFS(I1144="SALES","GP",I1144="SERVICE SALES","GP",I1144="PARTS SALES","GP",I1144="SERVICE COS","GP",I1144="PARTS COS","GP",I1144="SELLING EXPENSES","Selling Expenses",I1144="EMPLOYMENT EXPENSES","Selling Expenses",I1144="EMPLOYMENT EXPENSES","Selling Expenses",I1144="DIRECT EXPENSES","Selling Expenses",I1144="INDIRECT EXPENSES","Selling Expenses"))</f>
        <v>#N/A</v>
      </c>
    </row>
    <row r="1145" spans="1:18" x14ac:dyDescent="0.2">
      <c r="A1145" s="75">
        <v>7290</v>
      </c>
      <c r="B1145" s="76" t="s">
        <v>930</v>
      </c>
      <c r="C1145" s="76">
        <v>110</v>
      </c>
      <c r="D1145" s="76" t="s">
        <v>430</v>
      </c>
      <c r="E1145" s="76" t="s">
        <v>426</v>
      </c>
      <c r="F1145" s="77">
        <v>429.58</v>
      </c>
      <c r="G1145" s="77">
        <v>0</v>
      </c>
      <c r="H1145" s="77">
        <v>429.58</v>
      </c>
      <c r="I1145" s="76" t="s">
        <v>925</v>
      </c>
      <c r="J1145" s="77">
        <v>100</v>
      </c>
      <c r="K1145" s="78">
        <v>600</v>
      </c>
      <c r="M1145" s="79" t="str">
        <f t="shared" si="53"/>
        <v>110-7290</v>
      </c>
      <c r="N1145" s="79" t="str">
        <f t="shared" si="51"/>
        <v/>
      </c>
      <c r="O1145" s="79" t="str">
        <f t="shared" si="52"/>
        <v>110</v>
      </c>
      <c r="P1145" s="79" t="str">
        <f>IFERROR(VLOOKUP($M1145,Export!$P:$R,2,FALSE),"-")</f>
        <v>Admin &amp; Other</v>
      </c>
      <c r="Q1145" s="79" t="str">
        <f>IFERROR(VLOOKUP($M1145,Export!$P:$R,3,FALSE),"-")</f>
        <v xml:space="preserve">Admin &amp; OtherStaff Remuneration &amp; Benefits as % of Total Gross </v>
      </c>
      <c r="R1145" s="80" t="e" cm="1">
        <f t="array" ref="R1145">_xlfn.IFS(P1145="Service", _xlfn.IFS(I1145="SALES","GP",I1145="SERVICE SALES","GP",I1145="PARTS SALES","GP",I1145="SERVICE COS","GP",I1145="PARTS COS","GP",I1145="SELLING EXPENSES","Selling Expenses",I1145="EMPLOYMENT EXPENSES","Selling Expenses",I1145="EMPLOYMENT EXPENSES","Selling Expenses",I1145="DIRECT EXPENSES","Selling Expenses",I1145="INDIRECT EXPENSES","Selling Expenses"),P1145="Parts",_xlfn.IFS(I1145="SALES","GP",I1145="SERVICE SALES","GP",I1145="PARTS SALES","GP",I1145="SERVICE COS","GP",I1145="PARTS COS","GP",I1145="SELLING EXPENSES","Selling Expenses",I1145="EMPLOYMENT EXPENSES","Selling Expenses",I1145="EMPLOYMENT EXPENSES","Selling Expenses",I1145="DIRECT EXPENSES","Selling Expenses",I1145="INDIRECT EXPENSES","Selling Expenses"))</f>
        <v>#N/A</v>
      </c>
    </row>
    <row r="1146" spans="1:18" x14ac:dyDescent="0.2">
      <c r="A1146" s="75">
        <v>7290</v>
      </c>
      <c r="B1146" s="76" t="s">
        <v>930</v>
      </c>
      <c r="C1146" s="76">
        <v>112</v>
      </c>
      <c r="D1146" s="76" t="s">
        <v>349</v>
      </c>
      <c r="E1146" s="76" t="s">
        <v>426</v>
      </c>
      <c r="F1146" s="77">
        <v>846.09</v>
      </c>
      <c r="G1146" s="77">
        <v>0</v>
      </c>
      <c r="H1146" s="77">
        <v>846.09</v>
      </c>
      <c r="I1146" s="76" t="s">
        <v>925</v>
      </c>
      <c r="J1146" s="77">
        <v>200</v>
      </c>
      <c r="K1146" s="78">
        <v>1200</v>
      </c>
      <c r="M1146" s="79" t="str">
        <f t="shared" si="53"/>
        <v>112-7290</v>
      </c>
      <c r="N1146" s="79" t="str">
        <f t="shared" si="51"/>
        <v/>
      </c>
      <c r="O1146" s="79" t="str">
        <f t="shared" si="52"/>
        <v>112</v>
      </c>
      <c r="P1146" s="79" t="str">
        <f>IFERROR(VLOOKUP($M1146,Export!$P:$R,2,FALSE),"-")</f>
        <v>LEX Admin &amp; Other</v>
      </c>
      <c r="Q1146" s="79" t="str">
        <f>IFERROR(VLOOKUP($M1146,Export!$P:$R,3,FALSE),"-")</f>
        <v xml:space="preserve">LEX Admin &amp; OtherStaff Remuneration &amp; Benefits as % of Total Gross </v>
      </c>
      <c r="R1146" s="80" t="e" cm="1">
        <f t="array" ref="R1146">_xlfn.IFS(P1146="Service", _xlfn.IFS(I1146="SALES","GP",I1146="SERVICE SALES","GP",I1146="PARTS SALES","GP",I1146="SERVICE COS","GP",I1146="PARTS COS","GP",I1146="SELLING EXPENSES","Selling Expenses",I1146="EMPLOYMENT EXPENSES","Selling Expenses",I1146="EMPLOYMENT EXPENSES","Selling Expenses",I1146="DIRECT EXPENSES","Selling Expenses",I1146="INDIRECT EXPENSES","Selling Expenses"),P1146="Parts",_xlfn.IFS(I1146="SALES","GP",I1146="SERVICE SALES","GP",I1146="PARTS SALES","GP",I1146="SERVICE COS","GP",I1146="PARTS COS","GP",I1146="SELLING EXPENSES","Selling Expenses",I1146="EMPLOYMENT EXPENSES","Selling Expenses",I1146="EMPLOYMENT EXPENSES","Selling Expenses",I1146="DIRECT EXPENSES","Selling Expenses",I1146="INDIRECT EXPENSES","Selling Expenses"))</f>
        <v>#N/A</v>
      </c>
    </row>
    <row r="1147" spans="1:18" x14ac:dyDescent="0.2">
      <c r="A1147" s="75">
        <v>7290</v>
      </c>
      <c r="B1147" s="76" t="s">
        <v>930</v>
      </c>
      <c r="C1147" s="76">
        <v>120</v>
      </c>
      <c r="D1147" s="76" t="s">
        <v>431</v>
      </c>
      <c r="E1147" s="76" t="s">
        <v>426</v>
      </c>
      <c r="F1147" s="77">
        <v>367.09</v>
      </c>
      <c r="G1147" s="77">
        <v>0</v>
      </c>
      <c r="H1147" s="77">
        <v>367.09</v>
      </c>
      <c r="I1147" s="76" t="s">
        <v>925</v>
      </c>
      <c r="J1147" s="77">
        <v>100</v>
      </c>
      <c r="K1147" s="78">
        <v>600</v>
      </c>
      <c r="M1147" s="79" t="str">
        <f t="shared" si="53"/>
        <v>120-7290</v>
      </c>
      <c r="N1147" s="79" t="str">
        <f t="shared" si="51"/>
        <v/>
      </c>
      <c r="O1147" s="79" t="str">
        <f t="shared" si="52"/>
        <v>120</v>
      </c>
      <c r="P1147" s="79" t="str">
        <f>IFERROR(VLOOKUP($M1147,Export!$P:$R,2,FALSE),"-")</f>
        <v>Admin &amp; Other</v>
      </c>
      <c r="Q1147" s="79" t="str">
        <f>IFERROR(VLOOKUP($M1147,Export!$P:$R,3,FALSE),"-")</f>
        <v xml:space="preserve">Admin &amp; OtherStaff Remuneration &amp; Benefits as % of Total Gross </v>
      </c>
      <c r="R1147" s="80" t="e" cm="1">
        <f t="array" ref="R1147">_xlfn.IFS(P1147="Service", _xlfn.IFS(I1147="SALES","GP",I1147="SERVICE SALES","GP",I1147="PARTS SALES","GP",I1147="SERVICE COS","GP",I1147="PARTS COS","GP",I1147="SELLING EXPENSES","Selling Expenses",I1147="EMPLOYMENT EXPENSES","Selling Expenses",I1147="EMPLOYMENT EXPENSES","Selling Expenses",I1147="DIRECT EXPENSES","Selling Expenses",I1147="INDIRECT EXPENSES","Selling Expenses"),P1147="Parts",_xlfn.IFS(I1147="SALES","GP",I1147="SERVICE SALES","GP",I1147="PARTS SALES","GP",I1147="SERVICE COS","GP",I1147="PARTS COS","GP",I1147="SELLING EXPENSES","Selling Expenses",I1147="EMPLOYMENT EXPENSES","Selling Expenses",I1147="EMPLOYMENT EXPENSES","Selling Expenses",I1147="DIRECT EXPENSES","Selling Expenses",I1147="INDIRECT EXPENSES","Selling Expenses"))</f>
        <v>#N/A</v>
      </c>
    </row>
    <row r="1148" spans="1:18" x14ac:dyDescent="0.2">
      <c r="A1148" s="75">
        <v>7290</v>
      </c>
      <c r="B1148" s="76" t="s">
        <v>930</v>
      </c>
      <c r="C1148" s="76">
        <v>130</v>
      </c>
      <c r="D1148" s="76" t="s">
        <v>432</v>
      </c>
      <c r="E1148" s="76" t="s">
        <v>426</v>
      </c>
      <c r="F1148" s="77">
        <v>390.93</v>
      </c>
      <c r="G1148" s="77">
        <v>331.85</v>
      </c>
      <c r="H1148" s="77">
        <v>722.78</v>
      </c>
      <c r="I1148" s="76" t="s">
        <v>925</v>
      </c>
      <c r="J1148" s="77">
        <v>200</v>
      </c>
      <c r="K1148" s="78">
        <v>1200</v>
      </c>
      <c r="M1148" s="79" t="str">
        <f t="shared" si="53"/>
        <v>130-7290</v>
      </c>
      <c r="N1148" s="79" t="str">
        <f t="shared" si="51"/>
        <v/>
      </c>
      <c r="O1148" s="79" t="str">
        <f t="shared" si="52"/>
        <v>130</v>
      </c>
      <c r="P1148" s="79" t="str">
        <f>IFERROR(VLOOKUP($M1148,Export!$P:$R,2,FALSE),"-")</f>
        <v>Admin &amp; Other</v>
      </c>
      <c r="Q1148" s="79" t="str">
        <f>IFERROR(VLOOKUP($M1148,Export!$P:$R,3,FALSE),"-")</f>
        <v xml:space="preserve">Admin &amp; OtherStaff Remuneration &amp; Benefits as % of Total Gross </v>
      </c>
      <c r="R1148" s="80" t="e" cm="1">
        <f t="array" ref="R1148">_xlfn.IFS(P1148="Service", _xlfn.IFS(I1148="SALES","GP",I1148="SERVICE SALES","GP",I1148="PARTS SALES","GP",I1148="SERVICE COS","GP",I1148="PARTS COS","GP",I1148="SELLING EXPENSES","Selling Expenses",I1148="EMPLOYMENT EXPENSES","Selling Expenses",I1148="EMPLOYMENT EXPENSES","Selling Expenses",I1148="DIRECT EXPENSES","Selling Expenses",I1148="INDIRECT EXPENSES","Selling Expenses"),P1148="Parts",_xlfn.IFS(I1148="SALES","GP",I1148="SERVICE SALES","GP",I1148="PARTS SALES","GP",I1148="SERVICE COS","GP",I1148="PARTS COS","GP",I1148="SELLING EXPENSES","Selling Expenses",I1148="EMPLOYMENT EXPENSES","Selling Expenses",I1148="EMPLOYMENT EXPENSES","Selling Expenses",I1148="DIRECT EXPENSES","Selling Expenses",I1148="INDIRECT EXPENSES","Selling Expenses"))</f>
        <v>#N/A</v>
      </c>
    </row>
    <row r="1149" spans="1:18" x14ac:dyDescent="0.2">
      <c r="A1149" s="75">
        <v>7290</v>
      </c>
      <c r="B1149" s="76" t="s">
        <v>930</v>
      </c>
      <c r="C1149" s="76">
        <v>140</v>
      </c>
      <c r="D1149" s="76" t="s">
        <v>433</v>
      </c>
      <c r="E1149" s="76" t="s">
        <v>426</v>
      </c>
      <c r="F1149" s="77">
        <v>1008.12</v>
      </c>
      <c r="G1149" s="77">
        <v>190.23</v>
      </c>
      <c r="H1149" s="77">
        <v>1198.3499999999999</v>
      </c>
      <c r="I1149" s="76" t="s">
        <v>925</v>
      </c>
      <c r="J1149" s="77">
        <v>450</v>
      </c>
      <c r="K1149" s="78">
        <v>1920</v>
      </c>
      <c r="M1149" s="79" t="str">
        <f t="shared" si="53"/>
        <v>140-7290</v>
      </c>
      <c r="N1149" s="79" t="str">
        <f t="shared" si="51"/>
        <v/>
      </c>
      <c r="O1149" s="79" t="str">
        <f t="shared" si="52"/>
        <v>140</v>
      </c>
      <c r="P1149" s="79" t="str">
        <f>IFERROR(VLOOKUP($M1149,Export!$P:$R,2,FALSE),"-")</f>
        <v>Admin &amp; Other</v>
      </c>
      <c r="Q1149" s="79" t="str">
        <f>IFERROR(VLOOKUP($M1149,Export!$P:$R,3,FALSE),"-")</f>
        <v xml:space="preserve">Admin &amp; OtherStaff Remuneration &amp; Benefits as % of Total Gross </v>
      </c>
      <c r="R1149" s="80" t="e" cm="1">
        <f t="array" ref="R1149">_xlfn.IFS(P1149="Service", _xlfn.IFS(I1149="SALES","GP",I1149="SERVICE SALES","GP",I1149="PARTS SALES","GP",I1149="SERVICE COS","GP",I1149="PARTS COS","GP",I1149="SELLING EXPENSES","Selling Expenses",I1149="EMPLOYMENT EXPENSES","Selling Expenses",I1149="EMPLOYMENT EXPENSES","Selling Expenses",I1149="DIRECT EXPENSES","Selling Expenses",I1149="INDIRECT EXPENSES","Selling Expenses"),P1149="Parts",_xlfn.IFS(I1149="SALES","GP",I1149="SERVICE SALES","GP",I1149="PARTS SALES","GP",I1149="SERVICE COS","GP",I1149="PARTS COS","GP",I1149="SELLING EXPENSES","Selling Expenses",I1149="EMPLOYMENT EXPENSES","Selling Expenses",I1149="EMPLOYMENT EXPENSES","Selling Expenses",I1149="DIRECT EXPENSES","Selling Expenses",I1149="INDIRECT EXPENSES","Selling Expenses"))</f>
        <v>#N/A</v>
      </c>
    </row>
    <row r="1150" spans="1:18" x14ac:dyDescent="0.2">
      <c r="A1150" s="75">
        <v>7290</v>
      </c>
      <c r="B1150" s="76" t="s">
        <v>930</v>
      </c>
      <c r="C1150" s="76">
        <v>142</v>
      </c>
      <c r="D1150" s="76" t="s">
        <v>454</v>
      </c>
      <c r="E1150" s="76" t="s">
        <v>426</v>
      </c>
      <c r="F1150" s="77">
        <v>738.78</v>
      </c>
      <c r="G1150" s="77">
        <v>280.23</v>
      </c>
      <c r="H1150" s="77">
        <v>1019.01</v>
      </c>
      <c r="I1150" s="76" t="s">
        <v>925</v>
      </c>
      <c r="J1150" s="77">
        <v>0</v>
      </c>
      <c r="K1150" s="78">
        <v>0</v>
      </c>
      <c r="M1150" s="79" t="str">
        <f t="shared" si="53"/>
        <v>142-7290</v>
      </c>
      <c r="N1150" s="79" t="str">
        <f t="shared" si="51"/>
        <v/>
      </c>
      <c r="O1150" s="79" t="str">
        <f t="shared" si="52"/>
        <v>142</v>
      </c>
      <c r="P1150" s="79" t="str">
        <f>IFERROR(VLOOKUP($M1150,Export!$P:$R,2,FALSE),"-")</f>
        <v>LEX Admin &amp; Other</v>
      </c>
      <c r="Q1150" s="79" t="str">
        <f>IFERROR(VLOOKUP($M1150,Export!$P:$R,3,FALSE),"-")</f>
        <v>LEX Admin &amp; OtherOther Overheads as % of Total Gross Profit</v>
      </c>
      <c r="R1150" s="80" t="e" cm="1">
        <f t="array" ref="R1150">_xlfn.IFS(P1150="Service", _xlfn.IFS(I1150="SALES","GP",I1150="SERVICE SALES","GP",I1150="PARTS SALES","GP",I1150="SERVICE COS","GP",I1150="PARTS COS","GP",I1150="SELLING EXPENSES","Selling Expenses",I1150="EMPLOYMENT EXPENSES","Selling Expenses",I1150="EMPLOYMENT EXPENSES","Selling Expenses",I1150="DIRECT EXPENSES","Selling Expenses",I1150="INDIRECT EXPENSES","Selling Expenses"),P1150="Parts",_xlfn.IFS(I1150="SALES","GP",I1150="SERVICE SALES","GP",I1150="PARTS SALES","GP",I1150="SERVICE COS","GP",I1150="PARTS COS","GP",I1150="SELLING EXPENSES","Selling Expenses",I1150="EMPLOYMENT EXPENSES","Selling Expenses",I1150="EMPLOYMENT EXPENSES","Selling Expenses",I1150="DIRECT EXPENSES","Selling Expenses",I1150="INDIRECT EXPENSES","Selling Expenses"))</f>
        <v>#N/A</v>
      </c>
    </row>
    <row r="1151" spans="1:18" x14ac:dyDescent="0.2">
      <c r="A1151" s="75">
        <v>7290</v>
      </c>
      <c r="B1151" s="76" t="s">
        <v>930</v>
      </c>
      <c r="C1151" s="76">
        <v>147</v>
      </c>
      <c r="D1151" s="76" t="s">
        <v>699</v>
      </c>
      <c r="E1151" s="76" t="s">
        <v>426</v>
      </c>
      <c r="F1151" s="77">
        <v>0</v>
      </c>
      <c r="G1151" s="77">
        <v>0</v>
      </c>
      <c r="H1151" s="77">
        <v>0</v>
      </c>
      <c r="I1151" s="76" t="s">
        <v>925</v>
      </c>
      <c r="J1151" s="77">
        <v>10</v>
      </c>
      <c r="K1151" s="78">
        <v>60</v>
      </c>
      <c r="M1151" s="79" t="str">
        <f t="shared" si="53"/>
        <v>147-7290</v>
      </c>
      <c r="N1151" s="79" t="str">
        <f t="shared" si="51"/>
        <v/>
      </c>
      <c r="O1151" s="79" t="str">
        <f t="shared" si="52"/>
        <v>147</v>
      </c>
      <c r="P1151" s="79" t="str">
        <f>IFERROR(VLOOKUP($M1151,Export!$P:$R,2,FALSE),"-")</f>
        <v>Admin &amp; Other</v>
      </c>
      <c r="Q1151" s="79" t="str">
        <f>IFERROR(VLOOKUP($M1151,Export!$P:$R,3,FALSE),"-")</f>
        <v xml:space="preserve">Admin &amp; OtherStaff Remuneration &amp; Benefits as % of Total Gross </v>
      </c>
      <c r="R1151" s="80" t="e" cm="1">
        <f t="array" ref="R1151">_xlfn.IFS(P1151="Service", _xlfn.IFS(I1151="SALES","GP",I1151="SERVICE SALES","GP",I1151="PARTS SALES","GP",I1151="SERVICE COS","GP",I1151="PARTS COS","GP",I1151="SELLING EXPENSES","Selling Expenses",I1151="EMPLOYMENT EXPENSES","Selling Expenses",I1151="EMPLOYMENT EXPENSES","Selling Expenses",I1151="DIRECT EXPENSES","Selling Expenses",I1151="INDIRECT EXPENSES","Selling Expenses"),P1151="Parts",_xlfn.IFS(I1151="SALES","GP",I1151="SERVICE SALES","GP",I1151="PARTS SALES","GP",I1151="SERVICE COS","GP",I1151="PARTS COS","GP",I1151="SELLING EXPENSES","Selling Expenses",I1151="EMPLOYMENT EXPENSES","Selling Expenses",I1151="EMPLOYMENT EXPENSES","Selling Expenses",I1151="DIRECT EXPENSES","Selling Expenses",I1151="INDIRECT EXPENSES","Selling Expenses"))</f>
        <v>#N/A</v>
      </c>
    </row>
    <row r="1152" spans="1:18" x14ac:dyDescent="0.2">
      <c r="A1152" s="75">
        <v>7290</v>
      </c>
      <c r="B1152" s="76" t="s">
        <v>930</v>
      </c>
      <c r="C1152" s="76">
        <v>150</v>
      </c>
      <c r="D1152" s="76" t="s">
        <v>700</v>
      </c>
      <c r="E1152" s="76" t="s">
        <v>426</v>
      </c>
      <c r="F1152" s="77">
        <v>549.13</v>
      </c>
      <c r="G1152" s="77">
        <v>228.7</v>
      </c>
      <c r="H1152" s="77">
        <v>777.83</v>
      </c>
      <c r="I1152" s="76" t="s">
        <v>925</v>
      </c>
      <c r="J1152" s="77">
        <v>0</v>
      </c>
      <c r="K1152" s="78">
        <v>0</v>
      </c>
      <c r="M1152" s="79" t="str">
        <f t="shared" si="53"/>
        <v>150-7290</v>
      </c>
      <c r="N1152" s="79" t="str">
        <f t="shared" si="51"/>
        <v/>
      </c>
      <c r="O1152" s="79" t="str">
        <f t="shared" si="52"/>
        <v>150</v>
      </c>
      <c r="P1152" s="79" t="str">
        <f>IFERROR(VLOOKUP($M1152,Export!$P:$R,2,FALSE),"-")</f>
        <v>LEX Admin &amp; Other</v>
      </c>
      <c r="Q1152" s="79" t="str">
        <f>IFERROR(VLOOKUP($M1152,Export!$P:$R,3,FALSE),"-")</f>
        <v>LEX Admin &amp; OtherOther Overheads as % of Total Gross Profit</v>
      </c>
      <c r="R1152" s="80" t="e" cm="1">
        <f t="array" ref="R1152">_xlfn.IFS(P1152="Service", _xlfn.IFS(I1152="SALES","GP",I1152="SERVICE SALES","GP",I1152="PARTS SALES","GP",I1152="SERVICE COS","GP",I1152="PARTS COS","GP",I1152="SELLING EXPENSES","Selling Expenses",I1152="EMPLOYMENT EXPENSES","Selling Expenses",I1152="EMPLOYMENT EXPENSES","Selling Expenses",I1152="DIRECT EXPENSES","Selling Expenses",I1152="INDIRECT EXPENSES","Selling Expenses"),P1152="Parts",_xlfn.IFS(I1152="SALES","GP",I1152="SERVICE SALES","GP",I1152="PARTS SALES","GP",I1152="SERVICE COS","GP",I1152="PARTS COS","GP",I1152="SELLING EXPENSES","Selling Expenses",I1152="EMPLOYMENT EXPENSES","Selling Expenses",I1152="EMPLOYMENT EXPENSES","Selling Expenses",I1152="DIRECT EXPENSES","Selling Expenses",I1152="INDIRECT EXPENSES","Selling Expenses"))</f>
        <v>#N/A</v>
      </c>
    </row>
    <row r="1153" spans="1:18" x14ac:dyDescent="0.2">
      <c r="A1153" s="75">
        <v>7290</v>
      </c>
      <c r="B1153" s="76" t="s">
        <v>930</v>
      </c>
      <c r="C1153" s="76">
        <v>160</v>
      </c>
      <c r="D1153" s="76" t="s">
        <v>434</v>
      </c>
      <c r="E1153" s="76" t="s">
        <v>426</v>
      </c>
      <c r="F1153" s="77">
        <v>709.99</v>
      </c>
      <c r="G1153" s="77">
        <v>0</v>
      </c>
      <c r="H1153" s="77">
        <v>709.99</v>
      </c>
      <c r="I1153" s="76" t="s">
        <v>925</v>
      </c>
      <c r="J1153" s="77">
        <v>0</v>
      </c>
      <c r="K1153" s="78">
        <v>0</v>
      </c>
      <c r="M1153" s="79" t="str">
        <f t="shared" si="53"/>
        <v>160-7290</v>
      </c>
      <c r="N1153" s="79" t="str">
        <f t="shared" si="51"/>
        <v/>
      </c>
      <c r="O1153" s="79" t="str">
        <f t="shared" si="52"/>
        <v>160</v>
      </c>
      <c r="P1153" s="79" t="str">
        <f>IFERROR(VLOOKUP($M1153,Export!$P:$R,2,FALSE),"-")</f>
        <v>Admin &amp; Other</v>
      </c>
      <c r="Q1153" s="79" t="str">
        <f>IFERROR(VLOOKUP($M1153,Export!$P:$R,3,FALSE),"-")</f>
        <v xml:space="preserve">Admin &amp; OtherStaff Remuneration &amp; Benefits as % of Total Gross </v>
      </c>
      <c r="R1153" s="80" t="e" cm="1">
        <f t="array" ref="R1153">_xlfn.IFS(P1153="Service", _xlfn.IFS(I1153="SALES","GP",I1153="SERVICE SALES","GP",I1153="PARTS SALES","GP",I1153="SERVICE COS","GP",I1153="PARTS COS","GP",I1153="SELLING EXPENSES","Selling Expenses",I1153="EMPLOYMENT EXPENSES","Selling Expenses",I1153="EMPLOYMENT EXPENSES","Selling Expenses",I1153="DIRECT EXPENSES","Selling Expenses",I1153="INDIRECT EXPENSES","Selling Expenses"),P1153="Parts",_xlfn.IFS(I1153="SALES","GP",I1153="SERVICE SALES","GP",I1153="PARTS SALES","GP",I1153="SERVICE COS","GP",I1153="PARTS COS","GP",I1153="SELLING EXPENSES","Selling Expenses",I1153="EMPLOYMENT EXPENSES","Selling Expenses",I1153="EMPLOYMENT EXPENSES","Selling Expenses",I1153="DIRECT EXPENSES","Selling Expenses",I1153="INDIRECT EXPENSES","Selling Expenses"))</f>
        <v>#N/A</v>
      </c>
    </row>
    <row r="1154" spans="1:18" x14ac:dyDescent="0.2">
      <c r="A1154" s="75">
        <v>7290</v>
      </c>
      <c r="B1154" s="76" t="s">
        <v>930</v>
      </c>
      <c r="C1154" s="76">
        <v>190</v>
      </c>
      <c r="D1154" s="76" t="s">
        <v>435</v>
      </c>
      <c r="E1154" s="76" t="s">
        <v>426</v>
      </c>
      <c r="F1154" s="77">
        <v>1729.31</v>
      </c>
      <c r="G1154" s="77">
        <v>0</v>
      </c>
      <c r="H1154" s="77">
        <v>1729.31</v>
      </c>
      <c r="I1154" s="76" t="s">
        <v>925</v>
      </c>
      <c r="J1154" s="77">
        <v>0</v>
      </c>
      <c r="K1154" s="78">
        <v>0</v>
      </c>
      <c r="M1154" s="79" t="str">
        <f t="shared" si="53"/>
        <v>190-7290</v>
      </c>
      <c r="N1154" s="79" t="str">
        <f t="shared" ref="N1154:N1217" si="54">+IF(RIGHT(A1154,1)="#","#","")</f>
        <v/>
      </c>
      <c r="O1154" s="79" t="str">
        <f t="shared" ref="O1154:O1217" si="55">+C1154&amp;N1154</f>
        <v>190</v>
      </c>
      <c r="P1154" s="79" t="str">
        <f>IFERROR(VLOOKUP($M1154,Export!$P:$R,2,FALSE),"-")</f>
        <v>Admin &amp; Other</v>
      </c>
      <c r="Q1154" s="79" t="str">
        <f>IFERROR(VLOOKUP($M1154,Export!$P:$R,3,FALSE),"-")</f>
        <v>Admin &amp; OtherOther Overheads as % of Total Gross Profit</v>
      </c>
      <c r="R1154" s="80" t="e" cm="1">
        <f t="array" ref="R1154">_xlfn.IFS(P1154="Service", _xlfn.IFS(I1154="SALES","GP",I1154="SERVICE SALES","GP",I1154="PARTS SALES","GP",I1154="SERVICE COS","GP",I1154="PARTS COS","GP",I1154="SELLING EXPENSES","Selling Expenses",I1154="EMPLOYMENT EXPENSES","Selling Expenses",I1154="EMPLOYMENT EXPENSES","Selling Expenses",I1154="DIRECT EXPENSES","Selling Expenses",I1154="INDIRECT EXPENSES","Selling Expenses"),P1154="Parts",_xlfn.IFS(I1154="SALES","GP",I1154="SERVICE SALES","GP",I1154="PARTS SALES","GP",I1154="SERVICE COS","GP",I1154="PARTS COS","GP",I1154="SELLING EXPENSES","Selling Expenses",I1154="EMPLOYMENT EXPENSES","Selling Expenses",I1154="EMPLOYMENT EXPENSES","Selling Expenses",I1154="DIRECT EXPENSES","Selling Expenses",I1154="INDIRECT EXPENSES","Selling Expenses"))</f>
        <v>#N/A</v>
      </c>
    </row>
    <row r="1155" spans="1:18" x14ac:dyDescent="0.2">
      <c r="A1155" s="75">
        <v>7290</v>
      </c>
      <c r="B1155" s="76" t="s">
        <v>930</v>
      </c>
      <c r="C1155" s="76">
        <v>210</v>
      </c>
      <c r="D1155" s="76" t="s">
        <v>436</v>
      </c>
      <c r="E1155" s="76" t="s">
        <v>426</v>
      </c>
      <c r="F1155" s="77">
        <v>22.16</v>
      </c>
      <c r="G1155" s="77">
        <v>0</v>
      </c>
      <c r="H1155" s="77">
        <v>22.16</v>
      </c>
      <c r="I1155" s="76" t="s">
        <v>925</v>
      </c>
      <c r="J1155" s="77">
        <v>0</v>
      </c>
      <c r="K1155" s="78">
        <v>0</v>
      </c>
      <c r="M1155" s="79" t="str">
        <f t="shared" ref="M1155:M1218" si="56">+C1155&amp;"-"&amp;A1155</f>
        <v>210-7290</v>
      </c>
      <c r="N1155" s="79" t="str">
        <f t="shared" si="54"/>
        <v/>
      </c>
      <c r="O1155" s="79" t="str">
        <f t="shared" si="55"/>
        <v>210</v>
      </c>
      <c r="P1155" s="79" t="str">
        <f>IFERROR(VLOOKUP($M1155,Export!$P:$R,2,FALSE),"-")</f>
        <v>Admin &amp; Other</v>
      </c>
      <c r="Q1155" s="79" t="str">
        <f>IFERROR(VLOOKUP($M1155,Export!$P:$R,3,FALSE),"-")</f>
        <v xml:space="preserve">Admin &amp; OtherStaff Remuneration &amp; Benefits as % of Total Gross </v>
      </c>
      <c r="R1155" s="80" t="e" cm="1">
        <f t="array" ref="R1155">_xlfn.IFS(P1155="Service", _xlfn.IFS(I1155="SALES","GP",I1155="SERVICE SALES","GP",I1155="PARTS SALES","GP",I1155="SERVICE COS","GP",I1155="PARTS COS","GP",I1155="SELLING EXPENSES","Selling Expenses",I1155="EMPLOYMENT EXPENSES","Selling Expenses",I1155="EMPLOYMENT EXPENSES","Selling Expenses",I1155="DIRECT EXPENSES","Selling Expenses",I1155="INDIRECT EXPENSES","Selling Expenses"),P1155="Parts",_xlfn.IFS(I1155="SALES","GP",I1155="SERVICE SALES","GP",I1155="PARTS SALES","GP",I1155="SERVICE COS","GP",I1155="PARTS COS","GP",I1155="SELLING EXPENSES","Selling Expenses",I1155="EMPLOYMENT EXPENSES","Selling Expenses",I1155="EMPLOYMENT EXPENSES","Selling Expenses",I1155="DIRECT EXPENSES","Selling Expenses",I1155="INDIRECT EXPENSES","Selling Expenses"))</f>
        <v>#N/A</v>
      </c>
    </row>
    <row r="1156" spans="1:18" x14ac:dyDescent="0.2">
      <c r="A1156" s="75">
        <v>7290</v>
      </c>
      <c r="B1156" s="76" t="s">
        <v>930</v>
      </c>
      <c r="C1156" s="76">
        <v>220</v>
      </c>
      <c r="D1156" s="76" t="s">
        <v>437</v>
      </c>
      <c r="E1156" s="76" t="s">
        <v>426</v>
      </c>
      <c r="F1156" s="77">
        <v>13.29</v>
      </c>
      <c r="G1156" s="77">
        <v>0</v>
      </c>
      <c r="H1156" s="77">
        <v>13.29</v>
      </c>
      <c r="I1156" s="76" t="s">
        <v>925</v>
      </c>
      <c r="J1156" s="77">
        <v>0</v>
      </c>
      <c r="K1156" s="78">
        <v>0</v>
      </c>
      <c r="M1156" s="79" t="str">
        <f t="shared" si="56"/>
        <v>220-7290</v>
      </c>
      <c r="N1156" s="79" t="str">
        <f t="shared" si="54"/>
        <v/>
      </c>
      <c r="O1156" s="79" t="str">
        <f t="shared" si="55"/>
        <v>220</v>
      </c>
      <c r="P1156" s="79" t="str">
        <f>IFERROR(VLOOKUP($M1156,Export!$P:$R,2,FALSE),"-")</f>
        <v>Admin &amp; Other</v>
      </c>
      <c r="Q1156" s="79" t="str">
        <f>IFERROR(VLOOKUP($M1156,Export!$P:$R,3,FALSE),"-")</f>
        <v xml:space="preserve">Admin &amp; OtherStaff Remuneration &amp; Benefits as % of Total Gross </v>
      </c>
      <c r="R1156" s="80" t="e" cm="1">
        <f t="array" ref="R1156">_xlfn.IFS(P1156="Service", _xlfn.IFS(I1156="SALES","GP",I1156="SERVICE SALES","GP",I1156="PARTS SALES","GP",I1156="SERVICE COS","GP",I1156="PARTS COS","GP",I1156="SELLING EXPENSES","Selling Expenses",I1156="EMPLOYMENT EXPENSES","Selling Expenses",I1156="EMPLOYMENT EXPENSES","Selling Expenses",I1156="DIRECT EXPENSES","Selling Expenses",I1156="INDIRECT EXPENSES","Selling Expenses"),P1156="Parts",_xlfn.IFS(I1156="SALES","GP",I1156="SERVICE SALES","GP",I1156="PARTS SALES","GP",I1156="SERVICE COS","GP",I1156="PARTS COS","GP",I1156="SELLING EXPENSES","Selling Expenses",I1156="EMPLOYMENT EXPENSES","Selling Expenses",I1156="EMPLOYMENT EXPENSES","Selling Expenses",I1156="DIRECT EXPENSES","Selling Expenses",I1156="INDIRECT EXPENSES","Selling Expenses"))</f>
        <v>#N/A</v>
      </c>
    </row>
    <row r="1157" spans="1:18" x14ac:dyDescent="0.2">
      <c r="A1157" s="75">
        <v>7290</v>
      </c>
      <c r="B1157" s="76" t="s">
        <v>930</v>
      </c>
      <c r="C1157" s="76">
        <v>230</v>
      </c>
      <c r="D1157" s="76" t="s">
        <v>438</v>
      </c>
      <c r="E1157" s="76" t="s">
        <v>426</v>
      </c>
      <c r="F1157" s="77">
        <v>655.15</v>
      </c>
      <c r="G1157" s="287">
        <v>0</v>
      </c>
      <c r="H1157" s="77">
        <v>655.15</v>
      </c>
      <c r="I1157" s="76" t="s">
        <v>925</v>
      </c>
      <c r="J1157" s="77">
        <v>0</v>
      </c>
      <c r="K1157" s="78">
        <v>0</v>
      </c>
      <c r="M1157" s="79" t="str">
        <f t="shared" si="56"/>
        <v>230-7290</v>
      </c>
      <c r="N1157" s="79" t="str">
        <f t="shared" si="54"/>
        <v/>
      </c>
      <c r="O1157" s="79" t="str">
        <f t="shared" si="55"/>
        <v>230</v>
      </c>
      <c r="P1157" s="79" t="str">
        <f>IFERROR(VLOOKUP($M1157,Export!$P:$R,2,FALSE),"-")</f>
        <v>Admin &amp; Other</v>
      </c>
      <c r="Q1157" s="79" t="str">
        <f>IFERROR(VLOOKUP($M1157,Export!$P:$R,3,FALSE),"-")</f>
        <v xml:space="preserve">Admin &amp; OtherStaff Remuneration &amp; Benefits as % of Total Gross </v>
      </c>
      <c r="R1157" s="80" t="e" cm="1">
        <f t="array" ref="R1157">_xlfn.IFS(P1157="Service", _xlfn.IFS(I1157="SALES","GP",I1157="SERVICE SALES","GP",I1157="PARTS SALES","GP",I1157="SERVICE COS","GP",I1157="PARTS COS","GP",I1157="SELLING EXPENSES","Selling Expenses",I1157="EMPLOYMENT EXPENSES","Selling Expenses",I1157="EMPLOYMENT EXPENSES","Selling Expenses",I1157="DIRECT EXPENSES","Selling Expenses",I1157="INDIRECT EXPENSES","Selling Expenses"),P1157="Parts",_xlfn.IFS(I1157="SALES","GP",I1157="SERVICE SALES","GP",I1157="PARTS SALES","GP",I1157="SERVICE COS","GP",I1157="PARTS COS","GP",I1157="SELLING EXPENSES","Selling Expenses",I1157="EMPLOYMENT EXPENSES","Selling Expenses",I1157="EMPLOYMENT EXPENSES","Selling Expenses",I1157="DIRECT EXPENSES","Selling Expenses",I1157="INDIRECT EXPENSES","Selling Expenses"))</f>
        <v>#N/A</v>
      </c>
    </row>
    <row r="1158" spans="1:18" x14ac:dyDescent="0.2">
      <c r="A1158" s="75">
        <v>7290</v>
      </c>
      <c r="B1158" s="76" t="s">
        <v>930</v>
      </c>
      <c r="C1158" s="76">
        <v>240</v>
      </c>
      <c r="D1158" s="76" t="s">
        <v>439</v>
      </c>
      <c r="E1158" s="76" t="s">
        <v>426</v>
      </c>
      <c r="F1158" s="77">
        <v>2683.03</v>
      </c>
      <c r="G1158" s="77">
        <v>109.13</v>
      </c>
      <c r="H1158" s="77">
        <v>2792.16</v>
      </c>
      <c r="I1158" s="76" t="s">
        <v>925</v>
      </c>
      <c r="J1158" s="77">
        <v>100</v>
      </c>
      <c r="K1158" s="78">
        <v>600</v>
      </c>
      <c r="M1158" s="79" t="str">
        <f t="shared" si="56"/>
        <v>240-7290</v>
      </c>
      <c r="N1158" s="79" t="str">
        <f t="shared" si="54"/>
        <v/>
      </c>
      <c r="O1158" s="79" t="str">
        <f t="shared" si="55"/>
        <v>240</v>
      </c>
      <c r="P1158" s="79" t="str">
        <f>IFERROR(VLOOKUP($M1158,Export!$P:$R,2,FALSE),"-")</f>
        <v>Admin &amp; Other</v>
      </c>
      <c r="Q1158" s="79" t="str">
        <f>IFERROR(VLOOKUP($M1158,Export!$P:$R,3,FALSE),"-")</f>
        <v xml:space="preserve">Admin &amp; OtherStaff Remuneration &amp; Benefits as % of Total Gross </v>
      </c>
      <c r="R1158" s="80" t="e" cm="1">
        <f t="array" ref="R1158">_xlfn.IFS(P1158="Service", _xlfn.IFS(I1158="SALES","GP",I1158="SERVICE SALES","GP",I1158="PARTS SALES","GP",I1158="SERVICE COS","GP",I1158="PARTS COS","GP",I1158="SELLING EXPENSES","Selling Expenses",I1158="EMPLOYMENT EXPENSES","Selling Expenses",I1158="EMPLOYMENT EXPENSES","Selling Expenses",I1158="DIRECT EXPENSES","Selling Expenses",I1158="INDIRECT EXPENSES","Selling Expenses"),P1158="Parts",_xlfn.IFS(I1158="SALES","GP",I1158="SERVICE SALES","GP",I1158="PARTS SALES","GP",I1158="SERVICE COS","GP",I1158="PARTS COS","GP",I1158="SELLING EXPENSES","Selling Expenses",I1158="EMPLOYMENT EXPENSES","Selling Expenses",I1158="EMPLOYMENT EXPENSES","Selling Expenses",I1158="DIRECT EXPENSES","Selling Expenses",I1158="INDIRECT EXPENSES","Selling Expenses"))</f>
        <v>#N/A</v>
      </c>
    </row>
    <row r="1159" spans="1:18" x14ac:dyDescent="0.2">
      <c r="A1159" s="75">
        <v>7290</v>
      </c>
      <c r="B1159" s="76" t="s">
        <v>930</v>
      </c>
      <c r="C1159" s="76">
        <v>260</v>
      </c>
      <c r="D1159" s="76" t="s">
        <v>456</v>
      </c>
      <c r="E1159" s="76" t="s">
        <v>426</v>
      </c>
      <c r="F1159" s="77">
        <v>318.94</v>
      </c>
      <c r="G1159" s="77">
        <v>0</v>
      </c>
      <c r="H1159" s="77">
        <v>318.94</v>
      </c>
      <c r="I1159" s="76" t="s">
        <v>925</v>
      </c>
      <c r="J1159" s="77">
        <v>0</v>
      </c>
      <c r="K1159" s="78">
        <v>0</v>
      </c>
      <c r="M1159" s="79" t="str">
        <f t="shared" si="56"/>
        <v>260-7290</v>
      </c>
      <c r="N1159" s="79" t="str">
        <f t="shared" si="54"/>
        <v/>
      </c>
      <c r="O1159" s="79" t="str">
        <f t="shared" si="55"/>
        <v>260</v>
      </c>
      <c r="P1159" s="79" t="str">
        <f>IFERROR(VLOOKUP($M1159,Export!$P:$R,2,FALSE),"-")</f>
        <v>Admin &amp; Other</v>
      </c>
      <c r="Q1159" s="79" t="str">
        <f>IFERROR(VLOOKUP($M1159,Export!$P:$R,3,FALSE),"-")</f>
        <v xml:space="preserve">Admin &amp; OtherStaff Remuneration &amp; Benefits as % of Total Gross </v>
      </c>
      <c r="R1159" s="80" t="e" cm="1">
        <f t="array" ref="R1159">_xlfn.IFS(P1159="Service", _xlfn.IFS(I1159="SALES","GP",I1159="SERVICE SALES","GP",I1159="PARTS SALES","GP",I1159="SERVICE COS","GP",I1159="PARTS COS","GP",I1159="SELLING EXPENSES","Selling Expenses",I1159="EMPLOYMENT EXPENSES","Selling Expenses",I1159="EMPLOYMENT EXPENSES","Selling Expenses",I1159="DIRECT EXPENSES","Selling Expenses",I1159="INDIRECT EXPENSES","Selling Expenses"),P1159="Parts",_xlfn.IFS(I1159="SALES","GP",I1159="SERVICE SALES","GP",I1159="PARTS SALES","GP",I1159="SERVICE COS","GP",I1159="PARTS COS","GP",I1159="SELLING EXPENSES","Selling Expenses",I1159="EMPLOYMENT EXPENSES","Selling Expenses",I1159="EMPLOYMENT EXPENSES","Selling Expenses",I1159="DIRECT EXPENSES","Selling Expenses",I1159="INDIRECT EXPENSES","Selling Expenses"))</f>
        <v>#N/A</v>
      </c>
    </row>
    <row r="1160" spans="1:18" x14ac:dyDescent="0.2">
      <c r="A1160" s="75">
        <v>7290</v>
      </c>
      <c r="B1160" s="76" t="s">
        <v>930</v>
      </c>
      <c r="C1160" s="76">
        <v>340</v>
      </c>
      <c r="D1160" s="76" t="s">
        <v>440</v>
      </c>
      <c r="E1160" s="76" t="s">
        <v>426</v>
      </c>
      <c r="F1160" s="77">
        <v>576.38</v>
      </c>
      <c r="G1160" s="77">
        <v>0</v>
      </c>
      <c r="H1160" s="77">
        <v>576.38</v>
      </c>
      <c r="I1160" s="76" t="s">
        <v>925</v>
      </c>
      <c r="J1160" s="77">
        <v>60</v>
      </c>
      <c r="K1160" s="78">
        <v>360</v>
      </c>
      <c r="M1160" s="79" t="str">
        <f t="shared" si="56"/>
        <v>340-7290</v>
      </c>
      <c r="N1160" s="79" t="str">
        <f t="shared" si="54"/>
        <v/>
      </c>
      <c r="O1160" s="79" t="str">
        <f t="shared" si="55"/>
        <v>340</v>
      </c>
      <c r="P1160" s="79" t="str">
        <f>IFERROR(VLOOKUP($M1160,Export!$P:$R,2,FALSE),"-")</f>
        <v>Admin &amp; Other</v>
      </c>
      <c r="Q1160" s="79" t="str">
        <f>IFERROR(VLOOKUP($M1160,Export!$P:$R,3,FALSE),"-")</f>
        <v xml:space="preserve">Admin &amp; OtherStaff Remuneration &amp; Benefits as % of Total Gross </v>
      </c>
      <c r="R1160" s="80" t="e" cm="1">
        <f t="array" ref="R1160">_xlfn.IFS(P1160="Service", _xlfn.IFS(I1160="SALES","GP",I1160="SERVICE SALES","GP",I1160="PARTS SALES","GP",I1160="SERVICE COS","GP",I1160="PARTS COS","GP",I1160="SELLING EXPENSES","Selling Expenses",I1160="EMPLOYMENT EXPENSES","Selling Expenses",I1160="EMPLOYMENT EXPENSES","Selling Expenses",I1160="DIRECT EXPENSES","Selling Expenses",I1160="INDIRECT EXPENSES","Selling Expenses"),P1160="Parts",_xlfn.IFS(I1160="SALES","GP",I1160="SERVICE SALES","GP",I1160="PARTS SALES","GP",I1160="SERVICE COS","GP",I1160="PARTS COS","GP",I1160="SELLING EXPENSES","Selling Expenses",I1160="EMPLOYMENT EXPENSES","Selling Expenses",I1160="EMPLOYMENT EXPENSES","Selling Expenses",I1160="DIRECT EXPENSES","Selling Expenses",I1160="INDIRECT EXPENSES","Selling Expenses"))</f>
        <v>#N/A</v>
      </c>
    </row>
    <row r="1161" spans="1:18" x14ac:dyDescent="0.2">
      <c r="A1161" s="75">
        <v>7290</v>
      </c>
      <c r="B1161" s="76" t="s">
        <v>930</v>
      </c>
      <c r="C1161" s="76">
        <v>430</v>
      </c>
      <c r="D1161" s="76" t="s">
        <v>458</v>
      </c>
      <c r="E1161" s="76" t="s">
        <v>426</v>
      </c>
      <c r="F1161" s="77">
        <v>293.33999999999997</v>
      </c>
      <c r="G1161" s="77">
        <v>0</v>
      </c>
      <c r="H1161" s="77">
        <v>293.33999999999997</v>
      </c>
      <c r="I1161" s="76" t="s">
        <v>925</v>
      </c>
      <c r="J1161" s="77">
        <v>100</v>
      </c>
      <c r="K1161" s="78">
        <v>600</v>
      </c>
      <c r="M1161" s="79" t="str">
        <f t="shared" si="56"/>
        <v>430-7290</v>
      </c>
      <c r="N1161" s="79" t="str">
        <f t="shared" si="54"/>
        <v/>
      </c>
      <c r="O1161" s="79" t="str">
        <f t="shared" si="55"/>
        <v>430</v>
      </c>
      <c r="P1161" s="79" t="str">
        <f>IFERROR(VLOOKUP($M1161,Export!$P:$R,2,FALSE),"-")</f>
        <v>Admin &amp; Other</v>
      </c>
      <c r="Q1161" s="79" t="str">
        <f>IFERROR(VLOOKUP($M1161,Export!$P:$R,3,FALSE),"-")</f>
        <v xml:space="preserve">Admin &amp; OtherStaff Remuneration &amp; Benefits as % of Total Gross </v>
      </c>
      <c r="R1161" s="80" t="e" cm="1">
        <f t="array" ref="R1161">_xlfn.IFS(P1161="Service", _xlfn.IFS(I1161="SALES","GP",I1161="SERVICE SALES","GP",I1161="PARTS SALES","GP",I1161="SERVICE COS","GP",I1161="PARTS COS","GP",I1161="SELLING EXPENSES","Selling Expenses",I1161="EMPLOYMENT EXPENSES","Selling Expenses",I1161="EMPLOYMENT EXPENSES","Selling Expenses",I1161="DIRECT EXPENSES","Selling Expenses",I1161="INDIRECT EXPENSES","Selling Expenses"),P1161="Parts",_xlfn.IFS(I1161="SALES","GP",I1161="SERVICE SALES","GP",I1161="PARTS SALES","GP",I1161="SERVICE COS","GP",I1161="PARTS COS","GP",I1161="SELLING EXPENSES","Selling Expenses",I1161="EMPLOYMENT EXPENSES","Selling Expenses",I1161="EMPLOYMENT EXPENSES","Selling Expenses",I1161="DIRECT EXPENSES","Selling Expenses",I1161="INDIRECT EXPENSES","Selling Expenses"))</f>
        <v>#N/A</v>
      </c>
    </row>
    <row r="1162" spans="1:18" x14ac:dyDescent="0.2">
      <c r="A1162" s="75">
        <v>7290</v>
      </c>
      <c r="B1162" s="76" t="s">
        <v>930</v>
      </c>
      <c r="C1162" s="76">
        <v>440</v>
      </c>
      <c r="D1162" s="76" t="s">
        <v>441</v>
      </c>
      <c r="E1162" s="76" t="s">
        <v>426</v>
      </c>
      <c r="F1162" s="77">
        <v>859.62</v>
      </c>
      <c r="G1162" s="77">
        <v>0</v>
      </c>
      <c r="H1162" s="77">
        <v>859.62</v>
      </c>
      <c r="I1162" s="76" t="s">
        <v>925</v>
      </c>
      <c r="J1162" s="77">
        <v>200</v>
      </c>
      <c r="K1162" s="78">
        <v>1200</v>
      </c>
      <c r="M1162" s="79" t="str">
        <f t="shared" si="56"/>
        <v>440-7290</v>
      </c>
      <c r="N1162" s="79" t="str">
        <f t="shared" si="54"/>
        <v/>
      </c>
      <c r="O1162" s="79" t="str">
        <f t="shared" si="55"/>
        <v>440</v>
      </c>
      <c r="P1162" s="79" t="str">
        <f>IFERROR(VLOOKUP($M1162,Export!$P:$R,2,FALSE),"-")</f>
        <v>Admin &amp; Other</v>
      </c>
      <c r="Q1162" s="79" t="str">
        <f>IFERROR(VLOOKUP($M1162,Export!$P:$R,3,FALSE),"-")</f>
        <v xml:space="preserve">Admin &amp; OtherStaff Remuneration &amp; Benefits as % of Total Gross </v>
      </c>
      <c r="R1162" s="80" t="e" cm="1">
        <f t="array" ref="R1162">_xlfn.IFS(P1162="Service", _xlfn.IFS(I1162="SALES","GP",I1162="SERVICE SALES","GP",I1162="PARTS SALES","GP",I1162="SERVICE COS","GP",I1162="PARTS COS","GP",I1162="SELLING EXPENSES","Selling Expenses",I1162="EMPLOYMENT EXPENSES","Selling Expenses",I1162="EMPLOYMENT EXPENSES","Selling Expenses",I1162="DIRECT EXPENSES","Selling Expenses",I1162="INDIRECT EXPENSES","Selling Expenses"),P1162="Parts",_xlfn.IFS(I1162="SALES","GP",I1162="SERVICE SALES","GP",I1162="PARTS SALES","GP",I1162="SERVICE COS","GP",I1162="PARTS COS","GP",I1162="SELLING EXPENSES","Selling Expenses",I1162="EMPLOYMENT EXPENSES","Selling Expenses",I1162="EMPLOYMENT EXPENSES","Selling Expenses",I1162="DIRECT EXPENSES","Selling Expenses",I1162="INDIRECT EXPENSES","Selling Expenses"))</f>
        <v>#N/A</v>
      </c>
    </row>
    <row r="1163" spans="1:18" x14ac:dyDescent="0.2">
      <c r="A1163" s="75">
        <v>7290</v>
      </c>
      <c r="B1163" s="76" t="s">
        <v>930</v>
      </c>
      <c r="C1163" s="76">
        <v>935</v>
      </c>
      <c r="D1163" s="76" t="s">
        <v>442</v>
      </c>
      <c r="E1163" s="76" t="s">
        <v>426</v>
      </c>
      <c r="F1163" s="77">
        <v>8.3000000000000007</v>
      </c>
      <c r="G1163" s="287">
        <v>0</v>
      </c>
      <c r="H1163" s="77">
        <v>8.3000000000000007</v>
      </c>
      <c r="I1163" s="76" t="s">
        <v>925</v>
      </c>
      <c r="J1163" s="77">
        <v>100</v>
      </c>
      <c r="K1163" s="78">
        <v>600</v>
      </c>
      <c r="M1163" s="79" t="str">
        <f t="shared" si="56"/>
        <v>935-7290</v>
      </c>
      <c r="N1163" s="79" t="str">
        <f t="shared" si="54"/>
        <v/>
      </c>
      <c r="O1163" s="79" t="str">
        <f t="shared" si="55"/>
        <v>935</v>
      </c>
      <c r="P1163" s="79" t="str">
        <f>IFERROR(VLOOKUP($M1163,Export!$P:$R,2,FALSE),"-")</f>
        <v>LEX Admin &amp; Other</v>
      </c>
      <c r="Q1163" s="79" t="str">
        <f>IFERROR(VLOOKUP($M1163,Export!$P:$R,3,FALSE),"-")</f>
        <v xml:space="preserve">LEX Admin &amp; OtherStaff Remuneration &amp; Benefits as % of Total Gross </v>
      </c>
      <c r="R1163" s="80" t="e" cm="1">
        <f t="array" ref="R1163">_xlfn.IFS(P1163="Service", _xlfn.IFS(I1163="SALES","GP",I1163="SERVICE SALES","GP",I1163="PARTS SALES","GP",I1163="SERVICE COS","GP",I1163="PARTS COS","GP",I1163="SELLING EXPENSES","Selling Expenses",I1163="EMPLOYMENT EXPENSES","Selling Expenses",I1163="EMPLOYMENT EXPENSES","Selling Expenses",I1163="DIRECT EXPENSES","Selling Expenses",I1163="INDIRECT EXPENSES","Selling Expenses"),P1163="Parts",_xlfn.IFS(I1163="SALES","GP",I1163="SERVICE SALES","GP",I1163="PARTS SALES","GP",I1163="SERVICE COS","GP",I1163="PARTS COS","GP",I1163="SELLING EXPENSES","Selling Expenses",I1163="EMPLOYMENT EXPENSES","Selling Expenses",I1163="EMPLOYMENT EXPENSES","Selling Expenses",I1163="DIRECT EXPENSES","Selling Expenses",I1163="INDIRECT EXPENSES","Selling Expenses"))</f>
        <v>#N/A</v>
      </c>
    </row>
    <row r="1164" spans="1:18" x14ac:dyDescent="0.2">
      <c r="A1164" s="75">
        <v>7290</v>
      </c>
      <c r="B1164" s="76" t="s">
        <v>930</v>
      </c>
      <c r="C1164" s="76">
        <v>936</v>
      </c>
      <c r="D1164" s="76" t="s">
        <v>443</v>
      </c>
      <c r="E1164" s="76" t="s">
        <v>426</v>
      </c>
      <c r="F1164" s="77">
        <v>8.3000000000000007</v>
      </c>
      <c r="G1164" s="77">
        <v>0</v>
      </c>
      <c r="H1164" s="77">
        <v>8.3000000000000007</v>
      </c>
      <c r="I1164" s="76" t="s">
        <v>925</v>
      </c>
      <c r="J1164" s="77">
        <v>0</v>
      </c>
      <c r="K1164" s="78">
        <v>0</v>
      </c>
      <c r="M1164" s="79" t="str">
        <f t="shared" si="56"/>
        <v>936-7290</v>
      </c>
      <c r="N1164" s="79" t="str">
        <f t="shared" si="54"/>
        <v/>
      </c>
      <c r="O1164" s="79" t="str">
        <f t="shared" si="55"/>
        <v>936</v>
      </c>
      <c r="P1164" s="79" t="str">
        <f>IFERROR(VLOOKUP($M1164,Export!$P:$R,2,FALSE),"-")</f>
        <v>LEX Admin &amp; Other</v>
      </c>
      <c r="Q1164" s="79" t="str">
        <f>IFERROR(VLOOKUP($M1164,Export!$P:$R,3,FALSE),"-")</f>
        <v xml:space="preserve">LEX Admin &amp; OtherStaff Remuneration &amp; Benefits as % of Total Gross </v>
      </c>
      <c r="R1164" s="80" t="e" cm="1">
        <f t="array" ref="R1164">_xlfn.IFS(P1164="Service", _xlfn.IFS(I1164="SALES","GP",I1164="SERVICE SALES","GP",I1164="PARTS SALES","GP",I1164="SERVICE COS","GP",I1164="PARTS COS","GP",I1164="SELLING EXPENSES","Selling Expenses",I1164="EMPLOYMENT EXPENSES","Selling Expenses",I1164="EMPLOYMENT EXPENSES","Selling Expenses",I1164="DIRECT EXPENSES","Selling Expenses",I1164="INDIRECT EXPENSES","Selling Expenses"),P1164="Parts",_xlfn.IFS(I1164="SALES","GP",I1164="SERVICE SALES","GP",I1164="PARTS SALES","GP",I1164="SERVICE COS","GP",I1164="PARTS COS","GP",I1164="SELLING EXPENSES","Selling Expenses",I1164="EMPLOYMENT EXPENSES","Selling Expenses",I1164="EMPLOYMENT EXPENSES","Selling Expenses",I1164="DIRECT EXPENSES","Selling Expenses",I1164="INDIRECT EXPENSES","Selling Expenses"))</f>
        <v>#N/A</v>
      </c>
    </row>
    <row r="1165" spans="1:18" x14ac:dyDescent="0.2">
      <c r="A1165" s="75">
        <v>7295</v>
      </c>
      <c r="B1165" s="76" t="s">
        <v>931</v>
      </c>
      <c r="C1165" s="76">
        <v>110</v>
      </c>
      <c r="D1165" s="76" t="s">
        <v>430</v>
      </c>
      <c r="E1165" s="76" t="s">
        <v>426</v>
      </c>
      <c r="F1165" s="77">
        <v>29028.11</v>
      </c>
      <c r="G1165" s="77">
        <v>3158.99</v>
      </c>
      <c r="H1165" s="77">
        <v>32187.1</v>
      </c>
      <c r="I1165" s="76" t="s">
        <v>925</v>
      </c>
      <c r="J1165" s="77">
        <v>2752.12</v>
      </c>
      <c r="K1165" s="78">
        <v>27110.38</v>
      </c>
      <c r="M1165" s="79" t="str">
        <f t="shared" si="56"/>
        <v>110-7295</v>
      </c>
      <c r="N1165" s="79" t="str">
        <f t="shared" si="54"/>
        <v/>
      </c>
      <c r="O1165" s="79" t="str">
        <f t="shared" si="55"/>
        <v>110</v>
      </c>
      <c r="P1165" s="79" t="str">
        <f>IFERROR(VLOOKUP($M1165,Export!$P:$R,2,FALSE),"-")</f>
        <v>Admin &amp; Other</v>
      </c>
      <c r="Q1165" s="79" t="str">
        <f>IFERROR(VLOOKUP($M1165,Export!$P:$R,3,FALSE),"-")</f>
        <v xml:space="preserve">Admin &amp; OtherStaff Remuneration &amp; Benefits as % of Total Gross </v>
      </c>
      <c r="R1165" s="80" t="e" cm="1">
        <f t="array" ref="R1165">_xlfn.IFS(P1165="Service", _xlfn.IFS(I1165="SALES","GP",I1165="SERVICE SALES","GP",I1165="PARTS SALES","GP",I1165="SERVICE COS","GP",I1165="PARTS COS","GP",I1165="SELLING EXPENSES","Selling Expenses",I1165="EMPLOYMENT EXPENSES","Selling Expenses",I1165="EMPLOYMENT EXPENSES","Selling Expenses",I1165="DIRECT EXPENSES","Selling Expenses",I1165="INDIRECT EXPENSES","Selling Expenses"),P1165="Parts",_xlfn.IFS(I1165="SALES","GP",I1165="SERVICE SALES","GP",I1165="PARTS SALES","GP",I1165="SERVICE COS","GP",I1165="PARTS COS","GP",I1165="SELLING EXPENSES","Selling Expenses",I1165="EMPLOYMENT EXPENSES","Selling Expenses",I1165="EMPLOYMENT EXPENSES","Selling Expenses",I1165="DIRECT EXPENSES","Selling Expenses",I1165="INDIRECT EXPENSES","Selling Expenses"))</f>
        <v>#N/A</v>
      </c>
    </row>
    <row r="1166" spans="1:18" x14ac:dyDescent="0.2">
      <c r="A1166" s="75">
        <v>7295</v>
      </c>
      <c r="B1166" s="76" t="s">
        <v>931</v>
      </c>
      <c r="C1166" s="76">
        <v>112</v>
      </c>
      <c r="D1166" s="76" t="s">
        <v>349</v>
      </c>
      <c r="E1166" s="76" t="s">
        <v>426</v>
      </c>
      <c r="F1166" s="77">
        <v>21115.16</v>
      </c>
      <c r="G1166" s="77">
        <v>2351.06</v>
      </c>
      <c r="H1166" s="77">
        <v>23466.22</v>
      </c>
      <c r="I1166" s="76" t="s">
        <v>925</v>
      </c>
      <c r="J1166" s="77">
        <v>3041.28</v>
      </c>
      <c r="K1166" s="78">
        <v>29234.69</v>
      </c>
      <c r="M1166" s="79" t="str">
        <f t="shared" si="56"/>
        <v>112-7295</v>
      </c>
      <c r="N1166" s="79" t="str">
        <f t="shared" si="54"/>
        <v/>
      </c>
      <c r="O1166" s="79" t="str">
        <f t="shared" si="55"/>
        <v>112</v>
      </c>
      <c r="P1166" s="79" t="str">
        <f>IFERROR(VLOOKUP($M1166,Export!$P:$R,2,FALSE),"-")</f>
        <v>LEX Admin &amp; Other</v>
      </c>
      <c r="Q1166" s="79" t="str">
        <f>IFERROR(VLOOKUP($M1166,Export!$P:$R,3,FALSE),"-")</f>
        <v xml:space="preserve">LEX Admin &amp; OtherStaff Remuneration &amp; Benefits as % of Total Gross </v>
      </c>
      <c r="R1166" s="80" t="e" cm="1">
        <f t="array" ref="R1166">_xlfn.IFS(P1166="Service", _xlfn.IFS(I1166="SALES","GP",I1166="SERVICE SALES","GP",I1166="PARTS SALES","GP",I1166="SERVICE COS","GP",I1166="PARTS COS","GP",I1166="SELLING EXPENSES","Selling Expenses",I1166="EMPLOYMENT EXPENSES","Selling Expenses",I1166="EMPLOYMENT EXPENSES","Selling Expenses",I1166="DIRECT EXPENSES","Selling Expenses",I1166="INDIRECT EXPENSES","Selling Expenses"),P1166="Parts",_xlfn.IFS(I1166="SALES","GP",I1166="SERVICE SALES","GP",I1166="PARTS SALES","GP",I1166="SERVICE COS","GP",I1166="PARTS COS","GP",I1166="SELLING EXPENSES","Selling Expenses",I1166="EMPLOYMENT EXPENSES","Selling Expenses",I1166="EMPLOYMENT EXPENSES","Selling Expenses",I1166="DIRECT EXPENSES","Selling Expenses",I1166="INDIRECT EXPENSES","Selling Expenses"))</f>
        <v>#N/A</v>
      </c>
    </row>
    <row r="1167" spans="1:18" x14ac:dyDescent="0.2">
      <c r="A1167" s="75">
        <v>7295</v>
      </c>
      <c r="B1167" s="76" t="s">
        <v>931</v>
      </c>
      <c r="C1167" s="76">
        <v>120</v>
      </c>
      <c r="D1167" s="76" t="s">
        <v>431</v>
      </c>
      <c r="E1167" s="76" t="s">
        <v>426</v>
      </c>
      <c r="F1167" s="77">
        <v>5957.32</v>
      </c>
      <c r="G1167" s="77">
        <v>664.39</v>
      </c>
      <c r="H1167" s="77">
        <v>6621.71</v>
      </c>
      <c r="I1167" s="76" t="s">
        <v>925</v>
      </c>
      <c r="J1167" s="77">
        <v>1468.8</v>
      </c>
      <c r="K1167" s="78">
        <v>14506.3</v>
      </c>
      <c r="M1167" s="79" t="str">
        <f t="shared" si="56"/>
        <v>120-7295</v>
      </c>
      <c r="N1167" s="79" t="str">
        <f t="shared" si="54"/>
        <v/>
      </c>
      <c r="O1167" s="79" t="str">
        <f t="shared" si="55"/>
        <v>120</v>
      </c>
      <c r="P1167" s="79" t="str">
        <f>IFERROR(VLOOKUP($M1167,Export!$P:$R,2,FALSE),"-")</f>
        <v>Admin &amp; Other</v>
      </c>
      <c r="Q1167" s="79" t="str">
        <f>IFERROR(VLOOKUP($M1167,Export!$P:$R,3,FALSE),"-")</f>
        <v xml:space="preserve">Admin &amp; OtherStaff Remuneration &amp; Benefits as % of Total Gross </v>
      </c>
      <c r="R1167" s="80" t="e" cm="1">
        <f t="array" ref="R1167">_xlfn.IFS(P1167="Service", _xlfn.IFS(I1167="SALES","GP",I1167="SERVICE SALES","GP",I1167="PARTS SALES","GP",I1167="SERVICE COS","GP",I1167="PARTS COS","GP",I1167="SELLING EXPENSES","Selling Expenses",I1167="EMPLOYMENT EXPENSES","Selling Expenses",I1167="EMPLOYMENT EXPENSES","Selling Expenses",I1167="DIRECT EXPENSES","Selling Expenses",I1167="INDIRECT EXPENSES","Selling Expenses"),P1167="Parts",_xlfn.IFS(I1167="SALES","GP",I1167="SERVICE SALES","GP",I1167="PARTS SALES","GP",I1167="SERVICE COS","GP",I1167="PARTS COS","GP",I1167="SELLING EXPENSES","Selling Expenses",I1167="EMPLOYMENT EXPENSES","Selling Expenses",I1167="EMPLOYMENT EXPENSES","Selling Expenses",I1167="DIRECT EXPENSES","Selling Expenses",I1167="INDIRECT EXPENSES","Selling Expenses"))</f>
        <v>#N/A</v>
      </c>
    </row>
    <row r="1168" spans="1:18" x14ac:dyDescent="0.2">
      <c r="A1168" s="75">
        <v>7295</v>
      </c>
      <c r="B1168" s="76" t="s">
        <v>931</v>
      </c>
      <c r="C1168" s="76">
        <v>121</v>
      </c>
      <c r="D1168" s="76" t="s">
        <v>449</v>
      </c>
      <c r="E1168" s="76" t="s">
        <v>426</v>
      </c>
      <c r="F1168" s="77">
        <v>7440.4</v>
      </c>
      <c r="G1168" s="77">
        <v>828.19</v>
      </c>
      <c r="H1168" s="77">
        <v>8268.59</v>
      </c>
      <c r="I1168" s="76" t="s">
        <v>925</v>
      </c>
      <c r="J1168" s="77">
        <v>337.07</v>
      </c>
      <c r="K1168" s="78">
        <v>5558.52</v>
      </c>
      <c r="M1168" s="79" t="str">
        <f t="shared" si="56"/>
        <v>121-7295</v>
      </c>
      <c r="N1168" s="79" t="str">
        <f t="shared" si="54"/>
        <v/>
      </c>
      <c r="O1168" s="79" t="str">
        <f t="shared" si="55"/>
        <v>121</v>
      </c>
      <c r="P1168" s="79" t="str">
        <f>IFERROR(VLOOKUP($M1168,Export!$P:$R,2,FALSE),"-")</f>
        <v>Admin &amp; Other</v>
      </c>
      <c r="Q1168" s="79" t="str">
        <f>IFERROR(VLOOKUP($M1168,Export!$P:$R,3,FALSE),"-")</f>
        <v xml:space="preserve">Admin &amp; OtherStaff Remuneration &amp; Benefits as % of Total Gross </v>
      </c>
      <c r="R1168" s="80" t="e" cm="1">
        <f t="array" ref="R1168">_xlfn.IFS(P1168="Service", _xlfn.IFS(I1168="SALES","GP",I1168="SERVICE SALES","GP",I1168="PARTS SALES","GP",I1168="SERVICE COS","GP",I1168="PARTS COS","GP",I1168="SELLING EXPENSES","Selling Expenses",I1168="EMPLOYMENT EXPENSES","Selling Expenses",I1168="EMPLOYMENT EXPENSES","Selling Expenses",I1168="DIRECT EXPENSES","Selling Expenses",I1168="INDIRECT EXPENSES","Selling Expenses"),P1168="Parts",_xlfn.IFS(I1168="SALES","GP",I1168="SERVICE SALES","GP",I1168="PARTS SALES","GP",I1168="SERVICE COS","GP",I1168="PARTS COS","GP",I1168="SELLING EXPENSES","Selling Expenses",I1168="EMPLOYMENT EXPENSES","Selling Expenses",I1168="EMPLOYMENT EXPENSES","Selling Expenses",I1168="DIRECT EXPENSES","Selling Expenses",I1168="INDIRECT EXPENSES","Selling Expenses"))</f>
        <v>#N/A</v>
      </c>
    </row>
    <row r="1169" spans="1:18" x14ac:dyDescent="0.2">
      <c r="A1169" s="75">
        <v>7295</v>
      </c>
      <c r="B1169" s="76" t="s">
        <v>931</v>
      </c>
      <c r="C1169" s="76">
        <v>130</v>
      </c>
      <c r="D1169" s="76" t="s">
        <v>432</v>
      </c>
      <c r="E1169" s="76" t="s">
        <v>426</v>
      </c>
      <c r="F1169" s="77">
        <v>2003.62</v>
      </c>
      <c r="G1169" s="77">
        <v>224.35</v>
      </c>
      <c r="H1169" s="77">
        <v>2227.9699999999998</v>
      </c>
      <c r="I1169" s="76" t="s">
        <v>925</v>
      </c>
      <c r="J1169" s="77">
        <v>2685.41</v>
      </c>
      <c r="K1169" s="78">
        <v>20037.91</v>
      </c>
      <c r="M1169" s="79" t="str">
        <f t="shared" si="56"/>
        <v>130-7295</v>
      </c>
      <c r="N1169" s="79" t="str">
        <f t="shared" si="54"/>
        <v/>
      </c>
      <c r="O1169" s="79" t="str">
        <f t="shared" si="55"/>
        <v>130</v>
      </c>
      <c r="P1169" s="79" t="str">
        <f>IFERROR(VLOOKUP($M1169,Export!$P:$R,2,FALSE),"-")</f>
        <v>Admin &amp; Other</v>
      </c>
      <c r="Q1169" s="79" t="str">
        <f>IFERROR(VLOOKUP($M1169,Export!$P:$R,3,FALSE),"-")</f>
        <v xml:space="preserve">Admin &amp; OtherStaff Remuneration &amp; Benefits as % of Total Gross </v>
      </c>
      <c r="R1169" s="80" t="e" cm="1">
        <f t="array" ref="R1169">_xlfn.IFS(P1169="Service", _xlfn.IFS(I1169="SALES","GP",I1169="SERVICE SALES","GP",I1169="PARTS SALES","GP",I1169="SERVICE COS","GP",I1169="PARTS COS","GP",I1169="SELLING EXPENSES","Selling Expenses",I1169="EMPLOYMENT EXPENSES","Selling Expenses",I1169="EMPLOYMENT EXPENSES","Selling Expenses",I1169="DIRECT EXPENSES","Selling Expenses",I1169="INDIRECT EXPENSES","Selling Expenses"),P1169="Parts",_xlfn.IFS(I1169="SALES","GP",I1169="SERVICE SALES","GP",I1169="PARTS SALES","GP",I1169="SERVICE COS","GP",I1169="PARTS COS","GP",I1169="SELLING EXPENSES","Selling Expenses",I1169="EMPLOYMENT EXPENSES","Selling Expenses",I1169="EMPLOYMENT EXPENSES","Selling Expenses",I1169="DIRECT EXPENSES","Selling Expenses",I1169="INDIRECT EXPENSES","Selling Expenses"))</f>
        <v>#N/A</v>
      </c>
    </row>
    <row r="1170" spans="1:18" x14ac:dyDescent="0.2">
      <c r="A1170" s="75">
        <v>7295</v>
      </c>
      <c r="B1170" s="76" t="s">
        <v>931</v>
      </c>
      <c r="C1170" s="76">
        <v>140</v>
      </c>
      <c r="D1170" s="76" t="s">
        <v>433</v>
      </c>
      <c r="E1170" s="76" t="s">
        <v>426</v>
      </c>
      <c r="F1170" s="77">
        <v>10295.379999999999</v>
      </c>
      <c r="G1170" s="77">
        <v>1146.1500000000001</v>
      </c>
      <c r="H1170" s="77">
        <v>11441.53</v>
      </c>
      <c r="I1170" s="76" t="s">
        <v>925</v>
      </c>
      <c r="J1170" s="77">
        <v>1100</v>
      </c>
      <c r="K1170" s="78">
        <v>11024.15</v>
      </c>
      <c r="M1170" s="79" t="str">
        <f t="shared" si="56"/>
        <v>140-7295</v>
      </c>
      <c r="N1170" s="79" t="str">
        <f t="shared" si="54"/>
        <v/>
      </c>
      <c r="O1170" s="79" t="str">
        <f t="shared" si="55"/>
        <v>140</v>
      </c>
      <c r="P1170" s="79" t="str">
        <f>IFERROR(VLOOKUP($M1170,Export!$P:$R,2,FALSE),"-")</f>
        <v>Admin &amp; Other</v>
      </c>
      <c r="Q1170" s="79" t="str">
        <f>IFERROR(VLOOKUP($M1170,Export!$P:$R,3,FALSE),"-")</f>
        <v xml:space="preserve">Admin &amp; OtherStaff Remuneration &amp; Benefits as % of Total Gross </v>
      </c>
      <c r="R1170" s="80" t="e" cm="1">
        <f t="array" ref="R1170">_xlfn.IFS(P1170="Service", _xlfn.IFS(I1170="SALES","GP",I1170="SERVICE SALES","GP",I1170="PARTS SALES","GP",I1170="SERVICE COS","GP",I1170="PARTS COS","GP",I1170="SELLING EXPENSES","Selling Expenses",I1170="EMPLOYMENT EXPENSES","Selling Expenses",I1170="EMPLOYMENT EXPENSES","Selling Expenses",I1170="DIRECT EXPENSES","Selling Expenses",I1170="INDIRECT EXPENSES","Selling Expenses"),P1170="Parts",_xlfn.IFS(I1170="SALES","GP",I1170="SERVICE SALES","GP",I1170="PARTS SALES","GP",I1170="SERVICE COS","GP",I1170="PARTS COS","GP",I1170="SELLING EXPENSES","Selling Expenses",I1170="EMPLOYMENT EXPENSES","Selling Expenses",I1170="EMPLOYMENT EXPENSES","Selling Expenses",I1170="DIRECT EXPENSES","Selling Expenses",I1170="INDIRECT EXPENSES","Selling Expenses"))</f>
        <v>#N/A</v>
      </c>
    </row>
    <row r="1171" spans="1:18" x14ac:dyDescent="0.2">
      <c r="A1171" s="75">
        <v>7295</v>
      </c>
      <c r="B1171" s="76" t="s">
        <v>931</v>
      </c>
      <c r="C1171" s="76">
        <v>147</v>
      </c>
      <c r="D1171" s="76" t="s">
        <v>699</v>
      </c>
      <c r="E1171" s="76" t="s">
        <v>426</v>
      </c>
      <c r="F1171" s="77">
        <v>0</v>
      </c>
      <c r="G1171" s="77">
        <v>0</v>
      </c>
      <c r="H1171" s="77">
        <v>0</v>
      </c>
      <c r="I1171" s="76" t="s">
        <v>925</v>
      </c>
      <c r="J1171" s="77">
        <v>200</v>
      </c>
      <c r="K1171" s="78">
        <v>2080</v>
      </c>
      <c r="M1171" s="79" t="str">
        <f t="shared" si="56"/>
        <v>147-7295</v>
      </c>
      <c r="N1171" s="79" t="str">
        <f t="shared" si="54"/>
        <v/>
      </c>
      <c r="O1171" s="79" t="str">
        <f t="shared" si="55"/>
        <v>147</v>
      </c>
      <c r="P1171" s="79" t="str">
        <f>IFERROR(VLOOKUP($M1171,Export!$P:$R,2,FALSE),"-")</f>
        <v>Admin &amp; Other</v>
      </c>
      <c r="Q1171" s="79" t="str">
        <f>IFERROR(VLOOKUP($M1171,Export!$P:$R,3,FALSE),"-")</f>
        <v xml:space="preserve">Admin &amp; OtherStaff Remuneration &amp; Benefits as % of Total Gross </v>
      </c>
      <c r="R1171" s="80" t="e" cm="1">
        <f t="array" ref="R1171">_xlfn.IFS(P1171="Service", _xlfn.IFS(I1171="SALES","GP",I1171="SERVICE SALES","GP",I1171="PARTS SALES","GP",I1171="SERVICE COS","GP",I1171="PARTS COS","GP",I1171="SELLING EXPENSES","Selling Expenses",I1171="EMPLOYMENT EXPENSES","Selling Expenses",I1171="EMPLOYMENT EXPENSES","Selling Expenses",I1171="DIRECT EXPENSES","Selling Expenses",I1171="INDIRECT EXPENSES","Selling Expenses"),P1171="Parts",_xlfn.IFS(I1171="SALES","GP",I1171="SERVICE SALES","GP",I1171="PARTS SALES","GP",I1171="SERVICE COS","GP",I1171="PARTS COS","GP",I1171="SELLING EXPENSES","Selling Expenses",I1171="EMPLOYMENT EXPENSES","Selling Expenses",I1171="EMPLOYMENT EXPENSES","Selling Expenses",I1171="DIRECT EXPENSES","Selling Expenses",I1171="INDIRECT EXPENSES","Selling Expenses"))</f>
        <v>#N/A</v>
      </c>
    </row>
    <row r="1172" spans="1:18" x14ac:dyDescent="0.2">
      <c r="A1172" s="75">
        <v>7295</v>
      </c>
      <c r="B1172" s="76" t="s">
        <v>931</v>
      </c>
      <c r="C1172" s="76">
        <v>160</v>
      </c>
      <c r="D1172" s="76" t="s">
        <v>434</v>
      </c>
      <c r="E1172" s="76" t="s">
        <v>426</v>
      </c>
      <c r="F1172" s="77">
        <v>5160.4799999999996</v>
      </c>
      <c r="G1172" s="77">
        <v>573.88</v>
      </c>
      <c r="H1172" s="77">
        <v>5734.36</v>
      </c>
      <c r="I1172" s="76" t="s">
        <v>925</v>
      </c>
      <c r="J1172" s="77">
        <v>78.459999999999994</v>
      </c>
      <c r="K1172" s="78">
        <v>1849.46</v>
      </c>
      <c r="M1172" s="79" t="str">
        <f t="shared" si="56"/>
        <v>160-7295</v>
      </c>
      <c r="N1172" s="79" t="str">
        <f t="shared" si="54"/>
        <v/>
      </c>
      <c r="O1172" s="79" t="str">
        <f t="shared" si="55"/>
        <v>160</v>
      </c>
      <c r="P1172" s="79" t="str">
        <f>IFERROR(VLOOKUP($M1172,Export!$P:$R,2,FALSE),"-")</f>
        <v>Admin &amp; Other</v>
      </c>
      <c r="Q1172" s="79" t="str">
        <f>IFERROR(VLOOKUP($M1172,Export!$P:$R,3,FALSE),"-")</f>
        <v xml:space="preserve">Admin &amp; OtherStaff Remuneration &amp; Benefits as % of Total Gross </v>
      </c>
      <c r="R1172" s="80" t="e" cm="1">
        <f t="array" ref="R1172">_xlfn.IFS(P1172="Service", _xlfn.IFS(I1172="SALES","GP",I1172="SERVICE SALES","GP",I1172="PARTS SALES","GP",I1172="SERVICE COS","GP",I1172="PARTS COS","GP",I1172="SELLING EXPENSES","Selling Expenses",I1172="EMPLOYMENT EXPENSES","Selling Expenses",I1172="EMPLOYMENT EXPENSES","Selling Expenses",I1172="DIRECT EXPENSES","Selling Expenses",I1172="INDIRECT EXPENSES","Selling Expenses"),P1172="Parts",_xlfn.IFS(I1172="SALES","GP",I1172="SERVICE SALES","GP",I1172="PARTS SALES","GP",I1172="SERVICE COS","GP",I1172="PARTS COS","GP",I1172="SELLING EXPENSES","Selling Expenses",I1172="EMPLOYMENT EXPENSES","Selling Expenses",I1172="EMPLOYMENT EXPENSES","Selling Expenses",I1172="DIRECT EXPENSES","Selling Expenses",I1172="INDIRECT EXPENSES","Selling Expenses"))</f>
        <v>#N/A</v>
      </c>
    </row>
    <row r="1173" spans="1:18" x14ac:dyDescent="0.2">
      <c r="A1173" s="75">
        <v>7295</v>
      </c>
      <c r="B1173" s="76" t="s">
        <v>931</v>
      </c>
      <c r="C1173" s="76">
        <v>210</v>
      </c>
      <c r="D1173" s="76" t="s">
        <v>436</v>
      </c>
      <c r="E1173" s="76" t="s">
        <v>426</v>
      </c>
      <c r="F1173" s="77">
        <v>6710.29</v>
      </c>
      <c r="G1173" s="77">
        <v>677.06</v>
      </c>
      <c r="H1173" s="77">
        <v>7387.35</v>
      </c>
      <c r="I1173" s="76" t="s">
        <v>925</v>
      </c>
      <c r="J1173" s="77">
        <v>1289</v>
      </c>
      <c r="K1173" s="78">
        <v>12248.8</v>
      </c>
      <c r="M1173" s="79" t="str">
        <f t="shared" si="56"/>
        <v>210-7295</v>
      </c>
      <c r="N1173" s="79" t="str">
        <f t="shared" si="54"/>
        <v/>
      </c>
      <c r="O1173" s="79" t="str">
        <f t="shared" si="55"/>
        <v>210</v>
      </c>
      <c r="P1173" s="79" t="str">
        <f>IFERROR(VLOOKUP($M1173,Export!$P:$R,2,FALSE),"-")</f>
        <v>Admin &amp; Other</v>
      </c>
      <c r="Q1173" s="79" t="str">
        <f>IFERROR(VLOOKUP($M1173,Export!$P:$R,3,FALSE),"-")</f>
        <v xml:space="preserve">Admin &amp; OtherStaff Remuneration &amp; Benefits as % of Total Gross </v>
      </c>
      <c r="R1173" s="80" t="e" cm="1">
        <f t="array" ref="R1173">_xlfn.IFS(P1173="Service", _xlfn.IFS(I1173="SALES","GP",I1173="SERVICE SALES","GP",I1173="PARTS SALES","GP",I1173="SERVICE COS","GP",I1173="PARTS COS","GP",I1173="SELLING EXPENSES","Selling Expenses",I1173="EMPLOYMENT EXPENSES","Selling Expenses",I1173="EMPLOYMENT EXPENSES","Selling Expenses",I1173="DIRECT EXPENSES","Selling Expenses",I1173="INDIRECT EXPENSES","Selling Expenses"),P1173="Parts",_xlfn.IFS(I1173="SALES","GP",I1173="SERVICE SALES","GP",I1173="PARTS SALES","GP",I1173="SERVICE COS","GP",I1173="PARTS COS","GP",I1173="SELLING EXPENSES","Selling Expenses",I1173="EMPLOYMENT EXPENSES","Selling Expenses",I1173="EMPLOYMENT EXPENSES","Selling Expenses",I1173="DIRECT EXPENSES","Selling Expenses",I1173="INDIRECT EXPENSES","Selling Expenses"))</f>
        <v>#N/A</v>
      </c>
    </row>
    <row r="1174" spans="1:18" x14ac:dyDescent="0.2">
      <c r="A1174" s="75">
        <v>7295</v>
      </c>
      <c r="B1174" s="76" t="s">
        <v>931</v>
      </c>
      <c r="C1174" s="76">
        <v>220</v>
      </c>
      <c r="D1174" s="76" t="s">
        <v>437</v>
      </c>
      <c r="E1174" s="76" t="s">
        <v>426</v>
      </c>
      <c r="F1174" s="77">
        <v>9555.2999999999993</v>
      </c>
      <c r="G1174" s="77">
        <v>1062.44</v>
      </c>
      <c r="H1174" s="77">
        <v>10617.74</v>
      </c>
      <c r="I1174" s="76" t="s">
        <v>925</v>
      </c>
      <c r="J1174" s="77">
        <v>399.67</v>
      </c>
      <c r="K1174" s="78">
        <v>4166.07</v>
      </c>
      <c r="M1174" s="79" t="str">
        <f t="shared" si="56"/>
        <v>220-7295</v>
      </c>
      <c r="N1174" s="79" t="str">
        <f t="shared" si="54"/>
        <v/>
      </c>
      <c r="O1174" s="79" t="str">
        <f t="shared" si="55"/>
        <v>220</v>
      </c>
      <c r="P1174" s="79" t="str">
        <f>IFERROR(VLOOKUP($M1174,Export!$P:$R,2,FALSE),"-")</f>
        <v>Admin &amp; Other</v>
      </c>
      <c r="Q1174" s="79" t="str">
        <f>IFERROR(VLOOKUP($M1174,Export!$P:$R,3,FALSE),"-")</f>
        <v xml:space="preserve">Admin &amp; OtherStaff Remuneration &amp; Benefits as % of Total Gross </v>
      </c>
      <c r="R1174" s="80" t="e" cm="1">
        <f t="array" ref="R1174">_xlfn.IFS(P1174="Service", _xlfn.IFS(I1174="SALES","GP",I1174="SERVICE SALES","GP",I1174="PARTS SALES","GP",I1174="SERVICE COS","GP",I1174="PARTS COS","GP",I1174="SELLING EXPENSES","Selling Expenses",I1174="EMPLOYMENT EXPENSES","Selling Expenses",I1174="EMPLOYMENT EXPENSES","Selling Expenses",I1174="DIRECT EXPENSES","Selling Expenses",I1174="INDIRECT EXPENSES","Selling Expenses"),P1174="Parts",_xlfn.IFS(I1174="SALES","GP",I1174="SERVICE SALES","GP",I1174="PARTS SALES","GP",I1174="SERVICE COS","GP",I1174="PARTS COS","GP",I1174="SELLING EXPENSES","Selling Expenses",I1174="EMPLOYMENT EXPENSES","Selling Expenses",I1174="EMPLOYMENT EXPENSES","Selling Expenses",I1174="DIRECT EXPENSES","Selling Expenses",I1174="INDIRECT EXPENSES","Selling Expenses"))</f>
        <v>#N/A</v>
      </c>
    </row>
    <row r="1175" spans="1:18" x14ac:dyDescent="0.2">
      <c r="A1175" s="75">
        <v>7295</v>
      </c>
      <c r="B1175" s="76" t="s">
        <v>931</v>
      </c>
      <c r="C1175" s="76">
        <v>230</v>
      </c>
      <c r="D1175" s="76" t="s">
        <v>438</v>
      </c>
      <c r="E1175" s="76" t="s">
        <v>426</v>
      </c>
      <c r="F1175" s="77">
        <v>1005.09</v>
      </c>
      <c r="G1175" s="77">
        <v>112.17</v>
      </c>
      <c r="H1175" s="77">
        <v>1117.26</v>
      </c>
      <c r="I1175" s="76" t="s">
        <v>925</v>
      </c>
      <c r="J1175" s="77">
        <v>429.67</v>
      </c>
      <c r="K1175" s="78">
        <v>3456.72</v>
      </c>
      <c r="M1175" s="79" t="str">
        <f t="shared" si="56"/>
        <v>230-7295</v>
      </c>
      <c r="N1175" s="79" t="str">
        <f t="shared" si="54"/>
        <v/>
      </c>
      <c r="O1175" s="79" t="str">
        <f t="shared" si="55"/>
        <v>230</v>
      </c>
      <c r="P1175" s="79" t="str">
        <f>IFERROR(VLOOKUP($M1175,Export!$P:$R,2,FALSE),"-")</f>
        <v>Admin &amp; Other</v>
      </c>
      <c r="Q1175" s="79" t="str">
        <f>IFERROR(VLOOKUP($M1175,Export!$P:$R,3,FALSE),"-")</f>
        <v xml:space="preserve">Admin &amp; OtherStaff Remuneration &amp; Benefits as % of Total Gross </v>
      </c>
      <c r="R1175" s="80" t="e" cm="1">
        <f t="array" ref="R1175">_xlfn.IFS(P1175="Service", _xlfn.IFS(I1175="SALES","GP",I1175="SERVICE SALES","GP",I1175="PARTS SALES","GP",I1175="SERVICE COS","GP",I1175="PARTS COS","GP",I1175="SELLING EXPENSES","Selling Expenses",I1175="EMPLOYMENT EXPENSES","Selling Expenses",I1175="EMPLOYMENT EXPENSES","Selling Expenses",I1175="DIRECT EXPENSES","Selling Expenses",I1175="INDIRECT EXPENSES","Selling Expenses"),P1175="Parts",_xlfn.IFS(I1175="SALES","GP",I1175="SERVICE SALES","GP",I1175="PARTS SALES","GP",I1175="SERVICE COS","GP",I1175="PARTS COS","GP",I1175="SELLING EXPENSES","Selling Expenses",I1175="EMPLOYMENT EXPENSES","Selling Expenses",I1175="EMPLOYMENT EXPENSES","Selling Expenses",I1175="DIRECT EXPENSES","Selling Expenses",I1175="INDIRECT EXPENSES","Selling Expenses"))</f>
        <v>#N/A</v>
      </c>
    </row>
    <row r="1176" spans="1:18" x14ac:dyDescent="0.2">
      <c r="A1176" s="75">
        <v>7295</v>
      </c>
      <c r="B1176" s="76" t="s">
        <v>931</v>
      </c>
      <c r="C1176" s="76">
        <v>240</v>
      </c>
      <c r="D1176" s="76" t="s">
        <v>439</v>
      </c>
      <c r="E1176" s="76" t="s">
        <v>426</v>
      </c>
      <c r="F1176" s="77">
        <v>10450.33</v>
      </c>
      <c r="G1176" s="287">
        <v>1162.1300000000001</v>
      </c>
      <c r="H1176" s="77">
        <v>11612.46</v>
      </c>
      <c r="I1176" s="76" t="s">
        <v>925</v>
      </c>
      <c r="J1176" s="77">
        <v>500</v>
      </c>
      <c r="K1176" s="78">
        <v>4957.3999999999996</v>
      </c>
      <c r="M1176" s="79" t="str">
        <f t="shared" si="56"/>
        <v>240-7295</v>
      </c>
      <c r="N1176" s="79" t="str">
        <f t="shared" si="54"/>
        <v/>
      </c>
      <c r="O1176" s="79" t="str">
        <f t="shared" si="55"/>
        <v>240</v>
      </c>
      <c r="P1176" s="79" t="str">
        <f>IFERROR(VLOOKUP($M1176,Export!$P:$R,2,FALSE),"-")</f>
        <v>Admin &amp; Other</v>
      </c>
      <c r="Q1176" s="79" t="str">
        <f>IFERROR(VLOOKUP($M1176,Export!$P:$R,3,FALSE),"-")</f>
        <v xml:space="preserve">Admin &amp; OtherStaff Remuneration &amp; Benefits as % of Total Gross </v>
      </c>
      <c r="R1176" s="80" t="e" cm="1">
        <f t="array" ref="R1176">_xlfn.IFS(P1176="Service", _xlfn.IFS(I1176="SALES","GP",I1176="SERVICE SALES","GP",I1176="PARTS SALES","GP",I1176="SERVICE COS","GP",I1176="PARTS COS","GP",I1176="SELLING EXPENSES","Selling Expenses",I1176="EMPLOYMENT EXPENSES","Selling Expenses",I1176="EMPLOYMENT EXPENSES","Selling Expenses",I1176="DIRECT EXPENSES","Selling Expenses",I1176="INDIRECT EXPENSES","Selling Expenses"),P1176="Parts",_xlfn.IFS(I1176="SALES","GP",I1176="SERVICE SALES","GP",I1176="PARTS SALES","GP",I1176="SERVICE COS","GP",I1176="PARTS COS","GP",I1176="SELLING EXPENSES","Selling Expenses",I1176="EMPLOYMENT EXPENSES","Selling Expenses",I1176="EMPLOYMENT EXPENSES","Selling Expenses",I1176="DIRECT EXPENSES","Selling Expenses",I1176="INDIRECT EXPENSES","Selling Expenses"))</f>
        <v>#N/A</v>
      </c>
    </row>
    <row r="1177" spans="1:18" x14ac:dyDescent="0.2">
      <c r="A1177" s="75">
        <v>7295</v>
      </c>
      <c r="B1177" s="76" t="s">
        <v>931</v>
      </c>
      <c r="C1177" s="76">
        <v>260</v>
      </c>
      <c r="D1177" s="76" t="s">
        <v>456</v>
      </c>
      <c r="E1177" s="76" t="s">
        <v>426</v>
      </c>
      <c r="F1177" s="77">
        <v>4548.3900000000003</v>
      </c>
      <c r="G1177" s="287">
        <v>505.87</v>
      </c>
      <c r="H1177" s="77">
        <v>5054.26</v>
      </c>
      <c r="I1177" s="76" t="s">
        <v>925</v>
      </c>
      <c r="J1177" s="77">
        <v>205.89</v>
      </c>
      <c r="K1177" s="78">
        <v>2114.04</v>
      </c>
      <c r="M1177" s="79" t="str">
        <f t="shared" si="56"/>
        <v>260-7295</v>
      </c>
      <c r="N1177" s="79" t="str">
        <f t="shared" si="54"/>
        <v/>
      </c>
      <c r="O1177" s="79" t="str">
        <f t="shared" si="55"/>
        <v>260</v>
      </c>
      <c r="P1177" s="79" t="str">
        <f>IFERROR(VLOOKUP($M1177,Export!$P:$R,2,FALSE),"-")</f>
        <v>Admin &amp; Other</v>
      </c>
      <c r="Q1177" s="79" t="str">
        <f>IFERROR(VLOOKUP($M1177,Export!$P:$R,3,FALSE),"-")</f>
        <v xml:space="preserve">Admin &amp; OtherStaff Remuneration &amp; Benefits as % of Total Gross </v>
      </c>
      <c r="R1177" s="80" t="e" cm="1">
        <f t="array" ref="R1177">_xlfn.IFS(P1177="Service", _xlfn.IFS(I1177="SALES","GP",I1177="SERVICE SALES","GP",I1177="PARTS SALES","GP",I1177="SERVICE COS","GP",I1177="PARTS COS","GP",I1177="SELLING EXPENSES","Selling Expenses",I1177="EMPLOYMENT EXPENSES","Selling Expenses",I1177="EMPLOYMENT EXPENSES","Selling Expenses",I1177="DIRECT EXPENSES","Selling Expenses",I1177="INDIRECT EXPENSES","Selling Expenses"),P1177="Parts",_xlfn.IFS(I1177="SALES","GP",I1177="SERVICE SALES","GP",I1177="PARTS SALES","GP",I1177="SERVICE COS","GP",I1177="PARTS COS","GP",I1177="SELLING EXPENSES","Selling Expenses",I1177="EMPLOYMENT EXPENSES","Selling Expenses",I1177="EMPLOYMENT EXPENSES","Selling Expenses",I1177="DIRECT EXPENSES","Selling Expenses",I1177="INDIRECT EXPENSES","Selling Expenses"))</f>
        <v>#N/A</v>
      </c>
    </row>
    <row r="1178" spans="1:18" x14ac:dyDescent="0.2">
      <c r="A1178" s="75">
        <v>7295</v>
      </c>
      <c r="B1178" s="76" t="s">
        <v>931</v>
      </c>
      <c r="C1178" s="76">
        <v>330</v>
      </c>
      <c r="D1178" s="76" t="s">
        <v>457</v>
      </c>
      <c r="E1178" s="76" t="s">
        <v>426</v>
      </c>
      <c r="F1178" s="77">
        <v>0</v>
      </c>
      <c r="G1178" s="77">
        <v>0</v>
      </c>
      <c r="H1178" s="77">
        <v>0</v>
      </c>
      <c r="I1178" s="76" t="s">
        <v>925</v>
      </c>
      <c r="J1178" s="77">
        <v>226.94</v>
      </c>
      <c r="K1178" s="78">
        <v>1361.64</v>
      </c>
      <c r="M1178" s="79" t="str">
        <f t="shared" si="56"/>
        <v>330-7295</v>
      </c>
      <c r="N1178" s="79" t="str">
        <f t="shared" si="54"/>
        <v/>
      </c>
      <c r="O1178" s="79" t="str">
        <f t="shared" si="55"/>
        <v>330</v>
      </c>
      <c r="P1178" s="79" t="str">
        <f>IFERROR(VLOOKUP($M1178,Export!$P:$R,2,FALSE),"-")</f>
        <v>Admin &amp; Other</v>
      </c>
      <c r="Q1178" s="79" t="str">
        <f>IFERROR(VLOOKUP($M1178,Export!$P:$R,3,FALSE),"-")</f>
        <v xml:space="preserve">Admin &amp; OtherStaff Remuneration &amp; Benefits as % of Total Gross </v>
      </c>
      <c r="R1178" s="80" t="e" cm="1">
        <f t="array" ref="R1178">_xlfn.IFS(P1178="Service", _xlfn.IFS(I1178="SALES","GP",I1178="SERVICE SALES","GP",I1178="PARTS SALES","GP",I1178="SERVICE COS","GP",I1178="PARTS COS","GP",I1178="SELLING EXPENSES","Selling Expenses",I1178="EMPLOYMENT EXPENSES","Selling Expenses",I1178="EMPLOYMENT EXPENSES","Selling Expenses",I1178="DIRECT EXPENSES","Selling Expenses",I1178="INDIRECT EXPENSES","Selling Expenses"),P1178="Parts",_xlfn.IFS(I1178="SALES","GP",I1178="SERVICE SALES","GP",I1178="PARTS SALES","GP",I1178="SERVICE COS","GP",I1178="PARTS COS","GP",I1178="SELLING EXPENSES","Selling Expenses",I1178="EMPLOYMENT EXPENSES","Selling Expenses",I1178="EMPLOYMENT EXPENSES","Selling Expenses",I1178="DIRECT EXPENSES","Selling Expenses",I1178="INDIRECT EXPENSES","Selling Expenses"))</f>
        <v>#N/A</v>
      </c>
    </row>
    <row r="1179" spans="1:18" x14ac:dyDescent="0.2">
      <c r="A1179" s="75">
        <v>7295</v>
      </c>
      <c r="B1179" s="76" t="s">
        <v>931</v>
      </c>
      <c r="C1179" s="76">
        <v>340</v>
      </c>
      <c r="D1179" s="76" t="s">
        <v>440</v>
      </c>
      <c r="E1179" s="76" t="s">
        <v>426</v>
      </c>
      <c r="F1179" s="77">
        <v>4761.63</v>
      </c>
      <c r="G1179" s="287">
        <v>529.80999999999995</v>
      </c>
      <c r="H1179" s="77">
        <v>5291.44</v>
      </c>
      <c r="I1179" s="76" t="s">
        <v>925</v>
      </c>
      <c r="J1179" s="77">
        <v>400</v>
      </c>
      <c r="K1179" s="78">
        <v>3968.05</v>
      </c>
      <c r="M1179" s="79" t="str">
        <f t="shared" si="56"/>
        <v>340-7295</v>
      </c>
      <c r="N1179" s="79" t="str">
        <f t="shared" si="54"/>
        <v/>
      </c>
      <c r="O1179" s="79" t="str">
        <f t="shared" si="55"/>
        <v>340</v>
      </c>
      <c r="P1179" s="79" t="str">
        <f>IFERROR(VLOOKUP($M1179,Export!$P:$R,2,FALSE),"-")</f>
        <v>Admin &amp; Other</v>
      </c>
      <c r="Q1179" s="79" t="str">
        <f>IFERROR(VLOOKUP($M1179,Export!$P:$R,3,FALSE),"-")</f>
        <v xml:space="preserve">Admin &amp; OtherStaff Remuneration &amp; Benefits as % of Total Gross </v>
      </c>
      <c r="R1179" s="80" t="e" cm="1">
        <f t="array" ref="R1179">_xlfn.IFS(P1179="Service", _xlfn.IFS(I1179="SALES","GP",I1179="SERVICE SALES","GP",I1179="PARTS SALES","GP",I1179="SERVICE COS","GP",I1179="PARTS COS","GP",I1179="SELLING EXPENSES","Selling Expenses",I1179="EMPLOYMENT EXPENSES","Selling Expenses",I1179="EMPLOYMENT EXPENSES","Selling Expenses",I1179="DIRECT EXPENSES","Selling Expenses",I1179="INDIRECT EXPENSES","Selling Expenses"),P1179="Parts",_xlfn.IFS(I1179="SALES","GP",I1179="SERVICE SALES","GP",I1179="PARTS SALES","GP",I1179="SERVICE COS","GP",I1179="PARTS COS","GP",I1179="SELLING EXPENSES","Selling Expenses",I1179="EMPLOYMENT EXPENSES","Selling Expenses",I1179="EMPLOYMENT EXPENSES","Selling Expenses",I1179="DIRECT EXPENSES","Selling Expenses",I1179="INDIRECT EXPENSES","Selling Expenses"))</f>
        <v>#N/A</v>
      </c>
    </row>
    <row r="1180" spans="1:18" x14ac:dyDescent="0.2">
      <c r="A1180" s="75">
        <v>7295</v>
      </c>
      <c r="B1180" s="76" t="s">
        <v>931</v>
      </c>
      <c r="C1180" s="76">
        <v>430</v>
      </c>
      <c r="D1180" s="76" t="s">
        <v>458</v>
      </c>
      <c r="E1180" s="76" t="s">
        <v>426</v>
      </c>
      <c r="F1180" s="77">
        <v>0</v>
      </c>
      <c r="G1180" s="77">
        <v>0</v>
      </c>
      <c r="H1180" s="77">
        <v>0</v>
      </c>
      <c r="I1180" s="76" t="s">
        <v>925</v>
      </c>
      <c r="J1180" s="77">
        <v>13.32</v>
      </c>
      <c r="K1180" s="78">
        <v>79.92</v>
      </c>
      <c r="M1180" s="79" t="str">
        <f t="shared" si="56"/>
        <v>430-7295</v>
      </c>
      <c r="N1180" s="79" t="str">
        <f t="shared" si="54"/>
        <v/>
      </c>
      <c r="O1180" s="79" t="str">
        <f t="shared" si="55"/>
        <v>430</v>
      </c>
      <c r="P1180" s="79" t="str">
        <f>IFERROR(VLOOKUP($M1180,Export!$P:$R,2,FALSE),"-")</f>
        <v>Admin &amp; Other</v>
      </c>
      <c r="Q1180" s="79" t="str">
        <f>IFERROR(VLOOKUP($M1180,Export!$P:$R,3,FALSE),"-")</f>
        <v xml:space="preserve">Admin &amp; OtherStaff Remuneration &amp; Benefits as % of Total Gross </v>
      </c>
      <c r="R1180" s="80" t="e" cm="1">
        <f t="array" ref="R1180">_xlfn.IFS(P1180="Service", _xlfn.IFS(I1180="SALES","GP",I1180="SERVICE SALES","GP",I1180="PARTS SALES","GP",I1180="SERVICE COS","GP",I1180="PARTS COS","GP",I1180="SELLING EXPENSES","Selling Expenses",I1180="EMPLOYMENT EXPENSES","Selling Expenses",I1180="EMPLOYMENT EXPENSES","Selling Expenses",I1180="DIRECT EXPENSES","Selling Expenses",I1180="INDIRECT EXPENSES","Selling Expenses"),P1180="Parts",_xlfn.IFS(I1180="SALES","GP",I1180="SERVICE SALES","GP",I1180="PARTS SALES","GP",I1180="SERVICE COS","GP",I1180="PARTS COS","GP",I1180="SELLING EXPENSES","Selling Expenses",I1180="EMPLOYMENT EXPENSES","Selling Expenses",I1180="EMPLOYMENT EXPENSES","Selling Expenses",I1180="DIRECT EXPENSES","Selling Expenses",I1180="INDIRECT EXPENSES","Selling Expenses"))</f>
        <v>#N/A</v>
      </c>
    </row>
    <row r="1181" spans="1:18" x14ac:dyDescent="0.2">
      <c r="A1181" s="75">
        <v>7295</v>
      </c>
      <c r="B1181" s="76" t="s">
        <v>931</v>
      </c>
      <c r="C1181" s="76">
        <v>440</v>
      </c>
      <c r="D1181" s="76" t="s">
        <v>441</v>
      </c>
      <c r="E1181" s="76" t="s">
        <v>426</v>
      </c>
      <c r="F1181" s="77">
        <v>1009.53</v>
      </c>
      <c r="G1181" s="77">
        <v>112.17</v>
      </c>
      <c r="H1181" s="77">
        <v>1121.7</v>
      </c>
      <c r="I1181" s="76" t="s">
        <v>925</v>
      </c>
      <c r="J1181" s="77">
        <v>966.75</v>
      </c>
      <c r="K1181" s="78">
        <v>5800.5</v>
      </c>
      <c r="M1181" s="79" t="str">
        <f t="shared" si="56"/>
        <v>440-7295</v>
      </c>
      <c r="N1181" s="79" t="str">
        <f t="shared" si="54"/>
        <v/>
      </c>
      <c r="O1181" s="79" t="str">
        <f t="shared" si="55"/>
        <v>440</v>
      </c>
      <c r="P1181" s="79" t="str">
        <f>IFERROR(VLOOKUP($M1181,Export!$P:$R,2,FALSE),"-")</f>
        <v>Admin &amp; Other</v>
      </c>
      <c r="Q1181" s="79" t="str">
        <f>IFERROR(VLOOKUP($M1181,Export!$P:$R,3,FALSE),"-")</f>
        <v xml:space="preserve">Admin &amp; OtherStaff Remuneration &amp; Benefits as % of Total Gross </v>
      </c>
      <c r="R1181" s="80" t="e" cm="1">
        <f t="array" ref="R1181">_xlfn.IFS(P1181="Service", _xlfn.IFS(I1181="SALES","GP",I1181="SERVICE SALES","GP",I1181="PARTS SALES","GP",I1181="SERVICE COS","GP",I1181="PARTS COS","GP",I1181="SELLING EXPENSES","Selling Expenses",I1181="EMPLOYMENT EXPENSES","Selling Expenses",I1181="EMPLOYMENT EXPENSES","Selling Expenses",I1181="DIRECT EXPENSES","Selling Expenses",I1181="INDIRECT EXPENSES","Selling Expenses"),P1181="Parts",_xlfn.IFS(I1181="SALES","GP",I1181="SERVICE SALES","GP",I1181="PARTS SALES","GP",I1181="SERVICE COS","GP",I1181="PARTS COS","GP",I1181="SELLING EXPENSES","Selling Expenses",I1181="EMPLOYMENT EXPENSES","Selling Expenses",I1181="EMPLOYMENT EXPENSES","Selling Expenses",I1181="DIRECT EXPENSES","Selling Expenses",I1181="INDIRECT EXPENSES","Selling Expenses"))</f>
        <v>#N/A</v>
      </c>
    </row>
    <row r="1182" spans="1:18" x14ac:dyDescent="0.2">
      <c r="A1182" s="75">
        <v>7295</v>
      </c>
      <c r="B1182" s="76" t="s">
        <v>931</v>
      </c>
      <c r="C1182" s="76">
        <v>935</v>
      </c>
      <c r="D1182" s="76" t="s">
        <v>442</v>
      </c>
      <c r="E1182" s="76" t="s">
        <v>426</v>
      </c>
      <c r="F1182" s="77">
        <v>8989.23</v>
      </c>
      <c r="G1182" s="77">
        <v>999.79</v>
      </c>
      <c r="H1182" s="77">
        <v>9989.02</v>
      </c>
      <c r="I1182" s="76" t="s">
        <v>925</v>
      </c>
      <c r="J1182" s="77">
        <v>622.87</v>
      </c>
      <c r="K1182" s="78">
        <v>5894.62</v>
      </c>
      <c r="M1182" s="79" t="str">
        <f t="shared" si="56"/>
        <v>935-7295</v>
      </c>
      <c r="N1182" s="79" t="str">
        <f t="shared" si="54"/>
        <v/>
      </c>
      <c r="O1182" s="79" t="str">
        <f t="shared" si="55"/>
        <v>935</v>
      </c>
      <c r="P1182" s="79" t="str">
        <f>IFERROR(VLOOKUP($M1182,Export!$P:$R,2,FALSE),"-")</f>
        <v>LEX Admin &amp; Other</v>
      </c>
      <c r="Q1182" s="79" t="str">
        <f>IFERROR(VLOOKUP($M1182,Export!$P:$R,3,FALSE),"-")</f>
        <v xml:space="preserve">LEX Admin &amp; OtherStaff Remuneration &amp; Benefits as % of Total Gross </v>
      </c>
      <c r="R1182" s="80" t="e" cm="1">
        <f t="array" ref="R1182">_xlfn.IFS(P1182="Service", _xlfn.IFS(I1182="SALES","GP",I1182="SERVICE SALES","GP",I1182="PARTS SALES","GP",I1182="SERVICE COS","GP",I1182="PARTS COS","GP",I1182="SELLING EXPENSES","Selling Expenses",I1182="EMPLOYMENT EXPENSES","Selling Expenses",I1182="EMPLOYMENT EXPENSES","Selling Expenses",I1182="DIRECT EXPENSES","Selling Expenses",I1182="INDIRECT EXPENSES","Selling Expenses"),P1182="Parts",_xlfn.IFS(I1182="SALES","GP",I1182="SERVICE SALES","GP",I1182="PARTS SALES","GP",I1182="SERVICE COS","GP",I1182="PARTS COS","GP",I1182="SELLING EXPENSES","Selling Expenses",I1182="EMPLOYMENT EXPENSES","Selling Expenses",I1182="EMPLOYMENT EXPENSES","Selling Expenses",I1182="DIRECT EXPENSES","Selling Expenses",I1182="INDIRECT EXPENSES","Selling Expenses"))</f>
        <v>#N/A</v>
      </c>
    </row>
    <row r="1183" spans="1:18" x14ac:dyDescent="0.2">
      <c r="A1183" s="75">
        <v>7295</v>
      </c>
      <c r="B1183" s="298" t="s">
        <v>931</v>
      </c>
      <c r="C1183" s="76">
        <v>936</v>
      </c>
      <c r="D1183" s="76" t="s">
        <v>443</v>
      </c>
      <c r="E1183" s="76" t="s">
        <v>426</v>
      </c>
      <c r="F1183" s="77">
        <v>-2.2200000000000002</v>
      </c>
      <c r="G1183" s="77">
        <v>0</v>
      </c>
      <c r="H1183" s="77">
        <v>-2.2200000000000002</v>
      </c>
      <c r="I1183" s="76" t="s">
        <v>925</v>
      </c>
      <c r="J1183" s="77">
        <v>604.34</v>
      </c>
      <c r="K1183" s="78">
        <v>3973.34</v>
      </c>
      <c r="M1183" s="79" t="str">
        <f t="shared" si="56"/>
        <v>936-7295</v>
      </c>
      <c r="N1183" s="79" t="str">
        <f t="shared" si="54"/>
        <v/>
      </c>
      <c r="O1183" s="79" t="str">
        <f t="shared" si="55"/>
        <v>936</v>
      </c>
      <c r="P1183" s="79" t="str">
        <f>IFERROR(VLOOKUP($M1183,Export!$P:$R,2,FALSE),"-")</f>
        <v>LEX Admin &amp; Other</v>
      </c>
      <c r="Q1183" s="79" t="str">
        <f>IFERROR(VLOOKUP($M1183,Export!$P:$R,3,FALSE),"-")</f>
        <v xml:space="preserve">LEX Admin &amp; OtherStaff Remuneration &amp; Benefits as % of Total Gross </v>
      </c>
      <c r="R1183" s="80" t="e" cm="1">
        <f t="array" ref="R1183">_xlfn.IFS(P1183="Service", _xlfn.IFS(I1183="SALES","GP",I1183="SERVICE SALES","GP",I1183="PARTS SALES","GP",I1183="SERVICE COS","GP",I1183="PARTS COS","GP",I1183="SELLING EXPENSES","Selling Expenses",I1183="EMPLOYMENT EXPENSES","Selling Expenses",I1183="EMPLOYMENT EXPENSES","Selling Expenses",I1183="DIRECT EXPENSES","Selling Expenses",I1183="INDIRECT EXPENSES","Selling Expenses"),P1183="Parts",_xlfn.IFS(I1183="SALES","GP",I1183="SERVICE SALES","GP",I1183="PARTS SALES","GP",I1183="SERVICE COS","GP",I1183="PARTS COS","GP",I1183="SELLING EXPENSES","Selling Expenses",I1183="EMPLOYMENT EXPENSES","Selling Expenses",I1183="EMPLOYMENT EXPENSES","Selling Expenses",I1183="DIRECT EXPENSES","Selling Expenses",I1183="INDIRECT EXPENSES","Selling Expenses"))</f>
        <v>#N/A</v>
      </c>
    </row>
    <row r="1184" spans="1:18" x14ac:dyDescent="0.2">
      <c r="A1184" s="75">
        <v>7310</v>
      </c>
      <c r="B1184" s="76" t="s">
        <v>932</v>
      </c>
      <c r="C1184" s="76">
        <v>110</v>
      </c>
      <c r="D1184" s="76" t="s">
        <v>430</v>
      </c>
      <c r="E1184" s="76" t="s">
        <v>426</v>
      </c>
      <c r="F1184" s="77">
        <v>4770.03</v>
      </c>
      <c r="G1184" s="77">
        <v>447.29</v>
      </c>
      <c r="H1184" s="77">
        <v>5217.32</v>
      </c>
      <c r="I1184" s="76" t="s">
        <v>925</v>
      </c>
      <c r="J1184" s="77">
        <v>200</v>
      </c>
      <c r="K1184" s="78">
        <v>2463.34</v>
      </c>
      <c r="M1184" s="79" t="str">
        <f t="shared" si="56"/>
        <v>110-7310</v>
      </c>
      <c r="N1184" s="79" t="str">
        <f t="shared" si="54"/>
        <v/>
      </c>
      <c r="O1184" s="79" t="str">
        <f t="shared" si="55"/>
        <v>110</v>
      </c>
      <c r="P1184" s="79" t="str">
        <f>IFERROR(VLOOKUP($M1184,Export!$P:$R,2,FALSE),"-")</f>
        <v>Admin &amp; Other</v>
      </c>
      <c r="Q1184" s="79" t="str">
        <f>IFERROR(VLOOKUP($M1184,Export!$P:$R,3,FALSE),"-")</f>
        <v xml:space="preserve">Admin &amp; OtherStaff Remuneration &amp; Benefits as % of Total Gross </v>
      </c>
      <c r="R1184" s="80" t="e" cm="1">
        <f t="array" ref="R1184">_xlfn.IFS(P1184="Service", _xlfn.IFS(I1184="SALES","GP",I1184="SERVICE SALES","GP",I1184="PARTS SALES","GP",I1184="SERVICE COS","GP",I1184="PARTS COS","GP",I1184="SELLING EXPENSES","Selling Expenses",I1184="EMPLOYMENT EXPENSES","Selling Expenses",I1184="EMPLOYMENT EXPENSES","Selling Expenses",I1184="DIRECT EXPENSES","Selling Expenses",I1184="INDIRECT EXPENSES","Selling Expenses"),P1184="Parts",_xlfn.IFS(I1184="SALES","GP",I1184="SERVICE SALES","GP",I1184="PARTS SALES","GP",I1184="SERVICE COS","GP",I1184="PARTS COS","GP",I1184="SELLING EXPENSES","Selling Expenses",I1184="EMPLOYMENT EXPENSES","Selling Expenses",I1184="EMPLOYMENT EXPENSES","Selling Expenses",I1184="DIRECT EXPENSES","Selling Expenses",I1184="INDIRECT EXPENSES","Selling Expenses"))</f>
        <v>#N/A</v>
      </c>
    </row>
    <row r="1185" spans="1:18" x14ac:dyDescent="0.2">
      <c r="A1185" s="75">
        <v>7310</v>
      </c>
      <c r="B1185" s="76" t="s">
        <v>932</v>
      </c>
      <c r="C1185" s="76">
        <v>112</v>
      </c>
      <c r="D1185" s="76" t="s">
        <v>349</v>
      </c>
      <c r="E1185" s="76" t="s">
        <v>426</v>
      </c>
      <c r="F1185" s="77">
        <v>4962.6499999999996</v>
      </c>
      <c r="G1185" s="287">
        <v>463.16</v>
      </c>
      <c r="H1185" s="77">
        <v>5425.81</v>
      </c>
      <c r="I1185" s="76" t="s">
        <v>925</v>
      </c>
      <c r="J1185" s="77">
        <v>400</v>
      </c>
      <c r="K1185" s="78">
        <v>4366.6499999999996</v>
      </c>
      <c r="M1185" s="79" t="str">
        <f t="shared" si="56"/>
        <v>112-7310</v>
      </c>
      <c r="N1185" s="79" t="str">
        <f t="shared" si="54"/>
        <v/>
      </c>
      <c r="O1185" s="79" t="str">
        <f t="shared" si="55"/>
        <v>112</v>
      </c>
      <c r="P1185" s="79" t="str">
        <f>IFERROR(VLOOKUP($M1185,Export!$P:$R,2,FALSE),"-")</f>
        <v>LEX Admin &amp; Other</v>
      </c>
      <c r="Q1185" s="79" t="str">
        <f>IFERROR(VLOOKUP($M1185,Export!$P:$R,3,FALSE),"-")</f>
        <v xml:space="preserve">LEX Admin &amp; OtherStaff Remuneration &amp; Benefits as % of Total Gross </v>
      </c>
      <c r="R1185" s="80" t="e" cm="1">
        <f t="array" ref="R1185">_xlfn.IFS(P1185="Service", _xlfn.IFS(I1185="SALES","GP",I1185="SERVICE SALES","GP",I1185="PARTS SALES","GP",I1185="SERVICE COS","GP",I1185="PARTS COS","GP",I1185="SELLING EXPENSES","Selling Expenses",I1185="EMPLOYMENT EXPENSES","Selling Expenses",I1185="EMPLOYMENT EXPENSES","Selling Expenses",I1185="DIRECT EXPENSES","Selling Expenses",I1185="INDIRECT EXPENSES","Selling Expenses"),P1185="Parts",_xlfn.IFS(I1185="SALES","GP",I1185="SERVICE SALES","GP",I1185="PARTS SALES","GP",I1185="SERVICE COS","GP",I1185="PARTS COS","GP",I1185="SELLING EXPENSES","Selling Expenses",I1185="EMPLOYMENT EXPENSES","Selling Expenses",I1185="EMPLOYMENT EXPENSES","Selling Expenses",I1185="DIRECT EXPENSES","Selling Expenses",I1185="INDIRECT EXPENSES","Selling Expenses"))</f>
        <v>#N/A</v>
      </c>
    </row>
    <row r="1186" spans="1:18" x14ac:dyDescent="0.2">
      <c r="A1186" s="75">
        <v>7310</v>
      </c>
      <c r="B1186" s="76" t="s">
        <v>932</v>
      </c>
      <c r="C1186" s="76">
        <v>120</v>
      </c>
      <c r="D1186" s="76" t="s">
        <v>431</v>
      </c>
      <c r="E1186" s="76" t="s">
        <v>426</v>
      </c>
      <c r="F1186" s="77">
        <v>1188.3</v>
      </c>
      <c r="G1186" s="77">
        <v>167.35</v>
      </c>
      <c r="H1186" s="77">
        <v>1355.65</v>
      </c>
      <c r="I1186" s="76" t="s">
        <v>925</v>
      </c>
      <c r="J1186" s="77">
        <v>100</v>
      </c>
      <c r="K1186" s="78">
        <v>1145.75</v>
      </c>
      <c r="M1186" s="79" t="str">
        <f t="shared" si="56"/>
        <v>120-7310</v>
      </c>
      <c r="N1186" s="79" t="str">
        <f t="shared" si="54"/>
        <v/>
      </c>
      <c r="O1186" s="79" t="str">
        <f t="shared" si="55"/>
        <v>120</v>
      </c>
      <c r="P1186" s="79" t="str">
        <f>IFERROR(VLOOKUP($M1186,Export!$P:$R,2,FALSE),"-")</f>
        <v>Admin &amp; Other</v>
      </c>
      <c r="Q1186" s="79" t="str">
        <f>IFERROR(VLOOKUP($M1186,Export!$P:$R,3,FALSE),"-")</f>
        <v xml:space="preserve">Admin &amp; OtherStaff Remuneration &amp; Benefits as % of Total Gross </v>
      </c>
      <c r="R1186" s="80" t="e" cm="1">
        <f t="array" ref="R1186">_xlfn.IFS(P1186="Service", _xlfn.IFS(I1186="SALES","GP",I1186="SERVICE SALES","GP",I1186="PARTS SALES","GP",I1186="SERVICE COS","GP",I1186="PARTS COS","GP",I1186="SELLING EXPENSES","Selling Expenses",I1186="EMPLOYMENT EXPENSES","Selling Expenses",I1186="EMPLOYMENT EXPENSES","Selling Expenses",I1186="DIRECT EXPENSES","Selling Expenses",I1186="INDIRECT EXPENSES","Selling Expenses"),P1186="Parts",_xlfn.IFS(I1186="SALES","GP",I1186="SERVICE SALES","GP",I1186="PARTS SALES","GP",I1186="SERVICE COS","GP",I1186="PARTS COS","GP",I1186="SELLING EXPENSES","Selling Expenses",I1186="EMPLOYMENT EXPENSES","Selling Expenses",I1186="EMPLOYMENT EXPENSES","Selling Expenses",I1186="DIRECT EXPENSES","Selling Expenses",I1186="INDIRECT EXPENSES","Selling Expenses"))</f>
        <v>#N/A</v>
      </c>
    </row>
    <row r="1187" spans="1:18" x14ac:dyDescent="0.2">
      <c r="A1187" s="75">
        <v>7310</v>
      </c>
      <c r="B1187" s="76" t="s">
        <v>932</v>
      </c>
      <c r="C1187" s="76">
        <v>121</v>
      </c>
      <c r="D1187" s="76" t="s">
        <v>449</v>
      </c>
      <c r="E1187" s="76" t="s">
        <v>426</v>
      </c>
      <c r="F1187" s="77">
        <v>2156.4499999999998</v>
      </c>
      <c r="G1187" s="77">
        <v>449.58</v>
      </c>
      <c r="H1187" s="77">
        <v>2606.0300000000002</v>
      </c>
      <c r="I1187" s="76" t="s">
        <v>925</v>
      </c>
      <c r="J1187" s="77">
        <v>200</v>
      </c>
      <c r="K1187" s="78">
        <v>2410.67</v>
      </c>
      <c r="M1187" s="79" t="str">
        <f t="shared" si="56"/>
        <v>121-7310</v>
      </c>
      <c r="N1187" s="79" t="str">
        <f t="shared" si="54"/>
        <v/>
      </c>
      <c r="O1187" s="79" t="str">
        <f t="shared" si="55"/>
        <v>121</v>
      </c>
      <c r="P1187" s="79" t="str">
        <f>IFERROR(VLOOKUP($M1187,Export!$P:$R,2,FALSE),"-")</f>
        <v>Admin &amp; Other</v>
      </c>
      <c r="Q1187" s="79" t="str">
        <f>IFERROR(VLOOKUP($M1187,Export!$P:$R,3,FALSE),"-")</f>
        <v xml:space="preserve">Admin &amp; OtherStaff Remuneration &amp; Benefits as % of Total Gross </v>
      </c>
      <c r="R1187" s="80" t="e" cm="1">
        <f t="array" ref="R1187">_xlfn.IFS(P1187="Service", _xlfn.IFS(I1187="SALES","GP",I1187="SERVICE SALES","GP",I1187="PARTS SALES","GP",I1187="SERVICE COS","GP",I1187="PARTS COS","GP",I1187="SELLING EXPENSES","Selling Expenses",I1187="EMPLOYMENT EXPENSES","Selling Expenses",I1187="EMPLOYMENT EXPENSES","Selling Expenses",I1187="DIRECT EXPENSES","Selling Expenses",I1187="INDIRECT EXPENSES","Selling Expenses"),P1187="Parts",_xlfn.IFS(I1187="SALES","GP",I1187="SERVICE SALES","GP",I1187="PARTS SALES","GP",I1187="SERVICE COS","GP",I1187="PARTS COS","GP",I1187="SELLING EXPENSES","Selling Expenses",I1187="EMPLOYMENT EXPENSES","Selling Expenses",I1187="EMPLOYMENT EXPENSES","Selling Expenses",I1187="DIRECT EXPENSES","Selling Expenses",I1187="INDIRECT EXPENSES","Selling Expenses"))</f>
        <v>#N/A</v>
      </c>
    </row>
    <row r="1188" spans="1:18" x14ac:dyDescent="0.2">
      <c r="A1188" s="75">
        <v>7310</v>
      </c>
      <c r="B1188" s="76" t="s">
        <v>932</v>
      </c>
      <c r="C1188" s="76">
        <v>122</v>
      </c>
      <c r="D1188" s="76" t="s">
        <v>452</v>
      </c>
      <c r="E1188" s="76" t="s">
        <v>426</v>
      </c>
      <c r="F1188" s="77">
        <v>324.83999999999997</v>
      </c>
      <c r="G1188" s="77">
        <v>144.78</v>
      </c>
      <c r="H1188" s="77">
        <v>469.62</v>
      </c>
      <c r="I1188" s="76" t="s">
        <v>925</v>
      </c>
      <c r="J1188" s="77">
        <v>0</v>
      </c>
      <c r="K1188" s="78">
        <v>0</v>
      </c>
      <c r="M1188" s="79" t="str">
        <f t="shared" si="56"/>
        <v>122-7310</v>
      </c>
      <c r="N1188" s="79" t="str">
        <f t="shared" si="54"/>
        <v/>
      </c>
      <c r="O1188" s="79" t="str">
        <f t="shared" si="55"/>
        <v>122</v>
      </c>
      <c r="P1188" s="79" t="str">
        <f>IFERROR(VLOOKUP($M1188,Export!$P:$R,2,FALSE),"-")</f>
        <v>LEX Admin &amp; Other</v>
      </c>
      <c r="Q1188" s="79" t="str">
        <f>IFERROR(VLOOKUP($M1188,Export!$P:$R,3,FALSE),"-")</f>
        <v xml:space="preserve">LEX Admin &amp; OtherStaff Remuneration &amp; Benefits as % of Total Gross </v>
      </c>
      <c r="R1188" s="80" t="e" cm="1">
        <f t="array" ref="R1188">_xlfn.IFS(P1188="Service", _xlfn.IFS(I1188="SALES","GP",I1188="SERVICE SALES","GP",I1188="PARTS SALES","GP",I1188="SERVICE COS","GP",I1188="PARTS COS","GP",I1188="SELLING EXPENSES","Selling Expenses",I1188="EMPLOYMENT EXPENSES","Selling Expenses",I1188="EMPLOYMENT EXPENSES","Selling Expenses",I1188="DIRECT EXPENSES","Selling Expenses",I1188="INDIRECT EXPENSES","Selling Expenses"),P1188="Parts",_xlfn.IFS(I1188="SALES","GP",I1188="SERVICE SALES","GP",I1188="PARTS SALES","GP",I1188="SERVICE COS","GP",I1188="PARTS COS","GP",I1188="SELLING EXPENSES","Selling Expenses",I1188="EMPLOYMENT EXPENSES","Selling Expenses",I1188="EMPLOYMENT EXPENSES","Selling Expenses",I1188="DIRECT EXPENSES","Selling Expenses",I1188="INDIRECT EXPENSES","Selling Expenses"))</f>
        <v>#N/A</v>
      </c>
    </row>
    <row r="1189" spans="1:18" x14ac:dyDescent="0.2">
      <c r="A1189" s="75">
        <v>7310</v>
      </c>
      <c r="B1189" s="76" t="s">
        <v>932</v>
      </c>
      <c r="C1189" s="76">
        <v>130</v>
      </c>
      <c r="D1189" s="76" t="s">
        <v>432</v>
      </c>
      <c r="E1189" s="76" t="s">
        <v>426</v>
      </c>
      <c r="F1189" s="77">
        <v>1244.8399999999999</v>
      </c>
      <c r="G1189" s="77">
        <v>545.27</v>
      </c>
      <c r="H1189" s="77">
        <v>1790.11</v>
      </c>
      <c r="I1189" s="76" t="s">
        <v>925</v>
      </c>
      <c r="J1189" s="77">
        <v>100</v>
      </c>
      <c r="K1189" s="78">
        <v>1592.26</v>
      </c>
      <c r="M1189" s="79" t="str">
        <f t="shared" si="56"/>
        <v>130-7310</v>
      </c>
      <c r="N1189" s="79" t="str">
        <f t="shared" si="54"/>
        <v/>
      </c>
      <c r="O1189" s="79" t="str">
        <f t="shared" si="55"/>
        <v>130</v>
      </c>
      <c r="P1189" s="79" t="str">
        <f>IFERROR(VLOOKUP($M1189,Export!$P:$R,2,FALSE),"-")</f>
        <v>Admin &amp; Other</v>
      </c>
      <c r="Q1189" s="79" t="str">
        <f>IFERROR(VLOOKUP($M1189,Export!$P:$R,3,FALSE),"-")</f>
        <v xml:space="preserve">Admin &amp; OtherStaff Remuneration &amp; Benefits as % of Total Gross </v>
      </c>
      <c r="R1189" s="80" t="e" cm="1">
        <f t="array" ref="R1189">_xlfn.IFS(P1189="Service", _xlfn.IFS(I1189="SALES","GP",I1189="SERVICE SALES","GP",I1189="PARTS SALES","GP",I1189="SERVICE COS","GP",I1189="PARTS COS","GP",I1189="SELLING EXPENSES","Selling Expenses",I1189="EMPLOYMENT EXPENSES","Selling Expenses",I1189="EMPLOYMENT EXPENSES","Selling Expenses",I1189="DIRECT EXPENSES","Selling Expenses",I1189="INDIRECT EXPENSES","Selling Expenses"),P1189="Parts",_xlfn.IFS(I1189="SALES","GP",I1189="SERVICE SALES","GP",I1189="PARTS SALES","GP",I1189="SERVICE COS","GP",I1189="PARTS COS","GP",I1189="SELLING EXPENSES","Selling Expenses",I1189="EMPLOYMENT EXPENSES","Selling Expenses",I1189="EMPLOYMENT EXPENSES","Selling Expenses",I1189="DIRECT EXPENSES","Selling Expenses",I1189="INDIRECT EXPENSES","Selling Expenses"))</f>
        <v>#N/A</v>
      </c>
    </row>
    <row r="1190" spans="1:18" x14ac:dyDescent="0.2">
      <c r="A1190" s="75">
        <v>7310</v>
      </c>
      <c r="B1190" s="76" t="s">
        <v>932</v>
      </c>
      <c r="C1190" s="76">
        <v>140</v>
      </c>
      <c r="D1190" s="76" t="s">
        <v>433</v>
      </c>
      <c r="E1190" s="76" t="s">
        <v>426</v>
      </c>
      <c r="F1190" s="77">
        <v>13761.6</v>
      </c>
      <c r="G1190" s="77">
        <v>2535.25</v>
      </c>
      <c r="H1190" s="77">
        <v>16296.85</v>
      </c>
      <c r="I1190" s="76" t="s">
        <v>925</v>
      </c>
      <c r="J1190" s="77">
        <v>1700</v>
      </c>
      <c r="K1190" s="78">
        <v>17555.13</v>
      </c>
      <c r="M1190" s="79" t="str">
        <f t="shared" si="56"/>
        <v>140-7310</v>
      </c>
      <c r="N1190" s="79" t="str">
        <f t="shared" si="54"/>
        <v/>
      </c>
      <c r="O1190" s="79" t="str">
        <f t="shared" si="55"/>
        <v>140</v>
      </c>
      <c r="P1190" s="79" t="str">
        <f>IFERROR(VLOOKUP($M1190,Export!$P:$R,2,FALSE),"-")</f>
        <v>Admin &amp; Other</v>
      </c>
      <c r="Q1190" s="79" t="str">
        <f>IFERROR(VLOOKUP($M1190,Export!$P:$R,3,FALSE),"-")</f>
        <v xml:space="preserve">Admin &amp; OtherStaff Remuneration &amp; Benefits as % of Total Gross </v>
      </c>
      <c r="R1190" s="80" t="e" cm="1">
        <f t="array" ref="R1190">_xlfn.IFS(P1190="Service", _xlfn.IFS(I1190="SALES","GP",I1190="SERVICE SALES","GP",I1190="PARTS SALES","GP",I1190="SERVICE COS","GP",I1190="PARTS COS","GP",I1190="SELLING EXPENSES","Selling Expenses",I1190="EMPLOYMENT EXPENSES","Selling Expenses",I1190="EMPLOYMENT EXPENSES","Selling Expenses",I1190="DIRECT EXPENSES","Selling Expenses",I1190="INDIRECT EXPENSES","Selling Expenses"),P1190="Parts",_xlfn.IFS(I1190="SALES","GP",I1190="SERVICE SALES","GP",I1190="PARTS SALES","GP",I1190="SERVICE COS","GP",I1190="PARTS COS","GP",I1190="SELLING EXPENSES","Selling Expenses",I1190="EMPLOYMENT EXPENSES","Selling Expenses",I1190="EMPLOYMENT EXPENSES","Selling Expenses",I1190="DIRECT EXPENSES","Selling Expenses",I1190="INDIRECT EXPENSES","Selling Expenses"))</f>
        <v>#N/A</v>
      </c>
    </row>
    <row r="1191" spans="1:18" x14ac:dyDescent="0.2">
      <c r="A1191" s="75">
        <v>7310</v>
      </c>
      <c r="B1191" s="76" t="s">
        <v>932</v>
      </c>
      <c r="C1191" s="76">
        <v>142</v>
      </c>
      <c r="D1191" s="76" t="s">
        <v>454</v>
      </c>
      <c r="E1191" s="76" t="s">
        <v>426</v>
      </c>
      <c r="F1191" s="77">
        <v>3674.65</v>
      </c>
      <c r="G1191" s="77">
        <v>561.34</v>
      </c>
      <c r="H1191" s="77">
        <v>4235.99</v>
      </c>
      <c r="I1191" s="76" t="s">
        <v>925</v>
      </c>
      <c r="J1191" s="77">
        <v>200</v>
      </c>
      <c r="K1191" s="78">
        <v>1750.94</v>
      </c>
      <c r="M1191" s="79" t="str">
        <f t="shared" si="56"/>
        <v>142-7310</v>
      </c>
      <c r="N1191" s="79" t="str">
        <f t="shared" si="54"/>
        <v/>
      </c>
      <c r="O1191" s="79" t="str">
        <f t="shared" si="55"/>
        <v>142</v>
      </c>
      <c r="P1191" s="79" t="str">
        <f>IFERROR(VLOOKUP($M1191,Export!$P:$R,2,FALSE),"-")</f>
        <v>LEX Admin &amp; Other</v>
      </c>
      <c r="Q1191" s="79" t="str">
        <f>IFERROR(VLOOKUP($M1191,Export!$P:$R,3,FALSE),"-")</f>
        <v xml:space="preserve">LEX Admin &amp; OtherStaff Remuneration &amp; Benefits as % of Total Gross </v>
      </c>
      <c r="R1191" s="80" t="e" cm="1">
        <f t="array" ref="R1191">_xlfn.IFS(P1191="Service", _xlfn.IFS(I1191="SALES","GP",I1191="SERVICE SALES","GP",I1191="PARTS SALES","GP",I1191="SERVICE COS","GP",I1191="PARTS COS","GP",I1191="SELLING EXPENSES","Selling Expenses",I1191="EMPLOYMENT EXPENSES","Selling Expenses",I1191="EMPLOYMENT EXPENSES","Selling Expenses",I1191="DIRECT EXPENSES","Selling Expenses",I1191="INDIRECT EXPENSES","Selling Expenses"),P1191="Parts",_xlfn.IFS(I1191="SALES","GP",I1191="SERVICE SALES","GP",I1191="PARTS SALES","GP",I1191="SERVICE COS","GP",I1191="PARTS COS","GP",I1191="SELLING EXPENSES","Selling Expenses",I1191="EMPLOYMENT EXPENSES","Selling Expenses",I1191="EMPLOYMENT EXPENSES","Selling Expenses",I1191="DIRECT EXPENSES","Selling Expenses",I1191="INDIRECT EXPENSES","Selling Expenses"))</f>
        <v>#N/A</v>
      </c>
    </row>
    <row r="1192" spans="1:18" x14ac:dyDescent="0.2">
      <c r="A1192" s="75">
        <v>7310</v>
      </c>
      <c r="B1192" s="76" t="s">
        <v>932</v>
      </c>
      <c r="C1192" s="76">
        <v>147</v>
      </c>
      <c r="D1192" s="76" t="s">
        <v>699</v>
      </c>
      <c r="E1192" s="76" t="s">
        <v>426</v>
      </c>
      <c r="F1192" s="77">
        <v>120.94</v>
      </c>
      <c r="G1192" s="77">
        <v>0</v>
      </c>
      <c r="H1192" s="77">
        <v>120.94</v>
      </c>
      <c r="I1192" s="76" t="s">
        <v>925</v>
      </c>
      <c r="J1192" s="77">
        <v>200</v>
      </c>
      <c r="K1192" s="78">
        <v>2452.38</v>
      </c>
      <c r="M1192" s="79" t="str">
        <f t="shared" si="56"/>
        <v>147-7310</v>
      </c>
      <c r="N1192" s="79" t="str">
        <f t="shared" si="54"/>
        <v/>
      </c>
      <c r="O1192" s="79" t="str">
        <f t="shared" si="55"/>
        <v>147</v>
      </c>
      <c r="P1192" s="79" t="str">
        <f>IFERROR(VLOOKUP($M1192,Export!$P:$R,2,FALSE),"-")</f>
        <v>Admin &amp; Other</v>
      </c>
      <c r="Q1192" s="79" t="str">
        <f>IFERROR(VLOOKUP($M1192,Export!$P:$R,3,FALSE),"-")</f>
        <v xml:space="preserve">Admin &amp; OtherStaff Remuneration &amp; Benefits as % of Total Gross </v>
      </c>
      <c r="R1192" s="80" t="e" cm="1">
        <f t="array" ref="R1192">_xlfn.IFS(P1192="Service", _xlfn.IFS(I1192="SALES","GP",I1192="SERVICE SALES","GP",I1192="PARTS SALES","GP",I1192="SERVICE COS","GP",I1192="PARTS COS","GP",I1192="SELLING EXPENSES","Selling Expenses",I1192="EMPLOYMENT EXPENSES","Selling Expenses",I1192="EMPLOYMENT EXPENSES","Selling Expenses",I1192="DIRECT EXPENSES","Selling Expenses",I1192="INDIRECT EXPENSES","Selling Expenses"),P1192="Parts",_xlfn.IFS(I1192="SALES","GP",I1192="SERVICE SALES","GP",I1192="PARTS SALES","GP",I1192="SERVICE COS","GP",I1192="PARTS COS","GP",I1192="SELLING EXPENSES","Selling Expenses",I1192="EMPLOYMENT EXPENSES","Selling Expenses",I1192="EMPLOYMENT EXPENSES","Selling Expenses",I1192="DIRECT EXPENSES","Selling Expenses",I1192="INDIRECT EXPENSES","Selling Expenses"))</f>
        <v>#N/A</v>
      </c>
    </row>
    <row r="1193" spans="1:18" x14ac:dyDescent="0.2">
      <c r="A1193" s="75">
        <v>7310</v>
      </c>
      <c r="B1193" s="76" t="s">
        <v>932</v>
      </c>
      <c r="C1193" s="76">
        <v>150</v>
      </c>
      <c r="D1193" s="76" t="s">
        <v>700</v>
      </c>
      <c r="E1193" s="76" t="s">
        <v>426</v>
      </c>
      <c r="F1193" s="77">
        <v>1019.95</v>
      </c>
      <c r="G1193" s="77">
        <v>140.19999999999999</v>
      </c>
      <c r="H1193" s="77">
        <v>1160.1500000000001</v>
      </c>
      <c r="I1193" s="76" t="s">
        <v>925</v>
      </c>
      <c r="J1193" s="77">
        <v>0</v>
      </c>
      <c r="K1193" s="78">
        <v>0</v>
      </c>
      <c r="M1193" s="79" t="str">
        <f t="shared" si="56"/>
        <v>150-7310</v>
      </c>
      <c r="N1193" s="79" t="str">
        <f t="shared" si="54"/>
        <v/>
      </c>
      <c r="O1193" s="79" t="str">
        <f t="shared" si="55"/>
        <v>150</v>
      </c>
      <c r="P1193" s="79" t="str">
        <f>IFERROR(VLOOKUP($M1193,Export!$P:$R,2,FALSE),"-")</f>
        <v>LEX Admin &amp; Other</v>
      </c>
      <c r="Q1193" s="79" t="str">
        <f>IFERROR(VLOOKUP($M1193,Export!$P:$R,3,FALSE),"-")</f>
        <v xml:space="preserve">LEX Admin &amp; OtherStaff Remuneration &amp; Benefits as % of Total Gross </v>
      </c>
      <c r="R1193" s="80" t="e" cm="1">
        <f t="array" ref="R1193">_xlfn.IFS(P1193="Service", _xlfn.IFS(I1193="SALES","GP",I1193="SERVICE SALES","GP",I1193="PARTS SALES","GP",I1193="SERVICE COS","GP",I1193="PARTS COS","GP",I1193="SELLING EXPENSES","Selling Expenses",I1193="EMPLOYMENT EXPENSES","Selling Expenses",I1193="EMPLOYMENT EXPENSES","Selling Expenses",I1193="DIRECT EXPENSES","Selling Expenses",I1193="INDIRECT EXPENSES","Selling Expenses"),P1193="Parts",_xlfn.IFS(I1193="SALES","GP",I1193="SERVICE SALES","GP",I1193="PARTS SALES","GP",I1193="SERVICE COS","GP",I1193="PARTS COS","GP",I1193="SELLING EXPENSES","Selling Expenses",I1193="EMPLOYMENT EXPENSES","Selling Expenses",I1193="EMPLOYMENT EXPENSES","Selling Expenses",I1193="DIRECT EXPENSES","Selling Expenses",I1193="INDIRECT EXPENSES","Selling Expenses"))</f>
        <v>#N/A</v>
      </c>
    </row>
    <row r="1194" spans="1:18" x14ac:dyDescent="0.2">
      <c r="A1194" s="75">
        <v>7310</v>
      </c>
      <c r="B1194" s="76" t="s">
        <v>932</v>
      </c>
      <c r="C1194" s="76">
        <v>160</v>
      </c>
      <c r="D1194" s="76" t="s">
        <v>434</v>
      </c>
      <c r="E1194" s="76" t="s">
        <v>426</v>
      </c>
      <c r="F1194" s="77">
        <v>1996.77</v>
      </c>
      <c r="G1194" s="287">
        <v>685.46</v>
      </c>
      <c r="H1194" s="77">
        <v>2682.23</v>
      </c>
      <c r="I1194" s="76" t="s">
        <v>925</v>
      </c>
      <c r="J1194" s="77">
        <v>0</v>
      </c>
      <c r="K1194" s="78">
        <v>1013.41</v>
      </c>
      <c r="M1194" s="79" t="str">
        <f t="shared" si="56"/>
        <v>160-7310</v>
      </c>
      <c r="N1194" s="79" t="str">
        <f t="shared" si="54"/>
        <v/>
      </c>
      <c r="O1194" s="79" t="str">
        <f t="shared" si="55"/>
        <v>160</v>
      </c>
      <c r="P1194" s="79" t="str">
        <f>IFERROR(VLOOKUP($M1194,Export!$P:$R,2,FALSE),"-")</f>
        <v>Admin &amp; Other</v>
      </c>
      <c r="Q1194" s="79" t="str">
        <f>IFERROR(VLOOKUP($M1194,Export!$P:$R,3,FALSE),"-")</f>
        <v xml:space="preserve">Admin &amp; OtherStaff Remuneration &amp; Benefits as % of Total Gross </v>
      </c>
      <c r="R1194" s="80" t="e" cm="1">
        <f t="array" ref="R1194">_xlfn.IFS(P1194="Service", _xlfn.IFS(I1194="SALES","GP",I1194="SERVICE SALES","GP",I1194="PARTS SALES","GP",I1194="SERVICE COS","GP",I1194="PARTS COS","GP",I1194="SELLING EXPENSES","Selling Expenses",I1194="EMPLOYMENT EXPENSES","Selling Expenses",I1194="EMPLOYMENT EXPENSES","Selling Expenses",I1194="DIRECT EXPENSES","Selling Expenses",I1194="INDIRECT EXPENSES","Selling Expenses"),P1194="Parts",_xlfn.IFS(I1194="SALES","GP",I1194="SERVICE SALES","GP",I1194="PARTS SALES","GP",I1194="SERVICE COS","GP",I1194="PARTS COS","GP",I1194="SELLING EXPENSES","Selling Expenses",I1194="EMPLOYMENT EXPENSES","Selling Expenses",I1194="EMPLOYMENT EXPENSES","Selling Expenses",I1194="DIRECT EXPENSES","Selling Expenses",I1194="INDIRECT EXPENSES","Selling Expenses"))</f>
        <v>#N/A</v>
      </c>
    </row>
    <row r="1195" spans="1:18" x14ac:dyDescent="0.2">
      <c r="A1195" s="75">
        <v>7310</v>
      </c>
      <c r="B1195" s="76" t="s">
        <v>932</v>
      </c>
      <c r="C1195" s="76">
        <v>170</v>
      </c>
      <c r="D1195" s="76" t="s">
        <v>676</v>
      </c>
      <c r="E1195" s="76" t="s">
        <v>426</v>
      </c>
      <c r="F1195" s="77">
        <v>0</v>
      </c>
      <c r="G1195" s="287">
        <v>0</v>
      </c>
      <c r="H1195" s="77">
        <v>0</v>
      </c>
      <c r="I1195" s="76" t="s">
        <v>925</v>
      </c>
      <c r="J1195" s="77">
        <v>0</v>
      </c>
      <c r="K1195" s="78">
        <v>53.2</v>
      </c>
      <c r="M1195" s="79" t="str">
        <f t="shared" si="56"/>
        <v>170-7310</v>
      </c>
      <c r="N1195" s="79" t="str">
        <f t="shared" si="54"/>
        <v/>
      </c>
      <c r="O1195" s="79" t="str">
        <f t="shared" si="55"/>
        <v>170</v>
      </c>
      <c r="P1195" s="79" t="str">
        <f>IFERROR(VLOOKUP($M1195,Export!$P:$R,2,FALSE),"-")</f>
        <v>Admin &amp; Other</v>
      </c>
      <c r="Q1195" s="79" t="str">
        <f>IFERROR(VLOOKUP($M1195,Export!$P:$R,3,FALSE),"-")</f>
        <v xml:space="preserve">Admin &amp; OtherStaff Remuneration &amp; Benefits as % of Total Gross </v>
      </c>
      <c r="R1195" s="80" t="e" cm="1">
        <f t="array" ref="R1195">_xlfn.IFS(P1195="Service", _xlfn.IFS(I1195="SALES","GP",I1195="SERVICE SALES","GP",I1195="PARTS SALES","GP",I1195="SERVICE COS","GP",I1195="PARTS COS","GP",I1195="SELLING EXPENSES","Selling Expenses",I1195="EMPLOYMENT EXPENSES","Selling Expenses",I1195="EMPLOYMENT EXPENSES","Selling Expenses",I1195="DIRECT EXPENSES","Selling Expenses",I1195="INDIRECT EXPENSES","Selling Expenses"),P1195="Parts",_xlfn.IFS(I1195="SALES","GP",I1195="SERVICE SALES","GP",I1195="PARTS SALES","GP",I1195="SERVICE COS","GP",I1195="PARTS COS","GP",I1195="SELLING EXPENSES","Selling Expenses",I1195="EMPLOYMENT EXPENSES","Selling Expenses",I1195="EMPLOYMENT EXPENSES","Selling Expenses",I1195="DIRECT EXPENSES","Selling Expenses",I1195="INDIRECT EXPENSES","Selling Expenses"))</f>
        <v>#N/A</v>
      </c>
    </row>
    <row r="1196" spans="1:18" x14ac:dyDescent="0.2">
      <c r="A1196" s="75">
        <v>7310</v>
      </c>
      <c r="B1196" s="76" t="s">
        <v>932</v>
      </c>
      <c r="C1196" s="76">
        <v>190</v>
      </c>
      <c r="D1196" s="76" t="s">
        <v>435</v>
      </c>
      <c r="E1196" s="76" t="s">
        <v>426</v>
      </c>
      <c r="F1196" s="77">
        <v>48</v>
      </c>
      <c r="G1196" s="77">
        <v>0</v>
      </c>
      <c r="H1196" s="77">
        <v>48</v>
      </c>
      <c r="I1196" s="76" t="s">
        <v>925</v>
      </c>
      <c r="J1196" s="77">
        <v>0</v>
      </c>
      <c r="K1196" s="78">
        <v>0</v>
      </c>
      <c r="M1196" s="79" t="str">
        <f t="shared" si="56"/>
        <v>190-7310</v>
      </c>
      <c r="N1196" s="79" t="str">
        <f t="shared" si="54"/>
        <v/>
      </c>
      <c r="O1196" s="79" t="str">
        <f t="shared" si="55"/>
        <v>190</v>
      </c>
      <c r="P1196" s="79" t="str">
        <f>IFERROR(VLOOKUP($M1196,Export!$P:$R,2,FALSE),"-")</f>
        <v>Admin &amp; Other</v>
      </c>
      <c r="Q1196" s="79" t="str">
        <f>IFERROR(VLOOKUP($M1196,Export!$P:$R,3,FALSE),"-")</f>
        <v xml:space="preserve">Admin &amp; OtherStaff Remuneration &amp; Benefits as % of Total Gross </v>
      </c>
      <c r="R1196" s="80" t="e" cm="1">
        <f t="array" ref="R1196">_xlfn.IFS(P1196="Service", _xlfn.IFS(I1196="SALES","GP",I1196="SERVICE SALES","GP",I1196="PARTS SALES","GP",I1196="SERVICE COS","GP",I1196="PARTS COS","GP",I1196="SELLING EXPENSES","Selling Expenses",I1196="EMPLOYMENT EXPENSES","Selling Expenses",I1196="EMPLOYMENT EXPENSES","Selling Expenses",I1196="DIRECT EXPENSES","Selling Expenses",I1196="INDIRECT EXPENSES","Selling Expenses"),P1196="Parts",_xlfn.IFS(I1196="SALES","GP",I1196="SERVICE SALES","GP",I1196="PARTS SALES","GP",I1196="SERVICE COS","GP",I1196="PARTS COS","GP",I1196="SELLING EXPENSES","Selling Expenses",I1196="EMPLOYMENT EXPENSES","Selling Expenses",I1196="EMPLOYMENT EXPENSES","Selling Expenses",I1196="DIRECT EXPENSES","Selling Expenses",I1196="INDIRECT EXPENSES","Selling Expenses"))</f>
        <v>#N/A</v>
      </c>
    </row>
    <row r="1197" spans="1:18" x14ac:dyDescent="0.2">
      <c r="A1197" s="75">
        <v>7310</v>
      </c>
      <c r="B1197" s="76" t="s">
        <v>932</v>
      </c>
      <c r="C1197" s="76">
        <v>210</v>
      </c>
      <c r="D1197" s="76" t="s">
        <v>436</v>
      </c>
      <c r="E1197" s="76" t="s">
        <v>426</v>
      </c>
      <c r="F1197" s="77">
        <v>236.87</v>
      </c>
      <c r="G1197" s="77">
        <v>128.53</v>
      </c>
      <c r="H1197" s="77">
        <v>365.4</v>
      </c>
      <c r="I1197" s="76" t="s">
        <v>925</v>
      </c>
      <c r="J1197" s="77">
        <v>0</v>
      </c>
      <c r="K1197" s="78">
        <v>21.92</v>
      </c>
      <c r="M1197" s="79" t="str">
        <f t="shared" si="56"/>
        <v>210-7310</v>
      </c>
      <c r="N1197" s="79" t="str">
        <f t="shared" si="54"/>
        <v/>
      </c>
      <c r="O1197" s="79" t="str">
        <f t="shared" si="55"/>
        <v>210</v>
      </c>
      <c r="P1197" s="79" t="str">
        <f>IFERROR(VLOOKUP($M1197,Export!$P:$R,2,FALSE),"-")</f>
        <v>Admin &amp; Other</v>
      </c>
      <c r="Q1197" s="79" t="str">
        <f>IFERROR(VLOOKUP($M1197,Export!$P:$R,3,FALSE),"-")</f>
        <v xml:space="preserve">Admin &amp; OtherStaff Remuneration &amp; Benefits as % of Total Gross </v>
      </c>
      <c r="R1197" s="80" t="e" cm="1">
        <f t="array" ref="R1197">_xlfn.IFS(P1197="Service", _xlfn.IFS(I1197="SALES","GP",I1197="SERVICE SALES","GP",I1197="PARTS SALES","GP",I1197="SERVICE COS","GP",I1197="PARTS COS","GP",I1197="SELLING EXPENSES","Selling Expenses",I1197="EMPLOYMENT EXPENSES","Selling Expenses",I1197="EMPLOYMENT EXPENSES","Selling Expenses",I1197="DIRECT EXPENSES","Selling Expenses",I1197="INDIRECT EXPENSES","Selling Expenses"),P1197="Parts",_xlfn.IFS(I1197="SALES","GP",I1197="SERVICE SALES","GP",I1197="PARTS SALES","GP",I1197="SERVICE COS","GP",I1197="PARTS COS","GP",I1197="SELLING EXPENSES","Selling Expenses",I1197="EMPLOYMENT EXPENSES","Selling Expenses",I1197="EMPLOYMENT EXPENSES","Selling Expenses",I1197="DIRECT EXPENSES","Selling Expenses",I1197="INDIRECT EXPENSES","Selling Expenses"))</f>
        <v>#N/A</v>
      </c>
    </row>
    <row r="1198" spans="1:18" x14ac:dyDescent="0.2">
      <c r="A1198" s="75">
        <v>7310</v>
      </c>
      <c r="B1198" s="76" t="s">
        <v>932</v>
      </c>
      <c r="C1198" s="76">
        <v>220</v>
      </c>
      <c r="D1198" s="76" t="s">
        <v>437</v>
      </c>
      <c r="E1198" s="76" t="s">
        <v>426</v>
      </c>
      <c r="F1198" s="77">
        <v>1686.71</v>
      </c>
      <c r="G1198" s="77">
        <v>264.95999999999998</v>
      </c>
      <c r="H1198" s="77">
        <v>1951.67</v>
      </c>
      <c r="I1198" s="76" t="s">
        <v>925</v>
      </c>
      <c r="J1198" s="77">
        <v>0</v>
      </c>
      <c r="K1198" s="78">
        <v>293.87</v>
      </c>
      <c r="M1198" s="79" t="str">
        <f t="shared" si="56"/>
        <v>220-7310</v>
      </c>
      <c r="N1198" s="79" t="str">
        <f t="shared" si="54"/>
        <v/>
      </c>
      <c r="O1198" s="79" t="str">
        <f t="shared" si="55"/>
        <v>220</v>
      </c>
      <c r="P1198" s="79" t="str">
        <f>IFERROR(VLOOKUP($M1198,Export!$P:$R,2,FALSE),"-")</f>
        <v>Admin &amp; Other</v>
      </c>
      <c r="Q1198" s="79" t="str">
        <f>IFERROR(VLOOKUP($M1198,Export!$P:$R,3,FALSE),"-")</f>
        <v xml:space="preserve">Admin &amp; OtherStaff Remuneration &amp; Benefits as % of Total Gross </v>
      </c>
      <c r="R1198" s="80" t="e" cm="1">
        <f t="array" ref="R1198">_xlfn.IFS(P1198="Service", _xlfn.IFS(I1198="SALES","GP",I1198="SERVICE SALES","GP",I1198="PARTS SALES","GP",I1198="SERVICE COS","GP",I1198="PARTS COS","GP",I1198="SELLING EXPENSES","Selling Expenses",I1198="EMPLOYMENT EXPENSES","Selling Expenses",I1198="EMPLOYMENT EXPENSES","Selling Expenses",I1198="DIRECT EXPENSES","Selling Expenses",I1198="INDIRECT EXPENSES","Selling Expenses"),P1198="Parts",_xlfn.IFS(I1198="SALES","GP",I1198="SERVICE SALES","GP",I1198="PARTS SALES","GP",I1198="SERVICE COS","GP",I1198="PARTS COS","GP",I1198="SELLING EXPENSES","Selling Expenses",I1198="EMPLOYMENT EXPENSES","Selling Expenses",I1198="EMPLOYMENT EXPENSES","Selling Expenses",I1198="DIRECT EXPENSES","Selling Expenses",I1198="INDIRECT EXPENSES","Selling Expenses"))</f>
        <v>#N/A</v>
      </c>
    </row>
    <row r="1199" spans="1:18" x14ac:dyDescent="0.2">
      <c r="A1199" s="75">
        <v>7310</v>
      </c>
      <c r="B1199" s="76" t="s">
        <v>932</v>
      </c>
      <c r="C1199" s="76">
        <v>230</v>
      </c>
      <c r="D1199" s="76" t="s">
        <v>438</v>
      </c>
      <c r="E1199" s="76" t="s">
        <v>426</v>
      </c>
      <c r="F1199" s="77">
        <v>29.87</v>
      </c>
      <c r="G1199" s="77">
        <v>311.69</v>
      </c>
      <c r="H1199" s="77">
        <v>341.56</v>
      </c>
      <c r="I1199" s="76" t="s">
        <v>925</v>
      </c>
      <c r="J1199" s="77">
        <v>0</v>
      </c>
      <c r="K1199" s="78">
        <v>54.74</v>
      </c>
      <c r="M1199" s="79" t="str">
        <f t="shared" si="56"/>
        <v>230-7310</v>
      </c>
      <c r="N1199" s="79" t="str">
        <f t="shared" si="54"/>
        <v/>
      </c>
      <c r="O1199" s="79" t="str">
        <f t="shared" si="55"/>
        <v>230</v>
      </c>
      <c r="P1199" s="79" t="str">
        <f>IFERROR(VLOOKUP($M1199,Export!$P:$R,2,FALSE),"-")</f>
        <v>Admin &amp; Other</v>
      </c>
      <c r="Q1199" s="79" t="str">
        <f>IFERROR(VLOOKUP($M1199,Export!$P:$R,3,FALSE),"-")</f>
        <v xml:space="preserve">Admin &amp; OtherStaff Remuneration &amp; Benefits as % of Total Gross </v>
      </c>
      <c r="R1199" s="80" t="e" cm="1">
        <f t="array" ref="R1199">_xlfn.IFS(P1199="Service", _xlfn.IFS(I1199="SALES","GP",I1199="SERVICE SALES","GP",I1199="PARTS SALES","GP",I1199="SERVICE COS","GP",I1199="PARTS COS","GP",I1199="SELLING EXPENSES","Selling Expenses",I1199="EMPLOYMENT EXPENSES","Selling Expenses",I1199="EMPLOYMENT EXPENSES","Selling Expenses",I1199="DIRECT EXPENSES","Selling Expenses",I1199="INDIRECT EXPENSES","Selling Expenses"),P1199="Parts",_xlfn.IFS(I1199="SALES","GP",I1199="SERVICE SALES","GP",I1199="PARTS SALES","GP",I1199="SERVICE COS","GP",I1199="PARTS COS","GP",I1199="SELLING EXPENSES","Selling Expenses",I1199="EMPLOYMENT EXPENSES","Selling Expenses",I1199="EMPLOYMENT EXPENSES","Selling Expenses",I1199="DIRECT EXPENSES","Selling Expenses",I1199="INDIRECT EXPENSES","Selling Expenses"))</f>
        <v>#N/A</v>
      </c>
    </row>
    <row r="1200" spans="1:18" x14ac:dyDescent="0.2">
      <c r="A1200" s="75">
        <v>7310</v>
      </c>
      <c r="B1200" s="76" t="s">
        <v>932</v>
      </c>
      <c r="C1200" s="76">
        <v>240</v>
      </c>
      <c r="D1200" s="76" t="s">
        <v>439</v>
      </c>
      <c r="E1200" s="76" t="s">
        <v>426</v>
      </c>
      <c r="F1200" s="77">
        <v>1624.58</v>
      </c>
      <c r="G1200" s="77">
        <v>548.04</v>
      </c>
      <c r="H1200" s="77">
        <v>2172.62</v>
      </c>
      <c r="I1200" s="76" t="s">
        <v>925</v>
      </c>
      <c r="J1200" s="77">
        <v>100</v>
      </c>
      <c r="K1200" s="78">
        <v>1112.19</v>
      </c>
      <c r="M1200" s="79" t="str">
        <f t="shared" si="56"/>
        <v>240-7310</v>
      </c>
      <c r="N1200" s="79" t="str">
        <f t="shared" si="54"/>
        <v/>
      </c>
      <c r="O1200" s="79" t="str">
        <f t="shared" si="55"/>
        <v>240</v>
      </c>
      <c r="P1200" s="79" t="str">
        <f>IFERROR(VLOOKUP($M1200,Export!$P:$R,2,FALSE),"-")</f>
        <v>Admin &amp; Other</v>
      </c>
      <c r="Q1200" s="79" t="str">
        <f>IFERROR(VLOOKUP($M1200,Export!$P:$R,3,FALSE),"-")</f>
        <v xml:space="preserve">Admin &amp; OtherStaff Remuneration &amp; Benefits as % of Total Gross </v>
      </c>
      <c r="R1200" s="80" t="e" cm="1">
        <f t="array" ref="R1200">_xlfn.IFS(P1200="Service", _xlfn.IFS(I1200="SALES","GP",I1200="SERVICE SALES","GP",I1200="PARTS SALES","GP",I1200="SERVICE COS","GP",I1200="PARTS COS","GP",I1200="SELLING EXPENSES","Selling Expenses",I1200="EMPLOYMENT EXPENSES","Selling Expenses",I1200="EMPLOYMENT EXPENSES","Selling Expenses",I1200="DIRECT EXPENSES","Selling Expenses",I1200="INDIRECT EXPENSES","Selling Expenses"),P1200="Parts",_xlfn.IFS(I1200="SALES","GP",I1200="SERVICE SALES","GP",I1200="PARTS SALES","GP",I1200="SERVICE COS","GP",I1200="PARTS COS","GP",I1200="SELLING EXPENSES","Selling Expenses",I1200="EMPLOYMENT EXPENSES","Selling Expenses",I1200="EMPLOYMENT EXPENSES","Selling Expenses",I1200="DIRECT EXPENSES","Selling Expenses",I1200="INDIRECT EXPENSES","Selling Expenses"))</f>
        <v>#N/A</v>
      </c>
    </row>
    <row r="1201" spans="1:18" x14ac:dyDescent="0.2">
      <c r="A1201" s="75">
        <v>7310</v>
      </c>
      <c r="B1201" s="76" t="s">
        <v>932</v>
      </c>
      <c r="C1201" s="76">
        <v>260</v>
      </c>
      <c r="D1201" s="76" t="s">
        <v>456</v>
      </c>
      <c r="E1201" s="76" t="s">
        <v>426</v>
      </c>
      <c r="F1201" s="77">
        <v>1071.81</v>
      </c>
      <c r="G1201" s="77">
        <v>321.69</v>
      </c>
      <c r="H1201" s="77">
        <v>1393.5</v>
      </c>
      <c r="I1201" s="76" t="s">
        <v>925</v>
      </c>
      <c r="J1201" s="77">
        <v>0</v>
      </c>
      <c r="K1201" s="78">
        <v>363.76</v>
      </c>
      <c r="M1201" s="79" t="str">
        <f t="shared" si="56"/>
        <v>260-7310</v>
      </c>
      <c r="N1201" s="79" t="str">
        <f t="shared" si="54"/>
        <v/>
      </c>
      <c r="O1201" s="79" t="str">
        <f t="shared" si="55"/>
        <v>260</v>
      </c>
      <c r="P1201" s="79" t="str">
        <f>IFERROR(VLOOKUP($M1201,Export!$P:$R,2,FALSE),"-")</f>
        <v>Admin &amp; Other</v>
      </c>
      <c r="Q1201" s="79" t="str">
        <f>IFERROR(VLOOKUP($M1201,Export!$P:$R,3,FALSE),"-")</f>
        <v xml:space="preserve">Admin &amp; OtherStaff Remuneration &amp; Benefits as % of Total Gross </v>
      </c>
      <c r="R1201" s="80" t="e" cm="1">
        <f t="array" ref="R1201">_xlfn.IFS(P1201="Service", _xlfn.IFS(I1201="SALES","GP",I1201="SERVICE SALES","GP",I1201="PARTS SALES","GP",I1201="SERVICE COS","GP",I1201="PARTS COS","GP",I1201="SELLING EXPENSES","Selling Expenses",I1201="EMPLOYMENT EXPENSES","Selling Expenses",I1201="EMPLOYMENT EXPENSES","Selling Expenses",I1201="DIRECT EXPENSES","Selling Expenses",I1201="INDIRECT EXPENSES","Selling Expenses"),P1201="Parts",_xlfn.IFS(I1201="SALES","GP",I1201="SERVICE SALES","GP",I1201="PARTS SALES","GP",I1201="SERVICE COS","GP",I1201="PARTS COS","GP",I1201="SELLING EXPENSES","Selling Expenses",I1201="EMPLOYMENT EXPENSES","Selling Expenses",I1201="EMPLOYMENT EXPENSES","Selling Expenses",I1201="DIRECT EXPENSES","Selling Expenses",I1201="INDIRECT EXPENSES","Selling Expenses"))</f>
        <v>#N/A</v>
      </c>
    </row>
    <row r="1202" spans="1:18" x14ac:dyDescent="0.2">
      <c r="A1202" s="75">
        <v>7310</v>
      </c>
      <c r="B1202" s="76" t="s">
        <v>932</v>
      </c>
      <c r="C1202" s="76">
        <v>330</v>
      </c>
      <c r="D1202" s="76" t="s">
        <v>457</v>
      </c>
      <c r="E1202" s="76" t="s">
        <v>426</v>
      </c>
      <c r="F1202" s="77">
        <v>1365.98</v>
      </c>
      <c r="G1202" s="77">
        <v>190.53</v>
      </c>
      <c r="H1202" s="77">
        <v>1556.51</v>
      </c>
      <c r="I1202" s="76" t="s">
        <v>925</v>
      </c>
      <c r="J1202" s="77">
        <v>0</v>
      </c>
      <c r="K1202" s="78">
        <v>0</v>
      </c>
      <c r="M1202" s="79" t="str">
        <f t="shared" si="56"/>
        <v>330-7310</v>
      </c>
      <c r="N1202" s="79" t="str">
        <f t="shared" si="54"/>
        <v/>
      </c>
      <c r="O1202" s="79" t="str">
        <f t="shared" si="55"/>
        <v>330</v>
      </c>
      <c r="P1202" s="79" t="str">
        <f>IFERROR(VLOOKUP($M1202,Export!$P:$R,2,FALSE),"-")</f>
        <v>Admin &amp; Other</v>
      </c>
      <c r="Q1202" s="79" t="str">
        <f>IFERROR(VLOOKUP($M1202,Export!$P:$R,3,FALSE),"-")</f>
        <v xml:space="preserve">Admin &amp; OtherStaff Remuneration &amp; Benefits as % of Total Gross </v>
      </c>
      <c r="R1202" s="80" t="e" cm="1">
        <f t="array" ref="R1202">_xlfn.IFS(P1202="Service", _xlfn.IFS(I1202="SALES","GP",I1202="SERVICE SALES","GP",I1202="PARTS SALES","GP",I1202="SERVICE COS","GP",I1202="PARTS COS","GP",I1202="SELLING EXPENSES","Selling Expenses",I1202="EMPLOYMENT EXPENSES","Selling Expenses",I1202="EMPLOYMENT EXPENSES","Selling Expenses",I1202="DIRECT EXPENSES","Selling Expenses",I1202="INDIRECT EXPENSES","Selling Expenses"),P1202="Parts",_xlfn.IFS(I1202="SALES","GP",I1202="SERVICE SALES","GP",I1202="PARTS SALES","GP",I1202="SERVICE COS","GP",I1202="PARTS COS","GP",I1202="SELLING EXPENSES","Selling Expenses",I1202="EMPLOYMENT EXPENSES","Selling Expenses",I1202="EMPLOYMENT EXPENSES","Selling Expenses",I1202="DIRECT EXPENSES","Selling Expenses",I1202="INDIRECT EXPENSES","Selling Expenses"))</f>
        <v>#N/A</v>
      </c>
    </row>
    <row r="1203" spans="1:18" x14ac:dyDescent="0.2">
      <c r="A1203" s="75">
        <v>7310</v>
      </c>
      <c r="B1203" s="76" t="s">
        <v>932</v>
      </c>
      <c r="C1203" s="76">
        <v>340</v>
      </c>
      <c r="D1203" s="76" t="s">
        <v>440</v>
      </c>
      <c r="E1203" s="76" t="s">
        <v>426</v>
      </c>
      <c r="F1203" s="77">
        <v>4334.8900000000003</v>
      </c>
      <c r="G1203" s="77">
        <v>707.76</v>
      </c>
      <c r="H1203" s="77">
        <v>5042.6499999999996</v>
      </c>
      <c r="I1203" s="76" t="s">
        <v>925</v>
      </c>
      <c r="J1203" s="77">
        <v>100</v>
      </c>
      <c r="K1203" s="78">
        <v>899.08</v>
      </c>
      <c r="M1203" s="79" t="str">
        <f t="shared" si="56"/>
        <v>340-7310</v>
      </c>
      <c r="N1203" s="79" t="str">
        <f t="shared" si="54"/>
        <v/>
      </c>
      <c r="O1203" s="79" t="str">
        <f t="shared" si="55"/>
        <v>340</v>
      </c>
      <c r="P1203" s="79" t="str">
        <f>IFERROR(VLOOKUP($M1203,Export!$P:$R,2,FALSE),"-")</f>
        <v>Admin &amp; Other</v>
      </c>
      <c r="Q1203" s="79" t="str">
        <f>IFERROR(VLOOKUP($M1203,Export!$P:$R,3,FALSE),"-")</f>
        <v xml:space="preserve">Admin &amp; OtherStaff Remuneration &amp; Benefits as % of Total Gross </v>
      </c>
      <c r="R1203" s="80" t="e" cm="1">
        <f t="array" ref="R1203">_xlfn.IFS(P1203="Service", _xlfn.IFS(I1203="SALES","GP",I1203="SERVICE SALES","GP",I1203="PARTS SALES","GP",I1203="SERVICE COS","GP",I1203="PARTS COS","GP",I1203="SELLING EXPENSES","Selling Expenses",I1203="EMPLOYMENT EXPENSES","Selling Expenses",I1203="EMPLOYMENT EXPENSES","Selling Expenses",I1203="DIRECT EXPENSES","Selling Expenses",I1203="INDIRECT EXPENSES","Selling Expenses"),P1203="Parts",_xlfn.IFS(I1203="SALES","GP",I1203="SERVICE SALES","GP",I1203="PARTS SALES","GP",I1203="SERVICE COS","GP",I1203="PARTS COS","GP",I1203="SELLING EXPENSES","Selling Expenses",I1203="EMPLOYMENT EXPENSES","Selling Expenses",I1203="EMPLOYMENT EXPENSES","Selling Expenses",I1203="DIRECT EXPENSES","Selling Expenses",I1203="INDIRECT EXPENSES","Selling Expenses"))</f>
        <v>#N/A</v>
      </c>
    </row>
    <row r="1204" spans="1:18" x14ac:dyDescent="0.2">
      <c r="A1204" s="75">
        <v>7310</v>
      </c>
      <c r="B1204" s="76" t="s">
        <v>932</v>
      </c>
      <c r="C1204" s="76">
        <v>430</v>
      </c>
      <c r="D1204" s="76" t="s">
        <v>458</v>
      </c>
      <c r="E1204" s="76" t="s">
        <v>426</v>
      </c>
      <c r="F1204" s="77">
        <v>1146.7</v>
      </c>
      <c r="G1204" s="77">
        <v>163.46</v>
      </c>
      <c r="H1204" s="77">
        <v>1310.1600000000001</v>
      </c>
      <c r="I1204" s="76" t="s">
        <v>925</v>
      </c>
      <c r="J1204" s="77">
        <v>0</v>
      </c>
      <c r="K1204" s="78">
        <v>23.42</v>
      </c>
      <c r="M1204" s="79" t="str">
        <f t="shared" si="56"/>
        <v>430-7310</v>
      </c>
      <c r="N1204" s="79" t="str">
        <f t="shared" si="54"/>
        <v/>
      </c>
      <c r="O1204" s="79" t="str">
        <f t="shared" si="55"/>
        <v>430</v>
      </c>
      <c r="P1204" s="79" t="str">
        <f>IFERROR(VLOOKUP($M1204,Export!$P:$R,2,FALSE),"-")</f>
        <v>Admin &amp; Other</v>
      </c>
      <c r="Q1204" s="79" t="str">
        <f>IFERROR(VLOOKUP($M1204,Export!$P:$R,3,FALSE),"-")</f>
        <v xml:space="preserve">Admin &amp; OtherStaff Remuneration &amp; Benefits as % of Total Gross </v>
      </c>
      <c r="R1204" s="80" t="e" cm="1">
        <f t="array" ref="R1204">_xlfn.IFS(P1204="Service", _xlfn.IFS(I1204="SALES","GP",I1204="SERVICE SALES","GP",I1204="PARTS SALES","GP",I1204="SERVICE COS","GP",I1204="PARTS COS","GP",I1204="SELLING EXPENSES","Selling Expenses",I1204="EMPLOYMENT EXPENSES","Selling Expenses",I1204="EMPLOYMENT EXPENSES","Selling Expenses",I1204="DIRECT EXPENSES","Selling Expenses",I1204="INDIRECT EXPENSES","Selling Expenses"),P1204="Parts",_xlfn.IFS(I1204="SALES","GP",I1204="SERVICE SALES","GP",I1204="PARTS SALES","GP",I1204="SERVICE COS","GP",I1204="PARTS COS","GP",I1204="SELLING EXPENSES","Selling Expenses",I1204="EMPLOYMENT EXPENSES","Selling Expenses",I1204="EMPLOYMENT EXPENSES","Selling Expenses",I1204="DIRECT EXPENSES","Selling Expenses",I1204="INDIRECT EXPENSES","Selling Expenses"))</f>
        <v>#N/A</v>
      </c>
    </row>
    <row r="1205" spans="1:18" x14ac:dyDescent="0.2">
      <c r="A1205" s="75">
        <v>7310</v>
      </c>
      <c r="B1205" s="76" t="s">
        <v>932</v>
      </c>
      <c r="C1205" s="76">
        <v>440</v>
      </c>
      <c r="D1205" s="76" t="s">
        <v>441</v>
      </c>
      <c r="E1205" s="76" t="s">
        <v>426</v>
      </c>
      <c r="F1205" s="77">
        <v>2993.97</v>
      </c>
      <c r="G1205" s="77">
        <v>528.39</v>
      </c>
      <c r="H1205" s="77">
        <v>3522.36</v>
      </c>
      <c r="I1205" s="76" t="s">
        <v>925</v>
      </c>
      <c r="J1205" s="77">
        <v>450</v>
      </c>
      <c r="K1205" s="78">
        <v>4292.2700000000004</v>
      </c>
      <c r="M1205" s="79" t="str">
        <f t="shared" si="56"/>
        <v>440-7310</v>
      </c>
      <c r="N1205" s="79" t="str">
        <f t="shared" si="54"/>
        <v/>
      </c>
      <c r="O1205" s="79" t="str">
        <f t="shared" si="55"/>
        <v>440</v>
      </c>
      <c r="P1205" s="79" t="str">
        <f>IFERROR(VLOOKUP($M1205,Export!$P:$R,2,FALSE),"-")</f>
        <v>Admin &amp; Other</v>
      </c>
      <c r="Q1205" s="79" t="str">
        <f>IFERROR(VLOOKUP($M1205,Export!$P:$R,3,FALSE),"-")</f>
        <v xml:space="preserve">Admin &amp; OtherStaff Remuneration &amp; Benefits as % of Total Gross </v>
      </c>
      <c r="R1205" s="80" t="e" cm="1">
        <f t="array" ref="R1205">_xlfn.IFS(P1205="Service", _xlfn.IFS(I1205="SALES","GP",I1205="SERVICE SALES","GP",I1205="PARTS SALES","GP",I1205="SERVICE COS","GP",I1205="PARTS COS","GP",I1205="SELLING EXPENSES","Selling Expenses",I1205="EMPLOYMENT EXPENSES","Selling Expenses",I1205="EMPLOYMENT EXPENSES","Selling Expenses",I1205="DIRECT EXPENSES","Selling Expenses",I1205="INDIRECT EXPENSES","Selling Expenses"),P1205="Parts",_xlfn.IFS(I1205="SALES","GP",I1205="SERVICE SALES","GP",I1205="PARTS SALES","GP",I1205="SERVICE COS","GP",I1205="PARTS COS","GP",I1205="SELLING EXPENSES","Selling Expenses",I1205="EMPLOYMENT EXPENSES","Selling Expenses",I1205="EMPLOYMENT EXPENSES","Selling Expenses",I1205="DIRECT EXPENSES","Selling Expenses",I1205="INDIRECT EXPENSES","Selling Expenses"))</f>
        <v>#N/A</v>
      </c>
    </row>
    <row r="1206" spans="1:18" x14ac:dyDescent="0.2">
      <c r="A1206" s="75">
        <v>7310</v>
      </c>
      <c r="B1206" s="76" t="s">
        <v>932</v>
      </c>
      <c r="C1206" s="76">
        <v>935</v>
      </c>
      <c r="D1206" s="76" t="s">
        <v>442</v>
      </c>
      <c r="E1206" s="76" t="s">
        <v>426</v>
      </c>
      <c r="F1206" s="77">
        <v>360.87</v>
      </c>
      <c r="G1206" s="77">
        <v>174.39</v>
      </c>
      <c r="H1206" s="77">
        <v>535.26</v>
      </c>
      <c r="I1206" s="76" t="s">
        <v>925</v>
      </c>
      <c r="J1206" s="77">
        <v>0</v>
      </c>
      <c r="K1206" s="78">
        <v>177.67</v>
      </c>
      <c r="M1206" s="79" t="str">
        <f t="shared" si="56"/>
        <v>935-7310</v>
      </c>
      <c r="N1206" s="79" t="str">
        <f t="shared" si="54"/>
        <v/>
      </c>
      <c r="O1206" s="79" t="str">
        <f t="shared" si="55"/>
        <v>935</v>
      </c>
      <c r="P1206" s="79" t="str">
        <f>IFERROR(VLOOKUP($M1206,Export!$P:$R,2,FALSE),"-")</f>
        <v>LEX Admin &amp; Other</v>
      </c>
      <c r="Q1206" s="79" t="str">
        <f>IFERROR(VLOOKUP($M1206,Export!$P:$R,3,FALSE),"-")</f>
        <v xml:space="preserve">LEX Admin &amp; OtherStaff Remuneration &amp; Benefits as % of Total Gross </v>
      </c>
      <c r="R1206" s="80" t="e" cm="1">
        <f t="array" ref="R1206">_xlfn.IFS(P1206="Service", _xlfn.IFS(I1206="SALES","GP",I1206="SERVICE SALES","GP",I1206="PARTS SALES","GP",I1206="SERVICE COS","GP",I1206="PARTS COS","GP",I1206="SELLING EXPENSES","Selling Expenses",I1206="EMPLOYMENT EXPENSES","Selling Expenses",I1206="EMPLOYMENT EXPENSES","Selling Expenses",I1206="DIRECT EXPENSES","Selling Expenses",I1206="INDIRECT EXPENSES","Selling Expenses"),P1206="Parts",_xlfn.IFS(I1206="SALES","GP",I1206="SERVICE SALES","GP",I1206="PARTS SALES","GP",I1206="SERVICE COS","GP",I1206="PARTS COS","GP",I1206="SELLING EXPENSES","Selling Expenses",I1206="EMPLOYMENT EXPENSES","Selling Expenses",I1206="EMPLOYMENT EXPENSES","Selling Expenses",I1206="DIRECT EXPENSES","Selling Expenses",I1206="INDIRECT EXPENSES","Selling Expenses"))</f>
        <v>#N/A</v>
      </c>
    </row>
    <row r="1207" spans="1:18" x14ac:dyDescent="0.2">
      <c r="A1207" s="75">
        <v>7310</v>
      </c>
      <c r="B1207" s="76" t="s">
        <v>932</v>
      </c>
      <c r="C1207" s="76">
        <v>936</v>
      </c>
      <c r="D1207" s="76" t="s">
        <v>443</v>
      </c>
      <c r="E1207" s="76" t="s">
        <v>426</v>
      </c>
      <c r="F1207" s="77">
        <v>-10.71</v>
      </c>
      <c r="G1207" s="77">
        <v>30.87</v>
      </c>
      <c r="H1207" s="77">
        <v>20.16</v>
      </c>
      <c r="I1207" s="76" t="s">
        <v>925</v>
      </c>
      <c r="J1207" s="77">
        <v>0</v>
      </c>
      <c r="K1207" s="78">
        <v>33.53</v>
      </c>
      <c r="M1207" s="79" t="str">
        <f t="shared" si="56"/>
        <v>936-7310</v>
      </c>
      <c r="N1207" s="79" t="str">
        <f t="shared" si="54"/>
        <v/>
      </c>
      <c r="O1207" s="79" t="str">
        <f t="shared" si="55"/>
        <v>936</v>
      </c>
      <c r="P1207" s="79" t="str">
        <f>IFERROR(VLOOKUP($M1207,Export!$P:$R,2,FALSE),"-")</f>
        <v>LEX Admin &amp; Other</v>
      </c>
      <c r="Q1207" s="79" t="str">
        <f>IFERROR(VLOOKUP($M1207,Export!$P:$R,3,FALSE),"-")</f>
        <v xml:space="preserve">LEX Admin &amp; OtherStaff Remuneration &amp; Benefits as % of Total Gross </v>
      </c>
      <c r="R1207" s="80" t="e" cm="1">
        <f t="array" ref="R1207">_xlfn.IFS(P1207="Service", _xlfn.IFS(I1207="SALES","GP",I1207="SERVICE SALES","GP",I1207="PARTS SALES","GP",I1207="SERVICE COS","GP",I1207="PARTS COS","GP",I1207="SELLING EXPENSES","Selling Expenses",I1207="EMPLOYMENT EXPENSES","Selling Expenses",I1207="EMPLOYMENT EXPENSES","Selling Expenses",I1207="DIRECT EXPENSES","Selling Expenses",I1207="INDIRECT EXPENSES","Selling Expenses"),P1207="Parts",_xlfn.IFS(I1207="SALES","GP",I1207="SERVICE SALES","GP",I1207="PARTS SALES","GP",I1207="SERVICE COS","GP",I1207="PARTS COS","GP",I1207="SELLING EXPENSES","Selling Expenses",I1207="EMPLOYMENT EXPENSES","Selling Expenses",I1207="EMPLOYMENT EXPENSES","Selling Expenses",I1207="DIRECT EXPENSES","Selling Expenses",I1207="INDIRECT EXPENSES","Selling Expenses"))</f>
        <v>#N/A</v>
      </c>
    </row>
    <row r="1208" spans="1:18" x14ac:dyDescent="0.2">
      <c r="A1208" s="75">
        <v>7453</v>
      </c>
      <c r="B1208" s="76" t="s">
        <v>933</v>
      </c>
      <c r="C1208" s="76">
        <v>110</v>
      </c>
      <c r="D1208" s="76" t="s">
        <v>430</v>
      </c>
      <c r="E1208" s="76" t="s">
        <v>426</v>
      </c>
      <c r="F1208" s="77">
        <v>3738.71</v>
      </c>
      <c r="G1208" s="77">
        <v>147.66999999999999</v>
      </c>
      <c r="H1208" s="77">
        <v>3886.38</v>
      </c>
      <c r="I1208" s="76" t="s">
        <v>925</v>
      </c>
      <c r="J1208" s="77">
        <v>0</v>
      </c>
      <c r="K1208" s="78">
        <v>2911.33</v>
      </c>
      <c r="M1208" s="79" t="str">
        <f t="shared" si="56"/>
        <v>110-7453</v>
      </c>
      <c r="N1208" s="79" t="str">
        <f t="shared" si="54"/>
        <v/>
      </c>
      <c r="O1208" s="79" t="str">
        <f t="shared" si="55"/>
        <v>110</v>
      </c>
      <c r="P1208" s="79" t="str">
        <f>IFERROR(VLOOKUP($M1208,Export!$P:$R,2,FALSE),"-")</f>
        <v>Admin &amp; Other</v>
      </c>
      <c r="Q1208" s="79" t="str">
        <f>IFERROR(VLOOKUP($M1208,Export!$P:$R,3,FALSE),"-")</f>
        <v>Admin &amp; OtherOther Overheads as % of Total Gross Profit</v>
      </c>
      <c r="R1208" s="80" t="e" cm="1">
        <f t="array" ref="R1208">_xlfn.IFS(P1208="Service", _xlfn.IFS(I1208="SALES","GP",I1208="SERVICE SALES","GP",I1208="PARTS SALES","GP",I1208="SERVICE COS","GP",I1208="PARTS COS","GP",I1208="SELLING EXPENSES","Selling Expenses",I1208="EMPLOYMENT EXPENSES","Selling Expenses",I1208="EMPLOYMENT EXPENSES","Selling Expenses",I1208="DIRECT EXPENSES","Selling Expenses",I1208="INDIRECT EXPENSES","Selling Expenses"),P1208="Parts",_xlfn.IFS(I1208="SALES","GP",I1208="SERVICE SALES","GP",I1208="PARTS SALES","GP",I1208="SERVICE COS","GP",I1208="PARTS COS","GP",I1208="SELLING EXPENSES","Selling Expenses",I1208="EMPLOYMENT EXPENSES","Selling Expenses",I1208="EMPLOYMENT EXPENSES","Selling Expenses",I1208="DIRECT EXPENSES","Selling Expenses",I1208="INDIRECT EXPENSES","Selling Expenses"))</f>
        <v>#N/A</v>
      </c>
    </row>
    <row r="1209" spans="1:18" x14ac:dyDescent="0.2">
      <c r="A1209" s="75">
        <v>7453</v>
      </c>
      <c r="B1209" s="76" t="s">
        <v>933</v>
      </c>
      <c r="C1209" s="76">
        <v>112</v>
      </c>
      <c r="D1209" s="76" t="s">
        <v>349</v>
      </c>
      <c r="E1209" s="76" t="s">
        <v>426</v>
      </c>
      <c r="F1209" s="77">
        <v>3285.38</v>
      </c>
      <c r="G1209" s="77">
        <v>182.66</v>
      </c>
      <c r="H1209" s="77">
        <v>3468.04</v>
      </c>
      <c r="I1209" s="76" t="s">
        <v>925</v>
      </c>
      <c r="J1209" s="77">
        <v>0</v>
      </c>
      <c r="K1209" s="78">
        <v>2366.75</v>
      </c>
      <c r="M1209" s="79" t="str">
        <f t="shared" si="56"/>
        <v>112-7453</v>
      </c>
      <c r="N1209" s="79" t="str">
        <f t="shared" si="54"/>
        <v/>
      </c>
      <c r="O1209" s="79" t="str">
        <f t="shared" si="55"/>
        <v>112</v>
      </c>
      <c r="P1209" s="79" t="str">
        <f>IFERROR(VLOOKUP($M1209,Export!$P:$R,2,FALSE),"-")</f>
        <v>LEX Admin &amp; Other</v>
      </c>
      <c r="Q1209" s="79" t="str">
        <f>IFERROR(VLOOKUP($M1209,Export!$P:$R,3,FALSE),"-")</f>
        <v>LEX Admin &amp; OtherOther Overheads as % of Total Gross Profit</v>
      </c>
      <c r="R1209" s="80" t="e" cm="1">
        <f t="array" ref="R1209">_xlfn.IFS(P1209="Service", _xlfn.IFS(I1209="SALES","GP",I1209="SERVICE SALES","GP",I1209="PARTS SALES","GP",I1209="SERVICE COS","GP",I1209="PARTS COS","GP",I1209="SELLING EXPENSES","Selling Expenses",I1209="EMPLOYMENT EXPENSES","Selling Expenses",I1209="EMPLOYMENT EXPENSES","Selling Expenses",I1209="DIRECT EXPENSES","Selling Expenses",I1209="INDIRECT EXPENSES","Selling Expenses"),P1209="Parts",_xlfn.IFS(I1209="SALES","GP",I1209="SERVICE SALES","GP",I1209="PARTS SALES","GP",I1209="SERVICE COS","GP",I1209="PARTS COS","GP",I1209="SELLING EXPENSES","Selling Expenses",I1209="EMPLOYMENT EXPENSES","Selling Expenses",I1209="EMPLOYMENT EXPENSES","Selling Expenses",I1209="DIRECT EXPENSES","Selling Expenses",I1209="INDIRECT EXPENSES","Selling Expenses"))</f>
        <v>#N/A</v>
      </c>
    </row>
    <row r="1210" spans="1:18" x14ac:dyDescent="0.2">
      <c r="A1210" s="75">
        <v>7453</v>
      </c>
      <c r="B1210" s="76" t="s">
        <v>933</v>
      </c>
      <c r="C1210" s="76">
        <v>120</v>
      </c>
      <c r="D1210" s="76" t="s">
        <v>431</v>
      </c>
      <c r="E1210" s="76" t="s">
        <v>426</v>
      </c>
      <c r="F1210" s="77">
        <v>4346.63</v>
      </c>
      <c r="G1210" s="77">
        <v>47.8</v>
      </c>
      <c r="H1210" s="77">
        <v>4394.43</v>
      </c>
      <c r="I1210" s="76" t="s">
        <v>925</v>
      </c>
      <c r="J1210" s="77">
        <v>0</v>
      </c>
      <c r="K1210" s="78">
        <v>2411.1999999999998</v>
      </c>
      <c r="M1210" s="79" t="str">
        <f t="shared" si="56"/>
        <v>120-7453</v>
      </c>
      <c r="N1210" s="79" t="str">
        <f t="shared" si="54"/>
        <v/>
      </c>
      <c r="O1210" s="79" t="str">
        <f t="shared" si="55"/>
        <v>120</v>
      </c>
      <c r="P1210" s="79" t="str">
        <f>IFERROR(VLOOKUP($M1210,Export!$P:$R,2,FALSE),"-")</f>
        <v>Admin &amp; Other</v>
      </c>
      <c r="Q1210" s="79" t="str">
        <f>IFERROR(VLOOKUP($M1210,Export!$P:$R,3,FALSE),"-")</f>
        <v>Admin &amp; OtherOther Overheads as % of Total Gross Profit</v>
      </c>
      <c r="R1210" s="80" t="e" cm="1">
        <f t="array" ref="R1210">_xlfn.IFS(P1210="Service", _xlfn.IFS(I1210="SALES","GP",I1210="SERVICE SALES","GP",I1210="PARTS SALES","GP",I1210="SERVICE COS","GP",I1210="PARTS COS","GP",I1210="SELLING EXPENSES","Selling Expenses",I1210="EMPLOYMENT EXPENSES","Selling Expenses",I1210="EMPLOYMENT EXPENSES","Selling Expenses",I1210="DIRECT EXPENSES","Selling Expenses",I1210="INDIRECT EXPENSES","Selling Expenses"),P1210="Parts",_xlfn.IFS(I1210="SALES","GP",I1210="SERVICE SALES","GP",I1210="PARTS SALES","GP",I1210="SERVICE COS","GP",I1210="PARTS COS","GP",I1210="SELLING EXPENSES","Selling Expenses",I1210="EMPLOYMENT EXPENSES","Selling Expenses",I1210="EMPLOYMENT EXPENSES","Selling Expenses",I1210="DIRECT EXPENSES","Selling Expenses",I1210="INDIRECT EXPENSES","Selling Expenses"))</f>
        <v>#N/A</v>
      </c>
    </row>
    <row r="1211" spans="1:18" x14ac:dyDescent="0.2">
      <c r="A1211" s="75">
        <v>7453</v>
      </c>
      <c r="B1211" s="76" t="s">
        <v>933</v>
      </c>
      <c r="C1211" s="76">
        <v>121</v>
      </c>
      <c r="D1211" s="76" t="s">
        <v>449</v>
      </c>
      <c r="E1211" s="76" t="s">
        <v>426</v>
      </c>
      <c r="F1211" s="77">
        <v>0</v>
      </c>
      <c r="G1211" s="77">
        <v>0</v>
      </c>
      <c r="H1211" s="77">
        <v>0</v>
      </c>
      <c r="I1211" s="76" t="s">
        <v>925</v>
      </c>
      <c r="J1211" s="77">
        <v>0</v>
      </c>
      <c r="K1211" s="78">
        <v>2169</v>
      </c>
      <c r="M1211" s="79" t="str">
        <f t="shared" si="56"/>
        <v>121-7453</v>
      </c>
      <c r="N1211" s="79" t="str">
        <f t="shared" si="54"/>
        <v/>
      </c>
      <c r="O1211" s="79" t="str">
        <f t="shared" si="55"/>
        <v>121</v>
      </c>
      <c r="P1211" s="79" t="str">
        <f>IFERROR(VLOOKUP($M1211,Export!$P:$R,2,FALSE),"-")</f>
        <v>Admin &amp; Other</v>
      </c>
      <c r="Q1211" s="79" t="str">
        <f>IFERROR(VLOOKUP($M1211,Export!$P:$R,3,FALSE),"-")</f>
        <v>Admin &amp; OtherOther Overheads as % of Total Gross Profit</v>
      </c>
      <c r="R1211" s="80" t="e" cm="1">
        <f t="array" ref="R1211">_xlfn.IFS(P1211="Service", _xlfn.IFS(I1211="SALES","GP",I1211="SERVICE SALES","GP",I1211="PARTS SALES","GP",I1211="SERVICE COS","GP",I1211="PARTS COS","GP",I1211="SELLING EXPENSES","Selling Expenses",I1211="EMPLOYMENT EXPENSES","Selling Expenses",I1211="EMPLOYMENT EXPENSES","Selling Expenses",I1211="DIRECT EXPENSES","Selling Expenses",I1211="INDIRECT EXPENSES","Selling Expenses"),P1211="Parts",_xlfn.IFS(I1211="SALES","GP",I1211="SERVICE SALES","GP",I1211="PARTS SALES","GP",I1211="SERVICE COS","GP",I1211="PARTS COS","GP",I1211="SELLING EXPENSES","Selling Expenses",I1211="EMPLOYMENT EXPENSES","Selling Expenses",I1211="EMPLOYMENT EXPENSES","Selling Expenses",I1211="DIRECT EXPENSES","Selling Expenses",I1211="INDIRECT EXPENSES","Selling Expenses"))</f>
        <v>#N/A</v>
      </c>
    </row>
    <row r="1212" spans="1:18" x14ac:dyDescent="0.2">
      <c r="A1212" s="75">
        <v>7453</v>
      </c>
      <c r="B1212" s="76" t="s">
        <v>933</v>
      </c>
      <c r="C1212" s="76">
        <v>130</v>
      </c>
      <c r="D1212" s="76" t="s">
        <v>432</v>
      </c>
      <c r="E1212" s="76" t="s">
        <v>426</v>
      </c>
      <c r="F1212" s="77">
        <v>5237.79</v>
      </c>
      <c r="G1212" s="77">
        <v>417</v>
      </c>
      <c r="H1212" s="77">
        <v>5654.79</v>
      </c>
      <c r="I1212" s="76" t="s">
        <v>925</v>
      </c>
      <c r="J1212" s="77">
        <v>0</v>
      </c>
      <c r="K1212" s="78">
        <v>2558.09</v>
      </c>
      <c r="M1212" s="79" t="str">
        <f t="shared" si="56"/>
        <v>130-7453</v>
      </c>
      <c r="N1212" s="79" t="str">
        <f t="shared" si="54"/>
        <v/>
      </c>
      <c r="O1212" s="79" t="str">
        <f t="shared" si="55"/>
        <v>130</v>
      </c>
      <c r="P1212" s="79" t="str">
        <f>IFERROR(VLOOKUP($M1212,Export!$P:$R,2,FALSE),"-")</f>
        <v>Admin &amp; Other</v>
      </c>
      <c r="Q1212" s="79" t="str">
        <f>IFERROR(VLOOKUP($M1212,Export!$P:$R,3,FALSE),"-")</f>
        <v>Admin &amp; OtherOther Overheads as % of Total Gross Profit</v>
      </c>
      <c r="R1212" s="80" t="e" cm="1">
        <f t="array" ref="R1212">_xlfn.IFS(P1212="Service", _xlfn.IFS(I1212="SALES","GP",I1212="SERVICE SALES","GP",I1212="PARTS SALES","GP",I1212="SERVICE COS","GP",I1212="PARTS COS","GP",I1212="SELLING EXPENSES","Selling Expenses",I1212="EMPLOYMENT EXPENSES","Selling Expenses",I1212="EMPLOYMENT EXPENSES","Selling Expenses",I1212="DIRECT EXPENSES","Selling Expenses",I1212="INDIRECT EXPENSES","Selling Expenses"),P1212="Parts",_xlfn.IFS(I1212="SALES","GP",I1212="SERVICE SALES","GP",I1212="PARTS SALES","GP",I1212="SERVICE COS","GP",I1212="PARTS COS","GP",I1212="SELLING EXPENSES","Selling Expenses",I1212="EMPLOYMENT EXPENSES","Selling Expenses",I1212="EMPLOYMENT EXPENSES","Selling Expenses",I1212="DIRECT EXPENSES","Selling Expenses",I1212="INDIRECT EXPENSES","Selling Expenses"))</f>
        <v>#N/A</v>
      </c>
    </row>
    <row r="1213" spans="1:18" x14ac:dyDescent="0.2">
      <c r="A1213" s="75">
        <v>7453</v>
      </c>
      <c r="B1213" s="76" t="s">
        <v>933</v>
      </c>
      <c r="C1213" s="76">
        <v>140</v>
      </c>
      <c r="D1213" s="76" t="s">
        <v>433</v>
      </c>
      <c r="E1213" s="76" t="s">
        <v>426</v>
      </c>
      <c r="F1213" s="77">
        <v>8867.0300000000007</v>
      </c>
      <c r="G1213" s="77">
        <v>1253.04</v>
      </c>
      <c r="H1213" s="77">
        <v>10120.07</v>
      </c>
      <c r="I1213" s="76" t="s">
        <v>925</v>
      </c>
      <c r="J1213" s="77">
        <v>1000</v>
      </c>
      <c r="K1213" s="78">
        <v>11005.32</v>
      </c>
      <c r="M1213" s="79" t="str">
        <f t="shared" si="56"/>
        <v>140-7453</v>
      </c>
      <c r="N1213" s="79" t="str">
        <f t="shared" si="54"/>
        <v/>
      </c>
      <c r="O1213" s="79" t="str">
        <f t="shared" si="55"/>
        <v>140</v>
      </c>
      <c r="P1213" s="79" t="str">
        <f>IFERROR(VLOOKUP($M1213,Export!$P:$R,2,FALSE),"-")</f>
        <v>Admin &amp; Other</v>
      </c>
      <c r="Q1213" s="79" t="str">
        <f>IFERROR(VLOOKUP($M1213,Export!$P:$R,3,FALSE),"-")</f>
        <v>Admin &amp; OtherOther Overheads as % of Total Gross Profit</v>
      </c>
      <c r="R1213" s="80" t="e" cm="1">
        <f t="array" ref="R1213">_xlfn.IFS(P1213="Service", _xlfn.IFS(I1213="SALES","GP",I1213="SERVICE SALES","GP",I1213="PARTS SALES","GP",I1213="SERVICE COS","GP",I1213="PARTS COS","GP",I1213="SELLING EXPENSES","Selling Expenses",I1213="EMPLOYMENT EXPENSES","Selling Expenses",I1213="EMPLOYMENT EXPENSES","Selling Expenses",I1213="DIRECT EXPENSES","Selling Expenses",I1213="INDIRECT EXPENSES","Selling Expenses"),P1213="Parts",_xlfn.IFS(I1213="SALES","GP",I1213="SERVICE SALES","GP",I1213="PARTS SALES","GP",I1213="SERVICE COS","GP",I1213="PARTS COS","GP",I1213="SELLING EXPENSES","Selling Expenses",I1213="EMPLOYMENT EXPENSES","Selling Expenses",I1213="EMPLOYMENT EXPENSES","Selling Expenses",I1213="DIRECT EXPENSES","Selling Expenses",I1213="INDIRECT EXPENSES","Selling Expenses"))</f>
        <v>#N/A</v>
      </c>
    </row>
    <row r="1214" spans="1:18" x14ac:dyDescent="0.2">
      <c r="A1214" s="75">
        <v>7453</v>
      </c>
      <c r="B1214" s="76" t="s">
        <v>933</v>
      </c>
      <c r="C1214" s="76">
        <v>142</v>
      </c>
      <c r="D1214" s="76" t="s">
        <v>454</v>
      </c>
      <c r="E1214" s="76" t="s">
        <v>426</v>
      </c>
      <c r="F1214" s="77">
        <v>1408.09</v>
      </c>
      <c r="G1214" s="77">
        <v>168</v>
      </c>
      <c r="H1214" s="77">
        <v>1576.09</v>
      </c>
      <c r="I1214" s="76" t="s">
        <v>925</v>
      </c>
      <c r="J1214" s="77">
        <v>0</v>
      </c>
      <c r="K1214" s="78">
        <v>0</v>
      </c>
      <c r="M1214" s="79" t="str">
        <f t="shared" si="56"/>
        <v>142-7453</v>
      </c>
      <c r="N1214" s="79" t="str">
        <f t="shared" si="54"/>
        <v/>
      </c>
      <c r="O1214" s="79" t="str">
        <f t="shared" si="55"/>
        <v>142</v>
      </c>
      <c r="P1214" s="79" t="str">
        <f>IFERROR(VLOOKUP($M1214,Export!$P:$R,2,FALSE),"-")</f>
        <v>LEX Admin &amp; Other</v>
      </c>
      <c r="Q1214" s="79" t="str">
        <f>IFERROR(VLOOKUP($M1214,Export!$P:$R,3,FALSE),"-")</f>
        <v>LEX Admin &amp; OtherOther Overheads as % of Total Gross Profit</v>
      </c>
      <c r="R1214" s="80" t="e" cm="1">
        <f t="array" ref="R1214">_xlfn.IFS(P1214="Service", _xlfn.IFS(I1214="SALES","GP",I1214="SERVICE SALES","GP",I1214="PARTS SALES","GP",I1214="SERVICE COS","GP",I1214="PARTS COS","GP",I1214="SELLING EXPENSES","Selling Expenses",I1214="EMPLOYMENT EXPENSES","Selling Expenses",I1214="EMPLOYMENT EXPENSES","Selling Expenses",I1214="DIRECT EXPENSES","Selling Expenses",I1214="INDIRECT EXPENSES","Selling Expenses"),P1214="Parts",_xlfn.IFS(I1214="SALES","GP",I1214="SERVICE SALES","GP",I1214="PARTS SALES","GP",I1214="SERVICE COS","GP",I1214="PARTS COS","GP",I1214="SELLING EXPENSES","Selling Expenses",I1214="EMPLOYMENT EXPENSES","Selling Expenses",I1214="EMPLOYMENT EXPENSES","Selling Expenses",I1214="DIRECT EXPENSES","Selling Expenses",I1214="INDIRECT EXPENSES","Selling Expenses"))</f>
        <v>#N/A</v>
      </c>
    </row>
    <row r="1215" spans="1:18" x14ac:dyDescent="0.2">
      <c r="A1215" s="75">
        <v>7453</v>
      </c>
      <c r="B1215" s="76" t="s">
        <v>933</v>
      </c>
      <c r="C1215" s="76">
        <v>147</v>
      </c>
      <c r="D1215" s="76" t="s">
        <v>699</v>
      </c>
      <c r="E1215" s="76" t="s">
        <v>426</v>
      </c>
      <c r="F1215" s="77">
        <v>0</v>
      </c>
      <c r="G1215" s="77">
        <v>0</v>
      </c>
      <c r="H1215" s="77">
        <v>0</v>
      </c>
      <c r="I1215" s="76" t="s">
        <v>925</v>
      </c>
      <c r="J1215" s="77">
        <v>700</v>
      </c>
      <c r="K1215" s="78">
        <v>8944.15</v>
      </c>
      <c r="M1215" s="79" t="str">
        <f t="shared" si="56"/>
        <v>147-7453</v>
      </c>
      <c r="N1215" s="79" t="str">
        <f t="shared" si="54"/>
        <v/>
      </c>
      <c r="O1215" s="79" t="str">
        <f t="shared" si="55"/>
        <v>147</v>
      </c>
      <c r="P1215" s="79" t="str">
        <f>IFERROR(VLOOKUP($M1215,Export!$P:$R,2,FALSE),"-")</f>
        <v>Admin &amp; Other</v>
      </c>
      <c r="Q1215" s="79" t="str">
        <f>IFERROR(VLOOKUP($M1215,Export!$P:$R,3,FALSE),"-")</f>
        <v>Admin &amp; OtherOther Overheads as % of Total Gross Profit</v>
      </c>
      <c r="R1215" s="80" t="e" cm="1">
        <f t="array" ref="R1215">_xlfn.IFS(P1215="Service", _xlfn.IFS(I1215="SALES","GP",I1215="SERVICE SALES","GP",I1215="PARTS SALES","GP",I1215="SERVICE COS","GP",I1215="PARTS COS","GP",I1215="SELLING EXPENSES","Selling Expenses",I1215="EMPLOYMENT EXPENSES","Selling Expenses",I1215="EMPLOYMENT EXPENSES","Selling Expenses",I1215="DIRECT EXPENSES","Selling Expenses",I1215="INDIRECT EXPENSES","Selling Expenses"),P1215="Parts",_xlfn.IFS(I1215="SALES","GP",I1215="SERVICE SALES","GP",I1215="PARTS SALES","GP",I1215="SERVICE COS","GP",I1215="PARTS COS","GP",I1215="SELLING EXPENSES","Selling Expenses",I1215="EMPLOYMENT EXPENSES","Selling Expenses",I1215="EMPLOYMENT EXPENSES","Selling Expenses",I1215="DIRECT EXPENSES","Selling Expenses",I1215="INDIRECT EXPENSES","Selling Expenses"))</f>
        <v>#N/A</v>
      </c>
    </row>
    <row r="1216" spans="1:18" x14ac:dyDescent="0.2">
      <c r="A1216" s="75">
        <v>7453</v>
      </c>
      <c r="B1216" s="76" t="s">
        <v>933</v>
      </c>
      <c r="C1216" s="76">
        <v>150</v>
      </c>
      <c r="D1216" s="76" t="s">
        <v>700</v>
      </c>
      <c r="E1216" s="76" t="s">
        <v>426</v>
      </c>
      <c r="F1216" s="77">
        <v>1185.07</v>
      </c>
      <c r="G1216" s="77">
        <v>325.87</v>
      </c>
      <c r="H1216" s="77">
        <v>1510.94</v>
      </c>
      <c r="I1216" s="76" t="s">
        <v>925</v>
      </c>
      <c r="J1216" s="77">
        <v>0</v>
      </c>
      <c r="K1216" s="78">
        <v>0</v>
      </c>
      <c r="M1216" s="79" t="str">
        <f t="shared" si="56"/>
        <v>150-7453</v>
      </c>
      <c r="N1216" s="79" t="str">
        <f t="shared" si="54"/>
        <v/>
      </c>
      <c r="O1216" s="79" t="str">
        <f t="shared" si="55"/>
        <v>150</v>
      </c>
      <c r="P1216" s="79" t="str">
        <f>IFERROR(VLOOKUP($M1216,Export!$P:$R,2,FALSE),"-")</f>
        <v>LEX Admin &amp; Other</v>
      </c>
      <c r="Q1216" s="79" t="str">
        <f>IFERROR(VLOOKUP($M1216,Export!$P:$R,3,FALSE),"-")</f>
        <v>LEX Admin &amp; OtherOther Overheads as % of Total Gross Profit</v>
      </c>
      <c r="R1216" s="80" t="e" cm="1">
        <f t="array" ref="R1216">_xlfn.IFS(P1216="Service", _xlfn.IFS(I1216="SALES","GP",I1216="SERVICE SALES","GP",I1216="PARTS SALES","GP",I1216="SERVICE COS","GP",I1216="PARTS COS","GP",I1216="SELLING EXPENSES","Selling Expenses",I1216="EMPLOYMENT EXPENSES","Selling Expenses",I1216="EMPLOYMENT EXPENSES","Selling Expenses",I1216="DIRECT EXPENSES","Selling Expenses",I1216="INDIRECT EXPENSES","Selling Expenses"),P1216="Parts",_xlfn.IFS(I1216="SALES","GP",I1216="SERVICE SALES","GP",I1216="PARTS SALES","GP",I1216="SERVICE COS","GP",I1216="PARTS COS","GP",I1216="SELLING EXPENSES","Selling Expenses",I1216="EMPLOYMENT EXPENSES","Selling Expenses",I1216="EMPLOYMENT EXPENSES","Selling Expenses",I1216="DIRECT EXPENSES","Selling Expenses",I1216="INDIRECT EXPENSES","Selling Expenses"))</f>
        <v>#N/A</v>
      </c>
    </row>
    <row r="1217" spans="1:18" x14ac:dyDescent="0.2">
      <c r="A1217" s="75">
        <v>7453</v>
      </c>
      <c r="B1217" s="76" t="s">
        <v>933</v>
      </c>
      <c r="C1217" s="76">
        <v>160</v>
      </c>
      <c r="D1217" s="76" t="s">
        <v>434</v>
      </c>
      <c r="E1217" s="76" t="s">
        <v>426</v>
      </c>
      <c r="F1217" s="77">
        <v>1140.46</v>
      </c>
      <c r="G1217" s="77">
        <v>13.6</v>
      </c>
      <c r="H1217" s="77">
        <v>1154.06</v>
      </c>
      <c r="I1217" s="76" t="s">
        <v>925</v>
      </c>
      <c r="J1217" s="77">
        <v>0</v>
      </c>
      <c r="K1217" s="78">
        <v>886.95</v>
      </c>
      <c r="M1217" s="79" t="str">
        <f t="shared" si="56"/>
        <v>160-7453</v>
      </c>
      <c r="N1217" s="79" t="str">
        <f t="shared" si="54"/>
        <v/>
      </c>
      <c r="O1217" s="79" t="str">
        <f t="shared" si="55"/>
        <v>160</v>
      </c>
      <c r="P1217" s="79" t="str">
        <f>IFERROR(VLOOKUP($M1217,Export!$P:$R,2,FALSE),"-")</f>
        <v>Admin &amp; Other</v>
      </c>
      <c r="Q1217" s="79" t="str">
        <f>IFERROR(VLOOKUP($M1217,Export!$P:$R,3,FALSE),"-")</f>
        <v>Admin &amp; OtherOther Overheads as % of Total Gross Profit</v>
      </c>
      <c r="R1217" s="80" t="e" cm="1">
        <f t="array" ref="R1217">_xlfn.IFS(P1217="Service", _xlfn.IFS(I1217="SALES","GP",I1217="SERVICE SALES","GP",I1217="PARTS SALES","GP",I1217="SERVICE COS","GP",I1217="PARTS COS","GP",I1217="SELLING EXPENSES","Selling Expenses",I1217="EMPLOYMENT EXPENSES","Selling Expenses",I1217="EMPLOYMENT EXPENSES","Selling Expenses",I1217="DIRECT EXPENSES","Selling Expenses",I1217="INDIRECT EXPENSES","Selling Expenses"),P1217="Parts",_xlfn.IFS(I1217="SALES","GP",I1217="SERVICE SALES","GP",I1217="PARTS SALES","GP",I1217="SERVICE COS","GP",I1217="PARTS COS","GP",I1217="SELLING EXPENSES","Selling Expenses",I1217="EMPLOYMENT EXPENSES","Selling Expenses",I1217="EMPLOYMENT EXPENSES","Selling Expenses",I1217="DIRECT EXPENSES","Selling Expenses",I1217="INDIRECT EXPENSES","Selling Expenses"))</f>
        <v>#N/A</v>
      </c>
    </row>
    <row r="1218" spans="1:18" x14ac:dyDescent="0.2">
      <c r="A1218" s="75">
        <v>7453</v>
      </c>
      <c r="B1218" s="76" t="s">
        <v>933</v>
      </c>
      <c r="C1218" s="76">
        <v>162</v>
      </c>
      <c r="D1218" s="76" t="s">
        <v>455</v>
      </c>
      <c r="E1218" s="76" t="s">
        <v>426</v>
      </c>
      <c r="F1218" s="77">
        <v>0</v>
      </c>
      <c r="G1218" s="77">
        <v>0</v>
      </c>
      <c r="H1218" s="77">
        <v>0</v>
      </c>
      <c r="I1218" s="76" t="s">
        <v>925</v>
      </c>
      <c r="J1218" s="77">
        <v>0</v>
      </c>
      <c r="K1218" s="78">
        <v>650</v>
      </c>
      <c r="M1218" s="79" t="str">
        <f t="shared" si="56"/>
        <v>162-7453</v>
      </c>
      <c r="N1218" s="79" t="str">
        <f t="shared" ref="N1218:N1281" si="57">+IF(RIGHT(A1218,1)="#","#","")</f>
        <v/>
      </c>
      <c r="O1218" s="79" t="str">
        <f t="shared" ref="O1218:O1281" si="58">+C1218&amp;N1218</f>
        <v>162</v>
      </c>
      <c r="P1218" s="79" t="str">
        <f>IFERROR(VLOOKUP($M1218,Export!$P:$R,2,FALSE),"-")</f>
        <v>LEX Admin &amp; Other</v>
      </c>
      <c r="Q1218" s="79" t="str">
        <f>IFERROR(VLOOKUP($M1218,Export!$P:$R,3,FALSE),"-")</f>
        <v>LEX Admin &amp; OtherOther Overheads as % of Total Gross Profit</v>
      </c>
      <c r="R1218" s="80" t="e" cm="1">
        <f t="array" ref="R1218">_xlfn.IFS(P1218="Service", _xlfn.IFS(I1218="SALES","GP",I1218="SERVICE SALES","GP",I1218="PARTS SALES","GP",I1218="SERVICE COS","GP",I1218="PARTS COS","GP",I1218="SELLING EXPENSES","Selling Expenses",I1218="EMPLOYMENT EXPENSES","Selling Expenses",I1218="EMPLOYMENT EXPENSES","Selling Expenses",I1218="DIRECT EXPENSES","Selling Expenses",I1218="INDIRECT EXPENSES","Selling Expenses"),P1218="Parts",_xlfn.IFS(I1218="SALES","GP",I1218="SERVICE SALES","GP",I1218="PARTS SALES","GP",I1218="SERVICE COS","GP",I1218="PARTS COS","GP",I1218="SELLING EXPENSES","Selling Expenses",I1218="EMPLOYMENT EXPENSES","Selling Expenses",I1218="EMPLOYMENT EXPENSES","Selling Expenses",I1218="DIRECT EXPENSES","Selling Expenses",I1218="INDIRECT EXPENSES","Selling Expenses"))</f>
        <v>#N/A</v>
      </c>
    </row>
    <row r="1219" spans="1:18" x14ac:dyDescent="0.2">
      <c r="A1219" s="75">
        <v>7453</v>
      </c>
      <c r="B1219" s="76" t="s">
        <v>933</v>
      </c>
      <c r="C1219" s="76">
        <v>190</v>
      </c>
      <c r="D1219" s="76" t="s">
        <v>435</v>
      </c>
      <c r="E1219" s="76" t="s">
        <v>426</v>
      </c>
      <c r="F1219" s="77">
        <v>2760.07</v>
      </c>
      <c r="G1219" s="77">
        <v>224.73</v>
      </c>
      <c r="H1219" s="77">
        <v>2984.8</v>
      </c>
      <c r="I1219" s="76" t="s">
        <v>925</v>
      </c>
      <c r="J1219" s="77">
        <v>0</v>
      </c>
      <c r="K1219" s="78">
        <v>0</v>
      </c>
      <c r="M1219" s="79" t="str">
        <f t="shared" ref="M1219:M1282" si="59">+C1219&amp;"-"&amp;A1219</f>
        <v>190-7453</v>
      </c>
      <c r="N1219" s="79" t="str">
        <f t="shared" si="57"/>
        <v/>
      </c>
      <c r="O1219" s="79" t="str">
        <f t="shared" si="58"/>
        <v>190</v>
      </c>
      <c r="P1219" s="79" t="str">
        <f>IFERROR(VLOOKUP($M1219,Export!$P:$R,2,FALSE),"-")</f>
        <v>Admin &amp; Other</v>
      </c>
      <c r="Q1219" s="79" t="str">
        <f>IFERROR(VLOOKUP($M1219,Export!$P:$R,3,FALSE),"-")</f>
        <v>Admin &amp; OtherOther Overheads as % of Total Gross Profit</v>
      </c>
      <c r="R1219" s="80" t="e" cm="1">
        <f t="array" ref="R1219">_xlfn.IFS(P1219="Service", _xlfn.IFS(I1219="SALES","GP",I1219="SERVICE SALES","GP",I1219="PARTS SALES","GP",I1219="SERVICE COS","GP",I1219="PARTS COS","GP",I1219="SELLING EXPENSES","Selling Expenses",I1219="EMPLOYMENT EXPENSES","Selling Expenses",I1219="EMPLOYMENT EXPENSES","Selling Expenses",I1219="DIRECT EXPENSES","Selling Expenses",I1219="INDIRECT EXPENSES","Selling Expenses"),P1219="Parts",_xlfn.IFS(I1219="SALES","GP",I1219="SERVICE SALES","GP",I1219="PARTS SALES","GP",I1219="SERVICE COS","GP",I1219="PARTS COS","GP",I1219="SELLING EXPENSES","Selling Expenses",I1219="EMPLOYMENT EXPENSES","Selling Expenses",I1219="EMPLOYMENT EXPENSES","Selling Expenses",I1219="DIRECT EXPENSES","Selling Expenses",I1219="INDIRECT EXPENSES","Selling Expenses"))</f>
        <v>#N/A</v>
      </c>
    </row>
    <row r="1220" spans="1:18" x14ac:dyDescent="0.2">
      <c r="A1220" s="75">
        <v>7453</v>
      </c>
      <c r="B1220" s="76" t="s">
        <v>933</v>
      </c>
      <c r="C1220" s="76">
        <v>210</v>
      </c>
      <c r="D1220" s="76" t="s">
        <v>436</v>
      </c>
      <c r="E1220" s="76" t="s">
        <v>426</v>
      </c>
      <c r="F1220" s="77">
        <v>880.2</v>
      </c>
      <c r="G1220" s="77">
        <v>662.75</v>
      </c>
      <c r="H1220" s="77">
        <v>1542.95</v>
      </c>
      <c r="I1220" s="76" t="s">
        <v>925</v>
      </c>
      <c r="J1220" s="77">
        <v>0</v>
      </c>
      <c r="K1220" s="78">
        <v>1662.95</v>
      </c>
      <c r="M1220" s="79" t="str">
        <f t="shared" si="59"/>
        <v>210-7453</v>
      </c>
      <c r="N1220" s="79" t="str">
        <f t="shared" si="57"/>
        <v/>
      </c>
      <c r="O1220" s="79" t="str">
        <f t="shared" si="58"/>
        <v>210</v>
      </c>
      <c r="P1220" s="79" t="str">
        <f>IFERROR(VLOOKUP($M1220,Export!$P:$R,2,FALSE),"-")</f>
        <v>Admin &amp; Other</v>
      </c>
      <c r="Q1220" s="79" t="str">
        <f>IFERROR(VLOOKUP($M1220,Export!$P:$R,3,FALSE),"-")</f>
        <v>Admin &amp; OtherOther Overheads as % of Total Gross Profit</v>
      </c>
      <c r="R1220" s="80" t="e" cm="1">
        <f t="array" ref="R1220">_xlfn.IFS(P1220="Service", _xlfn.IFS(I1220="SALES","GP",I1220="SERVICE SALES","GP",I1220="PARTS SALES","GP",I1220="SERVICE COS","GP",I1220="PARTS COS","GP",I1220="SELLING EXPENSES","Selling Expenses",I1220="EMPLOYMENT EXPENSES","Selling Expenses",I1220="EMPLOYMENT EXPENSES","Selling Expenses",I1220="DIRECT EXPENSES","Selling Expenses",I1220="INDIRECT EXPENSES","Selling Expenses"),P1220="Parts",_xlfn.IFS(I1220="SALES","GP",I1220="SERVICE SALES","GP",I1220="PARTS SALES","GP",I1220="SERVICE COS","GP",I1220="PARTS COS","GP",I1220="SELLING EXPENSES","Selling Expenses",I1220="EMPLOYMENT EXPENSES","Selling Expenses",I1220="EMPLOYMENT EXPENSES","Selling Expenses",I1220="DIRECT EXPENSES","Selling Expenses",I1220="INDIRECT EXPENSES","Selling Expenses"))</f>
        <v>#N/A</v>
      </c>
    </row>
    <row r="1221" spans="1:18" x14ac:dyDescent="0.2">
      <c r="A1221" s="75">
        <v>7453</v>
      </c>
      <c r="B1221" s="76" t="s">
        <v>933</v>
      </c>
      <c r="C1221" s="76">
        <v>220</v>
      </c>
      <c r="D1221" s="76" t="s">
        <v>437</v>
      </c>
      <c r="E1221" s="76" t="s">
        <v>426</v>
      </c>
      <c r="F1221" s="77">
        <v>1642.6</v>
      </c>
      <c r="G1221" s="77">
        <v>625.34</v>
      </c>
      <c r="H1221" s="77">
        <v>2267.94</v>
      </c>
      <c r="I1221" s="76" t="s">
        <v>925</v>
      </c>
      <c r="J1221" s="77">
        <v>0</v>
      </c>
      <c r="K1221" s="78">
        <v>1257.94</v>
      </c>
      <c r="M1221" s="79" t="str">
        <f t="shared" si="59"/>
        <v>220-7453</v>
      </c>
      <c r="N1221" s="79" t="str">
        <f t="shared" si="57"/>
        <v/>
      </c>
      <c r="O1221" s="79" t="str">
        <f t="shared" si="58"/>
        <v>220</v>
      </c>
      <c r="P1221" s="79" t="str">
        <f>IFERROR(VLOOKUP($M1221,Export!$P:$R,2,FALSE),"-")</f>
        <v>Admin &amp; Other</v>
      </c>
      <c r="Q1221" s="79" t="str">
        <f>IFERROR(VLOOKUP($M1221,Export!$P:$R,3,FALSE),"-")</f>
        <v>Admin &amp; OtherOther Overheads as % of Total Gross Profit</v>
      </c>
      <c r="R1221" s="80" t="e" cm="1">
        <f t="array" ref="R1221">_xlfn.IFS(P1221="Service", _xlfn.IFS(I1221="SALES","GP",I1221="SERVICE SALES","GP",I1221="PARTS SALES","GP",I1221="SERVICE COS","GP",I1221="PARTS COS","GP",I1221="SELLING EXPENSES","Selling Expenses",I1221="EMPLOYMENT EXPENSES","Selling Expenses",I1221="EMPLOYMENT EXPENSES","Selling Expenses",I1221="DIRECT EXPENSES","Selling Expenses",I1221="INDIRECT EXPENSES","Selling Expenses"),P1221="Parts",_xlfn.IFS(I1221="SALES","GP",I1221="SERVICE SALES","GP",I1221="PARTS SALES","GP",I1221="SERVICE COS","GP",I1221="PARTS COS","GP",I1221="SELLING EXPENSES","Selling Expenses",I1221="EMPLOYMENT EXPENSES","Selling Expenses",I1221="EMPLOYMENT EXPENSES","Selling Expenses",I1221="DIRECT EXPENSES","Selling Expenses",I1221="INDIRECT EXPENSES","Selling Expenses"))</f>
        <v>#N/A</v>
      </c>
    </row>
    <row r="1222" spans="1:18" x14ac:dyDescent="0.2">
      <c r="A1222" s="75">
        <v>7453</v>
      </c>
      <c r="B1222" s="76" t="s">
        <v>933</v>
      </c>
      <c r="C1222" s="76">
        <v>230</v>
      </c>
      <c r="D1222" s="76" t="s">
        <v>438</v>
      </c>
      <c r="E1222" s="76" t="s">
        <v>426</v>
      </c>
      <c r="F1222" s="77">
        <v>1056.96</v>
      </c>
      <c r="G1222" s="77">
        <v>119.51</v>
      </c>
      <c r="H1222" s="77">
        <v>1176.47</v>
      </c>
      <c r="I1222" s="76" t="s">
        <v>925</v>
      </c>
      <c r="J1222" s="77">
        <v>0</v>
      </c>
      <c r="K1222" s="78">
        <v>1351.02</v>
      </c>
      <c r="M1222" s="79" t="str">
        <f t="shared" si="59"/>
        <v>230-7453</v>
      </c>
      <c r="N1222" s="79" t="str">
        <f t="shared" si="57"/>
        <v/>
      </c>
      <c r="O1222" s="79" t="str">
        <f t="shared" si="58"/>
        <v>230</v>
      </c>
      <c r="P1222" s="79" t="str">
        <f>IFERROR(VLOOKUP($M1222,Export!$P:$R,2,FALSE),"-")</f>
        <v>Admin &amp; Other</v>
      </c>
      <c r="Q1222" s="79" t="str">
        <f>IFERROR(VLOOKUP($M1222,Export!$P:$R,3,FALSE),"-")</f>
        <v>Admin &amp; OtherOther Overheads as % of Total Gross Profit</v>
      </c>
      <c r="R1222" s="80" t="e" cm="1">
        <f t="array" ref="R1222">_xlfn.IFS(P1222="Service", _xlfn.IFS(I1222="SALES","GP",I1222="SERVICE SALES","GP",I1222="PARTS SALES","GP",I1222="SERVICE COS","GP",I1222="PARTS COS","GP",I1222="SELLING EXPENSES","Selling Expenses",I1222="EMPLOYMENT EXPENSES","Selling Expenses",I1222="EMPLOYMENT EXPENSES","Selling Expenses",I1222="DIRECT EXPENSES","Selling Expenses",I1222="INDIRECT EXPENSES","Selling Expenses"),P1222="Parts",_xlfn.IFS(I1222="SALES","GP",I1222="SERVICE SALES","GP",I1222="PARTS SALES","GP",I1222="SERVICE COS","GP",I1222="PARTS COS","GP",I1222="SELLING EXPENSES","Selling Expenses",I1222="EMPLOYMENT EXPENSES","Selling Expenses",I1222="EMPLOYMENT EXPENSES","Selling Expenses",I1222="DIRECT EXPENSES","Selling Expenses",I1222="INDIRECT EXPENSES","Selling Expenses"))</f>
        <v>#N/A</v>
      </c>
    </row>
    <row r="1223" spans="1:18" x14ac:dyDescent="0.2">
      <c r="A1223" s="75">
        <v>7453</v>
      </c>
      <c r="B1223" s="76" t="s">
        <v>933</v>
      </c>
      <c r="C1223" s="76">
        <v>240</v>
      </c>
      <c r="D1223" s="76" t="s">
        <v>439</v>
      </c>
      <c r="E1223" s="76" t="s">
        <v>426</v>
      </c>
      <c r="F1223" s="77">
        <v>4014.96</v>
      </c>
      <c r="G1223" s="77">
        <v>25.63</v>
      </c>
      <c r="H1223" s="77">
        <v>4040.59</v>
      </c>
      <c r="I1223" s="76" t="s">
        <v>925</v>
      </c>
      <c r="J1223" s="77">
        <v>500</v>
      </c>
      <c r="K1223" s="78">
        <v>5300.55</v>
      </c>
      <c r="M1223" s="79" t="str">
        <f t="shared" si="59"/>
        <v>240-7453</v>
      </c>
      <c r="N1223" s="79" t="str">
        <f t="shared" si="57"/>
        <v/>
      </c>
      <c r="O1223" s="79" t="str">
        <f t="shared" si="58"/>
        <v>240</v>
      </c>
      <c r="P1223" s="79" t="str">
        <f>IFERROR(VLOOKUP($M1223,Export!$P:$R,2,FALSE),"-")</f>
        <v>Admin &amp; Other</v>
      </c>
      <c r="Q1223" s="79" t="str">
        <f>IFERROR(VLOOKUP($M1223,Export!$P:$R,3,FALSE),"-")</f>
        <v>Admin &amp; OtherOther Overheads as % of Total Gross Profit</v>
      </c>
      <c r="R1223" s="80" t="e" cm="1">
        <f t="array" ref="R1223">_xlfn.IFS(P1223="Service", _xlfn.IFS(I1223="SALES","GP",I1223="SERVICE SALES","GP",I1223="PARTS SALES","GP",I1223="SERVICE COS","GP",I1223="PARTS COS","GP",I1223="SELLING EXPENSES","Selling Expenses",I1223="EMPLOYMENT EXPENSES","Selling Expenses",I1223="EMPLOYMENT EXPENSES","Selling Expenses",I1223="DIRECT EXPENSES","Selling Expenses",I1223="INDIRECT EXPENSES","Selling Expenses"),P1223="Parts",_xlfn.IFS(I1223="SALES","GP",I1223="SERVICE SALES","GP",I1223="PARTS SALES","GP",I1223="SERVICE COS","GP",I1223="PARTS COS","GP",I1223="SELLING EXPENSES","Selling Expenses",I1223="EMPLOYMENT EXPENSES","Selling Expenses",I1223="EMPLOYMENT EXPENSES","Selling Expenses",I1223="DIRECT EXPENSES","Selling Expenses",I1223="INDIRECT EXPENSES","Selling Expenses"))</f>
        <v>#N/A</v>
      </c>
    </row>
    <row r="1224" spans="1:18" x14ac:dyDescent="0.2">
      <c r="A1224" s="75">
        <v>7453</v>
      </c>
      <c r="B1224" s="76" t="s">
        <v>933</v>
      </c>
      <c r="C1224" s="76">
        <v>260</v>
      </c>
      <c r="D1224" s="76" t="s">
        <v>456</v>
      </c>
      <c r="E1224" s="76" t="s">
        <v>426</v>
      </c>
      <c r="F1224" s="77">
        <v>251.5</v>
      </c>
      <c r="G1224" s="77">
        <v>0</v>
      </c>
      <c r="H1224" s="77">
        <v>251.5</v>
      </c>
      <c r="I1224" s="76" t="s">
        <v>925</v>
      </c>
      <c r="J1224" s="77">
        <v>0</v>
      </c>
      <c r="K1224" s="78">
        <v>625.37</v>
      </c>
      <c r="M1224" s="79" t="str">
        <f t="shared" si="59"/>
        <v>260-7453</v>
      </c>
      <c r="N1224" s="79" t="str">
        <f t="shared" si="57"/>
        <v/>
      </c>
      <c r="O1224" s="79" t="str">
        <f t="shared" si="58"/>
        <v>260</v>
      </c>
      <c r="P1224" s="79" t="str">
        <f>IFERROR(VLOOKUP($M1224,Export!$P:$R,2,FALSE),"-")</f>
        <v>Admin &amp; Other</v>
      </c>
      <c r="Q1224" s="79" t="str">
        <f>IFERROR(VLOOKUP($M1224,Export!$P:$R,3,FALSE),"-")</f>
        <v>Admin &amp; OtherOther Overheads as % of Total Gross Profit</v>
      </c>
      <c r="R1224" s="80" t="e" cm="1">
        <f t="array" ref="R1224">_xlfn.IFS(P1224="Service", _xlfn.IFS(I1224="SALES","GP",I1224="SERVICE SALES","GP",I1224="PARTS SALES","GP",I1224="SERVICE COS","GP",I1224="PARTS COS","GP",I1224="SELLING EXPENSES","Selling Expenses",I1224="EMPLOYMENT EXPENSES","Selling Expenses",I1224="EMPLOYMENT EXPENSES","Selling Expenses",I1224="DIRECT EXPENSES","Selling Expenses",I1224="INDIRECT EXPENSES","Selling Expenses"),P1224="Parts",_xlfn.IFS(I1224="SALES","GP",I1224="SERVICE SALES","GP",I1224="PARTS SALES","GP",I1224="SERVICE COS","GP",I1224="PARTS COS","GP",I1224="SELLING EXPENSES","Selling Expenses",I1224="EMPLOYMENT EXPENSES","Selling Expenses",I1224="EMPLOYMENT EXPENSES","Selling Expenses",I1224="DIRECT EXPENSES","Selling Expenses",I1224="INDIRECT EXPENSES","Selling Expenses"))</f>
        <v>#N/A</v>
      </c>
    </row>
    <row r="1225" spans="1:18" x14ac:dyDescent="0.2">
      <c r="A1225" s="75">
        <v>7453</v>
      </c>
      <c r="B1225" s="76" t="s">
        <v>933</v>
      </c>
      <c r="C1225" s="76">
        <v>330</v>
      </c>
      <c r="D1225" s="76" t="s">
        <v>457</v>
      </c>
      <c r="E1225" s="76" t="s">
        <v>426</v>
      </c>
      <c r="F1225" s="77">
        <v>191.61</v>
      </c>
      <c r="G1225" s="77">
        <v>26.09</v>
      </c>
      <c r="H1225" s="77">
        <v>217.7</v>
      </c>
      <c r="I1225" s="76" t="s">
        <v>925</v>
      </c>
      <c r="J1225" s="77">
        <v>0</v>
      </c>
      <c r="K1225" s="78">
        <v>0</v>
      </c>
      <c r="M1225" s="79" t="str">
        <f t="shared" si="59"/>
        <v>330-7453</v>
      </c>
      <c r="N1225" s="79" t="str">
        <f t="shared" si="57"/>
        <v/>
      </c>
      <c r="O1225" s="79" t="str">
        <f t="shared" si="58"/>
        <v>330</v>
      </c>
      <c r="P1225" s="79" t="str">
        <f>IFERROR(VLOOKUP($M1225,Export!$P:$R,2,FALSE),"-")</f>
        <v>Admin &amp; Other</v>
      </c>
      <c r="Q1225" s="79" t="str">
        <f>IFERROR(VLOOKUP($M1225,Export!$P:$R,3,FALSE),"-")</f>
        <v>Admin &amp; OtherOther Overheads as % of Total Gross Profit</v>
      </c>
      <c r="R1225" s="80" t="e" cm="1">
        <f t="array" ref="R1225">_xlfn.IFS(P1225="Service", _xlfn.IFS(I1225="SALES","GP",I1225="SERVICE SALES","GP",I1225="PARTS SALES","GP",I1225="SERVICE COS","GP",I1225="PARTS COS","GP",I1225="SELLING EXPENSES","Selling Expenses",I1225="EMPLOYMENT EXPENSES","Selling Expenses",I1225="EMPLOYMENT EXPENSES","Selling Expenses",I1225="DIRECT EXPENSES","Selling Expenses",I1225="INDIRECT EXPENSES","Selling Expenses"),P1225="Parts",_xlfn.IFS(I1225="SALES","GP",I1225="SERVICE SALES","GP",I1225="PARTS SALES","GP",I1225="SERVICE COS","GP",I1225="PARTS COS","GP",I1225="SELLING EXPENSES","Selling Expenses",I1225="EMPLOYMENT EXPENSES","Selling Expenses",I1225="EMPLOYMENT EXPENSES","Selling Expenses",I1225="DIRECT EXPENSES","Selling Expenses",I1225="INDIRECT EXPENSES","Selling Expenses"))</f>
        <v>#N/A</v>
      </c>
    </row>
    <row r="1226" spans="1:18" x14ac:dyDescent="0.2">
      <c r="A1226" s="75">
        <v>7453</v>
      </c>
      <c r="B1226" s="76" t="s">
        <v>933</v>
      </c>
      <c r="C1226" s="76">
        <v>340</v>
      </c>
      <c r="D1226" s="76" t="s">
        <v>440</v>
      </c>
      <c r="E1226" s="76" t="s">
        <v>426</v>
      </c>
      <c r="F1226" s="77">
        <v>697.12</v>
      </c>
      <c r="G1226" s="77">
        <v>36.159999999999997</v>
      </c>
      <c r="H1226" s="77">
        <v>733.28</v>
      </c>
      <c r="I1226" s="76" t="s">
        <v>925</v>
      </c>
      <c r="J1226" s="77">
        <v>200</v>
      </c>
      <c r="K1226" s="78">
        <v>2250.79</v>
      </c>
      <c r="M1226" s="79" t="str">
        <f t="shared" si="59"/>
        <v>340-7453</v>
      </c>
      <c r="N1226" s="79" t="str">
        <f t="shared" si="57"/>
        <v/>
      </c>
      <c r="O1226" s="79" t="str">
        <f t="shared" si="58"/>
        <v>340</v>
      </c>
      <c r="P1226" s="79" t="str">
        <f>IFERROR(VLOOKUP($M1226,Export!$P:$R,2,FALSE),"-")</f>
        <v>Admin &amp; Other</v>
      </c>
      <c r="Q1226" s="79" t="str">
        <f>IFERROR(VLOOKUP($M1226,Export!$P:$R,3,FALSE),"-")</f>
        <v>Admin &amp; OtherOther Overheads as % of Total Gross Profit</v>
      </c>
      <c r="R1226" s="80" t="e" cm="1">
        <f t="array" ref="R1226">_xlfn.IFS(P1226="Service", _xlfn.IFS(I1226="SALES","GP",I1226="SERVICE SALES","GP",I1226="PARTS SALES","GP",I1226="SERVICE COS","GP",I1226="PARTS COS","GP",I1226="SELLING EXPENSES","Selling Expenses",I1226="EMPLOYMENT EXPENSES","Selling Expenses",I1226="EMPLOYMENT EXPENSES","Selling Expenses",I1226="DIRECT EXPENSES","Selling Expenses",I1226="INDIRECT EXPENSES","Selling Expenses"),P1226="Parts",_xlfn.IFS(I1226="SALES","GP",I1226="SERVICE SALES","GP",I1226="PARTS SALES","GP",I1226="SERVICE COS","GP",I1226="PARTS COS","GP",I1226="SELLING EXPENSES","Selling Expenses",I1226="EMPLOYMENT EXPENSES","Selling Expenses",I1226="EMPLOYMENT EXPENSES","Selling Expenses",I1226="DIRECT EXPENSES","Selling Expenses",I1226="INDIRECT EXPENSES","Selling Expenses"))</f>
        <v>#N/A</v>
      </c>
    </row>
    <row r="1227" spans="1:18" x14ac:dyDescent="0.2">
      <c r="A1227" s="75">
        <v>7453</v>
      </c>
      <c r="B1227" s="76" t="s">
        <v>933</v>
      </c>
      <c r="C1227" s="76">
        <v>430</v>
      </c>
      <c r="D1227" s="76" t="s">
        <v>458</v>
      </c>
      <c r="E1227" s="76" t="s">
        <v>426</v>
      </c>
      <c r="F1227" s="77">
        <v>706.84</v>
      </c>
      <c r="G1227" s="77">
        <v>38.21</v>
      </c>
      <c r="H1227" s="77">
        <v>745.05</v>
      </c>
      <c r="I1227" s="76" t="s">
        <v>925</v>
      </c>
      <c r="J1227" s="77">
        <v>0</v>
      </c>
      <c r="K1227" s="78">
        <v>1610.76</v>
      </c>
      <c r="M1227" s="79" t="str">
        <f t="shared" si="59"/>
        <v>430-7453</v>
      </c>
      <c r="N1227" s="79" t="str">
        <f t="shared" si="57"/>
        <v/>
      </c>
      <c r="O1227" s="79" t="str">
        <f t="shared" si="58"/>
        <v>430</v>
      </c>
      <c r="P1227" s="79" t="str">
        <f>IFERROR(VLOOKUP($M1227,Export!$P:$R,2,FALSE),"-")</f>
        <v>Admin &amp; Other</v>
      </c>
      <c r="Q1227" s="79" t="str">
        <f>IFERROR(VLOOKUP($M1227,Export!$P:$R,3,FALSE),"-")</f>
        <v>Admin &amp; OtherOther Overheads as % of Total Gross Profit</v>
      </c>
      <c r="R1227" s="80" t="e" cm="1">
        <f t="array" ref="R1227">_xlfn.IFS(P1227="Service", _xlfn.IFS(I1227="SALES","GP",I1227="SERVICE SALES","GP",I1227="PARTS SALES","GP",I1227="SERVICE COS","GP",I1227="PARTS COS","GP",I1227="SELLING EXPENSES","Selling Expenses",I1227="EMPLOYMENT EXPENSES","Selling Expenses",I1227="EMPLOYMENT EXPENSES","Selling Expenses",I1227="DIRECT EXPENSES","Selling Expenses",I1227="INDIRECT EXPENSES","Selling Expenses"),P1227="Parts",_xlfn.IFS(I1227="SALES","GP",I1227="SERVICE SALES","GP",I1227="PARTS SALES","GP",I1227="SERVICE COS","GP",I1227="PARTS COS","GP",I1227="SELLING EXPENSES","Selling Expenses",I1227="EMPLOYMENT EXPENSES","Selling Expenses",I1227="EMPLOYMENT EXPENSES","Selling Expenses",I1227="DIRECT EXPENSES","Selling Expenses",I1227="INDIRECT EXPENSES","Selling Expenses"))</f>
        <v>#N/A</v>
      </c>
    </row>
    <row r="1228" spans="1:18" x14ac:dyDescent="0.2">
      <c r="A1228" s="75">
        <v>7453</v>
      </c>
      <c r="B1228" s="76" t="s">
        <v>933</v>
      </c>
      <c r="C1228" s="76">
        <v>440</v>
      </c>
      <c r="D1228" s="76" t="s">
        <v>441</v>
      </c>
      <c r="E1228" s="76" t="s">
        <v>426</v>
      </c>
      <c r="F1228" s="77">
        <v>1805.69</v>
      </c>
      <c r="G1228" s="77">
        <v>37.39</v>
      </c>
      <c r="H1228" s="77">
        <v>1843.08</v>
      </c>
      <c r="I1228" s="76" t="s">
        <v>925</v>
      </c>
      <c r="J1228" s="77">
        <v>500</v>
      </c>
      <c r="K1228" s="78">
        <v>4123.71</v>
      </c>
      <c r="M1228" s="79" t="str">
        <f t="shared" si="59"/>
        <v>440-7453</v>
      </c>
      <c r="N1228" s="79" t="str">
        <f t="shared" si="57"/>
        <v/>
      </c>
      <c r="O1228" s="79" t="str">
        <f t="shared" si="58"/>
        <v>440</v>
      </c>
      <c r="P1228" s="79" t="str">
        <f>IFERROR(VLOOKUP($M1228,Export!$P:$R,2,FALSE),"-")</f>
        <v>Admin &amp; Other</v>
      </c>
      <c r="Q1228" s="79" t="str">
        <f>IFERROR(VLOOKUP($M1228,Export!$P:$R,3,FALSE),"-")</f>
        <v>Admin &amp; OtherOther Overheads as % of Total Gross Profit</v>
      </c>
      <c r="R1228" s="80" t="e" cm="1">
        <f t="array" ref="R1228">_xlfn.IFS(P1228="Service", _xlfn.IFS(I1228="SALES","GP",I1228="SERVICE SALES","GP",I1228="PARTS SALES","GP",I1228="SERVICE COS","GP",I1228="PARTS COS","GP",I1228="SELLING EXPENSES","Selling Expenses",I1228="EMPLOYMENT EXPENSES","Selling Expenses",I1228="EMPLOYMENT EXPENSES","Selling Expenses",I1228="DIRECT EXPENSES","Selling Expenses",I1228="INDIRECT EXPENSES","Selling Expenses"),P1228="Parts",_xlfn.IFS(I1228="SALES","GP",I1228="SERVICE SALES","GP",I1228="PARTS SALES","GP",I1228="SERVICE COS","GP",I1228="PARTS COS","GP",I1228="SELLING EXPENSES","Selling Expenses",I1228="EMPLOYMENT EXPENSES","Selling Expenses",I1228="EMPLOYMENT EXPENSES","Selling Expenses",I1228="DIRECT EXPENSES","Selling Expenses",I1228="INDIRECT EXPENSES","Selling Expenses"))</f>
        <v>#N/A</v>
      </c>
    </row>
    <row r="1229" spans="1:18" x14ac:dyDescent="0.2">
      <c r="A1229" s="75">
        <v>7453</v>
      </c>
      <c r="B1229" s="76" t="s">
        <v>933</v>
      </c>
      <c r="C1229" s="76">
        <v>935</v>
      </c>
      <c r="D1229" s="76" t="s">
        <v>442</v>
      </c>
      <c r="E1229" s="76" t="s">
        <v>426</v>
      </c>
      <c r="F1229" s="77">
        <v>1271.3900000000001</v>
      </c>
      <c r="G1229" s="77">
        <v>10.050000000000001</v>
      </c>
      <c r="H1229" s="77">
        <v>1281.44</v>
      </c>
      <c r="I1229" s="76" t="s">
        <v>925</v>
      </c>
      <c r="J1229" s="77">
        <v>0</v>
      </c>
      <c r="K1229" s="78">
        <v>987.83</v>
      </c>
      <c r="M1229" s="79" t="str">
        <f t="shared" si="59"/>
        <v>935-7453</v>
      </c>
      <c r="N1229" s="79" t="str">
        <f t="shared" si="57"/>
        <v/>
      </c>
      <c r="O1229" s="79" t="str">
        <f t="shared" si="58"/>
        <v>935</v>
      </c>
      <c r="P1229" s="79" t="str">
        <f>IFERROR(VLOOKUP($M1229,Export!$P:$R,2,FALSE),"-")</f>
        <v>LEX Admin &amp; Other</v>
      </c>
      <c r="Q1229" s="79" t="str">
        <f>IFERROR(VLOOKUP($M1229,Export!$P:$R,3,FALSE),"-")</f>
        <v>LEX Admin &amp; OtherOther Overheads as % of Total Gross Profit</v>
      </c>
      <c r="R1229" s="80" t="e" cm="1">
        <f t="array" ref="R1229">_xlfn.IFS(P1229="Service", _xlfn.IFS(I1229="SALES","GP",I1229="SERVICE SALES","GP",I1229="PARTS SALES","GP",I1229="SERVICE COS","GP",I1229="PARTS COS","GP",I1229="SELLING EXPENSES","Selling Expenses",I1229="EMPLOYMENT EXPENSES","Selling Expenses",I1229="EMPLOYMENT EXPENSES","Selling Expenses",I1229="DIRECT EXPENSES","Selling Expenses",I1229="INDIRECT EXPENSES","Selling Expenses"),P1229="Parts",_xlfn.IFS(I1229="SALES","GP",I1229="SERVICE SALES","GP",I1229="PARTS SALES","GP",I1229="SERVICE COS","GP",I1229="PARTS COS","GP",I1229="SELLING EXPENSES","Selling Expenses",I1229="EMPLOYMENT EXPENSES","Selling Expenses",I1229="EMPLOYMENT EXPENSES","Selling Expenses",I1229="DIRECT EXPENSES","Selling Expenses",I1229="INDIRECT EXPENSES","Selling Expenses"))</f>
        <v>#N/A</v>
      </c>
    </row>
    <row r="1230" spans="1:18" x14ac:dyDescent="0.2">
      <c r="A1230" s="75">
        <v>7453</v>
      </c>
      <c r="B1230" s="76" t="s">
        <v>933</v>
      </c>
      <c r="C1230" s="76">
        <v>936</v>
      </c>
      <c r="D1230" s="76" t="s">
        <v>443</v>
      </c>
      <c r="E1230" s="76" t="s">
        <v>426</v>
      </c>
      <c r="F1230" s="77">
        <v>252.86</v>
      </c>
      <c r="G1230" s="77">
        <v>1.28</v>
      </c>
      <c r="H1230" s="77">
        <v>254.14</v>
      </c>
      <c r="I1230" s="76" t="s">
        <v>925</v>
      </c>
      <c r="J1230" s="77">
        <v>0</v>
      </c>
      <c r="K1230" s="78">
        <v>1181.3699999999999</v>
      </c>
      <c r="M1230" s="79" t="str">
        <f t="shared" si="59"/>
        <v>936-7453</v>
      </c>
      <c r="N1230" s="79" t="str">
        <f t="shared" si="57"/>
        <v/>
      </c>
      <c r="O1230" s="79" t="str">
        <f t="shared" si="58"/>
        <v>936</v>
      </c>
      <c r="P1230" s="79" t="str">
        <f>IFERROR(VLOOKUP($M1230,Export!$P:$R,2,FALSE),"-")</f>
        <v>LEX Admin &amp; Other</v>
      </c>
      <c r="Q1230" s="79" t="str">
        <f>IFERROR(VLOOKUP($M1230,Export!$P:$R,3,FALSE),"-")</f>
        <v>LEX Admin &amp; OtherOther Overheads as % of Total Gross Profit</v>
      </c>
      <c r="R1230" s="80" t="e" cm="1">
        <f t="array" ref="R1230">_xlfn.IFS(P1230="Service", _xlfn.IFS(I1230="SALES","GP",I1230="SERVICE SALES","GP",I1230="PARTS SALES","GP",I1230="SERVICE COS","GP",I1230="PARTS COS","GP",I1230="SELLING EXPENSES","Selling Expenses",I1230="EMPLOYMENT EXPENSES","Selling Expenses",I1230="EMPLOYMENT EXPENSES","Selling Expenses",I1230="DIRECT EXPENSES","Selling Expenses",I1230="INDIRECT EXPENSES","Selling Expenses"),P1230="Parts",_xlfn.IFS(I1230="SALES","GP",I1230="SERVICE SALES","GP",I1230="PARTS SALES","GP",I1230="SERVICE COS","GP",I1230="PARTS COS","GP",I1230="SELLING EXPENSES","Selling Expenses",I1230="EMPLOYMENT EXPENSES","Selling Expenses",I1230="EMPLOYMENT EXPENSES","Selling Expenses",I1230="DIRECT EXPENSES","Selling Expenses",I1230="INDIRECT EXPENSES","Selling Expenses"))</f>
        <v>#N/A</v>
      </c>
    </row>
    <row r="1231" spans="1:18" x14ac:dyDescent="0.2">
      <c r="A1231" s="75">
        <v>7454</v>
      </c>
      <c r="B1231" s="76" t="s">
        <v>934</v>
      </c>
      <c r="C1231" s="76">
        <v>110</v>
      </c>
      <c r="D1231" s="76" t="s">
        <v>430</v>
      </c>
      <c r="E1231" s="76" t="s">
        <v>426</v>
      </c>
      <c r="F1231" s="77">
        <v>200.93</v>
      </c>
      <c r="G1231" s="77">
        <v>0</v>
      </c>
      <c r="H1231" s="77">
        <v>200.93</v>
      </c>
      <c r="I1231" s="76" t="s">
        <v>925</v>
      </c>
      <c r="J1231" s="77">
        <v>800</v>
      </c>
      <c r="K1231" s="78">
        <v>8536.76</v>
      </c>
      <c r="M1231" s="79" t="str">
        <f t="shared" si="59"/>
        <v>110-7454</v>
      </c>
      <c r="N1231" s="79" t="str">
        <f t="shared" si="57"/>
        <v/>
      </c>
      <c r="O1231" s="79" t="str">
        <f t="shared" si="58"/>
        <v>110</v>
      </c>
      <c r="P1231" s="79" t="str">
        <f>IFERROR(VLOOKUP($M1231,Export!$P:$R,2,FALSE),"-")</f>
        <v>Admin &amp; Other</v>
      </c>
      <c r="Q1231" s="79" t="str">
        <f>IFERROR(VLOOKUP($M1231,Export!$P:$R,3,FALSE),"-")</f>
        <v>Admin &amp; OtherOther Overheads as % of Total Gross Profit</v>
      </c>
      <c r="R1231" s="80" t="e" cm="1">
        <f t="array" ref="R1231">_xlfn.IFS(P1231="Service", _xlfn.IFS(I1231="SALES","GP",I1231="SERVICE SALES","GP",I1231="PARTS SALES","GP",I1231="SERVICE COS","GP",I1231="PARTS COS","GP",I1231="SELLING EXPENSES","Selling Expenses",I1231="EMPLOYMENT EXPENSES","Selling Expenses",I1231="EMPLOYMENT EXPENSES","Selling Expenses",I1231="DIRECT EXPENSES","Selling Expenses",I1231="INDIRECT EXPENSES","Selling Expenses"),P1231="Parts",_xlfn.IFS(I1231="SALES","GP",I1231="SERVICE SALES","GP",I1231="PARTS SALES","GP",I1231="SERVICE COS","GP",I1231="PARTS COS","GP",I1231="SELLING EXPENSES","Selling Expenses",I1231="EMPLOYMENT EXPENSES","Selling Expenses",I1231="EMPLOYMENT EXPENSES","Selling Expenses",I1231="DIRECT EXPENSES","Selling Expenses",I1231="INDIRECT EXPENSES","Selling Expenses"))</f>
        <v>#N/A</v>
      </c>
    </row>
    <row r="1232" spans="1:18" x14ac:dyDescent="0.2">
      <c r="A1232" s="75">
        <v>7454</v>
      </c>
      <c r="B1232" s="76" t="s">
        <v>934</v>
      </c>
      <c r="C1232" s="76">
        <v>112</v>
      </c>
      <c r="D1232" s="76" t="s">
        <v>349</v>
      </c>
      <c r="E1232" s="76" t="s">
        <v>426</v>
      </c>
      <c r="F1232" s="77">
        <v>599.96</v>
      </c>
      <c r="G1232" s="77">
        <v>0</v>
      </c>
      <c r="H1232" s="77">
        <v>599.96</v>
      </c>
      <c r="I1232" s="76" t="s">
        <v>925</v>
      </c>
      <c r="J1232" s="77">
        <v>100</v>
      </c>
      <c r="K1232" s="78">
        <v>1193.8800000000001</v>
      </c>
      <c r="M1232" s="79" t="str">
        <f t="shared" si="59"/>
        <v>112-7454</v>
      </c>
      <c r="N1232" s="79" t="str">
        <f t="shared" si="57"/>
        <v/>
      </c>
      <c r="O1232" s="79" t="str">
        <f t="shared" si="58"/>
        <v>112</v>
      </c>
      <c r="P1232" s="79" t="str">
        <f>IFERROR(VLOOKUP($M1232,Export!$P:$R,2,FALSE),"-")</f>
        <v>LEX Admin &amp; Other</v>
      </c>
      <c r="Q1232" s="79" t="str">
        <f>IFERROR(VLOOKUP($M1232,Export!$P:$R,3,FALSE),"-")</f>
        <v>LEX Admin &amp; OtherOther Overheads as % of Total Gross Profit</v>
      </c>
      <c r="R1232" s="80" t="e" cm="1">
        <f t="array" ref="R1232">_xlfn.IFS(P1232="Service", _xlfn.IFS(I1232="SALES","GP",I1232="SERVICE SALES","GP",I1232="PARTS SALES","GP",I1232="SERVICE COS","GP",I1232="PARTS COS","GP",I1232="SELLING EXPENSES","Selling Expenses",I1232="EMPLOYMENT EXPENSES","Selling Expenses",I1232="EMPLOYMENT EXPENSES","Selling Expenses",I1232="DIRECT EXPENSES","Selling Expenses",I1232="INDIRECT EXPENSES","Selling Expenses"),P1232="Parts",_xlfn.IFS(I1232="SALES","GP",I1232="SERVICE SALES","GP",I1232="PARTS SALES","GP",I1232="SERVICE COS","GP",I1232="PARTS COS","GP",I1232="SELLING EXPENSES","Selling Expenses",I1232="EMPLOYMENT EXPENSES","Selling Expenses",I1232="EMPLOYMENT EXPENSES","Selling Expenses",I1232="DIRECT EXPENSES","Selling Expenses",I1232="INDIRECT EXPENSES","Selling Expenses"))</f>
        <v>#N/A</v>
      </c>
    </row>
    <row r="1233" spans="1:18" x14ac:dyDescent="0.2">
      <c r="A1233" s="75">
        <v>7454</v>
      </c>
      <c r="B1233" s="76" t="s">
        <v>934</v>
      </c>
      <c r="C1233" s="76">
        <v>120</v>
      </c>
      <c r="D1233" s="76" t="s">
        <v>431</v>
      </c>
      <c r="E1233" s="76" t="s">
        <v>426</v>
      </c>
      <c r="F1233" s="77">
        <v>800.38</v>
      </c>
      <c r="G1233" s="77">
        <v>0</v>
      </c>
      <c r="H1233" s="77">
        <v>800.38</v>
      </c>
      <c r="I1233" s="76" t="s">
        <v>925</v>
      </c>
      <c r="J1233" s="77">
        <v>200</v>
      </c>
      <c r="K1233" s="78">
        <v>1912.67</v>
      </c>
      <c r="M1233" s="79" t="str">
        <f t="shared" si="59"/>
        <v>120-7454</v>
      </c>
      <c r="N1233" s="79" t="str">
        <f t="shared" si="57"/>
        <v/>
      </c>
      <c r="O1233" s="79" t="str">
        <f t="shared" si="58"/>
        <v>120</v>
      </c>
      <c r="P1233" s="79" t="str">
        <f>IFERROR(VLOOKUP($M1233,Export!$P:$R,2,FALSE),"-")</f>
        <v>Admin &amp; Other</v>
      </c>
      <c r="Q1233" s="79" t="str">
        <f>IFERROR(VLOOKUP($M1233,Export!$P:$R,3,FALSE),"-")</f>
        <v>Admin &amp; OtherOther Overheads as % of Total Gross Profit</v>
      </c>
      <c r="R1233" s="80" t="e" cm="1">
        <f t="array" ref="R1233">_xlfn.IFS(P1233="Service", _xlfn.IFS(I1233="SALES","GP",I1233="SERVICE SALES","GP",I1233="PARTS SALES","GP",I1233="SERVICE COS","GP",I1233="PARTS COS","GP",I1233="SELLING EXPENSES","Selling Expenses",I1233="EMPLOYMENT EXPENSES","Selling Expenses",I1233="EMPLOYMENT EXPENSES","Selling Expenses",I1233="DIRECT EXPENSES","Selling Expenses",I1233="INDIRECT EXPENSES","Selling Expenses"),P1233="Parts",_xlfn.IFS(I1233="SALES","GP",I1233="SERVICE SALES","GP",I1233="PARTS SALES","GP",I1233="SERVICE COS","GP",I1233="PARTS COS","GP",I1233="SELLING EXPENSES","Selling Expenses",I1233="EMPLOYMENT EXPENSES","Selling Expenses",I1233="EMPLOYMENT EXPENSES","Selling Expenses",I1233="DIRECT EXPENSES","Selling Expenses",I1233="INDIRECT EXPENSES","Selling Expenses"))</f>
        <v>#N/A</v>
      </c>
    </row>
    <row r="1234" spans="1:18" x14ac:dyDescent="0.2">
      <c r="A1234" s="75">
        <v>7454</v>
      </c>
      <c r="B1234" s="76" t="s">
        <v>934</v>
      </c>
      <c r="C1234" s="76">
        <v>121</v>
      </c>
      <c r="D1234" s="76" t="s">
        <v>449</v>
      </c>
      <c r="E1234" s="76" t="s">
        <v>426</v>
      </c>
      <c r="F1234" s="77">
        <v>0</v>
      </c>
      <c r="G1234" s="77">
        <v>0</v>
      </c>
      <c r="H1234" s="77">
        <v>0</v>
      </c>
      <c r="I1234" s="76" t="s">
        <v>925</v>
      </c>
      <c r="J1234" s="77">
        <v>100</v>
      </c>
      <c r="K1234" s="78">
        <v>1193.8800000000001</v>
      </c>
      <c r="M1234" s="79" t="str">
        <f t="shared" si="59"/>
        <v>121-7454</v>
      </c>
      <c r="N1234" s="79" t="str">
        <f t="shared" si="57"/>
        <v/>
      </c>
      <c r="O1234" s="79" t="str">
        <f t="shared" si="58"/>
        <v>121</v>
      </c>
      <c r="P1234" s="79" t="str">
        <f>IFERROR(VLOOKUP($M1234,Export!$P:$R,2,FALSE),"-")</f>
        <v>Admin &amp; Other</v>
      </c>
      <c r="Q1234" s="79" t="str">
        <f>IFERROR(VLOOKUP($M1234,Export!$P:$R,3,FALSE),"-")</f>
        <v>Admin &amp; OtherOther Overheads as % of Total Gross Profit</v>
      </c>
      <c r="R1234" s="80" t="e" cm="1">
        <f t="array" ref="R1234">_xlfn.IFS(P1234="Service", _xlfn.IFS(I1234="SALES","GP",I1234="SERVICE SALES","GP",I1234="PARTS SALES","GP",I1234="SERVICE COS","GP",I1234="PARTS COS","GP",I1234="SELLING EXPENSES","Selling Expenses",I1234="EMPLOYMENT EXPENSES","Selling Expenses",I1234="EMPLOYMENT EXPENSES","Selling Expenses",I1234="DIRECT EXPENSES","Selling Expenses",I1234="INDIRECT EXPENSES","Selling Expenses"),P1234="Parts",_xlfn.IFS(I1234="SALES","GP",I1234="SERVICE SALES","GP",I1234="PARTS SALES","GP",I1234="SERVICE COS","GP",I1234="PARTS COS","GP",I1234="SELLING EXPENSES","Selling Expenses",I1234="EMPLOYMENT EXPENSES","Selling Expenses",I1234="EMPLOYMENT EXPENSES","Selling Expenses",I1234="DIRECT EXPENSES","Selling Expenses",I1234="INDIRECT EXPENSES","Selling Expenses"))</f>
        <v>#N/A</v>
      </c>
    </row>
    <row r="1235" spans="1:18" x14ac:dyDescent="0.2">
      <c r="A1235" s="75">
        <v>7454</v>
      </c>
      <c r="B1235" s="76" t="s">
        <v>934</v>
      </c>
      <c r="C1235" s="76">
        <v>130</v>
      </c>
      <c r="D1235" s="76" t="s">
        <v>432</v>
      </c>
      <c r="E1235" s="76" t="s">
        <v>426</v>
      </c>
      <c r="F1235" s="77">
        <v>0.97</v>
      </c>
      <c r="G1235" s="287">
        <v>0</v>
      </c>
      <c r="H1235" s="77">
        <v>0.97</v>
      </c>
      <c r="I1235" s="76" t="s">
        <v>925</v>
      </c>
      <c r="J1235" s="77">
        <v>300</v>
      </c>
      <c r="K1235" s="78">
        <v>2809.58</v>
      </c>
      <c r="M1235" s="79" t="str">
        <f t="shared" si="59"/>
        <v>130-7454</v>
      </c>
      <c r="N1235" s="79" t="str">
        <f t="shared" si="57"/>
        <v/>
      </c>
      <c r="O1235" s="79" t="str">
        <f t="shared" si="58"/>
        <v>130</v>
      </c>
      <c r="P1235" s="79" t="str">
        <f>IFERROR(VLOOKUP($M1235,Export!$P:$R,2,FALSE),"-")</f>
        <v>Admin &amp; Other</v>
      </c>
      <c r="Q1235" s="79" t="str">
        <f>IFERROR(VLOOKUP($M1235,Export!$P:$R,3,FALSE),"-")</f>
        <v>Admin &amp; OtherOther Overheads as % of Total Gross Profit</v>
      </c>
      <c r="R1235" s="80" t="e" cm="1">
        <f t="array" ref="R1235">_xlfn.IFS(P1235="Service", _xlfn.IFS(I1235="SALES","GP",I1235="SERVICE SALES","GP",I1235="PARTS SALES","GP",I1235="SERVICE COS","GP",I1235="PARTS COS","GP",I1235="SELLING EXPENSES","Selling Expenses",I1235="EMPLOYMENT EXPENSES","Selling Expenses",I1235="EMPLOYMENT EXPENSES","Selling Expenses",I1235="DIRECT EXPENSES","Selling Expenses",I1235="INDIRECT EXPENSES","Selling Expenses"),P1235="Parts",_xlfn.IFS(I1235="SALES","GP",I1235="SERVICE SALES","GP",I1235="PARTS SALES","GP",I1235="SERVICE COS","GP",I1235="PARTS COS","GP",I1235="SELLING EXPENSES","Selling Expenses",I1235="EMPLOYMENT EXPENSES","Selling Expenses",I1235="EMPLOYMENT EXPENSES","Selling Expenses",I1235="DIRECT EXPENSES","Selling Expenses",I1235="INDIRECT EXPENSES","Selling Expenses"))</f>
        <v>#N/A</v>
      </c>
    </row>
    <row r="1236" spans="1:18" x14ac:dyDescent="0.2">
      <c r="A1236" s="75">
        <v>7454</v>
      </c>
      <c r="B1236" s="76" t="s">
        <v>934</v>
      </c>
      <c r="C1236" s="76">
        <v>140</v>
      </c>
      <c r="D1236" s="76" t="s">
        <v>433</v>
      </c>
      <c r="E1236" s="76" t="s">
        <v>426</v>
      </c>
      <c r="F1236" s="77">
        <v>600.15</v>
      </c>
      <c r="G1236" s="77">
        <v>0</v>
      </c>
      <c r="H1236" s="77">
        <v>600.15</v>
      </c>
      <c r="I1236" s="76" t="s">
        <v>925</v>
      </c>
      <c r="J1236" s="77">
        <v>800</v>
      </c>
      <c r="K1236" s="78">
        <v>10536.76</v>
      </c>
      <c r="M1236" s="79" t="str">
        <f t="shared" si="59"/>
        <v>140-7454</v>
      </c>
      <c r="N1236" s="79" t="str">
        <f t="shared" si="57"/>
        <v/>
      </c>
      <c r="O1236" s="79" t="str">
        <f t="shared" si="58"/>
        <v>140</v>
      </c>
      <c r="P1236" s="79" t="str">
        <f>IFERROR(VLOOKUP($M1236,Export!$P:$R,2,FALSE),"-")</f>
        <v>Admin &amp; Other</v>
      </c>
      <c r="Q1236" s="79" t="str">
        <f>IFERROR(VLOOKUP($M1236,Export!$P:$R,3,FALSE),"-")</f>
        <v>Admin &amp; OtherOther Overheads as % of Total Gross Profit</v>
      </c>
      <c r="R1236" s="80" t="e" cm="1">
        <f t="array" ref="R1236">_xlfn.IFS(P1236="Service", _xlfn.IFS(I1236="SALES","GP",I1236="SERVICE SALES","GP",I1236="PARTS SALES","GP",I1236="SERVICE COS","GP",I1236="PARTS COS","GP",I1236="SELLING EXPENSES","Selling Expenses",I1236="EMPLOYMENT EXPENSES","Selling Expenses",I1236="EMPLOYMENT EXPENSES","Selling Expenses",I1236="DIRECT EXPENSES","Selling Expenses",I1236="INDIRECT EXPENSES","Selling Expenses"),P1236="Parts",_xlfn.IFS(I1236="SALES","GP",I1236="SERVICE SALES","GP",I1236="PARTS SALES","GP",I1236="SERVICE COS","GP",I1236="PARTS COS","GP",I1236="SELLING EXPENSES","Selling Expenses",I1236="EMPLOYMENT EXPENSES","Selling Expenses",I1236="EMPLOYMENT EXPENSES","Selling Expenses",I1236="DIRECT EXPENSES","Selling Expenses",I1236="INDIRECT EXPENSES","Selling Expenses"))</f>
        <v>#N/A</v>
      </c>
    </row>
    <row r="1237" spans="1:18" x14ac:dyDescent="0.2">
      <c r="A1237" s="75">
        <v>7454</v>
      </c>
      <c r="B1237" s="76" t="s">
        <v>934</v>
      </c>
      <c r="C1237" s="76">
        <v>150</v>
      </c>
      <c r="D1237" s="76" t="s">
        <v>700</v>
      </c>
      <c r="E1237" s="76" t="s">
        <v>426</v>
      </c>
      <c r="F1237" s="77">
        <v>1797</v>
      </c>
      <c r="G1237" s="77">
        <v>0</v>
      </c>
      <c r="H1237" s="77">
        <v>1797</v>
      </c>
      <c r="I1237" s="76" t="s">
        <v>925</v>
      </c>
      <c r="J1237" s="77">
        <v>0</v>
      </c>
      <c r="K1237" s="78">
        <v>0</v>
      </c>
      <c r="M1237" s="79" t="str">
        <f t="shared" si="59"/>
        <v>150-7454</v>
      </c>
      <c r="N1237" s="79" t="str">
        <f t="shared" si="57"/>
        <v/>
      </c>
      <c r="O1237" s="79" t="str">
        <f t="shared" si="58"/>
        <v>150</v>
      </c>
      <c r="P1237" s="79" t="str">
        <f>IFERROR(VLOOKUP($M1237,Export!$P:$R,2,FALSE),"-")</f>
        <v>LEX Admin &amp; Other</v>
      </c>
      <c r="Q1237" s="79" t="str">
        <f>IFERROR(VLOOKUP($M1237,Export!$P:$R,3,FALSE),"-")</f>
        <v>LEX Admin &amp; OtherOther Overheads as % of Total Gross Profit</v>
      </c>
      <c r="R1237" s="80" t="e" cm="1">
        <f t="array" ref="R1237">_xlfn.IFS(P1237="Service", _xlfn.IFS(I1237="SALES","GP",I1237="SERVICE SALES","GP",I1237="PARTS SALES","GP",I1237="SERVICE COS","GP",I1237="PARTS COS","GP",I1237="SELLING EXPENSES","Selling Expenses",I1237="EMPLOYMENT EXPENSES","Selling Expenses",I1237="EMPLOYMENT EXPENSES","Selling Expenses",I1237="DIRECT EXPENSES","Selling Expenses",I1237="INDIRECT EXPENSES","Selling Expenses"),P1237="Parts",_xlfn.IFS(I1237="SALES","GP",I1237="SERVICE SALES","GP",I1237="PARTS SALES","GP",I1237="SERVICE COS","GP",I1237="PARTS COS","GP",I1237="SELLING EXPENSES","Selling Expenses",I1237="EMPLOYMENT EXPENSES","Selling Expenses",I1237="EMPLOYMENT EXPENSES","Selling Expenses",I1237="DIRECT EXPENSES","Selling Expenses",I1237="INDIRECT EXPENSES","Selling Expenses"))</f>
        <v>#N/A</v>
      </c>
    </row>
    <row r="1238" spans="1:18" x14ac:dyDescent="0.2">
      <c r="A1238" s="75">
        <v>7454</v>
      </c>
      <c r="B1238" s="76" t="s">
        <v>934</v>
      </c>
      <c r="C1238" s="76">
        <v>160</v>
      </c>
      <c r="D1238" s="76" t="s">
        <v>434</v>
      </c>
      <c r="E1238" s="76" t="s">
        <v>426</v>
      </c>
      <c r="F1238" s="77">
        <v>200.25</v>
      </c>
      <c r="G1238" s="77">
        <v>0</v>
      </c>
      <c r="H1238" s="77">
        <v>200.25</v>
      </c>
      <c r="I1238" s="76" t="s">
        <v>925</v>
      </c>
      <c r="J1238" s="77">
        <v>100</v>
      </c>
      <c r="K1238" s="78">
        <v>956.33</v>
      </c>
      <c r="M1238" s="79" t="str">
        <f t="shared" si="59"/>
        <v>160-7454</v>
      </c>
      <c r="N1238" s="79" t="str">
        <f t="shared" si="57"/>
        <v/>
      </c>
      <c r="O1238" s="79" t="str">
        <f t="shared" si="58"/>
        <v>160</v>
      </c>
      <c r="P1238" s="79" t="str">
        <f>IFERROR(VLOOKUP($M1238,Export!$P:$R,2,FALSE),"-")</f>
        <v>Admin &amp; Other</v>
      </c>
      <c r="Q1238" s="79" t="str">
        <f>IFERROR(VLOOKUP($M1238,Export!$P:$R,3,FALSE),"-")</f>
        <v>Admin &amp; OtherOther Overheads as % of Total Gross Profit</v>
      </c>
      <c r="R1238" s="80" t="e" cm="1">
        <f t="array" ref="R1238">_xlfn.IFS(P1238="Service", _xlfn.IFS(I1238="SALES","GP",I1238="SERVICE SALES","GP",I1238="PARTS SALES","GP",I1238="SERVICE COS","GP",I1238="PARTS COS","GP",I1238="SELLING EXPENSES","Selling Expenses",I1238="EMPLOYMENT EXPENSES","Selling Expenses",I1238="EMPLOYMENT EXPENSES","Selling Expenses",I1238="DIRECT EXPENSES","Selling Expenses",I1238="INDIRECT EXPENSES","Selling Expenses"),P1238="Parts",_xlfn.IFS(I1238="SALES","GP",I1238="SERVICE SALES","GP",I1238="PARTS SALES","GP",I1238="SERVICE COS","GP",I1238="PARTS COS","GP",I1238="SELLING EXPENSES","Selling Expenses",I1238="EMPLOYMENT EXPENSES","Selling Expenses",I1238="EMPLOYMENT EXPENSES","Selling Expenses",I1238="DIRECT EXPENSES","Selling Expenses",I1238="INDIRECT EXPENSES","Selling Expenses"))</f>
        <v>#N/A</v>
      </c>
    </row>
    <row r="1239" spans="1:18" x14ac:dyDescent="0.2">
      <c r="A1239" s="75">
        <v>7454</v>
      </c>
      <c r="B1239" s="76" t="s">
        <v>934</v>
      </c>
      <c r="C1239" s="76">
        <v>170</v>
      </c>
      <c r="D1239" s="76" t="s">
        <v>676</v>
      </c>
      <c r="E1239" s="76" t="s">
        <v>426</v>
      </c>
      <c r="F1239" s="77">
        <v>990</v>
      </c>
      <c r="G1239" s="77">
        <v>0</v>
      </c>
      <c r="H1239" s="77">
        <v>990</v>
      </c>
      <c r="I1239" s="76" t="s">
        <v>925</v>
      </c>
      <c r="J1239" s="77">
        <v>0</v>
      </c>
      <c r="K1239" s="78">
        <v>0</v>
      </c>
      <c r="M1239" s="79" t="str">
        <f t="shared" si="59"/>
        <v>170-7454</v>
      </c>
      <c r="N1239" s="79" t="str">
        <f t="shared" si="57"/>
        <v/>
      </c>
      <c r="O1239" s="79" t="str">
        <f t="shared" si="58"/>
        <v>170</v>
      </c>
      <c r="P1239" s="79" t="str">
        <f>IFERROR(VLOOKUP($M1239,Export!$P:$R,2,FALSE),"-")</f>
        <v>Admin &amp; Other</v>
      </c>
      <c r="Q1239" s="79" t="str">
        <f>IFERROR(VLOOKUP($M1239,Export!$P:$R,3,FALSE),"-")</f>
        <v>Admin &amp; OtherOther Overheads as % of Total Gross Profit</v>
      </c>
      <c r="R1239" s="80" t="e" cm="1">
        <f t="array" ref="R1239">_xlfn.IFS(P1239="Service", _xlfn.IFS(I1239="SALES","GP",I1239="SERVICE SALES","GP",I1239="PARTS SALES","GP",I1239="SERVICE COS","GP",I1239="PARTS COS","GP",I1239="SELLING EXPENSES","Selling Expenses",I1239="EMPLOYMENT EXPENSES","Selling Expenses",I1239="EMPLOYMENT EXPENSES","Selling Expenses",I1239="DIRECT EXPENSES","Selling Expenses",I1239="INDIRECT EXPENSES","Selling Expenses"),P1239="Parts",_xlfn.IFS(I1239="SALES","GP",I1239="SERVICE SALES","GP",I1239="PARTS SALES","GP",I1239="SERVICE COS","GP",I1239="PARTS COS","GP",I1239="SELLING EXPENSES","Selling Expenses",I1239="EMPLOYMENT EXPENSES","Selling Expenses",I1239="EMPLOYMENT EXPENSES","Selling Expenses",I1239="DIRECT EXPENSES","Selling Expenses",I1239="INDIRECT EXPENSES","Selling Expenses"))</f>
        <v>#N/A</v>
      </c>
    </row>
    <row r="1240" spans="1:18" x14ac:dyDescent="0.2">
      <c r="A1240" s="75">
        <v>7454</v>
      </c>
      <c r="B1240" s="76" t="s">
        <v>934</v>
      </c>
      <c r="C1240" s="76">
        <v>190</v>
      </c>
      <c r="D1240" s="76" t="s">
        <v>435</v>
      </c>
      <c r="E1240" s="76" t="s">
        <v>426</v>
      </c>
      <c r="F1240" s="77">
        <v>11341</v>
      </c>
      <c r="G1240" s="287">
        <v>0</v>
      </c>
      <c r="H1240" s="77">
        <v>11341</v>
      </c>
      <c r="I1240" s="76" t="s">
        <v>925</v>
      </c>
      <c r="J1240" s="77">
        <v>0</v>
      </c>
      <c r="K1240" s="78">
        <v>0</v>
      </c>
      <c r="M1240" s="79" t="str">
        <f t="shared" si="59"/>
        <v>190-7454</v>
      </c>
      <c r="N1240" s="79" t="str">
        <f t="shared" si="57"/>
        <v/>
      </c>
      <c r="O1240" s="79" t="str">
        <f t="shared" si="58"/>
        <v>190</v>
      </c>
      <c r="P1240" s="79" t="str">
        <f>IFERROR(VLOOKUP($M1240,Export!$P:$R,2,FALSE),"-")</f>
        <v>Admin &amp; Other</v>
      </c>
      <c r="Q1240" s="79" t="str">
        <f>IFERROR(VLOOKUP($M1240,Export!$P:$R,3,FALSE),"-")</f>
        <v>Admin &amp; OtherOther Overheads as % of Total Gross Profit</v>
      </c>
      <c r="R1240" s="80" t="e" cm="1">
        <f t="array" ref="R1240">_xlfn.IFS(P1240="Service", _xlfn.IFS(I1240="SALES","GP",I1240="SERVICE SALES","GP",I1240="PARTS SALES","GP",I1240="SERVICE COS","GP",I1240="PARTS COS","GP",I1240="SELLING EXPENSES","Selling Expenses",I1240="EMPLOYMENT EXPENSES","Selling Expenses",I1240="EMPLOYMENT EXPENSES","Selling Expenses",I1240="DIRECT EXPENSES","Selling Expenses",I1240="INDIRECT EXPENSES","Selling Expenses"),P1240="Parts",_xlfn.IFS(I1240="SALES","GP",I1240="SERVICE SALES","GP",I1240="PARTS SALES","GP",I1240="SERVICE COS","GP",I1240="PARTS COS","GP",I1240="SELLING EXPENSES","Selling Expenses",I1240="EMPLOYMENT EXPENSES","Selling Expenses",I1240="EMPLOYMENT EXPENSES","Selling Expenses",I1240="DIRECT EXPENSES","Selling Expenses",I1240="INDIRECT EXPENSES","Selling Expenses"))</f>
        <v>#N/A</v>
      </c>
    </row>
    <row r="1241" spans="1:18" x14ac:dyDescent="0.2">
      <c r="A1241" s="75">
        <v>7454</v>
      </c>
      <c r="B1241" s="76" t="s">
        <v>934</v>
      </c>
      <c r="C1241" s="76">
        <v>210</v>
      </c>
      <c r="D1241" s="76" t="s">
        <v>436</v>
      </c>
      <c r="E1241" s="76" t="s">
        <v>426</v>
      </c>
      <c r="F1241" s="77">
        <v>16650.63</v>
      </c>
      <c r="G1241" s="77">
        <v>299.87</v>
      </c>
      <c r="H1241" s="77">
        <v>16950.5</v>
      </c>
      <c r="I1241" s="76" t="s">
        <v>925</v>
      </c>
      <c r="J1241" s="77">
        <v>0</v>
      </c>
      <c r="K1241" s="78">
        <v>0</v>
      </c>
      <c r="M1241" s="79" t="str">
        <f t="shared" si="59"/>
        <v>210-7454</v>
      </c>
      <c r="N1241" s="79" t="str">
        <f t="shared" si="57"/>
        <v/>
      </c>
      <c r="O1241" s="79" t="str">
        <f t="shared" si="58"/>
        <v>210</v>
      </c>
      <c r="P1241" s="79" t="str">
        <f>IFERROR(VLOOKUP($M1241,Export!$P:$R,2,FALSE),"-")</f>
        <v>Admin &amp; Other</v>
      </c>
      <c r="Q1241" s="79" t="str">
        <f>IFERROR(VLOOKUP($M1241,Export!$P:$R,3,FALSE),"-")</f>
        <v>Admin &amp; OtherOther Overheads as % of Total Gross Profit</v>
      </c>
      <c r="R1241" s="80" t="e" cm="1">
        <f t="array" ref="R1241">_xlfn.IFS(P1241="Service", _xlfn.IFS(I1241="SALES","GP",I1241="SERVICE SALES","GP",I1241="PARTS SALES","GP",I1241="SERVICE COS","GP",I1241="PARTS COS","GP",I1241="SELLING EXPENSES","Selling Expenses",I1241="EMPLOYMENT EXPENSES","Selling Expenses",I1241="EMPLOYMENT EXPENSES","Selling Expenses",I1241="DIRECT EXPENSES","Selling Expenses",I1241="INDIRECT EXPENSES","Selling Expenses"),P1241="Parts",_xlfn.IFS(I1241="SALES","GP",I1241="SERVICE SALES","GP",I1241="PARTS SALES","GP",I1241="SERVICE COS","GP",I1241="PARTS COS","GP",I1241="SELLING EXPENSES","Selling Expenses",I1241="EMPLOYMENT EXPENSES","Selling Expenses",I1241="EMPLOYMENT EXPENSES","Selling Expenses",I1241="DIRECT EXPENSES","Selling Expenses",I1241="INDIRECT EXPENSES","Selling Expenses"))</f>
        <v>#N/A</v>
      </c>
    </row>
    <row r="1242" spans="1:18" x14ac:dyDescent="0.2">
      <c r="A1242" s="75">
        <v>7454</v>
      </c>
      <c r="B1242" s="76" t="s">
        <v>934</v>
      </c>
      <c r="C1242" s="76">
        <v>220</v>
      </c>
      <c r="D1242" s="76" t="s">
        <v>437</v>
      </c>
      <c r="E1242" s="76" t="s">
        <v>426</v>
      </c>
      <c r="F1242" s="77">
        <v>17249.38</v>
      </c>
      <c r="G1242" s="77">
        <v>299.13</v>
      </c>
      <c r="H1242" s="77">
        <v>17548.509999999998</v>
      </c>
      <c r="I1242" s="76" t="s">
        <v>925</v>
      </c>
      <c r="J1242" s="77">
        <v>0</v>
      </c>
      <c r="K1242" s="78">
        <v>0</v>
      </c>
      <c r="M1242" s="79" t="str">
        <f t="shared" si="59"/>
        <v>220-7454</v>
      </c>
      <c r="N1242" s="79" t="str">
        <f t="shared" si="57"/>
        <v/>
      </c>
      <c r="O1242" s="79" t="str">
        <f t="shared" si="58"/>
        <v>220</v>
      </c>
      <c r="P1242" s="79" t="str">
        <f>IFERROR(VLOOKUP($M1242,Export!$P:$R,2,FALSE),"-")</f>
        <v>Admin &amp; Other</v>
      </c>
      <c r="Q1242" s="79" t="str">
        <f>IFERROR(VLOOKUP($M1242,Export!$P:$R,3,FALSE),"-")</f>
        <v>Admin &amp; OtherOther Overheads as % of Total Gross Profit</v>
      </c>
      <c r="R1242" s="80" t="e" cm="1">
        <f t="array" ref="R1242">_xlfn.IFS(P1242="Service", _xlfn.IFS(I1242="SALES","GP",I1242="SERVICE SALES","GP",I1242="PARTS SALES","GP",I1242="SERVICE COS","GP",I1242="PARTS COS","GP",I1242="SELLING EXPENSES","Selling Expenses",I1242="EMPLOYMENT EXPENSES","Selling Expenses",I1242="EMPLOYMENT EXPENSES","Selling Expenses",I1242="DIRECT EXPENSES","Selling Expenses",I1242="INDIRECT EXPENSES","Selling Expenses"),P1242="Parts",_xlfn.IFS(I1242="SALES","GP",I1242="SERVICE SALES","GP",I1242="PARTS SALES","GP",I1242="SERVICE COS","GP",I1242="PARTS COS","GP",I1242="SELLING EXPENSES","Selling Expenses",I1242="EMPLOYMENT EXPENSES","Selling Expenses",I1242="EMPLOYMENT EXPENSES","Selling Expenses",I1242="DIRECT EXPENSES","Selling Expenses",I1242="INDIRECT EXPENSES","Selling Expenses"))</f>
        <v>#N/A</v>
      </c>
    </row>
    <row r="1243" spans="1:18" x14ac:dyDescent="0.2">
      <c r="A1243" s="75">
        <v>7454</v>
      </c>
      <c r="B1243" s="76" t="s">
        <v>934</v>
      </c>
      <c r="C1243" s="76">
        <v>230</v>
      </c>
      <c r="D1243" s="76" t="s">
        <v>438</v>
      </c>
      <c r="E1243" s="76" t="s">
        <v>426</v>
      </c>
      <c r="F1243" s="77">
        <v>599.64</v>
      </c>
      <c r="G1243" s="77">
        <v>0</v>
      </c>
      <c r="H1243" s="77">
        <v>599.64</v>
      </c>
      <c r="I1243" s="76" t="s">
        <v>925</v>
      </c>
      <c r="J1243" s="77">
        <v>0</v>
      </c>
      <c r="K1243" s="78">
        <v>0</v>
      </c>
      <c r="M1243" s="79" t="str">
        <f t="shared" si="59"/>
        <v>230-7454</v>
      </c>
      <c r="N1243" s="79" t="str">
        <f t="shared" si="57"/>
        <v/>
      </c>
      <c r="O1243" s="79" t="str">
        <f t="shared" si="58"/>
        <v>230</v>
      </c>
      <c r="P1243" s="79" t="str">
        <f>IFERROR(VLOOKUP($M1243,Export!$P:$R,2,FALSE),"-")</f>
        <v>Admin &amp; Other</v>
      </c>
      <c r="Q1243" s="79" t="str">
        <f>IFERROR(VLOOKUP($M1243,Export!$P:$R,3,FALSE),"-")</f>
        <v>Admin &amp; OtherOther Overheads as % of Total Gross Profit</v>
      </c>
      <c r="R1243" s="80" t="e" cm="1">
        <f t="array" ref="R1243">_xlfn.IFS(P1243="Service", _xlfn.IFS(I1243="SALES","GP",I1243="SERVICE SALES","GP",I1243="PARTS SALES","GP",I1243="SERVICE COS","GP",I1243="PARTS COS","GP",I1243="SELLING EXPENSES","Selling Expenses",I1243="EMPLOYMENT EXPENSES","Selling Expenses",I1243="EMPLOYMENT EXPENSES","Selling Expenses",I1243="DIRECT EXPENSES","Selling Expenses",I1243="INDIRECT EXPENSES","Selling Expenses"),P1243="Parts",_xlfn.IFS(I1243="SALES","GP",I1243="SERVICE SALES","GP",I1243="PARTS SALES","GP",I1243="SERVICE COS","GP",I1243="PARTS COS","GP",I1243="SELLING EXPENSES","Selling Expenses",I1243="EMPLOYMENT EXPENSES","Selling Expenses",I1243="EMPLOYMENT EXPENSES","Selling Expenses",I1243="DIRECT EXPENSES","Selling Expenses",I1243="INDIRECT EXPENSES","Selling Expenses"))</f>
        <v>#N/A</v>
      </c>
    </row>
    <row r="1244" spans="1:18" x14ac:dyDescent="0.2">
      <c r="A1244" s="75">
        <v>7454</v>
      </c>
      <c r="B1244" s="298" t="s">
        <v>934</v>
      </c>
      <c r="C1244" s="76">
        <v>240</v>
      </c>
      <c r="D1244" s="76" t="s">
        <v>439</v>
      </c>
      <c r="E1244" s="76" t="s">
        <v>426</v>
      </c>
      <c r="F1244" s="77">
        <v>1030.51</v>
      </c>
      <c r="G1244" s="77">
        <v>0</v>
      </c>
      <c r="H1244" s="77">
        <v>1030.51</v>
      </c>
      <c r="I1244" s="76" t="s">
        <v>925</v>
      </c>
      <c r="J1244" s="77">
        <v>600</v>
      </c>
      <c r="K1244" s="78">
        <v>7600</v>
      </c>
      <c r="M1244" s="79" t="str">
        <f t="shared" si="59"/>
        <v>240-7454</v>
      </c>
      <c r="N1244" s="79" t="str">
        <f t="shared" si="57"/>
        <v/>
      </c>
      <c r="O1244" s="79" t="str">
        <f t="shared" si="58"/>
        <v>240</v>
      </c>
      <c r="P1244" s="79" t="str">
        <f>IFERROR(VLOOKUP($M1244,Export!$P:$R,2,FALSE),"-")</f>
        <v>Admin &amp; Other</v>
      </c>
      <c r="Q1244" s="79" t="str">
        <f>IFERROR(VLOOKUP($M1244,Export!$P:$R,3,FALSE),"-")</f>
        <v>Admin &amp; OtherOther Overheads as % of Total Gross Profit</v>
      </c>
      <c r="R1244" s="80" t="e" cm="1">
        <f t="array" ref="R1244">_xlfn.IFS(P1244="Service", _xlfn.IFS(I1244="SALES","GP",I1244="SERVICE SALES","GP",I1244="PARTS SALES","GP",I1244="SERVICE COS","GP",I1244="PARTS COS","GP",I1244="SELLING EXPENSES","Selling Expenses",I1244="EMPLOYMENT EXPENSES","Selling Expenses",I1244="EMPLOYMENT EXPENSES","Selling Expenses",I1244="DIRECT EXPENSES","Selling Expenses",I1244="INDIRECT EXPENSES","Selling Expenses"),P1244="Parts",_xlfn.IFS(I1244="SALES","GP",I1244="SERVICE SALES","GP",I1244="PARTS SALES","GP",I1244="SERVICE COS","GP",I1244="PARTS COS","GP",I1244="SELLING EXPENSES","Selling Expenses",I1244="EMPLOYMENT EXPENSES","Selling Expenses",I1244="EMPLOYMENT EXPENSES","Selling Expenses",I1244="DIRECT EXPENSES","Selling Expenses",I1244="INDIRECT EXPENSES","Selling Expenses"))</f>
        <v>#N/A</v>
      </c>
    </row>
    <row r="1245" spans="1:18" x14ac:dyDescent="0.2">
      <c r="A1245" s="75">
        <v>7454</v>
      </c>
      <c r="B1245" s="76" t="s">
        <v>934</v>
      </c>
      <c r="C1245" s="76">
        <v>340</v>
      </c>
      <c r="D1245" s="76" t="s">
        <v>440</v>
      </c>
      <c r="E1245" s="76" t="s">
        <v>426</v>
      </c>
      <c r="F1245" s="77">
        <v>810.26</v>
      </c>
      <c r="G1245" s="77">
        <v>0</v>
      </c>
      <c r="H1245" s="77">
        <v>810.26</v>
      </c>
      <c r="I1245" s="76" t="s">
        <v>925</v>
      </c>
      <c r="J1245" s="77">
        <v>100</v>
      </c>
      <c r="K1245" s="78">
        <v>966</v>
      </c>
      <c r="M1245" s="79" t="str">
        <f t="shared" si="59"/>
        <v>340-7454</v>
      </c>
      <c r="N1245" s="79" t="str">
        <f t="shared" si="57"/>
        <v/>
      </c>
      <c r="O1245" s="79" t="str">
        <f t="shared" si="58"/>
        <v>340</v>
      </c>
      <c r="P1245" s="79" t="str">
        <f>IFERROR(VLOOKUP($M1245,Export!$P:$R,2,FALSE),"-")</f>
        <v>Admin &amp; Other</v>
      </c>
      <c r="Q1245" s="79" t="str">
        <f>IFERROR(VLOOKUP($M1245,Export!$P:$R,3,FALSE),"-")</f>
        <v>Admin &amp; OtherOther Overheads as % of Total Gross Profit</v>
      </c>
      <c r="R1245" s="80" t="e" cm="1">
        <f t="array" ref="R1245">_xlfn.IFS(P1245="Service", _xlfn.IFS(I1245="SALES","GP",I1245="SERVICE SALES","GP",I1245="PARTS SALES","GP",I1245="SERVICE COS","GP",I1245="PARTS COS","GP",I1245="SELLING EXPENSES","Selling Expenses",I1245="EMPLOYMENT EXPENSES","Selling Expenses",I1245="EMPLOYMENT EXPENSES","Selling Expenses",I1245="DIRECT EXPENSES","Selling Expenses",I1245="INDIRECT EXPENSES","Selling Expenses"),P1245="Parts",_xlfn.IFS(I1245="SALES","GP",I1245="SERVICE SALES","GP",I1245="PARTS SALES","GP",I1245="SERVICE COS","GP",I1245="PARTS COS","GP",I1245="SELLING EXPENSES","Selling Expenses",I1245="EMPLOYMENT EXPENSES","Selling Expenses",I1245="EMPLOYMENT EXPENSES","Selling Expenses",I1245="DIRECT EXPENSES","Selling Expenses",I1245="INDIRECT EXPENSES","Selling Expenses"))</f>
        <v>#N/A</v>
      </c>
    </row>
    <row r="1246" spans="1:18" x14ac:dyDescent="0.2">
      <c r="A1246" s="75">
        <v>7454</v>
      </c>
      <c r="B1246" s="76" t="s">
        <v>934</v>
      </c>
      <c r="C1246" s="76">
        <v>430</v>
      </c>
      <c r="D1246" s="76" t="s">
        <v>458</v>
      </c>
      <c r="E1246" s="76" t="s">
        <v>426</v>
      </c>
      <c r="F1246" s="77">
        <v>400</v>
      </c>
      <c r="G1246" s="77">
        <v>0</v>
      </c>
      <c r="H1246" s="77">
        <v>400</v>
      </c>
      <c r="I1246" s="76" t="s">
        <v>925</v>
      </c>
      <c r="J1246" s="77">
        <v>0</v>
      </c>
      <c r="K1246" s="78">
        <v>0</v>
      </c>
      <c r="M1246" s="79" t="str">
        <f t="shared" si="59"/>
        <v>430-7454</v>
      </c>
      <c r="N1246" s="79" t="str">
        <f t="shared" si="57"/>
        <v/>
      </c>
      <c r="O1246" s="79" t="str">
        <f t="shared" si="58"/>
        <v>430</v>
      </c>
      <c r="P1246" s="79" t="str">
        <f>IFERROR(VLOOKUP($M1246,Export!$P:$R,2,FALSE),"-")</f>
        <v>Admin &amp; Other</v>
      </c>
      <c r="Q1246" s="79" t="str">
        <f>IFERROR(VLOOKUP($M1246,Export!$P:$R,3,FALSE),"-")</f>
        <v>Admin &amp; OtherOther Overheads as % of Total Gross Profit</v>
      </c>
      <c r="R1246" s="80" t="e" cm="1">
        <f t="array" ref="R1246">_xlfn.IFS(P1246="Service", _xlfn.IFS(I1246="SALES","GP",I1246="SERVICE SALES","GP",I1246="PARTS SALES","GP",I1246="SERVICE COS","GP",I1246="PARTS COS","GP",I1246="SELLING EXPENSES","Selling Expenses",I1246="EMPLOYMENT EXPENSES","Selling Expenses",I1246="EMPLOYMENT EXPENSES","Selling Expenses",I1246="DIRECT EXPENSES","Selling Expenses",I1246="INDIRECT EXPENSES","Selling Expenses"),P1246="Parts",_xlfn.IFS(I1246="SALES","GP",I1246="SERVICE SALES","GP",I1246="PARTS SALES","GP",I1246="SERVICE COS","GP",I1246="PARTS COS","GP",I1246="SELLING EXPENSES","Selling Expenses",I1246="EMPLOYMENT EXPENSES","Selling Expenses",I1246="EMPLOYMENT EXPENSES","Selling Expenses",I1246="DIRECT EXPENSES","Selling Expenses",I1246="INDIRECT EXPENSES","Selling Expenses"))</f>
        <v>#N/A</v>
      </c>
    </row>
    <row r="1247" spans="1:18" x14ac:dyDescent="0.2">
      <c r="A1247" s="75">
        <v>7454</v>
      </c>
      <c r="B1247" s="76" t="s">
        <v>934</v>
      </c>
      <c r="C1247" s="76">
        <v>440</v>
      </c>
      <c r="D1247" s="76" t="s">
        <v>441</v>
      </c>
      <c r="E1247" s="76" t="s">
        <v>426</v>
      </c>
      <c r="F1247" s="77">
        <v>805</v>
      </c>
      <c r="G1247" s="77">
        <v>0</v>
      </c>
      <c r="H1247" s="77">
        <v>805</v>
      </c>
      <c r="I1247" s="76" t="s">
        <v>925</v>
      </c>
      <c r="J1247" s="77">
        <v>0</v>
      </c>
      <c r="K1247" s="78">
        <v>0</v>
      </c>
      <c r="M1247" s="79" t="str">
        <f t="shared" si="59"/>
        <v>440-7454</v>
      </c>
      <c r="N1247" s="79" t="str">
        <f t="shared" si="57"/>
        <v/>
      </c>
      <c r="O1247" s="79" t="str">
        <f t="shared" si="58"/>
        <v>440</v>
      </c>
      <c r="P1247" s="79" t="str">
        <f>IFERROR(VLOOKUP($M1247,Export!$P:$R,2,FALSE),"-")</f>
        <v>Admin &amp; Other</v>
      </c>
      <c r="Q1247" s="79" t="str">
        <f>IFERROR(VLOOKUP($M1247,Export!$P:$R,3,FALSE),"-")</f>
        <v>Admin &amp; OtherOther Overheads as % of Total Gross Profit</v>
      </c>
      <c r="R1247" s="80" t="e" cm="1">
        <f t="array" ref="R1247">_xlfn.IFS(P1247="Service", _xlfn.IFS(I1247="SALES","GP",I1247="SERVICE SALES","GP",I1247="PARTS SALES","GP",I1247="SERVICE COS","GP",I1247="PARTS COS","GP",I1247="SELLING EXPENSES","Selling Expenses",I1247="EMPLOYMENT EXPENSES","Selling Expenses",I1247="EMPLOYMENT EXPENSES","Selling Expenses",I1247="DIRECT EXPENSES","Selling Expenses",I1247="INDIRECT EXPENSES","Selling Expenses"),P1247="Parts",_xlfn.IFS(I1247="SALES","GP",I1247="SERVICE SALES","GP",I1247="PARTS SALES","GP",I1247="SERVICE COS","GP",I1247="PARTS COS","GP",I1247="SELLING EXPENSES","Selling Expenses",I1247="EMPLOYMENT EXPENSES","Selling Expenses",I1247="EMPLOYMENT EXPENSES","Selling Expenses",I1247="DIRECT EXPENSES","Selling Expenses",I1247="INDIRECT EXPENSES","Selling Expenses"))</f>
        <v>#N/A</v>
      </c>
    </row>
    <row r="1248" spans="1:18" x14ac:dyDescent="0.2">
      <c r="A1248" s="75">
        <v>7454</v>
      </c>
      <c r="B1248" s="76" t="s">
        <v>934</v>
      </c>
      <c r="C1248" s="76">
        <v>935</v>
      </c>
      <c r="D1248" s="76" t="s">
        <v>442</v>
      </c>
      <c r="E1248" s="76" t="s">
        <v>426</v>
      </c>
      <c r="F1248" s="77">
        <v>0.23</v>
      </c>
      <c r="G1248" s="77">
        <v>0</v>
      </c>
      <c r="H1248" s="77">
        <v>0.23</v>
      </c>
      <c r="I1248" s="76" t="s">
        <v>925</v>
      </c>
      <c r="J1248" s="77">
        <v>100</v>
      </c>
      <c r="K1248" s="78">
        <v>1445.95</v>
      </c>
      <c r="M1248" s="79" t="str">
        <f t="shared" si="59"/>
        <v>935-7454</v>
      </c>
      <c r="N1248" s="79" t="str">
        <f t="shared" si="57"/>
        <v/>
      </c>
      <c r="O1248" s="79" t="str">
        <f t="shared" si="58"/>
        <v>935</v>
      </c>
      <c r="P1248" s="79" t="str">
        <f>IFERROR(VLOOKUP($M1248,Export!$P:$R,2,FALSE),"-")</f>
        <v>LEX Admin &amp; Other</v>
      </c>
      <c r="Q1248" s="79" t="str">
        <f>IFERROR(VLOOKUP($M1248,Export!$P:$R,3,FALSE),"-")</f>
        <v>LEX Admin &amp; OtherOther Overheads as % of Total Gross Profit</v>
      </c>
      <c r="R1248" s="80" t="e" cm="1">
        <f t="array" ref="R1248">_xlfn.IFS(P1248="Service", _xlfn.IFS(I1248="SALES","GP",I1248="SERVICE SALES","GP",I1248="PARTS SALES","GP",I1248="SERVICE COS","GP",I1248="PARTS COS","GP",I1248="SELLING EXPENSES","Selling Expenses",I1248="EMPLOYMENT EXPENSES","Selling Expenses",I1248="EMPLOYMENT EXPENSES","Selling Expenses",I1248="DIRECT EXPENSES","Selling Expenses",I1248="INDIRECT EXPENSES","Selling Expenses"),P1248="Parts",_xlfn.IFS(I1248="SALES","GP",I1248="SERVICE SALES","GP",I1248="PARTS SALES","GP",I1248="SERVICE COS","GP",I1248="PARTS COS","GP",I1248="SELLING EXPENSES","Selling Expenses",I1248="EMPLOYMENT EXPENSES","Selling Expenses",I1248="EMPLOYMENT EXPENSES","Selling Expenses",I1248="DIRECT EXPENSES","Selling Expenses",I1248="INDIRECT EXPENSES","Selling Expenses"))</f>
        <v>#N/A</v>
      </c>
    </row>
    <row r="1249" spans="1:18" x14ac:dyDescent="0.2">
      <c r="A1249" s="75">
        <v>7454</v>
      </c>
      <c r="B1249" s="76" t="s">
        <v>934</v>
      </c>
      <c r="C1249" s="76">
        <v>936</v>
      </c>
      <c r="D1249" s="76" t="s">
        <v>443</v>
      </c>
      <c r="E1249" s="76" t="s">
        <v>426</v>
      </c>
      <c r="F1249" s="77">
        <v>0.23</v>
      </c>
      <c r="G1249" s="77">
        <v>0</v>
      </c>
      <c r="H1249" s="77">
        <v>0.23</v>
      </c>
      <c r="I1249" s="76" t="s">
        <v>925</v>
      </c>
      <c r="J1249" s="77">
        <v>0</v>
      </c>
      <c r="K1249" s="78">
        <v>0</v>
      </c>
      <c r="M1249" s="79" t="str">
        <f t="shared" si="59"/>
        <v>936-7454</v>
      </c>
      <c r="N1249" s="79" t="str">
        <f t="shared" si="57"/>
        <v/>
      </c>
      <c r="O1249" s="79" t="str">
        <f t="shared" si="58"/>
        <v>936</v>
      </c>
      <c r="P1249" s="79" t="str">
        <f>IFERROR(VLOOKUP($M1249,Export!$P:$R,2,FALSE),"-")</f>
        <v>LEX Admin &amp; Other</v>
      </c>
      <c r="Q1249" s="79" t="str">
        <f>IFERROR(VLOOKUP($M1249,Export!$P:$R,3,FALSE),"-")</f>
        <v>LEX Admin &amp; OtherOther Overheads as % of Total Gross Profit</v>
      </c>
      <c r="R1249" s="80" t="e" cm="1">
        <f t="array" ref="R1249">_xlfn.IFS(P1249="Service", _xlfn.IFS(I1249="SALES","GP",I1249="SERVICE SALES","GP",I1249="PARTS SALES","GP",I1249="SERVICE COS","GP",I1249="PARTS COS","GP",I1249="SELLING EXPENSES","Selling Expenses",I1249="EMPLOYMENT EXPENSES","Selling Expenses",I1249="EMPLOYMENT EXPENSES","Selling Expenses",I1249="DIRECT EXPENSES","Selling Expenses",I1249="INDIRECT EXPENSES","Selling Expenses"),P1249="Parts",_xlfn.IFS(I1249="SALES","GP",I1249="SERVICE SALES","GP",I1249="PARTS SALES","GP",I1249="SERVICE COS","GP",I1249="PARTS COS","GP",I1249="SELLING EXPENSES","Selling Expenses",I1249="EMPLOYMENT EXPENSES","Selling Expenses",I1249="EMPLOYMENT EXPENSES","Selling Expenses",I1249="DIRECT EXPENSES","Selling Expenses",I1249="INDIRECT EXPENSES","Selling Expenses"))</f>
        <v>#N/A</v>
      </c>
    </row>
    <row r="1250" spans="1:18" x14ac:dyDescent="0.2">
      <c r="A1250" s="75">
        <v>7550</v>
      </c>
      <c r="B1250" s="76" t="s">
        <v>146</v>
      </c>
      <c r="C1250" s="76">
        <v>110</v>
      </c>
      <c r="D1250" s="76" t="s">
        <v>430</v>
      </c>
      <c r="E1250" s="76" t="s">
        <v>426</v>
      </c>
      <c r="F1250" s="77">
        <v>4454.8599999999997</v>
      </c>
      <c r="G1250" s="77">
        <v>0</v>
      </c>
      <c r="H1250" s="77">
        <v>4454.8599999999997</v>
      </c>
      <c r="I1250" s="76" t="s">
        <v>925</v>
      </c>
      <c r="J1250" s="77">
        <v>2000</v>
      </c>
      <c r="K1250" s="78">
        <v>17048.310000000001</v>
      </c>
      <c r="M1250" s="79" t="str">
        <f t="shared" si="59"/>
        <v>110-7550</v>
      </c>
      <c r="N1250" s="79" t="str">
        <f t="shared" si="57"/>
        <v/>
      </c>
      <c r="O1250" s="79" t="str">
        <f t="shared" si="58"/>
        <v>110</v>
      </c>
      <c r="P1250" s="79" t="str">
        <f>IFERROR(VLOOKUP($M1250,Export!$P:$R,2,FALSE),"-")</f>
        <v>New Vehicle</v>
      </c>
      <c r="Q1250" s="79" t="str">
        <f>IFERROR(VLOOKUP($M1250,Export!$P:$R,3,FALSE),"-")</f>
        <v>New VehicleOther Semi-Fixed Expenses p.u</v>
      </c>
      <c r="R1250" s="80" t="e" cm="1">
        <f t="array" ref="R1250">_xlfn.IFS(P1250="Service", _xlfn.IFS(I1250="SALES","GP",I1250="SERVICE SALES","GP",I1250="PARTS SALES","GP",I1250="SERVICE COS","GP",I1250="PARTS COS","GP",I1250="SELLING EXPENSES","Selling Expenses",I1250="EMPLOYMENT EXPENSES","Selling Expenses",I1250="EMPLOYMENT EXPENSES","Selling Expenses",I1250="DIRECT EXPENSES","Selling Expenses",I1250="INDIRECT EXPENSES","Selling Expenses"),P1250="Parts",_xlfn.IFS(I1250="SALES","GP",I1250="SERVICE SALES","GP",I1250="PARTS SALES","GP",I1250="SERVICE COS","GP",I1250="PARTS COS","GP",I1250="SELLING EXPENSES","Selling Expenses",I1250="EMPLOYMENT EXPENSES","Selling Expenses",I1250="EMPLOYMENT EXPENSES","Selling Expenses",I1250="DIRECT EXPENSES","Selling Expenses",I1250="INDIRECT EXPENSES","Selling Expenses"))</f>
        <v>#N/A</v>
      </c>
    </row>
    <row r="1251" spans="1:18" x14ac:dyDescent="0.2">
      <c r="A1251" s="75">
        <v>7550</v>
      </c>
      <c r="B1251" s="76" t="s">
        <v>146</v>
      </c>
      <c r="C1251" s="76">
        <v>112</v>
      </c>
      <c r="D1251" s="76" t="s">
        <v>349</v>
      </c>
      <c r="E1251" s="76" t="s">
        <v>426</v>
      </c>
      <c r="F1251" s="77">
        <v>4604.55</v>
      </c>
      <c r="G1251" s="77">
        <v>0</v>
      </c>
      <c r="H1251" s="77">
        <v>4604.55</v>
      </c>
      <c r="I1251" s="76" t="s">
        <v>925</v>
      </c>
      <c r="J1251" s="77">
        <v>100</v>
      </c>
      <c r="K1251" s="78">
        <v>1598.03</v>
      </c>
      <c r="M1251" s="79" t="str">
        <f t="shared" si="59"/>
        <v>112-7550</v>
      </c>
      <c r="N1251" s="79" t="str">
        <f t="shared" si="57"/>
        <v/>
      </c>
      <c r="O1251" s="79" t="str">
        <f t="shared" si="58"/>
        <v>112</v>
      </c>
      <c r="P1251" s="79" t="str">
        <f>IFERROR(VLOOKUP($M1251,Export!$P:$R,2,FALSE),"-")</f>
        <v>LEX New Vehicle</v>
      </c>
      <c r="Q1251" s="79" t="str">
        <f>IFERROR(VLOOKUP($M1251,Export!$P:$R,3,FALSE),"-")</f>
        <v>LEX New VehicleOther Semi-Fixed Expenses p.u</v>
      </c>
      <c r="R1251" s="80" t="e" cm="1">
        <f t="array" ref="R1251">_xlfn.IFS(P1251="Service", _xlfn.IFS(I1251="SALES","GP",I1251="SERVICE SALES","GP",I1251="PARTS SALES","GP",I1251="SERVICE COS","GP",I1251="PARTS COS","GP",I1251="SELLING EXPENSES","Selling Expenses",I1251="EMPLOYMENT EXPENSES","Selling Expenses",I1251="EMPLOYMENT EXPENSES","Selling Expenses",I1251="DIRECT EXPENSES","Selling Expenses",I1251="INDIRECT EXPENSES","Selling Expenses"),P1251="Parts",_xlfn.IFS(I1251="SALES","GP",I1251="SERVICE SALES","GP",I1251="PARTS SALES","GP",I1251="SERVICE COS","GP",I1251="PARTS COS","GP",I1251="SELLING EXPENSES","Selling Expenses",I1251="EMPLOYMENT EXPENSES","Selling Expenses",I1251="EMPLOYMENT EXPENSES","Selling Expenses",I1251="DIRECT EXPENSES","Selling Expenses",I1251="INDIRECT EXPENSES","Selling Expenses"))</f>
        <v>#N/A</v>
      </c>
    </row>
    <row r="1252" spans="1:18" x14ac:dyDescent="0.2">
      <c r="A1252" s="75">
        <v>7550</v>
      </c>
      <c r="B1252" s="76" t="s">
        <v>146</v>
      </c>
      <c r="C1252" s="76">
        <v>120</v>
      </c>
      <c r="D1252" s="76" t="s">
        <v>431</v>
      </c>
      <c r="E1252" s="76" t="s">
        <v>426</v>
      </c>
      <c r="F1252" s="77">
        <v>8044.04</v>
      </c>
      <c r="G1252" s="77">
        <v>46.96</v>
      </c>
      <c r="H1252" s="77">
        <v>8091</v>
      </c>
      <c r="I1252" s="76" t="s">
        <v>925</v>
      </c>
      <c r="J1252" s="77">
        <v>300</v>
      </c>
      <c r="K1252" s="78">
        <v>3619.31</v>
      </c>
      <c r="M1252" s="79" t="str">
        <f t="shared" si="59"/>
        <v>120-7550</v>
      </c>
      <c r="N1252" s="79" t="str">
        <f t="shared" si="57"/>
        <v/>
      </c>
      <c r="O1252" s="79" t="str">
        <f t="shared" si="58"/>
        <v>120</v>
      </c>
      <c r="P1252" s="79" t="str">
        <f>IFERROR(VLOOKUP($M1252,Export!$P:$R,2,FALSE),"-")</f>
        <v>Used Vehicle</v>
      </c>
      <c r="Q1252" s="79" t="str">
        <f>IFERROR(VLOOKUP($M1252,Export!$P:$R,3,FALSE),"-")</f>
        <v>Used VehicleOther Semi-Fixed expenses per retail</v>
      </c>
      <c r="R1252" s="80" t="e" cm="1">
        <f t="array" ref="R1252">_xlfn.IFS(P1252="Service", _xlfn.IFS(I1252="SALES","GP",I1252="SERVICE SALES","GP",I1252="PARTS SALES","GP",I1252="SERVICE COS","GP",I1252="PARTS COS","GP",I1252="SELLING EXPENSES","Selling Expenses",I1252="EMPLOYMENT EXPENSES","Selling Expenses",I1252="EMPLOYMENT EXPENSES","Selling Expenses",I1252="DIRECT EXPENSES","Selling Expenses",I1252="INDIRECT EXPENSES","Selling Expenses"),P1252="Parts",_xlfn.IFS(I1252="SALES","GP",I1252="SERVICE SALES","GP",I1252="PARTS SALES","GP",I1252="SERVICE COS","GP",I1252="PARTS COS","GP",I1252="SELLING EXPENSES","Selling Expenses",I1252="EMPLOYMENT EXPENSES","Selling Expenses",I1252="EMPLOYMENT EXPENSES","Selling Expenses",I1252="DIRECT EXPENSES","Selling Expenses",I1252="INDIRECT EXPENSES","Selling Expenses"))</f>
        <v>#N/A</v>
      </c>
    </row>
    <row r="1253" spans="1:18" x14ac:dyDescent="0.2">
      <c r="A1253" s="75">
        <v>7550</v>
      </c>
      <c r="B1253" s="76" t="s">
        <v>146</v>
      </c>
      <c r="C1253" s="76">
        <v>121</v>
      </c>
      <c r="D1253" s="76" t="s">
        <v>449</v>
      </c>
      <c r="E1253" s="76" t="s">
        <v>426</v>
      </c>
      <c r="F1253" s="77">
        <v>0</v>
      </c>
      <c r="G1253" s="77">
        <v>0</v>
      </c>
      <c r="H1253" s="77">
        <v>0</v>
      </c>
      <c r="I1253" s="76" t="s">
        <v>925</v>
      </c>
      <c r="J1253" s="77">
        <v>400</v>
      </c>
      <c r="K1253" s="78">
        <v>4238.03</v>
      </c>
      <c r="M1253" s="79" t="str">
        <f t="shared" si="59"/>
        <v>121-7550</v>
      </c>
      <c r="N1253" s="79" t="str">
        <f t="shared" si="57"/>
        <v/>
      </c>
      <c r="O1253" s="79" t="str">
        <f t="shared" si="58"/>
        <v>121</v>
      </c>
      <c r="P1253" s="79" t="str">
        <f>IFERROR(VLOOKUP($M1253,Export!$P:$R,2,FALSE),"-")</f>
        <v>Used Vehicle</v>
      </c>
      <c r="Q1253" s="79" t="str">
        <f>IFERROR(VLOOKUP($M1253,Export!$P:$R,3,FALSE),"-")</f>
        <v>Used VehicleOther Semi-Fixed expenses per retail</v>
      </c>
      <c r="R1253" s="80" t="e" cm="1">
        <f t="array" ref="R1253">_xlfn.IFS(P1253="Service", _xlfn.IFS(I1253="SALES","GP",I1253="SERVICE SALES","GP",I1253="PARTS SALES","GP",I1253="SERVICE COS","GP",I1253="PARTS COS","GP",I1253="SELLING EXPENSES","Selling Expenses",I1253="EMPLOYMENT EXPENSES","Selling Expenses",I1253="EMPLOYMENT EXPENSES","Selling Expenses",I1253="DIRECT EXPENSES","Selling Expenses",I1253="INDIRECT EXPENSES","Selling Expenses"),P1253="Parts",_xlfn.IFS(I1253="SALES","GP",I1253="SERVICE SALES","GP",I1253="PARTS SALES","GP",I1253="SERVICE COS","GP",I1253="PARTS COS","GP",I1253="SELLING EXPENSES","Selling Expenses",I1253="EMPLOYMENT EXPENSES","Selling Expenses",I1253="EMPLOYMENT EXPENSES","Selling Expenses",I1253="DIRECT EXPENSES","Selling Expenses",I1253="INDIRECT EXPENSES","Selling Expenses"))</f>
        <v>#N/A</v>
      </c>
    </row>
    <row r="1254" spans="1:18" x14ac:dyDescent="0.2">
      <c r="A1254" s="75">
        <v>7550</v>
      </c>
      <c r="B1254" s="76" t="s">
        <v>146</v>
      </c>
      <c r="C1254" s="76">
        <v>130</v>
      </c>
      <c r="D1254" s="76" t="s">
        <v>432</v>
      </c>
      <c r="E1254" s="76" t="s">
        <v>426</v>
      </c>
      <c r="F1254" s="77">
        <v>1286.3699999999999</v>
      </c>
      <c r="G1254" s="77">
        <v>0</v>
      </c>
      <c r="H1254" s="77">
        <v>1286.3699999999999</v>
      </c>
      <c r="I1254" s="76" t="s">
        <v>925</v>
      </c>
      <c r="J1254" s="77">
        <v>600</v>
      </c>
      <c r="K1254" s="78">
        <v>3925.52</v>
      </c>
      <c r="M1254" s="79" t="str">
        <f t="shared" si="59"/>
        <v>130-7550</v>
      </c>
      <c r="N1254" s="79" t="str">
        <f t="shared" si="57"/>
        <v/>
      </c>
      <c r="O1254" s="79" t="str">
        <f t="shared" si="58"/>
        <v>130</v>
      </c>
      <c r="P1254" s="79" t="str">
        <f>IFERROR(VLOOKUP($M1254,Export!$P:$R,2,FALSE),"-")</f>
        <v>Parts</v>
      </c>
      <c r="Q1254" s="79" t="str">
        <f>IFERROR(VLOOKUP($M1254,Export!$P:$R,3,FALSE),"-")</f>
        <v>PartsOther Expenses as % of Sales</v>
      </c>
      <c r="R1254" s="80" t="str" cm="1">
        <f t="array" ref="R1254">_xlfn.IFS(P1254="Service", _xlfn.IFS(I1254="SALES","GP",I1254="SERVICE SALES","GP",I1254="PARTS SALES","GP",I1254="SERVICE COS","GP",I1254="PARTS COS","GP",I1254="SELLING EXPENSES","Selling Expenses",I1254="EMPLOYMENT EXPENSES","Selling Expenses",I1254="EMPLOYMENT EXPENSES","Selling Expenses",I1254="DIRECT EXPENSES","Selling Expenses",I1254="INDIRECT EXPENSES","Selling Expenses"),P1254="Parts",_xlfn.IFS(I1254="SALES","GP",I1254="SERVICE SALES","GP",I1254="PARTS SALES","GP",I1254="SERVICE COS","GP",I1254="PARTS COS","GP",I1254="SELLING EXPENSES","Selling Expenses",I1254="EMPLOYMENT EXPENSES","Selling Expenses",I1254="EMPLOYMENT EXPENSES","Selling Expenses",I1254="DIRECT EXPENSES","Selling Expenses",I1254="INDIRECT EXPENSES","Selling Expenses"))</f>
        <v>Selling Expenses</v>
      </c>
    </row>
    <row r="1255" spans="1:18" x14ac:dyDescent="0.2">
      <c r="A1255" s="75">
        <v>7550</v>
      </c>
      <c r="B1255" s="76" t="s">
        <v>146</v>
      </c>
      <c r="C1255" s="76">
        <v>140</v>
      </c>
      <c r="D1255" s="76" t="s">
        <v>433</v>
      </c>
      <c r="E1255" s="76" t="s">
        <v>426</v>
      </c>
      <c r="F1255" s="77">
        <v>58741.64</v>
      </c>
      <c r="G1255" s="77">
        <v>-899.38</v>
      </c>
      <c r="H1255" s="77">
        <v>57842.26</v>
      </c>
      <c r="I1255" s="76" t="s">
        <v>925</v>
      </c>
      <c r="J1255" s="77">
        <v>3100</v>
      </c>
      <c r="K1255" s="78">
        <v>22730.84</v>
      </c>
      <c r="M1255" s="79" t="str">
        <f t="shared" si="59"/>
        <v>140-7550</v>
      </c>
      <c r="N1255" s="79" t="str">
        <f t="shared" si="57"/>
        <v/>
      </c>
      <c r="O1255" s="79" t="str">
        <f t="shared" si="58"/>
        <v>140</v>
      </c>
      <c r="P1255" s="79" t="str">
        <f>IFERROR(VLOOKUP($M1255,Export!$P:$R,2,FALSE),"-")</f>
        <v>Service</v>
      </c>
      <c r="Q1255" s="79" t="str">
        <f>IFERROR(VLOOKUP($M1255,Export!$P:$R,3,FALSE),"-")</f>
        <v>ServiceOther Expenses as % of Sales</v>
      </c>
      <c r="R1255" s="80" t="str" cm="1">
        <f t="array" ref="R1255">_xlfn.IFS(P1255="Service", _xlfn.IFS(I1255="SALES","GP",I1255="SERVICE SALES","GP",I1255="PARTS SALES","GP",I1255="SERVICE COS","GP",I1255="PARTS COS","GP",I1255="SELLING EXPENSES","Selling Expenses",I1255="EMPLOYMENT EXPENSES","Selling Expenses",I1255="EMPLOYMENT EXPENSES","Selling Expenses",I1255="DIRECT EXPENSES","Selling Expenses",I1255="INDIRECT EXPENSES","Selling Expenses"),P1255="Parts",_xlfn.IFS(I1255="SALES","GP",I1255="SERVICE SALES","GP",I1255="PARTS SALES","GP",I1255="SERVICE COS","GP",I1255="PARTS COS","GP",I1255="SELLING EXPENSES","Selling Expenses",I1255="EMPLOYMENT EXPENSES","Selling Expenses",I1255="EMPLOYMENT EXPENSES","Selling Expenses",I1255="DIRECT EXPENSES","Selling Expenses",I1255="INDIRECT EXPENSES","Selling Expenses"))</f>
        <v>Selling Expenses</v>
      </c>
    </row>
    <row r="1256" spans="1:18" x14ac:dyDescent="0.2">
      <c r="A1256" s="75">
        <v>7550</v>
      </c>
      <c r="B1256" s="76" t="s">
        <v>146</v>
      </c>
      <c r="C1256" s="76">
        <v>142</v>
      </c>
      <c r="D1256" s="76" t="s">
        <v>454</v>
      </c>
      <c r="E1256" s="76" t="s">
        <v>426</v>
      </c>
      <c r="F1256" s="77">
        <v>12952.15</v>
      </c>
      <c r="G1256" s="77">
        <v>308.36</v>
      </c>
      <c r="H1256" s="77">
        <v>13260.51</v>
      </c>
      <c r="I1256" s="76" t="s">
        <v>925</v>
      </c>
      <c r="J1256" s="77">
        <v>300</v>
      </c>
      <c r="K1256" s="78">
        <v>1800</v>
      </c>
      <c r="M1256" s="79" t="str">
        <f t="shared" si="59"/>
        <v>142-7550</v>
      </c>
      <c r="N1256" s="79" t="str">
        <f t="shared" si="57"/>
        <v/>
      </c>
      <c r="O1256" s="79" t="str">
        <f t="shared" si="58"/>
        <v>142</v>
      </c>
      <c r="P1256" s="79" t="str">
        <f>IFERROR(VLOOKUP($M1256,Export!$P:$R,2,FALSE),"-")</f>
        <v>Lex Service</v>
      </c>
      <c r="Q1256" s="79" t="str">
        <f>IFERROR(VLOOKUP($M1256,Export!$P:$R,3,FALSE),"-")</f>
        <v>Lex ServiceOther Expenses as % of Sales</v>
      </c>
      <c r="R1256" s="80" t="e" cm="1">
        <f t="array" ref="R1256">_xlfn.IFS(P1256="Service", _xlfn.IFS(I1256="SALES","GP",I1256="SERVICE SALES","GP",I1256="PARTS SALES","GP",I1256="SERVICE COS","GP",I1256="PARTS COS","GP",I1256="SELLING EXPENSES","Selling Expenses",I1256="EMPLOYMENT EXPENSES","Selling Expenses",I1256="EMPLOYMENT EXPENSES","Selling Expenses",I1256="DIRECT EXPENSES","Selling Expenses",I1256="INDIRECT EXPENSES","Selling Expenses"),P1256="Parts",_xlfn.IFS(I1256="SALES","GP",I1256="SERVICE SALES","GP",I1256="PARTS SALES","GP",I1256="SERVICE COS","GP",I1256="PARTS COS","GP",I1256="SELLING EXPENSES","Selling Expenses",I1256="EMPLOYMENT EXPENSES","Selling Expenses",I1256="EMPLOYMENT EXPENSES","Selling Expenses",I1256="DIRECT EXPENSES","Selling Expenses",I1256="INDIRECT EXPENSES","Selling Expenses"))</f>
        <v>#N/A</v>
      </c>
    </row>
    <row r="1257" spans="1:18" x14ac:dyDescent="0.2">
      <c r="A1257" s="75">
        <v>7550</v>
      </c>
      <c r="B1257" s="76" t="s">
        <v>146</v>
      </c>
      <c r="C1257" s="76">
        <v>147</v>
      </c>
      <c r="D1257" s="76" t="s">
        <v>699</v>
      </c>
      <c r="E1257" s="76" t="s">
        <v>426</v>
      </c>
      <c r="F1257" s="77">
        <v>3</v>
      </c>
      <c r="G1257" s="77">
        <v>0</v>
      </c>
      <c r="H1257" s="77">
        <v>3</v>
      </c>
      <c r="I1257" s="76" t="s">
        <v>925</v>
      </c>
      <c r="J1257" s="77">
        <v>700</v>
      </c>
      <c r="K1257" s="78">
        <v>4223.49</v>
      </c>
      <c r="M1257" s="79" t="str">
        <f t="shared" si="59"/>
        <v>147-7550</v>
      </c>
      <c r="N1257" s="79" t="str">
        <f t="shared" si="57"/>
        <v/>
      </c>
      <c r="O1257" s="79" t="str">
        <f t="shared" si="58"/>
        <v>147</v>
      </c>
      <c r="P1257" s="79" t="str">
        <f>IFERROR(VLOOKUP($M1257,Export!$P:$R,2,FALSE),"-")</f>
        <v>Service</v>
      </c>
      <c r="Q1257" s="79" t="str">
        <f>IFERROR(VLOOKUP($M1257,Export!$P:$R,3,FALSE),"-")</f>
        <v>ServiceOther Expenses as % of Sales</v>
      </c>
      <c r="R1257" s="80" t="str" cm="1">
        <f t="array" ref="R1257">_xlfn.IFS(P1257="Service", _xlfn.IFS(I1257="SALES","GP",I1257="SERVICE SALES","GP",I1257="PARTS SALES","GP",I1257="SERVICE COS","GP",I1257="PARTS COS","GP",I1257="SELLING EXPENSES","Selling Expenses",I1257="EMPLOYMENT EXPENSES","Selling Expenses",I1257="EMPLOYMENT EXPENSES","Selling Expenses",I1257="DIRECT EXPENSES","Selling Expenses",I1257="INDIRECT EXPENSES","Selling Expenses"),P1257="Parts",_xlfn.IFS(I1257="SALES","GP",I1257="SERVICE SALES","GP",I1257="PARTS SALES","GP",I1257="SERVICE COS","GP",I1257="PARTS COS","GP",I1257="SELLING EXPENSES","Selling Expenses",I1257="EMPLOYMENT EXPENSES","Selling Expenses",I1257="EMPLOYMENT EXPENSES","Selling Expenses",I1257="DIRECT EXPENSES","Selling Expenses",I1257="INDIRECT EXPENSES","Selling Expenses"))</f>
        <v>Selling Expenses</v>
      </c>
    </row>
    <row r="1258" spans="1:18" x14ac:dyDescent="0.2">
      <c r="A1258" s="75">
        <v>7550</v>
      </c>
      <c r="B1258" s="76" t="s">
        <v>146</v>
      </c>
      <c r="C1258" s="76">
        <v>150</v>
      </c>
      <c r="D1258" s="76" t="s">
        <v>700</v>
      </c>
      <c r="E1258" s="76" t="s">
        <v>426</v>
      </c>
      <c r="F1258" s="77">
        <v>290.39999999999998</v>
      </c>
      <c r="G1258" s="77">
        <v>0</v>
      </c>
      <c r="H1258" s="77">
        <v>290.39999999999998</v>
      </c>
      <c r="I1258" s="76" t="s">
        <v>925</v>
      </c>
      <c r="J1258" s="77">
        <v>0</v>
      </c>
      <c r="K1258" s="78">
        <v>0</v>
      </c>
      <c r="M1258" s="79" t="str">
        <f t="shared" si="59"/>
        <v>150-7550</v>
      </c>
      <c r="N1258" s="79" t="str">
        <f t="shared" si="57"/>
        <v/>
      </c>
      <c r="O1258" s="79" t="str">
        <f t="shared" si="58"/>
        <v>150</v>
      </c>
      <c r="P1258" s="79" t="str">
        <f>IFERROR(VLOOKUP($M1258,Export!$P:$R,2,FALSE),"-")</f>
        <v>Retail Detailing</v>
      </c>
      <c r="Q1258" s="79" t="str">
        <f>IFERROR(VLOOKUP($M1258,Export!$P:$R,3,FALSE),"-")</f>
        <v>Retail DetailingOther Expenses as % of Sales</v>
      </c>
      <c r="R1258" s="80" t="e" cm="1">
        <f t="array" ref="R1258">_xlfn.IFS(P1258="Service", _xlfn.IFS(I1258="SALES","GP",I1258="SERVICE SALES","GP",I1258="PARTS SALES","GP",I1258="SERVICE COS","GP",I1258="PARTS COS","GP",I1258="SELLING EXPENSES","Selling Expenses",I1258="EMPLOYMENT EXPENSES","Selling Expenses",I1258="EMPLOYMENT EXPENSES","Selling Expenses",I1258="DIRECT EXPENSES","Selling Expenses",I1258="INDIRECT EXPENSES","Selling Expenses"),P1258="Parts",_xlfn.IFS(I1258="SALES","GP",I1258="SERVICE SALES","GP",I1258="PARTS SALES","GP",I1258="SERVICE COS","GP",I1258="PARTS COS","GP",I1258="SELLING EXPENSES","Selling Expenses",I1258="EMPLOYMENT EXPENSES","Selling Expenses",I1258="EMPLOYMENT EXPENSES","Selling Expenses",I1258="DIRECT EXPENSES","Selling Expenses",I1258="INDIRECT EXPENSES","Selling Expenses"))</f>
        <v>#N/A</v>
      </c>
    </row>
    <row r="1259" spans="1:18" x14ac:dyDescent="0.2">
      <c r="A1259" s="75">
        <v>7550</v>
      </c>
      <c r="B1259" s="76" t="s">
        <v>146</v>
      </c>
      <c r="C1259" s="76">
        <v>160</v>
      </c>
      <c r="D1259" s="76" t="s">
        <v>434</v>
      </c>
      <c r="E1259" s="76" t="s">
        <v>426</v>
      </c>
      <c r="F1259" s="77">
        <v>0</v>
      </c>
      <c r="G1259" s="77">
        <v>0</v>
      </c>
      <c r="H1259" s="77">
        <v>0</v>
      </c>
      <c r="I1259" s="76" t="s">
        <v>925</v>
      </c>
      <c r="J1259" s="77">
        <v>100</v>
      </c>
      <c r="K1259" s="78">
        <v>1198.81</v>
      </c>
      <c r="M1259" s="79" t="str">
        <f t="shared" si="59"/>
        <v>160-7550</v>
      </c>
      <c r="N1259" s="79" t="str">
        <f t="shared" si="57"/>
        <v/>
      </c>
      <c r="O1259" s="79" t="str">
        <f t="shared" si="58"/>
        <v>160</v>
      </c>
      <c r="P1259" s="79" t="str">
        <f>IFERROR(VLOOKUP($M1259,Export!$P:$R,2,FALSE),"-")</f>
        <v>F&amp;I</v>
      </c>
      <c r="Q1259" s="79" t="str">
        <f>IFERROR(VLOOKUP($M1259,Export!$P:$R,3,FALSE),"-")</f>
        <v>F&amp;IOther Expenses per vehicle retailed</v>
      </c>
      <c r="R1259" s="80" t="e" cm="1">
        <f t="array" ref="R1259">_xlfn.IFS(P1259="Service", _xlfn.IFS(I1259="SALES","GP",I1259="SERVICE SALES","GP",I1259="PARTS SALES","GP",I1259="SERVICE COS","GP",I1259="PARTS COS","GP",I1259="SELLING EXPENSES","Selling Expenses",I1259="EMPLOYMENT EXPENSES","Selling Expenses",I1259="EMPLOYMENT EXPENSES","Selling Expenses",I1259="DIRECT EXPENSES","Selling Expenses",I1259="INDIRECT EXPENSES","Selling Expenses"),P1259="Parts",_xlfn.IFS(I1259="SALES","GP",I1259="SERVICE SALES","GP",I1259="PARTS SALES","GP",I1259="SERVICE COS","GP",I1259="PARTS COS","GP",I1259="SELLING EXPENSES","Selling Expenses",I1259="EMPLOYMENT EXPENSES","Selling Expenses",I1259="EMPLOYMENT EXPENSES","Selling Expenses",I1259="DIRECT EXPENSES","Selling Expenses",I1259="INDIRECT EXPENSES","Selling Expenses"))</f>
        <v>#N/A</v>
      </c>
    </row>
    <row r="1260" spans="1:18" x14ac:dyDescent="0.2">
      <c r="A1260" s="75">
        <v>7550</v>
      </c>
      <c r="B1260" s="76" t="s">
        <v>146</v>
      </c>
      <c r="C1260" s="76">
        <v>210</v>
      </c>
      <c r="D1260" s="76" t="s">
        <v>436</v>
      </c>
      <c r="E1260" s="76" t="s">
        <v>426</v>
      </c>
      <c r="F1260" s="77">
        <v>5148.03</v>
      </c>
      <c r="G1260" s="77">
        <v>0</v>
      </c>
      <c r="H1260" s="77">
        <v>5148.03</v>
      </c>
      <c r="I1260" s="76" t="s">
        <v>925</v>
      </c>
      <c r="J1260" s="77">
        <v>89.5</v>
      </c>
      <c r="K1260" s="78">
        <v>1223.51</v>
      </c>
      <c r="M1260" s="79" t="str">
        <f t="shared" si="59"/>
        <v>210-7550</v>
      </c>
      <c r="N1260" s="79" t="str">
        <f t="shared" si="57"/>
        <v/>
      </c>
      <c r="O1260" s="79" t="str">
        <f t="shared" si="58"/>
        <v>210</v>
      </c>
      <c r="P1260" s="79" t="str">
        <f>IFERROR(VLOOKUP($M1260,Export!$P:$R,2,FALSE),"-")</f>
        <v>New Vehicle</v>
      </c>
      <c r="Q1260" s="79" t="str">
        <f>IFERROR(VLOOKUP($M1260,Export!$P:$R,3,FALSE),"-")</f>
        <v>New VehicleOther Semi-Fixed Expenses p.u</v>
      </c>
      <c r="R1260" s="80" t="e" cm="1">
        <f t="array" ref="R1260">_xlfn.IFS(P1260="Service", _xlfn.IFS(I1260="SALES","GP",I1260="SERVICE SALES","GP",I1260="PARTS SALES","GP",I1260="SERVICE COS","GP",I1260="PARTS COS","GP",I1260="SELLING EXPENSES","Selling Expenses",I1260="EMPLOYMENT EXPENSES","Selling Expenses",I1260="EMPLOYMENT EXPENSES","Selling Expenses",I1260="DIRECT EXPENSES","Selling Expenses",I1260="INDIRECT EXPENSES","Selling Expenses"),P1260="Parts",_xlfn.IFS(I1260="SALES","GP",I1260="SERVICE SALES","GP",I1260="PARTS SALES","GP",I1260="SERVICE COS","GP",I1260="PARTS COS","GP",I1260="SELLING EXPENSES","Selling Expenses",I1260="EMPLOYMENT EXPENSES","Selling Expenses",I1260="EMPLOYMENT EXPENSES","Selling Expenses",I1260="DIRECT EXPENSES","Selling Expenses",I1260="INDIRECT EXPENSES","Selling Expenses"))</f>
        <v>#N/A</v>
      </c>
    </row>
    <row r="1261" spans="1:18" x14ac:dyDescent="0.2">
      <c r="A1261" s="75">
        <v>7550</v>
      </c>
      <c r="B1261" s="76" t="s">
        <v>146</v>
      </c>
      <c r="C1261" s="76">
        <v>220</v>
      </c>
      <c r="D1261" s="76" t="s">
        <v>437</v>
      </c>
      <c r="E1261" s="76" t="s">
        <v>426</v>
      </c>
      <c r="F1261" s="77">
        <v>8551.4</v>
      </c>
      <c r="G1261" s="77">
        <v>0</v>
      </c>
      <c r="H1261" s="77">
        <v>8551.4</v>
      </c>
      <c r="I1261" s="76" t="s">
        <v>925</v>
      </c>
      <c r="J1261" s="77">
        <v>0</v>
      </c>
      <c r="K1261" s="78">
        <v>440.81</v>
      </c>
      <c r="M1261" s="79" t="str">
        <f t="shared" si="59"/>
        <v>220-7550</v>
      </c>
      <c r="N1261" s="79" t="str">
        <f t="shared" si="57"/>
        <v/>
      </c>
      <c r="O1261" s="79" t="str">
        <f t="shared" si="58"/>
        <v>220</v>
      </c>
      <c r="P1261" s="79" t="str">
        <f>IFERROR(VLOOKUP($M1261,Export!$P:$R,2,FALSE),"-")</f>
        <v>Used Vehicle</v>
      </c>
      <c r="Q1261" s="79" t="str">
        <f>IFERROR(VLOOKUP($M1261,Export!$P:$R,3,FALSE),"-")</f>
        <v>Used VehicleOther Semi-Fixed expenses per retail</v>
      </c>
      <c r="R1261" s="80" t="e" cm="1">
        <f t="array" ref="R1261">_xlfn.IFS(P1261="Service", _xlfn.IFS(I1261="SALES","GP",I1261="SERVICE SALES","GP",I1261="PARTS SALES","GP",I1261="SERVICE COS","GP",I1261="PARTS COS","GP",I1261="SELLING EXPENSES","Selling Expenses",I1261="EMPLOYMENT EXPENSES","Selling Expenses",I1261="EMPLOYMENT EXPENSES","Selling Expenses",I1261="DIRECT EXPENSES","Selling Expenses",I1261="INDIRECT EXPENSES","Selling Expenses"),P1261="Parts",_xlfn.IFS(I1261="SALES","GP",I1261="SERVICE SALES","GP",I1261="PARTS SALES","GP",I1261="SERVICE COS","GP",I1261="PARTS COS","GP",I1261="SELLING EXPENSES","Selling Expenses",I1261="EMPLOYMENT EXPENSES","Selling Expenses",I1261="EMPLOYMENT EXPENSES","Selling Expenses",I1261="DIRECT EXPENSES","Selling Expenses",I1261="INDIRECT EXPENSES","Selling Expenses"))</f>
        <v>#N/A</v>
      </c>
    </row>
    <row r="1262" spans="1:18" x14ac:dyDescent="0.2">
      <c r="A1262" s="75">
        <v>7550</v>
      </c>
      <c r="B1262" s="76" t="s">
        <v>146</v>
      </c>
      <c r="C1262" s="76">
        <v>230</v>
      </c>
      <c r="D1262" s="76" t="s">
        <v>438</v>
      </c>
      <c r="E1262" s="76" t="s">
        <v>426</v>
      </c>
      <c r="F1262" s="77">
        <v>1413.47</v>
      </c>
      <c r="G1262" s="77">
        <v>0</v>
      </c>
      <c r="H1262" s="77">
        <v>1413.47</v>
      </c>
      <c r="I1262" s="76" t="s">
        <v>925</v>
      </c>
      <c r="J1262" s="77">
        <v>100</v>
      </c>
      <c r="K1262" s="78">
        <v>1155.8800000000001</v>
      </c>
      <c r="M1262" s="79" t="str">
        <f t="shared" si="59"/>
        <v>230-7550</v>
      </c>
      <c r="N1262" s="79" t="str">
        <f t="shared" si="57"/>
        <v/>
      </c>
      <c r="O1262" s="79" t="str">
        <f t="shared" si="58"/>
        <v>230</v>
      </c>
      <c r="P1262" s="79" t="str">
        <f>IFERROR(VLOOKUP($M1262,Export!$P:$R,2,FALSE),"-")</f>
        <v>Parts</v>
      </c>
      <c r="Q1262" s="79" t="str">
        <f>IFERROR(VLOOKUP($M1262,Export!$P:$R,3,FALSE),"-")</f>
        <v>PartsOther Expenses as % of Sales</v>
      </c>
      <c r="R1262" s="80" t="str" cm="1">
        <f t="array" ref="R1262">_xlfn.IFS(P1262="Service", _xlfn.IFS(I1262="SALES","GP",I1262="SERVICE SALES","GP",I1262="PARTS SALES","GP",I1262="SERVICE COS","GP",I1262="PARTS COS","GP",I1262="SELLING EXPENSES","Selling Expenses",I1262="EMPLOYMENT EXPENSES","Selling Expenses",I1262="EMPLOYMENT EXPENSES","Selling Expenses",I1262="DIRECT EXPENSES","Selling Expenses",I1262="INDIRECT EXPENSES","Selling Expenses"),P1262="Parts",_xlfn.IFS(I1262="SALES","GP",I1262="SERVICE SALES","GP",I1262="PARTS SALES","GP",I1262="SERVICE COS","GP",I1262="PARTS COS","GP",I1262="SELLING EXPENSES","Selling Expenses",I1262="EMPLOYMENT EXPENSES","Selling Expenses",I1262="EMPLOYMENT EXPENSES","Selling Expenses",I1262="DIRECT EXPENSES","Selling Expenses",I1262="INDIRECT EXPENSES","Selling Expenses"))</f>
        <v>Selling Expenses</v>
      </c>
    </row>
    <row r="1263" spans="1:18" x14ac:dyDescent="0.2">
      <c r="A1263" s="75">
        <v>7550</v>
      </c>
      <c r="B1263" s="76" t="s">
        <v>146</v>
      </c>
      <c r="C1263" s="76">
        <v>240</v>
      </c>
      <c r="D1263" s="76" t="s">
        <v>439</v>
      </c>
      <c r="E1263" s="76" t="s">
        <v>426</v>
      </c>
      <c r="F1263" s="77">
        <v>38603.17</v>
      </c>
      <c r="G1263" s="77">
        <v>1310.2</v>
      </c>
      <c r="H1263" s="77">
        <v>39913.370000000003</v>
      </c>
      <c r="I1263" s="76" t="s">
        <v>925</v>
      </c>
      <c r="J1263" s="77">
        <v>500</v>
      </c>
      <c r="K1263" s="78">
        <v>3704.64</v>
      </c>
      <c r="M1263" s="79" t="str">
        <f t="shared" si="59"/>
        <v>240-7550</v>
      </c>
      <c r="N1263" s="79" t="str">
        <f t="shared" si="57"/>
        <v/>
      </c>
      <c r="O1263" s="79" t="str">
        <f t="shared" si="58"/>
        <v>240</v>
      </c>
      <c r="P1263" s="79" t="str">
        <f>IFERROR(VLOOKUP($M1263,Export!$P:$R,2,FALSE),"-")</f>
        <v>Service</v>
      </c>
      <c r="Q1263" s="79" t="str">
        <f>IFERROR(VLOOKUP($M1263,Export!$P:$R,3,FALSE),"-")</f>
        <v>ServiceOther Expenses as % of Sales</v>
      </c>
      <c r="R1263" s="80" t="str" cm="1">
        <f t="array" ref="R1263">_xlfn.IFS(P1263="Service", _xlfn.IFS(I1263="SALES","GP",I1263="SERVICE SALES","GP",I1263="PARTS SALES","GP",I1263="SERVICE COS","GP",I1263="PARTS COS","GP",I1263="SELLING EXPENSES","Selling Expenses",I1263="EMPLOYMENT EXPENSES","Selling Expenses",I1263="EMPLOYMENT EXPENSES","Selling Expenses",I1263="DIRECT EXPENSES","Selling Expenses",I1263="INDIRECT EXPENSES","Selling Expenses"),P1263="Parts",_xlfn.IFS(I1263="SALES","GP",I1263="SERVICE SALES","GP",I1263="PARTS SALES","GP",I1263="SERVICE COS","GP",I1263="PARTS COS","GP",I1263="SELLING EXPENSES","Selling Expenses",I1263="EMPLOYMENT EXPENSES","Selling Expenses",I1263="EMPLOYMENT EXPENSES","Selling Expenses",I1263="DIRECT EXPENSES","Selling Expenses",I1263="INDIRECT EXPENSES","Selling Expenses"))</f>
        <v>Selling Expenses</v>
      </c>
    </row>
    <row r="1264" spans="1:18" x14ac:dyDescent="0.2">
      <c r="A1264" s="75">
        <v>7550</v>
      </c>
      <c r="B1264" s="76" t="s">
        <v>146</v>
      </c>
      <c r="C1264" s="76">
        <v>260</v>
      </c>
      <c r="D1264" s="76" t="s">
        <v>456</v>
      </c>
      <c r="E1264" s="76" t="s">
        <v>426</v>
      </c>
      <c r="F1264" s="77">
        <v>1000</v>
      </c>
      <c r="G1264" s="77">
        <v>0</v>
      </c>
      <c r="H1264" s="77">
        <v>1000</v>
      </c>
      <c r="I1264" s="76" t="s">
        <v>925</v>
      </c>
      <c r="J1264" s="77">
        <v>0</v>
      </c>
      <c r="K1264" s="78">
        <v>0</v>
      </c>
      <c r="M1264" s="79" t="str">
        <f t="shared" si="59"/>
        <v>260-7550</v>
      </c>
      <c r="N1264" s="79" t="str">
        <f t="shared" si="57"/>
        <v/>
      </c>
      <c r="O1264" s="79" t="str">
        <f t="shared" si="58"/>
        <v>260</v>
      </c>
      <c r="P1264" s="79" t="str">
        <f>IFERROR(VLOOKUP($M1264,Export!$P:$R,2,FALSE),"-")</f>
        <v>F&amp;I</v>
      </c>
      <c r="Q1264" s="79" t="str">
        <f>IFERROR(VLOOKUP($M1264,Export!$P:$R,3,FALSE),"-")</f>
        <v>F&amp;IOther Expenses per vehicle retailed</v>
      </c>
      <c r="R1264" s="80" t="e" cm="1">
        <f t="array" ref="R1264">_xlfn.IFS(P1264="Service", _xlfn.IFS(I1264="SALES","GP",I1264="SERVICE SALES","GP",I1264="PARTS SALES","GP",I1264="SERVICE COS","GP",I1264="PARTS COS","GP",I1264="SELLING EXPENSES","Selling Expenses",I1264="EMPLOYMENT EXPENSES","Selling Expenses",I1264="EMPLOYMENT EXPENSES","Selling Expenses",I1264="DIRECT EXPENSES","Selling Expenses",I1264="INDIRECT EXPENSES","Selling Expenses"),P1264="Parts",_xlfn.IFS(I1264="SALES","GP",I1264="SERVICE SALES","GP",I1264="PARTS SALES","GP",I1264="SERVICE COS","GP",I1264="PARTS COS","GP",I1264="SELLING EXPENSES","Selling Expenses",I1264="EMPLOYMENT EXPENSES","Selling Expenses",I1264="EMPLOYMENT EXPENSES","Selling Expenses",I1264="DIRECT EXPENSES","Selling Expenses",I1264="INDIRECT EXPENSES","Selling Expenses"))</f>
        <v>#N/A</v>
      </c>
    </row>
    <row r="1265" spans="1:18" x14ac:dyDescent="0.2">
      <c r="A1265" s="75">
        <v>7550</v>
      </c>
      <c r="B1265" s="76" t="s">
        <v>146</v>
      </c>
      <c r="C1265" s="76">
        <v>330</v>
      </c>
      <c r="D1265" s="76" t="s">
        <v>457</v>
      </c>
      <c r="E1265" s="76" t="s">
        <v>426</v>
      </c>
      <c r="F1265" s="77">
        <v>381.75</v>
      </c>
      <c r="G1265" s="77">
        <v>0</v>
      </c>
      <c r="H1265" s="77">
        <v>381.75</v>
      </c>
      <c r="I1265" s="76" t="s">
        <v>925</v>
      </c>
      <c r="J1265" s="77">
        <v>0</v>
      </c>
      <c r="K1265" s="78">
        <v>0</v>
      </c>
      <c r="M1265" s="79" t="str">
        <f t="shared" si="59"/>
        <v>330-7550</v>
      </c>
      <c r="N1265" s="79" t="str">
        <f t="shared" si="57"/>
        <v/>
      </c>
      <c r="O1265" s="79" t="str">
        <f t="shared" si="58"/>
        <v>330</v>
      </c>
      <c r="P1265" s="79" t="str">
        <f>IFERROR(VLOOKUP($M1265,Export!$P:$R,2,FALSE),"-")</f>
        <v>Parts</v>
      </c>
      <c r="Q1265" s="79" t="str">
        <f>IFERROR(VLOOKUP($M1265,Export!$P:$R,3,FALSE),"-")</f>
        <v>PartsOther Expenses as % of Sales</v>
      </c>
      <c r="R1265" s="80" t="str" cm="1">
        <f t="array" ref="R1265">_xlfn.IFS(P1265="Service", _xlfn.IFS(I1265="SALES","GP",I1265="SERVICE SALES","GP",I1265="PARTS SALES","GP",I1265="SERVICE COS","GP",I1265="PARTS COS","GP",I1265="SELLING EXPENSES","Selling Expenses",I1265="EMPLOYMENT EXPENSES","Selling Expenses",I1265="EMPLOYMENT EXPENSES","Selling Expenses",I1265="DIRECT EXPENSES","Selling Expenses",I1265="INDIRECT EXPENSES","Selling Expenses"),P1265="Parts",_xlfn.IFS(I1265="SALES","GP",I1265="SERVICE SALES","GP",I1265="PARTS SALES","GP",I1265="SERVICE COS","GP",I1265="PARTS COS","GP",I1265="SELLING EXPENSES","Selling Expenses",I1265="EMPLOYMENT EXPENSES","Selling Expenses",I1265="EMPLOYMENT EXPENSES","Selling Expenses",I1265="DIRECT EXPENSES","Selling Expenses",I1265="INDIRECT EXPENSES","Selling Expenses"))</f>
        <v>Selling Expenses</v>
      </c>
    </row>
    <row r="1266" spans="1:18" x14ac:dyDescent="0.2">
      <c r="A1266" s="75">
        <v>7550</v>
      </c>
      <c r="B1266" s="76" t="s">
        <v>146</v>
      </c>
      <c r="C1266" s="76">
        <v>340</v>
      </c>
      <c r="D1266" s="76" t="s">
        <v>440</v>
      </c>
      <c r="E1266" s="76" t="s">
        <v>426</v>
      </c>
      <c r="F1266" s="77">
        <v>41696.85</v>
      </c>
      <c r="G1266" s="77">
        <v>2809.06</v>
      </c>
      <c r="H1266" s="77">
        <v>44505.91</v>
      </c>
      <c r="I1266" s="76" t="s">
        <v>925</v>
      </c>
      <c r="J1266" s="77">
        <v>100</v>
      </c>
      <c r="K1266" s="78">
        <v>11408.02</v>
      </c>
      <c r="M1266" s="79" t="str">
        <f t="shared" si="59"/>
        <v>340-7550</v>
      </c>
      <c r="N1266" s="79" t="str">
        <f t="shared" si="57"/>
        <v/>
      </c>
      <c r="O1266" s="79" t="str">
        <f t="shared" si="58"/>
        <v>340</v>
      </c>
      <c r="P1266" s="79" t="str">
        <f>IFERROR(VLOOKUP($M1266,Export!$P:$R,2,FALSE),"-")</f>
        <v>Service</v>
      </c>
      <c r="Q1266" s="79" t="str">
        <f>IFERROR(VLOOKUP($M1266,Export!$P:$R,3,FALSE),"-")</f>
        <v>ServiceOther Expenses as % of Sales</v>
      </c>
      <c r="R1266" s="80" t="str" cm="1">
        <f t="array" ref="R1266">_xlfn.IFS(P1266="Service", _xlfn.IFS(I1266="SALES","GP",I1266="SERVICE SALES","GP",I1266="PARTS SALES","GP",I1266="SERVICE COS","GP",I1266="PARTS COS","GP",I1266="SELLING EXPENSES","Selling Expenses",I1266="EMPLOYMENT EXPENSES","Selling Expenses",I1266="EMPLOYMENT EXPENSES","Selling Expenses",I1266="DIRECT EXPENSES","Selling Expenses",I1266="INDIRECT EXPENSES","Selling Expenses"),P1266="Parts",_xlfn.IFS(I1266="SALES","GP",I1266="SERVICE SALES","GP",I1266="PARTS SALES","GP",I1266="SERVICE COS","GP",I1266="PARTS COS","GP",I1266="SELLING EXPENSES","Selling Expenses",I1266="EMPLOYMENT EXPENSES","Selling Expenses",I1266="EMPLOYMENT EXPENSES","Selling Expenses",I1266="DIRECT EXPENSES","Selling Expenses",I1266="INDIRECT EXPENSES","Selling Expenses"))</f>
        <v>Selling Expenses</v>
      </c>
    </row>
    <row r="1267" spans="1:18" x14ac:dyDescent="0.2">
      <c r="A1267" s="75">
        <v>7550</v>
      </c>
      <c r="B1267" s="76" t="s">
        <v>146</v>
      </c>
      <c r="C1267" s="76">
        <v>430</v>
      </c>
      <c r="D1267" s="76" t="s">
        <v>458</v>
      </c>
      <c r="E1267" s="76" t="s">
        <v>426</v>
      </c>
      <c r="F1267" s="77">
        <v>527.1</v>
      </c>
      <c r="G1267" s="77">
        <v>0</v>
      </c>
      <c r="H1267" s="77">
        <v>527.1</v>
      </c>
      <c r="I1267" s="76" t="s">
        <v>925</v>
      </c>
      <c r="J1267" s="77">
        <v>0</v>
      </c>
      <c r="K1267" s="78">
        <v>0</v>
      </c>
      <c r="M1267" s="79" t="str">
        <f t="shared" si="59"/>
        <v>430-7550</v>
      </c>
      <c r="N1267" s="79" t="str">
        <f t="shared" si="57"/>
        <v/>
      </c>
      <c r="O1267" s="79" t="str">
        <f t="shared" si="58"/>
        <v>430</v>
      </c>
      <c r="P1267" s="79" t="str">
        <f>IFERROR(VLOOKUP($M1267,Export!$P:$R,2,FALSE),"-")</f>
        <v>Parts</v>
      </c>
      <c r="Q1267" s="79" t="str">
        <f>IFERROR(VLOOKUP($M1267,Export!$P:$R,3,FALSE),"-")</f>
        <v>PartsOther Expenses as % of Sales</v>
      </c>
      <c r="R1267" s="80" t="str" cm="1">
        <f t="array" ref="R1267">_xlfn.IFS(P1267="Service", _xlfn.IFS(I1267="SALES","GP",I1267="SERVICE SALES","GP",I1267="PARTS SALES","GP",I1267="SERVICE COS","GP",I1267="PARTS COS","GP",I1267="SELLING EXPENSES","Selling Expenses",I1267="EMPLOYMENT EXPENSES","Selling Expenses",I1267="EMPLOYMENT EXPENSES","Selling Expenses",I1267="DIRECT EXPENSES","Selling Expenses",I1267="INDIRECT EXPENSES","Selling Expenses"),P1267="Parts",_xlfn.IFS(I1267="SALES","GP",I1267="SERVICE SALES","GP",I1267="PARTS SALES","GP",I1267="SERVICE COS","GP",I1267="PARTS COS","GP",I1267="SELLING EXPENSES","Selling Expenses",I1267="EMPLOYMENT EXPENSES","Selling Expenses",I1267="EMPLOYMENT EXPENSES","Selling Expenses",I1267="DIRECT EXPENSES","Selling Expenses",I1267="INDIRECT EXPENSES","Selling Expenses"))</f>
        <v>Selling Expenses</v>
      </c>
    </row>
    <row r="1268" spans="1:18" x14ac:dyDescent="0.2">
      <c r="A1268" s="75">
        <v>7550</v>
      </c>
      <c r="B1268" s="76" t="s">
        <v>146</v>
      </c>
      <c r="C1268" s="76">
        <v>440</v>
      </c>
      <c r="D1268" s="76" t="s">
        <v>441</v>
      </c>
      <c r="E1268" s="76" t="s">
        <v>426</v>
      </c>
      <c r="F1268" s="77">
        <v>13335.74</v>
      </c>
      <c r="G1268" s="77">
        <v>456.99</v>
      </c>
      <c r="H1268" s="77">
        <v>13792.73</v>
      </c>
      <c r="I1268" s="76" t="s">
        <v>925</v>
      </c>
      <c r="J1268" s="77">
        <v>541.84</v>
      </c>
      <c r="K1268" s="78">
        <v>4137.8999999999996</v>
      </c>
      <c r="M1268" s="79" t="str">
        <f t="shared" si="59"/>
        <v>440-7550</v>
      </c>
      <c r="N1268" s="79" t="str">
        <f t="shared" si="57"/>
        <v/>
      </c>
      <c r="O1268" s="79" t="str">
        <f t="shared" si="58"/>
        <v>440</v>
      </c>
      <c r="P1268" s="79" t="str">
        <f>IFERROR(VLOOKUP($M1268,Export!$P:$R,2,FALSE),"-")</f>
        <v>Service</v>
      </c>
      <c r="Q1268" s="79" t="str">
        <f>IFERROR(VLOOKUP($M1268,Export!$P:$R,3,FALSE),"-")</f>
        <v>ServiceOther Expenses as % of Sales</v>
      </c>
      <c r="R1268" s="80" t="str" cm="1">
        <f t="array" ref="R1268">_xlfn.IFS(P1268="Service", _xlfn.IFS(I1268="SALES","GP",I1268="SERVICE SALES","GP",I1268="PARTS SALES","GP",I1268="SERVICE COS","GP",I1268="PARTS COS","GP",I1268="SELLING EXPENSES","Selling Expenses",I1268="EMPLOYMENT EXPENSES","Selling Expenses",I1268="EMPLOYMENT EXPENSES","Selling Expenses",I1268="DIRECT EXPENSES","Selling Expenses",I1268="INDIRECT EXPENSES","Selling Expenses"),P1268="Parts",_xlfn.IFS(I1268="SALES","GP",I1268="SERVICE SALES","GP",I1268="PARTS SALES","GP",I1268="SERVICE COS","GP",I1268="PARTS COS","GP",I1268="SELLING EXPENSES","Selling Expenses",I1268="EMPLOYMENT EXPENSES","Selling Expenses",I1268="EMPLOYMENT EXPENSES","Selling Expenses",I1268="DIRECT EXPENSES","Selling Expenses",I1268="INDIRECT EXPENSES","Selling Expenses"))</f>
        <v>Selling Expenses</v>
      </c>
    </row>
    <row r="1269" spans="1:18" x14ac:dyDescent="0.2">
      <c r="A1269" s="75">
        <v>7550</v>
      </c>
      <c r="B1269" s="76" t="s">
        <v>146</v>
      </c>
      <c r="C1269" s="76">
        <v>935</v>
      </c>
      <c r="D1269" s="76" t="s">
        <v>442</v>
      </c>
      <c r="E1269" s="76" t="s">
        <v>426</v>
      </c>
      <c r="F1269" s="77">
        <v>0</v>
      </c>
      <c r="G1269" s="77">
        <v>0</v>
      </c>
      <c r="H1269" s="77">
        <v>0</v>
      </c>
      <c r="I1269" s="76" t="s">
        <v>925</v>
      </c>
      <c r="J1269" s="77">
        <v>800</v>
      </c>
      <c r="K1269" s="78">
        <v>8046.05</v>
      </c>
      <c r="M1269" s="79" t="str">
        <f t="shared" si="59"/>
        <v>935-7550</v>
      </c>
      <c r="N1269" s="79" t="str">
        <f t="shared" si="57"/>
        <v/>
      </c>
      <c r="O1269" s="79" t="str">
        <f t="shared" si="58"/>
        <v>935</v>
      </c>
      <c r="P1269" s="79" t="str">
        <f>IFERROR(VLOOKUP($M1269,Export!$P:$R,2,FALSE),"-")</f>
        <v>Bridgestone</v>
      </c>
      <c r="Q1269" s="79" t="str">
        <f>IFERROR(VLOOKUP($M1269,Export!$P:$R,3,FALSE),"-")</f>
        <v>BridgestoneOther Expenses as % of Sales</v>
      </c>
      <c r="R1269" s="80" t="e" cm="1">
        <f t="array" ref="R1269">_xlfn.IFS(P1269="Service", _xlfn.IFS(I1269="SALES","GP",I1269="SERVICE SALES","GP",I1269="PARTS SALES","GP",I1269="SERVICE COS","GP",I1269="PARTS COS","GP",I1269="SELLING EXPENSES","Selling Expenses",I1269="EMPLOYMENT EXPENSES","Selling Expenses",I1269="EMPLOYMENT EXPENSES","Selling Expenses",I1269="DIRECT EXPENSES","Selling Expenses",I1269="INDIRECT EXPENSES","Selling Expenses"),P1269="Parts",_xlfn.IFS(I1269="SALES","GP",I1269="SERVICE SALES","GP",I1269="PARTS SALES","GP",I1269="SERVICE COS","GP",I1269="PARTS COS","GP",I1269="SELLING EXPENSES","Selling Expenses",I1269="EMPLOYMENT EXPENSES","Selling Expenses",I1269="EMPLOYMENT EXPENSES","Selling Expenses",I1269="DIRECT EXPENSES","Selling Expenses",I1269="INDIRECT EXPENSES","Selling Expenses"))</f>
        <v>#N/A</v>
      </c>
    </row>
    <row r="1270" spans="1:18" x14ac:dyDescent="0.2">
      <c r="A1270" s="75">
        <v>7550</v>
      </c>
      <c r="B1270" s="76" t="s">
        <v>146</v>
      </c>
      <c r="C1270" s="76">
        <v>936</v>
      </c>
      <c r="D1270" s="76" t="s">
        <v>443</v>
      </c>
      <c r="E1270" s="76" t="s">
        <v>426</v>
      </c>
      <c r="F1270" s="77">
        <v>286.91000000000003</v>
      </c>
      <c r="G1270" s="77">
        <v>0</v>
      </c>
      <c r="H1270" s="77">
        <v>286.91000000000003</v>
      </c>
      <c r="I1270" s="76" t="s">
        <v>925</v>
      </c>
      <c r="J1270" s="77">
        <v>0</v>
      </c>
      <c r="K1270" s="78">
        <v>136.44</v>
      </c>
      <c r="M1270" s="79" t="str">
        <f t="shared" si="59"/>
        <v>936-7550</v>
      </c>
      <c r="N1270" s="79" t="str">
        <f t="shared" si="57"/>
        <v/>
      </c>
      <c r="O1270" s="79" t="str">
        <f t="shared" si="58"/>
        <v>936</v>
      </c>
      <c r="P1270" s="79" t="str">
        <f>IFERROR(VLOOKUP($M1270,Export!$P:$R,2,FALSE),"-")</f>
        <v>Bridgestone</v>
      </c>
      <c r="Q1270" s="79" t="str">
        <f>IFERROR(VLOOKUP($M1270,Export!$P:$R,3,FALSE),"-")</f>
        <v>BridgestoneOther Expenses as % of Sales</v>
      </c>
      <c r="R1270" s="80" t="e" cm="1">
        <f t="array" ref="R1270">_xlfn.IFS(P1270="Service", _xlfn.IFS(I1270="SALES","GP",I1270="SERVICE SALES","GP",I1270="PARTS SALES","GP",I1270="SERVICE COS","GP",I1270="PARTS COS","GP",I1270="SELLING EXPENSES","Selling Expenses",I1270="EMPLOYMENT EXPENSES","Selling Expenses",I1270="EMPLOYMENT EXPENSES","Selling Expenses",I1270="DIRECT EXPENSES","Selling Expenses",I1270="INDIRECT EXPENSES","Selling Expenses"),P1270="Parts",_xlfn.IFS(I1270="SALES","GP",I1270="SERVICE SALES","GP",I1270="PARTS SALES","GP",I1270="SERVICE COS","GP",I1270="PARTS COS","GP",I1270="SELLING EXPENSES","Selling Expenses",I1270="EMPLOYMENT EXPENSES","Selling Expenses",I1270="EMPLOYMENT EXPENSES","Selling Expenses",I1270="DIRECT EXPENSES","Selling Expenses",I1270="INDIRECT EXPENSES","Selling Expenses"))</f>
        <v>#N/A</v>
      </c>
    </row>
    <row r="1271" spans="1:18" x14ac:dyDescent="0.2">
      <c r="A1271" s="75">
        <v>7160</v>
      </c>
      <c r="B1271" s="76" t="s">
        <v>935</v>
      </c>
      <c r="C1271" s="76">
        <v>140</v>
      </c>
      <c r="D1271" s="76" t="s">
        <v>433</v>
      </c>
      <c r="E1271" s="76" t="s">
        <v>426</v>
      </c>
      <c r="F1271" s="77">
        <v>0</v>
      </c>
      <c r="G1271" s="77">
        <v>0</v>
      </c>
      <c r="H1271" s="77">
        <v>0</v>
      </c>
      <c r="I1271" s="76" t="s">
        <v>936</v>
      </c>
      <c r="J1271" s="77">
        <v>0</v>
      </c>
      <c r="K1271" s="78">
        <v>49815.94</v>
      </c>
      <c r="M1271" s="79" t="str">
        <f t="shared" si="59"/>
        <v>140-7160</v>
      </c>
      <c r="N1271" s="79" t="str">
        <f t="shared" si="57"/>
        <v/>
      </c>
      <c r="O1271" s="79" t="str">
        <f t="shared" si="58"/>
        <v>140</v>
      </c>
      <c r="P1271" s="79" t="str">
        <f>IFERROR(VLOOKUP($M1271,Export!$P:$R,2,FALSE),"-")</f>
        <v>Admin &amp; Other</v>
      </c>
      <c r="Q1271" s="79" t="str">
        <f>IFERROR(VLOOKUP($M1271,Export!$P:$R,3,FALSE),"-")</f>
        <v>Admin &amp; OtherOther Overheads as % of Total Gross Profit</v>
      </c>
      <c r="R1271" s="80" t="e" cm="1">
        <f t="array" ref="R1271">_xlfn.IFS(P1271="Service", _xlfn.IFS(I1271="SALES","GP",I1271="SERVICE SALES","GP",I1271="PARTS SALES","GP",I1271="SERVICE COS","GP",I1271="PARTS COS","GP",I1271="SELLING EXPENSES","Selling Expenses",I1271="EMPLOYMENT EXPENSES","Selling Expenses",I1271="EMPLOYMENT EXPENSES","Selling Expenses",I1271="DIRECT EXPENSES","Selling Expenses",I1271="INDIRECT EXPENSES","Selling Expenses"),P1271="Parts",_xlfn.IFS(I1271="SALES","GP",I1271="SERVICE SALES","GP",I1271="PARTS SALES","GP",I1271="SERVICE COS","GP",I1271="PARTS COS","GP",I1271="SELLING EXPENSES","Selling Expenses",I1271="EMPLOYMENT EXPENSES","Selling Expenses",I1271="EMPLOYMENT EXPENSES","Selling Expenses",I1271="DIRECT EXPENSES","Selling Expenses",I1271="INDIRECT EXPENSES","Selling Expenses"))</f>
        <v>#N/A</v>
      </c>
    </row>
    <row r="1272" spans="1:18" x14ac:dyDescent="0.2">
      <c r="A1272" s="75">
        <v>7160</v>
      </c>
      <c r="B1272" s="76" t="s">
        <v>935</v>
      </c>
      <c r="C1272" s="76">
        <v>147</v>
      </c>
      <c r="D1272" s="76" t="s">
        <v>699</v>
      </c>
      <c r="E1272" s="76" t="s">
        <v>426</v>
      </c>
      <c r="F1272" s="77">
        <v>0</v>
      </c>
      <c r="G1272" s="77">
        <v>0</v>
      </c>
      <c r="H1272" s="77">
        <v>0</v>
      </c>
      <c r="I1272" s="76" t="s">
        <v>936</v>
      </c>
      <c r="J1272" s="77">
        <v>0</v>
      </c>
      <c r="K1272" s="78">
        <v>2327.5500000000002</v>
      </c>
      <c r="M1272" s="79" t="str">
        <f t="shared" si="59"/>
        <v>147-7160</v>
      </c>
      <c r="N1272" s="79" t="str">
        <f t="shared" si="57"/>
        <v/>
      </c>
      <c r="O1272" s="79" t="str">
        <f t="shared" si="58"/>
        <v>147</v>
      </c>
      <c r="P1272" s="79" t="str">
        <f>IFERROR(VLOOKUP($M1272,Export!$P:$R,2,FALSE),"-")</f>
        <v>Admin &amp; Other</v>
      </c>
      <c r="Q1272" s="79" t="str">
        <f>IFERROR(VLOOKUP($M1272,Export!$P:$R,3,FALSE),"-")</f>
        <v>Admin &amp; OtherOther Overheads as % of Total Gross Profit</v>
      </c>
      <c r="R1272" s="80" t="e" cm="1">
        <f t="array" ref="R1272">_xlfn.IFS(P1272="Service", _xlfn.IFS(I1272="SALES","GP",I1272="SERVICE SALES","GP",I1272="PARTS SALES","GP",I1272="SERVICE COS","GP",I1272="PARTS COS","GP",I1272="SELLING EXPENSES","Selling Expenses",I1272="EMPLOYMENT EXPENSES","Selling Expenses",I1272="EMPLOYMENT EXPENSES","Selling Expenses",I1272="DIRECT EXPENSES","Selling Expenses",I1272="INDIRECT EXPENSES","Selling Expenses"),P1272="Parts",_xlfn.IFS(I1272="SALES","GP",I1272="SERVICE SALES","GP",I1272="PARTS SALES","GP",I1272="SERVICE COS","GP",I1272="PARTS COS","GP",I1272="SELLING EXPENSES","Selling Expenses",I1272="EMPLOYMENT EXPENSES","Selling Expenses",I1272="EMPLOYMENT EXPENSES","Selling Expenses",I1272="DIRECT EXPENSES","Selling Expenses",I1272="INDIRECT EXPENSES","Selling Expenses"))</f>
        <v>#N/A</v>
      </c>
    </row>
    <row r="1273" spans="1:18" x14ac:dyDescent="0.2">
      <c r="A1273" s="75">
        <v>7160</v>
      </c>
      <c r="B1273" s="76" t="s">
        <v>935</v>
      </c>
      <c r="C1273" s="76">
        <v>240</v>
      </c>
      <c r="D1273" s="76" t="s">
        <v>439</v>
      </c>
      <c r="E1273" s="76" t="s">
        <v>426</v>
      </c>
      <c r="F1273" s="77">
        <v>0</v>
      </c>
      <c r="G1273" s="77">
        <v>0</v>
      </c>
      <c r="H1273" s="77">
        <v>0</v>
      </c>
      <c r="I1273" s="76" t="s">
        <v>936</v>
      </c>
      <c r="J1273" s="77">
        <v>0</v>
      </c>
      <c r="K1273" s="78">
        <v>-38884.620000000003</v>
      </c>
      <c r="M1273" s="79" t="str">
        <f t="shared" si="59"/>
        <v>240-7160</v>
      </c>
      <c r="N1273" s="79" t="str">
        <f t="shared" si="57"/>
        <v/>
      </c>
      <c r="O1273" s="79" t="str">
        <f t="shared" si="58"/>
        <v>240</v>
      </c>
      <c r="P1273" s="79" t="str">
        <f>IFERROR(VLOOKUP($M1273,Export!$P:$R,2,FALSE),"-")</f>
        <v>Admin &amp; Other</v>
      </c>
      <c r="Q1273" s="79" t="str">
        <f>IFERROR(VLOOKUP($M1273,Export!$P:$R,3,FALSE),"-")</f>
        <v>Admin &amp; OtherOther Overheads as % of Total Gross Profit</v>
      </c>
      <c r="R1273" s="80" t="e" cm="1">
        <f t="array" ref="R1273">_xlfn.IFS(P1273="Service", _xlfn.IFS(I1273="SALES","GP",I1273="SERVICE SALES","GP",I1273="PARTS SALES","GP",I1273="SERVICE COS","GP",I1273="PARTS COS","GP",I1273="SELLING EXPENSES","Selling Expenses",I1273="EMPLOYMENT EXPENSES","Selling Expenses",I1273="EMPLOYMENT EXPENSES","Selling Expenses",I1273="DIRECT EXPENSES","Selling Expenses",I1273="INDIRECT EXPENSES","Selling Expenses"),P1273="Parts",_xlfn.IFS(I1273="SALES","GP",I1273="SERVICE SALES","GP",I1273="PARTS SALES","GP",I1273="SERVICE COS","GP",I1273="PARTS COS","GP",I1273="SELLING EXPENSES","Selling Expenses",I1273="EMPLOYMENT EXPENSES","Selling Expenses",I1273="EMPLOYMENT EXPENSES","Selling Expenses",I1273="DIRECT EXPENSES","Selling Expenses",I1273="INDIRECT EXPENSES","Selling Expenses"))</f>
        <v>#N/A</v>
      </c>
    </row>
    <row r="1274" spans="1:18" x14ac:dyDescent="0.2">
      <c r="A1274" s="75">
        <v>7160</v>
      </c>
      <c r="B1274" s="76" t="s">
        <v>935</v>
      </c>
      <c r="C1274" s="76">
        <v>340</v>
      </c>
      <c r="D1274" s="76" t="s">
        <v>440</v>
      </c>
      <c r="E1274" s="76" t="s">
        <v>426</v>
      </c>
      <c r="F1274" s="77">
        <v>0</v>
      </c>
      <c r="G1274" s="77">
        <v>0</v>
      </c>
      <c r="H1274" s="77">
        <v>0</v>
      </c>
      <c r="I1274" s="76" t="s">
        <v>936</v>
      </c>
      <c r="J1274" s="77">
        <v>0</v>
      </c>
      <c r="K1274" s="78">
        <v>43104.74</v>
      </c>
      <c r="M1274" s="79" t="str">
        <f t="shared" si="59"/>
        <v>340-7160</v>
      </c>
      <c r="N1274" s="79" t="str">
        <f t="shared" si="57"/>
        <v/>
      </c>
      <c r="O1274" s="79" t="str">
        <f t="shared" si="58"/>
        <v>340</v>
      </c>
      <c r="P1274" s="79" t="str">
        <f>IFERROR(VLOOKUP($M1274,Export!$P:$R,2,FALSE),"-")</f>
        <v>Admin &amp; Other</v>
      </c>
      <c r="Q1274" s="79" t="str">
        <f>IFERROR(VLOOKUP($M1274,Export!$P:$R,3,FALSE),"-")</f>
        <v>Admin &amp; OtherOther Overheads as % of Total Gross Profit</v>
      </c>
      <c r="R1274" s="80" t="e" cm="1">
        <f t="array" ref="R1274">_xlfn.IFS(P1274="Service", _xlfn.IFS(I1274="SALES","GP",I1274="SERVICE SALES","GP",I1274="PARTS SALES","GP",I1274="SERVICE COS","GP",I1274="PARTS COS","GP",I1274="SELLING EXPENSES","Selling Expenses",I1274="EMPLOYMENT EXPENSES","Selling Expenses",I1274="EMPLOYMENT EXPENSES","Selling Expenses",I1274="DIRECT EXPENSES","Selling Expenses",I1274="INDIRECT EXPENSES","Selling Expenses"),P1274="Parts",_xlfn.IFS(I1274="SALES","GP",I1274="SERVICE SALES","GP",I1274="PARTS SALES","GP",I1274="SERVICE COS","GP",I1274="PARTS COS","GP",I1274="SELLING EXPENSES","Selling Expenses",I1274="EMPLOYMENT EXPENSES","Selling Expenses",I1274="EMPLOYMENT EXPENSES","Selling Expenses",I1274="DIRECT EXPENSES","Selling Expenses",I1274="INDIRECT EXPENSES","Selling Expenses"))</f>
        <v>#N/A</v>
      </c>
    </row>
    <row r="1275" spans="1:18" x14ac:dyDescent="0.2">
      <c r="A1275" s="75">
        <v>7160</v>
      </c>
      <c r="B1275" s="76" t="s">
        <v>935</v>
      </c>
      <c r="C1275" s="76">
        <v>440</v>
      </c>
      <c r="D1275" s="76" t="s">
        <v>441</v>
      </c>
      <c r="E1275" s="76" t="s">
        <v>426</v>
      </c>
      <c r="F1275" s="77">
        <v>0</v>
      </c>
      <c r="G1275" s="77">
        <v>0</v>
      </c>
      <c r="H1275" s="77">
        <v>0</v>
      </c>
      <c r="I1275" s="76" t="s">
        <v>936</v>
      </c>
      <c r="J1275" s="77">
        <v>0</v>
      </c>
      <c r="K1275" s="78">
        <v>-440.11</v>
      </c>
      <c r="M1275" s="79" t="str">
        <f t="shared" si="59"/>
        <v>440-7160</v>
      </c>
      <c r="N1275" s="79" t="str">
        <f t="shared" si="57"/>
        <v/>
      </c>
      <c r="O1275" s="79" t="str">
        <f t="shared" si="58"/>
        <v>440</v>
      </c>
      <c r="P1275" s="79" t="str">
        <f>IFERROR(VLOOKUP($M1275,Export!$P:$R,2,FALSE),"-")</f>
        <v>Admin &amp; Other</v>
      </c>
      <c r="Q1275" s="79" t="str">
        <f>IFERROR(VLOOKUP($M1275,Export!$P:$R,3,FALSE),"-")</f>
        <v>Admin &amp; OtherOther Overheads as % of Total Gross Profit</v>
      </c>
      <c r="R1275" s="80" t="e" cm="1">
        <f t="array" ref="R1275">_xlfn.IFS(P1275="Service", _xlfn.IFS(I1275="SALES","GP",I1275="SERVICE SALES","GP",I1275="PARTS SALES","GP",I1275="SERVICE COS","GP",I1275="PARTS COS","GP",I1275="SELLING EXPENSES","Selling Expenses",I1275="EMPLOYMENT EXPENSES","Selling Expenses",I1275="EMPLOYMENT EXPENSES","Selling Expenses",I1275="DIRECT EXPENSES","Selling Expenses",I1275="INDIRECT EXPENSES","Selling Expenses"),P1275="Parts",_xlfn.IFS(I1275="SALES","GP",I1275="SERVICE SALES","GP",I1275="PARTS SALES","GP",I1275="SERVICE COS","GP",I1275="PARTS COS","GP",I1275="SELLING EXPENSES","Selling Expenses",I1275="EMPLOYMENT EXPENSES","Selling Expenses",I1275="EMPLOYMENT EXPENSES","Selling Expenses",I1275="DIRECT EXPENSES","Selling Expenses",I1275="INDIRECT EXPENSES","Selling Expenses"))</f>
        <v>#N/A</v>
      </c>
    </row>
    <row r="1276" spans="1:18" x14ac:dyDescent="0.2">
      <c r="A1276" s="75">
        <v>7300</v>
      </c>
      <c r="B1276" s="76" t="s">
        <v>937</v>
      </c>
      <c r="C1276" s="76">
        <v>110</v>
      </c>
      <c r="D1276" s="76" t="s">
        <v>430</v>
      </c>
      <c r="E1276" s="76" t="s">
        <v>426</v>
      </c>
      <c r="F1276" s="77">
        <v>869.13</v>
      </c>
      <c r="G1276" s="77">
        <v>54.91</v>
      </c>
      <c r="H1276" s="77">
        <v>924.04</v>
      </c>
      <c r="I1276" s="76" t="s">
        <v>936</v>
      </c>
      <c r="J1276" s="77">
        <v>200</v>
      </c>
      <c r="K1276" s="78">
        <v>1726.22</v>
      </c>
      <c r="M1276" s="79" t="str">
        <f t="shared" si="59"/>
        <v>110-7300</v>
      </c>
      <c r="N1276" s="79" t="str">
        <f t="shared" si="57"/>
        <v/>
      </c>
      <c r="O1276" s="79" t="str">
        <f t="shared" si="58"/>
        <v>110</v>
      </c>
      <c r="P1276" s="79" t="str">
        <f>IFERROR(VLOOKUP($M1276,Export!$P:$R,2,FALSE),"-")</f>
        <v>Admin &amp; Other</v>
      </c>
      <c r="Q1276" s="79" t="str">
        <f>IFERROR(VLOOKUP($M1276,Export!$P:$R,3,FALSE),"-")</f>
        <v>Admin &amp; OtherOther Overheads as % of Total Gross Profit</v>
      </c>
      <c r="R1276" s="80" t="e" cm="1">
        <f t="array" ref="R1276">_xlfn.IFS(P1276="Service", _xlfn.IFS(I1276="SALES","GP",I1276="SERVICE SALES","GP",I1276="PARTS SALES","GP",I1276="SERVICE COS","GP",I1276="PARTS COS","GP",I1276="SELLING EXPENSES","Selling Expenses",I1276="EMPLOYMENT EXPENSES","Selling Expenses",I1276="EMPLOYMENT EXPENSES","Selling Expenses",I1276="DIRECT EXPENSES","Selling Expenses",I1276="INDIRECT EXPENSES","Selling Expenses"),P1276="Parts",_xlfn.IFS(I1276="SALES","GP",I1276="SERVICE SALES","GP",I1276="PARTS SALES","GP",I1276="SERVICE COS","GP",I1276="PARTS COS","GP",I1276="SELLING EXPENSES","Selling Expenses",I1276="EMPLOYMENT EXPENSES","Selling Expenses",I1276="EMPLOYMENT EXPENSES","Selling Expenses",I1276="DIRECT EXPENSES","Selling Expenses",I1276="INDIRECT EXPENSES","Selling Expenses"))</f>
        <v>#N/A</v>
      </c>
    </row>
    <row r="1277" spans="1:18" x14ac:dyDescent="0.2">
      <c r="A1277" s="75">
        <v>7300</v>
      </c>
      <c r="B1277" s="76" t="s">
        <v>937</v>
      </c>
      <c r="C1277" s="76">
        <v>112</v>
      </c>
      <c r="D1277" s="76" t="s">
        <v>349</v>
      </c>
      <c r="E1277" s="76" t="s">
        <v>426</v>
      </c>
      <c r="F1277" s="77">
        <v>501.59</v>
      </c>
      <c r="G1277" s="77">
        <v>54.91</v>
      </c>
      <c r="H1277" s="77">
        <v>556.5</v>
      </c>
      <c r="I1277" s="76" t="s">
        <v>936</v>
      </c>
      <c r="J1277" s="77">
        <v>0</v>
      </c>
      <c r="K1277" s="78">
        <v>216.63</v>
      </c>
      <c r="M1277" s="79" t="str">
        <f t="shared" si="59"/>
        <v>112-7300</v>
      </c>
      <c r="N1277" s="79" t="str">
        <f t="shared" si="57"/>
        <v/>
      </c>
      <c r="O1277" s="79" t="str">
        <f t="shared" si="58"/>
        <v>112</v>
      </c>
      <c r="P1277" s="79" t="str">
        <f>IFERROR(VLOOKUP($M1277,Export!$P:$R,2,FALSE),"-")</f>
        <v>LEX Admin &amp; Other</v>
      </c>
      <c r="Q1277" s="79" t="str">
        <f>IFERROR(VLOOKUP($M1277,Export!$P:$R,3,FALSE),"-")</f>
        <v>LEX Admin &amp; OtherOther Overheads as % of Total Gross Profit</v>
      </c>
      <c r="R1277" s="80" t="e" cm="1">
        <f t="array" ref="R1277">_xlfn.IFS(P1277="Service", _xlfn.IFS(I1277="SALES","GP",I1277="SERVICE SALES","GP",I1277="PARTS SALES","GP",I1277="SERVICE COS","GP",I1277="PARTS COS","GP",I1277="SELLING EXPENSES","Selling Expenses",I1277="EMPLOYMENT EXPENSES","Selling Expenses",I1277="EMPLOYMENT EXPENSES","Selling Expenses",I1277="DIRECT EXPENSES","Selling Expenses",I1277="INDIRECT EXPENSES","Selling Expenses"),P1277="Parts",_xlfn.IFS(I1277="SALES","GP",I1277="SERVICE SALES","GP",I1277="PARTS SALES","GP",I1277="SERVICE COS","GP",I1277="PARTS COS","GP",I1277="SELLING EXPENSES","Selling Expenses",I1277="EMPLOYMENT EXPENSES","Selling Expenses",I1277="EMPLOYMENT EXPENSES","Selling Expenses",I1277="DIRECT EXPENSES","Selling Expenses",I1277="INDIRECT EXPENSES","Selling Expenses"))</f>
        <v>#N/A</v>
      </c>
    </row>
    <row r="1278" spans="1:18" x14ac:dyDescent="0.2">
      <c r="A1278" s="75">
        <v>7300</v>
      </c>
      <c r="B1278" s="76" t="s">
        <v>937</v>
      </c>
      <c r="C1278" s="76">
        <v>120</v>
      </c>
      <c r="D1278" s="76" t="s">
        <v>431</v>
      </c>
      <c r="E1278" s="76" t="s">
        <v>426</v>
      </c>
      <c r="F1278" s="77">
        <v>102.9</v>
      </c>
      <c r="G1278" s="77">
        <v>54.91</v>
      </c>
      <c r="H1278" s="77">
        <v>157.81</v>
      </c>
      <c r="I1278" s="76" t="s">
        <v>936</v>
      </c>
      <c r="J1278" s="77">
        <v>100</v>
      </c>
      <c r="K1278" s="78">
        <v>837.42</v>
      </c>
      <c r="M1278" s="79" t="str">
        <f t="shared" si="59"/>
        <v>120-7300</v>
      </c>
      <c r="N1278" s="79" t="str">
        <f t="shared" si="57"/>
        <v/>
      </c>
      <c r="O1278" s="79" t="str">
        <f t="shared" si="58"/>
        <v>120</v>
      </c>
      <c r="P1278" s="79" t="str">
        <f>IFERROR(VLOOKUP($M1278,Export!$P:$R,2,FALSE),"-")</f>
        <v>Admin &amp; Other</v>
      </c>
      <c r="Q1278" s="79" t="str">
        <f>IFERROR(VLOOKUP($M1278,Export!$P:$R,3,FALSE),"-")</f>
        <v>Admin &amp; OtherOther Overheads as % of Total Gross Profit</v>
      </c>
      <c r="R1278" s="80" t="e" cm="1">
        <f t="array" ref="R1278">_xlfn.IFS(P1278="Service", _xlfn.IFS(I1278="SALES","GP",I1278="SERVICE SALES","GP",I1278="PARTS SALES","GP",I1278="SERVICE COS","GP",I1278="PARTS COS","GP",I1278="SELLING EXPENSES","Selling Expenses",I1278="EMPLOYMENT EXPENSES","Selling Expenses",I1278="EMPLOYMENT EXPENSES","Selling Expenses",I1278="DIRECT EXPENSES","Selling Expenses",I1278="INDIRECT EXPENSES","Selling Expenses"),P1278="Parts",_xlfn.IFS(I1278="SALES","GP",I1278="SERVICE SALES","GP",I1278="PARTS SALES","GP",I1278="SERVICE COS","GP",I1278="PARTS COS","GP",I1278="SELLING EXPENSES","Selling Expenses",I1278="EMPLOYMENT EXPENSES","Selling Expenses",I1278="EMPLOYMENT EXPENSES","Selling Expenses",I1278="DIRECT EXPENSES","Selling Expenses",I1278="INDIRECT EXPENSES","Selling Expenses"))</f>
        <v>#N/A</v>
      </c>
    </row>
    <row r="1279" spans="1:18" x14ac:dyDescent="0.2">
      <c r="A1279" s="75">
        <v>7300</v>
      </c>
      <c r="B1279" s="76" t="s">
        <v>937</v>
      </c>
      <c r="C1279" s="76">
        <v>121</v>
      </c>
      <c r="D1279" s="76" t="s">
        <v>449</v>
      </c>
      <c r="E1279" s="76" t="s">
        <v>426</v>
      </c>
      <c r="F1279" s="77">
        <v>0</v>
      </c>
      <c r="G1279" s="77">
        <v>0</v>
      </c>
      <c r="H1279" s="77">
        <v>0</v>
      </c>
      <c r="I1279" s="76" t="s">
        <v>936</v>
      </c>
      <c r="J1279" s="77">
        <v>100</v>
      </c>
      <c r="K1279" s="78">
        <v>1088.3499999999999</v>
      </c>
      <c r="M1279" s="79" t="str">
        <f t="shared" si="59"/>
        <v>121-7300</v>
      </c>
      <c r="N1279" s="79" t="str">
        <f t="shared" si="57"/>
        <v/>
      </c>
      <c r="O1279" s="79" t="str">
        <f t="shared" si="58"/>
        <v>121</v>
      </c>
      <c r="P1279" s="79" t="str">
        <f>IFERROR(VLOOKUP($M1279,Export!$P:$R,2,FALSE),"-")</f>
        <v>Admin &amp; Other</v>
      </c>
      <c r="Q1279" s="79" t="str">
        <f>IFERROR(VLOOKUP($M1279,Export!$P:$R,3,FALSE),"-")</f>
        <v>Admin &amp; OtherOther Overheads as % of Total Gross Profit</v>
      </c>
      <c r="R1279" s="80" t="e" cm="1">
        <f t="array" ref="R1279">_xlfn.IFS(P1279="Service", _xlfn.IFS(I1279="SALES","GP",I1279="SERVICE SALES","GP",I1279="PARTS SALES","GP",I1279="SERVICE COS","GP",I1279="PARTS COS","GP",I1279="SELLING EXPENSES","Selling Expenses",I1279="EMPLOYMENT EXPENSES","Selling Expenses",I1279="EMPLOYMENT EXPENSES","Selling Expenses",I1279="DIRECT EXPENSES","Selling Expenses",I1279="INDIRECT EXPENSES","Selling Expenses"),P1279="Parts",_xlfn.IFS(I1279="SALES","GP",I1279="SERVICE SALES","GP",I1279="PARTS SALES","GP",I1279="SERVICE COS","GP",I1279="PARTS COS","GP",I1279="SELLING EXPENSES","Selling Expenses",I1279="EMPLOYMENT EXPENSES","Selling Expenses",I1279="EMPLOYMENT EXPENSES","Selling Expenses",I1279="DIRECT EXPENSES","Selling Expenses",I1279="INDIRECT EXPENSES","Selling Expenses"))</f>
        <v>#N/A</v>
      </c>
    </row>
    <row r="1280" spans="1:18" x14ac:dyDescent="0.2">
      <c r="A1280" s="75">
        <v>7300</v>
      </c>
      <c r="B1280" s="76" t="s">
        <v>937</v>
      </c>
      <c r="C1280" s="76">
        <v>122</v>
      </c>
      <c r="D1280" s="76" t="s">
        <v>452</v>
      </c>
      <c r="E1280" s="76" t="s">
        <v>426</v>
      </c>
      <c r="F1280" s="77">
        <v>30</v>
      </c>
      <c r="G1280" s="77">
        <v>0</v>
      </c>
      <c r="H1280" s="77">
        <v>30</v>
      </c>
      <c r="I1280" s="76" t="s">
        <v>936</v>
      </c>
      <c r="J1280" s="77">
        <v>0</v>
      </c>
      <c r="K1280" s="78">
        <v>276.56</v>
      </c>
      <c r="M1280" s="79" t="str">
        <f t="shared" si="59"/>
        <v>122-7300</v>
      </c>
      <c r="N1280" s="79" t="str">
        <f t="shared" si="57"/>
        <v/>
      </c>
      <c r="O1280" s="79" t="str">
        <f t="shared" si="58"/>
        <v>122</v>
      </c>
      <c r="P1280" s="79" t="str">
        <f>IFERROR(VLOOKUP($M1280,Export!$P:$R,2,FALSE),"-")</f>
        <v>LEX Admin &amp; Other</v>
      </c>
      <c r="Q1280" s="79" t="str">
        <f>IFERROR(VLOOKUP($M1280,Export!$P:$R,3,FALSE),"-")</f>
        <v>LEX Admin &amp; OtherOther Overheads as % of Total Gross Profit</v>
      </c>
      <c r="R1280" s="80" t="e" cm="1">
        <f t="array" ref="R1280">_xlfn.IFS(P1280="Service", _xlfn.IFS(I1280="SALES","GP",I1280="SERVICE SALES","GP",I1280="PARTS SALES","GP",I1280="SERVICE COS","GP",I1280="PARTS COS","GP",I1280="SELLING EXPENSES","Selling Expenses",I1280="EMPLOYMENT EXPENSES","Selling Expenses",I1280="EMPLOYMENT EXPENSES","Selling Expenses",I1280="DIRECT EXPENSES","Selling Expenses",I1280="INDIRECT EXPENSES","Selling Expenses"),P1280="Parts",_xlfn.IFS(I1280="SALES","GP",I1280="SERVICE SALES","GP",I1280="PARTS SALES","GP",I1280="SERVICE COS","GP",I1280="PARTS COS","GP",I1280="SELLING EXPENSES","Selling Expenses",I1280="EMPLOYMENT EXPENSES","Selling Expenses",I1280="EMPLOYMENT EXPENSES","Selling Expenses",I1280="DIRECT EXPENSES","Selling Expenses",I1280="INDIRECT EXPENSES","Selling Expenses"))</f>
        <v>#N/A</v>
      </c>
    </row>
    <row r="1281" spans="1:18" x14ac:dyDescent="0.2">
      <c r="A1281" s="75">
        <v>7300</v>
      </c>
      <c r="B1281" s="76" t="s">
        <v>937</v>
      </c>
      <c r="C1281" s="76">
        <v>130</v>
      </c>
      <c r="D1281" s="76" t="s">
        <v>432</v>
      </c>
      <c r="E1281" s="76" t="s">
        <v>426</v>
      </c>
      <c r="F1281" s="77">
        <v>150</v>
      </c>
      <c r="G1281" s="77">
        <v>0</v>
      </c>
      <c r="H1281" s="77">
        <v>150</v>
      </c>
      <c r="I1281" s="76" t="s">
        <v>936</v>
      </c>
      <c r="J1281" s="77">
        <v>0</v>
      </c>
      <c r="K1281" s="78">
        <v>-12.7</v>
      </c>
      <c r="M1281" s="79" t="str">
        <f t="shared" si="59"/>
        <v>130-7300</v>
      </c>
      <c r="N1281" s="79" t="str">
        <f t="shared" si="57"/>
        <v/>
      </c>
      <c r="O1281" s="79" t="str">
        <f t="shared" si="58"/>
        <v>130</v>
      </c>
      <c r="P1281" s="79" t="str">
        <f>IFERROR(VLOOKUP($M1281,Export!$P:$R,2,FALSE),"-")</f>
        <v>Admin &amp; Other</v>
      </c>
      <c r="Q1281" s="79" t="str">
        <f>IFERROR(VLOOKUP($M1281,Export!$P:$R,3,FALSE),"-")</f>
        <v>Admin &amp; OtherOther Overheads as % of Total Gross Profit</v>
      </c>
      <c r="R1281" s="80" t="e" cm="1">
        <f t="array" ref="R1281">_xlfn.IFS(P1281="Service", _xlfn.IFS(I1281="SALES","GP",I1281="SERVICE SALES","GP",I1281="PARTS SALES","GP",I1281="SERVICE COS","GP",I1281="PARTS COS","GP",I1281="SELLING EXPENSES","Selling Expenses",I1281="EMPLOYMENT EXPENSES","Selling Expenses",I1281="EMPLOYMENT EXPENSES","Selling Expenses",I1281="DIRECT EXPENSES","Selling Expenses",I1281="INDIRECT EXPENSES","Selling Expenses"),P1281="Parts",_xlfn.IFS(I1281="SALES","GP",I1281="SERVICE SALES","GP",I1281="PARTS SALES","GP",I1281="SERVICE COS","GP",I1281="PARTS COS","GP",I1281="SELLING EXPENSES","Selling Expenses",I1281="EMPLOYMENT EXPENSES","Selling Expenses",I1281="EMPLOYMENT EXPENSES","Selling Expenses",I1281="DIRECT EXPENSES","Selling Expenses",I1281="INDIRECT EXPENSES","Selling Expenses"))</f>
        <v>#N/A</v>
      </c>
    </row>
    <row r="1282" spans="1:18" x14ac:dyDescent="0.2">
      <c r="A1282" s="75">
        <v>7300</v>
      </c>
      <c r="B1282" s="76" t="s">
        <v>937</v>
      </c>
      <c r="C1282" s="76">
        <v>140</v>
      </c>
      <c r="D1282" s="76" t="s">
        <v>433</v>
      </c>
      <c r="E1282" s="76" t="s">
        <v>426</v>
      </c>
      <c r="F1282" s="77">
        <v>456.74</v>
      </c>
      <c r="G1282" s="77">
        <v>0</v>
      </c>
      <c r="H1282" s="77">
        <v>456.74</v>
      </c>
      <c r="I1282" s="76" t="s">
        <v>936</v>
      </c>
      <c r="J1282" s="77">
        <v>0</v>
      </c>
      <c r="K1282" s="78">
        <v>195.77</v>
      </c>
      <c r="M1282" s="79" t="str">
        <f t="shared" si="59"/>
        <v>140-7300</v>
      </c>
      <c r="N1282" s="79" t="str">
        <f t="shared" ref="N1282:N1345" si="60">+IF(RIGHT(A1282,1)="#","#","")</f>
        <v/>
      </c>
      <c r="O1282" s="79" t="str">
        <f t="shared" ref="O1282:O1345" si="61">+C1282&amp;N1282</f>
        <v>140</v>
      </c>
      <c r="P1282" s="79" t="str">
        <f>IFERROR(VLOOKUP($M1282,Export!$P:$R,2,FALSE),"-")</f>
        <v>Admin &amp; Other</v>
      </c>
      <c r="Q1282" s="79" t="str">
        <f>IFERROR(VLOOKUP($M1282,Export!$P:$R,3,FALSE),"-")</f>
        <v>Admin &amp; OtherOther Overheads as % of Total Gross Profit</v>
      </c>
      <c r="R1282" s="80" t="e" cm="1">
        <f t="array" ref="R1282">_xlfn.IFS(P1282="Service", _xlfn.IFS(I1282="SALES","GP",I1282="SERVICE SALES","GP",I1282="PARTS SALES","GP",I1282="SERVICE COS","GP",I1282="PARTS COS","GP",I1282="SELLING EXPENSES","Selling Expenses",I1282="EMPLOYMENT EXPENSES","Selling Expenses",I1282="EMPLOYMENT EXPENSES","Selling Expenses",I1282="DIRECT EXPENSES","Selling Expenses",I1282="INDIRECT EXPENSES","Selling Expenses"),P1282="Parts",_xlfn.IFS(I1282="SALES","GP",I1282="SERVICE SALES","GP",I1282="PARTS SALES","GP",I1282="SERVICE COS","GP",I1282="PARTS COS","GP",I1282="SELLING EXPENSES","Selling Expenses",I1282="EMPLOYMENT EXPENSES","Selling Expenses",I1282="EMPLOYMENT EXPENSES","Selling Expenses",I1282="DIRECT EXPENSES","Selling Expenses",I1282="INDIRECT EXPENSES","Selling Expenses"))</f>
        <v>#N/A</v>
      </c>
    </row>
    <row r="1283" spans="1:18" x14ac:dyDescent="0.2">
      <c r="A1283" s="75">
        <v>7300</v>
      </c>
      <c r="B1283" s="76" t="s">
        <v>937</v>
      </c>
      <c r="C1283" s="76">
        <v>147</v>
      </c>
      <c r="D1283" s="76" t="s">
        <v>699</v>
      </c>
      <c r="E1283" s="76" t="s">
        <v>426</v>
      </c>
      <c r="F1283" s="77">
        <v>0</v>
      </c>
      <c r="G1283" s="77">
        <v>0</v>
      </c>
      <c r="H1283" s="77">
        <v>0</v>
      </c>
      <c r="I1283" s="76" t="s">
        <v>936</v>
      </c>
      <c r="J1283" s="77">
        <v>0</v>
      </c>
      <c r="K1283" s="78">
        <v>-23.23</v>
      </c>
      <c r="M1283" s="79" t="str">
        <f t="shared" ref="M1283:M1346" si="62">+C1283&amp;"-"&amp;A1283</f>
        <v>147-7300</v>
      </c>
      <c r="N1283" s="79" t="str">
        <f t="shared" si="60"/>
        <v/>
      </c>
      <c r="O1283" s="79" t="str">
        <f t="shared" si="61"/>
        <v>147</v>
      </c>
      <c r="P1283" s="79" t="str">
        <f>IFERROR(VLOOKUP($M1283,Export!$P:$R,2,FALSE),"-")</f>
        <v>Admin &amp; Other</v>
      </c>
      <c r="Q1283" s="79" t="str">
        <f>IFERROR(VLOOKUP($M1283,Export!$P:$R,3,FALSE),"-")</f>
        <v>Admin &amp; OtherOther Overheads as % of Total Gross Profit</v>
      </c>
      <c r="R1283" s="80" t="e" cm="1">
        <f t="array" ref="R1283">_xlfn.IFS(P1283="Service", _xlfn.IFS(I1283="SALES","GP",I1283="SERVICE SALES","GP",I1283="PARTS SALES","GP",I1283="SERVICE COS","GP",I1283="PARTS COS","GP",I1283="SELLING EXPENSES","Selling Expenses",I1283="EMPLOYMENT EXPENSES","Selling Expenses",I1283="EMPLOYMENT EXPENSES","Selling Expenses",I1283="DIRECT EXPENSES","Selling Expenses",I1283="INDIRECT EXPENSES","Selling Expenses"),P1283="Parts",_xlfn.IFS(I1283="SALES","GP",I1283="SERVICE SALES","GP",I1283="PARTS SALES","GP",I1283="SERVICE COS","GP",I1283="PARTS COS","GP",I1283="SELLING EXPENSES","Selling Expenses",I1283="EMPLOYMENT EXPENSES","Selling Expenses",I1283="EMPLOYMENT EXPENSES","Selling Expenses",I1283="DIRECT EXPENSES","Selling Expenses",I1283="INDIRECT EXPENSES","Selling Expenses"))</f>
        <v>#N/A</v>
      </c>
    </row>
    <row r="1284" spans="1:18" x14ac:dyDescent="0.2">
      <c r="A1284" s="75">
        <v>7300</v>
      </c>
      <c r="B1284" s="76" t="s">
        <v>937</v>
      </c>
      <c r="C1284" s="76">
        <v>210</v>
      </c>
      <c r="D1284" s="76" t="s">
        <v>436</v>
      </c>
      <c r="E1284" s="76" t="s">
        <v>426</v>
      </c>
      <c r="F1284" s="77">
        <v>432.1</v>
      </c>
      <c r="G1284" s="77">
        <v>0</v>
      </c>
      <c r="H1284" s="77">
        <v>432.1</v>
      </c>
      <c r="I1284" s="76" t="s">
        <v>936</v>
      </c>
      <c r="J1284" s="77">
        <v>100</v>
      </c>
      <c r="K1284" s="78">
        <v>1490.09</v>
      </c>
      <c r="M1284" s="79" t="str">
        <f t="shared" si="62"/>
        <v>210-7300</v>
      </c>
      <c r="N1284" s="79" t="str">
        <f t="shared" si="60"/>
        <v/>
      </c>
      <c r="O1284" s="79" t="str">
        <f t="shared" si="61"/>
        <v>210</v>
      </c>
      <c r="P1284" s="79" t="str">
        <f>IFERROR(VLOOKUP($M1284,Export!$P:$R,2,FALSE),"-")</f>
        <v>Admin &amp; Other</v>
      </c>
      <c r="Q1284" s="79" t="str">
        <f>IFERROR(VLOOKUP($M1284,Export!$P:$R,3,FALSE),"-")</f>
        <v>Admin &amp; OtherOther Overheads as % of Total Gross Profit</v>
      </c>
      <c r="R1284" s="80" t="e" cm="1">
        <f t="array" ref="R1284">_xlfn.IFS(P1284="Service", _xlfn.IFS(I1284="SALES","GP",I1284="SERVICE SALES","GP",I1284="PARTS SALES","GP",I1284="SERVICE COS","GP",I1284="PARTS COS","GP",I1284="SELLING EXPENSES","Selling Expenses",I1284="EMPLOYMENT EXPENSES","Selling Expenses",I1284="EMPLOYMENT EXPENSES","Selling Expenses",I1284="DIRECT EXPENSES","Selling Expenses",I1284="INDIRECT EXPENSES","Selling Expenses"),P1284="Parts",_xlfn.IFS(I1284="SALES","GP",I1284="SERVICE SALES","GP",I1284="PARTS SALES","GP",I1284="SERVICE COS","GP",I1284="PARTS COS","GP",I1284="SELLING EXPENSES","Selling Expenses",I1284="EMPLOYMENT EXPENSES","Selling Expenses",I1284="EMPLOYMENT EXPENSES","Selling Expenses",I1284="DIRECT EXPENSES","Selling Expenses",I1284="INDIRECT EXPENSES","Selling Expenses"))</f>
        <v>#N/A</v>
      </c>
    </row>
    <row r="1285" spans="1:18" x14ac:dyDescent="0.2">
      <c r="A1285" s="75">
        <v>7300</v>
      </c>
      <c r="B1285" s="76" t="s">
        <v>937</v>
      </c>
      <c r="C1285" s="76">
        <v>220</v>
      </c>
      <c r="D1285" s="76" t="s">
        <v>437</v>
      </c>
      <c r="E1285" s="76" t="s">
        <v>426</v>
      </c>
      <c r="F1285" s="77">
        <v>16.5</v>
      </c>
      <c r="G1285" s="77">
        <v>54.91</v>
      </c>
      <c r="H1285" s="77">
        <v>71.41</v>
      </c>
      <c r="I1285" s="76" t="s">
        <v>936</v>
      </c>
      <c r="J1285" s="77">
        <v>200</v>
      </c>
      <c r="K1285" s="78">
        <v>1853.2</v>
      </c>
      <c r="M1285" s="79" t="str">
        <f t="shared" si="62"/>
        <v>220-7300</v>
      </c>
      <c r="N1285" s="79" t="str">
        <f t="shared" si="60"/>
        <v/>
      </c>
      <c r="O1285" s="79" t="str">
        <f t="shared" si="61"/>
        <v>220</v>
      </c>
      <c r="P1285" s="79" t="str">
        <f>IFERROR(VLOOKUP($M1285,Export!$P:$R,2,FALSE),"-")</f>
        <v>Admin &amp; Other</v>
      </c>
      <c r="Q1285" s="79" t="str">
        <f>IFERROR(VLOOKUP($M1285,Export!$P:$R,3,FALSE),"-")</f>
        <v>Admin &amp; OtherOther Overheads as % of Total Gross Profit</v>
      </c>
      <c r="R1285" s="80" t="e" cm="1">
        <f t="array" ref="R1285">_xlfn.IFS(P1285="Service", _xlfn.IFS(I1285="SALES","GP",I1285="SERVICE SALES","GP",I1285="PARTS SALES","GP",I1285="SERVICE COS","GP",I1285="PARTS COS","GP",I1285="SELLING EXPENSES","Selling Expenses",I1285="EMPLOYMENT EXPENSES","Selling Expenses",I1285="EMPLOYMENT EXPENSES","Selling Expenses",I1285="DIRECT EXPENSES","Selling Expenses",I1285="INDIRECT EXPENSES","Selling Expenses"),P1285="Parts",_xlfn.IFS(I1285="SALES","GP",I1285="SERVICE SALES","GP",I1285="PARTS SALES","GP",I1285="SERVICE COS","GP",I1285="PARTS COS","GP",I1285="SELLING EXPENSES","Selling Expenses",I1285="EMPLOYMENT EXPENSES","Selling Expenses",I1285="EMPLOYMENT EXPENSES","Selling Expenses",I1285="DIRECT EXPENSES","Selling Expenses",I1285="INDIRECT EXPENSES","Selling Expenses"))</f>
        <v>#N/A</v>
      </c>
    </row>
    <row r="1286" spans="1:18" x14ac:dyDescent="0.2">
      <c r="A1286" s="75">
        <v>7300</v>
      </c>
      <c r="B1286" s="76" t="s">
        <v>937</v>
      </c>
      <c r="C1286" s="76">
        <v>240</v>
      </c>
      <c r="D1286" s="76" t="s">
        <v>439</v>
      </c>
      <c r="E1286" s="76" t="s">
        <v>426</v>
      </c>
      <c r="F1286" s="77">
        <v>16.5</v>
      </c>
      <c r="G1286" s="77">
        <v>0</v>
      </c>
      <c r="H1286" s="77">
        <v>16.5</v>
      </c>
      <c r="I1286" s="76" t="s">
        <v>936</v>
      </c>
      <c r="J1286" s="77">
        <v>0</v>
      </c>
      <c r="K1286" s="78">
        <v>80</v>
      </c>
      <c r="M1286" s="79" t="str">
        <f t="shared" si="62"/>
        <v>240-7300</v>
      </c>
      <c r="N1286" s="79" t="str">
        <f t="shared" si="60"/>
        <v/>
      </c>
      <c r="O1286" s="79" t="str">
        <f t="shared" si="61"/>
        <v>240</v>
      </c>
      <c r="P1286" s="79" t="str">
        <f>IFERROR(VLOOKUP($M1286,Export!$P:$R,2,FALSE),"-")</f>
        <v>Admin &amp; Other</v>
      </c>
      <c r="Q1286" s="79" t="str">
        <f>IFERROR(VLOOKUP($M1286,Export!$P:$R,3,FALSE),"-")</f>
        <v>Admin &amp; OtherOther Overheads as % of Total Gross Profit</v>
      </c>
      <c r="R1286" s="80" t="e" cm="1">
        <f t="array" ref="R1286">_xlfn.IFS(P1286="Service", _xlfn.IFS(I1286="SALES","GP",I1286="SERVICE SALES","GP",I1286="PARTS SALES","GP",I1286="SERVICE COS","GP",I1286="PARTS COS","GP",I1286="SELLING EXPENSES","Selling Expenses",I1286="EMPLOYMENT EXPENSES","Selling Expenses",I1286="EMPLOYMENT EXPENSES","Selling Expenses",I1286="DIRECT EXPENSES","Selling Expenses",I1286="INDIRECT EXPENSES","Selling Expenses"),P1286="Parts",_xlfn.IFS(I1286="SALES","GP",I1286="SERVICE SALES","GP",I1286="PARTS SALES","GP",I1286="SERVICE COS","GP",I1286="PARTS COS","GP",I1286="SELLING EXPENSES","Selling Expenses",I1286="EMPLOYMENT EXPENSES","Selling Expenses",I1286="EMPLOYMENT EXPENSES","Selling Expenses",I1286="DIRECT EXPENSES","Selling Expenses",I1286="INDIRECT EXPENSES","Selling Expenses"))</f>
        <v>#N/A</v>
      </c>
    </row>
    <row r="1287" spans="1:18" x14ac:dyDescent="0.2">
      <c r="A1287" s="75">
        <v>7300</v>
      </c>
      <c r="B1287" s="76" t="s">
        <v>937</v>
      </c>
      <c r="C1287" s="76">
        <v>340</v>
      </c>
      <c r="D1287" s="76" t="s">
        <v>440</v>
      </c>
      <c r="E1287" s="76" t="s">
        <v>426</v>
      </c>
      <c r="F1287" s="77">
        <v>80</v>
      </c>
      <c r="G1287" s="77">
        <v>0</v>
      </c>
      <c r="H1287" s="77">
        <v>80</v>
      </c>
      <c r="I1287" s="76" t="s">
        <v>936</v>
      </c>
      <c r="J1287" s="77">
        <v>0</v>
      </c>
      <c r="K1287" s="78">
        <v>-21.13</v>
      </c>
      <c r="M1287" s="79" t="str">
        <f t="shared" si="62"/>
        <v>340-7300</v>
      </c>
      <c r="N1287" s="79" t="str">
        <f t="shared" si="60"/>
        <v/>
      </c>
      <c r="O1287" s="79" t="str">
        <f t="shared" si="61"/>
        <v>340</v>
      </c>
      <c r="P1287" s="79" t="str">
        <f>IFERROR(VLOOKUP($M1287,Export!$P:$R,2,FALSE),"-")</f>
        <v>Admin &amp; Other</v>
      </c>
      <c r="Q1287" s="79" t="str">
        <f>IFERROR(VLOOKUP($M1287,Export!$P:$R,3,FALSE),"-")</f>
        <v>Admin &amp; OtherOther Overheads as % of Total Gross Profit</v>
      </c>
      <c r="R1287" s="80" t="e" cm="1">
        <f t="array" ref="R1287">_xlfn.IFS(P1287="Service", _xlfn.IFS(I1287="SALES","GP",I1287="SERVICE SALES","GP",I1287="PARTS SALES","GP",I1287="SERVICE COS","GP",I1287="PARTS COS","GP",I1287="SELLING EXPENSES","Selling Expenses",I1287="EMPLOYMENT EXPENSES","Selling Expenses",I1287="EMPLOYMENT EXPENSES","Selling Expenses",I1287="DIRECT EXPENSES","Selling Expenses",I1287="INDIRECT EXPENSES","Selling Expenses"),P1287="Parts",_xlfn.IFS(I1287="SALES","GP",I1287="SERVICE SALES","GP",I1287="PARTS SALES","GP",I1287="SERVICE COS","GP",I1287="PARTS COS","GP",I1287="SELLING EXPENSES","Selling Expenses",I1287="EMPLOYMENT EXPENSES","Selling Expenses",I1287="EMPLOYMENT EXPENSES","Selling Expenses",I1287="DIRECT EXPENSES","Selling Expenses",I1287="INDIRECT EXPENSES","Selling Expenses"))</f>
        <v>#N/A</v>
      </c>
    </row>
    <row r="1288" spans="1:18" x14ac:dyDescent="0.2">
      <c r="A1288" s="75">
        <v>7300</v>
      </c>
      <c r="B1288" s="76" t="s">
        <v>937</v>
      </c>
      <c r="C1288" s="76">
        <v>440</v>
      </c>
      <c r="D1288" s="76" t="s">
        <v>441</v>
      </c>
      <c r="E1288" s="76" t="s">
        <v>426</v>
      </c>
      <c r="F1288" s="77">
        <v>19.399999999999999</v>
      </c>
      <c r="G1288" s="77">
        <v>0</v>
      </c>
      <c r="H1288" s="77">
        <v>19.399999999999999</v>
      </c>
      <c r="I1288" s="76" t="s">
        <v>936</v>
      </c>
      <c r="J1288" s="77">
        <v>0</v>
      </c>
      <c r="K1288" s="78">
        <v>0</v>
      </c>
      <c r="M1288" s="79" t="str">
        <f t="shared" si="62"/>
        <v>440-7300</v>
      </c>
      <c r="N1288" s="79" t="str">
        <f t="shared" si="60"/>
        <v/>
      </c>
      <c r="O1288" s="79" t="str">
        <f t="shared" si="61"/>
        <v>440</v>
      </c>
      <c r="P1288" s="79" t="str">
        <f>IFERROR(VLOOKUP($M1288,Export!$P:$R,2,FALSE),"-")</f>
        <v>Admin &amp; Other</v>
      </c>
      <c r="Q1288" s="79" t="str">
        <f>IFERROR(VLOOKUP($M1288,Export!$P:$R,3,FALSE),"-")</f>
        <v>Admin &amp; OtherOther Overheads as % of Total Gross Profit</v>
      </c>
      <c r="R1288" s="80" t="e" cm="1">
        <f t="array" ref="R1288">_xlfn.IFS(P1288="Service", _xlfn.IFS(I1288="SALES","GP",I1288="SERVICE SALES","GP",I1288="PARTS SALES","GP",I1288="SERVICE COS","GP",I1288="PARTS COS","GP",I1288="SELLING EXPENSES","Selling Expenses",I1288="EMPLOYMENT EXPENSES","Selling Expenses",I1288="EMPLOYMENT EXPENSES","Selling Expenses",I1288="DIRECT EXPENSES","Selling Expenses",I1288="INDIRECT EXPENSES","Selling Expenses"),P1288="Parts",_xlfn.IFS(I1288="SALES","GP",I1288="SERVICE SALES","GP",I1288="PARTS SALES","GP",I1288="SERVICE COS","GP",I1288="PARTS COS","GP",I1288="SELLING EXPENSES","Selling Expenses",I1288="EMPLOYMENT EXPENSES","Selling Expenses",I1288="EMPLOYMENT EXPENSES","Selling Expenses",I1288="DIRECT EXPENSES","Selling Expenses",I1288="INDIRECT EXPENSES","Selling Expenses"))</f>
        <v>#N/A</v>
      </c>
    </row>
    <row r="1289" spans="1:18" x14ac:dyDescent="0.2">
      <c r="A1289" s="75">
        <v>7330</v>
      </c>
      <c r="B1289" s="76" t="s">
        <v>938</v>
      </c>
      <c r="C1289" s="76">
        <v>110</v>
      </c>
      <c r="D1289" s="76" t="s">
        <v>430</v>
      </c>
      <c r="E1289" s="76" t="s">
        <v>426</v>
      </c>
      <c r="F1289" s="77">
        <v>1282.97</v>
      </c>
      <c r="G1289" s="77">
        <v>305.93</v>
      </c>
      <c r="H1289" s="77">
        <v>1588.9</v>
      </c>
      <c r="I1289" s="76" t="s">
        <v>936</v>
      </c>
      <c r="J1289" s="77">
        <v>0</v>
      </c>
      <c r="K1289" s="78">
        <v>0</v>
      </c>
      <c r="M1289" s="79" t="str">
        <f t="shared" si="62"/>
        <v>110-7330</v>
      </c>
      <c r="N1289" s="79" t="str">
        <f t="shared" si="60"/>
        <v/>
      </c>
      <c r="O1289" s="79" t="str">
        <f t="shared" si="61"/>
        <v>110</v>
      </c>
      <c r="P1289" s="79" t="str">
        <f>IFERROR(VLOOKUP($M1289,Export!$P:$R,2,FALSE),"-")</f>
        <v>Used Vehicle</v>
      </c>
      <c r="Q1289" s="79" t="str">
        <f>IFERROR(VLOOKUP($M1289,Export!$P:$R,3,FALSE),"-")</f>
        <v>Used VehicleOther Semi-Fixed expenses per retail</v>
      </c>
      <c r="R1289" s="80" t="e" cm="1">
        <f t="array" ref="R1289">_xlfn.IFS(P1289="Service", _xlfn.IFS(I1289="SALES","GP",I1289="SERVICE SALES","GP",I1289="PARTS SALES","GP",I1289="SERVICE COS","GP",I1289="PARTS COS","GP",I1289="SELLING EXPENSES","Selling Expenses",I1289="EMPLOYMENT EXPENSES","Selling Expenses",I1289="EMPLOYMENT EXPENSES","Selling Expenses",I1289="DIRECT EXPENSES","Selling Expenses",I1289="INDIRECT EXPENSES","Selling Expenses"),P1289="Parts",_xlfn.IFS(I1289="SALES","GP",I1289="SERVICE SALES","GP",I1289="PARTS SALES","GP",I1289="SERVICE COS","GP",I1289="PARTS COS","GP",I1289="SELLING EXPENSES","Selling Expenses",I1289="EMPLOYMENT EXPENSES","Selling Expenses",I1289="EMPLOYMENT EXPENSES","Selling Expenses",I1289="DIRECT EXPENSES","Selling Expenses",I1289="INDIRECT EXPENSES","Selling Expenses"))</f>
        <v>#N/A</v>
      </c>
    </row>
    <row r="1290" spans="1:18" x14ac:dyDescent="0.2">
      <c r="A1290" s="75">
        <v>7330</v>
      </c>
      <c r="B1290" s="76" t="s">
        <v>938</v>
      </c>
      <c r="C1290" s="76">
        <v>112</v>
      </c>
      <c r="D1290" s="76" t="s">
        <v>349</v>
      </c>
      <c r="E1290" s="76" t="s">
        <v>426</v>
      </c>
      <c r="F1290" s="77">
        <v>147.44999999999999</v>
      </c>
      <c r="G1290" s="77">
        <v>0</v>
      </c>
      <c r="H1290" s="77">
        <v>147.44999999999999</v>
      </c>
      <c r="I1290" s="76" t="s">
        <v>936</v>
      </c>
      <c r="J1290" s="77">
        <v>0</v>
      </c>
      <c r="K1290" s="78">
        <v>27.6</v>
      </c>
      <c r="M1290" s="79" t="str">
        <f t="shared" si="62"/>
        <v>112-7330</v>
      </c>
      <c r="N1290" s="79" t="str">
        <f t="shared" si="60"/>
        <v/>
      </c>
      <c r="O1290" s="79" t="str">
        <f t="shared" si="61"/>
        <v>112</v>
      </c>
      <c r="P1290" s="79" t="str">
        <f>IFERROR(VLOOKUP($M1290,Export!$P:$R,2,FALSE),"-")</f>
        <v>LEX New Vehicle</v>
      </c>
      <c r="Q1290" s="79" t="str">
        <f>IFERROR(VLOOKUP($M1290,Export!$P:$R,3,FALSE),"-")</f>
        <v>LEX New VehicleOther Semi-Fixed Expenses p.u</v>
      </c>
      <c r="R1290" s="80" t="e" cm="1">
        <f t="array" ref="R1290">_xlfn.IFS(P1290="Service", _xlfn.IFS(I1290="SALES","GP",I1290="SERVICE SALES","GP",I1290="PARTS SALES","GP",I1290="SERVICE COS","GP",I1290="PARTS COS","GP",I1290="SELLING EXPENSES","Selling Expenses",I1290="EMPLOYMENT EXPENSES","Selling Expenses",I1290="EMPLOYMENT EXPENSES","Selling Expenses",I1290="DIRECT EXPENSES","Selling Expenses",I1290="INDIRECT EXPENSES","Selling Expenses"),P1290="Parts",_xlfn.IFS(I1290="SALES","GP",I1290="SERVICE SALES","GP",I1290="PARTS SALES","GP",I1290="SERVICE COS","GP",I1290="PARTS COS","GP",I1290="SELLING EXPENSES","Selling Expenses",I1290="EMPLOYMENT EXPENSES","Selling Expenses",I1290="EMPLOYMENT EXPENSES","Selling Expenses",I1290="DIRECT EXPENSES","Selling Expenses",I1290="INDIRECT EXPENSES","Selling Expenses"))</f>
        <v>#N/A</v>
      </c>
    </row>
    <row r="1291" spans="1:18" x14ac:dyDescent="0.2">
      <c r="A1291" s="75">
        <v>7330</v>
      </c>
      <c r="B1291" s="76" t="s">
        <v>938</v>
      </c>
      <c r="C1291" s="76">
        <v>121</v>
      </c>
      <c r="D1291" s="76" t="s">
        <v>449</v>
      </c>
      <c r="E1291" s="76" t="s">
        <v>426</v>
      </c>
      <c r="F1291" s="77">
        <v>34.520000000000003</v>
      </c>
      <c r="G1291" s="77">
        <v>0</v>
      </c>
      <c r="H1291" s="77">
        <v>34.520000000000003</v>
      </c>
      <c r="I1291" s="76" t="s">
        <v>936</v>
      </c>
      <c r="J1291" s="77">
        <v>0</v>
      </c>
      <c r="K1291" s="78">
        <v>0</v>
      </c>
      <c r="M1291" s="79" t="str">
        <f t="shared" si="62"/>
        <v>121-7330</v>
      </c>
      <c r="N1291" s="79" t="str">
        <f t="shared" si="60"/>
        <v/>
      </c>
      <c r="O1291" s="79" t="str">
        <f t="shared" si="61"/>
        <v>121</v>
      </c>
      <c r="P1291" s="79" t="str">
        <f>IFERROR(VLOOKUP($M1291,Export!$P:$R,2,FALSE),"-")</f>
        <v>Used Vehicle</v>
      </c>
      <c r="Q1291" s="79" t="str">
        <f>IFERROR(VLOOKUP($M1291,Export!$P:$R,3,FALSE),"-")</f>
        <v>Used VehicleOther Semi-Fixed expenses per retail</v>
      </c>
      <c r="R1291" s="80" t="e" cm="1">
        <f t="array" ref="R1291">_xlfn.IFS(P1291="Service", _xlfn.IFS(I1291="SALES","GP",I1291="SERVICE SALES","GP",I1291="PARTS SALES","GP",I1291="SERVICE COS","GP",I1291="PARTS COS","GP",I1291="SELLING EXPENSES","Selling Expenses",I1291="EMPLOYMENT EXPENSES","Selling Expenses",I1291="EMPLOYMENT EXPENSES","Selling Expenses",I1291="DIRECT EXPENSES","Selling Expenses",I1291="INDIRECT EXPENSES","Selling Expenses"),P1291="Parts",_xlfn.IFS(I1291="SALES","GP",I1291="SERVICE SALES","GP",I1291="PARTS SALES","GP",I1291="SERVICE COS","GP",I1291="PARTS COS","GP",I1291="SELLING EXPENSES","Selling Expenses",I1291="EMPLOYMENT EXPENSES","Selling Expenses",I1291="EMPLOYMENT EXPENSES","Selling Expenses",I1291="DIRECT EXPENSES","Selling Expenses",I1291="INDIRECT EXPENSES","Selling Expenses"))</f>
        <v>#N/A</v>
      </c>
    </row>
    <row r="1292" spans="1:18" x14ac:dyDescent="0.2">
      <c r="A1292" s="75">
        <v>7330</v>
      </c>
      <c r="B1292" s="76" t="s">
        <v>938</v>
      </c>
      <c r="C1292" s="76">
        <v>122</v>
      </c>
      <c r="D1292" s="76" t="s">
        <v>452</v>
      </c>
      <c r="E1292" s="76" t="s">
        <v>426</v>
      </c>
      <c r="F1292" s="77">
        <v>45.47</v>
      </c>
      <c r="G1292" s="77">
        <v>0</v>
      </c>
      <c r="H1292" s="77">
        <v>45.47</v>
      </c>
      <c r="I1292" s="76" t="s">
        <v>936</v>
      </c>
      <c r="J1292" s="77">
        <v>0</v>
      </c>
      <c r="K1292" s="78">
        <v>0</v>
      </c>
      <c r="M1292" s="79" t="str">
        <f t="shared" si="62"/>
        <v>122-7330</v>
      </c>
      <c r="N1292" s="79" t="str">
        <f t="shared" si="60"/>
        <v/>
      </c>
      <c r="O1292" s="79" t="str">
        <f t="shared" si="61"/>
        <v>122</v>
      </c>
      <c r="P1292" s="79" t="str">
        <f>IFERROR(VLOOKUP($M1292,Export!$P:$R,2,FALSE),"-")</f>
        <v>LEX Used Vehicle</v>
      </c>
      <c r="Q1292" s="79" t="str">
        <f>IFERROR(VLOOKUP($M1292,Export!$P:$R,3,FALSE),"-")</f>
        <v>LEX Used VehicleOther Semi-Fixed expenses per retail</v>
      </c>
      <c r="R1292" s="80" t="e" cm="1">
        <f t="array" ref="R1292">_xlfn.IFS(P1292="Service", _xlfn.IFS(I1292="SALES","GP",I1292="SERVICE SALES","GP",I1292="PARTS SALES","GP",I1292="SERVICE COS","GP",I1292="PARTS COS","GP",I1292="SELLING EXPENSES","Selling Expenses",I1292="EMPLOYMENT EXPENSES","Selling Expenses",I1292="EMPLOYMENT EXPENSES","Selling Expenses",I1292="DIRECT EXPENSES","Selling Expenses",I1292="INDIRECT EXPENSES","Selling Expenses"),P1292="Parts",_xlfn.IFS(I1292="SALES","GP",I1292="SERVICE SALES","GP",I1292="PARTS SALES","GP",I1292="SERVICE COS","GP",I1292="PARTS COS","GP",I1292="SELLING EXPENSES","Selling Expenses",I1292="EMPLOYMENT EXPENSES","Selling Expenses",I1292="EMPLOYMENT EXPENSES","Selling Expenses",I1292="DIRECT EXPENSES","Selling Expenses",I1292="INDIRECT EXPENSES","Selling Expenses"))</f>
        <v>#N/A</v>
      </c>
    </row>
    <row r="1293" spans="1:18" x14ac:dyDescent="0.2">
      <c r="A1293" s="75">
        <v>7330</v>
      </c>
      <c r="B1293" s="76" t="s">
        <v>938</v>
      </c>
      <c r="C1293" s="76">
        <v>130</v>
      </c>
      <c r="D1293" s="76" t="s">
        <v>432</v>
      </c>
      <c r="E1293" s="76" t="s">
        <v>426</v>
      </c>
      <c r="F1293" s="77">
        <v>740.2</v>
      </c>
      <c r="G1293" s="77">
        <v>196.88</v>
      </c>
      <c r="H1293" s="77">
        <v>937.08</v>
      </c>
      <c r="I1293" s="76" t="s">
        <v>936</v>
      </c>
      <c r="J1293" s="77">
        <v>0</v>
      </c>
      <c r="K1293" s="78">
        <v>6843.14</v>
      </c>
      <c r="M1293" s="79" t="str">
        <f t="shared" si="62"/>
        <v>130-7330</v>
      </c>
      <c r="N1293" s="79" t="str">
        <f t="shared" si="60"/>
        <v/>
      </c>
      <c r="O1293" s="79" t="str">
        <f t="shared" si="61"/>
        <v>130</v>
      </c>
      <c r="P1293" s="79" t="str">
        <f>IFERROR(VLOOKUP($M1293,Export!$P:$R,2,FALSE),"-")</f>
        <v>Parts</v>
      </c>
      <c r="Q1293" s="79" t="str">
        <f>IFERROR(VLOOKUP($M1293,Export!$P:$R,3,FALSE),"-")</f>
        <v>PartsOther Expenses as % of Sales</v>
      </c>
      <c r="R1293" s="80" t="str" cm="1">
        <f t="array" ref="R1293">_xlfn.IFS(P1293="Service", _xlfn.IFS(I1293="SALES","GP",I1293="SERVICE SALES","GP",I1293="PARTS SALES","GP",I1293="SERVICE COS","GP",I1293="PARTS COS","GP",I1293="SELLING EXPENSES","Selling Expenses",I1293="EMPLOYMENT EXPENSES","Selling Expenses",I1293="EMPLOYMENT EXPENSES","Selling Expenses",I1293="DIRECT EXPENSES","Selling Expenses",I1293="INDIRECT EXPENSES","Selling Expenses"),P1293="Parts",_xlfn.IFS(I1293="SALES","GP",I1293="SERVICE SALES","GP",I1293="PARTS SALES","GP",I1293="SERVICE COS","GP",I1293="PARTS COS","GP",I1293="SELLING EXPENSES","Selling Expenses",I1293="EMPLOYMENT EXPENSES","Selling Expenses",I1293="EMPLOYMENT EXPENSES","Selling Expenses",I1293="DIRECT EXPENSES","Selling Expenses",I1293="INDIRECT EXPENSES","Selling Expenses"))</f>
        <v>Selling Expenses</v>
      </c>
    </row>
    <row r="1294" spans="1:18" x14ac:dyDescent="0.2">
      <c r="A1294" s="75">
        <v>7330</v>
      </c>
      <c r="B1294" s="76" t="s">
        <v>938</v>
      </c>
      <c r="C1294" s="76">
        <v>140</v>
      </c>
      <c r="D1294" s="76" t="s">
        <v>433</v>
      </c>
      <c r="E1294" s="76" t="s">
        <v>426</v>
      </c>
      <c r="F1294" s="77">
        <v>0</v>
      </c>
      <c r="G1294" s="77">
        <v>0</v>
      </c>
      <c r="H1294" s="77">
        <v>0</v>
      </c>
      <c r="I1294" s="76" t="s">
        <v>936</v>
      </c>
      <c r="J1294" s="77">
        <v>200</v>
      </c>
      <c r="K1294" s="78">
        <v>2450.23</v>
      </c>
      <c r="M1294" s="79" t="str">
        <f t="shared" si="62"/>
        <v>140-7330</v>
      </c>
      <c r="N1294" s="79" t="str">
        <f t="shared" si="60"/>
        <v/>
      </c>
      <c r="O1294" s="79" t="str">
        <f t="shared" si="61"/>
        <v>140</v>
      </c>
      <c r="P1294" s="79" t="str">
        <f>IFERROR(VLOOKUP($M1294,Export!$P:$R,2,FALSE),"-")</f>
        <v>Service</v>
      </c>
      <c r="Q1294" s="79" t="str">
        <f>IFERROR(VLOOKUP($M1294,Export!$P:$R,3,FALSE),"-")</f>
        <v>ServiceOther Expenses as % of Sales</v>
      </c>
      <c r="R1294" s="80" t="str" cm="1">
        <f t="array" ref="R1294">_xlfn.IFS(P1294="Service", _xlfn.IFS(I1294="SALES","GP",I1294="SERVICE SALES","GP",I1294="PARTS SALES","GP",I1294="SERVICE COS","GP",I1294="PARTS COS","GP",I1294="SELLING EXPENSES","Selling Expenses",I1294="EMPLOYMENT EXPENSES","Selling Expenses",I1294="EMPLOYMENT EXPENSES","Selling Expenses",I1294="DIRECT EXPENSES","Selling Expenses",I1294="INDIRECT EXPENSES","Selling Expenses"),P1294="Parts",_xlfn.IFS(I1294="SALES","GP",I1294="SERVICE SALES","GP",I1294="PARTS SALES","GP",I1294="SERVICE COS","GP",I1294="PARTS COS","GP",I1294="SELLING EXPENSES","Selling Expenses",I1294="EMPLOYMENT EXPENSES","Selling Expenses",I1294="EMPLOYMENT EXPENSES","Selling Expenses",I1294="DIRECT EXPENSES","Selling Expenses",I1294="INDIRECT EXPENSES","Selling Expenses"))</f>
        <v>Selling Expenses</v>
      </c>
    </row>
    <row r="1295" spans="1:18" x14ac:dyDescent="0.2">
      <c r="A1295" s="75">
        <v>7330</v>
      </c>
      <c r="B1295" s="76" t="s">
        <v>938</v>
      </c>
      <c r="C1295" s="76">
        <v>142</v>
      </c>
      <c r="D1295" s="76" t="s">
        <v>454</v>
      </c>
      <c r="E1295" s="76" t="s">
        <v>426</v>
      </c>
      <c r="F1295" s="77">
        <v>2910.99</v>
      </c>
      <c r="G1295" s="77">
        <v>0</v>
      </c>
      <c r="H1295" s="77">
        <v>2910.99</v>
      </c>
      <c r="I1295" s="76" t="s">
        <v>936</v>
      </c>
      <c r="J1295" s="77">
        <v>0</v>
      </c>
      <c r="K1295" s="78">
        <v>0</v>
      </c>
      <c r="M1295" s="79" t="str">
        <f t="shared" si="62"/>
        <v>142-7330</v>
      </c>
      <c r="N1295" s="79" t="str">
        <f t="shared" si="60"/>
        <v/>
      </c>
      <c r="O1295" s="79" t="str">
        <f t="shared" si="61"/>
        <v>142</v>
      </c>
      <c r="P1295" s="79" t="str">
        <f>IFERROR(VLOOKUP($M1295,Export!$P:$R,2,FALSE),"-")</f>
        <v>Lex Service</v>
      </c>
      <c r="Q1295" s="79" t="str">
        <f>IFERROR(VLOOKUP($M1295,Export!$P:$R,3,FALSE),"-")</f>
        <v>Lex ServiceOther Expenses as % of Sales</v>
      </c>
      <c r="R1295" s="80" t="e" cm="1">
        <f t="array" ref="R1295">_xlfn.IFS(P1295="Service", _xlfn.IFS(I1295="SALES","GP",I1295="SERVICE SALES","GP",I1295="PARTS SALES","GP",I1295="SERVICE COS","GP",I1295="PARTS COS","GP",I1295="SELLING EXPENSES","Selling Expenses",I1295="EMPLOYMENT EXPENSES","Selling Expenses",I1295="EMPLOYMENT EXPENSES","Selling Expenses",I1295="DIRECT EXPENSES","Selling Expenses",I1295="INDIRECT EXPENSES","Selling Expenses"),P1295="Parts",_xlfn.IFS(I1295="SALES","GP",I1295="SERVICE SALES","GP",I1295="PARTS SALES","GP",I1295="SERVICE COS","GP",I1295="PARTS COS","GP",I1295="SELLING EXPENSES","Selling Expenses",I1295="EMPLOYMENT EXPENSES","Selling Expenses",I1295="EMPLOYMENT EXPENSES","Selling Expenses",I1295="DIRECT EXPENSES","Selling Expenses",I1295="INDIRECT EXPENSES","Selling Expenses"))</f>
        <v>#N/A</v>
      </c>
    </row>
    <row r="1296" spans="1:18" x14ac:dyDescent="0.2">
      <c r="A1296" s="75">
        <v>7330</v>
      </c>
      <c r="B1296" s="76" t="s">
        <v>938</v>
      </c>
      <c r="C1296" s="76">
        <v>210</v>
      </c>
      <c r="D1296" s="76" t="s">
        <v>436</v>
      </c>
      <c r="E1296" s="76" t="s">
        <v>426</v>
      </c>
      <c r="F1296" s="77">
        <v>145.37</v>
      </c>
      <c r="G1296" s="77">
        <v>0</v>
      </c>
      <c r="H1296" s="77">
        <v>145.37</v>
      </c>
      <c r="I1296" s="76" t="s">
        <v>936</v>
      </c>
      <c r="J1296" s="77">
        <v>0</v>
      </c>
      <c r="K1296" s="78">
        <v>0</v>
      </c>
      <c r="M1296" s="79" t="str">
        <f t="shared" si="62"/>
        <v>210-7330</v>
      </c>
      <c r="N1296" s="79" t="str">
        <f t="shared" si="60"/>
        <v/>
      </c>
      <c r="O1296" s="79" t="str">
        <f t="shared" si="61"/>
        <v>210</v>
      </c>
      <c r="P1296" s="79" t="str">
        <f>IFERROR(VLOOKUP($M1296,Export!$P:$R,2,FALSE),"-")</f>
        <v>Used Vehicle</v>
      </c>
      <c r="Q1296" s="79" t="str">
        <f>IFERROR(VLOOKUP($M1296,Export!$P:$R,3,FALSE),"-")</f>
        <v>Used VehicleOther Semi-Fixed expenses per retail</v>
      </c>
      <c r="R1296" s="80" t="e" cm="1">
        <f t="array" ref="R1296">_xlfn.IFS(P1296="Service", _xlfn.IFS(I1296="SALES","GP",I1296="SERVICE SALES","GP",I1296="PARTS SALES","GP",I1296="SERVICE COS","GP",I1296="PARTS COS","GP",I1296="SELLING EXPENSES","Selling Expenses",I1296="EMPLOYMENT EXPENSES","Selling Expenses",I1296="EMPLOYMENT EXPENSES","Selling Expenses",I1296="DIRECT EXPENSES","Selling Expenses",I1296="INDIRECT EXPENSES","Selling Expenses"),P1296="Parts",_xlfn.IFS(I1296="SALES","GP",I1296="SERVICE SALES","GP",I1296="PARTS SALES","GP",I1296="SERVICE COS","GP",I1296="PARTS COS","GP",I1296="SELLING EXPENSES","Selling Expenses",I1296="EMPLOYMENT EXPENSES","Selling Expenses",I1296="EMPLOYMENT EXPENSES","Selling Expenses",I1296="DIRECT EXPENSES","Selling Expenses",I1296="INDIRECT EXPENSES","Selling Expenses"))</f>
        <v>#N/A</v>
      </c>
    </row>
    <row r="1297" spans="1:18" x14ac:dyDescent="0.2">
      <c r="A1297" s="75">
        <v>7330</v>
      </c>
      <c r="B1297" s="76" t="s">
        <v>938</v>
      </c>
      <c r="C1297" s="76">
        <v>220</v>
      </c>
      <c r="D1297" s="76" t="s">
        <v>437</v>
      </c>
      <c r="E1297" s="76" t="s">
        <v>426</v>
      </c>
      <c r="F1297" s="77">
        <v>68.52</v>
      </c>
      <c r="G1297" s="77">
        <v>0</v>
      </c>
      <c r="H1297" s="77">
        <v>68.52</v>
      </c>
      <c r="I1297" s="76" t="s">
        <v>936</v>
      </c>
      <c r="J1297" s="77">
        <v>0</v>
      </c>
      <c r="K1297" s="78">
        <v>2673.55</v>
      </c>
      <c r="M1297" s="79" t="str">
        <f t="shared" si="62"/>
        <v>220-7330</v>
      </c>
      <c r="N1297" s="79" t="str">
        <f t="shared" si="60"/>
        <v/>
      </c>
      <c r="O1297" s="79" t="str">
        <f t="shared" si="61"/>
        <v>220</v>
      </c>
      <c r="P1297" s="79" t="str">
        <f>IFERROR(VLOOKUP($M1297,Export!$P:$R,2,FALSE),"-")</f>
        <v>Used Vehicle</v>
      </c>
      <c r="Q1297" s="79" t="str">
        <f>IFERROR(VLOOKUP($M1297,Export!$P:$R,3,FALSE),"-")</f>
        <v>Used VehicleOther Semi-Fixed expenses per retail</v>
      </c>
      <c r="R1297" s="80" t="e" cm="1">
        <f t="array" ref="R1297">_xlfn.IFS(P1297="Service", _xlfn.IFS(I1297="SALES","GP",I1297="SERVICE SALES","GP",I1297="PARTS SALES","GP",I1297="SERVICE COS","GP",I1297="PARTS COS","GP",I1297="SELLING EXPENSES","Selling Expenses",I1297="EMPLOYMENT EXPENSES","Selling Expenses",I1297="EMPLOYMENT EXPENSES","Selling Expenses",I1297="DIRECT EXPENSES","Selling Expenses",I1297="INDIRECT EXPENSES","Selling Expenses"),P1297="Parts",_xlfn.IFS(I1297="SALES","GP",I1297="SERVICE SALES","GP",I1297="PARTS SALES","GP",I1297="SERVICE COS","GP",I1297="PARTS COS","GP",I1297="SELLING EXPENSES","Selling Expenses",I1297="EMPLOYMENT EXPENSES","Selling Expenses",I1297="EMPLOYMENT EXPENSES","Selling Expenses",I1297="DIRECT EXPENSES","Selling Expenses",I1297="INDIRECT EXPENSES","Selling Expenses"))</f>
        <v>#N/A</v>
      </c>
    </row>
    <row r="1298" spans="1:18" x14ac:dyDescent="0.2">
      <c r="A1298" s="75">
        <v>7330</v>
      </c>
      <c r="B1298" s="76" t="s">
        <v>938</v>
      </c>
      <c r="C1298" s="76">
        <v>230</v>
      </c>
      <c r="D1298" s="76" t="s">
        <v>438</v>
      </c>
      <c r="E1298" s="76" t="s">
        <v>426</v>
      </c>
      <c r="F1298" s="77">
        <v>0</v>
      </c>
      <c r="G1298" s="77">
        <v>0</v>
      </c>
      <c r="H1298" s="77">
        <v>0</v>
      </c>
      <c r="I1298" s="76" t="s">
        <v>936</v>
      </c>
      <c r="J1298" s="77">
        <v>0</v>
      </c>
      <c r="K1298" s="78">
        <v>296.68</v>
      </c>
      <c r="M1298" s="79" t="str">
        <f t="shared" si="62"/>
        <v>230-7330</v>
      </c>
      <c r="N1298" s="79" t="str">
        <f t="shared" si="60"/>
        <v/>
      </c>
      <c r="O1298" s="79" t="str">
        <f t="shared" si="61"/>
        <v>230</v>
      </c>
      <c r="P1298" s="79" t="str">
        <f>IFERROR(VLOOKUP($M1298,Export!$P:$R,2,FALSE),"-")</f>
        <v>Parts</v>
      </c>
      <c r="Q1298" s="79" t="str">
        <f>IFERROR(VLOOKUP($M1298,Export!$P:$R,3,FALSE),"-")</f>
        <v>PartsOther Expenses as % of Sales</v>
      </c>
      <c r="R1298" s="80" t="str" cm="1">
        <f t="array" ref="R1298">_xlfn.IFS(P1298="Service", _xlfn.IFS(I1298="SALES","GP",I1298="SERVICE SALES","GP",I1298="PARTS SALES","GP",I1298="SERVICE COS","GP",I1298="PARTS COS","GP",I1298="SELLING EXPENSES","Selling Expenses",I1298="EMPLOYMENT EXPENSES","Selling Expenses",I1298="EMPLOYMENT EXPENSES","Selling Expenses",I1298="DIRECT EXPENSES","Selling Expenses",I1298="INDIRECT EXPENSES","Selling Expenses"),P1298="Parts",_xlfn.IFS(I1298="SALES","GP",I1298="SERVICE SALES","GP",I1298="PARTS SALES","GP",I1298="SERVICE COS","GP",I1298="PARTS COS","GP",I1298="SELLING EXPENSES","Selling Expenses",I1298="EMPLOYMENT EXPENSES","Selling Expenses",I1298="EMPLOYMENT EXPENSES","Selling Expenses",I1298="DIRECT EXPENSES","Selling Expenses",I1298="INDIRECT EXPENSES","Selling Expenses"))</f>
        <v>Selling Expenses</v>
      </c>
    </row>
    <row r="1299" spans="1:18" x14ac:dyDescent="0.2">
      <c r="A1299" s="75">
        <v>7330</v>
      </c>
      <c r="B1299" s="76" t="s">
        <v>938</v>
      </c>
      <c r="C1299" s="76">
        <v>430</v>
      </c>
      <c r="D1299" s="76" t="s">
        <v>458</v>
      </c>
      <c r="E1299" s="76" t="s">
        <v>426</v>
      </c>
      <c r="F1299" s="77">
        <v>215.99</v>
      </c>
      <c r="G1299" s="77">
        <v>0</v>
      </c>
      <c r="H1299" s="77">
        <v>215.99</v>
      </c>
      <c r="I1299" s="76" t="s">
        <v>936</v>
      </c>
      <c r="J1299" s="77">
        <v>0</v>
      </c>
      <c r="K1299" s="78">
        <v>0</v>
      </c>
      <c r="M1299" s="79" t="str">
        <f t="shared" si="62"/>
        <v>430-7330</v>
      </c>
      <c r="N1299" s="79" t="str">
        <f t="shared" si="60"/>
        <v/>
      </c>
      <c r="O1299" s="79" t="str">
        <f t="shared" si="61"/>
        <v>430</v>
      </c>
      <c r="P1299" s="79" t="str">
        <f>IFERROR(VLOOKUP($M1299,Export!$P:$R,2,FALSE),"-")</f>
        <v>Parts</v>
      </c>
      <c r="Q1299" s="79" t="str">
        <f>IFERROR(VLOOKUP($M1299,Export!$P:$R,3,FALSE),"-")</f>
        <v>PartsOther Expenses as % of Sales</v>
      </c>
      <c r="R1299" s="80" t="str" cm="1">
        <f t="array" ref="R1299">_xlfn.IFS(P1299="Service", _xlfn.IFS(I1299="SALES","GP",I1299="SERVICE SALES","GP",I1299="PARTS SALES","GP",I1299="SERVICE COS","GP",I1299="PARTS COS","GP",I1299="SELLING EXPENSES","Selling Expenses",I1299="EMPLOYMENT EXPENSES","Selling Expenses",I1299="EMPLOYMENT EXPENSES","Selling Expenses",I1299="DIRECT EXPENSES","Selling Expenses",I1299="INDIRECT EXPENSES","Selling Expenses"),P1299="Parts",_xlfn.IFS(I1299="SALES","GP",I1299="SERVICE SALES","GP",I1299="PARTS SALES","GP",I1299="SERVICE COS","GP",I1299="PARTS COS","GP",I1299="SELLING EXPENSES","Selling Expenses",I1299="EMPLOYMENT EXPENSES","Selling Expenses",I1299="EMPLOYMENT EXPENSES","Selling Expenses",I1299="DIRECT EXPENSES","Selling Expenses",I1299="INDIRECT EXPENSES","Selling Expenses"))</f>
        <v>Selling Expenses</v>
      </c>
    </row>
    <row r="1300" spans="1:18" x14ac:dyDescent="0.2">
      <c r="A1300" s="75">
        <v>7332</v>
      </c>
      <c r="B1300" s="76" t="s">
        <v>939</v>
      </c>
      <c r="C1300" s="76">
        <v>110</v>
      </c>
      <c r="D1300" s="76" t="s">
        <v>430</v>
      </c>
      <c r="E1300" s="76" t="s">
        <v>426</v>
      </c>
      <c r="F1300" s="77">
        <v>5390.26</v>
      </c>
      <c r="G1300" s="77">
        <v>4326.63</v>
      </c>
      <c r="H1300" s="77">
        <v>9716.89</v>
      </c>
      <c r="I1300" s="76" t="s">
        <v>936</v>
      </c>
      <c r="J1300" s="77">
        <v>4424.97</v>
      </c>
      <c r="K1300" s="78">
        <v>41326.74</v>
      </c>
      <c r="M1300" s="79" t="str">
        <f t="shared" si="62"/>
        <v>110-7332</v>
      </c>
      <c r="N1300" s="79" t="str">
        <f t="shared" si="60"/>
        <v/>
      </c>
      <c r="O1300" s="79" t="str">
        <f t="shared" si="61"/>
        <v>110</v>
      </c>
      <c r="P1300" s="79" t="str">
        <f>IFERROR(VLOOKUP($M1300,Export!$P:$R,2,FALSE),"-")</f>
        <v>New Vehicle</v>
      </c>
      <c r="Q1300" s="79" t="str">
        <f>IFERROR(VLOOKUP($M1300,Export!$P:$R,3,FALSE),"-")</f>
        <v>New VehicleDemo Expenses (incl. interest) p.u.</v>
      </c>
      <c r="R1300" s="80" t="e" cm="1">
        <f t="array" ref="R1300">_xlfn.IFS(P1300="Service", _xlfn.IFS(I1300="SALES","GP",I1300="SERVICE SALES","GP",I1300="PARTS SALES","GP",I1300="SERVICE COS","GP",I1300="PARTS COS","GP",I1300="SELLING EXPENSES","Selling Expenses",I1300="EMPLOYMENT EXPENSES","Selling Expenses",I1300="EMPLOYMENT EXPENSES","Selling Expenses",I1300="DIRECT EXPENSES","Selling Expenses",I1300="INDIRECT EXPENSES","Selling Expenses"),P1300="Parts",_xlfn.IFS(I1300="SALES","GP",I1300="SERVICE SALES","GP",I1300="PARTS SALES","GP",I1300="SERVICE COS","GP",I1300="PARTS COS","GP",I1300="SELLING EXPENSES","Selling Expenses",I1300="EMPLOYMENT EXPENSES","Selling Expenses",I1300="EMPLOYMENT EXPENSES","Selling Expenses",I1300="DIRECT EXPENSES","Selling Expenses",I1300="INDIRECT EXPENSES","Selling Expenses"))</f>
        <v>#N/A</v>
      </c>
    </row>
    <row r="1301" spans="1:18" x14ac:dyDescent="0.2">
      <c r="A1301" s="75">
        <v>7332</v>
      </c>
      <c r="B1301" s="76" t="s">
        <v>939</v>
      </c>
      <c r="C1301" s="76">
        <v>112</v>
      </c>
      <c r="D1301" s="76" t="s">
        <v>349</v>
      </c>
      <c r="E1301" s="76" t="s">
        <v>426</v>
      </c>
      <c r="F1301" s="77">
        <v>50635.96</v>
      </c>
      <c r="G1301" s="77">
        <v>2119.17</v>
      </c>
      <c r="H1301" s="77">
        <v>52755.13</v>
      </c>
      <c r="I1301" s="76" t="s">
        <v>936</v>
      </c>
      <c r="J1301" s="77">
        <v>5938.97</v>
      </c>
      <c r="K1301" s="78">
        <v>57103.1</v>
      </c>
      <c r="M1301" s="79" t="str">
        <f t="shared" si="62"/>
        <v>112-7332</v>
      </c>
      <c r="N1301" s="79" t="str">
        <f t="shared" si="60"/>
        <v/>
      </c>
      <c r="O1301" s="79" t="str">
        <f t="shared" si="61"/>
        <v>112</v>
      </c>
      <c r="P1301" s="79" t="str">
        <f>IFERROR(VLOOKUP($M1301,Export!$P:$R,2,FALSE),"-")</f>
        <v>LEX New Vehicle</v>
      </c>
      <c r="Q1301" s="79" t="str">
        <f>IFERROR(VLOOKUP($M1301,Export!$P:$R,3,FALSE),"-")</f>
        <v>LEX New VehicleDemo Expenses (incl. interest) p.u.</v>
      </c>
      <c r="R1301" s="80" t="e" cm="1">
        <f t="array" ref="R1301">_xlfn.IFS(P1301="Service", _xlfn.IFS(I1301="SALES","GP",I1301="SERVICE SALES","GP",I1301="PARTS SALES","GP",I1301="SERVICE COS","GP",I1301="PARTS COS","GP",I1301="SELLING EXPENSES","Selling Expenses",I1301="EMPLOYMENT EXPENSES","Selling Expenses",I1301="EMPLOYMENT EXPENSES","Selling Expenses",I1301="DIRECT EXPENSES","Selling Expenses",I1301="INDIRECT EXPENSES","Selling Expenses"),P1301="Parts",_xlfn.IFS(I1301="SALES","GP",I1301="SERVICE SALES","GP",I1301="PARTS SALES","GP",I1301="SERVICE COS","GP",I1301="PARTS COS","GP",I1301="SELLING EXPENSES","Selling Expenses",I1301="EMPLOYMENT EXPENSES","Selling Expenses",I1301="EMPLOYMENT EXPENSES","Selling Expenses",I1301="DIRECT EXPENSES","Selling Expenses",I1301="INDIRECT EXPENSES","Selling Expenses"))</f>
        <v>#N/A</v>
      </c>
    </row>
    <row r="1302" spans="1:18" x14ac:dyDescent="0.2">
      <c r="A1302" s="75">
        <v>7332</v>
      </c>
      <c r="B1302" s="76" t="s">
        <v>939</v>
      </c>
      <c r="C1302" s="76">
        <v>120</v>
      </c>
      <c r="D1302" s="76" t="s">
        <v>431</v>
      </c>
      <c r="E1302" s="76" t="s">
        <v>426</v>
      </c>
      <c r="F1302" s="77">
        <v>69615.44</v>
      </c>
      <c r="G1302" s="77">
        <v>7538.79</v>
      </c>
      <c r="H1302" s="77">
        <v>77154.23</v>
      </c>
      <c r="I1302" s="76" t="s">
        <v>936</v>
      </c>
      <c r="J1302" s="77">
        <v>8211.94</v>
      </c>
      <c r="K1302" s="78">
        <v>70190.679999999993</v>
      </c>
      <c r="M1302" s="79" t="str">
        <f t="shared" si="62"/>
        <v>120-7332</v>
      </c>
      <c r="N1302" s="79" t="str">
        <f t="shared" si="60"/>
        <v/>
      </c>
      <c r="O1302" s="79" t="str">
        <f t="shared" si="61"/>
        <v>120</v>
      </c>
      <c r="P1302" s="79" t="str">
        <f>IFERROR(VLOOKUP($M1302,Export!$P:$R,2,FALSE),"-")</f>
        <v>Used Vehicle</v>
      </c>
      <c r="Q1302" s="79" t="str">
        <f>IFERROR(VLOOKUP($M1302,Export!$P:$R,3,FALSE),"-")</f>
        <v>Used VehicleOther Semi-Fixed expenses per retail</v>
      </c>
      <c r="R1302" s="80" t="e" cm="1">
        <f t="array" ref="R1302">_xlfn.IFS(P1302="Service", _xlfn.IFS(I1302="SALES","GP",I1302="SERVICE SALES","GP",I1302="PARTS SALES","GP",I1302="SERVICE COS","GP",I1302="PARTS COS","GP",I1302="SELLING EXPENSES","Selling Expenses",I1302="EMPLOYMENT EXPENSES","Selling Expenses",I1302="EMPLOYMENT EXPENSES","Selling Expenses",I1302="DIRECT EXPENSES","Selling Expenses",I1302="INDIRECT EXPENSES","Selling Expenses"),P1302="Parts",_xlfn.IFS(I1302="SALES","GP",I1302="SERVICE SALES","GP",I1302="PARTS SALES","GP",I1302="SERVICE COS","GP",I1302="PARTS COS","GP",I1302="SELLING EXPENSES","Selling Expenses",I1302="EMPLOYMENT EXPENSES","Selling Expenses",I1302="EMPLOYMENT EXPENSES","Selling Expenses",I1302="DIRECT EXPENSES","Selling Expenses",I1302="INDIRECT EXPENSES","Selling Expenses"))</f>
        <v>#N/A</v>
      </c>
    </row>
    <row r="1303" spans="1:18" x14ac:dyDescent="0.2">
      <c r="A1303" s="75">
        <v>7332</v>
      </c>
      <c r="B1303" s="76" t="s">
        <v>939</v>
      </c>
      <c r="C1303" s="76">
        <v>121</v>
      </c>
      <c r="D1303" s="76" t="s">
        <v>449</v>
      </c>
      <c r="E1303" s="76" t="s">
        <v>426</v>
      </c>
      <c r="F1303" s="77">
        <v>-11312</v>
      </c>
      <c r="G1303" s="77">
        <v>-1201.9000000000001</v>
      </c>
      <c r="H1303" s="77">
        <v>-12513.9</v>
      </c>
      <c r="I1303" s="76" t="s">
        <v>936</v>
      </c>
      <c r="J1303" s="77">
        <v>587.38</v>
      </c>
      <c r="K1303" s="78">
        <v>15912.56</v>
      </c>
      <c r="M1303" s="79" t="str">
        <f t="shared" si="62"/>
        <v>121-7332</v>
      </c>
      <c r="N1303" s="79" t="str">
        <f t="shared" si="60"/>
        <v/>
      </c>
      <c r="O1303" s="79" t="str">
        <f t="shared" si="61"/>
        <v>121</v>
      </c>
      <c r="P1303" s="79" t="str">
        <f>IFERROR(VLOOKUP($M1303,Export!$P:$R,2,FALSE),"-")</f>
        <v>Used Vehicle</v>
      </c>
      <c r="Q1303" s="79" t="str">
        <f>IFERROR(VLOOKUP($M1303,Export!$P:$R,3,FALSE),"-")</f>
        <v>Used VehicleOther Semi-Fixed expenses per retail</v>
      </c>
      <c r="R1303" s="80" t="e" cm="1">
        <f t="array" ref="R1303">_xlfn.IFS(P1303="Service", _xlfn.IFS(I1303="SALES","GP",I1303="SERVICE SALES","GP",I1303="PARTS SALES","GP",I1303="SERVICE COS","GP",I1303="PARTS COS","GP",I1303="SELLING EXPENSES","Selling Expenses",I1303="EMPLOYMENT EXPENSES","Selling Expenses",I1303="EMPLOYMENT EXPENSES","Selling Expenses",I1303="DIRECT EXPENSES","Selling Expenses",I1303="INDIRECT EXPENSES","Selling Expenses"),P1303="Parts",_xlfn.IFS(I1303="SALES","GP",I1303="SERVICE SALES","GP",I1303="PARTS SALES","GP",I1303="SERVICE COS","GP",I1303="PARTS COS","GP",I1303="SELLING EXPENSES","Selling Expenses",I1303="EMPLOYMENT EXPENSES","Selling Expenses",I1303="EMPLOYMENT EXPENSES","Selling Expenses",I1303="DIRECT EXPENSES","Selling Expenses",I1303="INDIRECT EXPENSES","Selling Expenses"))</f>
        <v>#N/A</v>
      </c>
    </row>
    <row r="1304" spans="1:18" x14ac:dyDescent="0.2">
      <c r="A1304" s="75">
        <v>7332</v>
      </c>
      <c r="B1304" s="76" t="s">
        <v>939</v>
      </c>
      <c r="C1304" s="76">
        <v>122</v>
      </c>
      <c r="D1304" s="76" t="s">
        <v>452</v>
      </c>
      <c r="E1304" s="76" t="s">
        <v>426</v>
      </c>
      <c r="F1304" s="77">
        <v>-2323.13</v>
      </c>
      <c r="G1304" s="77">
        <v>1400.9</v>
      </c>
      <c r="H1304" s="77">
        <v>-922.23</v>
      </c>
      <c r="I1304" s="76" t="s">
        <v>936</v>
      </c>
      <c r="J1304" s="77">
        <v>0</v>
      </c>
      <c r="K1304" s="78">
        <v>-3100</v>
      </c>
      <c r="M1304" s="79" t="str">
        <f t="shared" si="62"/>
        <v>122-7332</v>
      </c>
      <c r="N1304" s="79" t="str">
        <f t="shared" si="60"/>
        <v/>
      </c>
      <c r="O1304" s="79" t="str">
        <f t="shared" si="61"/>
        <v>122</v>
      </c>
      <c r="P1304" s="79" t="str">
        <f>IFERROR(VLOOKUP($M1304,Export!$P:$R,2,FALSE),"-")</f>
        <v>LEX Used Vehicle</v>
      </c>
      <c r="Q1304" s="79" t="str">
        <f>IFERROR(VLOOKUP($M1304,Export!$P:$R,3,FALSE),"-")</f>
        <v>LEX Used VehicleOther Variable expenses per retail</v>
      </c>
      <c r="R1304" s="80" t="e" cm="1">
        <f t="array" ref="R1304">_xlfn.IFS(P1304="Service", _xlfn.IFS(I1304="SALES","GP",I1304="SERVICE SALES","GP",I1304="PARTS SALES","GP",I1304="SERVICE COS","GP",I1304="PARTS COS","GP",I1304="SELLING EXPENSES","Selling Expenses",I1304="EMPLOYMENT EXPENSES","Selling Expenses",I1304="EMPLOYMENT EXPENSES","Selling Expenses",I1304="DIRECT EXPENSES","Selling Expenses",I1304="INDIRECT EXPENSES","Selling Expenses"),P1304="Parts",_xlfn.IFS(I1304="SALES","GP",I1304="SERVICE SALES","GP",I1304="PARTS SALES","GP",I1304="SERVICE COS","GP",I1304="PARTS COS","GP",I1304="SELLING EXPENSES","Selling Expenses",I1304="EMPLOYMENT EXPENSES","Selling Expenses",I1304="EMPLOYMENT EXPENSES","Selling Expenses",I1304="DIRECT EXPENSES","Selling Expenses",I1304="INDIRECT EXPENSES","Selling Expenses"))</f>
        <v>#N/A</v>
      </c>
    </row>
    <row r="1305" spans="1:18" x14ac:dyDescent="0.2">
      <c r="A1305" s="75">
        <v>7332</v>
      </c>
      <c r="B1305" s="76" t="s">
        <v>939</v>
      </c>
      <c r="C1305" s="76">
        <v>130</v>
      </c>
      <c r="D1305" s="76" t="s">
        <v>432</v>
      </c>
      <c r="E1305" s="76" t="s">
        <v>426</v>
      </c>
      <c r="F1305" s="77">
        <v>11659.13</v>
      </c>
      <c r="G1305" s="77">
        <v>1069.9100000000001</v>
      </c>
      <c r="H1305" s="77">
        <v>12729.04</v>
      </c>
      <c r="I1305" s="76" t="s">
        <v>936</v>
      </c>
      <c r="J1305" s="77">
        <v>1591.42</v>
      </c>
      <c r="K1305" s="78">
        <v>15881.53</v>
      </c>
      <c r="M1305" s="79" t="str">
        <f t="shared" si="62"/>
        <v>130-7332</v>
      </c>
      <c r="N1305" s="79" t="str">
        <f t="shared" si="60"/>
        <v/>
      </c>
      <c r="O1305" s="79" t="str">
        <f t="shared" si="61"/>
        <v>130</v>
      </c>
      <c r="P1305" s="79" t="str">
        <f>IFERROR(VLOOKUP($M1305,Export!$P:$R,2,FALSE),"-")</f>
        <v>Parts</v>
      </c>
      <c r="Q1305" s="79" t="str">
        <f>IFERROR(VLOOKUP($M1305,Export!$P:$R,3,FALSE),"-")</f>
        <v>PartsOther Expenses as % of Sales</v>
      </c>
      <c r="R1305" s="80" t="str" cm="1">
        <f t="array" ref="R1305">_xlfn.IFS(P1305="Service", _xlfn.IFS(I1305="SALES","GP",I1305="SERVICE SALES","GP",I1305="PARTS SALES","GP",I1305="SERVICE COS","GP",I1305="PARTS COS","GP",I1305="SELLING EXPENSES","Selling Expenses",I1305="EMPLOYMENT EXPENSES","Selling Expenses",I1305="EMPLOYMENT EXPENSES","Selling Expenses",I1305="DIRECT EXPENSES","Selling Expenses",I1305="INDIRECT EXPENSES","Selling Expenses"),P1305="Parts",_xlfn.IFS(I1305="SALES","GP",I1305="SERVICE SALES","GP",I1305="PARTS SALES","GP",I1305="SERVICE COS","GP",I1305="PARTS COS","GP",I1305="SELLING EXPENSES","Selling Expenses",I1305="EMPLOYMENT EXPENSES","Selling Expenses",I1305="EMPLOYMENT EXPENSES","Selling Expenses",I1305="DIRECT EXPENSES","Selling Expenses",I1305="INDIRECT EXPENSES","Selling Expenses"))</f>
        <v>Selling Expenses</v>
      </c>
    </row>
    <row r="1306" spans="1:18" x14ac:dyDescent="0.2">
      <c r="A1306" s="75">
        <v>7332</v>
      </c>
      <c r="B1306" s="76" t="s">
        <v>939</v>
      </c>
      <c r="C1306" s="76">
        <v>140</v>
      </c>
      <c r="D1306" s="76" t="s">
        <v>433</v>
      </c>
      <c r="E1306" s="76" t="s">
        <v>426</v>
      </c>
      <c r="F1306" s="77">
        <v>35165.129999999997</v>
      </c>
      <c r="G1306" s="77">
        <v>4164.07</v>
      </c>
      <c r="H1306" s="77">
        <v>39329.199999999997</v>
      </c>
      <c r="I1306" s="76" t="s">
        <v>936</v>
      </c>
      <c r="J1306" s="77">
        <v>6000</v>
      </c>
      <c r="K1306" s="78">
        <v>44522.63</v>
      </c>
      <c r="M1306" s="79" t="str">
        <f t="shared" si="62"/>
        <v>140-7332</v>
      </c>
      <c r="N1306" s="79" t="str">
        <f t="shared" si="60"/>
        <v/>
      </c>
      <c r="O1306" s="79" t="str">
        <f t="shared" si="61"/>
        <v>140</v>
      </c>
      <c r="P1306" s="79" t="str">
        <f>IFERROR(VLOOKUP($M1306,Export!$P:$R,2,FALSE),"-")</f>
        <v>Service</v>
      </c>
      <c r="Q1306" s="79" t="str">
        <f>IFERROR(VLOOKUP($M1306,Export!$P:$R,3,FALSE),"-")</f>
        <v>ServiceOther Expenses as % of Sales</v>
      </c>
      <c r="R1306" s="80" t="str" cm="1">
        <f t="array" ref="R1306">_xlfn.IFS(P1306="Service", _xlfn.IFS(I1306="SALES","GP",I1306="SERVICE SALES","GP",I1306="PARTS SALES","GP",I1306="SERVICE COS","GP",I1306="PARTS COS","GP",I1306="SELLING EXPENSES","Selling Expenses",I1306="EMPLOYMENT EXPENSES","Selling Expenses",I1306="EMPLOYMENT EXPENSES","Selling Expenses",I1306="DIRECT EXPENSES","Selling Expenses",I1306="INDIRECT EXPENSES","Selling Expenses"),P1306="Parts",_xlfn.IFS(I1306="SALES","GP",I1306="SERVICE SALES","GP",I1306="PARTS SALES","GP",I1306="SERVICE COS","GP",I1306="PARTS COS","GP",I1306="SELLING EXPENSES","Selling Expenses",I1306="EMPLOYMENT EXPENSES","Selling Expenses",I1306="EMPLOYMENT EXPENSES","Selling Expenses",I1306="DIRECT EXPENSES","Selling Expenses",I1306="INDIRECT EXPENSES","Selling Expenses"))</f>
        <v>Selling Expenses</v>
      </c>
    </row>
    <row r="1307" spans="1:18" x14ac:dyDescent="0.2">
      <c r="A1307" s="75">
        <v>7332</v>
      </c>
      <c r="B1307" s="76" t="s">
        <v>939</v>
      </c>
      <c r="C1307" s="76">
        <v>142</v>
      </c>
      <c r="D1307" s="76" t="s">
        <v>454</v>
      </c>
      <c r="E1307" s="76" t="s">
        <v>426</v>
      </c>
      <c r="F1307" s="77">
        <v>1347.15</v>
      </c>
      <c r="G1307" s="77">
        <v>115.61</v>
      </c>
      <c r="H1307" s="77">
        <v>1462.76</v>
      </c>
      <c r="I1307" s="76" t="s">
        <v>936</v>
      </c>
      <c r="J1307" s="77">
        <v>0</v>
      </c>
      <c r="K1307" s="78">
        <v>0</v>
      </c>
      <c r="M1307" s="79" t="str">
        <f t="shared" si="62"/>
        <v>142-7332</v>
      </c>
      <c r="N1307" s="79" t="str">
        <f t="shared" si="60"/>
        <v/>
      </c>
      <c r="O1307" s="79" t="str">
        <f t="shared" si="61"/>
        <v>142</v>
      </c>
      <c r="P1307" s="79" t="str">
        <f>IFERROR(VLOOKUP($M1307,Export!$P:$R,2,FALSE),"-")</f>
        <v>Lex Service</v>
      </c>
      <c r="Q1307" s="79" t="str">
        <f>IFERROR(VLOOKUP($M1307,Export!$P:$R,3,FALSE),"-")</f>
        <v>Lex ServiceOther Expenses as % of Sales</v>
      </c>
      <c r="R1307" s="80" t="e" cm="1">
        <f t="array" ref="R1307">_xlfn.IFS(P1307="Service", _xlfn.IFS(I1307="SALES","GP",I1307="SERVICE SALES","GP",I1307="PARTS SALES","GP",I1307="SERVICE COS","GP",I1307="PARTS COS","GP",I1307="SELLING EXPENSES","Selling Expenses",I1307="EMPLOYMENT EXPENSES","Selling Expenses",I1307="EMPLOYMENT EXPENSES","Selling Expenses",I1307="DIRECT EXPENSES","Selling Expenses",I1307="INDIRECT EXPENSES","Selling Expenses"),P1307="Parts",_xlfn.IFS(I1307="SALES","GP",I1307="SERVICE SALES","GP",I1307="PARTS SALES","GP",I1307="SERVICE COS","GP",I1307="PARTS COS","GP",I1307="SELLING EXPENSES","Selling Expenses",I1307="EMPLOYMENT EXPENSES","Selling Expenses",I1307="EMPLOYMENT EXPENSES","Selling Expenses",I1307="DIRECT EXPENSES","Selling Expenses",I1307="INDIRECT EXPENSES","Selling Expenses"))</f>
        <v>#N/A</v>
      </c>
    </row>
    <row r="1308" spans="1:18" x14ac:dyDescent="0.2">
      <c r="A1308" s="75">
        <v>7332</v>
      </c>
      <c r="B1308" s="76" t="s">
        <v>939</v>
      </c>
      <c r="C1308" s="76">
        <v>147</v>
      </c>
      <c r="D1308" s="76" t="s">
        <v>699</v>
      </c>
      <c r="E1308" s="76" t="s">
        <v>426</v>
      </c>
      <c r="F1308" s="77">
        <v>429.03</v>
      </c>
      <c r="G1308" s="77">
        <v>0</v>
      </c>
      <c r="H1308" s="77">
        <v>429.03</v>
      </c>
      <c r="I1308" s="76" t="s">
        <v>936</v>
      </c>
      <c r="J1308" s="77">
        <v>1000</v>
      </c>
      <c r="K1308" s="78">
        <v>9675.83</v>
      </c>
      <c r="M1308" s="79" t="str">
        <f t="shared" si="62"/>
        <v>147-7332</v>
      </c>
      <c r="N1308" s="79" t="str">
        <f t="shared" si="60"/>
        <v/>
      </c>
      <c r="O1308" s="79" t="str">
        <f t="shared" si="61"/>
        <v>147</v>
      </c>
      <c r="P1308" s="79" t="str">
        <f>IFERROR(VLOOKUP($M1308,Export!$P:$R,2,FALSE),"-")</f>
        <v>Service</v>
      </c>
      <c r="Q1308" s="79" t="str">
        <f>IFERROR(VLOOKUP($M1308,Export!$P:$R,3,FALSE),"-")</f>
        <v>ServiceOther Expenses as % of Sales</v>
      </c>
      <c r="R1308" s="80" t="str" cm="1">
        <f t="array" ref="R1308">_xlfn.IFS(P1308="Service", _xlfn.IFS(I1308="SALES","GP",I1308="SERVICE SALES","GP",I1308="PARTS SALES","GP",I1308="SERVICE COS","GP",I1308="PARTS COS","GP",I1308="SELLING EXPENSES","Selling Expenses",I1308="EMPLOYMENT EXPENSES","Selling Expenses",I1308="EMPLOYMENT EXPENSES","Selling Expenses",I1308="DIRECT EXPENSES","Selling Expenses",I1308="INDIRECT EXPENSES","Selling Expenses"),P1308="Parts",_xlfn.IFS(I1308="SALES","GP",I1308="SERVICE SALES","GP",I1308="PARTS SALES","GP",I1308="SERVICE COS","GP",I1308="PARTS COS","GP",I1308="SELLING EXPENSES","Selling Expenses",I1308="EMPLOYMENT EXPENSES","Selling Expenses",I1308="EMPLOYMENT EXPENSES","Selling Expenses",I1308="DIRECT EXPENSES","Selling Expenses",I1308="INDIRECT EXPENSES","Selling Expenses"))</f>
        <v>Selling Expenses</v>
      </c>
    </row>
    <row r="1309" spans="1:18" x14ac:dyDescent="0.2">
      <c r="A1309" s="75">
        <v>7332</v>
      </c>
      <c r="B1309" s="76" t="s">
        <v>939</v>
      </c>
      <c r="C1309" s="76">
        <v>150</v>
      </c>
      <c r="D1309" s="76" t="s">
        <v>700</v>
      </c>
      <c r="E1309" s="76" t="s">
        <v>426</v>
      </c>
      <c r="F1309" s="77">
        <v>1633.36</v>
      </c>
      <c r="G1309" s="77">
        <v>115.61</v>
      </c>
      <c r="H1309" s="77">
        <v>1748.97</v>
      </c>
      <c r="I1309" s="76" t="s">
        <v>936</v>
      </c>
      <c r="J1309" s="77">
        <v>0</v>
      </c>
      <c r="K1309" s="78">
        <v>0</v>
      </c>
      <c r="M1309" s="79" t="str">
        <f t="shared" si="62"/>
        <v>150-7332</v>
      </c>
      <c r="N1309" s="79" t="str">
        <f t="shared" si="60"/>
        <v/>
      </c>
      <c r="O1309" s="79" t="str">
        <f t="shared" si="61"/>
        <v>150</v>
      </c>
      <c r="P1309" s="79" t="str">
        <f>IFERROR(VLOOKUP($M1309,Export!$P:$R,2,FALSE),"-")</f>
        <v>Retail Detailing</v>
      </c>
      <c r="Q1309" s="79" t="str">
        <f>IFERROR(VLOOKUP($M1309,Export!$P:$R,3,FALSE),"-")</f>
        <v>Retail DetailingOther Expenses as % of Sales</v>
      </c>
      <c r="R1309" s="80" t="e" cm="1">
        <f t="array" ref="R1309">_xlfn.IFS(P1309="Service", _xlfn.IFS(I1309="SALES","GP",I1309="SERVICE SALES","GP",I1309="PARTS SALES","GP",I1309="SERVICE COS","GP",I1309="PARTS COS","GP",I1309="SELLING EXPENSES","Selling Expenses",I1309="EMPLOYMENT EXPENSES","Selling Expenses",I1309="EMPLOYMENT EXPENSES","Selling Expenses",I1309="DIRECT EXPENSES","Selling Expenses",I1309="INDIRECT EXPENSES","Selling Expenses"),P1309="Parts",_xlfn.IFS(I1309="SALES","GP",I1309="SERVICE SALES","GP",I1309="PARTS SALES","GP",I1309="SERVICE COS","GP",I1309="PARTS COS","GP",I1309="SELLING EXPENSES","Selling Expenses",I1309="EMPLOYMENT EXPENSES","Selling Expenses",I1309="EMPLOYMENT EXPENSES","Selling Expenses",I1309="DIRECT EXPENSES","Selling Expenses",I1309="INDIRECT EXPENSES","Selling Expenses"))</f>
        <v>#N/A</v>
      </c>
    </row>
    <row r="1310" spans="1:18" x14ac:dyDescent="0.2">
      <c r="A1310" s="75">
        <v>7332</v>
      </c>
      <c r="B1310" s="76" t="s">
        <v>939</v>
      </c>
      <c r="C1310" s="76">
        <v>160</v>
      </c>
      <c r="D1310" s="76" t="s">
        <v>434</v>
      </c>
      <c r="E1310" s="76" t="s">
        <v>426</v>
      </c>
      <c r="F1310" s="77">
        <v>7631.05</v>
      </c>
      <c r="G1310" s="77">
        <v>643.14</v>
      </c>
      <c r="H1310" s="77">
        <v>8274.19</v>
      </c>
      <c r="I1310" s="76" t="s">
        <v>936</v>
      </c>
      <c r="J1310" s="77">
        <v>1300</v>
      </c>
      <c r="K1310" s="78">
        <v>13628.37</v>
      </c>
      <c r="M1310" s="79" t="str">
        <f t="shared" si="62"/>
        <v>160-7332</v>
      </c>
      <c r="N1310" s="79" t="str">
        <f t="shared" si="60"/>
        <v/>
      </c>
      <c r="O1310" s="79" t="str">
        <f t="shared" si="61"/>
        <v>160</v>
      </c>
      <c r="P1310" s="79" t="str">
        <f>IFERROR(VLOOKUP($M1310,Export!$P:$R,2,FALSE),"-")</f>
        <v>F&amp;I</v>
      </c>
      <c r="Q1310" s="79" t="str">
        <f>IFERROR(VLOOKUP($M1310,Export!$P:$R,3,FALSE),"-")</f>
        <v>F&amp;IOther Expenses per vehicle retailed</v>
      </c>
      <c r="R1310" s="80" t="e" cm="1">
        <f t="array" ref="R1310">_xlfn.IFS(P1310="Service", _xlfn.IFS(I1310="SALES","GP",I1310="SERVICE SALES","GP",I1310="PARTS SALES","GP",I1310="SERVICE COS","GP",I1310="PARTS COS","GP",I1310="SELLING EXPENSES","Selling Expenses",I1310="EMPLOYMENT EXPENSES","Selling Expenses",I1310="EMPLOYMENT EXPENSES","Selling Expenses",I1310="DIRECT EXPENSES","Selling Expenses",I1310="INDIRECT EXPENSES","Selling Expenses"),P1310="Parts",_xlfn.IFS(I1310="SALES","GP",I1310="SERVICE SALES","GP",I1310="PARTS SALES","GP",I1310="SERVICE COS","GP",I1310="PARTS COS","GP",I1310="SELLING EXPENSES","Selling Expenses",I1310="EMPLOYMENT EXPENSES","Selling Expenses",I1310="EMPLOYMENT EXPENSES","Selling Expenses",I1310="DIRECT EXPENSES","Selling Expenses",I1310="INDIRECT EXPENSES","Selling Expenses"))</f>
        <v>#N/A</v>
      </c>
    </row>
    <row r="1311" spans="1:18" x14ac:dyDescent="0.2">
      <c r="A1311" s="75">
        <v>7332</v>
      </c>
      <c r="B1311" s="76" t="s">
        <v>939</v>
      </c>
      <c r="C1311" s="76">
        <v>190</v>
      </c>
      <c r="D1311" s="76" t="s">
        <v>435</v>
      </c>
      <c r="E1311" s="76" t="s">
        <v>426</v>
      </c>
      <c r="F1311" s="77">
        <v>648.83000000000004</v>
      </c>
      <c r="G1311" s="77">
        <v>164.22</v>
      </c>
      <c r="H1311" s="77">
        <v>813.05</v>
      </c>
      <c r="I1311" s="76" t="s">
        <v>936</v>
      </c>
      <c r="J1311" s="77">
        <v>0</v>
      </c>
      <c r="K1311" s="78">
        <v>0</v>
      </c>
      <c r="M1311" s="79" t="str">
        <f t="shared" si="62"/>
        <v>190-7332</v>
      </c>
      <c r="N1311" s="79" t="str">
        <f t="shared" si="60"/>
        <v/>
      </c>
      <c r="O1311" s="79" t="str">
        <f t="shared" si="61"/>
        <v>190</v>
      </c>
      <c r="P1311" s="79" t="str">
        <f>IFERROR(VLOOKUP($M1311,Export!$P:$R,2,FALSE),"-")</f>
        <v>Admin &amp; Other</v>
      </c>
      <c r="Q1311" s="79" t="str">
        <f>IFERROR(VLOOKUP($M1311,Export!$P:$R,3,FALSE),"-")</f>
        <v>Admin &amp; OtherOther Overheads as % of Total Gross Profit</v>
      </c>
      <c r="R1311" s="80" t="e" cm="1">
        <f t="array" ref="R1311">_xlfn.IFS(P1311="Service", _xlfn.IFS(I1311="SALES","GP",I1311="SERVICE SALES","GP",I1311="PARTS SALES","GP",I1311="SERVICE COS","GP",I1311="PARTS COS","GP",I1311="SELLING EXPENSES","Selling Expenses",I1311="EMPLOYMENT EXPENSES","Selling Expenses",I1311="EMPLOYMENT EXPENSES","Selling Expenses",I1311="DIRECT EXPENSES","Selling Expenses",I1311="INDIRECT EXPENSES","Selling Expenses"),P1311="Parts",_xlfn.IFS(I1311="SALES","GP",I1311="SERVICE SALES","GP",I1311="PARTS SALES","GP",I1311="SERVICE COS","GP",I1311="PARTS COS","GP",I1311="SELLING EXPENSES","Selling Expenses",I1311="EMPLOYMENT EXPENSES","Selling Expenses",I1311="EMPLOYMENT EXPENSES","Selling Expenses",I1311="DIRECT EXPENSES","Selling Expenses",I1311="INDIRECT EXPENSES","Selling Expenses"))</f>
        <v>#N/A</v>
      </c>
    </row>
    <row r="1312" spans="1:18" x14ac:dyDescent="0.2">
      <c r="A1312" s="75">
        <v>7332</v>
      </c>
      <c r="B1312" s="76" t="s">
        <v>939</v>
      </c>
      <c r="C1312" s="76">
        <v>210</v>
      </c>
      <c r="D1312" s="76" t="s">
        <v>436</v>
      </c>
      <c r="E1312" s="76" t="s">
        <v>426</v>
      </c>
      <c r="F1312" s="77">
        <v>-786</v>
      </c>
      <c r="G1312" s="77">
        <v>798.79</v>
      </c>
      <c r="H1312" s="77">
        <v>12.79</v>
      </c>
      <c r="I1312" s="76" t="s">
        <v>936</v>
      </c>
      <c r="J1312" s="77">
        <v>7500</v>
      </c>
      <c r="K1312" s="78">
        <v>54081.33</v>
      </c>
      <c r="M1312" s="79" t="str">
        <f t="shared" si="62"/>
        <v>210-7332</v>
      </c>
      <c r="N1312" s="79" t="str">
        <f t="shared" si="60"/>
        <v/>
      </c>
      <c r="O1312" s="79" t="str">
        <f t="shared" si="61"/>
        <v>210</v>
      </c>
      <c r="P1312" s="79" t="str">
        <f>IFERROR(VLOOKUP($M1312,Export!$P:$R,2,FALSE),"-")</f>
        <v>New Vehicle</v>
      </c>
      <c r="Q1312" s="79" t="str">
        <f>IFERROR(VLOOKUP($M1312,Export!$P:$R,3,FALSE),"-")</f>
        <v>New VehicleDemo Expenses (incl. interest) p.u.</v>
      </c>
      <c r="R1312" s="80" t="e" cm="1">
        <f t="array" ref="R1312">_xlfn.IFS(P1312="Service", _xlfn.IFS(I1312="SALES","GP",I1312="SERVICE SALES","GP",I1312="PARTS SALES","GP",I1312="SERVICE COS","GP",I1312="PARTS COS","GP",I1312="SELLING EXPENSES","Selling Expenses",I1312="EMPLOYMENT EXPENSES","Selling Expenses",I1312="EMPLOYMENT EXPENSES","Selling Expenses",I1312="DIRECT EXPENSES","Selling Expenses",I1312="INDIRECT EXPENSES","Selling Expenses"),P1312="Parts",_xlfn.IFS(I1312="SALES","GP",I1312="SERVICE SALES","GP",I1312="PARTS SALES","GP",I1312="SERVICE COS","GP",I1312="PARTS COS","GP",I1312="SELLING EXPENSES","Selling Expenses",I1312="EMPLOYMENT EXPENSES","Selling Expenses",I1312="EMPLOYMENT EXPENSES","Selling Expenses",I1312="DIRECT EXPENSES","Selling Expenses",I1312="INDIRECT EXPENSES","Selling Expenses"))</f>
        <v>#N/A</v>
      </c>
    </row>
    <row r="1313" spans="1:18" x14ac:dyDescent="0.2">
      <c r="A1313" s="75">
        <v>7332</v>
      </c>
      <c r="B1313" s="76" t="s">
        <v>939</v>
      </c>
      <c r="C1313" s="76">
        <v>220</v>
      </c>
      <c r="D1313" s="76" t="s">
        <v>437</v>
      </c>
      <c r="E1313" s="76" t="s">
        <v>426</v>
      </c>
      <c r="F1313" s="77">
        <v>65035.65</v>
      </c>
      <c r="G1313" s="77">
        <v>3650.44</v>
      </c>
      <c r="H1313" s="77">
        <v>68686.09</v>
      </c>
      <c r="I1313" s="76" t="s">
        <v>936</v>
      </c>
      <c r="J1313" s="77">
        <v>3200</v>
      </c>
      <c r="K1313" s="78">
        <v>35333.74</v>
      </c>
      <c r="M1313" s="79" t="str">
        <f t="shared" si="62"/>
        <v>220-7332</v>
      </c>
      <c r="N1313" s="79" t="str">
        <f t="shared" si="60"/>
        <v/>
      </c>
      <c r="O1313" s="79" t="str">
        <f t="shared" si="61"/>
        <v>220</v>
      </c>
      <c r="P1313" s="79" t="str">
        <f>IFERROR(VLOOKUP($M1313,Export!$P:$R,2,FALSE),"-")</f>
        <v>Used Vehicle</v>
      </c>
      <c r="Q1313" s="79" t="str">
        <f>IFERROR(VLOOKUP($M1313,Export!$P:$R,3,FALSE),"-")</f>
        <v>Used VehicleOther Semi-Fixed expenses per retail</v>
      </c>
      <c r="R1313" s="80" t="e" cm="1">
        <f t="array" ref="R1313">_xlfn.IFS(P1313="Service", _xlfn.IFS(I1313="SALES","GP",I1313="SERVICE SALES","GP",I1313="PARTS SALES","GP",I1313="SERVICE COS","GP",I1313="PARTS COS","GP",I1313="SELLING EXPENSES","Selling Expenses",I1313="EMPLOYMENT EXPENSES","Selling Expenses",I1313="EMPLOYMENT EXPENSES","Selling Expenses",I1313="DIRECT EXPENSES","Selling Expenses",I1313="INDIRECT EXPENSES","Selling Expenses"),P1313="Parts",_xlfn.IFS(I1313="SALES","GP",I1313="SERVICE SALES","GP",I1313="PARTS SALES","GP",I1313="SERVICE COS","GP",I1313="PARTS COS","GP",I1313="SELLING EXPENSES","Selling Expenses",I1313="EMPLOYMENT EXPENSES","Selling Expenses",I1313="EMPLOYMENT EXPENSES","Selling Expenses",I1313="DIRECT EXPENSES","Selling Expenses",I1313="INDIRECT EXPENSES","Selling Expenses"))</f>
        <v>#N/A</v>
      </c>
    </row>
    <row r="1314" spans="1:18" x14ac:dyDescent="0.2">
      <c r="A1314" s="75">
        <v>7332</v>
      </c>
      <c r="B1314" s="76" t="s">
        <v>939</v>
      </c>
      <c r="C1314" s="76">
        <v>230</v>
      </c>
      <c r="D1314" s="76" t="s">
        <v>438</v>
      </c>
      <c r="E1314" s="76" t="s">
        <v>426</v>
      </c>
      <c r="F1314" s="77">
        <v>5654.4</v>
      </c>
      <c r="G1314" s="77">
        <v>506.48</v>
      </c>
      <c r="H1314" s="77">
        <v>6160.88</v>
      </c>
      <c r="I1314" s="76" t="s">
        <v>936</v>
      </c>
      <c r="J1314" s="77">
        <v>900</v>
      </c>
      <c r="K1314" s="78">
        <v>8509.83</v>
      </c>
      <c r="M1314" s="79" t="str">
        <f t="shared" si="62"/>
        <v>230-7332</v>
      </c>
      <c r="N1314" s="79" t="str">
        <f t="shared" si="60"/>
        <v/>
      </c>
      <c r="O1314" s="79" t="str">
        <f t="shared" si="61"/>
        <v>230</v>
      </c>
      <c r="P1314" s="79" t="str">
        <f>IFERROR(VLOOKUP($M1314,Export!$P:$R,2,FALSE),"-")</f>
        <v>Parts</v>
      </c>
      <c r="Q1314" s="79" t="str">
        <f>IFERROR(VLOOKUP($M1314,Export!$P:$R,3,FALSE),"-")</f>
        <v>PartsOther Expenses as % of Sales</v>
      </c>
      <c r="R1314" s="80" t="str" cm="1">
        <f t="array" ref="R1314">_xlfn.IFS(P1314="Service", _xlfn.IFS(I1314="SALES","GP",I1314="SERVICE SALES","GP",I1314="PARTS SALES","GP",I1314="SERVICE COS","GP",I1314="PARTS COS","GP",I1314="SELLING EXPENSES","Selling Expenses",I1314="EMPLOYMENT EXPENSES","Selling Expenses",I1314="EMPLOYMENT EXPENSES","Selling Expenses",I1314="DIRECT EXPENSES","Selling Expenses",I1314="INDIRECT EXPENSES","Selling Expenses"),P1314="Parts",_xlfn.IFS(I1314="SALES","GP",I1314="SERVICE SALES","GP",I1314="PARTS SALES","GP",I1314="SERVICE COS","GP",I1314="PARTS COS","GP",I1314="SELLING EXPENSES","Selling Expenses",I1314="EMPLOYMENT EXPENSES","Selling Expenses",I1314="EMPLOYMENT EXPENSES","Selling Expenses",I1314="DIRECT EXPENSES","Selling Expenses",I1314="INDIRECT EXPENSES","Selling Expenses"))</f>
        <v>Selling Expenses</v>
      </c>
    </row>
    <row r="1315" spans="1:18" x14ac:dyDescent="0.2">
      <c r="A1315" s="75">
        <v>7332</v>
      </c>
      <c r="B1315" s="298" t="s">
        <v>939</v>
      </c>
      <c r="C1315" s="76">
        <v>240</v>
      </c>
      <c r="D1315" s="76" t="s">
        <v>439</v>
      </c>
      <c r="E1315" s="76" t="s">
        <v>426</v>
      </c>
      <c r="F1315" s="77">
        <v>8106.41</v>
      </c>
      <c r="G1315" s="77">
        <v>1374.03</v>
      </c>
      <c r="H1315" s="77">
        <v>9480.44</v>
      </c>
      <c r="I1315" s="76" t="s">
        <v>936</v>
      </c>
      <c r="J1315" s="77">
        <v>2300</v>
      </c>
      <c r="K1315" s="78">
        <v>23292.89</v>
      </c>
      <c r="M1315" s="79" t="str">
        <f t="shared" si="62"/>
        <v>240-7332</v>
      </c>
      <c r="N1315" s="79" t="str">
        <f t="shared" si="60"/>
        <v/>
      </c>
      <c r="O1315" s="79" t="str">
        <f t="shared" si="61"/>
        <v>240</v>
      </c>
      <c r="P1315" s="79" t="str">
        <f>IFERROR(VLOOKUP($M1315,Export!$P:$R,2,FALSE),"-")</f>
        <v>Service</v>
      </c>
      <c r="Q1315" s="79" t="str">
        <f>IFERROR(VLOOKUP($M1315,Export!$P:$R,3,FALSE),"-")</f>
        <v>ServiceOther Expenses as % of Sales</v>
      </c>
      <c r="R1315" s="80" t="str" cm="1">
        <f t="array" ref="R1315">_xlfn.IFS(P1315="Service", _xlfn.IFS(I1315="SALES","GP",I1315="SERVICE SALES","GP",I1315="PARTS SALES","GP",I1315="SERVICE COS","GP",I1315="PARTS COS","GP",I1315="SELLING EXPENSES","Selling Expenses",I1315="EMPLOYMENT EXPENSES","Selling Expenses",I1315="EMPLOYMENT EXPENSES","Selling Expenses",I1315="DIRECT EXPENSES","Selling Expenses",I1315="INDIRECT EXPENSES","Selling Expenses"),P1315="Parts",_xlfn.IFS(I1315="SALES","GP",I1315="SERVICE SALES","GP",I1315="PARTS SALES","GP",I1315="SERVICE COS","GP",I1315="PARTS COS","GP",I1315="SELLING EXPENSES","Selling Expenses",I1315="EMPLOYMENT EXPENSES","Selling Expenses",I1315="EMPLOYMENT EXPENSES","Selling Expenses",I1315="DIRECT EXPENSES","Selling Expenses",I1315="INDIRECT EXPENSES","Selling Expenses"))</f>
        <v>Selling Expenses</v>
      </c>
    </row>
    <row r="1316" spans="1:18" x14ac:dyDescent="0.2">
      <c r="A1316" s="75">
        <v>7332</v>
      </c>
      <c r="B1316" s="76" t="s">
        <v>939</v>
      </c>
      <c r="C1316" s="76">
        <v>260</v>
      </c>
      <c r="D1316" s="76" t="s">
        <v>456</v>
      </c>
      <c r="E1316" s="76" t="s">
        <v>426</v>
      </c>
      <c r="F1316" s="77">
        <v>4002.05</v>
      </c>
      <c r="G1316" s="77">
        <v>402.93</v>
      </c>
      <c r="H1316" s="77">
        <v>4404.9799999999996</v>
      </c>
      <c r="I1316" s="76" t="s">
        <v>936</v>
      </c>
      <c r="J1316" s="77">
        <v>200</v>
      </c>
      <c r="K1316" s="78">
        <v>1840.94</v>
      </c>
      <c r="M1316" s="79" t="str">
        <f t="shared" si="62"/>
        <v>260-7332</v>
      </c>
      <c r="N1316" s="79" t="str">
        <f t="shared" si="60"/>
        <v/>
      </c>
      <c r="O1316" s="79" t="str">
        <f t="shared" si="61"/>
        <v>260</v>
      </c>
      <c r="P1316" s="79" t="str">
        <f>IFERROR(VLOOKUP($M1316,Export!$P:$R,2,FALSE),"-")</f>
        <v>F&amp;I</v>
      </c>
      <c r="Q1316" s="79" t="str">
        <f>IFERROR(VLOOKUP($M1316,Export!$P:$R,3,FALSE),"-")</f>
        <v>F&amp;IOther Expenses per vehicle retailed</v>
      </c>
      <c r="R1316" s="80" t="e" cm="1">
        <f t="array" ref="R1316">_xlfn.IFS(P1316="Service", _xlfn.IFS(I1316="SALES","GP",I1316="SERVICE SALES","GP",I1316="PARTS SALES","GP",I1316="SERVICE COS","GP",I1316="PARTS COS","GP",I1316="SELLING EXPENSES","Selling Expenses",I1316="EMPLOYMENT EXPENSES","Selling Expenses",I1316="EMPLOYMENT EXPENSES","Selling Expenses",I1316="DIRECT EXPENSES","Selling Expenses",I1316="INDIRECT EXPENSES","Selling Expenses"),P1316="Parts",_xlfn.IFS(I1316="SALES","GP",I1316="SERVICE SALES","GP",I1316="PARTS SALES","GP",I1316="SERVICE COS","GP",I1316="PARTS COS","GP",I1316="SELLING EXPENSES","Selling Expenses",I1316="EMPLOYMENT EXPENSES","Selling Expenses",I1316="EMPLOYMENT EXPENSES","Selling Expenses",I1316="DIRECT EXPENSES","Selling Expenses",I1316="INDIRECT EXPENSES","Selling Expenses"))</f>
        <v>#N/A</v>
      </c>
    </row>
    <row r="1317" spans="1:18" x14ac:dyDescent="0.2">
      <c r="A1317" s="75">
        <v>7332</v>
      </c>
      <c r="B1317" s="76" t="s">
        <v>939</v>
      </c>
      <c r="C1317" s="76">
        <v>330</v>
      </c>
      <c r="D1317" s="76" t="s">
        <v>457</v>
      </c>
      <c r="E1317" s="76" t="s">
        <v>426</v>
      </c>
      <c r="F1317" s="77">
        <v>3052.86</v>
      </c>
      <c r="G1317" s="77">
        <v>271.02</v>
      </c>
      <c r="H1317" s="77">
        <v>3323.88</v>
      </c>
      <c r="I1317" s="76" t="s">
        <v>936</v>
      </c>
      <c r="J1317" s="77">
        <v>0</v>
      </c>
      <c r="K1317" s="78">
        <v>1673.54</v>
      </c>
      <c r="M1317" s="79" t="str">
        <f t="shared" si="62"/>
        <v>330-7332</v>
      </c>
      <c r="N1317" s="79" t="str">
        <f t="shared" si="60"/>
        <v/>
      </c>
      <c r="O1317" s="79" t="str">
        <f t="shared" si="61"/>
        <v>330</v>
      </c>
      <c r="P1317" s="79" t="str">
        <f>IFERROR(VLOOKUP($M1317,Export!$P:$R,2,FALSE),"-")</f>
        <v>Parts</v>
      </c>
      <c r="Q1317" s="79" t="str">
        <f>IFERROR(VLOOKUP($M1317,Export!$P:$R,3,FALSE),"-")</f>
        <v>PartsOther Expenses as % of Sales</v>
      </c>
      <c r="R1317" s="80" t="str" cm="1">
        <f t="array" ref="R1317">_xlfn.IFS(P1317="Service", _xlfn.IFS(I1317="SALES","GP",I1317="SERVICE SALES","GP",I1317="PARTS SALES","GP",I1317="SERVICE COS","GP",I1317="PARTS COS","GP",I1317="SELLING EXPENSES","Selling Expenses",I1317="EMPLOYMENT EXPENSES","Selling Expenses",I1317="EMPLOYMENT EXPENSES","Selling Expenses",I1317="DIRECT EXPENSES","Selling Expenses",I1317="INDIRECT EXPENSES","Selling Expenses"),P1317="Parts",_xlfn.IFS(I1317="SALES","GP",I1317="SERVICE SALES","GP",I1317="PARTS SALES","GP",I1317="SERVICE COS","GP",I1317="PARTS COS","GP",I1317="SELLING EXPENSES","Selling Expenses",I1317="EMPLOYMENT EXPENSES","Selling Expenses",I1317="EMPLOYMENT EXPENSES","Selling Expenses",I1317="DIRECT EXPENSES","Selling Expenses",I1317="INDIRECT EXPENSES","Selling Expenses"))</f>
        <v>Selling Expenses</v>
      </c>
    </row>
    <row r="1318" spans="1:18" x14ac:dyDescent="0.2">
      <c r="A1318" s="75">
        <v>7332</v>
      </c>
      <c r="B1318" s="76" t="s">
        <v>939</v>
      </c>
      <c r="C1318" s="76">
        <v>340</v>
      </c>
      <c r="D1318" s="76" t="s">
        <v>440</v>
      </c>
      <c r="E1318" s="76" t="s">
        <v>426</v>
      </c>
      <c r="F1318" s="77">
        <v>19748.28</v>
      </c>
      <c r="G1318" s="77">
        <v>948.82</v>
      </c>
      <c r="H1318" s="77">
        <v>20697.099999999999</v>
      </c>
      <c r="I1318" s="76" t="s">
        <v>936</v>
      </c>
      <c r="J1318" s="77">
        <v>2000</v>
      </c>
      <c r="K1318" s="78">
        <v>20649.3</v>
      </c>
      <c r="M1318" s="79" t="str">
        <f t="shared" si="62"/>
        <v>340-7332</v>
      </c>
      <c r="N1318" s="79" t="str">
        <f t="shared" si="60"/>
        <v/>
      </c>
      <c r="O1318" s="79" t="str">
        <f t="shared" si="61"/>
        <v>340</v>
      </c>
      <c r="P1318" s="79" t="str">
        <f>IFERROR(VLOOKUP($M1318,Export!$P:$R,2,FALSE),"-")</f>
        <v>Service</v>
      </c>
      <c r="Q1318" s="79" t="str">
        <f>IFERROR(VLOOKUP($M1318,Export!$P:$R,3,FALSE),"-")</f>
        <v>ServiceOther Expenses as % of Sales</v>
      </c>
      <c r="R1318" s="80" t="str" cm="1">
        <f t="array" ref="R1318">_xlfn.IFS(P1318="Service", _xlfn.IFS(I1318="SALES","GP",I1318="SERVICE SALES","GP",I1318="PARTS SALES","GP",I1318="SERVICE COS","GP",I1318="PARTS COS","GP",I1318="SELLING EXPENSES","Selling Expenses",I1318="EMPLOYMENT EXPENSES","Selling Expenses",I1318="EMPLOYMENT EXPENSES","Selling Expenses",I1318="DIRECT EXPENSES","Selling Expenses",I1318="INDIRECT EXPENSES","Selling Expenses"),P1318="Parts",_xlfn.IFS(I1318="SALES","GP",I1318="SERVICE SALES","GP",I1318="PARTS SALES","GP",I1318="SERVICE COS","GP",I1318="PARTS COS","GP",I1318="SELLING EXPENSES","Selling Expenses",I1318="EMPLOYMENT EXPENSES","Selling Expenses",I1318="EMPLOYMENT EXPENSES","Selling Expenses",I1318="DIRECT EXPENSES","Selling Expenses",I1318="INDIRECT EXPENSES","Selling Expenses"))</f>
        <v>Selling Expenses</v>
      </c>
    </row>
    <row r="1319" spans="1:18" x14ac:dyDescent="0.2">
      <c r="A1319" s="75">
        <v>7332</v>
      </c>
      <c r="B1319" s="76" t="s">
        <v>939</v>
      </c>
      <c r="C1319" s="76">
        <v>430</v>
      </c>
      <c r="D1319" s="76" t="s">
        <v>458</v>
      </c>
      <c r="E1319" s="76" t="s">
        <v>426</v>
      </c>
      <c r="F1319" s="77">
        <v>3052.86</v>
      </c>
      <c r="G1319" s="77">
        <v>271.02</v>
      </c>
      <c r="H1319" s="77">
        <v>3323.88</v>
      </c>
      <c r="I1319" s="76" t="s">
        <v>936</v>
      </c>
      <c r="J1319" s="77">
        <v>0</v>
      </c>
      <c r="K1319" s="78">
        <v>0</v>
      </c>
      <c r="M1319" s="79" t="str">
        <f t="shared" si="62"/>
        <v>430-7332</v>
      </c>
      <c r="N1319" s="79" t="str">
        <f t="shared" si="60"/>
        <v/>
      </c>
      <c r="O1319" s="79" t="str">
        <f t="shared" si="61"/>
        <v>430</v>
      </c>
      <c r="P1319" s="79" t="str">
        <f>IFERROR(VLOOKUP($M1319,Export!$P:$R,2,FALSE),"-")</f>
        <v>Parts</v>
      </c>
      <c r="Q1319" s="79" t="str">
        <f>IFERROR(VLOOKUP($M1319,Export!$P:$R,3,FALSE),"-")</f>
        <v>PartsOther Expenses as % of Sales</v>
      </c>
      <c r="R1319" s="80" t="str" cm="1">
        <f t="array" ref="R1319">_xlfn.IFS(P1319="Service", _xlfn.IFS(I1319="SALES","GP",I1319="SERVICE SALES","GP",I1319="PARTS SALES","GP",I1319="SERVICE COS","GP",I1319="PARTS COS","GP",I1319="SELLING EXPENSES","Selling Expenses",I1319="EMPLOYMENT EXPENSES","Selling Expenses",I1319="EMPLOYMENT EXPENSES","Selling Expenses",I1319="DIRECT EXPENSES","Selling Expenses",I1319="INDIRECT EXPENSES","Selling Expenses"),P1319="Parts",_xlfn.IFS(I1319="SALES","GP",I1319="SERVICE SALES","GP",I1319="PARTS SALES","GP",I1319="SERVICE COS","GP",I1319="PARTS COS","GP",I1319="SELLING EXPENSES","Selling Expenses",I1319="EMPLOYMENT EXPENSES","Selling Expenses",I1319="EMPLOYMENT EXPENSES","Selling Expenses",I1319="DIRECT EXPENSES","Selling Expenses",I1319="INDIRECT EXPENSES","Selling Expenses"))</f>
        <v>Selling Expenses</v>
      </c>
    </row>
    <row r="1320" spans="1:18" x14ac:dyDescent="0.2">
      <c r="A1320" s="75">
        <v>7332</v>
      </c>
      <c r="B1320" s="76" t="s">
        <v>939</v>
      </c>
      <c r="C1320" s="76">
        <v>440</v>
      </c>
      <c r="D1320" s="76" t="s">
        <v>441</v>
      </c>
      <c r="E1320" s="76" t="s">
        <v>426</v>
      </c>
      <c r="F1320" s="77">
        <v>5721.31</v>
      </c>
      <c r="G1320" s="77">
        <v>3841.52</v>
      </c>
      <c r="H1320" s="77">
        <v>9562.83</v>
      </c>
      <c r="I1320" s="76" t="s">
        <v>936</v>
      </c>
      <c r="J1320" s="77">
        <v>0</v>
      </c>
      <c r="K1320" s="78">
        <v>0</v>
      </c>
      <c r="M1320" s="79" t="str">
        <f t="shared" si="62"/>
        <v>440-7332</v>
      </c>
      <c r="N1320" s="79" t="str">
        <f t="shared" si="60"/>
        <v/>
      </c>
      <c r="O1320" s="79" t="str">
        <f t="shared" si="61"/>
        <v>440</v>
      </c>
      <c r="P1320" s="79" t="str">
        <f>IFERROR(VLOOKUP($M1320,Export!$P:$R,2,FALSE),"-")</f>
        <v>Service</v>
      </c>
      <c r="Q1320" s="79" t="str">
        <f>IFERROR(VLOOKUP($M1320,Export!$P:$R,3,FALSE),"-")</f>
        <v>ServiceOther Expenses as % of Sales</v>
      </c>
      <c r="R1320" s="80" t="str" cm="1">
        <f t="array" ref="R1320">_xlfn.IFS(P1320="Service", _xlfn.IFS(I1320="SALES","GP",I1320="SERVICE SALES","GP",I1320="PARTS SALES","GP",I1320="SERVICE COS","GP",I1320="PARTS COS","GP",I1320="SELLING EXPENSES","Selling Expenses",I1320="EMPLOYMENT EXPENSES","Selling Expenses",I1320="EMPLOYMENT EXPENSES","Selling Expenses",I1320="DIRECT EXPENSES","Selling Expenses",I1320="INDIRECT EXPENSES","Selling Expenses"),P1320="Parts",_xlfn.IFS(I1320="SALES","GP",I1320="SERVICE SALES","GP",I1320="PARTS SALES","GP",I1320="SERVICE COS","GP",I1320="PARTS COS","GP",I1320="SELLING EXPENSES","Selling Expenses",I1320="EMPLOYMENT EXPENSES","Selling Expenses",I1320="EMPLOYMENT EXPENSES","Selling Expenses",I1320="DIRECT EXPENSES","Selling Expenses",I1320="INDIRECT EXPENSES","Selling Expenses"))</f>
        <v>Selling Expenses</v>
      </c>
    </row>
    <row r="1321" spans="1:18" x14ac:dyDescent="0.2">
      <c r="A1321" s="75">
        <v>7332</v>
      </c>
      <c r="B1321" s="76" t="s">
        <v>939</v>
      </c>
      <c r="C1321" s="76">
        <v>935</v>
      </c>
      <c r="D1321" s="76" t="s">
        <v>442</v>
      </c>
      <c r="E1321" s="76" t="s">
        <v>426</v>
      </c>
      <c r="F1321" s="77">
        <v>6160.02</v>
      </c>
      <c r="G1321" s="77">
        <v>577.28</v>
      </c>
      <c r="H1321" s="77">
        <v>6737.3</v>
      </c>
      <c r="I1321" s="76" t="s">
        <v>936</v>
      </c>
      <c r="J1321" s="77">
        <v>500</v>
      </c>
      <c r="K1321" s="78">
        <v>5025.72</v>
      </c>
      <c r="M1321" s="79" t="str">
        <f t="shared" si="62"/>
        <v>935-7332</v>
      </c>
      <c r="N1321" s="79" t="str">
        <f t="shared" si="60"/>
        <v/>
      </c>
      <c r="O1321" s="79" t="str">
        <f t="shared" si="61"/>
        <v>935</v>
      </c>
      <c r="P1321" s="79" t="str">
        <f>IFERROR(VLOOKUP($M1321,Export!$P:$R,2,FALSE),"-")</f>
        <v>Bridgestone</v>
      </c>
      <c r="Q1321" s="79" t="str">
        <f>IFERROR(VLOOKUP($M1321,Export!$P:$R,3,FALSE),"-")</f>
        <v>BridgestoneOther Expenses as % of Sales</v>
      </c>
      <c r="R1321" s="80" t="e" cm="1">
        <f t="array" ref="R1321">_xlfn.IFS(P1321="Service", _xlfn.IFS(I1321="SALES","GP",I1321="SERVICE SALES","GP",I1321="PARTS SALES","GP",I1321="SERVICE COS","GP",I1321="PARTS COS","GP",I1321="SELLING EXPENSES","Selling Expenses",I1321="EMPLOYMENT EXPENSES","Selling Expenses",I1321="EMPLOYMENT EXPENSES","Selling Expenses",I1321="DIRECT EXPENSES","Selling Expenses",I1321="INDIRECT EXPENSES","Selling Expenses"),P1321="Parts",_xlfn.IFS(I1321="SALES","GP",I1321="SERVICE SALES","GP",I1321="PARTS SALES","GP",I1321="SERVICE COS","GP",I1321="PARTS COS","GP",I1321="SELLING EXPENSES","Selling Expenses",I1321="EMPLOYMENT EXPENSES","Selling Expenses",I1321="EMPLOYMENT EXPENSES","Selling Expenses",I1321="DIRECT EXPENSES","Selling Expenses",I1321="INDIRECT EXPENSES","Selling Expenses"))</f>
        <v>#N/A</v>
      </c>
    </row>
    <row r="1322" spans="1:18" x14ac:dyDescent="0.2">
      <c r="A1322" s="75">
        <v>7332</v>
      </c>
      <c r="B1322" s="76" t="s">
        <v>939</v>
      </c>
      <c r="C1322" s="76">
        <v>936</v>
      </c>
      <c r="D1322" s="76" t="s">
        <v>443</v>
      </c>
      <c r="E1322" s="76" t="s">
        <v>426</v>
      </c>
      <c r="F1322" s="77">
        <v>5593.16</v>
      </c>
      <c r="G1322" s="77">
        <v>740.47</v>
      </c>
      <c r="H1322" s="77">
        <v>6333.63</v>
      </c>
      <c r="I1322" s="76" t="s">
        <v>936</v>
      </c>
      <c r="J1322" s="77">
        <v>400</v>
      </c>
      <c r="K1322" s="78">
        <v>3698.22</v>
      </c>
      <c r="M1322" s="79" t="str">
        <f t="shared" si="62"/>
        <v>936-7332</v>
      </c>
      <c r="N1322" s="79" t="str">
        <f t="shared" si="60"/>
        <v/>
      </c>
      <c r="O1322" s="79" t="str">
        <f t="shared" si="61"/>
        <v>936</v>
      </c>
      <c r="P1322" s="79" t="str">
        <f>IFERROR(VLOOKUP($M1322,Export!$P:$R,2,FALSE),"-")</f>
        <v>Bridgestone</v>
      </c>
      <c r="Q1322" s="79" t="str">
        <f>IFERROR(VLOOKUP($M1322,Export!$P:$R,3,FALSE),"-")</f>
        <v>BridgestoneOther Expenses as % of Sales</v>
      </c>
      <c r="R1322" s="80" t="e" cm="1">
        <f t="array" ref="R1322">_xlfn.IFS(P1322="Service", _xlfn.IFS(I1322="SALES","GP",I1322="SERVICE SALES","GP",I1322="PARTS SALES","GP",I1322="SERVICE COS","GP",I1322="PARTS COS","GP",I1322="SELLING EXPENSES","Selling Expenses",I1322="EMPLOYMENT EXPENSES","Selling Expenses",I1322="EMPLOYMENT EXPENSES","Selling Expenses",I1322="DIRECT EXPENSES","Selling Expenses",I1322="INDIRECT EXPENSES","Selling Expenses"),P1322="Parts",_xlfn.IFS(I1322="SALES","GP",I1322="SERVICE SALES","GP",I1322="PARTS SALES","GP",I1322="SERVICE COS","GP",I1322="PARTS COS","GP",I1322="SELLING EXPENSES","Selling Expenses",I1322="EMPLOYMENT EXPENSES","Selling Expenses",I1322="EMPLOYMENT EXPENSES","Selling Expenses",I1322="DIRECT EXPENSES","Selling Expenses",I1322="INDIRECT EXPENSES","Selling Expenses"))</f>
        <v>#N/A</v>
      </c>
    </row>
    <row r="1323" spans="1:18" x14ac:dyDescent="0.2">
      <c r="A1323" s="75">
        <v>7333</v>
      </c>
      <c r="B1323" s="76" t="s">
        <v>940</v>
      </c>
      <c r="C1323" s="76">
        <v>110</v>
      </c>
      <c r="D1323" s="76" t="s">
        <v>430</v>
      </c>
      <c r="E1323" s="76" t="s">
        <v>426</v>
      </c>
      <c r="F1323" s="77">
        <v>17678.95</v>
      </c>
      <c r="G1323" s="77">
        <v>1456.02</v>
      </c>
      <c r="H1323" s="77">
        <v>19134.97</v>
      </c>
      <c r="I1323" s="76" t="s">
        <v>936</v>
      </c>
      <c r="J1323" s="77">
        <v>300</v>
      </c>
      <c r="K1323" s="78">
        <v>3022.03</v>
      </c>
      <c r="M1323" s="79" t="str">
        <f t="shared" si="62"/>
        <v>110-7333</v>
      </c>
      <c r="N1323" s="79" t="str">
        <f t="shared" si="60"/>
        <v/>
      </c>
      <c r="O1323" s="79" t="str">
        <f t="shared" si="61"/>
        <v>110</v>
      </c>
      <c r="P1323" s="79" t="str">
        <f>IFERROR(VLOOKUP($M1323,Export!$P:$R,2,FALSE),"-")</f>
        <v>New Vehicle</v>
      </c>
      <c r="Q1323" s="79" t="str">
        <f>IFERROR(VLOOKUP($M1323,Export!$P:$R,3,FALSE),"-")</f>
        <v>New VehicleOther Semi-Fixed Expenses p.u</v>
      </c>
      <c r="R1323" s="80" t="e" cm="1">
        <f t="array" ref="R1323">_xlfn.IFS(P1323="Service", _xlfn.IFS(I1323="SALES","GP",I1323="SERVICE SALES","GP",I1323="PARTS SALES","GP",I1323="SERVICE COS","GP",I1323="PARTS COS","GP",I1323="SELLING EXPENSES","Selling Expenses",I1323="EMPLOYMENT EXPENSES","Selling Expenses",I1323="EMPLOYMENT EXPENSES","Selling Expenses",I1323="DIRECT EXPENSES","Selling Expenses",I1323="INDIRECT EXPENSES","Selling Expenses"),P1323="Parts",_xlfn.IFS(I1323="SALES","GP",I1323="SERVICE SALES","GP",I1323="PARTS SALES","GP",I1323="SERVICE COS","GP",I1323="PARTS COS","GP",I1323="SELLING EXPENSES","Selling Expenses",I1323="EMPLOYMENT EXPENSES","Selling Expenses",I1323="EMPLOYMENT EXPENSES","Selling Expenses",I1323="DIRECT EXPENSES","Selling Expenses",I1323="INDIRECT EXPENSES","Selling Expenses"))</f>
        <v>#N/A</v>
      </c>
    </row>
    <row r="1324" spans="1:18" x14ac:dyDescent="0.2">
      <c r="A1324" s="75">
        <v>7333</v>
      </c>
      <c r="B1324" s="76" t="s">
        <v>940</v>
      </c>
      <c r="C1324" s="76">
        <v>112</v>
      </c>
      <c r="D1324" s="76" t="s">
        <v>349</v>
      </c>
      <c r="E1324" s="76" t="s">
        <v>426</v>
      </c>
      <c r="F1324" s="77">
        <v>19874.64</v>
      </c>
      <c r="G1324" s="77">
        <v>2078</v>
      </c>
      <c r="H1324" s="77">
        <v>21952.639999999999</v>
      </c>
      <c r="I1324" s="76" t="s">
        <v>936</v>
      </c>
      <c r="J1324" s="77">
        <v>1500</v>
      </c>
      <c r="K1324" s="78">
        <v>15499.73</v>
      </c>
      <c r="M1324" s="79" t="str">
        <f t="shared" si="62"/>
        <v>112-7333</v>
      </c>
      <c r="N1324" s="79" t="str">
        <f t="shared" si="60"/>
        <v/>
      </c>
      <c r="O1324" s="79" t="str">
        <f t="shared" si="61"/>
        <v>112</v>
      </c>
      <c r="P1324" s="79" t="str">
        <f>IFERROR(VLOOKUP($M1324,Export!$P:$R,2,FALSE),"-")</f>
        <v>LEX New Vehicle</v>
      </c>
      <c r="Q1324" s="79" t="str">
        <f>IFERROR(VLOOKUP($M1324,Export!$P:$R,3,FALSE),"-")</f>
        <v>LEX New VehicleDemo Expenses (incl. interest) p.u.</v>
      </c>
      <c r="R1324" s="80" t="e" cm="1">
        <f t="array" ref="R1324">_xlfn.IFS(P1324="Service", _xlfn.IFS(I1324="SALES","GP",I1324="SERVICE SALES","GP",I1324="PARTS SALES","GP",I1324="SERVICE COS","GP",I1324="PARTS COS","GP",I1324="SELLING EXPENSES","Selling Expenses",I1324="EMPLOYMENT EXPENSES","Selling Expenses",I1324="EMPLOYMENT EXPENSES","Selling Expenses",I1324="DIRECT EXPENSES","Selling Expenses",I1324="INDIRECT EXPENSES","Selling Expenses"),P1324="Parts",_xlfn.IFS(I1324="SALES","GP",I1324="SERVICE SALES","GP",I1324="PARTS SALES","GP",I1324="SERVICE COS","GP",I1324="PARTS COS","GP",I1324="SELLING EXPENSES","Selling Expenses",I1324="EMPLOYMENT EXPENSES","Selling Expenses",I1324="EMPLOYMENT EXPENSES","Selling Expenses",I1324="DIRECT EXPENSES","Selling Expenses",I1324="INDIRECT EXPENSES","Selling Expenses"))</f>
        <v>#N/A</v>
      </c>
    </row>
    <row r="1325" spans="1:18" x14ac:dyDescent="0.2">
      <c r="A1325" s="75">
        <v>7333</v>
      </c>
      <c r="B1325" s="76" t="s">
        <v>940</v>
      </c>
      <c r="C1325" s="76">
        <v>120</v>
      </c>
      <c r="D1325" s="76" t="s">
        <v>431</v>
      </c>
      <c r="E1325" s="76" t="s">
        <v>426</v>
      </c>
      <c r="F1325" s="77">
        <v>9678.91</v>
      </c>
      <c r="G1325" s="77">
        <v>1249.32</v>
      </c>
      <c r="H1325" s="77">
        <v>10928.23</v>
      </c>
      <c r="I1325" s="76" t="s">
        <v>936</v>
      </c>
      <c r="J1325" s="77">
        <v>600</v>
      </c>
      <c r="K1325" s="78">
        <v>6436.86</v>
      </c>
      <c r="M1325" s="79" t="str">
        <f t="shared" si="62"/>
        <v>120-7333</v>
      </c>
      <c r="N1325" s="79" t="str">
        <f t="shared" si="60"/>
        <v/>
      </c>
      <c r="O1325" s="79" t="str">
        <f t="shared" si="61"/>
        <v>120</v>
      </c>
      <c r="P1325" s="79" t="str">
        <f>IFERROR(VLOOKUP($M1325,Export!$P:$R,2,FALSE),"-")</f>
        <v>Used Vehicle</v>
      </c>
      <c r="Q1325" s="79" t="str">
        <f>IFERROR(VLOOKUP($M1325,Export!$P:$R,3,FALSE),"-")</f>
        <v>Used VehicleOther Semi-Fixed expenses per retail</v>
      </c>
      <c r="R1325" s="80" t="e" cm="1">
        <f t="array" ref="R1325">_xlfn.IFS(P1325="Service", _xlfn.IFS(I1325="SALES","GP",I1325="SERVICE SALES","GP",I1325="PARTS SALES","GP",I1325="SERVICE COS","GP",I1325="PARTS COS","GP",I1325="SELLING EXPENSES","Selling Expenses",I1325="EMPLOYMENT EXPENSES","Selling Expenses",I1325="EMPLOYMENT EXPENSES","Selling Expenses",I1325="DIRECT EXPENSES","Selling Expenses",I1325="INDIRECT EXPENSES","Selling Expenses"),P1325="Parts",_xlfn.IFS(I1325="SALES","GP",I1325="SERVICE SALES","GP",I1325="PARTS SALES","GP",I1325="SERVICE COS","GP",I1325="PARTS COS","GP",I1325="SELLING EXPENSES","Selling Expenses",I1325="EMPLOYMENT EXPENSES","Selling Expenses",I1325="EMPLOYMENT EXPENSES","Selling Expenses",I1325="DIRECT EXPENSES","Selling Expenses",I1325="INDIRECT EXPENSES","Selling Expenses"))</f>
        <v>#N/A</v>
      </c>
    </row>
    <row r="1326" spans="1:18" x14ac:dyDescent="0.2">
      <c r="A1326" s="75">
        <v>7333</v>
      </c>
      <c r="B1326" s="76" t="s">
        <v>940</v>
      </c>
      <c r="C1326" s="76">
        <v>121</v>
      </c>
      <c r="D1326" s="76" t="s">
        <v>449</v>
      </c>
      <c r="E1326" s="76" t="s">
        <v>426</v>
      </c>
      <c r="F1326" s="77">
        <v>2936.6</v>
      </c>
      <c r="G1326" s="77">
        <v>0</v>
      </c>
      <c r="H1326" s="77">
        <v>2936.6</v>
      </c>
      <c r="I1326" s="76" t="s">
        <v>936</v>
      </c>
      <c r="J1326" s="77">
        <v>0</v>
      </c>
      <c r="K1326" s="78">
        <v>122.96</v>
      </c>
      <c r="M1326" s="79" t="str">
        <f t="shared" si="62"/>
        <v>121-7333</v>
      </c>
      <c r="N1326" s="79" t="str">
        <f t="shared" si="60"/>
        <v/>
      </c>
      <c r="O1326" s="79" t="str">
        <f t="shared" si="61"/>
        <v>121</v>
      </c>
      <c r="P1326" s="79" t="str">
        <f>IFERROR(VLOOKUP($M1326,Export!$P:$R,2,FALSE),"-")</f>
        <v>Used Vehicle</v>
      </c>
      <c r="Q1326" s="79" t="str">
        <f>IFERROR(VLOOKUP($M1326,Export!$P:$R,3,FALSE),"-")</f>
        <v>Used VehicleOther Semi-Fixed expenses per retail</v>
      </c>
      <c r="R1326" s="80" t="e" cm="1">
        <f t="array" ref="R1326">_xlfn.IFS(P1326="Service", _xlfn.IFS(I1326="SALES","GP",I1326="SERVICE SALES","GP",I1326="PARTS SALES","GP",I1326="SERVICE COS","GP",I1326="PARTS COS","GP",I1326="SELLING EXPENSES","Selling Expenses",I1326="EMPLOYMENT EXPENSES","Selling Expenses",I1326="EMPLOYMENT EXPENSES","Selling Expenses",I1326="DIRECT EXPENSES","Selling Expenses",I1326="INDIRECT EXPENSES","Selling Expenses"),P1326="Parts",_xlfn.IFS(I1326="SALES","GP",I1326="SERVICE SALES","GP",I1326="PARTS SALES","GP",I1326="SERVICE COS","GP",I1326="PARTS COS","GP",I1326="SELLING EXPENSES","Selling Expenses",I1326="EMPLOYMENT EXPENSES","Selling Expenses",I1326="EMPLOYMENT EXPENSES","Selling Expenses",I1326="DIRECT EXPENSES","Selling Expenses",I1326="INDIRECT EXPENSES","Selling Expenses"))</f>
        <v>#N/A</v>
      </c>
    </row>
    <row r="1327" spans="1:18" x14ac:dyDescent="0.2">
      <c r="A1327" s="75">
        <v>7333</v>
      </c>
      <c r="B1327" s="76" t="s">
        <v>940</v>
      </c>
      <c r="C1327" s="76">
        <v>122</v>
      </c>
      <c r="D1327" s="76" t="s">
        <v>452</v>
      </c>
      <c r="E1327" s="76" t="s">
        <v>426</v>
      </c>
      <c r="F1327" s="77">
        <v>1840.88</v>
      </c>
      <c r="G1327" s="77">
        <v>0</v>
      </c>
      <c r="H1327" s="77">
        <v>1840.88</v>
      </c>
      <c r="I1327" s="76" t="s">
        <v>936</v>
      </c>
      <c r="J1327" s="77">
        <v>0</v>
      </c>
      <c r="K1327" s="78">
        <v>50.64</v>
      </c>
      <c r="M1327" s="79" t="str">
        <f t="shared" si="62"/>
        <v>122-7333</v>
      </c>
      <c r="N1327" s="79" t="str">
        <f t="shared" si="60"/>
        <v/>
      </c>
      <c r="O1327" s="79" t="str">
        <f t="shared" si="61"/>
        <v>122</v>
      </c>
      <c r="P1327" s="79" t="str">
        <f>IFERROR(VLOOKUP($M1327,Export!$P:$R,2,FALSE),"-")</f>
        <v>LEX Used Vehicle</v>
      </c>
      <c r="Q1327" s="79" t="str">
        <f>IFERROR(VLOOKUP($M1327,Export!$P:$R,3,FALSE),"-")</f>
        <v>LEX Used VehicleOther Semi-Fixed expenses per retail</v>
      </c>
      <c r="R1327" s="80" t="e" cm="1">
        <f t="array" ref="R1327">_xlfn.IFS(P1327="Service", _xlfn.IFS(I1327="SALES","GP",I1327="SERVICE SALES","GP",I1327="PARTS SALES","GP",I1327="SERVICE COS","GP",I1327="PARTS COS","GP",I1327="SELLING EXPENSES","Selling Expenses",I1327="EMPLOYMENT EXPENSES","Selling Expenses",I1327="EMPLOYMENT EXPENSES","Selling Expenses",I1327="DIRECT EXPENSES","Selling Expenses",I1327="INDIRECT EXPENSES","Selling Expenses"),P1327="Parts",_xlfn.IFS(I1327="SALES","GP",I1327="SERVICE SALES","GP",I1327="PARTS SALES","GP",I1327="SERVICE COS","GP",I1327="PARTS COS","GP",I1327="SELLING EXPENSES","Selling Expenses",I1327="EMPLOYMENT EXPENSES","Selling Expenses",I1327="EMPLOYMENT EXPENSES","Selling Expenses",I1327="DIRECT EXPENSES","Selling Expenses",I1327="INDIRECT EXPENSES","Selling Expenses"))</f>
        <v>#N/A</v>
      </c>
    </row>
    <row r="1328" spans="1:18" x14ac:dyDescent="0.2">
      <c r="A1328" s="75">
        <v>7333</v>
      </c>
      <c r="B1328" s="76" t="s">
        <v>940</v>
      </c>
      <c r="C1328" s="76">
        <v>130</v>
      </c>
      <c r="D1328" s="76" t="s">
        <v>432</v>
      </c>
      <c r="E1328" s="76" t="s">
        <v>426</v>
      </c>
      <c r="F1328" s="77">
        <v>6237.27</v>
      </c>
      <c r="G1328" s="77">
        <v>817.87</v>
      </c>
      <c r="H1328" s="77">
        <v>7055.14</v>
      </c>
      <c r="I1328" s="76" t="s">
        <v>936</v>
      </c>
      <c r="J1328" s="77">
        <v>1150</v>
      </c>
      <c r="K1328" s="78">
        <v>11943.17</v>
      </c>
      <c r="M1328" s="79" t="str">
        <f t="shared" si="62"/>
        <v>130-7333</v>
      </c>
      <c r="N1328" s="79" t="str">
        <f t="shared" si="60"/>
        <v/>
      </c>
      <c r="O1328" s="79" t="str">
        <f t="shared" si="61"/>
        <v>130</v>
      </c>
      <c r="P1328" s="79" t="str">
        <f>IFERROR(VLOOKUP($M1328,Export!$P:$R,2,FALSE),"-")</f>
        <v>Parts</v>
      </c>
      <c r="Q1328" s="79" t="str">
        <f>IFERROR(VLOOKUP($M1328,Export!$P:$R,3,FALSE),"-")</f>
        <v>PartsOther Expenses as % of Sales</v>
      </c>
      <c r="R1328" s="80" t="str" cm="1">
        <f t="array" ref="R1328">_xlfn.IFS(P1328="Service", _xlfn.IFS(I1328="SALES","GP",I1328="SERVICE SALES","GP",I1328="PARTS SALES","GP",I1328="SERVICE COS","GP",I1328="PARTS COS","GP",I1328="SELLING EXPENSES","Selling Expenses",I1328="EMPLOYMENT EXPENSES","Selling Expenses",I1328="EMPLOYMENT EXPENSES","Selling Expenses",I1328="DIRECT EXPENSES","Selling Expenses",I1328="INDIRECT EXPENSES","Selling Expenses"),P1328="Parts",_xlfn.IFS(I1328="SALES","GP",I1328="SERVICE SALES","GP",I1328="PARTS SALES","GP",I1328="SERVICE COS","GP",I1328="PARTS COS","GP",I1328="SELLING EXPENSES","Selling Expenses",I1328="EMPLOYMENT EXPENSES","Selling Expenses",I1328="EMPLOYMENT EXPENSES","Selling Expenses",I1328="DIRECT EXPENSES","Selling Expenses",I1328="INDIRECT EXPENSES","Selling Expenses"))</f>
        <v>Selling Expenses</v>
      </c>
    </row>
    <row r="1329" spans="1:18" x14ac:dyDescent="0.2">
      <c r="A1329" s="75">
        <v>7333</v>
      </c>
      <c r="B1329" s="76" t="s">
        <v>940</v>
      </c>
      <c r="C1329" s="76">
        <v>140</v>
      </c>
      <c r="D1329" s="76" t="s">
        <v>433</v>
      </c>
      <c r="E1329" s="76" t="s">
        <v>426</v>
      </c>
      <c r="F1329" s="77">
        <v>25307.18</v>
      </c>
      <c r="G1329" s="77">
        <v>1802.93</v>
      </c>
      <c r="H1329" s="77">
        <v>27110.11</v>
      </c>
      <c r="I1329" s="76" t="s">
        <v>936</v>
      </c>
      <c r="J1329" s="77">
        <v>2200</v>
      </c>
      <c r="K1329" s="78">
        <v>22279</v>
      </c>
      <c r="M1329" s="79" t="str">
        <f t="shared" si="62"/>
        <v>140-7333</v>
      </c>
      <c r="N1329" s="79" t="str">
        <f t="shared" si="60"/>
        <v/>
      </c>
      <c r="O1329" s="79" t="str">
        <f t="shared" si="61"/>
        <v>140</v>
      </c>
      <c r="P1329" s="79" t="str">
        <f>IFERROR(VLOOKUP($M1329,Export!$P:$R,2,FALSE),"-")</f>
        <v>Service</v>
      </c>
      <c r="Q1329" s="79" t="str">
        <f>IFERROR(VLOOKUP($M1329,Export!$P:$R,3,FALSE),"-")</f>
        <v>ServiceOther Expenses as % of Sales</v>
      </c>
      <c r="R1329" s="80" t="str" cm="1">
        <f t="array" ref="R1329">_xlfn.IFS(P1329="Service", _xlfn.IFS(I1329="SALES","GP",I1329="SERVICE SALES","GP",I1329="PARTS SALES","GP",I1329="SERVICE COS","GP",I1329="PARTS COS","GP",I1329="SELLING EXPENSES","Selling Expenses",I1329="EMPLOYMENT EXPENSES","Selling Expenses",I1329="EMPLOYMENT EXPENSES","Selling Expenses",I1329="DIRECT EXPENSES","Selling Expenses",I1329="INDIRECT EXPENSES","Selling Expenses"),P1329="Parts",_xlfn.IFS(I1329="SALES","GP",I1329="SERVICE SALES","GP",I1329="PARTS SALES","GP",I1329="SERVICE COS","GP",I1329="PARTS COS","GP",I1329="SELLING EXPENSES","Selling Expenses",I1329="EMPLOYMENT EXPENSES","Selling Expenses",I1329="EMPLOYMENT EXPENSES","Selling Expenses",I1329="DIRECT EXPENSES","Selling Expenses",I1329="INDIRECT EXPENSES","Selling Expenses"))</f>
        <v>Selling Expenses</v>
      </c>
    </row>
    <row r="1330" spans="1:18" x14ac:dyDescent="0.2">
      <c r="A1330" s="75">
        <v>7333</v>
      </c>
      <c r="B1330" s="76" t="s">
        <v>940</v>
      </c>
      <c r="C1330" s="76">
        <v>142</v>
      </c>
      <c r="D1330" s="76" t="s">
        <v>454</v>
      </c>
      <c r="E1330" s="76" t="s">
        <v>426</v>
      </c>
      <c r="F1330" s="77">
        <v>2254.2199999999998</v>
      </c>
      <c r="G1330" s="77">
        <v>0</v>
      </c>
      <c r="H1330" s="77">
        <v>2254.2199999999998</v>
      </c>
      <c r="I1330" s="76" t="s">
        <v>936</v>
      </c>
      <c r="J1330" s="77">
        <v>0</v>
      </c>
      <c r="K1330" s="78">
        <v>0</v>
      </c>
      <c r="M1330" s="79" t="str">
        <f t="shared" si="62"/>
        <v>142-7333</v>
      </c>
      <c r="N1330" s="79" t="str">
        <f t="shared" si="60"/>
        <v/>
      </c>
      <c r="O1330" s="79" t="str">
        <f t="shared" si="61"/>
        <v>142</v>
      </c>
      <c r="P1330" s="79" t="str">
        <f>IFERROR(VLOOKUP($M1330,Export!$P:$R,2,FALSE),"-")</f>
        <v>Lex Service</v>
      </c>
      <c r="Q1330" s="79" t="str">
        <f>IFERROR(VLOOKUP($M1330,Export!$P:$R,3,FALSE),"-")</f>
        <v>Lex ServiceOther Expenses as % of Sales</v>
      </c>
      <c r="R1330" s="80" t="e" cm="1">
        <f t="array" ref="R1330">_xlfn.IFS(P1330="Service", _xlfn.IFS(I1330="SALES","GP",I1330="SERVICE SALES","GP",I1330="PARTS SALES","GP",I1330="SERVICE COS","GP",I1330="PARTS COS","GP",I1330="SELLING EXPENSES","Selling Expenses",I1330="EMPLOYMENT EXPENSES","Selling Expenses",I1330="EMPLOYMENT EXPENSES","Selling Expenses",I1330="DIRECT EXPENSES","Selling Expenses",I1330="INDIRECT EXPENSES","Selling Expenses"),P1330="Parts",_xlfn.IFS(I1330="SALES","GP",I1330="SERVICE SALES","GP",I1330="PARTS SALES","GP",I1330="SERVICE COS","GP",I1330="PARTS COS","GP",I1330="SELLING EXPENSES","Selling Expenses",I1330="EMPLOYMENT EXPENSES","Selling Expenses",I1330="EMPLOYMENT EXPENSES","Selling Expenses",I1330="DIRECT EXPENSES","Selling Expenses",I1330="INDIRECT EXPENSES","Selling Expenses"))</f>
        <v>#N/A</v>
      </c>
    </row>
    <row r="1331" spans="1:18" x14ac:dyDescent="0.2">
      <c r="A1331" s="75">
        <v>7333</v>
      </c>
      <c r="B1331" s="76" t="s">
        <v>940</v>
      </c>
      <c r="C1331" s="76">
        <v>147</v>
      </c>
      <c r="D1331" s="76" t="s">
        <v>699</v>
      </c>
      <c r="E1331" s="76" t="s">
        <v>426</v>
      </c>
      <c r="F1331" s="77">
        <v>0</v>
      </c>
      <c r="G1331" s="77">
        <v>0</v>
      </c>
      <c r="H1331" s="77">
        <v>0</v>
      </c>
      <c r="I1331" s="76" t="s">
        <v>936</v>
      </c>
      <c r="J1331" s="77">
        <v>700</v>
      </c>
      <c r="K1331" s="78">
        <v>6162.32</v>
      </c>
      <c r="M1331" s="79" t="str">
        <f t="shared" si="62"/>
        <v>147-7333</v>
      </c>
      <c r="N1331" s="79" t="str">
        <f t="shared" si="60"/>
        <v/>
      </c>
      <c r="O1331" s="79" t="str">
        <f t="shared" si="61"/>
        <v>147</v>
      </c>
      <c r="P1331" s="79" t="str">
        <f>IFERROR(VLOOKUP($M1331,Export!$P:$R,2,FALSE),"-")</f>
        <v>Service</v>
      </c>
      <c r="Q1331" s="79" t="str">
        <f>IFERROR(VLOOKUP($M1331,Export!$P:$R,3,FALSE),"-")</f>
        <v>ServiceOther Expenses as % of Sales</v>
      </c>
      <c r="R1331" s="80" t="str" cm="1">
        <f t="array" ref="R1331">_xlfn.IFS(P1331="Service", _xlfn.IFS(I1331="SALES","GP",I1331="SERVICE SALES","GP",I1331="PARTS SALES","GP",I1331="SERVICE COS","GP",I1331="PARTS COS","GP",I1331="SELLING EXPENSES","Selling Expenses",I1331="EMPLOYMENT EXPENSES","Selling Expenses",I1331="EMPLOYMENT EXPENSES","Selling Expenses",I1331="DIRECT EXPENSES","Selling Expenses",I1331="INDIRECT EXPENSES","Selling Expenses"),P1331="Parts",_xlfn.IFS(I1331="SALES","GP",I1331="SERVICE SALES","GP",I1331="PARTS SALES","GP",I1331="SERVICE COS","GP",I1331="PARTS COS","GP",I1331="SELLING EXPENSES","Selling Expenses",I1331="EMPLOYMENT EXPENSES","Selling Expenses",I1331="EMPLOYMENT EXPENSES","Selling Expenses",I1331="DIRECT EXPENSES","Selling Expenses",I1331="INDIRECT EXPENSES","Selling Expenses"))</f>
        <v>Selling Expenses</v>
      </c>
    </row>
    <row r="1332" spans="1:18" x14ac:dyDescent="0.2">
      <c r="A1332" s="75">
        <v>7333</v>
      </c>
      <c r="B1332" s="76" t="s">
        <v>940</v>
      </c>
      <c r="C1332" s="76">
        <v>150</v>
      </c>
      <c r="D1332" s="76" t="s">
        <v>700</v>
      </c>
      <c r="E1332" s="76" t="s">
        <v>426</v>
      </c>
      <c r="F1332" s="77">
        <v>1599.73</v>
      </c>
      <c r="G1332" s="77">
        <v>0</v>
      </c>
      <c r="H1332" s="77">
        <v>1599.73</v>
      </c>
      <c r="I1332" s="76" t="s">
        <v>936</v>
      </c>
      <c r="J1332" s="77">
        <v>0</v>
      </c>
      <c r="K1332" s="78">
        <v>0</v>
      </c>
      <c r="M1332" s="79" t="str">
        <f t="shared" si="62"/>
        <v>150-7333</v>
      </c>
      <c r="N1332" s="79" t="str">
        <f t="shared" si="60"/>
        <v/>
      </c>
      <c r="O1332" s="79" t="str">
        <f t="shared" si="61"/>
        <v>150</v>
      </c>
      <c r="P1332" s="79" t="str">
        <f>IFERROR(VLOOKUP($M1332,Export!$P:$R,2,FALSE),"-")</f>
        <v>Retail Detailing</v>
      </c>
      <c r="Q1332" s="79" t="str">
        <f>IFERROR(VLOOKUP($M1332,Export!$P:$R,3,FALSE),"-")</f>
        <v>Retail DetailingOther Expenses as % of Sales</v>
      </c>
      <c r="R1332" s="80" t="e" cm="1">
        <f t="array" ref="R1332">_xlfn.IFS(P1332="Service", _xlfn.IFS(I1332="SALES","GP",I1332="SERVICE SALES","GP",I1332="PARTS SALES","GP",I1332="SERVICE COS","GP",I1332="PARTS COS","GP",I1332="SELLING EXPENSES","Selling Expenses",I1332="EMPLOYMENT EXPENSES","Selling Expenses",I1332="EMPLOYMENT EXPENSES","Selling Expenses",I1332="DIRECT EXPENSES","Selling Expenses",I1332="INDIRECT EXPENSES","Selling Expenses"),P1332="Parts",_xlfn.IFS(I1332="SALES","GP",I1332="SERVICE SALES","GP",I1332="PARTS SALES","GP",I1332="SERVICE COS","GP",I1332="PARTS COS","GP",I1332="SELLING EXPENSES","Selling Expenses",I1332="EMPLOYMENT EXPENSES","Selling Expenses",I1332="EMPLOYMENT EXPENSES","Selling Expenses",I1332="DIRECT EXPENSES","Selling Expenses",I1332="INDIRECT EXPENSES","Selling Expenses"))</f>
        <v>#N/A</v>
      </c>
    </row>
    <row r="1333" spans="1:18" x14ac:dyDescent="0.2">
      <c r="A1333" s="75">
        <v>7333</v>
      </c>
      <c r="B1333" s="76" t="s">
        <v>940</v>
      </c>
      <c r="C1333" s="76">
        <v>160</v>
      </c>
      <c r="D1333" s="76" t="s">
        <v>434</v>
      </c>
      <c r="E1333" s="76" t="s">
        <v>426</v>
      </c>
      <c r="F1333" s="77">
        <v>80</v>
      </c>
      <c r="G1333" s="77">
        <v>0</v>
      </c>
      <c r="H1333" s="77">
        <v>80</v>
      </c>
      <c r="I1333" s="76" t="s">
        <v>936</v>
      </c>
      <c r="J1333" s="77">
        <v>0</v>
      </c>
      <c r="K1333" s="78">
        <v>0</v>
      </c>
      <c r="M1333" s="79" t="str">
        <f t="shared" si="62"/>
        <v>160-7333</v>
      </c>
      <c r="N1333" s="79" t="str">
        <f t="shared" si="60"/>
        <v/>
      </c>
      <c r="O1333" s="79" t="str">
        <f t="shared" si="61"/>
        <v>160</v>
      </c>
      <c r="P1333" s="79" t="str">
        <f>IFERROR(VLOOKUP($M1333,Export!$P:$R,2,FALSE),"-")</f>
        <v>F&amp;I</v>
      </c>
      <c r="Q1333" s="79" t="str">
        <f>IFERROR(VLOOKUP($M1333,Export!$P:$R,3,FALSE),"-")</f>
        <v>F&amp;IOther Expenses per vehicle retailed</v>
      </c>
      <c r="R1333" s="80" t="e" cm="1">
        <f t="array" ref="R1333">_xlfn.IFS(P1333="Service", _xlfn.IFS(I1333="SALES","GP",I1333="SERVICE SALES","GP",I1333="PARTS SALES","GP",I1333="SERVICE COS","GP",I1333="PARTS COS","GP",I1333="SELLING EXPENSES","Selling Expenses",I1333="EMPLOYMENT EXPENSES","Selling Expenses",I1333="EMPLOYMENT EXPENSES","Selling Expenses",I1333="DIRECT EXPENSES","Selling Expenses",I1333="INDIRECT EXPENSES","Selling Expenses"),P1333="Parts",_xlfn.IFS(I1333="SALES","GP",I1333="SERVICE SALES","GP",I1333="PARTS SALES","GP",I1333="SERVICE COS","GP",I1333="PARTS COS","GP",I1333="SELLING EXPENSES","Selling Expenses",I1333="EMPLOYMENT EXPENSES","Selling Expenses",I1333="EMPLOYMENT EXPENSES","Selling Expenses",I1333="DIRECT EXPENSES","Selling Expenses",I1333="INDIRECT EXPENSES","Selling Expenses"))</f>
        <v>#N/A</v>
      </c>
    </row>
    <row r="1334" spans="1:18" x14ac:dyDescent="0.2">
      <c r="A1334" s="75">
        <v>7333</v>
      </c>
      <c r="B1334" s="76" t="s">
        <v>940</v>
      </c>
      <c r="C1334" s="76">
        <v>190</v>
      </c>
      <c r="D1334" s="76" t="s">
        <v>435</v>
      </c>
      <c r="E1334" s="76" t="s">
        <v>426</v>
      </c>
      <c r="F1334" s="77">
        <v>1020.53</v>
      </c>
      <c r="G1334" s="77">
        <v>5250.74</v>
      </c>
      <c r="H1334" s="77">
        <v>6271.27</v>
      </c>
      <c r="I1334" s="76" t="s">
        <v>936</v>
      </c>
      <c r="J1334" s="77">
        <v>0</v>
      </c>
      <c r="K1334" s="78">
        <v>0</v>
      </c>
      <c r="M1334" s="79" t="str">
        <f t="shared" si="62"/>
        <v>190-7333</v>
      </c>
      <c r="N1334" s="79" t="str">
        <f t="shared" si="60"/>
        <v/>
      </c>
      <c r="O1334" s="79" t="str">
        <f t="shared" si="61"/>
        <v>190</v>
      </c>
      <c r="P1334" s="79" t="str">
        <f>IFERROR(VLOOKUP($M1334,Export!$P:$R,2,FALSE),"-")</f>
        <v>Admin &amp; Other</v>
      </c>
      <c r="Q1334" s="79" t="str">
        <f>IFERROR(VLOOKUP($M1334,Export!$P:$R,3,FALSE),"-")</f>
        <v>Admin &amp; OtherOther Overheads as % of Total Gross Profit</v>
      </c>
      <c r="R1334" s="80" t="e" cm="1">
        <f t="array" ref="R1334">_xlfn.IFS(P1334="Service", _xlfn.IFS(I1334="SALES","GP",I1334="SERVICE SALES","GP",I1334="PARTS SALES","GP",I1334="SERVICE COS","GP",I1334="PARTS COS","GP",I1334="SELLING EXPENSES","Selling Expenses",I1334="EMPLOYMENT EXPENSES","Selling Expenses",I1334="EMPLOYMENT EXPENSES","Selling Expenses",I1334="DIRECT EXPENSES","Selling Expenses",I1334="INDIRECT EXPENSES","Selling Expenses"),P1334="Parts",_xlfn.IFS(I1334="SALES","GP",I1334="SERVICE SALES","GP",I1334="PARTS SALES","GP",I1334="SERVICE COS","GP",I1334="PARTS COS","GP",I1334="SELLING EXPENSES","Selling Expenses",I1334="EMPLOYMENT EXPENSES","Selling Expenses",I1334="EMPLOYMENT EXPENSES","Selling Expenses",I1334="DIRECT EXPENSES","Selling Expenses",I1334="INDIRECT EXPENSES","Selling Expenses"))</f>
        <v>#N/A</v>
      </c>
    </row>
    <row r="1335" spans="1:18" x14ac:dyDescent="0.2">
      <c r="A1335" s="75">
        <v>7333</v>
      </c>
      <c r="B1335" s="76" t="s">
        <v>940</v>
      </c>
      <c r="C1335" s="76">
        <v>210</v>
      </c>
      <c r="D1335" s="76" t="s">
        <v>436</v>
      </c>
      <c r="E1335" s="76" t="s">
        <v>426</v>
      </c>
      <c r="F1335" s="77">
        <v>710.51</v>
      </c>
      <c r="G1335" s="77">
        <v>0</v>
      </c>
      <c r="H1335" s="77">
        <v>710.51</v>
      </c>
      <c r="I1335" s="76" t="s">
        <v>936</v>
      </c>
      <c r="J1335" s="77">
        <v>300</v>
      </c>
      <c r="K1335" s="78">
        <v>3186.87</v>
      </c>
      <c r="M1335" s="79" t="str">
        <f t="shared" si="62"/>
        <v>210-7333</v>
      </c>
      <c r="N1335" s="79" t="str">
        <f t="shared" si="60"/>
        <v/>
      </c>
      <c r="O1335" s="79" t="str">
        <f t="shared" si="61"/>
        <v>210</v>
      </c>
      <c r="P1335" s="79" t="str">
        <f>IFERROR(VLOOKUP($M1335,Export!$P:$R,2,FALSE),"-")</f>
        <v>Used Vehicle</v>
      </c>
      <c r="Q1335" s="79" t="str">
        <f>IFERROR(VLOOKUP($M1335,Export!$P:$R,3,FALSE),"-")</f>
        <v>Used VehicleOther Semi-Fixed expenses per retail</v>
      </c>
      <c r="R1335" s="80" t="e" cm="1">
        <f t="array" ref="R1335">_xlfn.IFS(P1335="Service", _xlfn.IFS(I1335="SALES","GP",I1335="SERVICE SALES","GP",I1335="PARTS SALES","GP",I1335="SERVICE COS","GP",I1335="PARTS COS","GP",I1335="SELLING EXPENSES","Selling Expenses",I1335="EMPLOYMENT EXPENSES","Selling Expenses",I1335="EMPLOYMENT EXPENSES","Selling Expenses",I1335="DIRECT EXPENSES","Selling Expenses",I1335="INDIRECT EXPENSES","Selling Expenses"),P1335="Parts",_xlfn.IFS(I1335="SALES","GP",I1335="SERVICE SALES","GP",I1335="PARTS SALES","GP",I1335="SERVICE COS","GP",I1335="PARTS COS","GP",I1335="SELLING EXPENSES","Selling Expenses",I1335="EMPLOYMENT EXPENSES","Selling Expenses",I1335="EMPLOYMENT EXPENSES","Selling Expenses",I1335="DIRECT EXPENSES","Selling Expenses",I1335="INDIRECT EXPENSES","Selling Expenses"))</f>
        <v>#N/A</v>
      </c>
    </row>
    <row r="1336" spans="1:18" x14ac:dyDescent="0.2">
      <c r="A1336" s="75">
        <v>7333</v>
      </c>
      <c r="B1336" s="76" t="s">
        <v>940</v>
      </c>
      <c r="C1336" s="76">
        <v>220</v>
      </c>
      <c r="D1336" s="76" t="s">
        <v>437</v>
      </c>
      <c r="E1336" s="76" t="s">
        <v>426</v>
      </c>
      <c r="F1336" s="77">
        <v>1988.56</v>
      </c>
      <c r="G1336" s="77">
        <v>0</v>
      </c>
      <c r="H1336" s="77">
        <v>1988.56</v>
      </c>
      <c r="I1336" s="76" t="s">
        <v>936</v>
      </c>
      <c r="J1336" s="77">
        <v>0</v>
      </c>
      <c r="K1336" s="78">
        <v>78.36</v>
      </c>
      <c r="M1336" s="79" t="str">
        <f t="shared" si="62"/>
        <v>220-7333</v>
      </c>
      <c r="N1336" s="79" t="str">
        <f t="shared" si="60"/>
        <v/>
      </c>
      <c r="O1336" s="79" t="str">
        <f t="shared" si="61"/>
        <v>220</v>
      </c>
      <c r="P1336" s="79" t="str">
        <f>IFERROR(VLOOKUP($M1336,Export!$P:$R,2,FALSE),"-")</f>
        <v>Used Vehicle</v>
      </c>
      <c r="Q1336" s="79" t="str">
        <f>IFERROR(VLOOKUP($M1336,Export!$P:$R,3,FALSE),"-")</f>
        <v>Used VehicleOther Semi-Fixed expenses per retail</v>
      </c>
      <c r="R1336" s="80" t="e" cm="1">
        <f t="array" ref="R1336">_xlfn.IFS(P1336="Service", _xlfn.IFS(I1336="SALES","GP",I1336="SERVICE SALES","GP",I1336="PARTS SALES","GP",I1336="SERVICE COS","GP",I1336="PARTS COS","GP",I1336="SELLING EXPENSES","Selling Expenses",I1336="EMPLOYMENT EXPENSES","Selling Expenses",I1336="EMPLOYMENT EXPENSES","Selling Expenses",I1336="DIRECT EXPENSES","Selling Expenses",I1336="INDIRECT EXPENSES","Selling Expenses"),P1336="Parts",_xlfn.IFS(I1336="SALES","GP",I1336="SERVICE SALES","GP",I1336="PARTS SALES","GP",I1336="SERVICE COS","GP",I1336="PARTS COS","GP",I1336="SELLING EXPENSES","Selling Expenses",I1336="EMPLOYMENT EXPENSES","Selling Expenses",I1336="EMPLOYMENT EXPENSES","Selling Expenses",I1336="DIRECT EXPENSES","Selling Expenses",I1336="INDIRECT EXPENSES","Selling Expenses"))</f>
        <v>#N/A</v>
      </c>
    </row>
    <row r="1337" spans="1:18" x14ac:dyDescent="0.2">
      <c r="A1337" s="75">
        <v>7333</v>
      </c>
      <c r="B1337" s="76" t="s">
        <v>940</v>
      </c>
      <c r="C1337" s="76">
        <v>230</v>
      </c>
      <c r="D1337" s="76" t="s">
        <v>438</v>
      </c>
      <c r="E1337" s="76" t="s">
        <v>426</v>
      </c>
      <c r="F1337" s="77">
        <v>532.58000000000004</v>
      </c>
      <c r="G1337" s="77">
        <v>0</v>
      </c>
      <c r="H1337" s="77">
        <v>532.58000000000004</v>
      </c>
      <c r="I1337" s="76" t="s">
        <v>936</v>
      </c>
      <c r="J1337" s="77">
        <v>0</v>
      </c>
      <c r="K1337" s="78">
        <v>93.77</v>
      </c>
      <c r="M1337" s="79" t="str">
        <f t="shared" si="62"/>
        <v>230-7333</v>
      </c>
      <c r="N1337" s="79" t="str">
        <f t="shared" si="60"/>
        <v/>
      </c>
      <c r="O1337" s="79" t="str">
        <f t="shared" si="61"/>
        <v>230</v>
      </c>
      <c r="P1337" s="79" t="str">
        <f>IFERROR(VLOOKUP($M1337,Export!$P:$R,2,FALSE),"-")</f>
        <v>Parts</v>
      </c>
      <c r="Q1337" s="79" t="str">
        <f>IFERROR(VLOOKUP($M1337,Export!$P:$R,3,FALSE),"-")</f>
        <v>PartsOther Expenses as % of Sales</v>
      </c>
      <c r="R1337" s="80" t="str" cm="1">
        <f t="array" ref="R1337">_xlfn.IFS(P1337="Service", _xlfn.IFS(I1337="SALES","GP",I1337="SERVICE SALES","GP",I1337="PARTS SALES","GP",I1337="SERVICE COS","GP",I1337="PARTS COS","GP",I1337="SELLING EXPENSES","Selling Expenses",I1337="EMPLOYMENT EXPENSES","Selling Expenses",I1337="EMPLOYMENT EXPENSES","Selling Expenses",I1337="DIRECT EXPENSES","Selling Expenses",I1337="INDIRECT EXPENSES","Selling Expenses"),P1337="Parts",_xlfn.IFS(I1337="SALES","GP",I1337="SERVICE SALES","GP",I1337="PARTS SALES","GP",I1337="SERVICE COS","GP",I1337="PARTS COS","GP",I1337="SELLING EXPENSES","Selling Expenses",I1337="EMPLOYMENT EXPENSES","Selling Expenses",I1337="EMPLOYMENT EXPENSES","Selling Expenses",I1337="DIRECT EXPENSES","Selling Expenses",I1337="INDIRECT EXPENSES","Selling Expenses"))</f>
        <v>Selling Expenses</v>
      </c>
    </row>
    <row r="1338" spans="1:18" x14ac:dyDescent="0.2">
      <c r="A1338" s="75">
        <v>7333</v>
      </c>
      <c r="B1338" s="76" t="s">
        <v>940</v>
      </c>
      <c r="C1338" s="76">
        <v>240</v>
      </c>
      <c r="D1338" s="76" t="s">
        <v>439</v>
      </c>
      <c r="E1338" s="76" t="s">
        <v>426</v>
      </c>
      <c r="F1338" s="77">
        <v>6794.46</v>
      </c>
      <c r="G1338" s="77">
        <v>441.91</v>
      </c>
      <c r="H1338" s="77">
        <v>7236.37</v>
      </c>
      <c r="I1338" s="76" t="s">
        <v>936</v>
      </c>
      <c r="J1338" s="77">
        <v>600</v>
      </c>
      <c r="K1338" s="78">
        <v>6836.21</v>
      </c>
      <c r="M1338" s="79" t="str">
        <f t="shared" si="62"/>
        <v>240-7333</v>
      </c>
      <c r="N1338" s="79" t="str">
        <f t="shared" si="60"/>
        <v/>
      </c>
      <c r="O1338" s="79" t="str">
        <f t="shared" si="61"/>
        <v>240</v>
      </c>
      <c r="P1338" s="79" t="str">
        <f>IFERROR(VLOOKUP($M1338,Export!$P:$R,2,FALSE),"-")</f>
        <v>Service</v>
      </c>
      <c r="Q1338" s="79" t="str">
        <f>IFERROR(VLOOKUP($M1338,Export!$P:$R,3,FALSE),"-")</f>
        <v>ServiceOther Expenses as % of Sales</v>
      </c>
      <c r="R1338" s="80" t="str" cm="1">
        <f t="array" ref="R1338">_xlfn.IFS(P1338="Service", _xlfn.IFS(I1338="SALES","GP",I1338="SERVICE SALES","GP",I1338="PARTS SALES","GP",I1338="SERVICE COS","GP",I1338="PARTS COS","GP",I1338="SELLING EXPENSES","Selling Expenses",I1338="EMPLOYMENT EXPENSES","Selling Expenses",I1338="EMPLOYMENT EXPENSES","Selling Expenses",I1338="DIRECT EXPENSES","Selling Expenses",I1338="INDIRECT EXPENSES","Selling Expenses"),P1338="Parts",_xlfn.IFS(I1338="SALES","GP",I1338="SERVICE SALES","GP",I1338="PARTS SALES","GP",I1338="SERVICE COS","GP",I1338="PARTS COS","GP",I1338="SELLING EXPENSES","Selling Expenses",I1338="EMPLOYMENT EXPENSES","Selling Expenses",I1338="EMPLOYMENT EXPENSES","Selling Expenses",I1338="DIRECT EXPENSES","Selling Expenses",I1338="INDIRECT EXPENSES","Selling Expenses"))</f>
        <v>Selling Expenses</v>
      </c>
    </row>
    <row r="1339" spans="1:18" x14ac:dyDescent="0.2">
      <c r="A1339" s="75">
        <v>7333</v>
      </c>
      <c r="B1339" s="76" t="s">
        <v>940</v>
      </c>
      <c r="C1339" s="76">
        <v>340</v>
      </c>
      <c r="D1339" s="76" t="s">
        <v>440</v>
      </c>
      <c r="E1339" s="76" t="s">
        <v>426</v>
      </c>
      <c r="F1339" s="77">
        <v>8693.02</v>
      </c>
      <c r="G1339" s="77">
        <v>30</v>
      </c>
      <c r="H1339" s="77">
        <v>8723.02</v>
      </c>
      <c r="I1339" s="76" t="s">
        <v>936</v>
      </c>
      <c r="J1339" s="77">
        <v>1500</v>
      </c>
      <c r="K1339" s="78">
        <v>10170.23</v>
      </c>
      <c r="M1339" s="79" t="str">
        <f t="shared" si="62"/>
        <v>340-7333</v>
      </c>
      <c r="N1339" s="79" t="str">
        <f t="shared" si="60"/>
        <v/>
      </c>
      <c r="O1339" s="79" t="str">
        <f t="shared" si="61"/>
        <v>340</v>
      </c>
      <c r="P1339" s="79" t="str">
        <f>IFERROR(VLOOKUP($M1339,Export!$P:$R,2,FALSE),"-")</f>
        <v>Service</v>
      </c>
      <c r="Q1339" s="79" t="str">
        <f>IFERROR(VLOOKUP($M1339,Export!$P:$R,3,FALSE),"-")</f>
        <v>ServiceOther Expenses as % of Sales</v>
      </c>
      <c r="R1339" s="80" t="str" cm="1">
        <f t="array" ref="R1339">_xlfn.IFS(P1339="Service", _xlfn.IFS(I1339="SALES","GP",I1339="SERVICE SALES","GP",I1339="PARTS SALES","GP",I1339="SERVICE COS","GP",I1339="PARTS COS","GP",I1339="SELLING EXPENSES","Selling Expenses",I1339="EMPLOYMENT EXPENSES","Selling Expenses",I1339="EMPLOYMENT EXPENSES","Selling Expenses",I1339="DIRECT EXPENSES","Selling Expenses",I1339="INDIRECT EXPENSES","Selling Expenses"),P1339="Parts",_xlfn.IFS(I1339="SALES","GP",I1339="SERVICE SALES","GP",I1339="PARTS SALES","GP",I1339="SERVICE COS","GP",I1339="PARTS COS","GP",I1339="SELLING EXPENSES","Selling Expenses",I1339="EMPLOYMENT EXPENSES","Selling Expenses",I1339="EMPLOYMENT EXPENSES","Selling Expenses",I1339="DIRECT EXPENSES","Selling Expenses",I1339="INDIRECT EXPENSES","Selling Expenses"))</f>
        <v>Selling Expenses</v>
      </c>
    </row>
    <row r="1340" spans="1:18" x14ac:dyDescent="0.2">
      <c r="A1340" s="75">
        <v>7333</v>
      </c>
      <c r="B1340" s="76" t="s">
        <v>940</v>
      </c>
      <c r="C1340" s="76">
        <v>430</v>
      </c>
      <c r="D1340" s="76" t="s">
        <v>458</v>
      </c>
      <c r="E1340" s="76" t="s">
        <v>426</v>
      </c>
      <c r="F1340" s="77">
        <v>835.6</v>
      </c>
      <c r="G1340" s="77">
        <v>0</v>
      </c>
      <c r="H1340" s="77">
        <v>835.6</v>
      </c>
      <c r="I1340" s="76" t="s">
        <v>936</v>
      </c>
      <c r="J1340" s="77">
        <v>0</v>
      </c>
      <c r="K1340" s="78">
        <v>0</v>
      </c>
      <c r="M1340" s="79" t="str">
        <f t="shared" si="62"/>
        <v>430-7333</v>
      </c>
      <c r="N1340" s="79" t="str">
        <f t="shared" si="60"/>
        <v/>
      </c>
      <c r="O1340" s="79" t="str">
        <f t="shared" si="61"/>
        <v>430</v>
      </c>
      <c r="P1340" s="79" t="str">
        <f>IFERROR(VLOOKUP($M1340,Export!$P:$R,2,FALSE),"-")</f>
        <v>Parts</v>
      </c>
      <c r="Q1340" s="79" t="str">
        <f>IFERROR(VLOOKUP($M1340,Export!$P:$R,3,FALSE),"-")</f>
        <v>PartsOther Expenses as % of Sales</v>
      </c>
      <c r="R1340" s="80" t="str" cm="1">
        <f t="array" ref="R1340">_xlfn.IFS(P1340="Service", _xlfn.IFS(I1340="SALES","GP",I1340="SERVICE SALES","GP",I1340="PARTS SALES","GP",I1340="SERVICE COS","GP",I1340="PARTS COS","GP",I1340="SELLING EXPENSES","Selling Expenses",I1340="EMPLOYMENT EXPENSES","Selling Expenses",I1340="EMPLOYMENT EXPENSES","Selling Expenses",I1340="DIRECT EXPENSES","Selling Expenses",I1340="INDIRECT EXPENSES","Selling Expenses"),P1340="Parts",_xlfn.IFS(I1340="SALES","GP",I1340="SERVICE SALES","GP",I1340="PARTS SALES","GP",I1340="SERVICE COS","GP",I1340="PARTS COS","GP",I1340="SELLING EXPENSES","Selling Expenses",I1340="EMPLOYMENT EXPENSES","Selling Expenses",I1340="EMPLOYMENT EXPENSES","Selling Expenses",I1340="DIRECT EXPENSES","Selling Expenses",I1340="INDIRECT EXPENSES","Selling Expenses"))</f>
        <v>Selling Expenses</v>
      </c>
    </row>
    <row r="1341" spans="1:18" x14ac:dyDescent="0.2">
      <c r="A1341" s="75">
        <v>7333</v>
      </c>
      <c r="B1341" s="76" t="s">
        <v>940</v>
      </c>
      <c r="C1341" s="76">
        <v>440</v>
      </c>
      <c r="D1341" s="76" t="s">
        <v>441</v>
      </c>
      <c r="E1341" s="76" t="s">
        <v>426</v>
      </c>
      <c r="F1341" s="77">
        <v>11633.96</v>
      </c>
      <c r="G1341" s="77">
        <v>326.41000000000003</v>
      </c>
      <c r="H1341" s="77">
        <v>11960.37</v>
      </c>
      <c r="I1341" s="76" t="s">
        <v>936</v>
      </c>
      <c r="J1341" s="77">
        <v>600</v>
      </c>
      <c r="K1341" s="78">
        <v>7464.82</v>
      </c>
      <c r="M1341" s="79" t="str">
        <f t="shared" si="62"/>
        <v>440-7333</v>
      </c>
      <c r="N1341" s="79" t="str">
        <f t="shared" si="60"/>
        <v/>
      </c>
      <c r="O1341" s="79" t="str">
        <f t="shared" si="61"/>
        <v>440</v>
      </c>
      <c r="P1341" s="79" t="str">
        <f>IFERROR(VLOOKUP($M1341,Export!$P:$R,2,FALSE),"-")</f>
        <v>Service</v>
      </c>
      <c r="Q1341" s="79" t="str">
        <f>IFERROR(VLOOKUP($M1341,Export!$P:$R,3,FALSE),"-")</f>
        <v>ServiceOther Expenses as % of Sales</v>
      </c>
      <c r="R1341" s="80" t="str" cm="1">
        <f t="array" ref="R1341">_xlfn.IFS(P1341="Service", _xlfn.IFS(I1341="SALES","GP",I1341="SERVICE SALES","GP",I1341="PARTS SALES","GP",I1341="SERVICE COS","GP",I1341="PARTS COS","GP",I1341="SELLING EXPENSES","Selling Expenses",I1341="EMPLOYMENT EXPENSES","Selling Expenses",I1341="EMPLOYMENT EXPENSES","Selling Expenses",I1341="DIRECT EXPENSES","Selling Expenses",I1341="INDIRECT EXPENSES","Selling Expenses"),P1341="Parts",_xlfn.IFS(I1341="SALES","GP",I1341="SERVICE SALES","GP",I1341="PARTS SALES","GP",I1341="SERVICE COS","GP",I1341="PARTS COS","GP",I1341="SELLING EXPENSES","Selling Expenses",I1341="EMPLOYMENT EXPENSES","Selling Expenses",I1341="EMPLOYMENT EXPENSES","Selling Expenses",I1341="DIRECT EXPENSES","Selling Expenses",I1341="INDIRECT EXPENSES","Selling Expenses"))</f>
        <v>Selling Expenses</v>
      </c>
    </row>
    <row r="1342" spans="1:18" x14ac:dyDescent="0.2">
      <c r="A1342" s="75">
        <v>7333</v>
      </c>
      <c r="B1342" s="76" t="s">
        <v>940</v>
      </c>
      <c r="C1342" s="76">
        <v>935</v>
      </c>
      <c r="D1342" s="76" t="s">
        <v>442</v>
      </c>
      <c r="E1342" s="76" t="s">
        <v>426</v>
      </c>
      <c r="F1342" s="77">
        <v>12246.85</v>
      </c>
      <c r="G1342" s="77">
        <v>1645.08</v>
      </c>
      <c r="H1342" s="77">
        <v>13891.93</v>
      </c>
      <c r="I1342" s="76" t="s">
        <v>936</v>
      </c>
      <c r="J1342" s="77">
        <v>800</v>
      </c>
      <c r="K1342" s="78">
        <v>7984.27</v>
      </c>
      <c r="M1342" s="79" t="str">
        <f t="shared" si="62"/>
        <v>935-7333</v>
      </c>
      <c r="N1342" s="79" t="str">
        <f t="shared" si="60"/>
        <v/>
      </c>
      <c r="O1342" s="79" t="str">
        <f t="shared" si="61"/>
        <v>935</v>
      </c>
      <c r="P1342" s="79" t="str">
        <f>IFERROR(VLOOKUP($M1342,Export!$P:$R,2,FALSE),"-")</f>
        <v>Bridgestone</v>
      </c>
      <c r="Q1342" s="79" t="str">
        <f>IFERROR(VLOOKUP($M1342,Export!$P:$R,3,FALSE),"-")</f>
        <v>BridgestoneOther Expenses as % of Sales</v>
      </c>
      <c r="R1342" s="80" t="e" cm="1">
        <f t="array" ref="R1342">_xlfn.IFS(P1342="Service", _xlfn.IFS(I1342="SALES","GP",I1342="SERVICE SALES","GP",I1342="PARTS SALES","GP",I1342="SERVICE COS","GP",I1342="PARTS COS","GP",I1342="SELLING EXPENSES","Selling Expenses",I1342="EMPLOYMENT EXPENSES","Selling Expenses",I1342="EMPLOYMENT EXPENSES","Selling Expenses",I1342="DIRECT EXPENSES","Selling Expenses",I1342="INDIRECT EXPENSES","Selling Expenses"),P1342="Parts",_xlfn.IFS(I1342="SALES","GP",I1342="SERVICE SALES","GP",I1342="PARTS SALES","GP",I1342="SERVICE COS","GP",I1342="PARTS COS","GP",I1342="SELLING EXPENSES","Selling Expenses",I1342="EMPLOYMENT EXPENSES","Selling Expenses",I1342="EMPLOYMENT EXPENSES","Selling Expenses",I1342="DIRECT EXPENSES","Selling Expenses",I1342="INDIRECT EXPENSES","Selling Expenses"))</f>
        <v>#N/A</v>
      </c>
    </row>
    <row r="1343" spans="1:18" x14ac:dyDescent="0.2">
      <c r="A1343" s="75">
        <v>7333</v>
      </c>
      <c r="B1343" s="76" t="s">
        <v>940</v>
      </c>
      <c r="C1343" s="76">
        <v>936</v>
      </c>
      <c r="D1343" s="76" t="s">
        <v>443</v>
      </c>
      <c r="E1343" s="76" t="s">
        <v>426</v>
      </c>
      <c r="F1343" s="77">
        <v>300.06</v>
      </c>
      <c r="G1343" s="77">
        <v>300.06</v>
      </c>
      <c r="H1343" s="77">
        <v>600.12</v>
      </c>
      <c r="I1343" s="76" t="s">
        <v>936</v>
      </c>
      <c r="J1343" s="77">
        <v>0</v>
      </c>
      <c r="K1343" s="78">
        <v>492.05</v>
      </c>
      <c r="M1343" s="79" t="str">
        <f t="shared" si="62"/>
        <v>936-7333</v>
      </c>
      <c r="N1343" s="79" t="str">
        <f t="shared" si="60"/>
        <v/>
      </c>
      <c r="O1343" s="79" t="str">
        <f t="shared" si="61"/>
        <v>936</v>
      </c>
      <c r="P1343" s="79" t="str">
        <f>IFERROR(VLOOKUP($M1343,Export!$P:$R,2,FALSE),"-")</f>
        <v>Bridgestone</v>
      </c>
      <c r="Q1343" s="79" t="str">
        <f>IFERROR(VLOOKUP($M1343,Export!$P:$R,3,FALSE),"-")</f>
        <v>BridgestoneOther Expenses as % of Sales</v>
      </c>
      <c r="R1343" s="80" t="e" cm="1">
        <f t="array" ref="R1343">_xlfn.IFS(P1343="Service", _xlfn.IFS(I1343="SALES","GP",I1343="SERVICE SALES","GP",I1343="PARTS SALES","GP",I1343="SERVICE COS","GP",I1343="PARTS COS","GP",I1343="SELLING EXPENSES","Selling Expenses",I1343="EMPLOYMENT EXPENSES","Selling Expenses",I1343="EMPLOYMENT EXPENSES","Selling Expenses",I1343="DIRECT EXPENSES","Selling Expenses",I1343="INDIRECT EXPENSES","Selling Expenses"),P1343="Parts",_xlfn.IFS(I1343="SALES","GP",I1343="SERVICE SALES","GP",I1343="PARTS SALES","GP",I1343="SERVICE COS","GP",I1343="PARTS COS","GP",I1343="SELLING EXPENSES","Selling Expenses",I1343="EMPLOYMENT EXPENSES","Selling Expenses",I1343="EMPLOYMENT EXPENSES","Selling Expenses",I1343="DIRECT EXPENSES","Selling Expenses",I1343="INDIRECT EXPENSES","Selling Expenses"))</f>
        <v>#N/A</v>
      </c>
    </row>
    <row r="1344" spans="1:18" x14ac:dyDescent="0.2">
      <c r="A1344" s="75">
        <v>7350</v>
      </c>
      <c r="B1344" s="76" t="s">
        <v>941</v>
      </c>
      <c r="C1344" s="76">
        <v>110</v>
      </c>
      <c r="D1344" s="76" t="s">
        <v>430</v>
      </c>
      <c r="E1344" s="76" t="s">
        <v>426</v>
      </c>
      <c r="F1344" s="77">
        <v>22877.59</v>
      </c>
      <c r="G1344" s="77">
        <v>957.23</v>
      </c>
      <c r="H1344" s="77">
        <v>23834.82</v>
      </c>
      <c r="I1344" s="76" t="s">
        <v>936</v>
      </c>
      <c r="J1344" s="77">
        <v>1750</v>
      </c>
      <c r="K1344" s="78">
        <v>22119.29</v>
      </c>
      <c r="M1344" s="79" t="str">
        <f t="shared" si="62"/>
        <v>110-7350</v>
      </c>
      <c r="N1344" s="79" t="str">
        <f t="shared" si="60"/>
        <v/>
      </c>
      <c r="O1344" s="79" t="str">
        <f t="shared" si="61"/>
        <v>110</v>
      </c>
      <c r="P1344" s="79" t="str">
        <f>IFERROR(VLOOKUP($M1344,Export!$P:$R,2,FALSE),"-")</f>
        <v>Admin &amp; Other</v>
      </c>
      <c r="Q1344" s="79" t="str">
        <f>IFERROR(VLOOKUP($M1344,Export!$P:$R,3,FALSE),"-")</f>
        <v>Admin &amp; OtherOther Overheads as % of Total Gross Profit</v>
      </c>
      <c r="R1344" s="80" t="e" cm="1">
        <f t="array" ref="R1344">_xlfn.IFS(P1344="Service", _xlfn.IFS(I1344="SALES","GP",I1344="SERVICE SALES","GP",I1344="PARTS SALES","GP",I1344="SERVICE COS","GP",I1344="PARTS COS","GP",I1344="SELLING EXPENSES","Selling Expenses",I1344="EMPLOYMENT EXPENSES","Selling Expenses",I1344="EMPLOYMENT EXPENSES","Selling Expenses",I1344="DIRECT EXPENSES","Selling Expenses",I1344="INDIRECT EXPENSES","Selling Expenses"),P1344="Parts",_xlfn.IFS(I1344="SALES","GP",I1344="SERVICE SALES","GP",I1344="PARTS SALES","GP",I1344="SERVICE COS","GP",I1344="PARTS COS","GP",I1344="SELLING EXPENSES","Selling Expenses",I1344="EMPLOYMENT EXPENSES","Selling Expenses",I1344="EMPLOYMENT EXPENSES","Selling Expenses",I1344="DIRECT EXPENSES","Selling Expenses",I1344="INDIRECT EXPENSES","Selling Expenses"))</f>
        <v>#N/A</v>
      </c>
    </row>
    <row r="1345" spans="1:18" x14ac:dyDescent="0.2">
      <c r="A1345" s="75">
        <v>7350</v>
      </c>
      <c r="B1345" s="76" t="s">
        <v>941</v>
      </c>
      <c r="C1345" s="76">
        <v>112</v>
      </c>
      <c r="D1345" s="76" t="s">
        <v>349</v>
      </c>
      <c r="E1345" s="76" t="s">
        <v>426</v>
      </c>
      <c r="F1345" s="77">
        <v>19490.46</v>
      </c>
      <c r="G1345" s="77">
        <v>1587.85</v>
      </c>
      <c r="H1345" s="77">
        <v>21078.31</v>
      </c>
      <c r="I1345" s="76" t="s">
        <v>936</v>
      </c>
      <c r="J1345" s="77">
        <v>1500</v>
      </c>
      <c r="K1345" s="78">
        <v>18125.52</v>
      </c>
      <c r="M1345" s="79" t="str">
        <f t="shared" si="62"/>
        <v>112-7350</v>
      </c>
      <c r="N1345" s="79" t="str">
        <f t="shared" si="60"/>
        <v/>
      </c>
      <c r="O1345" s="79" t="str">
        <f t="shared" si="61"/>
        <v>112</v>
      </c>
      <c r="P1345" s="79" t="str">
        <f>IFERROR(VLOOKUP($M1345,Export!$P:$R,2,FALSE),"-")</f>
        <v>LEX Admin &amp; Other</v>
      </c>
      <c r="Q1345" s="79" t="str">
        <f>IFERROR(VLOOKUP($M1345,Export!$P:$R,3,FALSE),"-")</f>
        <v>LEX Admin &amp; OtherOther Overheads as % of Total Gross Profit</v>
      </c>
      <c r="R1345" s="80" t="e" cm="1">
        <f t="array" ref="R1345">_xlfn.IFS(P1345="Service", _xlfn.IFS(I1345="SALES","GP",I1345="SERVICE SALES","GP",I1345="PARTS SALES","GP",I1345="SERVICE COS","GP",I1345="PARTS COS","GP",I1345="SELLING EXPENSES","Selling Expenses",I1345="EMPLOYMENT EXPENSES","Selling Expenses",I1345="EMPLOYMENT EXPENSES","Selling Expenses",I1345="DIRECT EXPENSES","Selling Expenses",I1345="INDIRECT EXPENSES","Selling Expenses"),P1345="Parts",_xlfn.IFS(I1345="SALES","GP",I1345="SERVICE SALES","GP",I1345="PARTS SALES","GP",I1345="SERVICE COS","GP",I1345="PARTS COS","GP",I1345="SELLING EXPENSES","Selling Expenses",I1345="EMPLOYMENT EXPENSES","Selling Expenses",I1345="EMPLOYMENT EXPENSES","Selling Expenses",I1345="DIRECT EXPENSES","Selling Expenses",I1345="INDIRECT EXPENSES","Selling Expenses"))</f>
        <v>#N/A</v>
      </c>
    </row>
    <row r="1346" spans="1:18" x14ac:dyDescent="0.2">
      <c r="A1346" s="75">
        <v>7350</v>
      </c>
      <c r="B1346" s="76" t="s">
        <v>941</v>
      </c>
      <c r="C1346" s="76">
        <v>120</v>
      </c>
      <c r="D1346" s="76" t="s">
        <v>431</v>
      </c>
      <c r="E1346" s="76" t="s">
        <v>426</v>
      </c>
      <c r="F1346" s="77">
        <v>20922.259999999998</v>
      </c>
      <c r="G1346" s="77">
        <v>1019.1</v>
      </c>
      <c r="H1346" s="77">
        <v>21941.360000000001</v>
      </c>
      <c r="I1346" s="76" t="s">
        <v>936</v>
      </c>
      <c r="J1346" s="77">
        <v>1075</v>
      </c>
      <c r="K1346" s="78">
        <v>13165.84</v>
      </c>
      <c r="M1346" s="79" t="str">
        <f t="shared" si="62"/>
        <v>120-7350</v>
      </c>
      <c r="N1346" s="79" t="str">
        <f t="shared" ref="N1346:N1409" si="63">+IF(RIGHT(A1346,1)="#","#","")</f>
        <v/>
      </c>
      <c r="O1346" s="79" t="str">
        <f t="shared" ref="O1346:O1409" si="64">+C1346&amp;N1346</f>
        <v>120</v>
      </c>
      <c r="P1346" s="79" t="str">
        <f>IFERROR(VLOOKUP($M1346,Export!$P:$R,2,FALSE),"-")</f>
        <v>Admin &amp; Other</v>
      </c>
      <c r="Q1346" s="79" t="str">
        <f>IFERROR(VLOOKUP($M1346,Export!$P:$R,3,FALSE),"-")</f>
        <v>Admin &amp; OtherOther Overheads as % of Total Gross Profit</v>
      </c>
      <c r="R1346" s="80" t="e" cm="1">
        <f t="array" ref="R1346">_xlfn.IFS(P1346="Service", _xlfn.IFS(I1346="SALES","GP",I1346="SERVICE SALES","GP",I1346="PARTS SALES","GP",I1346="SERVICE COS","GP",I1346="PARTS COS","GP",I1346="SELLING EXPENSES","Selling Expenses",I1346="EMPLOYMENT EXPENSES","Selling Expenses",I1346="EMPLOYMENT EXPENSES","Selling Expenses",I1346="DIRECT EXPENSES","Selling Expenses",I1346="INDIRECT EXPENSES","Selling Expenses"),P1346="Parts",_xlfn.IFS(I1346="SALES","GP",I1346="SERVICE SALES","GP",I1346="PARTS SALES","GP",I1346="SERVICE COS","GP",I1346="PARTS COS","GP",I1346="SELLING EXPENSES","Selling Expenses",I1346="EMPLOYMENT EXPENSES","Selling Expenses",I1346="EMPLOYMENT EXPENSES","Selling Expenses",I1346="DIRECT EXPENSES","Selling Expenses",I1346="INDIRECT EXPENSES","Selling Expenses"))</f>
        <v>#N/A</v>
      </c>
    </row>
    <row r="1347" spans="1:18" x14ac:dyDescent="0.2">
      <c r="A1347" s="75">
        <v>7350</v>
      </c>
      <c r="B1347" s="76" t="s">
        <v>941</v>
      </c>
      <c r="C1347" s="76">
        <v>121</v>
      </c>
      <c r="D1347" s="76" t="s">
        <v>449</v>
      </c>
      <c r="E1347" s="76" t="s">
        <v>426</v>
      </c>
      <c r="F1347" s="77">
        <v>0</v>
      </c>
      <c r="G1347" s="77">
        <v>0</v>
      </c>
      <c r="H1347" s="77">
        <v>0</v>
      </c>
      <c r="I1347" s="76" t="s">
        <v>936</v>
      </c>
      <c r="J1347" s="77">
        <v>700</v>
      </c>
      <c r="K1347" s="78">
        <v>9927.91</v>
      </c>
      <c r="M1347" s="79" t="str">
        <f t="shared" ref="M1347:M1410" si="65">+C1347&amp;"-"&amp;A1347</f>
        <v>121-7350</v>
      </c>
      <c r="N1347" s="79" t="str">
        <f t="shared" si="63"/>
        <v/>
      </c>
      <c r="O1347" s="79" t="str">
        <f t="shared" si="64"/>
        <v>121</v>
      </c>
      <c r="P1347" s="79" t="str">
        <f>IFERROR(VLOOKUP($M1347,Export!$P:$R,2,FALSE),"-")</f>
        <v>Admin &amp; Other</v>
      </c>
      <c r="Q1347" s="79" t="str">
        <f>IFERROR(VLOOKUP($M1347,Export!$P:$R,3,FALSE),"-")</f>
        <v>Admin &amp; OtherOther Overheads as % of Total Gross Profit</v>
      </c>
      <c r="R1347" s="80" t="e" cm="1">
        <f t="array" ref="R1347">_xlfn.IFS(P1347="Service", _xlfn.IFS(I1347="SALES","GP",I1347="SERVICE SALES","GP",I1347="PARTS SALES","GP",I1347="SERVICE COS","GP",I1347="PARTS COS","GP",I1347="SELLING EXPENSES","Selling Expenses",I1347="EMPLOYMENT EXPENSES","Selling Expenses",I1347="EMPLOYMENT EXPENSES","Selling Expenses",I1347="DIRECT EXPENSES","Selling Expenses",I1347="INDIRECT EXPENSES","Selling Expenses"),P1347="Parts",_xlfn.IFS(I1347="SALES","GP",I1347="SERVICE SALES","GP",I1347="PARTS SALES","GP",I1347="SERVICE COS","GP",I1347="PARTS COS","GP",I1347="SELLING EXPENSES","Selling Expenses",I1347="EMPLOYMENT EXPENSES","Selling Expenses",I1347="EMPLOYMENT EXPENSES","Selling Expenses",I1347="DIRECT EXPENSES","Selling Expenses",I1347="INDIRECT EXPENSES","Selling Expenses"))</f>
        <v>#N/A</v>
      </c>
    </row>
    <row r="1348" spans="1:18" x14ac:dyDescent="0.2">
      <c r="A1348" s="75">
        <v>7350</v>
      </c>
      <c r="B1348" s="76" t="s">
        <v>941</v>
      </c>
      <c r="C1348" s="76">
        <v>130</v>
      </c>
      <c r="D1348" s="76" t="s">
        <v>432</v>
      </c>
      <c r="E1348" s="76" t="s">
        <v>426</v>
      </c>
      <c r="F1348" s="77">
        <v>20265.78</v>
      </c>
      <c r="G1348" s="77">
        <v>602.23</v>
      </c>
      <c r="H1348" s="77">
        <v>20868.009999999998</v>
      </c>
      <c r="I1348" s="76" t="s">
        <v>936</v>
      </c>
      <c r="J1348" s="77">
        <v>1300</v>
      </c>
      <c r="K1348" s="78">
        <v>20093.77</v>
      </c>
      <c r="M1348" s="79" t="str">
        <f t="shared" si="65"/>
        <v>130-7350</v>
      </c>
      <c r="N1348" s="79" t="str">
        <f t="shared" si="63"/>
        <v/>
      </c>
      <c r="O1348" s="79" t="str">
        <f t="shared" si="64"/>
        <v>130</v>
      </c>
      <c r="P1348" s="79" t="str">
        <f>IFERROR(VLOOKUP($M1348,Export!$P:$R,2,FALSE),"-")</f>
        <v>Admin &amp; Other</v>
      </c>
      <c r="Q1348" s="79" t="str">
        <f>IFERROR(VLOOKUP($M1348,Export!$P:$R,3,FALSE),"-")</f>
        <v>Admin &amp; OtherOther Overheads as % of Total Gross Profit</v>
      </c>
      <c r="R1348" s="80" t="e" cm="1">
        <f t="array" ref="R1348">_xlfn.IFS(P1348="Service", _xlfn.IFS(I1348="SALES","GP",I1348="SERVICE SALES","GP",I1348="PARTS SALES","GP",I1348="SERVICE COS","GP",I1348="PARTS COS","GP",I1348="SELLING EXPENSES","Selling Expenses",I1348="EMPLOYMENT EXPENSES","Selling Expenses",I1348="EMPLOYMENT EXPENSES","Selling Expenses",I1348="DIRECT EXPENSES","Selling Expenses",I1348="INDIRECT EXPENSES","Selling Expenses"),P1348="Parts",_xlfn.IFS(I1348="SALES","GP",I1348="SERVICE SALES","GP",I1348="PARTS SALES","GP",I1348="SERVICE COS","GP",I1348="PARTS COS","GP",I1348="SELLING EXPENSES","Selling Expenses",I1348="EMPLOYMENT EXPENSES","Selling Expenses",I1348="EMPLOYMENT EXPENSES","Selling Expenses",I1348="DIRECT EXPENSES","Selling Expenses",I1348="INDIRECT EXPENSES","Selling Expenses"))</f>
        <v>#N/A</v>
      </c>
    </row>
    <row r="1349" spans="1:18" x14ac:dyDescent="0.2">
      <c r="A1349" s="75">
        <v>7350</v>
      </c>
      <c r="B1349" s="76" t="s">
        <v>941</v>
      </c>
      <c r="C1349" s="76">
        <v>140</v>
      </c>
      <c r="D1349" s="76" t="s">
        <v>433</v>
      </c>
      <c r="E1349" s="76" t="s">
        <v>426</v>
      </c>
      <c r="F1349" s="77">
        <v>18311.72</v>
      </c>
      <c r="G1349" s="77">
        <v>1601.05</v>
      </c>
      <c r="H1349" s="77">
        <v>19912.77</v>
      </c>
      <c r="I1349" s="76" t="s">
        <v>936</v>
      </c>
      <c r="J1349" s="77">
        <v>2600</v>
      </c>
      <c r="K1349" s="78">
        <v>27607.24</v>
      </c>
      <c r="M1349" s="79" t="str">
        <f t="shared" si="65"/>
        <v>140-7350</v>
      </c>
      <c r="N1349" s="79" t="str">
        <f t="shared" si="63"/>
        <v/>
      </c>
      <c r="O1349" s="79" t="str">
        <f t="shared" si="64"/>
        <v>140</v>
      </c>
      <c r="P1349" s="79" t="str">
        <f>IFERROR(VLOOKUP($M1349,Export!$P:$R,2,FALSE),"-")</f>
        <v>Admin &amp; Other</v>
      </c>
      <c r="Q1349" s="79" t="str">
        <f>IFERROR(VLOOKUP($M1349,Export!$P:$R,3,FALSE),"-")</f>
        <v>Admin &amp; OtherOther Overheads as % of Total Gross Profit</v>
      </c>
      <c r="R1349" s="80" t="e" cm="1">
        <f t="array" ref="R1349">_xlfn.IFS(P1349="Service", _xlfn.IFS(I1349="SALES","GP",I1349="SERVICE SALES","GP",I1349="PARTS SALES","GP",I1349="SERVICE COS","GP",I1349="PARTS COS","GP",I1349="SELLING EXPENSES","Selling Expenses",I1349="EMPLOYMENT EXPENSES","Selling Expenses",I1349="EMPLOYMENT EXPENSES","Selling Expenses",I1349="DIRECT EXPENSES","Selling Expenses",I1349="INDIRECT EXPENSES","Selling Expenses"),P1349="Parts",_xlfn.IFS(I1349="SALES","GP",I1349="SERVICE SALES","GP",I1349="PARTS SALES","GP",I1349="SERVICE COS","GP",I1349="PARTS COS","GP",I1349="SELLING EXPENSES","Selling Expenses",I1349="EMPLOYMENT EXPENSES","Selling Expenses",I1349="EMPLOYMENT EXPENSES","Selling Expenses",I1349="DIRECT EXPENSES","Selling Expenses",I1349="INDIRECT EXPENSES","Selling Expenses"))</f>
        <v>#N/A</v>
      </c>
    </row>
    <row r="1350" spans="1:18" x14ac:dyDescent="0.2">
      <c r="A1350" s="75">
        <v>7350</v>
      </c>
      <c r="B1350" s="76" t="s">
        <v>941</v>
      </c>
      <c r="C1350" s="76">
        <v>142</v>
      </c>
      <c r="D1350" s="76" t="s">
        <v>454</v>
      </c>
      <c r="E1350" s="76" t="s">
        <v>426</v>
      </c>
      <c r="F1350" s="77">
        <v>255.19</v>
      </c>
      <c r="G1350" s="77">
        <v>0</v>
      </c>
      <c r="H1350" s="77">
        <v>255.19</v>
      </c>
      <c r="I1350" s="76" t="s">
        <v>936</v>
      </c>
      <c r="J1350" s="77">
        <v>0</v>
      </c>
      <c r="K1350" s="78">
        <v>0</v>
      </c>
      <c r="M1350" s="79" t="str">
        <f t="shared" si="65"/>
        <v>142-7350</v>
      </c>
      <c r="N1350" s="79" t="str">
        <f t="shared" si="63"/>
        <v/>
      </c>
      <c r="O1350" s="79" t="str">
        <f t="shared" si="64"/>
        <v>142</v>
      </c>
      <c r="P1350" s="79" t="str">
        <f>IFERROR(VLOOKUP($M1350,Export!$P:$R,2,FALSE),"-")</f>
        <v>LEX Admin &amp; Other</v>
      </c>
      <c r="Q1350" s="79" t="str">
        <f>IFERROR(VLOOKUP($M1350,Export!$P:$R,3,FALSE),"-")</f>
        <v>LEX Admin &amp; OtherOther Overheads as % of Total Gross Profit</v>
      </c>
      <c r="R1350" s="80" t="e" cm="1">
        <f t="array" ref="R1350">_xlfn.IFS(P1350="Service", _xlfn.IFS(I1350="SALES","GP",I1350="SERVICE SALES","GP",I1350="PARTS SALES","GP",I1350="SERVICE COS","GP",I1350="PARTS COS","GP",I1350="SELLING EXPENSES","Selling Expenses",I1350="EMPLOYMENT EXPENSES","Selling Expenses",I1350="EMPLOYMENT EXPENSES","Selling Expenses",I1350="DIRECT EXPENSES","Selling Expenses",I1350="INDIRECT EXPENSES","Selling Expenses"),P1350="Parts",_xlfn.IFS(I1350="SALES","GP",I1350="SERVICE SALES","GP",I1350="PARTS SALES","GP",I1350="SERVICE COS","GP",I1350="PARTS COS","GP",I1350="SELLING EXPENSES","Selling Expenses",I1350="EMPLOYMENT EXPENSES","Selling Expenses",I1350="EMPLOYMENT EXPENSES","Selling Expenses",I1350="DIRECT EXPENSES","Selling Expenses",I1350="INDIRECT EXPENSES","Selling Expenses"))</f>
        <v>#N/A</v>
      </c>
    </row>
    <row r="1351" spans="1:18" x14ac:dyDescent="0.2">
      <c r="A1351" s="75">
        <v>7350</v>
      </c>
      <c r="B1351" s="76" t="s">
        <v>941</v>
      </c>
      <c r="C1351" s="76">
        <v>147</v>
      </c>
      <c r="D1351" s="76" t="s">
        <v>699</v>
      </c>
      <c r="E1351" s="76" t="s">
        <v>426</v>
      </c>
      <c r="F1351" s="77">
        <v>0</v>
      </c>
      <c r="G1351" s="77">
        <v>0</v>
      </c>
      <c r="H1351" s="77">
        <v>0</v>
      </c>
      <c r="I1351" s="76" t="s">
        <v>936</v>
      </c>
      <c r="J1351" s="77">
        <v>100</v>
      </c>
      <c r="K1351" s="78">
        <v>1262.01</v>
      </c>
      <c r="M1351" s="79" t="str">
        <f t="shared" si="65"/>
        <v>147-7350</v>
      </c>
      <c r="N1351" s="79" t="str">
        <f t="shared" si="63"/>
        <v/>
      </c>
      <c r="O1351" s="79" t="str">
        <f t="shared" si="64"/>
        <v>147</v>
      </c>
      <c r="P1351" s="79" t="str">
        <f>IFERROR(VLOOKUP($M1351,Export!$P:$R,2,FALSE),"-")</f>
        <v>Admin &amp; Other</v>
      </c>
      <c r="Q1351" s="79" t="str">
        <f>IFERROR(VLOOKUP($M1351,Export!$P:$R,3,FALSE),"-")</f>
        <v>Admin &amp; OtherOther Overheads as % of Total Gross Profit</v>
      </c>
      <c r="R1351" s="80" t="e" cm="1">
        <f t="array" ref="R1351">_xlfn.IFS(P1351="Service", _xlfn.IFS(I1351="SALES","GP",I1351="SERVICE SALES","GP",I1351="PARTS SALES","GP",I1351="SERVICE COS","GP",I1351="PARTS COS","GP",I1351="SELLING EXPENSES","Selling Expenses",I1351="EMPLOYMENT EXPENSES","Selling Expenses",I1351="EMPLOYMENT EXPENSES","Selling Expenses",I1351="DIRECT EXPENSES","Selling Expenses",I1351="INDIRECT EXPENSES","Selling Expenses"),P1351="Parts",_xlfn.IFS(I1351="SALES","GP",I1351="SERVICE SALES","GP",I1351="PARTS SALES","GP",I1351="SERVICE COS","GP",I1351="PARTS COS","GP",I1351="SELLING EXPENSES","Selling Expenses",I1351="EMPLOYMENT EXPENSES","Selling Expenses",I1351="EMPLOYMENT EXPENSES","Selling Expenses",I1351="DIRECT EXPENSES","Selling Expenses",I1351="INDIRECT EXPENSES","Selling Expenses"))</f>
        <v>#N/A</v>
      </c>
    </row>
    <row r="1352" spans="1:18" x14ac:dyDescent="0.2">
      <c r="A1352" s="75">
        <v>7350</v>
      </c>
      <c r="B1352" s="76" t="s">
        <v>941</v>
      </c>
      <c r="C1352" s="76">
        <v>150</v>
      </c>
      <c r="D1352" s="76" t="s">
        <v>700</v>
      </c>
      <c r="E1352" s="76" t="s">
        <v>426</v>
      </c>
      <c r="F1352" s="77">
        <v>1624.5</v>
      </c>
      <c r="G1352" s="77">
        <v>0</v>
      </c>
      <c r="H1352" s="77">
        <v>1624.5</v>
      </c>
      <c r="I1352" s="76" t="s">
        <v>936</v>
      </c>
      <c r="J1352" s="77">
        <v>0</v>
      </c>
      <c r="K1352" s="78">
        <v>0</v>
      </c>
      <c r="M1352" s="79" t="str">
        <f t="shared" si="65"/>
        <v>150-7350</v>
      </c>
      <c r="N1352" s="79" t="str">
        <f t="shared" si="63"/>
        <v/>
      </c>
      <c r="O1352" s="79" t="str">
        <f t="shared" si="64"/>
        <v>150</v>
      </c>
      <c r="P1352" s="79" t="str">
        <f>IFERROR(VLOOKUP($M1352,Export!$P:$R,2,FALSE),"-")</f>
        <v>LEX Admin &amp; Other</v>
      </c>
      <c r="Q1352" s="79" t="str">
        <f>IFERROR(VLOOKUP($M1352,Export!$P:$R,3,FALSE),"-")</f>
        <v>LEX Admin &amp; OtherOther Overheads as % of Total Gross Profit</v>
      </c>
      <c r="R1352" s="80" t="e" cm="1">
        <f t="array" ref="R1352">_xlfn.IFS(P1352="Service", _xlfn.IFS(I1352="SALES","GP",I1352="SERVICE SALES","GP",I1352="PARTS SALES","GP",I1352="SERVICE COS","GP",I1352="PARTS COS","GP",I1352="SELLING EXPENSES","Selling Expenses",I1352="EMPLOYMENT EXPENSES","Selling Expenses",I1352="EMPLOYMENT EXPENSES","Selling Expenses",I1352="DIRECT EXPENSES","Selling Expenses",I1352="INDIRECT EXPENSES","Selling Expenses"),P1352="Parts",_xlfn.IFS(I1352="SALES","GP",I1352="SERVICE SALES","GP",I1352="PARTS SALES","GP",I1352="SERVICE COS","GP",I1352="PARTS COS","GP",I1352="SELLING EXPENSES","Selling Expenses",I1352="EMPLOYMENT EXPENSES","Selling Expenses",I1352="EMPLOYMENT EXPENSES","Selling Expenses",I1352="DIRECT EXPENSES","Selling Expenses",I1352="INDIRECT EXPENSES","Selling Expenses"))</f>
        <v>#N/A</v>
      </c>
    </row>
    <row r="1353" spans="1:18" x14ac:dyDescent="0.2">
      <c r="A1353" s="75">
        <v>7350</v>
      </c>
      <c r="B1353" s="76" t="s">
        <v>941</v>
      </c>
      <c r="C1353" s="76">
        <v>160</v>
      </c>
      <c r="D1353" s="76" t="s">
        <v>434</v>
      </c>
      <c r="E1353" s="76" t="s">
        <v>426</v>
      </c>
      <c r="F1353" s="77">
        <v>4943.28</v>
      </c>
      <c r="G1353" s="77">
        <v>1780.66</v>
      </c>
      <c r="H1353" s="77">
        <v>6723.94</v>
      </c>
      <c r="I1353" s="76" t="s">
        <v>936</v>
      </c>
      <c r="J1353" s="77">
        <v>400</v>
      </c>
      <c r="K1353" s="78">
        <v>5659.55</v>
      </c>
      <c r="M1353" s="79" t="str">
        <f t="shared" si="65"/>
        <v>160-7350</v>
      </c>
      <c r="N1353" s="79" t="str">
        <f t="shared" si="63"/>
        <v/>
      </c>
      <c r="O1353" s="79" t="str">
        <f t="shared" si="64"/>
        <v>160</v>
      </c>
      <c r="P1353" s="79" t="str">
        <f>IFERROR(VLOOKUP($M1353,Export!$P:$R,2,FALSE),"-")</f>
        <v>Admin &amp; Other</v>
      </c>
      <c r="Q1353" s="79" t="str">
        <f>IFERROR(VLOOKUP($M1353,Export!$P:$R,3,FALSE),"-")</f>
        <v>Admin &amp; OtherOther Overheads as % of Total Gross Profit</v>
      </c>
      <c r="R1353" s="80" t="e" cm="1">
        <f t="array" ref="R1353">_xlfn.IFS(P1353="Service", _xlfn.IFS(I1353="SALES","GP",I1353="SERVICE SALES","GP",I1353="PARTS SALES","GP",I1353="SERVICE COS","GP",I1353="PARTS COS","GP",I1353="SELLING EXPENSES","Selling Expenses",I1353="EMPLOYMENT EXPENSES","Selling Expenses",I1353="EMPLOYMENT EXPENSES","Selling Expenses",I1353="DIRECT EXPENSES","Selling Expenses",I1353="INDIRECT EXPENSES","Selling Expenses"),P1353="Parts",_xlfn.IFS(I1353="SALES","GP",I1353="SERVICE SALES","GP",I1353="PARTS SALES","GP",I1353="SERVICE COS","GP",I1353="PARTS COS","GP",I1353="SELLING EXPENSES","Selling Expenses",I1353="EMPLOYMENT EXPENSES","Selling Expenses",I1353="EMPLOYMENT EXPENSES","Selling Expenses",I1353="DIRECT EXPENSES","Selling Expenses",I1353="INDIRECT EXPENSES","Selling Expenses"))</f>
        <v>#N/A</v>
      </c>
    </row>
    <row r="1354" spans="1:18" x14ac:dyDescent="0.2">
      <c r="A1354" s="75">
        <v>7350</v>
      </c>
      <c r="B1354" s="76" t="s">
        <v>941</v>
      </c>
      <c r="C1354" s="76">
        <v>190</v>
      </c>
      <c r="D1354" s="76" t="s">
        <v>435</v>
      </c>
      <c r="E1354" s="76" t="s">
        <v>426</v>
      </c>
      <c r="F1354" s="77">
        <v>2368.12</v>
      </c>
      <c r="G1354" s="77">
        <v>823.78</v>
      </c>
      <c r="H1354" s="77">
        <v>3191.9</v>
      </c>
      <c r="I1354" s="76" t="s">
        <v>936</v>
      </c>
      <c r="J1354" s="77">
        <v>0</v>
      </c>
      <c r="K1354" s="78">
        <v>0</v>
      </c>
      <c r="M1354" s="79" t="str">
        <f t="shared" si="65"/>
        <v>190-7350</v>
      </c>
      <c r="N1354" s="79" t="str">
        <f t="shared" si="63"/>
        <v/>
      </c>
      <c r="O1354" s="79" t="str">
        <f t="shared" si="64"/>
        <v>190</v>
      </c>
      <c r="P1354" s="79" t="str">
        <f>IFERROR(VLOOKUP($M1354,Export!$P:$R,2,FALSE),"-")</f>
        <v>Admin &amp; Other</v>
      </c>
      <c r="Q1354" s="79" t="str">
        <f>IFERROR(VLOOKUP($M1354,Export!$P:$R,3,FALSE),"-")</f>
        <v>Admin &amp; OtherOther Overheads as % of Total Gross Profit</v>
      </c>
      <c r="R1354" s="80" t="e" cm="1">
        <f t="array" ref="R1354">_xlfn.IFS(P1354="Service", _xlfn.IFS(I1354="SALES","GP",I1354="SERVICE SALES","GP",I1354="PARTS SALES","GP",I1354="SERVICE COS","GP",I1354="PARTS COS","GP",I1354="SELLING EXPENSES","Selling Expenses",I1354="EMPLOYMENT EXPENSES","Selling Expenses",I1354="EMPLOYMENT EXPENSES","Selling Expenses",I1354="DIRECT EXPENSES","Selling Expenses",I1354="INDIRECT EXPENSES","Selling Expenses"),P1354="Parts",_xlfn.IFS(I1354="SALES","GP",I1354="SERVICE SALES","GP",I1354="PARTS SALES","GP",I1354="SERVICE COS","GP",I1354="PARTS COS","GP",I1354="SELLING EXPENSES","Selling Expenses",I1354="EMPLOYMENT EXPENSES","Selling Expenses",I1354="EMPLOYMENT EXPENSES","Selling Expenses",I1354="DIRECT EXPENSES","Selling Expenses",I1354="INDIRECT EXPENSES","Selling Expenses"))</f>
        <v>#N/A</v>
      </c>
    </row>
    <row r="1355" spans="1:18" x14ac:dyDescent="0.2">
      <c r="A1355" s="75">
        <v>7350</v>
      </c>
      <c r="B1355" s="76" t="s">
        <v>941</v>
      </c>
      <c r="C1355" s="76">
        <v>210</v>
      </c>
      <c r="D1355" s="76" t="s">
        <v>436</v>
      </c>
      <c r="E1355" s="76" t="s">
        <v>426</v>
      </c>
      <c r="F1355" s="77">
        <v>6546.79</v>
      </c>
      <c r="G1355" s="77">
        <v>873.6</v>
      </c>
      <c r="H1355" s="77">
        <v>7420.39</v>
      </c>
      <c r="I1355" s="76" t="s">
        <v>936</v>
      </c>
      <c r="J1355" s="77">
        <v>300</v>
      </c>
      <c r="K1355" s="78">
        <v>3759.57</v>
      </c>
      <c r="M1355" s="79" t="str">
        <f t="shared" si="65"/>
        <v>210-7350</v>
      </c>
      <c r="N1355" s="79" t="str">
        <f t="shared" si="63"/>
        <v/>
      </c>
      <c r="O1355" s="79" t="str">
        <f t="shared" si="64"/>
        <v>210</v>
      </c>
      <c r="P1355" s="79" t="str">
        <f>IFERROR(VLOOKUP($M1355,Export!$P:$R,2,FALSE),"-")</f>
        <v>Admin &amp; Other</v>
      </c>
      <c r="Q1355" s="79" t="str">
        <f>IFERROR(VLOOKUP($M1355,Export!$P:$R,3,FALSE),"-")</f>
        <v>Admin &amp; OtherOther Overheads as % of Total Gross Profit</v>
      </c>
      <c r="R1355" s="80" t="e" cm="1">
        <f t="array" ref="R1355">_xlfn.IFS(P1355="Service", _xlfn.IFS(I1355="SALES","GP",I1355="SERVICE SALES","GP",I1355="PARTS SALES","GP",I1355="SERVICE COS","GP",I1355="PARTS COS","GP",I1355="SELLING EXPENSES","Selling Expenses",I1355="EMPLOYMENT EXPENSES","Selling Expenses",I1355="EMPLOYMENT EXPENSES","Selling Expenses",I1355="DIRECT EXPENSES","Selling Expenses",I1355="INDIRECT EXPENSES","Selling Expenses"),P1355="Parts",_xlfn.IFS(I1355="SALES","GP",I1355="SERVICE SALES","GP",I1355="PARTS SALES","GP",I1355="SERVICE COS","GP",I1355="PARTS COS","GP",I1355="SELLING EXPENSES","Selling Expenses",I1355="EMPLOYMENT EXPENSES","Selling Expenses",I1355="EMPLOYMENT EXPENSES","Selling Expenses",I1355="DIRECT EXPENSES","Selling Expenses",I1355="INDIRECT EXPENSES","Selling Expenses"))</f>
        <v>#N/A</v>
      </c>
    </row>
    <row r="1356" spans="1:18" x14ac:dyDescent="0.2">
      <c r="A1356" s="75">
        <v>7350</v>
      </c>
      <c r="B1356" s="298" t="s">
        <v>941</v>
      </c>
      <c r="C1356" s="76">
        <v>220</v>
      </c>
      <c r="D1356" s="76" t="s">
        <v>437</v>
      </c>
      <c r="E1356" s="76" t="s">
        <v>426</v>
      </c>
      <c r="F1356" s="77">
        <v>6654.11</v>
      </c>
      <c r="G1356" s="77">
        <v>868.96</v>
      </c>
      <c r="H1356" s="77">
        <v>7523.07</v>
      </c>
      <c r="I1356" s="76" t="s">
        <v>936</v>
      </c>
      <c r="J1356" s="77">
        <v>500</v>
      </c>
      <c r="K1356" s="78">
        <v>5144.57</v>
      </c>
      <c r="M1356" s="79" t="str">
        <f t="shared" si="65"/>
        <v>220-7350</v>
      </c>
      <c r="N1356" s="79" t="str">
        <f t="shared" si="63"/>
        <v/>
      </c>
      <c r="O1356" s="79" t="str">
        <f t="shared" si="64"/>
        <v>220</v>
      </c>
      <c r="P1356" s="79" t="str">
        <f>IFERROR(VLOOKUP($M1356,Export!$P:$R,2,FALSE),"-")</f>
        <v>Admin &amp; Other</v>
      </c>
      <c r="Q1356" s="79" t="str">
        <f>IFERROR(VLOOKUP($M1356,Export!$P:$R,3,FALSE),"-")</f>
        <v>Admin &amp; OtherOther Overheads as % of Total Gross Profit</v>
      </c>
      <c r="R1356" s="80" t="e" cm="1">
        <f t="array" ref="R1356">_xlfn.IFS(P1356="Service", _xlfn.IFS(I1356="SALES","GP",I1356="SERVICE SALES","GP",I1356="PARTS SALES","GP",I1356="SERVICE COS","GP",I1356="PARTS COS","GP",I1356="SELLING EXPENSES","Selling Expenses",I1356="EMPLOYMENT EXPENSES","Selling Expenses",I1356="EMPLOYMENT EXPENSES","Selling Expenses",I1356="DIRECT EXPENSES","Selling Expenses",I1356="INDIRECT EXPENSES","Selling Expenses"),P1356="Parts",_xlfn.IFS(I1356="SALES","GP",I1356="SERVICE SALES","GP",I1356="PARTS SALES","GP",I1356="SERVICE COS","GP",I1356="PARTS COS","GP",I1356="SELLING EXPENSES","Selling Expenses",I1356="EMPLOYMENT EXPENSES","Selling Expenses",I1356="EMPLOYMENT EXPENSES","Selling Expenses",I1356="DIRECT EXPENSES","Selling Expenses",I1356="INDIRECT EXPENSES","Selling Expenses"))</f>
        <v>#N/A</v>
      </c>
    </row>
    <row r="1357" spans="1:18" x14ac:dyDescent="0.2">
      <c r="A1357" s="75">
        <v>7350</v>
      </c>
      <c r="B1357" s="76" t="s">
        <v>941</v>
      </c>
      <c r="C1357" s="76">
        <v>230</v>
      </c>
      <c r="D1357" s="76" t="s">
        <v>438</v>
      </c>
      <c r="E1357" s="76" t="s">
        <v>426</v>
      </c>
      <c r="F1357" s="77">
        <v>8754.43</v>
      </c>
      <c r="G1357" s="77">
        <v>873.74</v>
      </c>
      <c r="H1357" s="77">
        <v>9628.17</v>
      </c>
      <c r="I1357" s="76" t="s">
        <v>936</v>
      </c>
      <c r="J1357" s="77">
        <v>400</v>
      </c>
      <c r="K1357" s="78">
        <v>4359.57</v>
      </c>
      <c r="M1357" s="79" t="str">
        <f t="shared" si="65"/>
        <v>230-7350</v>
      </c>
      <c r="N1357" s="79" t="str">
        <f t="shared" si="63"/>
        <v/>
      </c>
      <c r="O1357" s="79" t="str">
        <f t="shared" si="64"/>
        <v>230</v>
      </c>
      <c r="P1357" s="79" t="str">
        <f>IFERROR(VLOOKUP($M1357,Export!$P:$R,2,FALSE),"-")</f>
        <v>Admin &amp; Other</v>
      </c>
      <c r="Q1357" s="79" t="str">
        <f>IFERROR(VLOOKUP($M1357,Export!$P:$R,3,FALSE),"-")</f>
        <v>Admin &amp; OtherOther Overheads as % of Total Gross Profit</v>
      </c>
      <c r="R1357" s="80" t="e" cm="1">
        <f t="array" ref="R1357">_xlfn.IFS(P1357="Service", _xlfn.IFS(I1357="SALES","GP",I1357="SERVICE SALES","GP",I1357="PARTS SALES","GP",I1357="SERVICE COS","GP",I1357="PARTS COS","GP",I1357="SELLING EXPENSES","Selling Expenses",I1357="EMPLOYMENT EXPENSES","Selling Expenses",I1357="EMPLOYMENT EXPENSES","Selling Expenses",I1357="DIRECT EXPENSES","Selling Expenses",I1357="INDIRECT EXPENSES","Selling Expenses"),P1357="Parts",_xlfn.IFS(I1357="SALES","GP",I1357="SERVICE SALES","GP",I1357="PARTS SALES","GP",I1357="SERVICE COS","GP",I1357="PARTS COS","GP",I1357="SELLING EXPENSES","Selling Expenses",I1357="EMPLOYMENT EXPENSES","Selling Expenses",I1357="EMPLOYMENT EXPENSES","Selling Expenses",I1357="DIRECT EXPENSES","Selling Expenses",I1357="INDIRECT EXPENSES","Selling Expenses"))</f>
        <v>#N/A</v>
      </c>
    </row>
    <row r="1358" spans="1:18" x14ac:dyDescent="0.2">
      <c r="A1358" s="75">
        <v>7350</v>
      </c>
      <c r="B1358" s="76" t="s">
        <v>941</v>
      </c>
      <c r="C1358" s="76">
        <v>240</v>
      </c>
      <c r="D1358" s="76" t="s">
        <v>439</v>
      </c>
      <c r="E1358" s="76" t="s">
        <v>426</v>
      </c>
      <c r="F1358" s="77">
        <v>6356.69</v>
      </c>
      <c r="G1358" s="77">
        <v>871.27</v>
      </c>
      <c r="H1358" s="77">
        <v>7227.96</v>
      </c>
      <c r="I1358" s="76" t="s">
        <v>936</v>
      </c>
      <c r="J1358" s="77">
        <v>1600</v>
      </c>
      <c r="K1358" s="78">
        <v>18034.88</v>
      </c>
      <c r="M1358" s="79" t="str">
        <f t="shared" si="65"/>
        <v>240-7350</v>
      </c>
      <c r="N1358" s="79" t="str">
        <f t="shared" si="63"/>
        <v/>
      </c>
      <c r="O1358" s="79" t="str">
        <f t="shared" si="64"/>
        <v>240</v>
      </c>
      <c r="P1358" s="79" t="str">
        <f>IFERROR(VLOOKUP($M1358,Export!$P:$R,2,FALSE),"-")</f>
        <v>Admin &amp; Other</v>
      </c>
      <c r="Q1358" s="79" t="str">
        <f>IFERROR(VLOOKUP($M1358,Export!$P:$R,3,FALSE),"-")</f>
        <v>Admin &amp; OtherOther Overheads as % of Total Gross Profit</v>
      </c>
      <c r="R1358" s="80" t="e" cm="1">
        <f t="array" ref="R1358">_xlfn.IFS(P1358="Service", _xlfn.IFS(I1358="SALES","GP",I1358="SERVICE SALES","GP",I1358="PARTS SALES","GP",I1358="SERVICE COS","GP",I1358="PARTS COS","GP",I1358="SELLING EXPENSES","Selling Expenses",I1358="EMPLOYMENT EXPENSES","Selling Expenses",I1358="EMPLOYMENT EXPENSES","Selling Expenses",I1358="DIRECT EXPENSES","Selling Expenses",I1358="INDIRECT EXPENSES","Selling Expenses"),P1358="Parts",_xlfn.IFS(I1358="SALES","GP",I1358="SERVICE SALES","GP",I1358="PARTS SALES","GP",I1358="SERVICE COS","GP",I1358="PARTS COS","GP",I1358="SELLING EXPENSES","Selling Expenses",I1358="EMPLOYMENT EXPENSES","Selling Expenses",I1358="EMPLOYMENT EXPENSES","Selling Expenses",I1358="DIRECT EXPENSES","Selling Expenses",I1358="INDIRECT EXPENSES","Selling Expenses"))</f>
        <v>#N/A</v>
      </c>
    </row>
    <row r="1359" spans="1:18" x14ac:dyDescent="0.2">
      <c r="A1359" s="75">
        <v>7350</v>
      </c>
      <c r="B1359" s="76" t="s">
        <v>941</v>
      </c>
      <c r="C1359" s="76">
        <v>260</v>
      </c>
      <c r="D1359" s="76" t="s">
        <v>456</v>
      </c>
      <c r="E1359" s="76" t="s">
        <v>426</v>
      </c>
      <c r="F1359" s="77">
        <v>163.9</v>
      </c>
      <c r="G1359" s="77">
        <v>0</v>
      </c>
      <c r="H1359" s="77">
        <v>163.9</v>
      </c>
      <c r="I1359" s="76" t="s">
        <v>936</v>
      </c>
      <c r="J1359" s="77">
        <v>300</v>
      </c>
      <c r="K1359" s="78">
        <v>3034</v>
      </c>
      <c r="M1359" s="79" t="str">
        <f t="shared" si="65"/>
        <v>260-7350</v>
      </c>
      <c r="N1359" s="79" t="str">
        <f t="shared" si="63"/>
        <v/>
      </c>
      <c r="O1359" s="79" t="str">
        <f t="shared" si="64"/>
        <v>260</v>
      </c>
      <c r="P1359" s="79" t="str">
        <f>IFERROR(VLOOKUP($M1359,Export!$P:$R,2,FALSE),"-")</f>
        <v>Admin &amp; Other</v>
      </c>
      <c r="Q1359" s="79" t="str">
        <f>IFERROR(VLOOKUP($M1359,Export!$P:$R,3,FALSE),"-")</f>
        <v>Admin &amp; OtherOther Overheads as % of Total Gross Profit</v>
      </c>
      <c r="R1359" s="80" t="e" cm="1">
        <f t="array" ref="R1359">_xlfn.IFS(P1359="Service", _xlfn.IFS(I1359="SALES","GP",I1359="SERVICE SALES","GP",I1359="PARTS SALES","GP",I1359="SERVICE COS","GP",I1359="PARTS COS","GP",I1359="SELLING EXPENSES","Selling Expenses",I1359="EMPLOYMENT EXPENSES","Selling Expenses",I1359="EMPLOYMENT EXPENSES","Selling Expenses",I1359="DIRECT EXPENSES","Selling Expenses",I1359="INDIRECT EXPENSES","Selling Expenses"),P1359="Parts",_xlfn.IFS(I1359="SALES","GP",I1359="SERVICE SALES","GP",I1359="PARTS SALES","GP",I1359="SERVICE COS","GP",I1359="PARTS COS","GP",I1359="SELLING EXPENSES","Selling Expenses",I1359="EMPLOYMENT EXPENSES","Selling Expenses",I1359="EMPLOYMENT EXPENSES","Selling Expenses",I1359="DIRECT EXPENSES","Selling Expenses",I1359="INDIRECT EXPENSES","Selling Expenses"))</f>
        <v>#N/A</v>
      </c>
    </row>
    <row r="1360" spans="1:18" x14ac:dyDescent="0.2">
      <c r="A1360" s="75">
        <v>7350</v>
      </c>
      <c r="B1360" s="76" t="s">
        <v>941</v>
      </c>
      <c r="C1360" s="76">
        <v>330</v>
      </c>
      <c r="D1360" s="76" t="s">
        <v>457</v>
      </c>
      <c r="E1360" s="76" t="s">
        <v>426</v>
      </c>
      <c r="F1360" s="77">
        <v>2460.6999999999998</v>
      </c>
      <c r="G1360" s="77">
        <v>0</v>
      </c>
      <c r="H1360" s="77">
        <v>2460.6999999999998</v>
      </c>
      <c r="I1360" s="76" t="s">
        <v>936</v>
      </c>
      <c r="J1360" s="77">
        <v>200</v>
      </c>
      <c r="K1360" s="78">
        <v>2441.9299999999998</v>
      </c>
      <c r="M1360" s="79" t="str">
        <f t="shared" si="65"/>
        <v>330-7350</v>
      </c>
      <c r="N1360" s="79" t="str">
        <f t="shared" si="63"/>
        <v/>
      </c>
      <c r="O1360" s="79" t="str">
        <f t="shared" si="64"/>
        <v>330</v>
      </c>
      <c r="P1360" s="79" t="str">
        <f>IFERROR(VLOOKUP($M1360,Export!$P:$R,2,FALSE),"-")</f>
        <v>Admin &amp; Other</v>
      </c>
      <c r="Q1360" s="79" t="str">
        <f>IFERROR(VLOOKUP($M1360,Export!$P:$R,3,FALSE),"-")</f>
        <v>Admin &amp; OtherOther Overheads as % of Total Gross Profit</v>
      </c>
      <c r="R1360" s="80" t="e" cm="1">
        <f t="array" ref="R1360">_xlfn.IFS(P1360="Service", _xlfn.IFS(I1360="SALES","GP",I1360="SERVICE SALES","GP",I1360="PARTS SALES","GP",I1360="SERVICE COS","GP",I1360="PARTS COS","GP",I1360="SELLING EXPENSES","Selling Expenses",I1360="EMPLOYMENT EXPENSES","Selling Expenses",I1360="EMPLOYMENT EXPENSES","Selling Expenses",I1360="DIRECT EXPENSES","Selling Expenses",I1360="INDIRECT EXPENSES","Selling Expenses"),P1360="Parts",_xlfn.IFS(I1360="SALES","GP",I1360="SERVICE SALES","GP",I1360="PARTS SALES","GP",I1360="SERVICE COS","GP",I1360="PARTS COS","GP",I1360="SELLING EXPENSES","Selling Expenses",I1360="EMPLOYMENT EXPENSES","Selling Expenses",I1360="EMPLOYMENT EXPENSES","Selling Expenses",I1360="DIRECT EXPENSES","Selling Expenses",I1360="INDIRECT EXPENSES","Selling Expenses"))</f>
        <v>#N/A</v>
      </c>
    </row>
    <row r="1361" spans="1:18" x14ac:dyDescent="0.2">
      <c r="A1361" s="75">
        <v>7350</v>
      </c>
      <c r="B1361" s="76" t="s">
        <v>941</v>
      </c>
      <c r="C1361" s="76">
        <v>340</v>
      </c>
      <c r="D1361" s="76" t="s">
        <v>440</v>
      </c>
      <c r="E1361" s="76" t="s">
        <v>426</v>
      </c>
      <c r="F1361" s="77">
        <v>7271.2</v>
      </c>
      <c r="G1361" s="77">
        <v>552.42999999999995</v>
      </c>
      <c r="H1361" s="77">
        <v>7823.63</v>
      </c>
      <c r="I1361" s="76" t="s">
        <v>936</v>
      </c>
      <c r="J1361" s="77">
        <v>1200</v>
      </c>
      <c r="K1361" s="78">
        <v>13394.22</v>
      </c>
      <c r="M1361" s="79" t="str">
        <f t="shared" si="65"/>
        <v>340-7350</v>
      </c>
      <c r="N1361" s="79" t="str">
        <f t="shared" si="63"/>
        <v/>
      </c>
      <c r="O1361" s="79" t="str">
        <f t="shared" si="64"/>
        <v>340</v>
      </c>
      <c r="P1361" s="79" t="str">
        <f>IFERROR(VLOOKUP($M1361,Export!$P:$R,2,FALSE),"-")</f>
        <v>Admin &amp; Other</v>
      </c>
      <c r="Q1361" s="79" t="str">
        <f>IFERROR(VLOOKUP($M1361,Export!$P:$R,3,FALSE),"-")</f>
        <v>Admin &amp; OtherOther Overheads as % of Total Gross Profit</v>
      </c>
      <c r="R1361" s="80" t="e" cm="1">
        <f t="array" ref="R1361">_xlfn.IFS(P1361="Service", _xlfn.IFS(I1361="SALES","GP",I1361="SERVICE SALES","GP",I1361="PARTS SALES","GP",I1361="SERVICE COS","GP",I1361="PARTS COS","GP",I1361="SELLING EXPENSES","Selling Expenses",I1361="EMPLOYMENT EXPENSES","Selling Expenses",I1361="EMPLOYMENT EXPENSES","Selling Expenses",I1361="DIRECT EXPENSES","Selling Expenses",I1361="INDIRECT EXPENSES","Selling Expenses"),P1361="Parts",_xlfn.IFS(I1361="SALES","GP",I1361="SERVICE SALES","GP",I1361="PARTS SALES","GP",I1361="SERVICE COS","GP",I1361="PARTS COS","GP",I1361="SELLING EXPENSES","Selling Expenses",I1361="EMPLOYMENT EXPENSES","Selling Expenses",I1361="EMPLOYMENT EXPENSES","Selling Expenses",I1361="DIRECT EXPENSES","Selling Expenses",I1361="INDIRECT EXPENSES","Selling Expenses"))</f>
        <v>#N/A</v>
      </c>
    </row>
    <row r="1362" spans="1:18" x14ac:dyDescent="0.2">
      <c r="A1362" s="75">
        <v>7350</v>
      </c>
      <c r="B1362" s="76" t="s">
        <v>941</v>
      </c>
      <c r="C1362" s="76">
        <v>430</v>
      </c>
      <c r="D1362" s="76" t="s">
        <v>458</v>
      </c>
      <c r="E1362" s="76" t="s">
        <v>426</v>
      </c>
      <c r="F1362" s="77">
        <v>3041.76</v>
      </c>
      <c r="G1362" s="77">
        <v>0</v>
      </c>
      <c r="H1362" s="77">
        <v>3041.76</v>
      </c>
      <c r="I1362" s="76" t="s">
        <v>936</v>
      </c>
      <c r="J1362" s="77">
        <v>400</v>
      </c>
      <c r="K1362" s="78">
        <v>4308.2700000000004</v>
      </c>
      <c r="M1362" s="79" t="str">
        <f t="shared" si="65"/>
        <v>430-7350</v>
      </c>
      <c r="N1362" s="79" t="str">
        <f t="shared" si="63"/>
        <v/>
      </c>
      <c r="O1362" s="79" t="str">
        <f t="shared" si="64"/>
        <v>430</v>
      </c>
      <c r="P1362" s="79" t="str">
        <f>IFERROR(VLOOKUP($M1362,Export!$P:$R,2,FALSE),"-")</f>
        <v>Admin &amp; Other</v>
      </c>
      <c r="Q1362" s="79" t="str">
        <f>IFERROR(VLOOKUP($M1362,Export!$P:$R,3,FALSE),"-")</f>
        <v>Admin &amp; OtherOther Overheads as % of Total Gross Profit</v>
      </c>
      <c r="R1362" s="80" t="e" cm="1">
        <f t="array" ref="R1362">_xlfn.IFS(P1362="Service", _xlfn.IFS(I1362="SALES","GP",I1362="SERVICE SALES","GP",I1362="PARTS SALES","GP",I1362="SERVICE COS","GP",I1362="PARTS COS","GP",I1362="SELLING EXPENSES","Selling Expenses",I1362="EMPLOYMENT EXPENSES","Selling Expenses",I1362="EMPLOYMENT EXPENSES","Selling Expenses",I1362="DIRECT EXPENSES","Selling Expenses",I1362="INDIRECT EXPENSES","Selling Expenses"),P1362="Parts",_xlfn.IFS(I1362="SALES","GP",I1362="SERVICE SALES","GP",I1362="PARTS SALES","GP",I1362="SERVICE COS","GP",I1362="PARTS COS","GP",I1362="SELLING EXPENSES","Selling Expenses",I1362="EMPLOYMENT EXPENSES","Selling Expenses",I1362="EMPLOYMENT EXPENSES","Selling Expenses",I1362="DIRECT EXPENSES","Selling Expenses",I1362="INDIRECT EXPENSES","Selling Expenses"))</f>
        <v>#N/A</v>
      </c>
    </row>
    <row r="1363" spans="1:18" x14ac:dyDescent="0.2">
      <c r="A1363" s="75">
        <v>7350</v>
      </c>
      <c r="B1363" s="76" t="s">
        <v>941</v>
      </c>
      <c r="C1363" s="76">
        <v>440</v>
      </c>
      <c r="D1363" s="76" t="s">
        <v>441</v>
      </c>
      <c r="E1363" s="76" t="s">
        <v>426</v>
      </c>
      <c r="F1363" s="77">
        <v>8382.5400000000009</v>
      </c>
      <c r="G1363" s="77">
        <v>135.54</v>
      </c>
      <c r="H1363" s="77">
        <v>8518.08</v>
      </c>
      <c r="I1363" s="76" t="s">
        <v>936</v>
      </c>
      <c r="J1363" s="77">
        <v>600</v>
      </c>
      <c r="K1363" s="78">
        <v>7800.86</v>
      </c>
      <c r="M1363" s="79" t="str">
        <f t="shared" si="65"/>
        <v>440-7350</v>
      </c>
      <c r="N1363" s="79" t="str">
        <f t="shared" si="63"/>
        <v/>
      </c>
      <c r="O1363" s="79" t="str">
        <f t="shared" si="64"/>
        <v>440</v>
      </c>
      <c r="P1363" s="79" t="str">
        <f>IFERROR(VLOOKUP($M1363,Export!$P:$R,2,FALSE),"-")</f>
        <v>Admin &amp; Other</v>
      </c>
      <c r="Q1363" s="79" t="str">
        <f>IFERROR(VLOOKUP($M1363,Export!$P:$R,3,FALSE),"-")</f>
        <v>Admin &amp; OtherOther Overheads as % of Total Gross Profit</v>
      </c>
      <c r="R1363" s="80" t="e" cm="1">
        <f t="array" ref="R1363">_xlfn.IFS(P1363="Service", _xlfn.IFS(I1363="SALES","GP",I1363="SERVICE SALES","GP",I1363="PARTS SALES","GP",I1363="SERVICE COS","GP",I1363="PARTS COS","GP",I1363="SELLING EXPENSES","Selling Expenses",I1363="EMPLOYMENT EXPENSES","Selling Expenses",I1363="EMPLOYMENT EXPENSES","Selling Expenses",I1363="DIRECT EXPENSES","Selling Expenses",I1363="INDIRECT EXPENSES","Selling Expenses"),P1363="Parts",_xlfn.IFS(I1363="SALES","GP",I1363="SERVICE SALES","GP",I1363="PARTS SALES","GP",I1363="SERVICE COS","GP",I1363="PARTS COS","GP",I1363="SELLING EXPENSES","Selling Expenses",I1363="EMPLOYMENT EXPENSES","Selling Expenses",I1363="EMPLOYMENT EXPENSES","Selling Expenses",I1363="DIRECT EXPENSES","Selling Expenses",I1363="INDIRECT EXPENSES","Selling Expenses"))</f>
        <v>#N/A</v>
      </c>
    </row>
    <row r="1364" spans="1:18" x14ac:dyDescent="0.2">
      <c r="A1364" s="75">
        <v>7350</v>
      </c>
      <c r="B1364" s="76" t="s">
        <v>941</v>
      </c>
      <c r="C1364" s="76">
        <v>935</v>
      </c>
      <c r="D1364" s="76" t="s">
        <v>442</v>
      </c>
      <c r="E1364" s="76" t="s">
        <v>426</v>
      </c>
      <c r="F1364" s="77">
        <v>3457.91</v>
      </c>
      <c r="G1364" s="77">
        <v>422.82</v>
      </c>
      <c r="H1364" s="77">
        <v>3880.73</v>
      </c>
      <c r="I1364" s="76" t="s">
        <v>936</v>
      </c>
      <c r="J1364" s="77">
        <v>300</v>
      </c>
      <c r="K1364" s="78">
        <v>4516.28</v>
      </c>
      <c r="M1364" s="79" t="str">
        <f t="shared" si="65"/>
        <v>935-7350</v>
      </c>
      <c r="N1364" s="79" t="str">
        <f t="shared" si="63"/>
        <v/>
      </c>
      <c r="O1364" s="79" t="str">
        <f t="shared" si="64"/>
        <v>935</v>
      </c>
      <c r="P1364" s="79" t="str">
        <f>IFERROR(VLOOKUP($M1364,Export!$P:$R,2,FALSE),"-")</f>
        <v>LEX Admin &amp; Other</v>
      </c>
      <c r="Q1364" s="79" t="str">
        <f>IFERROR(VLOOKUP($M1364,Export!$P:$R,3,FALSE),"-")</f>
        <v>LEX Admin &amp; OtherOther Overheads as % of Total Gross Profit</v>
      </c>
      <c r="R1364" s="80" t="e" cm="1">
        <f t="array" ref="R1364">_xlfn.IFS(P1364="Service", _xlfn.IFS(I1364="SALES","GP",I1364="SERVICE SALES","GP",I1364="PARTS SALES","GP",I1364="SERVICE COS","GP",I1364="PARTS COS","GP",I1364="SELLING EXPENSES","Selling Expenses",I1364="EMPLOYMENT EXPENSES","Selling Expenses",I1364="EMPLOYMENT EXPENSES","Selling Expenses",I1364="DIRECT EXPENSES","Selling Expenses",I1364="INDIRECT EXPENSES","Selling Expenses"),P1364="Parts",_xlfn.IFS(I1364="SALES","GP",I1364="SERVICE SALES","GP",I1364="PARTS SALES","GP",I1364="SERVICE COS","GP",I1364="PARTS COS","GP",I1364="SELLING EXPENSES","Selling Expenses",I1364="EMPLOYMENT EXPENSES","Selling Expenses",I1364="EMPLOYMENT EXPENSES","Selling Expenses",I1364="DIRECT EXPENSES","Selling Expenses",I1364="INDIRECT EXPENSES","Selling Expenses"))</f>
        <v>#N/A</v>
      </c>
    </row>
    <row r="1365" spans="1:18" x14ac:dyDescent="0.2">
      <c r="A1365" s="75">
        <v>7350</v>
      </c>
      <c r="B1365" s="76" t="s">
        <v>941</v>
      </c>
      <c r="C1365" s="76">
        <v>936</v>
      </c>
      <c r="D1365" s="76" t="s">
        <v>443</v>
      </c>
      <c r="E1365" s="76" t="s">
        <v>426</v>
      </c>
      <c r="F1365" s="77">
        <v>4755.93</v>
      </c>
      <c r="G1365" s="287">
        <v>609.13</v>
      </c>
      <c r="H1365" s="77">
        <v>5365.06</v>
      </c>
      <c r="I1365" s="76" t="s">
        <v>936</v>
      </c>
      <c r="J1365" s="77">
        <v>600</v>
      </c>
      <c r="K1365" s="78">
        <v>6247.23</v>
      </c>
      <c r="M1365" s="79" t="str">
        <f t="shared" si="65"/>
        <v>936-7350</v>
      </c>
      <c r="N1365" s="79" t="str">
        <f t="shared" si="63"/>
        <v/>
      </c>
      <c r="O1365" s="79" t="str">
        <f t="shared" si="64"/>
        <v>936</v>
      </c>
      <c r="P1365" s="79" t="str">
        <f>IFERROR(VLOOKUP($M1365,Export!$P:$R,2,FALSE),"-")</f>
        <v>LEX Admin &amp; Other</v>
      </c>
      <c r="Q1365" s="79" t="str">
        <f>IFERROR(VLOOKUP($M1365,Export!$P:$R,3,FALSE),"-")</f>
        <v>LEX Admin &amp; OtherOther Overheads as % of Total Gross Profit</v>
      </c>
      <c r="R1365" s="80" t="e" cm="1">
        <f t="array" ref="R1365">_xlfn.IFS(P1365="Service", _xlfn.IFS(I1365="SALES","GP",I1365="SERVICE SALES","GP",I1365="PARTS SALES","GP",I1365="SERVICE COS","GP",I1365="PARTS COS","GP",I1365="SELLING EXPENSES","Selling Expenses",I1365="EMPLOYMENT EXPENSES","Selling Expenses",I1365="EMPLOYMENT EXPENSES","Selling Expenses",I1365="DIRECT EXPENSES","Selling Expenses",I1365="INDIRECT EXPENSES","Selling Expenses"),P1365="Parts",_xlfn.IFS(I1365="SALES","GP",I1365="SERVICE SALES","GP",I1365="PARTS SALES","GP",I1365="SERVICE COS","GP",I1365="PARTS COS","GP",I1365="SELLING EXPENSES","Selling Expenses",I1365="EMPLOYMENT EXPENSES","Selling Expenses",I1365="EMPLOYMENT EXPENSES","Selling Expenses",I1365="DIRECT EXPENSES","Selling Expenses",I1365="INDIRECT EXPENSES","Selling Expenses"))</f>
        <v>#N/A</v>
      </c>
    </row>
    <row r="1366" spans="1:18" x14ac:dyDescent="0.2">
      <c r="A1366" s="75">
        <v>7385</v>
      </c>
      <c r="B1366" s="76" t="s">
        <v>942</v>
      </c>
      <c r="C1366" s="76">
        <v>110</v>
      </c>
      <c r="D1366" s="76" t="s">
        <v>430</v>
      </c>
      <c r="E1366" s="76" t="s">
        <v>426</v>
      </c>
      <c r="F1366" s="77">
        <v>2806.09</v>
      </c>
      <c r="G1366" s="77">
        <v>0</v>
      </c>
      <c r="H1366" s="77">
        <v>2806.09</v>
      </c>
      <c r="I1366" s="76" t="s">
        <v>936</v>
      </c>
      <c r="J1366" s="77">
        <v>0</v>
      </c>
      <c r="K1366" s="78">
        <v>200</v>
      </c>
      <c r="M1366" s="79" t="str">
        <f t="shared" si="65"/>
        <v>110-7385</v>
      </c>
      <c r="N1366" s="79" t="str">
        <f t="shared" si="63"/>
        <v/>
      </c>
      <c r="O1366" s="79" t="str">
        <f t="shared" si="64"/>
        <v>110</v>
      </c>
      <c r="P1366" s="79" t="str">
        <f>IFERROR(VLOOKUP($M1366,Export!$P:$R,2,FALSE),"-")</f>
        <v>Used Vehicle</v>
      </c>
      <c r="Q1366" s="79" t="str">
        <f>IFERROR(VLOOKUP($M1366,Export!$P:$R,3,FALSE),"-")</f>
        <v>Used VehicleAdvertising per retail</v>
      </c>
      <c r="R1366" s="80" t="e" cm="1">
        <f t="array" ref="R1366">_xlfn.IFS(P1366="Service", _xlfn.IFS(I1366="SALES","GP",I1366="SERVICE SALES","GP",I1366="PARTS SALES","GP",I1366="SERVICE COS","GP",I1366="PARTS COS","GP",I1366="SELLING EXPENSES","Selling Expenses",I1366="EMPLOYMENT EXPENSES","Selling Expenses",I1366="EMPLOYMENT EXPENSES","Selling Expenses",I1366="DIRECT EXPENSES","Selling Expenses",I1366="INDIRECT EXPENSES","Selling Expenses"),P1366="Parts",_xlfn.IFS(I1366="SALES","GP",I1366="SERVICE SALES","GP",I1366="PARTS SALES","GP",I1366="SERVICE COS","GP",I1366="PARTS COS","GP",I1366="SELLING EXPENSES","Selling Expenses",I1366="EMPLOYMENT EXPENSES","Selling Expenses",I1366="EMPLOYMENT EXPENSES","Selling Expenses",I1366="DIRECT EXPENSES","Selling Expenses",I1366="INDIRECT EXPENSES","Selling Expenses"))</f>
        <v>#N/A</v>
      </c>
    </row>
    <row r="1367" spans="1:18" x14ac:dyDescent="0.2">
      <c r="A1367" s="75">
        <v>7385</v>
      </c>
      <c r="B1367" s="76" t="s">
        <v>942</v>
      </c>
      <c r="C1367" s="76">
        <v>112</v>
      </c>
      <c r="D1367" s="76" t="s">
        <v>349</v>
      </c>
      <c r="E1367" s="76" t="s">
        <v>426</v>
      </c>
      <c r="F1367" s="77">
        <v>47924.35</v>
      </c>
      <c r="G1367" s="77">
        <v>3195</v>
      </c>
      <c r="H1367" s="77">
        <v>51119.35</v>
      </c>
      <c r="I1367" s="76" t="s">
        <v>936</v>
      </c>
      <c r="J1367" s="77">
        <v>0</v>
      </c>
      <c r="K1367" s="78">
        <v>21300</v>
      </c>
      <c r="M1367" s="79" t="str">
        <f t="shared" si="65"/>
        <v>112-7385</v>
      </c>
      <c r="N1367" s="79" t="str">
        <f t="shared" si="63"/>
        <v/>
      </c>
      <c r="O1367" s="79" t="str">
        <f t="shared" si="64"/>
        <v>112</v>
      </c>
      <c r="P1367" s="79" t="str">
        <f>IFERROR(VLOOKUP($M1367,Export!$P:$R,2,FALSE),"-")</f>
        <v>LEX New Vehicle</v>
      </c>
      <c r="Q1367" s="79" t="str">
        <f>IFERROR(VLOOKUP($M1367,Export!$P:$R,3,FALSE),"-")</f>
        <v>LEX New VehicleAdvertising p.u.</v>
      </c>
      <c r="R1367" s="80" t="e" cm="1">
        <f t="array" ref="R1367">_xlfn.IFS(P1367="Service", _xlfn.IFS(I1367="SALES","GP",I1367="SERVICE SALES","GP",I1367="PARTS SALES","GP",I1367="SERVICE COS","GP",I1367="PARTS COS","GP",I1367="SELLING EXPENSES","Selling Expenses",I1367="EMPLOYMENT EXPENSES","Selling Expenses",I1367="EMPLOYMENT EXPENSES","Selling Expenses",I1367="DIRECT EXPENSES","Selling Expenses",I1367="INDIRECT EXPENSES","Selling Expenses"),P1367="Parts",_xlfn.IFS(I1367="SALES","GP",I1367="SERVICE SALES","GP",I1367="PARTS SALES","GP",I1367="SERVICE COS","GP",I1367="PARTS COS","GP",I1367="SELLING EXPENSES","Selling Expenses",I1367="EMPLOYMENT EXPENSES","Selling Expenses",I1367="EMPLOYMENT EXPENSES","Selling Expenses",I1367="DIRECT EXPENSES","Selling Expenses",I1367="INDIRECT EXPENSES","Selling Expenses"))</f>
        <v>#N/A</v>
      </c>
    </row>
    <row r="1368" spans="1:18" x14ac:dyDescent="0.2">
      <c r="A1368" s="75">
        <v>7385</v>
      </c>
      <c r="B1368" s="76" t="s">
        <v>942</v>
      </c>
      <c r="C1368" s="76">
        <v>120</v>
      </c>
      <c r="D1368" s="76" t="s">
        <v>431</v>
      </c>
      <c r="E1368" s="76" t="s">
        <v>426</v>
      </c>
      <c r="F1368" s="77">
        <v>1593.56</v>
      </c>
      <c r="G1368" s="77">
        <v>0</v>
      </c>
      <c r="H1368" s="77">
        <v>1593.56</v>
      </c>
      <c r="I1368" s="76" t="s">
        <v>936</v>
      </c>
      <c r="J1368" s="77">
        <v>0</v>
      </c>
      <c r="K1368" s="78">
        <v>123.57</v>
      </c>
      <c r="M1368" s="79" t="str">
        <f t="shared" si="65"/>
        <v>120-7385</v>
      </c>
      <c r="N1368" s="79" t="str">
        <f t="shared" si="63"/>
        <v/>
      </c>
      <c r="O1368" s="79" t="str">
        <f t="shared" si="64"/>
        <v>120</v>
      </c>
      <c r="P1368" s="79" t="str">
        <f>IFERROR(VLOOKUP($M1368,Export!$P:$R,2,FALSE),"-")</f>
        <v>Used Vehicle</v>
      </c>
      <c r="Q1368" s="79" t="str">
        <f>IFERROR(VLOOKUP($M1368,Export!$P:$R,3,FALSE),"-")</f>
        <v>Used VehicleAdvertising per retail</v>
      </c>
      <c r="R1368" s="80" t="e" cm="1">
        <f t="array" ref="R1368">_xlfn.IFS(P1368="Service", _xlfn.IFS(I1368="SALES","GP",I1368="SERVICE SALES","GP",I1368="PARTS SALES","GP",I1368="SERVICE COS","GP",I1368="PARTS COS","GP",I1368="SELLING EXPENSES","Selling Expenses",I1368="EMPLOYMENT EXPENSES","Selling Expenses",I1368="EMPLOYMENT EXPENSES","Selling Expenses",I1368="DIRECT EXPENSES","Selling Expenses",I1368="INDIRECT EXPENSES","Selling Expenses"),P1368="Parts",_xlfn.IFS(I1368="SALES","GP",I1368="SERVICE SALES","GP",I1368="PARTS SALES","GP",I1368="SERVICE COS","GP",I1368="PARTS COS","GP",I1368="SELLING EXPENSES","Selling Expenses",I1368="EMPLOYMENT EXPENSES","Selling Expenses",I1368="EMPLOYMENT EXPENSES","Selling Expenses",I1368="DIRECT EXPENSES","Selling Expenses",I1368="INDIRECT EXPENSES","Selling Expenses"))</f>
        <v>#N/A</v>
      </c>
    </row>
    <row r="1369" spans="1:18" x14ac:dyDescent="0.2">
      <c r="A1369" s="75">
        <v>7385</v>
      </c>
      <c r="B1369" s="76" t="s">
        <v>942</v>
      </c>
      <c r="C1369" s="76">
        <v>121</v>
      </c>
      <c r="D1369" s="76" t="s">
        <v>449</v>
      </c>
      <c r="E1369" s="76" t="s">
        <v>426</v>
      </c>
      <c r="F1369" s="77">
        <v>0</v>
      </c>
      <c r="G1369" s="77">
        <v>0</v>
      </c>
      <c r="H1369" s="77">
        <v>0</v>
      </c>
      <c r="I1369" s="76" t="s">
        <v>936</v>
      </c>
      <c r="J1369" s="77">
        <v>0</v>
      </c>
      <c r="K1369" s="78">
        <v>193.77</v>
      </c>
      <c r="M1369" s="79" t="str">
        <f t="shared" si="65"/>
        <v>121-7385</v>
      </c>
      <c r="N1369" s="79" t="str">
        <f t="shared" si="63"/>
        <v/>
      </c>
      <c r="O1369" s="79" t="str">
        <f t="shared" si="64"/>
        <v>121</v>
      </c>
      <c r="P1369" s="79" t="str">
        <f>IFERROR(VLOOKUP($M1369,Export!$P:$R,2,FALSE),"-")</f>
        <v>Used Vehicle</v>
      </c>
      <c r="Q1369" s="79" t="str">
        <f>IFERROR(VLOOKUP($M1369,Export!$P:$R,3,FALSE),"-")</f>
        <v>Used VehicleAdvertising per retail</v>
      </c>
      <c r="R1369" s="80" t="e" cm="1">
        <f t="array" ref="R1369">_xlfn.IFS(P1369="Service", _xlfn.IFS(I1369="SALES","GP",I1369="SERVICE SALES","GP",I1369="PARTS SALES","GP",I1369="SERVICE COS","GP",I1369="PARTS COS","GP",I1369="SELLING EXPENSES","Selling Expenses",I1369="EMPLOYMENT EXPENSES","Selling Expenses",I1369="EMPLOYMENT EXPENSES","Selling Expenses",I1369="DIRECT EXPENSES","Selling Expenses",I1369="INDIRECT EXPENSES","Selling Expenses"),P1369="Parts",_xlfn.IFS(I1369="SALES","GP",I1369="SERVICE SALES","GP",I1369="PARTS SALES","GP",I1369="SERVICE COS","GP",I1369="PARTS COS","GP",I1369="SELLING EXPENSES","Selling Expenses",I1369="EMPLOYMENT EXPENSES","Selling Expenses",I1369="EMPLOYMENT EXPENSES","Selling Expenses",I1369="DIRECT EXPENSES","Selling Expenses",I1369="INDIRECT EXPENSES","Selling Expenses"))</f>
        <v>#N/A</v>
      </c>
    </row>
    <row r="1370" spans="1:18" x14ac:dyDescent="0.2">
      <c r="A1370" s="75">
        <v>7385</v>
      </c>
      <c r="B1370" s="76" t="s">
        <v>942</v>
      </c>
      <c r="C1370" s="76">
        <v>130</v>
      </c>
      <c r="D1370" s="76" t="s">
        <v>432</v>
      </c>
      <c r="E1370" s="76" t="s">
        <v>426</v>
      </c>
      <c r="F1370" s="77">
        <v>1231.3900000000001</v>
      </c>
      <c r="G1370" s="77">
        <v>0</v>
      </c>
      <c r="H1370" s="77">
        <v>1231.3900000000001</v>
      </c>
      <c r="I1370" s="76" t="s">
        <v>936</v>
      </c>
      <c r="J1370" s="77">
        <v>0</v>
      </c>
      <c r="K1370" s="78">
        <v>170</v>
      </c>
      <c r="M1370" s="79" t="str">
        <f t="shared" si="65"/>
        <v>130-7385</v>
      </c>
      <c r="N1370" s="79" t="str">
        <f t="shared" si="63"/>
        <v/>
      </c>
      <c r="O1370" s="79" t="str">
        <f t="shared" si="64"/>
        <v>130</v>
      </c>
      <c r="P1370" s="79" t="str">
        <f>IFERROR(VLOOKUP($M1370,Export!$P:$R,2,FALSE),"-")</f>
        <v>Parts</v>
      </c>
      <c r="Q1370" s="79" t="str">
        <f>IFERROR(VLOOKUP($M1370,Export!$P:$R,3,FALSE),"-")</f>
        <v>PartsOther Expenses as % of Sales</v>
      </c>
      <c r="R1370" s="80" t="str" cm="1">
        <f t="array" ref="R1370">_xlfn.IFS(P1370="Service", _xlfn.IFS(I1370="SALES","GP",I1370="SERVICE SALES","GP",I1370="PARTS SALES","GP",I1370="SERVICE COS","GP",I1370="PARTS COS","GP",I1370="SELLING EXPENSES","Selling Expenses",I1370="EMPLOYMENT EXPENSES","Selling Expenses",I1370="EMPLOYMENT EXPENSES","Selling Expenses",I1370="DIRECT EXPENSES","Selling Expenses",I1370="INDIRECT EXPENSES","Selling Expenses"),P1370="Parts",_xlfn.IFS(I1370="SALES","GP",I1370="SERVICE SALES","GP",I1370="PARTS SALES","GP",I1370="SERVICE COS","GP",I1370="PARTS COS","GP",I1370="SELLING EXPENSES","Selling Expenses",I1370="EMPLOYMENT EXPENSES","Selling Expenses",I1370="EMPLOYMENT EXPENSES","Selling Expenses",I1370="DIRECT EXPENSES","Selling Expenses",I1370="INDIRECT EXPENSES","Selling Expenses"))</f>
        <v>Selling Expenses</v>
      </c>
    </row>
    <row r="1371" spans="1:18" x14ac:dyDescent="0.2">
      <c r="A1371" s="75">
        <v>7385</v>
      </c>
      <c r="B1371" s="76" t="s">
        <v>942</v>
      </c>
      <c r="C1371" s="76">
        <v>140</v>
      </c>
      <c r="D1371" s="76" t="s">
        <v>433</v>
      </c>
      <c r="E1371" s="76" t="s">
        <v>426</v>
      </c>
      <c r="F1371" s="77">
        <v>1448.7</v>
      </c>
      <c r="G1371" s="77">
        <v>0</v>
      </c>
      <c r="H1371" s="77">
        <v>1448.7</v>
      </c>
      <c r="I1371" s="76" t="s">
        <v>936</v>
      </c>
      <c r="J1371" s="77">
        <v>0</v>
      </c>
      <c r="K1371" s="78">
        <v>200</v>
      </c>
      <c r="M1371" s="79" t="str">
        <f t="shared" si="65"/>
        <v>140-7385</v>
      </c>
      <c r="N1371" s="79" t="str">
        <f t="shared" si="63"/>
        <v/>
      </c>
      <c r="O1371" s="79" t="str">
        <f t="shared" si="64"/>
        <v>140</v>
      </c>
      <c r="P1371" s="79" t="str">
        <f>IFERROR(VLOOKUP($M1371,Export!$P:$R,2,FALSE),"-")</f>
        <v>Service</v>
      </c>
      <c r="Q1371" s="79" t="str">
        <f>IFERROR(VLOOKUP($M1371,Export!$P:$R,3,FALSE),"-")</f>
        <v>ServiceOther Expenses as % of Sales</v>
      </c>
      <c r="R1371" s="80" t="str" cm="1">
        <f t="array" ref="R1371">_xlfn.IFS(P1371="Service", _xlfn.IFS(I1371="SALES","GP",I1371="SERVICE SALES","GP",I1371="PARTS SALES","GP",I1371="SERVICE COS","GP",I1371="PARTS COS","GP",I1371="SELLING EXPENSES","Selling Expenses",I1371="EMPLOYMENT EXPENSES","Selling Expenses",I1371="EMPLOYMENT EXPENSES","Selling Expenses",I1371="DIRECT EXPENSES","Selling Expenses",I1371="INDIRECT EXPENSES","Selling Expenses"),P1371="Parts",_xlfn.IFS(I1371="SALES","GP",I1371="SERVICE SALES","GP",I1371="PARTS SALES","GP",I1371="SERVICE COS","GP",I1371="PARTS COS","GP",I1371="SELLING EXPENSES","Selling Expenses",I1371="EMPLOYMENT EXPENSES","Selling Expenses",I1371="EMPLOYMENT EXPENSES","Selling Expenses",I1371="DIRECT EXPENSES","Selling Expenses",I1371="INDIRECT EXPENSES","Selling Expenses"))</f>
        <v>Selling Expenses</v>
      </c>
    </row>
    <row r="1372" spans="1:18" x14ac:dyDescent="0.2">
      <c r="A1372" s="75">
        <v>7385</v>
      </c>
      <c r="B1372" s="76" t="s">
        <v>942</v>
      </c>
      <c r="C1372" s="76">
        <v>160</v>
      </c>
      <c r="D1372" s="76" t="s">
        <v>434</v>
      </c>
      <c r="E1372" s="76" t="s">
        <v>426</v>
      </c>
      <c r="F1372" s="77">
        <v>434.61</v>
      </c>
      <c r="G1372" s="77">
        <v>0</v>
      </c>
      <c r="H1372" s="77">
        <v>434.61</v>
      </c>
      <c r="I1372" s="76" t="s">
        <v>936</v>
      </c>
      <c r="J1372" s="77">
        <v>0</v>
      </c>
      <c r="K1372" s="78">
        <v>60</v>
      </c>
      <c r="M1372" s="79" t="str">
        <f t="shared" si="65"/>
        <v>160-7385</v>
      </c>
      <c r="N1372" s="79" t="str">
        <f t="shared" si="63"/>
        <v/>
      </c>
      <c r="O1372" s="79" t="str">
        <f t="shared" si="64"/>
        <v>160</v>
      </c>
      <c r="P1372" s="79" t="str">
        <f>IFERROR(VLOOKUP($M1372,Export!$P:$R,2,FALSE),"-")</f>
        <v>F&amp;I</v>
      </c>
      <c r="Q1372" s="79" t="str">
        <f>IFERROR(VLOOKUP($M1372,Export!$P:$R,3,FALSE),"-")</f>
        <v>F&amp;IOther Expenses per vehicle retailed</v>
      </c>
      <c r="R1372" s="80" t="e" cm="1">
        <f t="array" ref="R1372">_xlfn.IFS(P1372="Service", _xlfn.IFS(I1372="SALES","GP",I1372="SERVICE SALES","GP",I1372="PARTS SALES","GP",I1372="SERVICE COS","GP",I1372="PARTS COS","GP",I1372="SELLING EXPENSES","Selling Expenses",I1372="EMPLOYMENT EXPENSES","Selling Expenses",I1372="EMPLOYMENT EXPENSES","Selling Expenses",I1372="DIRECT EXPENSES","Selling Expenses",I1372="INDIRECT EXPENSES","Selling Expenses"),P1372="Parts",_xlfn.IFS(I1372="SALES","GP",I1372="SERVICE SALES","GP",I1372="PARTS SALES","GP",I1372="SERVICE COS","GP",I1372="PARTS COS","GP",I1372="SELLING EXPENSES","Selling Expenses",I1372="EMPLOYMENT EXPENSES","Selling Expenses",I1372="EMPLOYMENT EXPENSES","Selling Expenses",I1372="DIRECT EXPENSES","Selling Expenses",I1372="INDIRECT EXPENSES","Selling Expenses"))</f>
        <v>#N/A</v>
      </c>
    </row>
    <row r="1373" spans="1:18" x14ac:dyDescent="0.2">
      <c r="A1373" s="75">
        <v>7385</v>
      </c>
      <c r="B1373" s="76" t="s">
        <v>942</v>
      </c>
      <c r="C1373" s="76">
        <v>210</v>
      </c>
      <c r="D1373" s="76" t="s">
        <v>436</v>
      </c>
      <c r="E1373" s="76" t="s">
        <v>426</v>
      </c>
      <c r="F1373" s="77">
        <v>2500</v>
      </c>
      <c r="G1373" s="77">
        <v>0</v>
      </c>
      <c r="H1373" s="77">
        <v>2500</v>
      </c>
      <c r="I1373" s="76" t="s">
        <v>936</v>
      </c>
      <c r="J1373" s="77">
        <v>0</v>
      </c>
      <c r="K1373" s="78">
        <v>185</v>
      </c>
      <c r="M1373" s="79" t="str">
        <f t="shared" si="65"/>
        <v>210-7385</v>
      </c>
      <c r="N1373" s="79" t="str">
        <f t="shared" si="63"/>
        <v/>
      </c>
      <c r="O1373" s="79" t="str">
        <f t="shared" si="64"/>
        <v>210</v>
      </c>
      <c r="P1373" s="79" t="str">
        <f>IFERROR(VLOOKUP($M1373,Export!$P:$R,2,FALSE),"-")</f>
        <v>New Vehicle</v>
      </c>
      <c r="Q1373" s="79" t="str">
        <f>IFERROR(VLOOKUP($M1373,Export!$P:$R,3,FALSE),"-")</f>
        <v>New VehicleAdvertising p.u.</v>
      </c>
      <c r="R1373" s="80" t="e" cm="1">
        <f t="array" ref="R1373">_xlfn.IFS(P1373="Service", _xlfn.IFS(I1373="SALES","GP",I1373="SERVICE SALES","GP",I1373="PARTS SALES","GP",I1373="SERVICE COS","GP",I1373="PARTS COS","GP",I1373="SELLING EXPENSES","Selling Expenses",I1373="EMPLOYMENT EXPENSES","Selling Expenses",I1373="EMPLOYMENT EXPENSES","Selling Expenses",I1373="DIRECT EXPENSES","Selling Expenses",I1373="INDIRECT EXPENSES","Selling Expenses"),P1373="Parts",_xlfn.IFS(I1373="SALES","GP",I1373="SERVICE SALES","GP",I1373="PARTS SALES","GP",I1373="SERVICE COS","GP",I1373="PARTS COS","GP",I1373="SELLING EXPENSES","Selling Expenses",I1373="EMPLOYMENT EXPENSES","Selling Expenses",I1373="EMPLOYMENT EXPENSES","Selling Expenses",I1373="DIRECT EXPENSES","Selling Expenses",I1373="INDIRECT EXPENSES","Selling Expenses"))</f>
        <v>#N/A</v>
      </c>
    </row>
    <row r="1374" spans="1:18" x14ac:dyDescent="0.2">
      <c r="A1374" s="75">
        <v>7385</v>
      </c>
      <c r="B1374" s="298" t="s">
        <v>942</v>
      </c>
      <c r="C1374" s="76">
        <v>220</v>
      </c>
      <c r="D1374" s="76" t="s">
        <v>437</v>
      </c>
      <c r="E1374" s="76" t="s">
        <v>426</v>
      </c>
      <c r="F1374" s="77">
        <v>2500</v>
      </c>
      <c r="G1374" s="77">
        <v>0</v>
      </c>
      <c r="H1374" s="77">
        <v>2500</v>
      </c>
      <c r="I1374" s="76" t="s">
        <v>936</v>
      </c>
      <c r="J1374" s="77">
        <v>0</v>
      </c>
      <c r="K1374" s="78">
        <v>185</v>
      </c>
      <c r="M1374" s="79" t="str">
        <f t="shared" si="65"/>
        <v>220-7385</v>
      </c>
      <c r="N1374" s="79" t="str">
        <f t="shared" si="63"/>
        <v/>
      </c>
      <c r="O1374" s="79" t="str">
        <f t="shared" si="64"/>
        <v>220</v>
      </c>
      <c r="P1374" s="79" t="str">
        <f>IFERROR(VLOOKUP($M1374,Export!$P:$R,2,FALSE),"-")</f>
        <v>Used Vehicle</v>
      </c>
      <c r="Q1374" s="79" t="str">
        <f>IFERROR(VLOOKUP($M1374,Export!$P:$R,3,FALSE),"-")</f>
        <v>Used VehicleAdvertising per retail</v>
      </c>
      <c r="R1374" s="80" t="e" cm="1">
        <f t="array" ref="R1374">_xlfn.IFS(P1374="Service", _xlfn.IFS(I1374="SALES","GP",I1374="SERVICE SALES","GP",I1374="PARTS SALES","GP",I1374="SERVICE COS","GP",I1374="PARTS COS","GP",I1374="SELLING EXPENSES","Selling Expenses",I1374="EMPLOYMENT EXPENSES","Selling Expenses",I1374="EMPLOYMENT EXPENSES","Selling Expenses",I1374="DIRECT EXPENSES","Selling Expenses",I1374="INDIRECT EXPENSES","Selling Expenses"),P1374="Parts",_xlfn.IFS(I1374="SALES","GP",I1374="SERVICE SALES","GP",I1374="PARTS SALES","GP",I1374="SERVICE COS","GP",I1374="PARTS COS","GP",I1374="SELLING EXPENSES","Selling Expenses",I1374="EMPLOYMENT EXPENSES","Selling Expenses",I1374="EMPLOYMENT EXPENSES","Selling Expenses",I1374="DIRECT EXPENSES","Selling Expenses",I1374="INDIRECT EXPENSES","Selling Expenses"))</f>
        <v>#N/A</v>
      </c>
    </row>
    <row r="1375" spans="1:18" x14ac:dyDescent="0.2">
      <c r="A1375" s="75">
        <v>7385</v>
      </c>
      <c r="B1375" s="76" t="s">
        <v>942</v>
      </c>
      <c r="C1375" s="76">
        <v>230</v>
      </c>
      <c r="D1375" s="76" t="s">
        <v>438</v>
      </c>
      <c r="E1375" s="76" t="s">
        <v>426</v>
      </c>
      <c r="F1375" s="77">
        <v>0</v>
      </c>
      <c r="G1375" s="77">
        <v>0</v>
      </c>
      <c r="H1375" s="77">
        <v>0</v>
      </c>
      <c r="I1375" s="76" t="s">
        <v>936</v>
      </c>
      <c r="J1375" s="77">
        <v>0</v>
      </c>
      <c r="K1375" s="78">
        <v>148</v>
      </c>
      <c r="M1375" s="79" t="str">
        <f t="shared" si="65"/>
        <v>230-7385</v>
      </c>
      <c r="N1375" s="79" t="str">
        <f t="shared" si="63"/>
        <v/>
      </c>
      <c r="O1375" s="79" t="str">
        <f t="shared" si="64"/>
        <v>230</v>
      </c>
      <c r="P1375" s="79" t="str">
        <f>IFERROR(VLOOKUP($M1375,Export!$P:$R,2,FALSE),"-")</f>
        <v>Parts</v>
      </c>
      <c r="Q1375" s="79" t="str">
        <f>IFERROR(VLOOKUP($M1375,Export!$P:$R,3,FALSE),"-")</f>
        <v>PartsOther Expenses as % of Sales</v>
      </c>
      <c r="R1375" s="80" t="str" cm="1">
        <f t="array" ref="R1375">_xlfn.IFS(P1375="Service", _xlfn.IFS(I1375="SALES","GP",I1375="SERVICE SALES","GP",I1375="PARTS SALES","GP",I1375="SERVICE COS","GP",I1375="PARTS COS","GP",I1375="SELLING EXPENSES","Selling Expenses",I1375="EMPLOYMENT EXPENSES","Selling Expenses",I1375="EMPLOYMENT EXPENSES","Selling Expenses",I1375="DIRECT EXPENSES","Selling Expenses",I1375="INDIRECT EXPENSES","Selling Expenses"),P1375="Parts",_xlfn.IFS(I1375="SALES","GP",I1375="SERVICE SALES","GP",I1375="PARTS SALES","GP",I1375="SERVICE COS","GP",I1375="PARTS COS","GP",I1375="SELLING EXPENSES","Selling Expenses",I1375="EMPLOYMENT EXPENSES","Selling Expenses",I1375="EMPLOYMENT EXPENSES","Selling Expenses",I1375="DIRECT EXPENSES","Selling Expenses",I1375="INDIRECT EXPENSES","Selling Expenses"))</f>
        <v>Selling Expenses</v>
      </c>
    </row>
    <row r="1376" spans="1:18" x14ac:dyDescent="0.2">
      <c r="A1376" s="75">
        <v>7385</v>
      </c>
      <c r="B1376" s="76" t="s">
        <v>942</v>
      </c>
      <c r="C1376" s="76">
        <v>240</v>
      </c>
      <c r="D1376" s="76" t="s">
        <v>439</v>
      </c>
      <c r="E1376" s="76" t="s">
        <v>426</v>
      </c>
      <c r="F1376" s="77">
        <v>0</v>
      </c>
      <c r="G1376" s="77">
        <v>0</v>
      </c>
      <c r="H1376" s="77">
        <v>0</v>
      </c>
      <c r="I1376" s="76" t="s">
        <v>936</v>
      </c>
      <c r="J1376" s="77">
        <v>0</v>
      </c>
      <c r="K1376" s="78">
        <v>155.4</v>
      </c>
      <c r="M1376" s="79" t="str">
        <f t="shared" si="65"/>
        <v>240-7385</v>
      </c>
      <c r="N1376" s="79" t="str">
        <f t="shared" si="63"/>
        <v/>
      </c>
      <c r="O1376" s="79" t="str">
        <f t="shared" si="64"/>
        <v>240</v>
      </c>
      <c r="P1376" s="79" t="str">
        <f>IFERROR(VLOOKUP($M1376,Export!$P:$R,2,FALSE),"-")</f>
        <v>Service</v>
      </c>
      <c r="Q1376" s="79" t="str">
        <f>IFERROR(VLOOKUP($M1376,Export!$P:$R,3,FALSE),"-")</f>
        <v>ServiceOther Expenses as % of Sales</v>
      </c>
      <c r="R1376" s="80" t="str" cm="1">
        <f t="array" ref="R1376">_xlfn.IFS(P1376="Service", _xlfn.IFS(I1376="SALES","GP",I1376="SERVICE SALES","GP",I1376="PARTS SALES","GP",I1376="SERVICE COS","GP",I1376="PARTS COS","GP",I1376="SELLING EXPENSES","Selling Expenses",I1376="EMPLOYMENT EXPENSES","Selling Expenses",I1376="EMPLOYMENT EXPENSES","Selling Expenses",I1376="DIRECT EXPENSES","Selling Expenses",I1376="INDIRECT EXPENSES","Selling Expenses"),P1376="Parts",_xlfn.IFS(I1376="SALES","GP",I1376="SERVICE SALES","GP",I1376="PARTS SALES","GP",I1376="SERVICE COS","GP",I1376="PARTS COS","GP",I1376="SELLING EXPENSES","Selling Expenses",I1376="EMPLOYMENT EXPENSES","Selling Expenses",I1376="EMPLOYMENT EXPENSES","Selling Expenses",I1376="DIRECT EXPENSES","Selling Expenses",I1376="INDIRECT EXPENSES","Selling Expenses"))</f>
        <v>Selling Expenses</v>
      </c>
    </row>
    <row r="1377" spans="1:18" x14ac:dyDescent="0.2">
      <c r="A1377" s="75">
        <v>7385</v>
      </c>
      <c r="B1377" s="76" t="s">
        <v>942</v>
      </c>
      <c r="C1377" s="76">
        <v>340</v>
      </c>
      <c r="D1377" s="76" t="s">
        <v>440</v>
      </c>
      <c r="E1377" s="76" t="s">
        <v>426</v>
      </c>
      <c r="F1377" s="77">
        <v>0</v>
      </c>
      <c r="G1377" s="77">
        <v>0</v>
      </c>
      <c r="H1377" s="77">
        <v>0</v>
      </c>
      <c r="I1377" s="76" t="s">
        <v>936</v>
      </c>
      <c r="J1377" s="77">
        <v>0</v>
      </c>
      <c r="K1377" s="78">
        <v>66.599999999999994</v>
      </c>
      <c r="M1377" s="79" t="str">
        <f t="shared" si="65"/>
        <v>340-7385</v>
      </c>
      <c r="N1377" s="79" t="str">
        <f t="shared" si="63"/>
        <v/>
      </c>
      <c r="O1377" s="79" t="str">
        <f t="shared" si="64"/>
        <v>340</v>
      </c>
      <c r="P1377" s="79" t="str">
        <f>IFERROR(VLOOKUP($M1377,Export!$P:$R,2,FALSE),"-")</f>
        <v>Service</v>
      </c>
      <c r="Q1377" s="79" t="str">
        <f>IFERROR(VLOOKUP($M1377,Export!$P:$R,3,FALSE),"-")</f>
        <v>ServiceOther Expenses as % of Sales</v>
      </c>
      <c r="R1377" s="80" t="str" cm="1">
        <f t="array" ref="R1377">_xlfn.IFS(P1377="Service", _xlfn.IFS(I1377="SALES","GP",I1377="SERVICE SALES","GP",I1377="PARTS SALES","GP",I1377="SERVICE COS","GP",I1377="PARTS COS","GP",I1377="SELLING EXPENSES","Selling Expenses",I1377="EMPLOYMENT EXPENSES","Selling Expenses",I1377="EMPLOYMENT EXPENSES","Selling Expenses",I1377="DIRECT EXPENSES","Selling Expenses",I1377="INDIRECT EXPENSES","Selling Expenses"),P1377="Parts",_xlfn.IFS(I1377="SALES","GP",I1377="SERVICE SALES","GP",I1377="PARTS SALES","GP",I1377="SERVICE COS","GP",I1377="PARTS COS","GP",I1377="SELLING EXPENSES","Selling Expenses",I1377="EMPLOYMENT EXPENSES","Selling Expenses",I1377="EMPLOYMENT EXPENSES","Selling Expenses",I1377="DIRECT EXPENSES","Selling Expenses",I1377="INDIRECT EXPENSES","Selling Expenses"))</f>
        <v>Selling Expenses</v>
      </c>
    </row>
    <row r="1378" spans="1:18" x14ac:dyDescent="0.2">
      <c r="A1378" s="75">
        <v>7385</v>
      </c>
      <c r="B1378" s="76" t="s">
        <v>942</v>
      </c>
      <c r="C1378" s="76">
        <v>935</v>
      </c>
      <c r="D1378" s="76" t="s">
        <v>442</v>
      </c>
      <c r="E1378" s="76" t="s">
        <v>426</v>
      </c>
      <c r="F1378" s="77">
        <v>862.17</v>
      </c>
      <c r="G1378" s="77">
        <v>0</v>
      </c>
      <c r="H1378" s="77">
        <v>862.17</v>
      </c>
      <c r="I1378" s="76" t="s">
        <v>936</v>
      </c>
      <c r="J1378" s="77">
        <v>0</v>
      </c>
      <c r="K1378" s="78">
        <v>50</v>
      </c>
      <c r="M1378" s="79" t="str">
        <f t="shared" si="65"/>
        <v>935-7385</v>
      </c>
      <c r="N1378" s="79" t="str">
        <f t="shared" si="63"/>
        <v/>
      </c>
      <c r="O1378" s="79" t="str">
        <f t="shared" si="64"/>
        <v>935</v>
      </c>
      <c r="P1378" s="79" t="str">
        <f>IFERROR(VLOOKUP($M1378,Export!$P:$R,2,FALSE),"-")</f>
        <v>Bridgestone</v>
      </c>
      <c r="Q1378" s="79" t="str">
        <f>IFERROR(VLOOKUP($M1378,Export!$P:$R,3,FALSE),"-")</f>
        <v>BridgestoneOther Expenses as % of Sales</v>
      </c>
      <c r="R1378" s="80" t="e" cm="1">
        <f t="array" ref="R1378">_xlfn.IFS(P1378="Service", _xlfn.IFS(I1378="SALES","GP",I1378="SERVICE SALES","GP",I1378="PARTS SALES","GP",I1378="SERVICE COS","GP",I1378="PARTS COS","GP",I1378="SELLING EXPENSES","Selling Expenses",I1378="EMPLOYMENT EXPENSES","Selling Expenses",I1378="EMPLOYMENT EXPENSES","Selling Expenses",I1378="DIRECT EXPENSES","Selling Expenses",I1378="INDIRECT EXPENSES","Selling Expenses"),P1378="Parts",_xlfn.IFS(I1378="SALES","GP",I1378="SERVICE SALES","GP",I1378="PARTS SALES","GP",I1378="SERVICE COS","GP",I1378="PARTS COS","GP",I1378="SELLING EXPENSES","Selling Expenses",I1378="EMPLOYMENT EXPENSES","Selling Expenses",I1378="EMPLOYMENT EXPENSES","Selling Expenses",I1378="DIRECT EXPENSES","Selling Expenses",I1378="INDIRECT EXPENSES","Selling Expenses"))</f>
        <v>#N/A</v>
      </c>
    </row>
    <row r="1379" spans="1:18" x14ac:dyDescent="0.2">
      <c r="A1379" s="75">
        <v>7410</v>
      </c>
      <c r="B1379" s="76" t="s">
        <v>943</v>
      </c>
      <c r="C1379" s="76">
        <v>130</v>
      </c>
      <c r="D1379" s="76" t="s">
        <v>432</v>
      </c>
      <c r="E1379" s="76" t="s">
        <v>426</v>
      </c>
      <c r="F1379" s="77">
        <v>2914.38</v>
      </c>
      <c r="G1379" s="287">
        <v>10.050000000000001</v>
      </c>
      <c r="H1379" s="77">
        <v>2924.43</v>
      </c>
      <c r="I1379" s="76" t="s">
        <v>936</v>
      </c>
      <c r="J1379" s="77">
        <v>0</v>
      </c>
      <c r="K1379" s="78">
        <v>156.15</v>
      </c>
      <c r="M1379" s="79" t="str">
        <f t="shared" si="65"/>
        <v>130-7410</v>
      </c>
      <c r="N1379" s="79" t="str">
        <f t="shared" si="63"/>
        <v/>
      </c>
      <c r="O1379" s="79" t="str">
        <f t="shared" si="64"/>
        <v>130</v>
      </c>
      <c r="P1379" s="79" t="str">
        <f>IFERROR(VLOOKUP($M1379,Export!$P:$R,2,FALSE),"-")</f>
        <v>Parts</v>
      </c>
      <c r="Q1379" s="79" t="str">
        <f>IFERROR(VLOOKUP($M1379,Export!$P:$R,3,FALSE),"-")</f>
        <v>PartsOther Expenses as % of Sales</v>
      </c>
      <c r="R1379" s="80" t="str" cm="1">
        <f t="array" ref="R1379">_xlfn.IFS(P1379="Service", _xlfn.IFS(I1379="SALES","GP",I1379="SERVICE SALES","GP",I1379="PARTS SALES","GP",I1379="SERVICE COS","GP",I1379="PARTS COS","GP",I1379="SELLING EXPENSES","Selling Expenses",I1379="EMPLOYMENT EXPENSES","Selling Expenses",I1379="EMPLOYMENT EXPENSES","Selling Expenses",I1379="DIRECT EXPENSES","Selling Expenses",I1379="INDIRECT EXPENSES","Selling Expenses"),P1379="Parts",_xlfn.IFS(I1379="SALES","GP",I1379="SERVICE SALES","GP",I1379="PARTS SALES","GP",I1379="SERVICE COS","GP",I1379="PARTS COS","GP",I1379="SELLING EXPENSES","Selling Expenses",I1379="EMPLOYMENT EXPENSES","Selling Expenses",I1379="EMPLOYMENT EXPENSES","Selling Expenses",I1379="DIRECT EXPENSES","Selling Expenses",I1379="INDIRECT EXPENSES","Selling Expenses"))</f>
        <v>Selling Expenses</v>
      </c>
    </row>
    <row r="1380" spans="1:18" x14ac:dyDescent="0.2">
      <c r="A1380" s="75">
        <v>7410</v>
      </c>
      <c r="B1380" s="76" t="s">
        <v>943</v>
      </c>
      <c r="C1380" s="76">
        <v>140</v>
      </c>
      <c r="D1380" s="76" t="s">
        <v>433</v>
      </c>
      <c r="E1380" s="76" t="s">
        <v>426</v>
      </c>
      <c r="F1380" s="77">
        <v>8087.55</v>
      </c>
      <c r="G1380" s="287">
        <v>1317.12</v>
      </c>
      <c r="H1380" s="77">
        <v>9404.67</v>
      </c>
      <c r="I1380" s="76" t="s">
        <v>936</v>
      </c>
      <c r="J1380" s="77">
        <v>0</v>
      </c>
      <c r="K1380" s="78">
        <v>8510.52</v>
      </c>
      <c r="M1380" s="79" t="str">
        <f t="shared" si="65"/>
        <v>140-7410</v>
      </c>
      <c r="N1380" s="79" t="str">
        <f t="shared" si="63"/>
        <v/>
      </c>
      <c r="O1380" s="79" t="str">
        <f t="shared" si="64"/>
        <v>140</v>
      </c>
      <c r="P1380" s="79" t="str">
        <f>IFERROR(VLOOKUP($M1380,Export!$P:$R,2,FALSE),"-")</f>
        <v>Service</v>
      </c>
      <c r="Q1380" s="79" t="str">
        <f>IFERROR(VLOOKUP($M1380,Export!$P:$R,3,FALSE),"-")</f>
        <v>ServiceOther Expenses as % of Sales</v>
      </c>
      <c r="R1380" s="80" t="str" cm="1">
        <f t="array" ref="R1380">_xlfn.IFS(P1380="Service", _xlfn.IFS(I1380="SALES","GP",I1380="SERVICE SALES","GP",I1380="PARTS SALES","GP",I1380="SERVICE COS","GP",I1380="PARTS COS","GP",I1380="SELLING EXPENSES","Selling Expenses",I1380="EMPLOYMENT EXPENSES","Selling Expenses",I1380="EMPLOYMENT EXPENSES","Selling Expenses",I1380="DIRECT EXPENSES","Selling Expenses",I1380="INDIRECT EXPENSES","Selling Expenses"),P1380="Parts",_xlfn.IFS(I1380="SALES","GP",I1380="SERVICE SALES","GP",I1380="PARTS SALES","GP",I1380="SERVICE COS","GP",I1380="PARTS COS","GP",I1380="SELLING EXPENSES","Selling Expenses",I1380="EMPLOYMENT EXPENSES","Selling Expenses",I1380="EMPLOYMENT EXPENSES","Selling Expenses",I1380="DIRECT EXPENSES","Selling Expenses",I1380="INDIRECT EXPENSES","Selling Expenses"))</f>
        <v>Selling Expenses</v>
      </c>
    </row>
    <row r="1381" spans="1:18" x14ac:dyDescent="0.2">
      <c r="A1381" s="75">
        <v>7410</v>
      </c>
      <c r="B1381" s="76" t="s">
        <v>943</v>
      </c>
      <c r="C1381" s="76">
        <v>142</v>
      </c>
      <c r="D1381" s="76" t="s">
        <v>454</v>
      </c>
      <c r="E1381" s="76" t="s">
        <v>426</v>
      </c>
      <c r="F1381" s="77">
        <v>278.77999999999997</v>
      </c>
      <c r="G1381" s="77">
        <v>0</v>
      </c>
      <c r="H1381" s="77">
        <v>278.77999999999997</v>
      </c>
      <c r="I1381" s="76" t="s">
        <v>936</v>
      </c>
      <c r="J1381" s="77">
        <v>0</v>
      </c>
      <c r="K1381" s="78">
        <v>0</v>
      </c>
      <c r="M1381" s="79" t="str">
        <f t="shared" si="65"/>
        <v>142-7410</v>
      </c>
      <c r="N1381" s="79" t="str">
        <f t="shared" si="63"/>
        <v/>
      </c>
      <c r="O1381" s="79" t="str">
        <f t="shared" si="64"/>
        <v>142</v>
      </c>
      <c r="P1381" s="79" t="str">
        <f>IFERROR(VLOOKUP($M1381,Export!$P:$R,2,FALSE),"-")</f>
        <v>Lex Service</v>
      </c>
      <c r="Q1381" s="79" t="str">
        <f>IFERROR(VLOOKUP($M1381,Export!$P:$R,3,FALSE),"-")</f>
        <v>Lex ServiceOther Expenses as % of Sales</v>
      </c>
      <c r="R1381" s="80" t="e" cm="1">
        <f t="array" ref="R1381">_xlfn.IFS(P1381="Service", _xlfn.IFS(I1381="SALES","GP",I1381="SERVICE SALES","GP",I1381="PARTS SALES","GP",I1381="SERVICE COS","GP",I1381="PARTS COS","GP",I1381="SELLING EXPENSES","Selling Expenses",I1381="EMPLOYMENT EXPENSES","Selling Expenses",I1381="EMPLOYMENT EXPENSES","Selling Expenses",I1381="DIRECT EXPENSES","Selling Expenses",I1381="INDIRECT EXPENSES","Selling Expenses"),P1381="Parts",_xlfn.IFS(I1381="SALES","GP",I1381="SERVICE SALES","GP",I1381="PARTS SALES","GP",I1381="SERVICE COS","GP",I1381="PARTS COS","GP",I1381="SELLING EXPENSES","Selling Expenses",I1381="EMPLOYMENT EXPENSES","Selling Expenses",I1381="EMPLOYMENT EXPENSES","Selling Expenses",I1381="DIRECT EXPENSES","Selling Expenses",I1381="INDIRECT EXPENSES","Selling Expenses"))</f>
        <v>#N/A</v>
      </c>
    </row>
    <row r="1382" spans="1:18" x14ac:dyDescent="0.2">
      <c r="A1382" s="75">
        <v>7410</v>
      </c>
      <c r="B1382" s="76" t="s">
        <v>943</v>
      </c>
      <c r="C1382" s="76">
        <v>230</v>
      </c>
      <c r="D1382" s="76" t="s">
        <v>438</v>
      </c>
      <c r="E1382" s="76" t="s">
        <v>426</v>
      </c>
      <c r="F1382" s="77">
        <v>390.53</v>
      </c>
      <c r="G1382" s="77">
        <v>167.63</v>
      </c>
      <c r="H1382" s="77">
        <v>558.16</v>
      </c>
      <c r="I1382" s="76" t="s">
        <v>936</v>
      </c>
      <c r="J1382" s="77">
        <v>0</v>
      </c>
      <c r="K1382" s="78">
        <v>187.19</v>
      </c>
      <c r="M1382" s="79" t="str">
        <f t="shared" si="65"/>
        <v>230-7410</v>
      </c>
      <c r="N1382" s="79" t="str">
        <f t="shared" si="63"/>
        <v/>
      </c>
      <c r="O1382" s="79" t="str">
        <f t="shared" si="64"/>
        <v>230</v>
      </c>
      <c r="P1382" s="79" t="str">
        <f>IFERROR(VLOOKUP($M1382,Export!$P:$R,2,FALSE),"-")</f>
        <v>Parts</v>
      </c>
      <c r="Q1382" s="79" t="str">
        <f>IFERROR(VLOOKUP($M1382,Export!$P:$R,3,FALSE),"-")</f>
        <v>PartsOther Expenses as % of Sales</v>
      </c>
      <c r="R1382" s="80" t="str" cm="1">
        <f t="array" ref="R1382">_xlfn.IFS(P1382="Service", _xlfn.IFS(I1382="SALES","GP",I1382="SERVICE SALES","GP",I1382="PARTS SALES","GP",I1382="SERVICE COS","GP",I1382="PARTS COS","GP",I1382="SELLING EXPENSES","Selling Expenses",I1382="EMPLOYMENT EXPENSES","Selling Expenses",I1382="EMPLOYMENT EXPENSES","Selling Expenses",I1382="DIRECT EXPENSES","Selling Expenses",I1382="INDIRECT EXPENSES","Selling Expenses"),P1382="Parts",_xlfn.IFS(I1382="SALES","GP",I1382="SERVICE SALES","GP",I1382="PARTS SALES","GP",I1382="SERVICE COS","GP",I1382="PARTS COS","GP",I1382="SELLING EXPENSES","Selling Expenses",I1382="EMPLOYMENT EXPENSES","Selling Expenses",I1382="EMPLOYMENT EXPENSES","Selling Expenses",I1382="DIRECT EXPENSES","Selling Expenses",I1382="INDIRECT EXPENSES","Selling Expenses"))</f>
        <v>Selling Expenses</v>
      </c>
    </row>
    <row r="1383" spans="1:18" x14ac:dyDescent="0.2">
      <c r="A1383" s="75">
        <v>7410</v>
      </c>
      <c r="B1383" s="76" t="s">
        <v>943</v>
      </c>
      <c r="C1383" s="76">
        <v>240</v>
      </c>
      <c r="D1383" s="76" t="s">
        <v>439</v>
      </c>
      <c r="E1383" s="76" t="s">
        <v>426</v>
      </c>
      <c r="F1383" s="77">
        <v>4411.28</v>
      </c>
      <c r="G1383" s="77">
        <v>533.6</v>
      </c>
      <c r="H1383" s="77">
        <v>4944.88</v>
      </c>
      <c r="I1383" s="76" t="s">
        <v>936</v>
      </c>
      <c r="J1383" s="77">
        <v>0</v>
      </c>
      <c r="K1383" s="78">
        <v>22.5</v>
      </c>
      <c r="M1383" s="79" t="str">
        <f t="shared" si="65"/>
        <v>240-7410</v>
      </c>
      <c r="N1383" s="79" t="str">
        <f t="shared" si="63"/>
        <v/>
      </c>
      <c r="O1383" s="79" t="str">
        <f t="shared" si="64"/>
        <v>240</v>
      </c>
      <c r="P1383" s="79" t="str">
        <f>IFERROR(VLOOKUP($M1383,Export!$P:$R,2,FALSE),"-")</f>
        <v>Service</v>
      </c>
      <c r="Q1383" s="79" t="str">
        <f>IFERROR(VLOOKUP($M1383,Export!$P:$R,3,FALSE),"-")</f>
        <v>ServiceOther Expenses as % of Sales</v>
      </c>
      <c r="R1383" s="80" t="str" cm="1">
        <f t="array" ref="R1383">_xlfn.IFS(P1383="Service", _xlfn.IFS(I1383="SALES","GP",I1383="SERVICE SALES","GP",I1383="PARTS SALES","GP",I1383="SERVICE COS","GP",I1383="PARTS COS","GP",I1383="SELLING EXPENSES","Selling Expenses",I1383="EMPLOYMENT EXPENSES","Selling Expenses",I1383="EMPLOYMENT EXPENSES","Selling Expenses",I1383="DIRECT EXPENSES","Selling Expenses",I1383="INDIRECT EXPENSES","Selling Expenses"),P1383="Parts",_xlfn.IFS(I1383="SALES","GP",I1383="SERVICE SALES","GP",I1383="PARTS SALES","GP",I1383="SERVICE COS","GP",I1383="PARTS COS","GP",I1383="SELLING EXPENSES","Selling Expenses",I1383="EMPLOYMENT EXPENSES","Selling Expenses",I1383="EMPLOYMENT EXPENSES","Selling Expenses",I1383="DIRECT EXPENSES","Selling Expenses",I1383="INDIRECT EXPENSES","Selling Expenses"))</f>
        <v>Selling Expenses</v>
      </c>
    </row>
    <row r="1384" spans="1:18" x14ac:dyDescent="0.2">
      <c r="A1384" s="75">
        <v>7410</v>
      </c>
      <c r="B1384" s="76" t="s">
        <v>943</v>
      </c>
      <c r="C1384" s="76">
        <v>340</v>
      </c>
      <c r="D1384" s="76" t="s">
        <v>440</v>
      </c>
      <c r="E1384" s="76" t="s">
        <v>426</v>
      </c>
      <c r="F1384" s="77">
        <v>373.68</v>
      </c>
      <c r="G1384" s="77">
        <v>168</v>
      </c>
      <c r="H1384" s="77">
        <v>541.67999999999995</v>
      </c>
      <c r="I1384" s="76" t="s">
        <v>936</v>
      </c>
      <c r="J1384" s="77">
        <v>0</v>
      </c>
      <c r="K1384" s="78">
        <v>0</v>
      </c>
      <c r="M1384" s="79" t="str">
        <f t="shared" si="65"/>
        <v>340-7410</v>
      </c>
      <c r="N1384" s="79" t="str">
        <f t="shared" si="63"/>
        <v/>
      </c>
      <c r="O1384" s="79" t="str">
        <f t="shared" si="64"/>
        <v>340</v>
      </c>
      <c r="P1384" s="79" t="str">
        <f>IFERROR(VLOOKUP($M1384,Export!$P:$R,2,FALSE),"-")</f>
        <v>Service</v>
      </c>
      <c r="Q1384" s="79" t="str">
        <f>IFERROR(VLOOKUP($M1384,Export!$P:$R,3,FALSE),"-")</f>
        <v>ServiceOther Expenses as % of Sales</v>
      </c>
      <c r="R1384" s="80" t="str" cm="1">
        <f t="array" ref="R1384">_xlfn.IFS(P1384="Service", _xlfn.IFS(I1384="SALES","GP",I1384="SERVICE SALES","GP",I1384="PARTS SALES","GP",I1384="SERVICE COS","GP",I1384="PARTS COS","GP",I1384="SELLING EXPENSES","Selling Expenses",I1384="EMPLOYMENT EXPENSES","Selling Expenses",I1384="EMPLOYMENT EXPENSES","Selling Expenses",I1384="DIRECT EXPENSES","Selling Expenses",I1384="INDIRECT EXPENSES","Selling Expenses"),P1384="Parts",_xlfn.IFS(I1384="SALES","GP",I1384="SERVICE SALES","GP",I1384="PARTS SALES","GP",I1384="SERVICE COS","GP",I1384="PARTS COS","GP",I1384="SELLING EXPENSES","Selling Expenses",I1384="EMPLOYMENT EXPENSES","Selling Expenses",I1384="EMPLOYMENT EXPENSES","Selling Expenses",I1384="DIRECT EXPENSES","Selling Expenses",I1384="INDIRECT EXPENSES","Selling Expenses"))</f>
        <v>Selling Expenses</v>
      </c>
    </row>
    <row r="1385" spans="1:18" x14ac:dyDescent="0.2">
      <c r="A1385" s="75">
        <v>7410</v>
      </c>
      <c r="B1385" s="76" t="s">
        <v>943</v>
      </c>
      <c r="C1385" s="76">
        <v>440</v>
      </c>
      <c r="D1385" s="76" t="s">
        <v>441</v>
      </c>
      <c r="E1385" s="76" t="s">
        <v>426</v>
      </c>
      <c r="F1385" s="77">
        <v>9751.1299999999992</v>
      </c>
      <c r="G1385" s="77">
        <v>552.41</v>
      </c>
      <c r="H1385" s="77">
        <v>10303.540000000001</v>
      </c>
      <c r="I1385" s="76" t="s">
        <v>936</v>
      </c>
      <c r="J1385" s="77">
        <v>0</v>
      </c>
      <c r="K1385" s="78">
        <v>265.75</v>
      </c>
      <c r="M1385" s="79" t="str">
        <f t="shared" si="65"/>
        <v>440-7410</v>
      </c>
      <c r="N1385" s="79" t="str">
        <f t="shared" si="63"/>
        <v/>
      </c>
      <c r="O1385" s="79" t="str">
        <f t="shared" si="64"/>
        <v>440</v>
      </c>
      <c r="P1385" s="79" t="str">
        <f>IFERROR(VLOOKUP($M1385,Export!$P:$R,2,FALSE),"-")</f>
        <v>Service</v>
      </c>
      <c r="Q1385" s="79" t="str">
        <f>IFERROR(VLOOKUP($M1385,Export!$P:$R,3,FALSE),"-")</f>
        <v>ServiceOther Expenses as % of Sales</v>
      </c>
      <c r="R1385" s="80" t="str" cm="1">
        <f t="array" ref="R1385">_xlfn.IFS(P1385="Service", _xlfn.IFS(I1385="SALES","GP",I1385="SERVICE SALES","GP",I1385="PARTS SALES","GP",I1385="SERVICE COS","GP",I1385="PARTS COS","GP",I1385="SELLING EXPENSES","Selling Expenses",I1385="EMPLOYMENT EXPENSES","Selling Expenses",I1385="EMPLOYMENT EXPENSES","Selling Expenses",I1385="DIRECT EXPENSES","Selling Expenses",I1385="INDIRECT EXPENSES","Selling Expenses"),P1385="Parts",_xlfn.IFS(I1385="SALES","GP",I1385="SERVICE SALES","GP",I1385="PARTS SALES","GP",I1385="SERVICE COS","GP",I1385="PARTS COS","GP",I1385="SELLING EXPENSES","Selling Expenses",I1385="EMPLOYMENT EXPENSES","Selling Expenses",I1385="EMPLOYMENT EXPENSES","Selling Expenses",I1385="DIRECT EXPENSES","Selling Expenses",I1385="INDIRECT EXPENSES","Selling Expenses"))</f>
        <v>Selling Expenses</v>
      </c>
    </row>
    <row r="1386" spans="1:18" x14ac:dyDescent="0.2">
      <c r="A1386" s="75">
        <v>7450</v>
      </c>
      <c r="B1386" s="76" t="s">
        <v>944</v>
      </c>
      <c r="C1386" s="76">
        <v>112</v>
      </c>
      <c r="D1386" s="76" t="s">
        <v>349</v>
      </c>
      <c r="E1386" s="76" t="s">
        <v>426</v>
      </c>
      <c r="F1386" s="77">
        <v>0</v>
      </c>
      <c r="G1386" s="77">
        <v>0</v>
      </c>
      <c r="H1386" s="77">
        <v>0</v>
      </c>
      <c r="I1386" s="76" t="s">
        <v>936</v>
      </c>
      <c r="J1386" s="77">
        <v>300</v>
      </c>
      <c r="K1386" s="78">
        <v>3150</v>
      </c>
      <c r="M1386" s="79" t="str">
        <f t="shared" si="65"/>
        <v>112-7450</v>
      </c>
      <c r="N1386" s="79" t="str">
        <f t="shared" si="63"/>
        <v/>
      </c>
      <c r="O1386" s="79" t="str">
        <f t="shared" si="64"/>
        <v>112</v>
      </c>
      <c r="P1386" s="79" t="str">
        <f>IFERROR(VLOOKUP($M1386,Export!$P:$R,2,FALSE),"-")</f>
        <v>LEX Admin &amp; Other</v>
      </c>
      <c r="Q1386" s="79" t="str">
        <f>IFERROR(VLOOKUP($M1386,Export!$P:$R,3,FALSE),"-")</f>
        <v>LEX Admin &amp; OtherData Processing as % of Total Gross Profit</v>
      </c>
      <c r="R1386" s="80" t="e" cm="1">
        <f t="array" ref="R1386">_xlfn.IFS(P1386="Service", _xlfn.IFS(I1386="SALES","GP",I1386="SERVICE SALES","GP",I1386="PARTS SALES","GP",I1386="SERVICE COS","GP",I1386="PARTS COS","GP",I1386="SELLING EXPENSES","Selling Expenses",I1386="EMPLOYMENT EXPENSES","Selling Expenses",I1386="EMPLOYMENT EXPENSES","Selling Expenses",I1386="DIRECT EXPENSES","Selling Expenses",I1386="INDIRECT EXPENSES","Selling Expenses"),P1386="Parts",_xlfn.IFS(I1386="SALES","GP",I1386="SERVICE SALES","GP",I1386="PARTS SALES","GP",I1386="SERVICE COS","GP",I1386="PARTS COS","GP",I1386="SELLING EXPENSES","Selling Expenses",I1386="EMPLOYMENT EXPENSES","Selling Expenses",I1386="EMPLOYMENT EXPENSES","Selling Expenses",I1386="DIRECT EXPENSES","Selling Expenses",I1386="INDIRECT EXPENSES","Selling Expenses"))</f>
        <v>#N/A</v>
      </c>
    </row>
    <row r="1387" spans="1:18" x14ac:dyDescent="0.2">
      <c r="A1387" s="75">
        <v>7455</v>
      </c>
      <c r="B1387" s="76" t="s">
        <v>945</v>
      </c>
      <c r="C1387" s="76">
        <v>130</v>
      </c>
      <c r="D1387" s="76" t="s">
        <v>432</v>
      </c>
      <c r="E1387" s="76" t="s">
        <v>426</v>
      </c>
      <c r="F1387" s="77">
        <v>3032.75</v>
      </c>
      <c r="G1387" s="77">
        <v>0</v>
      </c>
      <c r="H1387" s="77">
        <v>3032.75</v>
      </c>
      <c r="I1387" s="76" t="s">
        <v>936</v>
      </c>
      <c r="J1387" s="77">
        <v>0</v>
      </c>
      <c r="K1387" s="78">
        <v>195</v>
      </c>
      <c r="M1387" s="79" t="str">
        <f t="shared" si="65"/>
        <v>130-7455</v>
      </c>
      <c r="N1387" s="79" t="str">
        <f t="shared" si="63"/>
        <v/>
      </c>
      <c r="O1387" s="79" t="str">
        <f t="shared" si="64"/>
        <v>130</v>
      </c>
      <c r="P1387" s="79" t="str">
        <f>IFERROR(VLOOKUP($M1387,Export!$P:$R,2,FALSE),"-")</f>
        <v>Admin &amp; Other</v>
      </c>
      <c r="Q1387" s="79" t="str">
        <f>IFERROR(VLOOKUP($M1387,Export!$P:$R,3,FALSE),"-")</f>
        <v>Admin &amp; OtherOther Overheads as % of Total Gross Profit</v>
      </c>
      <c r="R1387" s="80" t="e" cm="1">
        <f t="array" ref="R1387">_xlfn.IFS(P1387="Service", _xlfn.IFS(I1387="SALES","GP",I1387="SERVICE SALES","GP",I1387="PARTS SALES","GP",I1387="SERVICE COS","GP",I1387="PARTS COS","GP",I1387="SELLING EXPENSES","Selling Expenses",I1387="EMPLOYMENT EXPENSES","Selling Expenses",I1387="EMPLOYMENT EXPENSES","Selling Expenses",I1387="DIRECT EXPENSES","Selling Expenses",I1387="INDIRECT EXPENSES","Selling Expenses"),P1387="Parts",_xlfn.IFS(I1387="SALES","GP",I1387="SERVICE SALES","GP",I1387="PARTS SALES","GP",I1387="SERVICE COS","GP",I1387="PARTS COS","GP",I1387="SELLING EXPENSES","Selling Expenses",I1387="EMPLOYMENT EXPENSES","Selling Expenses",I1387="EMPLOYMENT EXPENSES","Selling Expenses",I1387="DIRECT EXPENSES","Selling Expenses",I1387="INDIRECT EXPENSES","Selling Expenses"))</f>
        <v>#N/A</v>
      </c>
    </row>
    <row r="1388" spans="1:18" s="300" customFormat="1" x14ac:dyDescent="0.2">
      <c r="A1388" s="297">
        <v>7455</v>
      </c>
      <c r="B1388" s="298" t="s">
        <v>945</v>
      </c>
      <c r="C1388" s="298">
        <v>140</v>
      </c>
      <c r="D1388" s="298" t="s">
        <v>433</v>
      </c>
      <c r="E1388" s="298" t="s">
        <v>426</v>
      </c>
      <c r="F1388" s="287">
        <v>410</v>
      </c>
      <c r="G1388" s="287">
        <v>0</v>
      </c>
      <c r="H1388" s="287">
        <v>410</v>
      </c>
      <c r="I1388" s="298" t="s">
        <v>936</v>
      </c>
      <c r="J1388" s="287">
        <v>0</v>
      </c>
      <c r="K1388" s="299">
        <v>0</v>
      </c>
      <c r="M1388" s="79" t="str">
        <f t="shared" si="65"/>
        <v>140-7455</v>
      </c>
      <c r="N1388" s="300" t="str">
        <f t="shared" si="63"/>
        <v/>
      </c>
      <c r="O1388" s="300" t="str">
        <f t="shared" si="64"/>
        <v>140</v>
      </c>
      <c r="P1388" s="79" t="str">
        <f>IFERROR(VLOOKUP($M1388,Export!$P:$R,2,FALSE),"-")</f>
        <v>Admin &amp; Other</v>
      </c>
      <c r="Q1388" s="79" t="str">
        <f>IFERROR(VLOOKUP($M1388,Export!$P:$R,3,FALSE),"-")</f>
        <v>Admin &amp; OtherOther Overheads as % of Total Gross Profit</v>
      </c>
      <c r="R1388" s="301" t="e" cm="1">
        <f t="array" ref="R1388">_xlfn.IFS(P1388="Service", _xlfn.IFS(I1388="SALES","GP",I1388="SERVICE SALES","GP",I1388="PARTS SALES","GP",I1388="SERVICE COS","GP",I1388="PARTS COS","GP",I1388="SELLING EXPENSES","Selling Expenses",I1388="EMPLOYMENT EXPENSES","Selling Expenses",I1388="EMPLOYMENT EXPENSES","Selling Expenses",I1388="DIRECT EXPENSES","Selling Expenses",I1388="INDIRECT EXPENSES","Selling Expenses"),P1388="Parts",_xlfn.IFS(I1388="SALES","GP",I1388="SERVICE SALES","GP",I1388="PARTS SALES","GP",I1388="SERVICE COS","GP",I1388="PARTS COS","GP",I1388="SELLING EXPENSES","Selling Expenses",I1388="EMPLOYMENT EXPENSES","Selling Expenses",I1388="EMPLOYMENT EXPENSES","Selling Expenses",I1388="DIRECT EXPENSES","Selling Expenses",I1388="INDIRECT EXPENSES","Selling Expenses"))</f>
        <v>#N/A</v>
      </c>
    </row>
    <row r="1389" spans="1:18" s="300" customFormat="1" x14ac:dyDescent="0.2">
      <c r="A1389" s="297">
        <v>7455</v>
      </c>
      <c r="B1389" s="298" t="s">
        <v>945</v>
      </c>
      <c r="C1389" s="298">
        <v>230</v>
      </c>
      <c r="D1389" s="298" t="s">
        <v>438</v>
      </c>
      <c r="E1389" s="298" t="s">
        <v>426</v>
      </c>
      <c r="F1389" s="287">
        <v>740.42</v>
      </c>
      <c r="G1389" s="287">
        <v>0</v>
      </c>
      <c r="H1389" s="287">
        <v>740.42</v>
      </c>
      <c r="I1389" s="298" t="s">
        <v>936</v>
      </c>
      <c r="J1389" s="287">
        <v>0</v>
      </c>
      <c r="K1389" s="299">
        <v>60</v>
      </c>
      <c r="M1389" s="79" t="str">
        <f t="shared" si="65"/>
        <v>230-7455</v>
      </c>
      <c r="N1389" s="300" t="str">
        <f t="shared" si="63"/>
        <v/>
      </c>
      <c r="O1389" s="300" t="str">
        <f t="shared" si="64"/>
        <v>230</v>
      </c>
      <c r="P1389" s="79" t="str">
        <f>IFERROR(VLOOKUP($M1389,Export!$P:$R,2,FALSE),"-")</f>
        <v>Admin &amp; Other</v>
      </c>
      <c r="Q1389" s="79" t="str">
        <f>IFERROR(VLOOKUP($M1389,Export!$P:$R,3,FALSE),"-")</f>
        <v>Admin &amp; OtherOther Overheads as % of Total Gross Profit</v>
      </c>
      <c r="R1389" s="301" t="e" cm="1">
        <f t="array" ref="R1389">_xlfn.IFS(P1389="Service", _xlfn.IFS(I1389="SALES","GP",I1389="SERVICE SALES","GP",I1389="PARTS SALES","GP",I1389="SERVICE COS","GP",I1389="PARTS COS","GP",I1389="SELLING EXPENSES","Selling Expenses",I1389="EMPLOYMENT EXPENSES","Selling Expenses",I1389="EMPLOYMENT EXPENSES","Selling Expenses",I1389="DIRECT EXPENSES","Selling Expenses",I1389="INDIRECT EXPENSES","Selling Expenses"),P1389="Parts",_xlfn.IFS(I1389="SALES","GP",I1389="SERVICE SALES","GP",I1389="PARTS SALES","GP",I1389="SERVICE COS","GP",I1389="PARTS COS","GP",I1389="SELLING EXPENSES","Selling Expenses",I1389="EMPLOYMENT EXPENSES","Selling Expenses",I1389="EMPLOYMENT EXPENSES","Selling Expenses",I1389="DIRECT EXPENSES","Selling Expenses",I1389="INDIRECT EXPENSES","Selling Expenses"))</f>
        <v>#N/A</v>
      </c>
    </row>
    <row r="1390" spans="1:18" s="300" customFormat="1" x14ac:dyDescent="0.2">
      <c r="A1390" s="297">
        <v>7457</v>
      </c>
      <c r="B1390" s="298" t="s">
        <v>946</v>
      </c>
      <c r="C1390" s="298">
        <v>110</v>
      </c>
      <c r="D1390" s="298" t="s">
        <v>430</v>
      </c>
      <c r="E1390" s="298" t="s">
        <v>426</v>
      </c>
      <c r="F1390" s="287">
        <v>9436.41</v>
      </c>
      <c r="G1390" s="287">
        <v>1289.43</v>
      </c>
      <c r="H1390" s="287">
        <v>10725.84</v>
      </c>
      <c r="I1390" s="298" t="s">
        <v>936</v>
      </c>
      <c r="J1390" s="287">
        <v>100</v>
      </c>
      <c r="K1390" s="299">
        <v>1474.93</v>
      </c>
      <c r="M1390" s="79" t="str">
        <f t="shared" si="65"/>
        <v>110-7457</v>
      </c>
      <c r="N1390" s="300" t="str">
        <f t="shared" si="63"/>
        <v/>
      </c>
      <c r="O1390" s="300" t="str">
        <f t="shared" si="64"/>
        <v>110</v>
      </c>
      <c r="P1390" s="79" t="str">
        <f>IFERROR(VLOOKUP($M1390,Export!$P:$R,2,FALSE),"-")</f>
        <v>New Vehicle</v>
      </c>
      <c r="Q1390" s="79" t="str">
        <f>IFERROR(VLOOKUP($M1390,Export!$P:$R,3,FALSE),"-")</f>
        <v>New VehicleOther Semi-Fixed Expenses p.u</v>
      </c>
      <c r="R1390" s="301" t="e" cm="1">
        <f t="array" ref="R1390">_xlfn.IFS(P1390="Service", _xlfn.IFS(I1390="SALES","GP",I1390="SERVICE SALES","GP",I1390="PARTS SALES","GP",I1390="SERVICE COS","GP",I1390="PARTS COS","GP",I1390="SELLING EXPENSES","Selling Expenses",I1390="EMPLOYMENT EXPENSES","Selling Expenses",I1390="EMPLOYMENT EXPENSES","Selling Expenses",I1390="DIRECT EXPENSES","Selling Expenses",I1390="INDIRECT EXPENSES","Selling Expenses"),P1390="Parts",_xlfn.IFS(I1390="SALES","GP",I1390="SERVICE SALES","GP",I1390="PARTS SALES","GP",I1390="SERVICE COS","GP",I1390="PARTS COS","GP",I1390="SELLING EXPENSES","Selling Expenses",I1390="EMPLOYMENT EXPENSES","Selling Expenses",I1390="EMPLOYMENT EXPENSES","Selling Expenses",I1390="DIRECT EXPENSES","Selling Expenses",I1390="INDIRECT EXPENSES","Selling Expenses"))</f>
        <v>#N/A</v>
      </c>
    </row>
    <row r="1391" spans="1:18" s="300" customFormat="1" x14ac:dyDescent="0.2">
      <c r="A1391" s="297">
        <v>7457</v>
      </c>
      <c r="B1391" s="298" t="s">
        <v>946</v>
      </c>
      <c r="C1391" s="298">
        <v>112</v>
      </c>
      <c r="D1391" s="298" t="s">
        <v>349</v>
      </c>
      <c r="E1391" s="298" t="s">
        <v>426</v>
      </c>
      <c r="F1391" s="287">
        <v>6926.9</v>
      </c>
      <c r="G1391" s="287">
        <v>1148.03</v>
      </c>
      <c r="H1391" s="287">
        <v>8074.93</v>
      </c>
      <c r="I1391" s="298" t="s">
        <v>936</v>
      </c>
      <c r="J1391" s="287">
        <v>1100</v>
      </c>
      <c r="K1391" s="299">
        <v>11240.37</v>
      </c>
      <c r="M1391" s="79" t="str">
        <f t="shared" si="65"/>
        <v>112-7457</v>
      </c>
      <c r="N1391" s="300" t="str">
        <f t="shared" si="63"/>
        <v/>
      </c>
      <c r="O1391" s="300" t="str">
        <f t="shared" si="64"/>
        <v>112</v>
      </c>
      <c r="P1391" s="79" t="str">
        <f>IFERROR(VLOOKUP($M1391,Export!$P:$R,2,FALSE),"-")</f>
        <v>LEX New Vehicle</v>
      </c>
      <c r="Q1391" s="79" t="str">
        <f>IFERROR(VLOOKUP($M1391,Export!$P:$R,3,FALSE),"-")</f>
        <v>LEX New VehicleOther Semi-Fixed Expenses p.u</v>
      </c>
      <c r="R1391" s="301" t="e" cm="1">
        <f t="array" ref="R1391">_xlfn.IFS(P1391="Service", _xlfn.IFS(I1391="SALES","GP",I1391="SERVICE SALES","GP",I1391="PARTS SALES","GP",I1391="SERVICE COS","GP",I1391="PARTS COS","GP",I1391="SELLING EXPENSES","Selling Expenses",I1391="EMPLOYMENT EXPENSES","Selling Expenses",I1391="EMPLOYMENT EXPENSES","Selling Expenses",I1391="DIRECT EXPENSES","Selling Expenses",I1391="INDIRECT EXPENSES","Selling Expenses"),P1391="Parts",_xlfn.IFS(I1391="SALES","GP",I1391="SERVICE SALES","GP",I1391="PARTS SALES","GP",I1391="SERVICE COS","GP",I1391="PARTS COS","GP",I1391="SELLING EXPENSES","Selling Expenses",I1391="EMPLOYMENT EXPENSES","Selling Expenses",I1391="EMPLOYMENT EXPENSES","Selling Expenses",I1391="DIRECT EXPENSES","Selling Expenses",I1391="INDIRECT EXPENSES","Selling Expenses"))</f>
        <v>#N/A</v>
      </c>
    </row>
    <row r="1392" spans="1:18" x14ac:dyDescent="0.2">
      <c r="A1392" s="75">
        <v>7457</v>
      </c>
      <c r="B1392" s="76" t="s">
        <v>946</v>
      </c>
      <c r="C1392" s="76">
        <v>120</v>
      </c>
      <c r="D1392" s="76" t="s">
        <v>431</v>
      </c>
      <c r="E1392" s="76" t="s">
        <v>426</v>
      </c>
      <c r="F1392" s="77">
        <v>3144.24</v>
      </c>
      <c r="G1392" s="77">
        <v>99.48</v>
      </c>
      <c r="H1392" s="77">
        <v>3243.72</v>
      </c>
      <c r="I1392" s="76" t="s">
        <v>936</v>
      </c>
      <c r="J1392" s="77">
        <v>100</v>
      </c>
      <c r="K1392" s="78">
        <v>949.63</v>
      </c>
      <c r="M1392" s="79" t="str">
        <f t="shared" si="65"/>
        <v>120-7457</v>
      </c>
      <c r="N1392" s="79" t="str">
        <f t="shared" si="63"/>
        <v/>
      </c>
      <c r="O1392" s="79" t="str">
        <f t="shared" si="64"/>
        <v>120</v>
      </c>
      <c r="P1392" s="79" t="str">
        <f>IFERROR(VLOOKUP($M1392,Export!$P:$R,2,FALSE),"-")</f>
        <v>Used Vehicle</v>
      </c>
      <c r="Q1392" s="79" t="str">
        <f>IFERROR(VLOOKUP($M1392,Export!$P:$R,3,FALSE),"-")</f>
        <v>Used VehicleOther Semi-Fixed expenses per retail</v>
      </c>
      <c r="R1392" s="80" t="e" cm="1">
        <f t="array" ref="R1392">_xlfn.IFS(P1392="Service", _xlfn.IFS(I1392="SALES","GP",I1392="SERVICE SALES","GP",I1392="PARTS SALES","GP",I1392="SERVICE COS","GP",I1392="PARTS COS","GP",I1392="SELLING EXPENSES","Selling Expenses",I1392="EMPLOYMENT EXPENSES","Selling Expenses",I1392="EMPLOYMENT EXPENSES","Selling Expenses",I1392="DIRECT EXPENSES","Selling Expenses",I1392="INDIRECT EXPENSES","Selling Expenses"),P1392="Parts",_xlfn.IFS(I1392="SALES","GP",I1392="SERVICE SALES","GP",I1392="PARTS SALES","GP",I1392="SERVICE COS","GP",I1392="PARTS COS","GP",I1392="SELLING EXPENSES","Selling Expenses",I1392="EMPLOYMENT EXPENSES","Selling Expenses",I1392="EMPLOYMENT EXPENSES","Selling Expenses",I1392="DIRECT EXPENSES","Selling Expenses",I1392="INDIRECT EXPENSES","Selling Expenses"))</f>
        <v>#N/A</v>
      </c>
    </row>
    <row r="1393" spans="1:18" s="300" customFormat="1" x14ac:dyDescent="0.2">
      <c r="A1393" s="297">
        <v>7457</v>
      </c>
      <c r="B1393" s="298" t="s">
        <v>946</v>
      </c>
      <c r="C1393" s="298">
        <v>121</v>
      </c>
      <c r="D1393" s="298" t="s">
        <v>449</v>
      </c>
      <c r="E1393" s="298" t="s">
        <v>426</v>
      </c>
      <c r="F1393" s="287">
        <v>0</v>
      </c>
      <c r="G1393" s="287">
        <v>0</v>
      </c>
      <c r="H1393" s="287">
        <v>0</v>
      </c>
      <c r="I1393" s="298" t="s">
        <v>936</v>
      </c>
      <c r="J1393" s="287">
        <v>100</v>
      </c>
      <c r="K1393" s="299">
        <v>1359.92</v>
      </c>
      <c r="M1393" s="79" t="str">
        <f t="shared" si="65"/>
        <v>121-7457</v>
      </c>
      <c r="N1393" s="300" t="str">
        <f t="shared" si="63"/>
        <v/>
      </c>
      <c r="O1393" s="300" t="str">
        <f t="shared" si="64"/>
        <v>121</v>
      </c>
      <c r="P1393" s="79" t="str">
        <f>IFERROR(VLOOKUP($M1393,Export!$P:$R,2,FALSE),"-")</f>
        <v>Used Vehicle</v>
      </c>
      <c r="Q1393" s="79" t="str">
        <f>IFERROR(VLOOKUP($M1393,Export!$P:$R,3,FALSE),"-")</f>
        <v>Used VehicleOther Semi-Fixed expenses per retail</v>
      </c>
      <c r="R1393" s="301" t="e" cm="1">
        <f t="array" ref="R1393">_xlfn.IFS(P1393="Service", _xlfn.IFS(I1393="SALES","GP",I1393="SERVICE SALES","GP",I1393="PARTS SALES","GP",I1393="SERVICE COS","GP",I1393="PARTS COS","GP",I1393="SELLING EXPENSES","Selling Expenses",I1393="EMPLOYMENT EXPENSES","Selling Expenses",I1393="EMPLOYMENT EXPENSES","Selling Expenses",I1393="DIRECT EXPENSES","Selling Expenses",I1393="INDIRECT EXPENSES","Selling Expenses"),P1393="Parts",_xlfn.IFS(I1393="SALES","GP",I1393="SERVICE SALES","GP",I1393="PARTS SALES","GP",I1393="SERVICE COS","GP",I1393="PARTS COS","GP",I1393="SELLING EXPENSES","Selling Expenses",I1393="EMPLOYMENT EXPENSES","Selling Expenses",I1393="EMPLOYMENT EXPENSES","Selling Expenses",I1393="DIRECT EXPENSES","Selling Expenses",I1393="INDIRECT EXPENSES","Selling Expenses"))</f>
        <v>#N/A</v>
      </c>
    </row>
    <row r="1394" spans="1:18" x14ac:dyDescent="0.2">
      <c r="A1394" s="75">
        <v>7457</v>
      </c>
      <c r="B1394" s="76" t="s">
        <v>946</v>
      </c>
      <c r="C1394" s="76">
        <v>130</v>
      </c>
      <c r="D1394" s="76" t="s">
        <v>432</v>
      </c>
      <c r="E1394" s="76" t="s">
        <v>426</v>
      </c>
      <c r="F1394" s="77">
        <v>3161.64</v>
      </c>
      <c r="G1394" s="77">
        <v>96.64</v>
      </c>
      <c r="H1394" s="77">
        <v>3258.28</v>
      </c>
      <c r="I1394" s="76" t="s">
        <v>936</v>
      </c>
      <c r="J1394" s="77">
        <v>100</v>
      </c>
      <c r="K1394" s="78">
        <v>1295.03</v>
      </c>
      <c r="M1394" s="79" t="str">
        <f t="shared" si="65"/>
        <v>130-7457</v>
      </c>
      <c r="N1394" s="79" t="str">
        <f t="shared" si="63"/>
        <v/>
      </c>
      <c r="O1394" s="79" t="str">
        <f t="shared" si="64"/>
        <v>130</v>
      </c>
      <c r="P1394" s="79" t="str">
        <f>IFERROR(VLOOKUP($M1394,Export!$P:$R,2,FALSE),"-")</f>
        <v>Parts</v>
      </c>
      <c r="Q1394" s="79" t="str">
        <f>IFERROR(VLOOKUP($M1394,Export!$P:$R,3,FALSE),"-")</f>
        <v>PartsOther Expenses as % of Sales</v>
      </c>
      <c r="R1394" s="80" t="str" cm="1">
        <f t="array" ref="R1394">_xlfn.IFS(P1394="Service", _xlfn.IFS(I1394="SALES","GP",I1394="SERVICE SALES","GP",I1394="PARTS SALES","GP",I1394="SERVICE COS","GP",I1394="PARTS COS","GP",I1394="SELLING EXPENSES","Selling Expenses",I1394="EMPLOYMENT EXPENSES","Selling Expenses",I1394="EMPLOYMENT EXPENSES","Selling Expenses",I1394="DIRECT EXPENSES","Selling Expenses",I1394="INDIRECT EXPENSES","Selling Expenses"),P1394="Parts",_xlfn.IFS(I1394="SALES","GP",I1394="SERVICE SALES","GP",I1394="PARTS SALES","GP",I1394="SERVICE COS","GP",I1394="PARTS COS","GP",I1394="SELLING EXPENSES","Selling Expenses",I1394="EMPLOYMENT EXPENSES","Selling Expenses",I1394="EMPLOYMENT EXPENSES","Selling Expenses",I1394="DIRECT EXPENSES","Selling Expenses",I1394="INDIRECT EXPENSES","Selling Expenses"))</f>
        <v>Selling Expenses</v>
      </c>
    </row>
    <row r="1395" spans="1:18" s="300" customFormat="1" x14ac:dyDescent="0.2">
      <c r="A1395" s="297">
        <v>7457</v>
      </c>
      <c r="B1395" s="298" t="s">
        <v>946</v>
      </c>
      <c r="C1395" s="298">
        <v>140</v>
      </c>
      <c r="D1395" s="298" t="s">
        <v>433</v>
      </c>
      <c r="E1395" s="298" t="s">
        <v>426</v>
      </c>
      <c r="F1395" s="287">
        <v>11036.9</v>
      </c>
      <c r="G1395" s="287">
        <v>356.65</v>
      </c>
      <c r="H1395" s="287">
        <v>11393.55</v>
      </c>
      <c r="I1395" s="298" t="s">
        <v>936</v>
      </c>
      <c r="J1395" s="287">
        <v>500</v>
      </c>
      <c r="K1395" s="299">
        <v>-22061.66</v>
      </c>
      <c r="M1395" s="79" t="str">
        <f t="shared" si="65"/>
        <v>140-7457</v>
      </c>
      <c r="N1395" s="300" t="str">
        <f t="shared" si="63"/>
        <v/>
      </c>
      <c r="O1395" s="300" t="str">
        <f t="shared" si="64"/>
        <v>140</v>
      </c>
      <c r="P1395" s="79" t="str">
        <f>IFERROR(VLOOKUP($M1395,Export!$P:$R,2,FALSE),"-")</f>
        <v>Service</v>
      </c>
      <c r="Q1395" s="79" t="str">
        <f>IFERROR(VLOOKUP($M1395,Export!$P:$R,3,FALSE),"-")</f>
        <v>ServiceOther Expenses as % of Sales</v>
      </c>
      <c r="R1395" s="301" t="str" cm="1">
        <f t="array" ref="R1395">_xlfn.IFS(P1395="Service", _xlfn.IFS(I1395="SALES","GP",I1395="SERVICE SALES","GP",I1395="PARTS SALES","GP",I1395="SERVICE COS","GP",I1395="PARTS COS","GP",I1395="SELLING EXPENSES","Selling Expenses",I1395="EMPLOYMENT EXPENSES","Selling Expenses",I1395="EMPLOYMENT EXPENSES","Selling Expenses",I1395="DIRECT EXPENSES","Selling Expenses",I1395="INDIRECT EXPENSES","Selling Expenses"),P1395="Parts",_xlfn.IFS(I1395="SALES","GP",I1395="SERVICE SALES","GP",I1395="PARTS SALES","GP",I1395="SERVICE COS","GP",I1395="PARTS COS","GP",I1395="SELLING EXPENSES","Selling Expenses",I1395="EMPLOYMENT EXPENSES","Selling Expenses",I1395="EMPLOYMENT EXPENSES","Selling Expenses",I1395="DIRECT EXPENSES","Selling Expenses",I1395="INDIRECT EXPENSES","Selling Expenses"))</f>
        <v>Selling Expenses</v>
      </c>
    </row>
    <row r="1396" spans="1:18" s="300" customFormat="1" x14ac:dyDescent="0.2">
      <c r="A1396" s="297">
        <v>7457</v>
      </c>
      <c r="B1396" s="298" t="s">
        <v>946</v>
      </c>
      <c r="C1396" s="298">
        <v>142</v>
      </c>
      <c r="D1396" s="298" t="s">
        <v>454</v>
      </c>
      <c r="E1396" s="298" t="s">
        <v>426</v>
      </c>
      <c r="F1396" s="287">
        <v>1537.58</v>
      </c>
      <c r="G1396" s="287">
        <v>0</v>
      </c>
      <c r="H1396" s="287">
        <v>1537.58</v>
      </c>
      <c r="I1396" s="298" t="s">
        <v>936</v>
      </c>
      <c r="J1396" s="287">
        <v>0</v>
      </c>
      <c r="K1396" s="299">
        <v>0</v>
      </c>
      <c r="M1396" s="79" t="str">
        <f t="shared" si="65"/>
        <v>142-7457</v>
      </c>
      <c r="N1396" s="300" t="str">
        <f t="shared" si="63"/>
        <v/>
      </c>
      <c r="O1396" s="300" t="str">
        <f t="shared" si="64"/>
        <v>142</v>
      </c>
      <c r="P1396" s="79" t="str">
        <f>IFERROR(VLOOKUP($M1396,Export!$P:$R,2,FALSE),"-")</f>
        <v>Lex Service</v>
      </c>
      <c r="Q1396" s="79" t="str">
        <f>IFERROR(VLOOKUP($M1396,Export!$P:$R,3,FALSE),"-")</f>
        <v>Lex ServiceOther Expenses as % of Sales</v>
      </c>
      <c r="R1396" s="301" t="e" cm="1">
        <f t="array" ref="R1396">_xlfn.IFS(P1396="Service", _xlfn.IFS(I1396="SALES","GP",I1396="SERVICE SALES","GP",I1396="PARTS SALES","GP",I1396="SERVICE COS","GP",I1396="PARTS COS","GP",I1396="SELLING EXPENSES","Selling Expenses",I1396="EMPLOYMENT EXPENSES","Selling Expenses",I1396="EMPLOYMENT EXPENSES","Selling Expenses",I1396="DIRECT EXPENSES","Selling Expenses",I1396="INDIRECT EXPENSES","Selling Expenses"),P1396="Parts",_xlfn.IFS(I1396="SALES","GP",I1396="SERVICE SALES","GP",I1396="PARTS SALES","GP",I1396="SERVICE COS","GP",I1396="PARTS COS","GP",I1396="SELLING EXPENSES","Selling Expenses",I1396="EMPLOYMENT EXPENSES","Selling Expenses",I1396="EMPLOYMENT EXPENSES","Selling Expenses",I1396="DIRECT EXPENSES","Selling Expenses",I1396="INDIRECT EXPENSES","Selling Expenses"))</f>
        <v>#N/A</v>
      </c>
    </row>
    <row r="1397" spans="1:18" s="300" customFormat="1" x14ac:dyDescent="0.2">
      <c r="A1397" s="297">
        <v>7457</v>
      </c>
      <c r="B1397" s="298" t="s">
        <v>946</v>
      </c>
      <c r="C1397" s="298">
        <v>147</v>
      </c>
      <c r="D1397" s="298" t="s">
        <v>699</v>
      </c>
      <c r="E1397" s="298" t="s">
        <v>426</v>
      </c>
      <c r="F1397" s="287">
        <v>0</v>
      </c>
      <c r="G1397" s="287">
        <v>0</v>
      </c>
      <c r="H1397" s="287">
        <v>0</v>
      </c>
      <c r="I1397" s="298" t="s">
        <v>936</v>
      </c>
      <c r="J1397" s="287">
        <v>0</v>
      </c>
      <c r="K1397" s="299">
        <v>272.60000000000002</v>
      </c>
      <c r="M1397" s="79" t="str">
        <f t="shared" si="65"/>
        <v>147-7457</v>
      </c>
      <c r="N1397" s="300" t="str">
        <f t="shared" si="63"/>
        <v/>
      </c>
      <c r="O1397" s="300" t="str">
        <f t="shared" si="64"/>
        <v>147</v>
      </c>
      <c r="P1397" s="79" t="str">
        <f>IFERROR(VLOOKUP($M1397,Export!$P:$R,2,FALSE),"-")</f>
        <v>Service</v>
      </c>
      <c r="Q1397" s="79" t="str">
        <f>IFERROR(VLOOKUP($M1397,Export!$P:$R,3,FALSE),"-")</f>
        <v>ServiceOther Expenses as % of Sales</v>
      </c>
      <c r="R1397" s="301" t="str" cm="1">
        <f t="array" ref="R1397">_xlfn.IFS(P1397="Service", _xlfn.IFS(I1397="SALES","GP",I1397="SERVICE SALES","GP",I1397="PARTS SALES","GP",I1397="SERVICE COS","GP",I1397="PARTS COS","GP",I1397="SELLING EXPENSES","Selling Expenses",I1397="EMPLOYMENT EXPENSES","Selling Expenses",I1397="EMPLOYMENT EXPENSES","Selling Expenses",I1397="DIRECT EXPENSES","Selling Expenses",I1397="INDIRECT EXPENSES","Selling Expenses"),P1397="Parts",_xlfn.IFS(I1397="SALES","GP",I1397="SERVICE SALES","GP",I1397="PARTS SALES","GP",I1397="SERVICE COS","GP",I1397="PARTS COS","GP",I1397="SELLING EXPENSES","Selling Expenses",I1397="EMPLOYMENT EXPENSES","Selling Expenses",I1397="EMPLOYMENT EXPENSES","Selling Expenses",I1397="DIRECT EXPENSES","Selling Expenses",I1397="INDIRECT EXPENSES","Selling Expenses"))</f>
        <v>Selling Expenses</v>
      </c>
    </row>
    <row r="1398" spans="1:18" x14ac:dyDescent="0.2">
      <c r="A1398" s="75">
        <v>7457</v>
      </c>
      <c r="B1398" s="76" t="s">
        <v>946</v>
      </c>
      <c r="C1398" s="76">
        <v>160</v>
      </c>
      <c r="D1398" s="76" t="s">
        <v>434</v>
      </c>
      <c r="E1398" s="76" t="s">
        <v>426</v>
      </c>
      <c r="F1398" s="77">
        <v>663.08</v>
      </c>
      <c r="G1398" s="77">
        <v>3.42</v>
      </c>
      <c r="H1398" s="77">
        <v>666.5</v>
      </c>
      <c r="I1398" s="76" t="s">
        <v>936</v>
      </c>
      <c r="J1398" s="77">
        <v>0</v>
      </c>
      <c r="K1398" s="78">
        <v>146.15</v>
      </c>
      <c r="M1398" s="79" t="str">
        <f t="shared" si="65"/>
        <v>160-7457</v>
      </c>
      <c r="N1398" s="79" t="str">
        <f t="shared" si="63"/>
        <v/>
      </c>
      <c r="O1398" s="79" t="str">
        <f t="shared" si="64"/>
        <v>160</v>
      </c>
      <c r="P1398" s="79" t="str">
        <f>IFERROR(VLOOKUP($M1398,Export!$P:$R,2,FALSE),"-")</f>
        <v>F&amp;I</v>
      </c>
      <c r="Q1398" s="79" t="str">
        <f>IFERROR(VLOOKUP($M1398,Export!$P:$R,3,FALSE),"-")</f>
        <v>F&amp;IOther Expenses per vehicle retailed</v>
      </c>
      <c r="R1398" s="80" t="e" cm="1">
        <f t="array" ref="R1398">_xlfn.IFS(P1398="Service", _xlfn.IFS(I1398="SALES","GP",I1398="SERVICE SALES","GP",I1398="PARTS SALES","GP",I1398="SERVICE COS","GP",I1398="PARTS COS","GP",I1398="SELLING EXPENSES","Selling Expenses",I1398="EMPLOYMENT EXPENSES","Selling Expenses",I1398="EMPLOYMENT EXPENSES","Selling Expenses",I1398="DIRECT EXPENSES","Selling Expenses",I1398="INDIRECT EXPENSES","Selling Expenses"),P1398="Parts",_xlfn.IFS(I1398="SALES","GP",I1398="SERVICE SALES","GP",I1398="PARTS SALES","GP",I1398="SERVICE COS","GP",I1398="PARTS COS","GP",I1398="SELLING EXPENSES","Selling Expenses",I1398="EMPLOYMENT EXPENSES","Selling Expenses",I1398="EMPLOYMENT EXPENSES","Selling Expenses",I1398="DIRECT EXPENSES","Selling Expenses",I1398="INDIRECT EXPENSES","Selling Expenses"))</f>
        <v>#N/A</v>
      </c>
    </row>
    <row r="1399" spans="1:18" x14ac:dyDescent="0.2">
      <c r="A1399" s="75">
        <v>7457</v>
      </c>
      <c r="B1399" s="76" t="s">
        <v>946</v>
      </c>
      <c r="C1399" s="76">
        <v>190</v>
      </c>
      <c r="D1399" s="76" t="s">
        <v>435</v>
      </c>
      <c r="E1399" s="76" t="s">
        <v>426</v>
      </c>
      <c r="F1399" s="77">
        <v>2308.5500000000002</v>
      </c>
      <c r="G1399" s="77">
        <v>380.43</v>
      </c>
      <c r="H1399" s="77">
        <v>2688.98</v>
      </c>
      <c r="I1399" s="76" t="s">
        <v>936</v>
      </c>
      <c r="J1399" s="77">
        <v>0</v>
      </c>
      <c r="K1399" s="78">
        <v>0</v>
      </c>
      <c r="M1399" s="79" t="str">
        <f t="shared" si="65"/>
        <v>190-7457</v>
      </c>
      <c r="N1399" s="79" t="str">
        <f t="shared" si="63"/>
        <v/>
      </c>
      <c r="O1399" s="79" t="str">
        <f t="shared" si="64"/>
        <v>190</v>
      </c>
      <c r="P1399" s="79" t="str">
        <f>IFERROR(VLOOKUP($M1399,Export!$P:$R,2,FALSE),"-")</f>
        <v>Admin &amp; Other</v>
      </c>
      <c r="Q1399" s="79" t="str">
        <f>IFERROR(VLOOKUP($M1399,Export!$P:$R,3,FALSE),"-")</f>
        <v>Admin &amp; OtherOther Overheads as % of Total Gross Profit</v>
      </c>
      <c r="R1399" s="80" t="e" cm="1">
        <f t="array" ref="R1399">_xlfn.IFS(P1399="Service", _xlfn.IFS(I1399="SALES","GP",I1399="SERVICE SALES","GP",I1399="PARTS SALES","GP",I1399="SERVICE COS","GP",I1399="PARTS COS","GP",I1399="SELLING EXPENSES","Selling Expenses",I1399="EMPLOYMENT EXPENSES","Selling Expenses",I1399="EMPLOYMENT EXPENSES","Selling Expenses",I1399="DIRECT EXPENSES","Selling Expenses",I1399="INDIRECT EXPENSES","Selling Expenses"),P1399="Parts",_xlfn.IFS(I1399="SALES","GP",I1399="SERVICE SALES","GP",I1399="PARTS SALES","GP",I1399="SERVICE COS","GP",I1399="PARTS COS","GP",I1399="SELLING EXPENSES","Selling Expenses",I1399="EMPLOYMENT EXPENSES","Selling Expenses",I1399="EMPLOYMENT EXPENSES","Selling Expenses",I1399="DIRECT EXPENSES","Selling Expenses",I1399="INDIRECT EXPENSES","Selling Expenses"))</f>
        <v>#N/A</v>
      </c>
    </row>
    <row r="1400" spans="1:18" x14ac:dyDescent="0.2">
      <c r="A1400" s="75">
        <v>7457</v>
      </c>
      <c r="B1400" s="76" t="s">
        <v>946</v>
      </c>
      <c r="C1400" s="76">
        <v>210</v>
      </c>
      <c r="D1400" s="76" t="s">
        <v>436</v>
      </c>
      <c r="E1400" s="76" t="s">
        <v>426</v>
      </c>
      <c r="F1400" s="77">
        <v>3698.53</v>
      </c>
      <c r="G1400" s="77">
        <v>356.8</v>
      </c>
      <c r="H1400" s="77">
        <v>4055.33</v>
      </c>
      <c r="I1400" s="76" t="s">
        <v>936</v>
      </c>
      <c r="J1400" s="77">
        <v>100</v>
      </c>
      <c r="K1400" s="78">
        <v>918.7</v>
      </c>
      <c r="M1400" s="79" t="str">
        <f t="shared" si="65"/>
        <v>210-7457</v>
      </c>
      <c r="N1400" s="79" t="str">
        <f t="shared" si="63"/>
        <v/>
      </c>
      <c r="O1400" s="79" t="str">
        <f t="shared" si="64"/>
        <v>210</v>
      </c>
      <c r="P1400" s="79" t="str">
        <f>IFERROR(VLOOKUP($M1400,Export!$P:$R,2,FALSE),"-")</f>
        <v>Used Vehicle</v>
      </c>
      <c r="Q1400" s="79" t="str">
        <f>IFERROR(VLOOKUP($M1400,Export!$P:$R,3,FALSE),"-")</f>
        <v>Used VehicleOther Semi-Fixed expenses per retail</v>
      </c>
      <c r="R1400" s="80" t="e" cm="1">
        <f t="array" ref="R1400">_xlfn.IFS(P1400="Service", _xlfn.IFS(I1400="SALES","GP",I1400="SERVICE SALES","GP",I1400="PARTS SALES","GP",I1400="SERVICE COS","GP",I1400="PARTS COS","GP",I1400="SELLING EXPENSES","Selling Expenses",I1400="EMPLOYMENT EXPENSES","Selling Expenses",I1400="EMPLOYMENT EXPENSES","Selling Expenses",I1400="DIRECT EXPENSES","Selling Expenses",I1400="INDIRECT EXPENSES","Selling Expenses"),P1400="Parts",_xlfn.IFS(I1400="SALES","GP",I1400="SERVICE SALES","GP",I1400="PARTS SALES","GP",I1400="SERVICE COS","GP",I1400="PARTS COS","GP",I1400="SELLING EXPENSES","Selling Expenses",I1400="EMPLOYMENT EXPENSES","Selling Expenses",I1400="EMPLOYMENT EXPENSES","Selling Expenses",I1400="DIRECT EXPENSES","Selling Expenses",I1400="INDIRECT EXPENSES","Selling Expenses"))</f>
        <v>#N/A</v>
      </c>
    </row>
    <row r="1401" spans="1:18" x14ac:dyDescent="0.2">
      <c r="A1401" s="75">
        <v>7457</v>
      </c>
      <c r="B1401" s="76" t="s">
        <v>946</v>
      </c>
      <c r="C1401" s="76">
        <v>220</v>
      </c>
      <c r="D1401" s="76" t="s">
        <v>437</v>
      </c>
      <c r="E1401" s="76" t="s">
        <v>426</v>
      </c>
      <c r="F1401" s="77">
        <v>3306.2</v>
      </c>
      <c r="G1401" s="77">
        <v>356.8</v>
      </c>
      <c r="H1401" s="77">
        <v>3663</v>
      </c>
      <c r="I1401" s="76" t="s">
        <v>936</v>
      </c>
      <c r="J1401" s="77">
        <v>0</v>
      </c>
      <c r="K1401" s="78">
        <v>189.19</v>
      </c>
      <c r="M1401" s="79" t="str">
        <f t="shared" si="65"/>
        <v>220-7457</v>
      </c>
      <c r="N1401" s="79" t="str">
        <f t="shared" si="63"/>
        <v/>
      </c>
      <c r="O1401" s="79" t="str">
        <f t="shared" si="64"/>
        <v>220</v>
      </c>
      <c r="P1401" s="79" t="str">
        <f>IFERROR(VLOOKUP($M1401,Export!$P:$R,2,FALSE),"-")</f>
        <v>Used Vehicle</v>
      </c>
      <c r="Q1401" s="79" t="str">
        <f>IFERROR(VLOOKUP($M1401,Export!$P:$R,3,FALSE),"-")</f>
        <v>Used VehicleOther Semi-Fixed expenses per retail</v>
      </c>
      <c r="R1401" s="80" t="e" cm="1">
        <f t="array" ref="R1401">_xlfn.IFS(P1401="Service", _xlfn.IFS(I1401="SALES","GP",I1401="SERVICE SALES","GP",I1401="PARTS SALES","GP",I1401="SERVICE COS","GP",I1401="PARTS COS","GP",I1401="SELLING EXPENSES","Selling Expenses",I1401="EMPLOYMENT EXPENSES","Selling Expenses",I1401="EMPLOYMENT EXPENSES","Selling Expenses",I1401="DIRECT EXPENSES","Selling Expenses",I1401="INDIRECT EXPENSES","Selling Expenses"),P1401="Parts",_xlfn.IFS(I1401="SALES","GP",I1401="SERVICE SALES","GP",I1401="PARTS SALES","GP",I1401="SERVICE COS","GP",I1401="PARTS COS","GP",I1401="SELLING EXPENSES","Selling Expenses",I1401="EMPLOYMENT EXPENSES","Selling Expenses",I1401="EMPLOYMENT EXPENSES","Selling Expenses",I1401="DIRECT EXPENSES","Selling Expenses",I1401="INDIRECT EXPENSES","Selling Expenses"))</f>
        <v>#N/A</v>
      </c>
    </row>
    <row r="1402" spans="1:18" x14ac:dyDescent="0.2">
      <c r="A1402" s="75">
        <v>7457</v>
      </c>
      <c r="B1402" s="76" t="s">
        <v>946</v>
      </c>
      <c r="C1402" s="76">
        <v>230</v>
      </c>
      <c r="D1402" s="76" t="s">
        <v>438</v>
      </c>
      <c r="E1402" s="76" t="s">
        <v>426</v>
      </c>
      <c r="F1402" s="77">
        <v>3733.5</v>
      </c>
      <c r="G1402" s="77">
        <v>356.8</v>
      </c>
      <c r="H1402" s="77">
        <v>4090.3</v>
      </c>
      <c r="I1402" s="76" t="s">
        <v>936</v>
      </c>
      <c r="J1402" s="77">
        <v>100</v>
      </c>
      <c r="K1402" s="78">
        <v>950.3</v>
      </c>
      <c r="M1402" s="79" t="str">
        <f t="shared" si="65"/>
        <v>230-7457</v>
      </c>
      <c r="N1402" s="79" t="str">
        <f t="shared" si="63"/>
        <v/>
      </c>
      <c r="O1402" s="79" t="str">
        <f t="shared" si="64"/>
        <v>230</v>
      </c>
      <c r="P1402" s="79" t="str">
        <f>IFERROR(VLOOKUP($M1402,Export!$P:$R,2,FALSE),"-")</f>
        <v>Parts</v>
      </c>
      <c r="Q1402" s="79" t="str">
        <f>IFERROR(VLOOKUP($M1402,Export!$P:$R,3,FALSE),"-")</f>
        <v>PartsOther Expenses as % of Sales</v>
      </c>
      <c r="R1402" s="80" t="str" cm="1">
        <f t="array" ref="R1402">_xlfn.IFS(P1402="Service", _xlfn.IFS(I1402="SALES","GP",I1402="SERVICE SALES","GP",I1402="PARTS SALES","GP",I1402="SERVICE COS","GP",I1402="PARTS COS","GP",I1402="SELLING EXPENSES","Selling Expenses",I1402="EMPLOYMENT EXPENSES","Selling Expenses",I1402="EMPLOYMENT EXPENSES","Selling Expenses",I1402="DIRECT EXPENSES","Selling Expenses",I1402="INDIRECT EXPENSES","Selling Expenses"),P1402="Parts",_xlfn.IFS(I1402="SALES","GP",I1402="SERVICE SALES","GP",I1402="PARTS SALES","GP",I1402="SERVICE COS","GP",I1402="PARTS COS","GP",I1402="SELLING EXPENSES","Selling Expenses",I1402="EMPLOYMENT EXPENSES","Selling Expenses",I1402="EMPLOYMENT EXPENSES","Selling Expenses",I1402="DIRECT EXPENSES","Selling Expenses",I1402="INDIRECT EXPENSES","Selling Expenses"))</f>
        <v>Selling Expenses</v>
      </c>
    </row>
    <row r="1403" spans="1:18" x14ac:dyDescent="0.2">
      <c r="A1403" s="75">
        <v>7457</v>
      </c>
      <c r="B1403" s="76" t="s">
        <v>946</v>
      </c>
      <c r="C1403" s="76">
        <v>240</v>
      </c>
      <c r="D1403" s="76" t="s">
        <v>439</v>
      </c>
      <c r="E1403" s="76" t="s">
        <v>426</v>
      </c>
      <c r="F1403" s="77">
        <v>50049.01</v>
      </c>
      <c r="G1403" s="77">
        <v>364.63</v>
      </c>
      <c r="H1403" s="77">
        <v>50413.64</v>
      </c>
      <c r="I1403" s="76" t="s">
        <v>936</v>
      </c>
      <c r="J1403" s="77">
        <v>200</v>
      </c>
      <c r="K1403" s="78">
        <v>1599.78</v>
      </c>
      <c r="M1403" s="79" t="str">
        <f t="shared" si="65"/>
        <v>240-7457</v>
      </c>
      <c r="N1403" s="79" t="str">
        <f t="shared" si="63"/>
        <v/>
      </c>
      <c r="O1403" s="79" t="str">
        <f t="shared" si="64"/>
        <v>240</v>
      </c>
      <c r="P1403" s="79" t="str">
        <f>IFERROR(VLOOKUP($M1403,Export!$P:$R,2,FALSE),"-")</f>
        <v>Service</v>
      </c>
      <c r="Q1403" s="79" t="str">
        <f>IFERROR(VLOOKUP($M1403,Export!$P:$R,3,FALSE),"-")</f>
        <v>ServiceOther Expenses as % of Sales</v>
      </c>
      <c r="R1403" s="80" t="str" cm="1">
        <f t="array" ref="R1403">_xlfn.IFS(P1403="Service", _xlfn.IFS(I1403="SALES","GP",I1403="SERVICE SALES","GP",I1403="PARTS SALES","GP",I1403="SERVICE COS","GP",I1403="PARTS COS","GP",I1403="SELLING EXPENSES","Selling Expenses",I1403="EMPLOYMENT EXPENSES","Selling Expenses",I1403="EMPLOYMENT EXPENSES","Selling Expenses",I1403="DIRECT EXPENSES","Selling Expenses",I1403="INDIRECT EXPENSES","Selling Expenses"),P1403="Parts",_xlfn.IFS(I1403="SALES","GP",I1403="SERVICE SALES","GP",I1403="PARTS SALES","GP",I1403="SERVICE COS","GP",I1403="PARTS COS","GP",I1403="SELLING EXPENSES","Selling Expenses",I1403="EMPLOYMENT EXPENSES","Selling Expenses",I1403="EMPLOYMENT EXPENSES","Selling Expenses",I1403="DIRECT EXPENSES","Selling Expenses",I1403="INDIRECT EXPENSES","Selling Expenses"))</f>
        <v>Selling Expenses</v>
      </c>
    </row>
    <row r="1404" spans="1:18" x14ac:dyDescent="0.2">
      <c r="A1404" s="75">
        <v>7457</v>
      </c>
      <c r="B1404" s="76" t="s">
        <v>946</v>
      </c>
      <c r="C1404" s="76">
        <v>260</v>
      </c>
      <c r="D1404" s="76" t="s">
        <v>456</v>
      </c>
      <c r="E1404" s="76" t="s">
        <v>426</v>
      </c>
      <c r="F1404" s="77">
        <v>0</v>
      </c>
      <c r="G1404" s="77">
        <v>0</v>
      </c>
      <c r="H1404" s="77">
        <v>0</v>
      </c>
      <c r="I1404" s="76" t="s">
        <v>936</v>
      </c>
      <c r="J1404" s="77">
        <v>0</v>
      </c>
      <c r="K1404" s="78">
        <v>109.84</v>
      </c>
      <c r="M1404" s="79" t="str">
        <f t="shared" si="65"/>
        <v>260-7457</v>
      </c>
      <c r="N1404" s="79" t="str">
        <f t="shared" si="63"/>
        <v/>
      </c>
      <c r="O1404" s="79" t="str">
        <f t="shared" si="64"/>
        <v>260</v>
      </c>
      <c r="P1404" s="79" t="str">
        <f>IFERROR(VLOOKUP($M1404,Export!$P:$R,2,FALSE),"-")</f>
        <v>F&amp;I</v>
      </c>
      <c r="Q1404" s="79" t="str">
        <f>IFERROR(VLOOKUP($M1404,Export!$P:$R,3,FALSE),"-")</f>
        <v>F&amp;IOther Expenses per vehicle retailed</v>
      </c>
      <c r="R1404" s="80" t="e" cm="1">
        <f t="array" ref="R1404">_xlfn.IFS(P1404="Service", _xlfn.IFS(I1404="SALES","GP",I1404="SERVICE SALES","GP",I1404="PARTS SALES","GP",I1404="SERVICE COS","GP",I1404="PARTS COS","GP",I1404="SELLING EXPENSES","Selling Expenses",I1404="EMPLOYMENT EXPENSES","Selling Expenses",I1404="EMPLOYMENT EXPENSES","Selling Expenses",I1404="DIRECT EXPENSES","Selling Expenses",I1404="INDIRECT EXPENSES","Selling Expenses"),P1404="Parts",_xlfn.IFS(I1404="SALES","GP",I1404="SERVICE SALES","GP",I1404="PARTS SALES","GP",I1404="SERVICE COS","GP",I1404="PARTS COS","GP",I1404="SELLING EXPENSES","Selling Expenses",I1404="EMPLOYMENT EXPENSES","Selling Expenses",I1404="EMPLOYMENT EXPENSES","Selling Expenses",I1404="DIRECT EXPENSES","Selling Expenses",I1404="INDIRECT EXPENSES","Selling Expenses"))</f>
        <v>#N/A</v>
      </c>
    </row>
    <row r="1405" spans="1:18" x14ac:dyDescent="0.2">
      <c r="A1405" s="75">
        <v>7457</v>
      </c>
      <c r="B1405" s="76" t="s">
        <v>946</v>
      </c>
      <c r="C1405" s="76">
        <v>330</v>
      </c>
      <c r="D1405" s="76" t="s">
        <v>457</v>
      </c>
      <c r="E1405" s="76" t="s">
        <v>426</v>
      </c>
      <c r="F1405" s="77">
        <v>2357.3200000000002</v>
      </c>
      <c r="G1405" s="77">
        <v>363.48</v>
      </c>
      <c r="H1405" s="77">
        <v>2720.8</v>
      </c>
      <c r="I1405" s="76" t="s">
        <v>936</v>
      </c>
      <c r="J1405" s="77">
        <v>0</v>
      </c>
      <c r="K1405" s="78">
        <v>141.11000000000001</v>
      </c>
      <c r="M1405" s="79" t="str">
        <f t="shared" si="65"/>
        <v>330-7457</v>
      </c>
      <c r="N1405" s="79" t="str">
        <f t="shared" si="63"/>
        <v/>
      </c>
      <c r="O1405" s="79" t="str">
        <f t="shared" si="64"/>
        <v>330</v>
      </c>
      <c r="P1405" s="79" t="str">
        <f>IFERROR(VLOOKUP($M1405,Export!$P:$R,2,FALSE),"-")</f>
        <v>Parts</v>
      </c>
      <c r="Q1405" s="79" t="str">
        <f>IFERROR(VLOOKUP($M1405,Export!$P:$R,3,FALSE),"-")</f>
        <v>PartsOther Expenses as % of Sales</v>
      </c>
      <c r="R1405" s="80" t="str" cm="1">
        <f t="array" ref="R1405">_xlfn.IFS(P1405="Service", _xlfn.IFS(I1405="SALES","GP",I1405="SERVICE SALES","GP",I1405="PARTS SALES","GP",I1405="SERVICE COS","GP",I1405="PARTS COS","GP",I1405="SELLING EXPENSES","Selling Expenses",I1405="EMPLOYMENT EXPENSES","Selling Expenses",I1405="EMPLOYMENT EXPENSES","Selling Expenses",I1405="DIRECT EXPENSES","Selling Expenses",I1405="INDIRECT EXPENSES","Selling Expenses"),P1405="Parts",_xlfn.IFS(I1405="SALES","GP",I1405="SERVICE SALES","GP",I1405="PARTS SALES","GP",I1405="SERVICE COS","GP",I1405="PARTS COS","GP",I1405="SELLING EXPENSES","Selling Expenses",I1405="EMPLOYMENT EXPENSES","Selling Expenses",I1405="EMPLOYMENT EXPENSES","Selling Expenses",I1405="DIRECT EXPENSES","Selling Expenses",I1405="INDIRECT EXPENSES","Selling Expenses"))</f>
        <v>Selling Expenses</v>
      </c>
    </row>
    <row r="1406" spans="1:18" x14ac:dyDescent="0.2">
      <c r="A1406" s="75">
        <v>7457</v>
      </c>
      <c r="B1406" s="76" t="s">
        <v>946</v>
      </c>
      <c r="C1406" s="76">
        <v>340</v>
      </c>
      <c r="D1406" s="76" t="s">
        <v>440</v>
      </c>
      <c r="E1406" s="76" t="s">
        <v>426</v>
      </c>
      <c r="F1406" s="77">
        <v>33761.75</v>
      </c>
      <c r="G1406" s="77">
        <v>524.44000000000005</v>
      </c>
      <c r="H1406" s="77">
        <v>34286.19</v>
      </c>
      <c r="I1406" s="76" t="s">
        <v>936</v>
      </c>
      <c r="J1406" s="77">
        <v>200</v>
      </c>
      <c r="K1406" s="78">
        <v>1585.92</v>
      </c>
      <c r="M1406" s="79" t="str">
        <f t="shared" si="65"/>
        <v>340-7457</v>
      </c>
      <c r="N1406" s="79" t="str">
        <f t="shared" si="63"/>
        <v/>
      </c>
      <c r="O1406" s="79" t="str">
        <f t="shared" si="64"/>
        <v>340</v>
      </c>
      <c r="P1406" s="79" t="str">
        <f>IFERROR(VLOOKUP($M1406,Export!$P:$R,2,FALSE),"-")</f>
        <v>Service</v>
      </c>
      <c r="Q1406" s="79" t="str">
        <f>IFERROR(VLOOKUP($M1406,Export!$P:$R,3,FALSE),"-")</f>
        <v>ServiceOther Expenses as % of Sales</v>
      </c>
      <c r="R1406" s="80" t="str" cm="1">
        <f t="array" ref="R1406">_xlfn.IFS(P1406="Service", _xlfn.IFS(I1406="SALES","GP",I1406="SERVICE SALES","GP",I1406="PARTS SALES","GP",I1406="SERVICE COS","GP",I1406="PARTS COS","GP",I1406="SELLING EXPENSES","Selling Expenses",I1406="EMPLOYMENT EXPENSES","Selling Expenses",I1406="EMPLOYMENT EXPENSES","Selling Expenses",I1406="DIRECT EXPENSES","Selling Expenses",I1406="INDIRECT EXPENSES","Selling Expenses"),P1406="Parts",_xlfn.IFS(I1406="SALES","GP",I1406="SERVICE SALES","GP",I1406="PARTS SALES","GP",I1406="SERVICE COS","GP",I1406="PARTS COS","GP",I1406="SELLING EXPENSES","Selling Expenses",I1406="EMPLOYMENT EXPENSES","Selling Expenses",I1406="EMPLOYMENT EXPENSES","Selling Expenses",I1406="DIRECT EXPENSES","Selling Expenses",I1406="INDIRECT EXPENSES","Selling Expenses"))</f>
        <v>Selling Expenses</v>
      </c>
    </row>
    <row r="1407" spans="1:18" x14ac:dyDescent="0.2">
      <c r="A1407" s="75">
        <v>7457</v>
      </c>
      <c r="B1407" s="76" t="s">
        <v>946</v>
      </c>
      <c r="C1407" s="76">
        <v>430</v>
      </c>
      <c r="D1407" s="76" t="s">
        <v>458</v>
      </c>
      <c r="E1407" s="76" t="s">
        <v>426</v>
      </c>
      <c r="F1407" s="77">
        <v>766.52</v>
      </c>
      <c r="G1407" s="77">
        <v>286.33999999999997</v>
      </c>
      <c r="H1407" s="77">
        <v>1052.8599999999999</v>
      </c>
      <c r="I1407" s="76" t="s">
        <v>936</v>
      </c>
      <c r="J1407" s="77">
        <v>400</v>
      </c>
      <c r="K1407" s="78">
        <v>4120.3599999999997</v>
      </c>
      <c r="M1407" s="79" t="str">
        <f t="shared" si="65"/>
        <v>430-7457</v>
      </c>
      <c r="N1407" s="79" t="str">
        <f t="shared" si="63"/>
        <v/>
      </c>
      <c r="O1407" s="79" t="str">
        <f t="shared" si="64"/>
        <v>430</v>
      </c>
      <c r="P1407" s="79" t="str">
        <f>IFERROR(VLOOKUP($M1407,Export!$P:$R,2,FALSE),"-")</f>
        <v>Parts</v>
      </c>
      <c r="Q1407" s="79" t="str">
        <f>IFERROR(VLOOKUP($M1407,Export!$P:$R,3,FALSE),"-")</f>
        <v>PartsOther Expenses as % of Sales</v>
      </c>
      <c r="R1407" s="80" t="str" cm="1">
        <f t="array" ref="R1407">_xlfn.IFS(P1407="Service", _xlfn.IFS(I1407="SALES","GP",I1407="SERVICE SALES","GP",I1407="PARTS SALES","GP",I1407="SERVICE COS","GP",I1407="PARTS COS","GP",I1407="SELLING EXPENSES","Selling Expenses",I1407="EMPLOYMENT EXPENSES","Selling Expenses",I1407="EMPLOYMENT EXPENSES","Selling Expenses",I1407="DIRECT EXPENSES","Selling Expenses",I1407="INDIRECT EXPENSES","Selling Expenses"),P1407="Parts",_xlfn.IFS(I1407="SALES","GP",I1407="SERVICE SALES","GP",I1407="PARTS SALES","GP",I1407="SERVICE COS","GP",I1407="PARTS COS","GP",I1407="SELLING EXPENSES","Selling Expenses",I1407="EMPLOYMENT EXPENSES","Selling Expenses",I1407="EMPLOYMENT EXPENSES","Selling Expenses",I1407="DIRECT EXPENSES","Selling Expenses",I1407="INDIRECT EXPENSES","Selling Expenses"))</f>
        <v>Selling Expenses</v>
      </c>
    </row>
    <row r="1408" spans="1:18" x14ac:dyDescent="0.2">
      <c r="A1408" s="75">
        <v>7457</v>
      </c>
      <c r="B1408" s="76" t="s">
        <v>946</v>
      </c>
      <c r="C1408" s="76">
        <v>440</v>
      </c>
      <c r="D1408" s="76" t="s">
        <v>441</v>
      </c>
      <c r="E1408" s="76" t="s">
        <v>426</v>
      </c>
      <c r="F1408" s="77">
        <v>5673.18</v>
      </c>
      <c r="G1408" s="77">
        <v>753.48</v>
      </c>
      <c r="H1408" s="77">
        <v>6426.66</v>
      </c>
      <c r="I1408" s="76" t="s">
        <v>936</v>
      </c>
      <c r="J1408" s="77">
        <v>700</v>
      </c>
      <c r="K1408" s="78">
        <v>8373.66</v>
      </c>
      <c r="M1408" s="79" t="str">
        <f t="shared" si="65"/>
        <v>440-7457</v>
      </c>
      <c r="N1408" s="79" t="str">
        <f t="shared" si="63"/>
        <v/>
      </c>
      <c r="O1408" s="79" t="str">
        <f t="shared" si="64"/>
        <v>440</v>
      </c>
      <c r="P1408" s="79" t="str">
        <f>IFERROR(VLOOKUP($M1408,Export!$P:$R,2,FALSE),"-")</f>
        <v>Service</v>
      </c>
      <c r="Q1408" s="79" t="str">
        <f>IFERROR(VLOOKUP($M1408,Export!$P:$R,3,FALSE),"-")</f>
        <v>ServiceOther Expenses as % of Sales</v>
      </c>
      <c r="R1408" s="80" t="str" cm="1">
        <f t="array" ref="R1408">_xlfn.IFS(P1408="Service", _xlfn.IFS(I1408="SALES","GP",I1408="SERVICE SALES","GP",I1408="PARTS SALES","GP",I1408="SERVICE COS","GP",I1408="PARTS COS","GP",I1408="SELLING EXPENSES","Selling Expenses",I1408="EMPLOYMENT EXPENSES","Selling Expenses",I1408="EMPLOYMENT EXPENSES","Selling Expenses",I1408="DIRECT EXPENSES","Selling Expenses",I1408="INDIRECT EXPENSES","Selling Expenses"),P1408="Parts",_xlfn.IFS(I1408="SALES","GP",I1408="SERVICE SALES","GP",I1408="PARTS SALES","GP",I1408="SERVICE COS","GP",I1408="PARTS COS","GP",I1408="SELLING EXPENSES","Selling Expenses",I1408="EMPLOYMENT EXPENSES","Selling Expenses",I1408="EMPLOYMENT EXPENSES","Selling Expenses",I1408="DIRECT EXPENSES","Selling Expenses",I1408="INDIRECT EXPENSES","Selling Expenses"))</f>
        <v>Selling Expenses</v>
      </c>
    </row>
    <row r="1409" spans="1:18" x14ac:dyDescent="0.2">
      <c r="A1409" s="75">
        <v>7457</v>
      </c>
      <c r="B1409" s="76" t="s">
        <v>946</v>
      </c>
      <c r="C1409" s="76">
        <v>935</v>
      </c>
      <c r="D1409" s="76" t="s">
        <v>442</v>
      </c>
      <c r="E1409" s="76" t="s">
        <v>426</v>
      </c>
      <c r="F1409" s="77">
        <v>471.79</v>
      </c>
      <c r="G1409" s="77">
        <v>2.84</v>
      </c>
      <c r="H1409" s="77">
        <v>474.63</v>
      </c>
      <c r="I1409" s="76" t="s">
        <v>936</v>
      </c>
      <c r="J1409" s="77">
        <v>0</v>
      </c>
      <c r="K1409" s="78">
        <v>121.77</v>
      </c>
      <c r="M1409" s="79" t="str">
        <f t="shared" si="65"/>
        <v>935-7457</v>
      </c>
      <c r="N1409" s="79" t="str">
        <f t="shared" si="63"/>
        <v/>
      </c>
      <c r="O1409" s="79" t="str">
        <f t="shared" si="64"/>
        <v>935</v>
      </c>
      <c r="P1409" s="79" t="str">
        <f>IFERROR(VLOOKUP($M1409,Export!$P:$R,2,FALSE),"-")</f>
        <v>Bridgestone</v>
      </c>
      <c r="Q1409" s="79" t="str">
        <f>IFERROR(VLOOKUP($M1409,Export!$P:$R,3,FALSE),"-")</f>
        <v>BridgestoneOther Expenses as % of Sales</v>
      </c>
      <c r="R1409" s="80" t="e" cm="1">
        <f t="array" ref="R1409">_xlfn.IFS(P1409="Service", _xlfn.IFS(I1409="SALES","GP",I1409="SERVICE SALES","GP",I1409="PARTS SALES","GP",I1409="SERVICE COS","GP",I1409="PARTS COS","GP",I1409="SELLING EXPENSES","Selling Expenses",I1409="EMPLOYMENT EXPENSES","Selling Expenses",I1409="EMPLOYMENT EXPENSES","Selling Expenses",I1409="DIRECT EXPENSES","Selling Expenses",I1409="INDIRECT EXPENSES","Selling Expenses"),P1409="Parts",_xlfn.IFS(I1409="SALES","GP",I1409="SERVICE SALES","GP",I1409="PARTS SALES","GP",I1409="SERVICE COS","GP",I1409="PARTS COS","GP",I1409="SELLING EXPENSES","Selling Expenses",I1409="EMPLOYMENT EXPENSES","Selling Expenses",I1409="EMPLOYMENT EXPENSES","Selling Expenses",I1409="DIRECT EXPENSES","Selling Expenses",I1409="INDIRECT EXPENSES","Selling Expenses"))</f>
        <v>#N/A</v>
      </c>
    </row>
    <row r="1410" spans="1:18" x14ac:dyDescent="0.2">
      <c r="A1410" s="75">
        <v>7457</v>
      </c>
      <c r="B1410" s="76" t="s">
        <v>946</v>
      </c>
      <c r="C1410" s="76">
        <v>936</v>
      </c>
      <c r="D1410" s="76" t="s">
        <v>443</v>
      </c>
      <c r="E1410" s="76" t="s">
        <v>426</v>
      </c>
      <c r="F1410" s="77">
        <v>1075.1099999999999</v>
      </c>
      <c r="G1410" s="77">
        <v>148.4</v>
      </c>
      <c r="H1410" s="77">
        <v>1223.51</v>
      </c>
      <c r="I1410" s="76" t="s">
        <v>936</v>
      </c>
      <c r="J1410" s="77">
        <v>0</v>
      </c>
      <c r="K1410" s="78">
        <v>143.75</v>
      </c>
      <c r="M1410" s="79" t="str">
        <f t="shared" si="65"/>
        <v>936-7457</v>
      </c>
      <c r="N1410" s="79" t="str">
        <f t="shared" ref="N1410:N1473" si="66">+IF(RIGHT(A1410,1)="#","#","")</f>
        <v/>
      </c>
      <c r="O1410" s="79" t="str">
        <f t="shared" ref="O1410:O1473" si="67">+C1410&amp;N1410</f>
        <v>936</v>
      </c>
      <c r="P1410" s="79" t="str">
        <f>IFERROR(VLOOKUP($M1410,Export!$P:$R,2,FALSE),"-")</f>
        <v>Bridgestone</v>
      </c>
      <c r="Q1410" s="79" t="str">
        <f>IFERROR(VLOOKUP($M1410,Export!$P:$R,3,FALSE),"-")</f>
        <v>BridgestoneOther Expenses as % of Sales</v>
      </c>
      <c r="R1410" s="80" t="e" cm="1">
        <f t="array" ref="R1410">_xlfn.IFS(P1410="Service", _xlfn.IFS(I1410="SALES","GP",I1410="SERVICE SALES","GP",I1410="PARTS SALES","GP",I1410="SERVICE COS","GP",I1410="PARTS COS","GP",I1410="SELLING EXPENSES","Selling Expenses",I1410="EMPLOYMENT EXPENSES","Selling Expenses",I1410="EMPLOYMENT EXPENSES","Selling Expenses",I1410="DIRECT EXPENSES","Selling Expenses",I1410="INDIRECT EXPENSES","Selling Expenses"),P1410="Parts",_xlfn.IFS(I1410="SALES","GP",I1410="SERVICE SALES","GP",I1410="PARTS SALES","GP",I1410="SERVICE COS","GP",I1410="PARTS COS","GP",I1410="SELLING EXPENSES","Selling Expenses",I1410="EMPLOYMENT EXPENSES","Selling Expenses",I1410="EMPLOYMENT EXPENSES","Selling Expenses",I1410="DIRECT EXPENSES","Selling Expenses",I1410="INDIRECT EXPENSES","Selling Expenses"))</f>
        <v>#N/A</v>
      </c>
    </row>
    <row r="1411" spans="1:18" x14ac:dyDescent="0.2">
      <c r="A1411" s="75">
        <v>7471</v>
      </c>
      <c r="B1411" s="76" t="s">
        <v>947</v>
      </c>
      <c r="C1411" s="76">
        <v>110</v>
      </c>
      <c r="D1411" s="76" t="s">
        <v>430</v>
      </c>
      <c r="E1411" s="76" t="s">
        <v>426</v>
      </c>
      <c r="F1411" s="77">
        <v>0</v>
      </c>
      <c r="G1411" s="77">
        <v>0</v>
      </c>
      <c r="H1411" s="77">
        <v>0</v>
      </c>
      <c r="I1411" s="76" t="s">
        <v>936</v>
      </c>
      <c r="J1411" s="77">
        <v>0</v>
      </c>
      <c r="K1411" s="78">
        <v>202.2</v>
      </c>
      <c r="M1411" s="79" t="str">
        <f t="shared" ref="M1411:M1474" si="68">+C1411&amp;"-"&amp;A1411</f>
        <v>110-7471</v>
      </c>
      <c r="N1411" s="79" t="str">
        <f t="shared" si="66"/>
        <v/>
      </c>
      <c r="O1411" s="79" t="str">
        <f t="shared" si="67"/>
        <v>110</v>
      </c>
      <c r="P1411" s="79" t="str">
        <f>IFERROR(VLOOKUP($M1411,Export!$P:$R,2,FALSE),"-")</f>
        <v>Admin &amp; Other</v>
      </c>
      <c r="Q1411" s="79" t="str">
        <f>IFERROR(VLOOKUP($M1411,Export!$P:$R,3,FALSE),"-")</f>
        <v>Admin &amp; OtherR&amp;M and Cleaning as % of Total Gross Profit</v>
      </c>
      <c r="R1411" s="80" t="e" cm="1">
        <f t="array" ref="R1411">_xlfn.IFS(P1411="Service", _xlfn.IFS(I1411="SALES","GP",I1411="SERVICE SALES","GP",I1411="PARTS SALES","GP",I1411="SERVICE COS","GP",I1411="PARTS COS","GP",I1411="SELLING EXPENSES","Selling Expenses",I1411="EMPLOYMENT EXPENSES","Selling Expenses",I1411="EMPLOYMENT EXPENSES","Selling Expenses",I1411="DIRECT EXPENSES","Selling Expenses",I1411="INDIRECT EXPENSES","Selling Expenses"),P1411="Parts",_xlfn.IFS(I1411="SALES","GP",I1411="SERVICE SALES","GP",I1411="PARTS SALES","GP",I1411="SERVICE COS","GP",I1411="PARTS COS","GP",I1411="SELLING EXPENSES","Selling Expenses",I1411="EMPLOYMENT EXPENSES","Selling Expenses",I1411="EMPLOYMENT EXPENSES","Selling Expenses",I1411="DIRECT EXPENSES","Selling Expenses",I1411="INDIRECT EXPENSES","Selling Expenses"))</f>
        <v>#N/A</v>
      </c>
    </row>
    <row r="1412" spans="1:18" x14ac:dyDescent="0.2">
      <c r="A1412" s="75">
        <v>7471</v>
      </c>
      <c r="B1412" s="76" t="s">
        <v>947</v>
      </c>
      <c r="C1412" s="76">
        <v>112</v>
      </c>
      <c r="D1412" s="76" t="s">
        <v>349</v>
      </c>
      <c r="E1412" s="76" t="s">
        <v>426</v>
      </c>
      <c r="F1412" s="77">
        <v>50.08</v>
      </c>
      <c r="G1412" s="77">
        <v>0</v>
      </c>
      <c r="H1412" s="77">
        <v>50.08</v>
      </c>
      <c r="I1412" s="76" t="s">
        <v>936</v>
      </c>
      <c r="J1412" s="77">
        <v>0</v>
      </c>
      <c r="K1412" s="78">
        <v>226.5</v>
      </c>
      <c r="M1412" s="79" t="str">
        <f t="shared" si="68"/>
        <v>112-7471</v>
      </c>
      <c r="N1412" s="79" t="str">
        <f t="shared" si="66"/>
        <v/>
      </c>
      <c r="O1412" s="79" t="str">
        <f t="shared" si="67"/>
        <v>112</v>
      </c>
      <c r="P1412" s="79" t="str">
        <f>IFERROR(VLOOKUP($M1412,Export!$P:$R,2,FALSE),"-")</f>
        <v>LEX Admin &amp; Other</v>
      </c>
      <c r="Q1412" s="79" t="str">
        <f>IFERROR(VLOOKUP($M1412,Export!$P:$R,3,FALSE),"-")</f>
        <v>LEX Admin &amp; OtherR&amp;M and Cleaning as % of Total Gross Profit</v>
      </c>
      <c r="R1412" s="80" t="e" cm="1">
        <f t="array" ref="R1412">_xlfn.IFS(P1412="Service", _xlfn.IFS(I1412="SALES","GP",I1412="SERVICE SALES","GP",I1412="PARTS SALES","GP",I1412="SERVICE COS","GP",I1412="PARTS COS","GP",I1412="SELLING EXPENSES","Selling Expenses",I1412="EMPLOYMENT EXPENSES","Selling Expenses",I1412="EMPLOYMENT EXPENSES","Selling Expenses",I1412="DIRECT EXPENSES","Selling Expenses",I1412="INDIRECT EXPENSES","Selling Expenses"),P1412="Parts",_xlfn.IFS(I1412="SALES","GP",I1412="SERVICE SALES","GP",I1412="PARTS SALES","GP",I1412="SERVICE COS","GP",I1412="PARTS COS","GP",I1412="SELLING EXPENSES","Selling Expenses",I1412="EMPLOYMENT EXPENSES","Selling Expenses",I1412="EMPLOYMENT EXPENSES","Selling Expenses",I1412="DIRECT EXPENSES","Selling Expenses",I1412="INDIRECT EXPENSES","Selling Expenses"))</f>
        <v>#N/A</v>
      </c>
    </row>
    <row r="1413" spans="1:18" x14ac:dyDescent="0.2">
      <c r="A1413" s="75">
        <v>7471</v>
      </c>
      <c r="B1413" s="76" t="s">
        <v>947</v>
      </c>
      <c r="C1413" s="76">
        <v>140</v>
      </c>
      <c r="D1413" s="76" t="s">
        <v>433</v>
      </c>
      <c r="E1413" s="76" t="s">
        <v>426</v>
      </c>
      <c r="F1413" s="77">
        <v>25239.95</v>
      </c>
      <c r="G1413" s="77">
        <v>3195.58</v>
      </c>
      <c r="H1413" s="77">
        <v>28435.53</v>
      </c>
      <c r="I1413" s="76" t="s">
        <v>936</v>
      </c>
      <c r="J1413" s="77">
        <v>3500</v>
      </c>
      <c r="K1413" s="78">
        <v>36107.120000000003</v>
      </c>
      <c r="M1413" s="79" t="str">
        <f t="shared" si="68"/>
        <v>140-7471</v>
      </c>
      <c r="N1413" s="79" t="str">
        <f t="shared" si="66"/>
        <v/>
      </c>
      <c r="O1413" s="79" t="str">
        <f t="shared" si="67"/>
        <v>140</v>
      </c>
      <c r="P1413" s="79" t="str">
        <f>IFERROR(VLOOKUP($M1413,Export!$P:$R,2,FALSE),"-")</f>
        <v>Admin &amp; Other</v>
      </c>
      <c r="Q1413" s="79" t="str">
        <f>IFERROR(VLOOKUP($M1413,Export!$P:$R,3,FALSE),"-")</f>
        <v>Admin &amp; OtherR&amp;M and Cleaning as % of Total Gross Profit</v>
      </c>
      <c r="R1413" s="80" t="e" cm="1">
        <f t="array" ref="R1413">_xlfn.IFS(P1413="Service", _xlfn.IFS(I1413="SALES","GP",I1413="SERVICE SALES","GP",I1413="PARTS SALES","GP",I1413="SERVICE COS","GP",I1413="PARTS COS","GP",I1413="SELLING EXPENSES","Selling Expenses",I1413="EMPLOYMENT EXPENSES","Selling Expenses",I1413="EMPLOYMENT EXPENSES","Selling Expenses",I1413="DIRECT EXPENSES","Selling Expenses",I1413="INDIRECT EXPENSES","Selling Expenses"),P1413="Parts",_xlfn.IFS(I1413="SALES","GP",I1413="SERVICE SALES","GP",I1413="PARTS SALES","GP",I1413="SERVICE COS","GP",I1413="PARTS COS","GP",I1413="SELLING EXPENSES","Selling Expenses",I1413="EMPLOYMENT EXPENSES","Selling Expenses",I1413="EMPLOYMENT EXPENSES","Selling Expenses",I1413="DIRECT EXPENSES","Selling Expenses",I1413="INDIRECT EXPENSES","Selling Expenses"))</f>
        <v>#N/A</v>
      </c>
    </row>
    <row r="1414" spans="1:18" x14ac:dyDescent="0.2">
      <c r="A1414" s="75">
        <v>7471</v>
      </c>
      <c r="B1414" s="76" t="s">
        <v>947</v>
      </c>
      <c r="C1414" s="76">
        <v>142</v>
      </c>
      <c r="D1414" s="76" t="s">
        <v>454</v>
      </c>
      <c r="E1414" s="76" t="s">
        <v>426</v>
      </c>
      <c r="F1414" s="77">
        <v>6436.84</v>
      </c>
      <c r="G1414" s="77">
        <v>852.25</v>
      </c>
      <c r="H1414" s="77">
        <v>7289.09</v>
      </c>
      <c r="I1414" s="76" t="s">
        <v>936</v>
      </c>
      <c r="J1414" s="77">
        <v>0</v>
      </c>
      <c r="K1414" s="78">
        <v>0</v>
      </c>
      <c r="M1414" s="79" t="str">
        <f t="shared" si="68"/>
        <v>142-7471</v>
      </c>
      <c r="N1414" s="79" t="str">
        <f t="shared" si="66"/>
        <v/>
      </c>
      <c r="O1414" s="79" t="str">
        <f t="shared" si="67"/>
        <v>142</v>
      </c>
      <c r="P1414" s="79" t="str">
        <f>IFERROR(VLOOKUP($M1414,Export!$P:$R,2,FALSE),"-")</f>
        <v>LEX Admin &amp; Other</v>
      </c>
      <c r="Q1414" s="79" t="str">
        <f>IFERROR(VLOOKUP($M1414,Export!$P:$R,3,FALSE),"-")</f>
        <v>LEX Admin &amp; OtherR&amp;M and Cleaning as % of Total Gross Profit</v>
      </c>
      <c r="R1414" s="80" t="e" cm="1">
        <f t="array" ref="R1414">_xlfn.IFS(P1414="Service", _xlfn.IFS(I1414="SALES","GP",I1414="SERVICE SALES","GP",I1414="PARTS SALES","GP",I1414="SERVICE COS","GP",I1414="PARTS COS","GP",I1414="SELLING EXPENSES","Selling Expenses",I1414="EMPLOYMENT EXPENSES","Selling Expenses",I1414="EMPLOYMENT EXPENSES","Selling Expenses",I1414="DIRECT EXPENSES","Selling Expenses",I1414="INDIRECT EXPENSES","Selling Expenses"),P1414="Parts",_xlfn.IFS(I1414="SALES","GP",I1414="SERVICE SALES","GP",I1414="PARTS SALES","GP",I1414="SERVICE COS","GP",I1414="PARTS COS","GP",I1414="SELLING EXPENSES","Selling Expenses",I1414="EMPLOYMENT EXPENSES","Selling Expenses",I1414="EMPLOYMENT EXPENSES","Selling Expenses",I1414="DIRECT EXPENSES","Selling Expenses",I1414="INDIRECT EXPENSES","Selling Expenses"))</f>
        <v>#N/A</v>
      </c>
    </row>
    <row r="1415" spans="1:18" x14ac:dyDescent="0.2">
      <c r="A1415" s="75">
        <v>7471</v>
      </c>
      <c r="B1415" s="76" t="s">
        <v>947</v>
      </c>
      <c r="C1415" s="76">
        <v>147</v>
      </c>
      <c r="D1415" s="76" t="s">
        <v>699</v>
      </c>
      <c r="E1415" s="76" t="s">
        <v>426</v>
      </c>
      <c r="F1415" s="77">
        <v>1514.76</v>
      </c>
      <c r="G1415" s="77">
        <v>0</v>
      </c>
      <c r="H1415" s="77">
        <v>1514.76</v>
      </c>
      <c r="I1415" s="76" t="s">
        <v>936</v>
      </c>
      <c r="J1415" s="77">
        <v>1200</v>
      </c>
      <c r="K1415" s="78">
        <v>12719.43</v>
      </c>
      <c r="M1415" s="79" t="str">
        <f t="shared" si="68"/>
        <v>147-7471</v>
      </c>
      <c r="N1415" s="79" t="str">
        <f t="shared" si="66"/>
        <v/>
      </c>
      <c r="O1415" s="79" t="str">
        <f t="shared" si="67"/>
        <v>147</v>
      </c>
      <c r="P1415" s="79" t="str">
        <f>IFERROR(VLOOKUP($M1415,Export!$P:$R,2,FALSE),"-")</f>
        <v>Admin &amp; Other</v>
      </c>
      <c r="Q1415" s="79" t="str">
        <f>IFERROR(VLOOKUP($M1415,Export!$P:$R,3,FALSE),"-")</f>
        <v>Admin &amp; OtherR&amp;M and Cleaning as % of Total Gross Profit</v>
      </c>
      <c r="R1415" s="80" t="e" cm="1">
        <f t="array" ref="R1415">_xlfn.IFS(P1415="Service", _xlfn.IFS(I1415="SALES","GP",I1415="SERVICE SALES","GP",I1415="PARTS SALES","GP",I1415="SERVICE COS","GP",I1415="PARTS COS","GP",I1415="SELLING EXPENSES","Selling Expenses",I1415="EMPLOYMENT EXPENSES","Selling Expenses",I1415="EMPLOYMENT EXPENSES","Selling Expenses",I1415="DIRECT EXPENSES","Selling Expenses",I1415="INDIRECT EXPENSES","Selling Expenses"),P1415="Parts",_xlfn.IFS(I1415="SALES","GP",I1415="SERVICE SALES","GP",I1415="PARTS SALES","GP",I1415="SERVICE COS","GP",I1415="PARTS COS","GP",I1415="SELLING EXPENSES","Selling Expenses",I1415="EMPLOYMENT EXPENSES","Selling Expenses",I1415="EMPLOYMENT EXPENSES","Selling Expenses",I1415="DIRECT EXPENSES","Selling Expenses",I1415="INDIRECT EXPENSES","Selling Expenses"))</f>
        <v>#N/A</v>
      </c>
    </row>
    <row r="1416" spans="1:18" x14ac:dyDescent="0.2">
      <c r="A1416" s="75">
        <v>7471</v>
      </c>
      <c r="B1416" s="76" t="s">
        <v>947</v>
      </c>
      <c r="C1416" s="76">
        <v>240</v>
      </c>
      <c r="D1416" s="76" t="s">
        <v>439</v>
      </c>
      <c r="E1416" s="76" t="s">
        <v>426</v>
      </c>
      <c r="F1416" s="77">
        <v>12718.12</v>
      </c>
      <c r="G1416" s="77">
        <v>1493.35</v>
      </c>
      <c r="H1416" s="77">
        <v>14211.47</v>
      </c>
      <c r="I1416" s="76" t="s">
        <v>936</v>
      </c>
      <c r="J1416" s="77">
        <v>1600</v>
      </c>
      <c r="K1416" s="78">
        <v>14549.4</v>
      </c>
      <c r="M1416" s="79" t="str">
        <f t="shared" si="68"/>
        <v>240-7471</v>
      </c>
      <c r="N1416" s="79" t="str">
        <f t="shared" si="66"/>
        <v/>
      </c>
      <c r="O1416" s="79" t="str">
        <f t="shared" si="67"/>
        <v>240</v>
      </c>
      <c r="P1416" s="79" t="str">
        <f>IFERROR(VLOOKUP($M1416,Export!$P:$R,2,FALSE),"-")</f>
        <v>Admin &amp; Other</v>
      </c>
      <c r="Q1416" s="79" t="str">
        <f>IFERROR(VLOOKUP($M1416,Export!$P:$R,3,FALSE),"-")</f>
        <v>Admin &amp; OtherR&amp;M and Cleaning as % of Total Gross Profit</v>
      </c>
      <c r="R1416" s="80" t="e" cm="1">
        <f t="array" ref="R1416">_xlfn.IFS(P1416="Service", _xlfn.IFS(I1416="SALES","GP",I1416="SERVICE SALES","GP",I1416="PARTS SALES","GP",I1416="SERVICE COS","GP",I1416="PARTS COS","GP",I1416="SELLING EXPENSES","Selling Expenses",I1416="EMPLOYMENT EXPENSES","Selling Expenses",I1416="EMPLOYMENT EXPENSES","Selling Expenses",I1416="DIRECT EXPENSES","Selling Expenses",I1416="INDIRECT EXPENSES","Selling Expenses"),P1416="Parts",_xlfn.IFS(I1416="SALES","GP",I1416="SERVICE SALES","GP",I1416="PARTS SALES","GP",I1416="SERVICE COS","GP",I1416="PARTS COS","GP",I1416="SELLING EXPENSES","Selling Expenses",I1416="EMPLOYMENT EXPENSES","Selling Expenses",I1416="EMPLOYMENT EXPENSES","Selling Expenses",I1416="DIRECT EXPENSES","Selling Expenses",I1416="INDIRECT EXPENSES","Selling Expenses"))</f>
        <v>#N/A</v>
      </c>
    </row>
    <row r="1417" spans="1:18" x14ac:dyDescent="0.2">
      <c r="A1417" s="75">
        <v>7471</v>
      </c>
      <c r="B1417" s="76" t="s">
        <v>947</v>
      </c>
      <c r="C1417" s="76">
        <v>340</v>
      </c>
      <c r="D1417" s="76" t="s">
        <v>440</v>
      </c>
      <c r="E1417" s="76" t="s">
        <v>426</v>
      </c>
      <c r="F1417" s="77">
        <v>7978.1</v>
      </c>
      <c r="G1417" s="77">
        <v>786.64</v>
      </c>
      <c r="H1417" s="77">
        <v>8764.74</v>
      </c>
      <c r="I1417" s="76" t="s">
        <v>936</v>
      </c>
      <c r="J1417" s="77">
        <v>1200</v>
      </c>
      <c r="K1417" s="78">
        <v>11414.01</v>
      </c>
      <c r="M1417" s="79" t="str">
        <f t="shared" si="68"/>
        <v>340-7471</v>
      </c>
      <c r="N1417" s="79" t="str">
        <f t="shared" si="66"/>
        <v/>
      </c>
      <c r="O1417" s="79" t="str">
        <f t="shared" si="67"/>
        <v>340</v>
      </c>
      <c r="P1417" s="79" t="str">
        <f>IFERROR(VLOOKUP($M1417,Export!$P:$R,2,FALSE),"-")</f>
        <v>Admin &amp; Other</v>
      </c>
      <c r="Q1417" s="79" t="str">
        <f>IFERROR(VLOOKUP($M1417,Export!$P:$R,3,FALSE),"-")</f>
        <v>Admin &amp; OtherR&amp;M and Cleaning as % of Total Gross Profit</v>
      </c>
      <c r="R1417" s="80" t="e" cm="1">
        <f t="array" ref="R1417">_xlfn.IFS(P1417="Service", _xlfn.IFS(I1417="SALES","GP",I1417="SERVICE SALES","GP",I1417="PARTS SALES","GP",I1417="SERVICE COS","GP",I1417="PARTS COS","GP",I1417="SELLING EXPENSES","Selling Expenses",I1417="EMPLOYMENT EXPENSES","Selling Expenses",I1417="EMPLOYMENT EXPENSES","Selling Expenses",I1417="DIRECT EXPENSES","Selling Expenses",I1417="INDIRECT EXPENSES","Selling Expenses"),P1417="Parts",_xlfn.IFS(I1417="SALES","GP",I1417="SERVICE SALES","GP",I1417="PARTS SALES","GP",I1417="SERVICE COS","GP",I1417="PARTS COS","GP",I1417="SELLING EXPENSES","Selling Expenses",I1417="EMPLOYMENT EXPENSES","Selling Expenses",I1417="EMPLOYMENT EXPENSES","Selling Expenses",I1417="DIRECT EXPENSES","Selling Expenses",I1417="INDIRECT EXPENSES","Selling Expenses"))</f>
        <v>#N/A</v>
      </c>
    </row>
    <row r="1418" spans="1:18" x14ac:dyDescent="0.2">
      <c r="A1418" s="75">
        <v>7471</v>
      </c>
      <c r="B1418" s="76" t="s">
        <v>947</v>
      </c>
      <c r="C1418" s="76">
        <v>440</v>
      </c>
      <c r="D1418" s="76" t="s">
        <v>441</v>
      </c>
      <c r="E1418" s="76" t="s">
        <v>426</v>
      </c>
      <c r="F1418" s="77">
        <v>11127.56</v>
      </c>
      <c r="G1418" s="77">
        <v>1073.44</v>
      </c>
      <c r="H1418" s="77">
        <v>12201</v>
      </c>
      <c r="I1418" s="76" t="s">
        <v>936</v>
      </c>
      <c r="J1418" s="77">
        <v>1100</v>
      </c>
      <c r="K1418" s="78">
        <v>9618.27</v>
      </c>
      <c r="M1418" s="79" t="str">
        <f t="shared" si="68"/>
        <v>440-7471</v>
      </c>
      <c r="N1418" s="79" t="str">
        <f t="shared" si="66"/>
        <v/>
      </c>
      <c r="O1418" s="79" t="str">
        <f t="shared" si="67"/>
        <v>440</v>
      </c>
      <c r="P1418" s="79" t="str">
        <f>IFERROR(VLOOKUP($M1418,Export!$P:$R,2,FALSE),"-")</f>
        <v>Admin &amp; Other</v>
      </c>
      <c r="Q1418" s="79" t="str">
        <f>IFERROR(VLOOKUP($M1418,Export!$P:$R,3,FALSE),"-")</f>
        <v>Admin &amp; OtherR&amp;M and Cleaning as % of Total Gross Profit</v>
      </c>
      <c r="R1418" s="80" t="e" cm="1">
        <f t="array" ref="R1418">_xlfn.IFS(P1418="Service", _xlfn.IFS(I1418="SALES","GP",I1418="SERVICE SALES","GP",I1418="PARTS SALES","GP",I1418="SERVICE COS","GP",I1418="PARTS COS","GP",I1418="SELLING EXPENSES","Selling Expenses",I1418="EMPLOYMENT EXPENSES","Selling Expenses",I1418="EMPLOYMENT EXPENSES","Selling Expenses",I1418="DIRECT EXPENSES","Selling Expenses",I1418="INDIRECT EXPENSES","Selling Expenses"),P1418="Parts",_xlfn.IFS(I1418="SALES","GP",I1418="SERVICE SALES","GP",I1418="PARTS SALES","GP",I1418="SERVICE COS","GP",I1418="PARTS COS","GP",I1418="SELLING EXPENSES","Selling Expenses",I1418="EMPLOYMENT EXPENSES","Selling Expenses",I1418="EMPLOYMENT EXPENSES","Selling Expenses",I1418="DIRECT EXPENSES","Selling Expenses",I1418="INDIRECT EXPENSES","Selling Expenses"))</f>
        <v>#N/A</v>
      </c>
    </row>
    <row r="1419" spans="1:18" x14ac:dyDescent="0.2">
      <c r="A1419" s="75">
        <v>7471</v>
      </c>
      <c r="B1419" s="76" t="s">
        <v>947</v>
      </c>
      <c r="C1419" s="76">
        <v>935</v>
      </c>
      <c r="D1419" s="76" t="s">
        <v>442</v>
      </c>
      <c r="E1419" s="76" t="s">
        <v>426</v>
      </c>
      <c r="F1419" s="77">
        <v>100.16</v>
      </c>
      <c r="G1419" s="77">
        <v>0</v>
      </c>
      <c r="H1419" s="77">
        <v>100.16</v>
      </c>
      <c r="I1419" s="76" t="s">
        <v>936</v>
      </c>
      <c r="J1419" s="77">
        <v>0</v>
      </c>
      <c r="K1419" s="78">
        <v>226.5</v>
      </c>
      <c r="M1419" s="79" t="str">
        <f t="shared" si="68"/>
        <v>935-7471</v>
      </c>
      <c r="N1419" s="79" t="str">
        <f t="shared" si="66"/>
        <v/>
      </c>
      <c r="O1419" s="79" t="str">
        <f t="shared" si="67"/>
        <v>935</v>
      </c>
      <c r="P1419" s="79" t="str">
        <f>IFERROR(VLOOKUP($M1419,Export!$P:$R,2,FALSE),"-")</f>
        <v>LEX Admin &amp; Other</v>
      </c>
      <c r="Q1419" s="79" t="str">
        <f>IFERROR(VLOOKUP($M1419,Export!$P:$R,3,FALSE),"-")</f>
        <v>LEX Admin &amp; OtherR&amp;M and Cleaning as % of Total Gross Profit</v>
      </c>
      <c r="R1419" s="80" t="e" cm="1">
        <f t="array" ref="R1419">_xlfn.IFS(P1419="Service", _xlfn.IFS(I1419="SALES","GP",I1419="SERVICE SALES","GP",I1419="PARTS SALES","GP",I1419="SERVICE COS","GP",I1419="PARTS COS","GP",I1419="SELLING EXPENSES","Selling Expenses",I1419="EMPLOYMENT EXPENSES","Selling Expenses",I1419="EMPLOYMENT EXPENSES","Selling Expenses",I1419="DIRECT EXPENSES","Selling Expenses",I1419="INDIRECT EXPENSES","Selling Expenses"),P1419="Parts",_xlfn.IFS(I1419="SALES","GP",I1419="SERVICE SALES","GP",I1419="PARTS SALES","GP",I1419="SERVICE COS","GP",I1419="PARTS COS","GP",I1419="SELLING EXPENSES","Selling Expenses",I1419="EMPLOYMENT EXPENSES","Selling Expenses",I1419="EMPLOYMENT EXPENSES","Selling Expenses",I1419="DIRECT EXPENSES","Selling Expenses",I1419="INDIRECT EXPENSES","Selling Expenses"))</f>
        <v>#N/A</v>
      </c>
    </row>
    <row r="1420" spans="1:18" x14ac:dyDescent="0.2">
      <c r="A1420" s="75">
        <v>7490</v>
      </c>
      <c r="B1420" s="76" t="s">
        <v>948</v>
      </c>
      <c r="C1420" s="76">
        <v>140</v>
      </c>
      <c r="D1420" s="76" t="s">
        <v>433</v>
      </c>
      <c r="E1420" s="76" t="s">
        <v>426</v>
      </c>
      <c r="F1420" s="77">
        <v>-509</v>
      </c>
      <c r="G1420" s="77">
        <v>0</v>
      </c>
      <c r="H1420" s="77">
        <v>-509</v>
      </c>
      <c r="I1420" s="76" t="s">
        <v>936</v>
      </c>
      <c r="J1420" s="77">
        <v>0</v>
      </c>
      <c r="K1420" s="78">
        <v>0</v>
      </c>
      <c r="M1420" s="79" t="str">
        <f t="shared" si="68"/>
        <v>140-7490</v>
      </c>
      <c r="N1420" s="79" t="str">
        <f t="shared" si="66"/>
        <v/>
      </c>
      <c r="O1420" s="79" t="str">
        <f t="shared" si="67"/>
        <v>140</v>
      </c>
      <c r="P1420" s="79" t="str">
        <f>IFERROR(VLOOKUP($M1420,Export!$P:$R,2,FALSE),"-")</f>
        <v>Admin &amp; Other</v>
      </c>
      <c r="Q1420" s="79" t="str">
        <f>IFERROR(VLOOKUP($M1420,Export!$P:$R,3,FALSE),"-")</f>
        <v>Admin &amp; OtherProfessional Fees as % of Total Gross Profit</v>
      </c>
      <c r="R1420" s="80" t="e" cm="1">
        <f t="array" ref="R1420">_xlfn.IFS(P1420="Service", _xlfn.IFS(I1420="SALES","GP",I1420="SERVICE SALES","GP",I1420="PARTS SALES","GP",I1420="SERVICE COS","GP",I1420="PARTS COS","GP",I1420="SELLING EXPENSES","Selling Expenses",I1420="EMPLOYMENT EXPENSES","Selling Expenses",I1420="EMPLOYMENT EXPENSES","Selling Expenses",I1420="DIRECT EXPENSES","Selling Expenses",I1420="INDIRECT EXPENSES","Selling Expenses"),P1420="Parts",_xlfn.IFS(I1420="SALES","GP",I1420="SERVICE SALES","GP",I1420="PARTS SALES","GP",I1420="SERVICE COS","GP",I1420="PARTS COS","GP",I1420="SELLING EXPENSES","Selling Expenses",I1420="EMPLOYMENT EXPENSES","Selling Expenses",I1420="EMPLOYMENT EXPENSES","Selling Expenses",I1420="DIRECT EXPENSES","Selling Expenses",I1420="INDIRECT EXPENSES","Selling Expenses"))</f>
        <v>#N/A</v>
      </c>
    </row>
    <row r="1421" spans="1:18" x14ac:dyDescent="0.2">
      <c r="A1421" s="75">
        <v>7510</v>
      </c>
      <c r="B1421" s="298" t="s">
        <v>949</v>
      </c>
      <c r="C1421" s="76">
        <v>110</v>
      </c>
      <c r="D1421" s="76" t="s">
        <v>430</v>
      </c>
      <c r="E1421" s="76" t="s">
        <v>426</v>
      </c>
      <c r="F1421" s="77">
        <v>-1248.32</v>
      </c>
      <c r="G1421" s="77">
        <v>623.29999999999995</v>
      </c>
      <c r="H1421" s="77">
        <v>-625.02</v>
      </c>
      <c r="I1421" s="76" t="s">
        <v>936</v>
      </c>
      <c r="J1421" s="77">
        <v>0</v>
      </c>
      <c r="K1421" s="78">
        <v>100</v>
      </c>
      <c r="M1421" s="79" t="str">
        <f t="shared" si="68"/>
        <v>110-7510</v>
      </c>
      <c r="N1421" s="79" t="str">
        <f t="shared" si="66"/>
        <v/>
      </c>
      <c r="O1421" s="79" t="str">
        <f t="shared" si="67"/>
        <v>110</v>
      </c>
      <c r="P1421" s="79" t="str">
        <f>IFERROR(VLOOKUP($M1421,Export!$P:$R,2,FALSE),"-")</f>
        <v>Admin &amp; Other</v>
      </c>
      <c r="Q1421" s="79" t="str">
        <f>IFERROR(VLOOKUP($M1421,Export!$P:$R,3,FALSE),"-")</f>
        <v>Admin &amp; OtherOther Overheads as % of Total Gross Profit</v>
      </c>
      <c r="R1421" s="80" t="e" cm="1">
        <f t="array" ref="R1421">_xlfn.IFS(P1421="Service", _xlfn.IFS(I1421="SALES","GP",I1421="SERVICE SALES","GP",I1421="PARTS SALES","GP",I1421="SERVICE COS","GP",I1421="PARTS COS","GP",I1421="SELLING EXPENSES","Selling Expenses",I1421="EMPLOYMENT EXPENSES","Selling Expenses",I1421="EMPLOYMENT EXPENSES","Selling Expenses",I1421="DIRECT EXPENSES","Selling Expenses",I1421="INDIRECT EXPENSES","Selling Expenses"),P1421="Parts",_xlfn.IFS(I1421="SALES","GP",I1421="SERVICE SALES","GP",I1421="PARTS SALES","GP",I1421="SERVICE COS","GP",I1421="PARTS COS","GP",I1421="SELLING EXPENSES","Selling Expenses",I1421="EMPLOYMENT EXPENSES","Selling Expenses",I1421="EMPLOYMENT EXPENSES","Selling Expenses",I1421="DIRECT EXPENSES","Selling Expenses",I1421="INDIRECT EXPENSES","Selling Expenses"))</f>
        <v>#N/A</v>
      </c>
    </row>
    <row r="1422" spans="1:18" x14ac:dyDescent="0.2">
      <c r="A1422" s="75">
        <v>7510</v>
      </c>
      <c r="B1422" s="76" t="s">
        <v>949</v>
      </c>
      <c r="C1422" s="76">
        <v>112</v>
      </c>
      <c r="D1422" s="76" t="s">
        <v>349</v>
      </c>
      <c r="E1422" s="76" t="s">
        <v>426</v>
      </c>
      <c r="F1422" s="77">
        <v>-79.2</v>
      </c>
      <c r="G1422" s="77">
        <v>565.29999999999995</v>
      </c>
      <c r="H1422" s="77">
        <v>486.1</v>
      </c>
      <c r="I1422" s="76" t="s">
        <v>936</v>
      </c>
      <c r="J1422" s="77">
        <v>0</v>
      </c>
      <c r="K1422" s="78">
        <v>0</v>
      </c>
      <c r="M1422" s="79" t="str">
        <f t="shared" si="68"/>
        <v>112-7510</v>
      </c>
      <c r="N1422" s="79" t="str">
        <f t="shared" si="66"/>
        <v/>
      </c>
      <c r="O1422" s="79" t="str">
        <f t="shared" si="67"/>
        <v>112</v>
      </c>
      <c r="P1422" s="79" t="str">
        <f>IFERROR(VLOOKUP($M1422,Export!$P:$R,2,FALSE),"-")</f>
        <v>LEX Admin &amp; Other</v>
      </c>
      <c r="Q1422" s="79" t="str">
        <f>IFERROR(VLOOKUP($M1422,Export!$P:$R,3,FALSE),"-")</f>
        <v>LEX Admin &amp; OtherOther Overheads as % of Total Gross Profit</v>
      </c>
      <c r="R1422" s="80" t="e" cm="1">
        <f t="array" ref="R1422">_xlfn.IFS(P1422="Service", _xlfn.IFS(I1422="SALES","GP",I1422="SERVICE SALES","GP",I1422="PARTS SALES","GP",I1422="SERVICE COS","GP",I1422="PARTS COS","GP",I1422="SELLING EXPENSES","Selling Expenses",I1422="EMPLOYMENT EXPENSES","Selling Expenses",I1422="EMPLOYMENT EXPENSES","Selling Expenses",I1422="DIRECT EXPENSES","Selling Expenses",I1422="INDIRECT EXPENSES","Selling Expenses"),P1422="Parts",_xlfn.IFS(I1422="SALES","GP",I1422="SERVICE SALES","GP",I1422="PARTS SALES","GP",I1422="SERVICE COS","GP",I1422="PARTS COS","GP",I1422="SELLING EXPENSES","Selling Expenses",I1422="EMPLOYMENT EXPENSES","Selling Expenses",I1422="EMPLOYMENT EXPENSES","Selling Expenses",I1422="DIRECT EXPENSES","Selling Expenses",I1422="INDIRECT EXPENSES","Selling Expenses"))</f>
        <v>#N/A</v>
      </c>
    </row>
    <row r="1423" spans="1:18" x14ac:dyDescent="0.2">
      <c r="A1423" s="75">
        <v>7510</v>
      </c>
      <c r="B1423" s="76" t="s">
        <v>949</v>
      </c>
      <c r="C1423" s="76">
        <v>120</v>
      </c>
      <c r="D1423" s="76" t="s">
        <v>431</v>
      </c>
      <c r="E1423" s="76" t="s">
        <v>426</v>
      </c>
      <c r="F1423" s="77">
        <v>-1963.33</v>
      </c>
      <c r="G1423" s="77">
        <v>730.62</v>
      </c>
      <c r="H1423" s="77">
        <v>-1232.71</v>
      </c>
      <c r="I1423" s="76" t="s">
        <v>936</v>
      </c>
      <c r="J1423" s="77">
        <v>0</v>
      </c>
      <c r="K1423" s="78">
        <v>0</v>
      </c>
      <c r="M1423" s="79" t="str">
        <f t="shared" si="68"/>
        <v>120-7510</v>
      </c>
      <c r="N1423" s="79" t="str">
        <f t="shared" si="66"/>
        <v/>
      </c>
      <c r="O1423" s="79" t="str">
        <f t="shared" si="67"/>
        <v>120</v>
      </c>
      <c r="P1423" s="79" t="str">
        <f>IFERROR(VLOOKUP($M1423,Export!$P:$R,2,FALSE),"-")</f>
        <v>Admin &amp; Other</v>
      </c>
      <c r="Q1423" s="79" t="str">
        <f>IFERROR(VLOOKUP($M1423,Export!$P:$R,3,FALSE),"-")</f>
        <v>Admin &amp; OtherOther Overheads as % of Total Gross Profit</v>
      </c>
      <c r="R1423" s="80" t="e" cm="1">
        <f t="array" ref="R1423">_xlfn.IFS(P1423="Service", _xlfn.IFS(I1423="SALES","GP",I1423="SERVICE SALES","GP",I1423="PARTS SALES","GP",I1423="SERVICE COS","GP",I1423="PARTS COS","GP",I1423="SELLING EXPENSES","Selling Expenses",I1423="EMPLOYMENT EXPENSES","Selling Expenses",I1423="EMPLOYMENT EXPENSES","Selling Expenses",I1423="DIRECT EXPENSES","Selling Expenses",I1423="INDIRECT EXPENSES","Selling Expenses"),P1423="Parts",_xlfn.IFS(I1423="SALES","GP",I1423="SERVICE SALES","GP",I1423="PARTS SALES","GP",I1423="SERVICE COS","GP",I1423="PARTS COS","GP",I1423="SELLING EXPENSES","Selling Expenses",I1423="EMPLOYMENT EXPENSES","Selling Expenses",I1423="EMPLOYMENT EXPENSES","Selling Expenses",I1423="DIRECT EXPENSES","Selling Expenses",I1423="INDIRECT EXPENSES","Selling Expenses"))</f>
        <v>#N/A</v>
      </c>
    </row>
    <row r="1424" spans="1:18" x14ac:dyDescent="0.2">
      <c r="A1424" s="75">
        <v>7510</v>
      </c>
      <c r="B1424" s="76" t="s">
        <v>949</v>
      </c>
      <c r="C1424" s="76">
        <v>130</v>
      </c>
      <c r="D1424" s="76" t="s">
        <v>432</v>
      </c>
      <c r="E1424" s="76" t="s">
        <v>426</v>
      </c>
      <c r="F1424" s="77">
        <v>1294.05</v>
      </c>
      <c r="G1424" s="77">
        <v>529.71</v>
      </c>
      <c r="H1424" s="77">
        <v>1823.76</v>
      </c>
      <c r="I1424" s="76" t="s">
        <v>936</v>
      </c>
      <c r="J1424" s="77">
        <v>150</v>
      </c>
      <c r="K1424" s="78">
        <v>900</v>
      </c>
      <c r="M1424" s="79" t="str">
        <f t="shared" si="68"/>
        <v>130-7510</v>
      </c>
      <c r="N1424" s="79" t="str">
        <f t="shared" si="66"/>
        <v/>
      </c>
      <c r="O1424" s="79" t="str">
        <f t="shared" si="67"/>
        <v>130</v>
      </c>
      <c r="P1424" s="79" t="str">
        <f>IFERROR(VLOOKUP($M1424,Export!$P:$R,2,FALSE),"-")</f>
        <v>Admin &amp; Other</v>
      </c>
      <c r="Q1424" s="79" t="str">
        <f>IFERROR(VLOOKUP($M1424,Export!$P:$R,3,FALSE),"-")</f>
        <v>Admin &amp; OtherOther Overheads as % of Total Gross Profit</v>
      </c>
      <c r="R1424" s="80" t="e" cm="1">
        <f t="array" ref="R1424">_xlfn.IFS(P1424="Service", _xlfn.IFS(I1424="SALES","GP",I1424="SERVICE SALES","GP",I1424="PARTS SALES","GP",I1424="SERVICE COS","GP",I1424="PARTS COS","GP",I1424="SELLING EXPENSES","Selling Expenses",I1424="EMPLOYMENT EXPENSES","Selling Expenses",I1424="EMPLOYMENT EXPENSES","Selling Expenses",I1424="DIRECT EXPENSES","Selling Expenses",I1424="INDIRECT EXPENSES","Selling Expenses"),P1424="Parts",_xlfn.IFS(I1424="SALES","GP",I1424="SERVICE SALES","GP",I1424="PARTS SALES","GP",I1424="SERVICE COS","GP",I1424="PARTS COS","GP",I1424="SELLING EXPENSES","Selling Expenses",I1424="EMPLOYMENT EXPENSES","Selling Expenses",I1424="EMPLOYMENT EXPENSES","Selling Expenses",I1424="DIRECT EXPENSES","Selling Expenses",I1424="INDIRECT EXPENSES","Selling Expenses"))</f>
        <v>#N/A</v>
      </c>
    </row>
    <row r="1425" spans="1:18" x14ac:dyDescent="0.2">
      <c r="A1425" s="75">
        <v>7510</v>
      </c>
      <c r="B1425" s="76" t="s">
        <v>949</v>
      </c>
      <c r="C1425" s="76">
        <v>140</v>
      </c>
      <c r="D1425" s="76" t="s">
        <v>433</v>
      </c>
      <c r="E1425" s="76" t="s">
        <v>426</v>
      </c>
      <c r="F1425" s="77">
        <v>-979.84</v>
      </c>
      <c r="G1425" s="77">
        <v>811.29</v>
      </c>
      <c r="H1425" s="77">
        <v>-168.55</v>
      </c>
      <c r="I1425" s="76" t="s">
        <v>936</v>
      </c>
      <c r="J1425" s="77">
        <v>0</v>
      </c>
      <c r="K1425" s="78">
        <v>0</v>
      </c>
      <c r="M1425" s="79" t="str">
        <f t="shared" si="68"/>
        <v>140-7510</v>
      </c>
      <c r="N1425" s="79" t="str">
        <f t="shared" si="66"/>
        <v/>
      </c>
      <c r="O1425" s="79" t="str">
        <f t="shared" si="67"/>
        <v>140</v>
      </c>
      <c r="P1425" s="79" t="str">
        <f>IFERROR(VLOOKUP($M1425,Export!$P:$R,2,FALSE),"-")</f>
        <v>Admin &amp; Other</v>
      </c>
      <c r="Q1425" s="79" t="str">
        <f>IFERROR(VLOOKUP($M1425,Export!$P:$R,3,FALSE),"-")</f>
        <v>Admin &amp; OtherOther Overheads as % of Total Gross Profit</v>
      </c>
      <c r="R1425" s="80" t="e" cm="1">
        <f t="array" ref="R1425">_xlfn.IFS(P1425="Service", _xlfn.IFS(I1425="SALES","GP",I1425="SERVICE SALES","GP",I1425="PARTS SALES","GP",I1425="SERVICE COS","GP",I1425="PARTS COS","GP",I1425="SELLING EXPENSES","Selling Expenses",I1425="EMPLOYMENT EXPENSES","Selling Expenses",I1425="EMPLOYMENT EXPENSES","Selling Expenses",I1425="DIRECT EXPENSES","Selling Expenses",I1425="INDIRECT EXPENSES","Selling Expenses"),P1425="Parts",_xlfn.IFS(I1425="SALES","GP",I1425="SERVICE SALES","GP",I1425="PARTS SALES","GP",I1425="SERVICE COS","GP",I1425="PARTS COS","GP",I1425="SELLING EXPENSES","Selling Expenses",I1425="EMPLOYMENT EXPENSES","Selling Expenses",I1425="EMPLOYMENT EXPENSES","Selling Expenses",I1425="DIRECT EXPENSES","Selling Expenses",I1425="INDIRECT EXPENSES","Selling Expenses"))</f>
        <v>#N/A</v>
      </c>
    </row>
    <row r="1426" spans="1:18" x14ac:dyDescent="0.2">
      <c r="A1426" s="75">
        <v>7510</v>
      </c>
      <c r="B1426" s="76" t="s">
        <v>949</v>
      </c>
      <c r="C1426" s="76">
        <v>142</v>
      </c>
      <c r="D1426" s="76" t="s">
        <v>454</v>
      </c>
      <c r="E1426" s="76" t="s">
        <v>426</v>
      </c>
      <c r="F1426" s="77">
        <v>150.78</v>
      </c>
      <c r="G1426" s="77">
        <v>0</v>
      </c>
      <c r="H1426" s="77">
        <v>150.78</v>
      </c>
      <c r="I1426" s="76" t="s">
        <v>936</v>
      </c>
      <c r="J1426" s="77">
        <v>0</v>
      </c>
      <c r="K1426" s="78">
        <v>0</v>
      </c>
      <c r="M1426" s="79" t="str">
        <f t="shared" si="68"/>
        <v>142-7510</v>
      </c>
      <c r="N1426" s="79" t="str">
        <f t="shared" si="66"/>
        <v/>
      </c>
      <c r="O1426" s="79" t="str">
        <f t="shared" si="67"/>
        <v>142</v>
      </c>
      <c r="P1426" s="79" t="str">
        <f>IFERROR(VLOOKUP($M1426,Export!$P:$R,2,FALSE),"-")</f>
        <v>LEX Admin &amp; Other</v>
      </c>
      <c r="Q1426" s="79" t="str">
        <f>IFERROR(VLOOKUP($M1426,Export!$P:$R,3,FALSE),"-")</f>
        <v>LEX Admin &amp; OtherOther Overheads as % of Total Gross Profit</v>
      </c>
      <c r="R1426" s="80" t="e" cm="1">
        <f t="array" ref="R1426">_xlfn.IFS(P1426="Service", _xlfn.IFS(I1426="SALES","GP",I1426="SERVICE SALES","GP",I1426="PARTS SALES","GP",I1426="SERVICE COS","GP",I1426="PARTS COS","GP",I1426="SELLING EXPENSES","Selling Expenses",I1426="EMPLOYMENT EXPENSES","Selling Expenses",I1426="EMPLOYMENT EXPENSES","Selling Expenses",I1426="DIRECT EXPENSES","Selling Expenses",I1426="INDIRECT EXPENSES","Selling Expenses"),P1426="Parts",_xlfn.IFS(I1426="SALES","GP",I1426="SERVICE SALES","GP",I1426="PARTS SALES","GP",I1426="SERVICE COS","GP",I1426="PARTS COS","GP",I1426="SELLING EXPENSES","Selling Expenses",I1426="EMPLOYMENT EXPENSES","Selling Expenses",I1426="EMPLOYMENT EXPENSES","Selling Expenses",I1426="DIRECT EXPENSES","Selling Expenses",I1426="INDIRECT EXPENSES","Selling Expenses"))</f>
        <v>#N/A</v>
      </c>
    </row>
    <row r="1427" spans="1:18" x14ac:dyDescent="0.2">
      <c r="A1427" s="75">
        <v>7510</v>
      </c>
      <c r="B1427" s="76" t="s">
        <v>949</v>
      </c>
      <c r="C1427" s="76">
        <v>160</v>
      </c>
      <c r="D1427" s="76" t="s">
        <v>434</v>
      </c>
      <c r="E1427" s="76" t="s">
        <v>426</v>
      </c>
      <c r="F1427" s="77">
        <v>-839.94</v>
      </c>
      <c r="G1427" s="77">
        <v>182.66</v>
      </c>
      <c r="H1427" s="77">
        <v>-657.28</v>
      </c>
      <c r="I1427" s="76" t="s">
        <v>936</v>
      </c>
      <c r="J1427" s="77">
        <v>40</v>
      </c>
      <c r="K1427" s="78">
        <v>240</v>
      </c>
      <c r="M1427" s="79" t="str">
        <f t="shared" si="68"/>
        <v>160-7510</v>
      </c>
      <c r="N1427" s="79" t="str">
        <f t="shared" si="66"/>
        <v/>
      </c>
      <c r="O1427" s="79" t="str">
        <f t="shared" si="67"/>
        <v>160</v>
      </c>
      <c r="P1427" s="79" t="str">
        <f>IFERROR(VLOOKUP($M1427,Export!$P:$R,2,FALSE),"-")</f>
        <v>Admin &amp; Other</v>
      </c>
      <c r="Q1427" s="79" t="str">
        <f>IFERROR(VLOOKUP($M1427,Export!$P:$R,3,FALSE),"-")</f>
        <v>Admin &amp; OtherOther Overheads as % of Total Gross Profit</v>
      </c>
      <c r="R1427" s="80" t="e" cm="1">
        <f t="array" ref="R1427">_xlfn.IFS(P1427="Service", _xlfn.IFS(I1427="SALES","GP",I1427="SERVICE SALES","GP",I1427="PARTS SALES","GP",I1427="SERVICE COS","GP",I1427="PARTS COS","GP",I1427="SELLING EXPENSES","Selling Expenses",I1427="EMPLOYMENT EXPENSES","Selling Expenses",I1427="EMPLOYMENT EXPENSES","Selling Expenses",I1427="DIRECT EXPENSES","Selling Expenses",I1427="INDIRECT EXPENSES","Selling Expenses"),P1427="Parts",_xlfn.IFS(I1427="SALES","GP",I1427="SERVICE SALES","GP",I1427="PARTS SALES","GP",I1427="SERVICE COS","GP",I1427="PARTS COS","GP",I1427="SELLING EXPENSES","Selling Expenses",I1427="EMPLOYMENT EXPENSES","Selling Expenses",I1427="EMPLOYMENT EXPENSES","Selling Expenses",I1427="DIRECT EXPENSES","Selling Expenses",I1427="INDIRECT EXPENSES","Selling Expenses"))</f>
        <v>#N/A</v>
      </c>
    </row>
    <row r="1428" spans="1:18" x14ac:dyDescent="0.2">
      <c r="A1428" s="75">
        <v>7510</v>
      </c>
      <c r="B1428" s="76" t="s">
        <v>949</v>
      </c>
      <c r="C1428" s="76">
        <v>170</v>
      </c>
      <c r="D1428" s="76" t="s">
        <v>676</v>
      </c>
      <c r="E1428" s="76" t="s">
        <v>426</v>
      </c>
      <c r="F1428" s="77">
        <v>0</v>
      </c>
      <c r="G1428" s="77">
        <v>0</v>
      </c>
      <c r="H1428" s="77">
        <v>0</v>
      </c>
      <c r="I1428" s="76" t="s">
        <v>936</v>
      </c>
      <c r="J1428" s="77">
        <v>0</v>
      </c>
      <c r="K1428" s="78">
        <v>250.72</v>
      </c>
      <c r="M1428" s="79" t="str">
        <f t="shared" si="68"/>
        <v>170-7510</v>
      </c>
      <c r="N1428" s="79" t="str">
        <f t="shared" si="66"/>
        <v/>
      </c>
      <c r="O1428" s="79" t="str">
        <f t="shared" si="67"/>
        <v>170</v>
      </c>
      <c r="P1428" s="79" t="str">
        <f>IFERROR(VLOOKUP($M1428,Export!$P:$R,2,FALSE),"-")</f>
        <v>Admin &amp; Other</v>
      </c>
      <c r="Q1428" s="79" t="str">
        <f>IFERROR(VLOOKUP($M1428,Export!$P:$R,3,FALSE),"-")</f>
        <v>Admin &amp; OtherOther Overheads as % of Total Gross Profit</v>
      </c>
      <c r="R1428" s="80" t="e" cm="1">
        <f t="array" ref="R1428">_xlfn.IFS(P1428="Service", _xlfn.IFS(I1428="SALES","GP",I1428="SERVICE SALES","GP",I1428="PARTS SALES","GP",I1428="SERVICE COS","GP",I1428="PARTS COS","GP",I1428="SELLING EXPENSES","Selling Expenses",I1428="EMPLOYMENT EXPENSES","Selling Expenses",I1428="EMPLOYMENT EXPENSES","Selling Expenses",I1428="DIRECT EXPENSES","Selling Expenses",I1428="INDIRECT EXPENSES","Selling Expenses"),P1428="Parts",_xlfn.IFS(I1428="SALES","GP",I1428="SERVICE SALES","GP",I1428="PARTS SALES","GP",I1428="SERVICE COS","GP",I1428="PARTS COS","GP",I1428="SELLING EXPENSES","Selling Expenses",I1428="EMPLOYMENT EXPENSES","Selling Expenses",I1428="EMPLOYMENT EXPENSES","Selling Expenses",I1428="DIRECT EXPENSES","Selling Expenses",I1428="INDIRECT EXPENSES","Selling Expenses"))</f>
        <v>#N/A</v>
      </c>
    </row>
    <row r="1429" spans="1:18" x14ac:dyDescent="0.2">
      <c r="A1429" s="75">
        <v>7510</v>
      </c>
      <c r="B1429" s="76" t="s">
        <v>949</v>
      </c>
      <c r="C1429" s="76">
        <v>190</v>
      </c>
      <c r="D1429" s="76" t="s">
        <v>435</v>
      </c>
      <c r="E1429" s="76" t="s">
        <v>426</v>
      </c>
      <c r="F1429" s="77">
        <v>6369.22</v>
      </c>
      <c r="G1429" s="77">
        <v>29.83</v>
      </c>
      <c r="H1429" s="77">
        <v>6399.05</v>
      </c>
      <c r="I1429" s="76" t="s">
        <v>936</v>
      </c>
      <c r="J1429" s="77">
        <v>0</v>
      </c>
      <c r="K1429" s="78">
        <v>0</v>
      </c>
      <c r="M1429" s="79" t="str">
        <f t="shared" si="68"/>
        <v>190-7510</v>
      </c>
      <c r="N1429" s="79" t="str">
        <f t="shared" si="66"/>
        <v/>
      </c>
      <c r="O1429" s="79" t="str">
        <f t="shared" si="67"/>
        <v>190</v>
      </c>
      <c r="P1429" s="79" t="str">
        <f>IFERROR(VLOOKUP($M1429,Export!$P:$R,2,FALSE),"-")</f>
        <v>Admin &amp; Other</v>
      </c>
      <c r="Q1429" s="79" t="str">
        <f>IFERROR(VLOOKUP($M1429,Export!$P:$R,3,FALSE),"-")</f>
        <v>Admin &amp; OtherOther Overheads as % of Total Gross Profit</v>
      </c>
      <c r="R1429" s="80" t="e" cm="1">
        <f t="array" ref="R1429">_xlfn.IFS(P1429="Service", _xlfn.IFS(I1429="SALES","GP",I1429="SERVICE SALES","GP",I1429="PARTS SALES","GP",I1429="SERVICE COS","GP",I1429="PARTS COS","GP",I1429="SELLING EXPENSES","Selling Expenses",I1429="EMPLOYMENT EXPENSES","Selling Expenses",I1429="EMPLOYMENT EXPENSES","Selling Expenses",I1429="DIRECT EXPENSES","Selling Expenses",I1429="INDIRECT EXPENSES","Selling Expenses"),P1429="Parts",_xlfn.IFS(I1429="SALES","GP",I1429="SERVICE SALES","GP",I1429="PARTS SALES","GP",I1429="SERVICE COS","GP",I1429="PARTS COS","GP",I1429="SELLING EXPENSES","Selling Expenses",I1429="EMPLOYMENT EXPENSES","Selling Expenses",I1429="EMPLOYMENT EXPENSES","Selling Expenses",I1429="DIRECT EXPENSES","Selling Expenses",I1429="INDIRECT EXPENSES","Selling Expenses"))</f>
        <v>#N/A</v>
      </c>
    </row>
    <row r="1430" spans="1:18" x14ac:dyDescent="0.2">
      <c r="A1430" s="75">
        <v>7510</v>
      </c>
      <c r="B1430" s="76" t="s">
        <v>949</v>
      </c>
      <c r="C1430" s="76">
        <v>210</v>
      </c>
      <c r="D1430" s="76" t="s">
        <v>436</v>
      </c>
      <c r="E1430" s="76" t="s">
        <v>426</v>
      </c>
      <c r="F1430" s="77">
        <v>993.38</v>
      </c>
      <c r="G1430" s="77">
        <v>396.54</v>
      </c>
      <c r="H1430" s="77">
        <v>1389.92</v>
      </c>
      <c r="I1430" s="76" t="s">
        <v>936</v>
      </c>
      <c r="J1430" s="77">
        <v>50</v>
      </c>
      <c r="K1430" s="78">
        <v>394.85</v>
      </c>
      <c r="M1430" s="79" t="str">
        <f t="shared" si="68"/>
        <v>210-7510</v>
      </c>
      <c r="N1430" s="79" t="str">
        <f t="shared" si="66"/>
        <v/>
      </c>
      <c r="O1430" s="79" t="str">
        <f t="shared" si="67"/>
        <v>210</v>
      </c>
      <c r="P1430" s="79" t="str">
        <f>IFERROR(VLOOKUP($M1430,Export!$P:$R,2,FALSE),"-")</f>
        <v>Admin &amp; Other</v>
      </c>
      <c r="Q1430" s="79" t="str">
        <f>IFERROR(VLOOKUP($M1430,Export!$P:$R,3,FALSE),"-")</f>
        <v>Admin &amp; OtherOther Overheads as % of Total Gross Profit</v>
      </c>
      <c r="R1430" s="80" t="e" cm="1">
        <f t="array" ref="R1430">_xlfn.IFS(P1430="Service", _xlfn.IFS(I1430="SALES","GP",I1430="SERVICE SALES","GP",I1430="PARTS SALES","GP",I1430="SERVICE COS","GP",I1430="PARTS COS","GP",I1430="SELLING EXPENSES","Selling Expenses",I1430="EMPLOYMENT EXPENSES","Selling Expenses",I1430="EMPLOYMENT EXPENSES","Selling Expenses",I1430="DIRECT EXPENSES","Selling Expenses",I1430="INDIRECT EXPENSES","Selling Expenses"),P1430="Parts",_xlfn.IFS(I1430="SALES","GP",I1430="SERVICE SALES","GP",I1430="PARTS SALES","GP",I1430="SERVICE COS","GP",I1430="PARTS COS","GP",I1430="SELLING EXPENSES","Selling Expenses",I1430="EMPLOYMENT EXPENSES","Selling Expenses",I1430="EMPLOYMENT EXPENSES","Selling Expenses",I1430="DIRECT EXPENSES","Selling Expenses",I1430="INDIRECT EXPENSES","Selling Expenses"))</f>
        <v>#N/A</v>
      </c>
    </row>
    <row r="1431" spans="1:18" x14ac:dyDescent="0.2">
      <c r="A1431" s="75">
        <v>7510</v>
      </c>
      <c r="B1431" s="76" t="s">
        <v>949</v>
      </c>
      <c r="C1431" s="76">
        <v>220</v>
      </c>
      <c r="D1431" s="76" t="s">
        <v>437</v>
      </c>
      <c r="E1431" s="76" t="s">
        <v>426</v>
      </c>
      <c r="F1431" s="77">
        <v>1268.83</v>
      </c>
      <c r="G1431" s="77">
        <v>350.11</v>
      </c>
      <c r="H1431" s="77">
        <v>1618.94</v>
      </c>
      <c r="I1431" s="76" t="s">
        <v>936</v>
      </c>
      <c r="J1431" s="77">
        <v>40</v>
      </c>
      <c r="K1431" s="78">
        <v>240</v>
      </c>
      <c r="M1431" s="79" t="str">
        <f t="shared" si="68"/>
        <v>220-7510</v>
      </c>
      <c r="N1431" s="79" t="str">
        <f t="shared" si="66"/>
        <v/>
      </c>
      <c r="O1431" s="79" t="str">
        <f t="shared" si="67"/>
        <v>220</v>
      </c>
      <c r="P1431" s="79" t="str">
        <f>IFERROR(VLOOKUP($M1431,Export!$P:$R,2,FALSE),"-")</f>
        <v>Admin &amp; Other</v>
      </c>
      <c r="Q1431" s="79" t="str">
        <f>IFERROR(VLOOKUP($M1431,Export!$P:$R,3,FALSE),"-")</f>
        <v>Admin &amp; OtherOther Overheads as % of Total Gross Profit</v>
      </c>
      <c r="R1431" s="80" t="e" cm="1">
        <f t="array" ref="R1431">_xlfn.IFS(P1431="Service", _xlfn.IFS(I1431="SALES","GP",I1431="SERVICE SALES","GP",I1431="PARTS SALES","GP",I1431="SERVICE COS","GP",I1431="PARTS COS","GP",I1431="SELLING EXPENSES","Selling Expenses",I1431="EMPLOYMENT EXPENSES","Selling Expenses",I1431="EMPLOYMENT EXPENSES","Selling Expenses",I1431="DIRECT EXPENSES","Selling Expenses",I1431="INDIRECT EXPENSES","Selling Expenses"),P1431="Parts",_xlfn.IFS(I1431="SALES","GP",I1431="SERVICE SALES","GP",I1431="PARTS SALES","GP",I1431="SERVICE COS","GP",I1431="PARTS COS","GP",I1431="SELLING EXPENSES","Selling Expenses",I1431="EMPLOYMENT EXPENSES","Selling Expenses",I1431="EMPLOYMENT EXPENSES","Selling Expenses",I1431="DIRECT EXPENSES","Selling Expenses",I1431="INDIRECT EXPENSES","Selling Expenses"))</f>
        <v>#N/A</v>
      </c>
    </row>
    <row r="1432" spans="1:18" x14ac:dyDescent="0.2">
      <c r="A1432" s="75">
        <v>7510</v>
      </c>
      <c r="B1432" s="76" t="s">
        <v>949</v>
      </c>
      <c r="C1432" s="76">
        <v>230</v>
      </c>
      <c r="D1432" s="76" t="s">
        <v>438</v>
      </c>
      <c r="E1432" s="76" t="s">
        <v>426</v>
      </c>
      <c r="F1432" s="77">
        <v>388.29</v>
      </c>
      <c r="G1432" s="77">
        <v>448.02</v>
      </c>
      <c r="H1432" s="77">
        <v>836.31</v>
      </c>
      <c r="I1432" s="76" t="s">
        <v>936</v>
      </c>
      <c r="J1432" s="77">
        <v>50</v>
      </c>
      <c r="K1432" s="78">
        <v>300</v>
      </c>
      <c r="M1432" s="79" t="str">
        <f t="shared" si="68"/>
        <v>230-7510</v>
      </c>
      <c r="N1432" s="79" t="str">
        <f t="shared" si="66"/>
        <v/>
      </c>
      <c r="O1432" s="79" t="str">
        <f t="shared" si="67"/>
        <v>230</v>
      </c>
      <c r="P1432" s="79" t="str">
        <f>IFERROR(VLOOKUP($M1432,Export!$P:$R,2,FALSE),"-")</f>
        <v>Admin &amp; Other</v>
      </c>
      <c r="Q1432" s="79" t="str">
        <f>IFERROR(VLOOKUP($M1432,Export!$P:$R,3,FALSE),"-")</f>
        <v>Admin &amp; OtherOther Overheads as % of Total Gross Profit</v>
      </c>
      <c r="R1432" s="80" t="e" cm="1">
        <f t="array" ref="R1432">_xlfn.IFS(P1432="Service", _xlfn.IFS(I1432="SALES","GP",I1432="SERVICE SALES","GP",I1432="PARTS SALES","GP",I1432="SERVICE COS","GP",I1432="PARTS COS","GP",I1432="SELLING EXPENSES","Selling Expenses",I1432="EMPLOYMENT EXPENSES","Selling Expenses",I1432="EMPLOYMENT EXPENSES","Selling Expenses",I1432="DIRECT EXPENSES","Selling Expenses",I1432="INDIRECT EXPENSES","Selling Expenses"),P1432="Parts",_xlfn.IFS(I1432="SALES","GP",I1432="SERVICE SALES","GP",I1432="PARTS SALES","GP",I1432="SERVICE COS","GP",I1432="PARTS COS","GP",I1432="SELLING EXPENSES","Selling Expenses",I1432="EMPLOYMENT EXPENSES","Selling Expenses",I1432="EMPLOYMENT EXPENSES","Selling Expenses",I1432="DIRECT EXPENSES","Selling Expenses",I1432="INDIRECT EXPENSES","Selling Expenses"))</f>
        <v>#N/A</v>
      </c>
    </row>
    <row r="1433" spans="1:18" x14ac:dyDescent="0.2">
      <c r="A1433" s="75">
        <v>7510</v>
      </c>
      <c r="B1433" s="76" t="s">
        <v>949</v>
      </c>
      <c r="C1433" s="76">
        <v>240</v>
      </c>
      <c r="D1433" s="76" t="s">
        <v>439</v>
      </c>
      <c r="E1433" s="76" t="s">
        <v>426</v>
      </c>
      <c r="F1433" s="77">
        <v>1329.21</v>
      </c>
      <c r="G1433" s="77">
        <v>373.24</v>
      </c>
      <c r="H1433" s="77">
        <v>1702.45</v>
      </c>
      <c r="I1433" s="76" t="s">
        <v>936</v>
      </c>
      <c r="J1433" s="77">
        <v>0</v>
      </c>
      <c r="K1433" s="78">
        <v>0</v>
      </c>
      <c r="M1433" s="79" t="str">
        <f t="shared" si="68"/>
        <v>240-7510</v>
      </c>
      <c r="N1433" s="79" t="str">
        <f t="shared" si="66"/>
        <v/>
      </c>
      <c r="O1433" s="79" t="str">
        <f t="shared" si="67"/>
        <v>240</v>
      </c>
      <c r="P1433" s="79" t="str">
        <f>IFERROR(VLOOKUP($M1433,Export!$P:$R,2,FALSE),"-")</f>
        <v>Admin &amp; Other</v>
      </c>
      <c r="Q1433" s="79" t="str">
        <f>IFERROR(VLOOKUP($M1433,Export!$P:$R,3,FALSE),"-")</f>
        <v>Admin &amp; OtherOther Overheads as % of Total Gross Profit</v>
      </c>
      <c r="R1433" s="80" t="e" cm="1">
        <f t="array" ref="R1433">_xlfn.IFS(P1433="Service", _xlfn.IFS(I1433="SALES","GP",I1433="SERVICE SALES","GP",I1433="PARTS SALES","GP",I1433="SERVICE COS","GP",I1433="PARTS COS","GP",I1433="SELLING EXPENSES","Selling Expenses",I1433="EMPLOYMENT EXPENSES","Selling Expenses",I1433="EMPLOYMENT EXPENSES","Selling Expenses",I1433="DIRECT EXPENSES","Selling Expenses",I1433="INDIRECT EXPENSES","Selling Expenses"),P1433="Parts",_xlfn.IFS(I1433="SALES","GP",I1433="SERVICE SALES","GP",I1433="PARTS SALES","GP",I1433="SERVICE COS","GP",I1433="PARTS COS","GP",I1433="SELLING EXPENSES","Selling Expenses",I1433="EMPLOYMENT EXPENSES","Selling Expenses",I1433="EMPLOYMENT EXPENSES","Selling Expenses",I1433="DIRECT EXPENSES","Selling Expenses",I1433="INDIRECT EXPENSES","Selling Expenses"))</f>
        <v>#N/A</v>
      </c>
    </row>
    <row r="1434" spans="1:18" x14ac:dyDescent="0.2">
      <c r="A1434" s="75">
        <v>7510</v>
      </c>
      <c r="B1434" s="76" t="s">
        <v>949</v>
      </c>
      <c r="C1434" s="76">
        <v>260</v>
      </c>
      <c r="D1434" s="76" t="s">
        <v>456</v>
      </c>
      <c r="E1434" s="76" t="s">
        <v>426</v>
      </c>
      <c r="F1434" s="77">
        <v>0</v>
      </c>
      <c r="G1434" s="77">
        <v>0</v>
      </c>
      <c r="H1434" s="77">
        <v>0</v>
      </c>
      <c r="I1434" s="76" t="s">
        <v>936</v>
      </c>
      <c r="J1434" s="77">
        <v>20</v>
      </c>
      <c r="K1434" s="78">
        <v>100</v>
      </c>
      <c r="M1434" s="79" t="str">
        <f t="shared" si="68"/>
        <v>260-7510</v>
      </c>
      <c r="N1434" s="79" t="str">
        <f t="shared" si="66"/>
        <v/>
      </c>
      <c r="O1434" s="79" t="str">
        <f t="shared" si="67"/>
        <v>260</v>
      </c>
      <c r="P1434" s="79" t="str">
        <f>IFERROR(VLOOKUP($M1434,Export!$P:$R,2,FALSE),"-")</f>
        <v>Admin &amp; Other</v>
      </c>
      <c r="Q1434" s="79" t="str">
        <f>IFERROR(VLOOKUP($M1434,Export!$P:$R,3,FALSE),"-")</f>
        <v>Admin &amp; OtherOther Overheads as % of Total Gross Profit</v>
      </c>
      <c r="R1434" s="80" t="e" cm="1">
        <f t="array" ref="R1434">_xlfn.IFS(P1434="Service", _xlfn.IFS(I1434="SALES","GP",I1434="SERVICE SALES","GP",I1434="PARTS SALES","GP",I1434="SERVICE COS","GP",I1434="PARTS COS","GP",I1434="SELLING EXPENSES","Selling Expenses",I1434="EMPLOYMENT EXPENSES","Selling Expenses",I1434="EMPLOYMENT EXPENSES","Selling Expenses",I1434="DIRECT EXPENSES","Selling Expenses",I1434="INDIRECT EXPENSES","Selling Expenses"),P1434="Parts",_xlfn.IFS(I1434="SALES","GP",I1434="SERVICE SALES","GP",I1434="PARTS SALES","GP",I1434="SERVICE COS","GP",I1434="PARTS COS","GP",I1434="SELLING EXPENSES","Selling Expenses",I1434="EMPLOYMENT EXPENSES","Selling Expenses",I1434="EMPLOYMENT EXPENSES","Selling Expenses",I1434="DIRECT EXPENSES","Selling Expenses",I1434="INDIRECT EXPENSES","Selling Expenses"))</f>
        <v>#N/A</v>
      </c>
    </row>
    <row r="1435" spans="1:18" x14ac:dyDescent="0.2">
      <c r="A1435" s="75">
        <v>7510</v>
      </c>
      <c r="B1435" s="76" t="s">
        <v>949</v>
      </c>
      <c r="C1435" s="76">
        <v>330</v>
      </c>
      <c r="D1435" s="76" t="s">
        <v>457</v>
      </c>
      <c r="E1435" s="76" t="s">
        <v>426</v>
      </c>
      <c r="F1435" s="77">
        <v>317.87</v>
      </c>
      <c r="G1435" s="77">
        <v>296.35000000000002</v>
      </c>
      <c r="H1435" s="77">
        <v>614.22</v>
      </c>
      <c r="I1435" s="76" t="s">
        <v>936</v>
      </c>
      <c r="J1435" s="77">
        <v>10</v>
      </c>
      <c r="K1435" s="78">
        <v>155.43</v>
      </c>
      <c r="M1435" s="79" t="str">
        <f t="shared" si="68"/>
        <v>330-7510</v>
      </c>
      <c r="N1435" s="79" t="str">
        <f t="shared" si="66"/>
        <v/>
      </c>
      <c r="O1435" s="79" t="str">
        <f t="shared" si="67"/>
        <v>330</v>
      </c>
      <c r="P1435" s="79" t="str">
        <f>IFERROR(VLOOKUP($M1435,Export!$P:$R,2,FALSE),"-")</f>
        <v>Admin &amp; Other</v>
      </c>
      <c r="Q1435" s="79" t="str">
        <f>IFERROR(VLOOKUP($M1435,Export!$P:$R,3,FALSE),"-")</f>
        <v>Admin &amp; OtherOther Overheads as % of Total Gross Profit</v>
      </c>
      <c r="R1435" s="80" t="e" cm="1">
        <f t="array" ref="R1435">_xlfn.IFS(P1435="Service", _xlfn.IFS(I1435="SALES","GP",I1435="SERVICE SALES","GP",I1435="PARTS SALES","GP",I1435="SERVICE COS","GP",I1435="PARTS COS","GP",I1435="SELLING EXPENSES","Selling Expenses",I1435="EMPLOYMENT EXPENSES","Selling Expenses",I1435="EMPLOYMENT EXPENSES","Selling Expenses",I1435="DIRECT EXPENSES","Selling Expenses",I1435="INDIRECT EXPENSES","Selling Expenses"),P1435="Parts",_xlfn.IFS(I1435="SALES","GP",I1435="SERVICE SALES","GP",I1435="PARTS SALES","GP",I1435="SERVICE COS","GP",I1435="PARTS COS","GP",I1435="SELLING EXPENSES","Selling Expenses",I1435="EMPLOYMENT EXPENSES","Selling Expenses",I1435="EMPLOYMENT EXPENSES","Selling Expenses",I1435="DIRECT EXPENSES","Selling Expenses",I1435="INDIRECT EXPENSES","Selling Expenses"))</f>
        <v>#N/A</v>
      </c>
    </row>
    <row r="1436" spans="1:18" x14ac:dyDescent="0.2">
      <c r="A1436" s="75">
        <v>7510</v>
      </c>
      <c r="B1436" s="76" t="s">
        <v>949</v>
      </c>
      <c r="C1436" s="76">
        <v>340</v>
      </c>
      <c r="D1436" s="76" t="s">
        <v>440</v>
      </c>
      <c r="E1436" s="76" t="s">
        <v>426</v>
      </c>
      <c r="F1436" s="77">
        <v>-188.38</v>
      </c>
      <c r="G1436" s="77">
        <v>345.12</v>
      </c>
      <c r="H1436" s="77">
        <v>156.74</v>
      </c>
      <c r="I1436" s="76" t="s">
        <v>936</v>
      </c>
      <c r="J1436" s="77">
        <v>0</v>
      </c>
      <c r="K1436" s="78">
        <v>871.68</v>
      </c>
      <c r="M1436" s="79" t="str">
        <f t="shared" si="68"/>
        <v>340-7510</v>
      </c>
      <c r="N1436" s="79" t="str">
        <f t="shared" si="66"/>
        <v/>
      </c>
      <c r="O1436" s="79" t="str">
        <f t="shared" si="67"/>
        <v>340</v>
      </c>
      <c r="P1436" s="79" t="str">
        <f>IFERROR(VLOOKUP($M1436,Export!$P:$R,2,FALSE),"-")</f>
        <v>Admin &amp; Other</v>
      </c>
      <c r="Q1436" s="79" t="str">
        <f>IFERROR(VLOOKUP($M1436,Export!$P:$R,3,FALSE),"-")</f>
        <v>Admin &amp; OtherOther Overheads as % of Total Gross Profit</v>
      </c>
      <c r="R1436" s="80" t="e" cm="1">
        <f t="array" ref="R1436">_xlfn.IFS(P1436="Service", _xlfn.IFS(I1436="SALES","GP",I1436="SERVICE SALES","GP",I1436="PARTS SALES","GP",I1436="SERVICE COS","GP",I1436="PARTS COS","GP",I1436="SELLING EXPENSES","Selling Expenses",I1436="EMPLOYMENT EXPENSES","Selling Expenses",I1436="EMPLOYMENT EXPENSES","Selling Expenses",I1436="DIRECT EXPENSES","Selling Expenses",I1436="INDIRECT EXPENSES","Selling Expenses"),P1436="Parts",_xlfn.IFS(I1436="SALES","GP",I1436="SERVICE SALES","GP",I1436="PARTS SALES","GP",I1436="SERVICE COS","GP",I1436="PARTS COS","GP",I1436="SELLING EXPENSES","Selling Expenses",I1436="EMPLOYMENT EXPENSES","Selling Expenses",I1436="EMPLOYMENT EXPENSES","Selling Expenses",I1436="DIRECT EXPENSES","Selling Expenses",I1436="INDIRECT EXPENSES","Selling Expenses"))</f>
        <v>#N/A</v>
      </c>
    </row>
    <row r="1437" spans="1:18" x14ac:dyDescent="0.2">
      <c r="A1437" s="75">
        <v>7510</v>
      </c>
      <c r="B1437" s="76" t="s">
        <v>949</v>
      </c>
      <c r="C1437" s="76">
        <v>430</v>
      </c>
      <c r="D1437" s="76" t="s">
        <v>458</v>
      </c>
      <c r="E1437" s="76" t="s">
        <v>426</v>
      </c>
      <c r="F1437" s="77">
        <v>513.94000000000005</v>
      </c>
      <c r="G1437" s="77">
        <v>0</v>
      </c>
      <c r="H1437" s="77">
        <v>513.94000000000005</v>
      </c>
      <c r="I1437" s="76" t="s">
        <v>936</v>
      </c>
      <c r="J1437" s="77">
        <v>10</v>
      </c>
      <c r="K1437" s="78">
        <v>60</v>
      </c>
      <c r="M1437" s="79" t="str">
        <f t="shared" si="68"/>
        <v>430-7510</v>
      </c>
      <c r="N1437" s="79" t="str">
        <f t="shared" si="66"/>
        <v/>
      </c>
      <c r="O1437" s="79" t="str">
        <f t="shared" si="67"/>
        <v>430</v>
      </c>
      <c r="P1437" s="79" t="str">
        <f>IFERROR(VLOOKUP($M1437,Export!$P:$R,2,FALSE),"-")</f>
        <v>Admin &amp; Other</v>
      </c>
      <c r="Q1437" s="79" t="str">
        <f>IFERROR(VLOOKUP($M1437,Export!$P:$R,3,FALSE),"-")</f>
        <v>Admin &amp; OtherOther Overheads as % of Total Gross Profit</v>
      </c>
      <c r="R1437" s="80" t="e" cm="1">
        <f t="array" ref="R1437">_xlfn.IFS(P1437="Service", _xlfn.IFS(I1437="SALES","GP",I1437="SERVICE SALES","GP",I1437="PARTS SALES","GP",I1437="SERVICE COS","GP",I1437="PARTS COS","GP",I1437="SELLING EXPENSES","Selling Expenses",I1437="EMPLOYMENT EXPENSES","Selling Expenses",I1437="EMPLOYMENT EXPENSES","Selling Expenses",I1437="DIRECT EXPENSES","Selling Expenses",I1437="INDIRECT EXPENSES","Selling Expenses"),P1437="Parts",_xlfn.IFS(I1437="SALES","GP",I1437="SERVICE SALES","GP",I1437="PARTS SALES","GP",I1437="SERVICE COS","GP",I1437="PARTS COS","GP",I1437="SELLING EXPENSES","Selling Expenses",I1437="EMPLOYMENT EXPENSES","Selling Expenses",I1437="EMPLOYMENT EXPENSES","Selling Expenses",I1437="DIRECT EXPENSES","Selling Expenses",I1437="INDIRECT EXPENSES","Selling Expenses"))</f>
        <v>#N/A</v>
      </c>
    </row>
    <row r="1438" spans="1:18" x14ac:dyDescent="0.2">
      <c r="A1438" s="75">
        <v>7510</v>
      </c>
      <c r="B1438" s="76" t="s">
        <v>949</v>
      </c>
      <c r="C1438" s="76">
        <v>440</v>
      </c>
      <c r="D1438" s="76" t="s">
        <v>441</v>
      </c>
      <c r="E1438" s="76" t="s">
        <v>426</v>
      </c>
      <c r="F1438" s="77">
        <v>671.36</v>
      </c>
      <c r="G1438" s="77">
        <v>137.38999999999999</v>
      </c>
      <c r="H1438" s="77">
        <v>808.75</v>
      </c>
      <c r="I1438" s="76" t="s">
        <v>936</v>
      </c>
      <c r="J1438" s="77">
        <v>200</v>
      </c>
      <c r="K1438" s="78">
        <v>1200</v>
      </c>
      <c r="M1438" s="79" t="str">
        <f t="shared" si="68"/>
        <v>440-7510</v>
      </c>
      <c r="N1438" s="79" t="str">
        <f t="shared" si="66"/>
        <v/>
      </c>
      <c r="O1438" s="79" t="str">
        <f t="shared" si="67"/>
        <v>440</v>
      </c>
      <c r="P1438" s="79" t="str">
        <f>IFERROR(VLOOKUP($M1438,Export!$P:$R,2,FALSE),"-")</f>
        <v>Admin &amp; Other</v>
      </c>
      <c r="Q1438" s="79" t="str">
        <f>IFERROR(VLOOKUP($M1438,Export!$P:$R,3,FALSE),"-")</f>
        <v>Admin &amp; OtherOther Overheads as % of Total Gross Profit</v>
      </c>
      <c r="R1438" s="80" t="e" cm="1">
        <f t="array" ref="R1438">_xlfn.IFS(P1438="Service", _xlfn.IFS(I1438="SALES","GP",I1438="SERVICE SALES","GP",I1438="PARTS SALES","GP",I1438="SERVICE COS","GP",I1438="PARTS COS","GP",I1438="SELLING EXPENSES","Selling Expenses",I1438="EMPLOYMENT EXPENSES","Selling Expenses",I1438="EMPLOYMENT EXPENSES","Selling Expenses",I1438="DIRECT EXPENSES","Selling Expenses",I1438="INDIRECT EXPENSES","Selling Expenses"),P1438="Parts",_xlfn.IFS(I1438="SALES","GP",I1438="SERVICE SALES","GP",I1438="PARTS SALES","GP",I1438="SERVICE COS","GP",I1438="PARTS COS","GP",I1438="SELLING EXPENSES","Selling Expenses",I1438="EMPLOYMENT EXPENSES","Selling Expenses",I1438="EMPLOYMENT EXPENSES","Selling Expenses",I1438="DIRECT EXPENSES","Selling Expenses",I1438="INDIRECT EXPENSES","Selling Expenses"))</f>
        <v>#N/A</v>
      </c>
    </row>
    <row r="1439" spans="1:18" x14ac:dyDescent="0.2">
      <c r="A1439" s="75">
        <v>7510</v>
      </c>
      <c r="B1439" s="76" t="s">
        <v>949</v>
      </c>
      <c r="C1439" s="76">
        <v>935</v>
      </c>
      <c r="D1439" s="76" t="s">
        <v>442</v>
      </c>
      <c r="E1439" s="76" t="s">
        <v>426</v>
      </c>
      <c r="F1439" s="77">
        <v>1336.6</v>
      </c>
      <c r="G1439" s="77">
        <v>108.74</v>
      </c>
      <c r="H1439" s="77">
        <v>1445.34</v>
      </c>
      <c r="I1439" s="76" t="s">
        <v>936</v>
      </c>
      <c r="J1439" s="77">
        <v>75</v>
      </c>
      <c r="K1439" s="78">
        <v>3556.73</v>
      </c>
      <c r="M1439" s="79" t="str">
        <f t="shared" si="68"/>
        <v>935-7510</v>
      </c>
      <c r="N1439" s="79" t="str">
        <f t="shared" si="66"/>
        <v/>
      </c>
      <c r="O1439" s="79" t="str">
        <f t="shared" si="67"/>
        <v>935</v>
      </c>
      <c r="P1439" s="79" t="str">
        <f>IFERROR(VLOOKUP($M1439,Export!$P:$R,2,FALSE),"-")</f>
        <v>LEX Admin &amp; Other</v>
      </c>
      <c r="Q1439" s="79" t="str">
        <f>IFERROR(VLOOKUP($M1439,Export!$P:$R,3,FALSE),"-")</f>
        <v>LEX Admin &amp; OtherOther Overheads as % of Total Gross Profit</v>
      </c>
      <c r="R1439" s="80" t="e" cm="1">
        <f t="array" ref="R1439">_xlfn.IFS(P1439="Service", _xlfn.IFS(I1439="SALES","GP",I1439="SERVICE SALES","GP",I1439="PARTS SALES","GP",I1439="SERVICE COS","GP",I1439="PARTS COS","GP",I1439="SELLING EXPENSES","Selling Expenses",I1439="EMPLOYMENT EXPENSES","Selling Expenses",I1439="EMPLOYMENT EXPENSES","Selling Expenses",I1439="DIRECT EXPENSES","Selling Expenses",I1439="INDIRECT EXPENSES","Selling Expenses"),P1439="Parts",_xlfn.IFS(I1439="SALES","GP",I1439="SERVICE SALES","GP",I1439="PARTS SALES","GP",I1439="SERVICE COS","GP",I1439="PARTS COS","GP",I1439="SELLING EXPENSES","Selling Expenses",I1439="EMPLOYMENT EXPENSES","Selling Expenses",I1439="EMPLOYMENT EXPENSES","Selling Expenses",I1439="DIRECT EXPENSES","Selling Expenses",I1439="INDIRECT EXPENSES","Selling Expenses"))</f>
        <v>#N/A</v>
      </c>
    </row>
    <row r="1440" spans="1:18" x14ac:dyDescent="0.2">
      <c r="A1440" s="75">
        <v>7510</v>
      </c>
      <c r="B1440" s="76" t="s">
        <v>949</v>
      </c>
      <c r="C1440" s="76">
        <v>936</v>
      </c>
      <c r="D1440" s="76" t="s">
        <v>443</v>
      </c>
      <c r="E1440" s="76" t="s">
        <v>426</v>
      </c>
      <c r="F1440" s="77">
        <v>-316.49</v>
      </c>
      <c r="G1440" s="77">
        <v>147.83000000000001</v>
      </c>
      <c r="H1440" s="77">
        <v>-168.66</v>
      </c>
      <c r="I1440" s="76" t="s">
        <v>936</v>
      </c>
      <c r="J1440" s="77">
        <v>10</v>
      </c>
      <c r="K1440" s="78">
        <v>60</v>
      </c>
      <c r="M1440" s="79" t="str">
        <f t="shared" si="68"/>
        <v>936-7510</v>
      </c>
      <c r="N1440" s="79" t="str">
        <f t="shared" si="66"/>
        <v/>
      </c>
      <c r="O1440" s="79" t="str">
        <f t="shared" si="67"/>
        <v>936</v>
      </c>
      <c r="P1440" s="79" t="str">
        <f>IFERROR(VLOOKUP($M1440,Export!$P:$R,2,FALSE),"-")</f>
        <v>LEX Admin &amp; Other</v>
      </c>
      <c r="Q1440" s="79" t="str">
        <f>IFERROR(VLOOKUP($M1440,Export!$P:$R,3,FALSE),"-")</f>
        <v>LEX Admin &amp; OtherOther Overheads as % of Total Gross Profit</v>
      </c>
      <c r="R1440" s="80" t="e" cm="1">
        <f t="array" ref="R1440">_xlfn.IFS(P1440="Service", _xlfn.IFS(I1440="SALES","GP",I1440="SERVICE SALES","GP",I1440="PARTS SALES","GP",I1440="SERVICE COS","GP",I1440="PARTS COS","GP",I1440="SELLING EXPENSES","Selling Expenses",I1440="EMPLOYMENT EXPENSES","Selling Expenses",I1440="EMPLOYMENT EXPENSES","Selling Expenses",I1440="DIRECT EXPENSES","Selling Expenses",I1440="INDIRECT EXPENSES","Selling Expenses"),P1440="Parts",_xlfn.IFS(I1440="SALES","GP",I1440="SERVICE SALES","GP",I1440="PARTS SALES","GP",I1440="SERVICE COS","GP",I1440="PARTS COS","GP",I1440="SELLING EXPENSES","Selling Expenses",I1440="EMPLOYMENT EXPENSES","Selling Expenses",I1440="EMPLOYMENT EXPENSES","Selling Expenses",I1440="DIRECT EXPENSES","Selling Expenses",I1440="INDIRECT EXPENSES","Selling Expenses"))</f>
        <v>#N/A</v>
      </c>
    </row>
    <row r="1441" spans="1:18" x14ac:dyDescent="0.2">
      <c r="A1441" s="75">
        <v>7530</v>
      </c>
      <c r="B1441" s="76" t="s">
        <v>950</v>
      </c>
      <c r="C1441" s="76">
        <v>130</v>
      </c>
      <c r="D1441" s="76" t="s">
        <v>432</v>
      </c>
      <c r="E1441" s="76" t="s">
        <v>426</v>
      </c>
      <c r="F1441" s="77">
        <v>297.23</v>
      </c>
      <c r="G1441" s="77">
        <v>0</v>
      </c>
      <c r="H1441" s="77">
        <v>297.23</v>
      </c>
      <c r="I1441" s="76" t="s">
        <v>936</v>
      </c>
      <c r="J1441" s="77">
        <v>0</v>
      </c>
      <c r="K1441" s="78">
        <v>0</v>
      </c>
      <c r="M1441" s="79" t="str">
        <f t="shared" si="68"/>
        <v>130-7530</v>
      </c>
      <c r="N1441" s="79" t="str">
        <f t="shared" si="66"/>
        <v/>
      </c>
      <c r="O1441" s="79" t="str">
        <f t="shared" si="67"/>
        <v>130</v>
      </c>
      <c r="P1441" s="79" t="str">
        <f>IFERROR(VLOOKUP($M1441,Export!$P:$R,2,FALSE),"-")</f>
        <v>Admin &amp; Other</v>
      </c>
      <c r="Q1441" s="79" t="str">
        <f>IFERROR(VLOOKUP($M1441,Export!$P:$R,3,FALSE),"-")</f>
        <v>Admin &amp; OtherOther Overheads as % of Total Gross Profit</v>
      </c>
      <c r="R1441" s="80" t="e" cm="1">
        <f t="array" ref="R1441">_xlfn.IFS(P1441="Service", _xlfn.IFS(I1441="SALES","GP",I1441="SERVICE SALES","GP",I1441="PARTS SALES","GP",I1441="SERVICE COS","GP",I1441="PARTS COS","GP",I1441="SELLING EXPENSES","Selling Expenses",I1441="EMPLOYMENT EXPENSES","Selling Expenses",I1441="EMPLOYMENT EXPENSES","Selling Expenses",I1441="DIRECT EXPENSES","Selling Expenses",I1441="INDIRECT EXPENSES","Selling Expenses"),P1441="Parts",_xlfn.IFS(I1441="SALES","GP",I1441="SERVICE SALES","GP",I1441="PARTS SALES","GP",I1441="SERVICE COS","GP",I1441="PARTS COS","GP",I1441="SELLING EXPENSES","Selling Expenses",I1441="EMPLOYMENT EXPENSES","Selling Expenses",I1441="EMPLOYMENT EXPENSES","Selling Expenses",I1441="DIRECT EXPENSES","Selling Expenses",I1441="INDIRECT EXPENSES","Selling Expenses"))</f>
        <v>#N/A</v>
      </c>
    </row>
    <row r="1442" spans="1:18" x14ac:dyDescent="0.2">
      <c r="A1442" s="75">
        <v>7530</v>
      </c>
      <c r="B1442" s="76" t="s">
        <v>950</v>
      </c>
      <c r="C1442" s="76">
        <v>230</v>
      </c>
      <c r="D1442" s="76" t="s">
        <v>438</v>
      </c>
      <c r="E1442" s="76" t="s">
        <v>426</v>
      </c>
      <c r="F1442" s="77">
        <v>6</v>
      </c>
      <c r="G1442" s="77">
        <v>0</v>
      </c>
      <c r="H1442" s="77">
        <v>6</v>
      </c>
      <c r="I1442" s="76" t="s">
        <v>936</v>
      </c>
      <c r="J1442" s="77">
        <v>0</v>
      </c>
      <c r="K1442" s="78">
        <v>0</v>
      </c>
      <c r="M1442" s="79" t="str">
        <f t="shared" si="68"/>
        <v>230-7530</v>
      </c>
      <c r="N1442" s="79" t="str">
        <f t="shared" si="66"/>
        <v/>
      </c>
      <c r="O1442" s="79" t="str">
        <f t="shared" si="67"/>
        <v>230</v>
      </c>
      <c r="P1442" s="79" t="str">
        <f>IFERROR(VLOOKUP($M1442,Export!$P:$R,2,FALSE),"-")</f>
        <v>Admin &amp; Other</v>
      </c>
      <c r="Q1442" s="79" t="str">
        <f>IFERROR(VLOOKUP($M1442,Export!$P:$R,3,FALSE),"-")</f>
        <v>Admin &amp; OtherOther Overheads as % of Total Gross Profit</v>
      </c>
      <c r="R1442" s="80" t="e" cm="1">
        <f t="array" ref="R1442">_xlfn.IFS(P1442="Service", _xlfn.IFS(I1442="SALES","GP",I1442="SERVICE SALES","GP",I1442="PARTS SALES","GP",I1442="SERVICE COS","GP",I1442="PARTS COS","GP",I1442="SELLING EXPENSES","Selling Expenses",I1442="EMPLOYMENT EXPENSES","Selling Expenses",I1442="EMPLOYMENT EXPENSES","Selling Expenses",I1442="DIRECT EXPENSES","Selling Expenses",I1442="INDIRECT EXPENSES","Selling Expenses"),P1442="Parts",_xlfn.IFS(I1442="SALES","GP",I1442="SERVICE SALES","GP",I1442="PARTS SALES","GP",I1442="SERVICE COS","GP",I1442="PARTS COS","GP",I1442="SELLING EXPENSES","Selling Expenses",I1442="EMPLOYMENT EXPENSES","Selling Expenses",I1442="EMPLOYMENT EXPENSES","Selling Expenses",I1442="DIRECT EXPENSES","Selling Expenses",I1442="INDIRECT EXPENSES","Selling Expenses"))</f>
        <v>#N/A</v>
      </c>
    </row>
    <row r="1443" spans="1:18" x14ac:dyDescent="0.2">
      <c r="A1443" s="75">
        <v>7535</v>
      </c>
      <c r="B1443" s="76" t="s">
        <v>951</v>
      </c>
      <c r="C1443" s="76">
        <v>110</v>
      </c>
      <c r="D1443" s="76" t="s">
        <v>430</v>
      </c>
      <c r="E1443" s="76" t="s">
        <v>426</v>
      </c>
      <c r="F1443" s="77">
        <v>19553.990000000002</v>
      </c>
      <c r="G1443" s="77">
        <v>1723.68</v>
      </c>
      <c r="H1443" s="77">
        <v>21277.67</v>
      </c>
      <c r="I1443" s="76" t="s">
        <v>936</v>
      </c>
      <c r="J1443" s="77">
        <v>800</v>
      </c>
      <c r="K1443" s="78">
        <v>8669.76</v>
      </c>
      <c r="M1443" s="79" t="str">
        <f t="shared" si="68"/>
        <v>110-7535</v>
      </c>
      <c r="N1443" s="79" t="str">
        <f t="shared" si="66"/>
        <v/>
      </c>
      <c r="O1443" s="79" t="str">
        <f t="shared" si="67"/>
        <v>110</v>
      </c>
      <c r="P1443" s="79" t="str">
        <f>IFERROR(VLOOKUP($M1443,Export!$P:$R,2,FALSE),"-")</f>
        <v>Admin &amp; Other</v>
      </c>
      <c r="Q1443" s="79" t="str">
        <f>IFERROR(VLOOKUP($M1443,Export!$P:$R,3,FALSE),"-")</f>
        <v>Admin &amp; OtherOther Overheads as % of Total Gross Profit</v>
      </c>
      <c r="R1443" s="80" t="e" cm="1">
        <f t="array" ref="R1443">_xlfn.IFS(P1443="Service", _xlfn.IFS(I1443="SALES","GP",I1443="SERVICE SALES","GP",I1443="PARTS SALES","GP",I1443="SERVICE COS","GP",I1443="PARTS COS","GP",I1443="SELLING EXPENSES","Selling Expenses",I1443="EMPLOYMENT EXPENSES","Selling Expenses",I1443="EMPLOYMENT EXPENSES","Selling Expenses",I1443="DIRECT EXPENSES","Selling Expenses",I1443="INDIRECT EXPENSES","Selling Expenses"),P1443="Parts",_xlfn.IFS(I1443="SALES","GP",I1443="SERVICE SALES","GP",I1443="PARTS SALES","GP",I1443="SERVICE COS","GP",I1443="PARTS COS","GP",I1443="SELLING EXPENSES","Selling Expenses",I1443="EMPLOYMENT EXPENSES","Selling Expenses",I1443="EMPLOYMENT EXPENSES","Selling Expenses",I1443="DIRECT EXPENSES","Selling Expenses",I1443="INDIRECT EXPENSES","Selling Expenses"))</f>
        <v>#N/A</v>
      </c>
    </row>
    <row r="1444" spans="1:18" x14ac:dyDescent="0.2">
      <c r="A1444" s="75">
        <v>7535</v>
      </c>
      <c r="B1444" s="76" t="s">
        <v>951</v>
      </c>
      <c r="C1444" s="76">
        <v>112</v>
      </c>
      <c r="D1444" s="76" t="s">
        <v>349</v>
      </c>
      <c r="E1444" s="76" t="s">
        <v>426</v>
      </c>
      <c r="F1444" s="77">
        <v>16159.4</v>
      </c>
      <c r="G1444" s="77">
        <v>1377.79</v>
      </c>
      <c r="H1444" s="77">
        <v>17537.189999999999</v>
      </c>
      <c r="I1444" s="76" t="s">
        <v>936</v>
      </c>
      <c r="J1444" s="77">
        <v>700</v>
      </c>
      <c r="K1444" s="78">
        <v>7835.21</v>
      </c>
      <c r="M1444" s="79" t="str">
        <f t="shared" si="68"/>
        <v>112-7535</v>
      </c>
      <c r="N1444" s="79" t="str">
        <f t="shared" si="66"/>
        <v/>
      </c>
      <c r="O1444" s="79" t="str">
        <f t="shared" si="67"/>
        <v>112</v>
      </c>
      <c r="P1444" s="79" t="str">
        <f>IFERROR(VLOOKUP($M1444,Export!$P:$R,2,FALSE),"-")</f>
        <v>LEX Admin &amp; Other</v>
      </c>
      <c r="Q1444" s="79" t="str">
        <f>IFERROR(VLOOKUP($M1444,Export!$P:$R,3,FALSE),"-")</f>
        <v>LEX Admin &amp; OtherOther Overheads as % of Total Gross Profit</v>
      </c>
      <c r="R1444" s="80" t="e" cm="1">
        <f t="array" ref="R1444">_xlfn.IFS(P1444="Service", _xlfn.IFS(I1444="SALES","GP",I1444="SERVICE SALES","GP",I1444="PARTS SALES","GP",I1444="SERVICE COS","GP",I1444="PARTS COS","GP",I1444="SELLING EXPENSES","Selling Expenses",I1444="EMPLOYMENT EXPENSES","Selling Expenses",I1444="EMPLOYMENT EXPENSES","Selling Expenses",I1444="DIRECT EXPENSES","Selling Expenses",I1444="INDIRECT EXPENSES","Selling Expenses"),P1444="Parts",_xlfn.IFS(I1444="SALES","GP",I1444="SERVICE SALES","GP",I1444="PARTS SALES","GP",I1444="SERVICE COS","GP",I1444="PARTS COS","GP",I1444="SELLING EXPENSES","Selling Expenses",I1444="EMPLOYMENT EXPENSES","Selling Expenses",I1444="EMPLOYMENT EXPENSES","Selling Expenses",I1444="DIRECT EXPENSES","Selling Expenses",I1444="INDIRECT EXPENSES","Selling Expenses"))</f>
        <v>#N/A</v>
      </c>
    </row>
    <row r="1445" spans="1:18" x14ac:dyDescent="0.2">
      <c r="A1445" s="75">
        <v>7535</v>
      </c>
      <c r="B1445" s="76" t="s">
        <v>951</v>
      </c>
      <c r="C1445" s="76">
        <v>120</v>
      </c>
      <c r="D1445" s="76" t="s">
        <v>431</v>
      </c>
      <c r="E1445" s="76" t="s">
        <v>426</v>
      </c>
      <c r="F1445" s="77">
        <v>26126.31</v>
      </c>
      <c r="G1445" s="77">
        <v>2457.4499999999998</v>
      </c>
      <c r="H1445" s="77">
        <v>28583.759999999998</v>
      </c>
      <c r="I1445" s="76" t="s">
        <v>936</v>
      </c>
      <c r="J1445" s="77">
        <v>600</v>
      </c>
      <c r="K1445" s="78">
        <v>6556.46</v>
      </c>
      <c r="M1445" s="79" t="str">
        <f t="shared" si="68"/>
        <v>120-7535</v>
      </c>
      <c r="N1445" s="79" t="str">
        <f t="shared" si="66"/>
        <v/>
      </c>
      <c r="O1445" s="79" t="str">
        <f t="shared" si="67"/>
        <v>120</v>
      </c>
      <c r="P1445" s="79" t="str">
        <f>IFERROR(VLOOKUP($M1445,Export!$P:$R,2,FALSE),"-")</f>
        <v>Admin &amp; Other</v>
      </c>
      <c r="Q1445" s="79" t="str">
        <f>IFERROR(VLOOKUP($M1445,Export!$P:$R,3,FALSE),"-")</f>
        <v>Admin &amp; OtherOther Overheads as % of Total Gross Profit</v>
      </c>
      <c r="R1445" s="80" t="e" cm="1">
        <f t="array" ref="R1445">_xlfn.IFS(P1445="Service", _xlfn.IFS(I1445="SALES","GP",I1445="SERVICE SALES","GP",I1445="PARTS SALES","GP",I1445="SERVICE COS","GP",I1445="PARTS COS","GP",I1445="SELLING EXPENSES","Selling Expenses",I1445="EMPLOYMENT EXPENSES","Selling Expenses",I1445="EMPLOYMENT EXPENSES","Selling Expenses",I1445="DIRECT EXPENSES","Selling Expenses",I1445="INDIRECT EXPENSES","Selling Expenses"),P1445="Parts",_xlfn.IFS(I1445="SALES","GP",I1445="SERVICE SALES","GP",I1445="PARTS SALES","GP",I1445="SERVICE COS","GP",I1445="PARTS COS","GP",I1445="SELLING EXPENSES","Selling Expenses",I1445="EMPLOYMENT EXPENSES","Selling Expenses",I1445="EMPLOYMENT EXPENSES","Selling Expenses",I1445="DIRECT EXPENSES","Selling Expenses",I1445="INDIRECT EXPENSES","Selling Expenses"))</f>
        <v>#N/A</v>
      </c>
    </row>
    <row r="1446" spans="1:18" x14ac:dyDescent="0.2">
      <c r="A1446" s="75">
        <v>7535</v>
      </c>
      <c r="B1446" s="76" t="s">
        <v>951</v>
      </c>
      <c r="C1446" s="76">
        <v>121</v>
      </c>
      <c r="D1446" s="76" t="s">
        <v>449</v>
      </c>
      <c r="E1446" s="76" t="s">
        <v>426</v>
      </c>
      <c r="F1446" s="77">
        <v>0</v>
      </c>
      <c r="G1446" s="77">
        <v>0</v>
      </c>
      <c r="H1446" s="77">
        <v>0</v>
      </c>
      <c r="I1446" s="76" t="s">
        <v>936</v>
      </c>
      <c r="J1446" s="77">
        <v>400</v>
      </c>
      <c r="K1446" s="78">
        <v>4482.49</v>
      </c>
      <c r="M1446" s="79" t="str">
        <f t="shared" si="68"/>
        <v>121-7535</v>
      </c>
      <c r="N1446" s="79" t="str">
        <f t="shared" si="66"/>
        <v/>
      </c>
      <c r="O1446" s="79" t="str">
        <f t="shared" si="67"/>
        <v>121</v>
      </c>
      <c r="P1446" s="79" t="str">
        <f>IFERROR(VLOOKUP($M1446,Export!$P:$R,2,FALSE),"-")</f>
        <v>Admin &amp; Other</v>
      </c>
      <c r="Q1446" s="79" t="str">
        <f>IFERROR(VLOOKUP($M1446,Export!$P:$R,3,FALSE),"-")</f>
        <v>Admin &amp; OtherOther Overheads as % of Total Gross Profit</v>
      </c>
      <c r="R1446" s="80" t="e" cm="1">
        <f t="array" ref="R1446">_xlfn.IFS(P1446="Service", _xlfn.IFS(I1446="SALES","GP",I1446="SERVICE SALES","GP",I1446="PARTS SALES","GP",I1446="SERVICE COS","GP",I1446="PARTS COS","GP",I1446="SELLING EXPENSES","Selling Expenses",I1446="EMPLOYMENT EXPENSES","Selling Expenses",I1446="EMPLOYMENT EXPENSES","Selling Expenses",I1446="DIRECT EXPENSES","Selling Expenses",I1446="INDIRECT EXPENSES","Selling Expenses"),P1446="Parts",_xlfn.IFS(I1446="SALES","GP",I1446="SERVICE SALES","GP",I1446="PARTS SALES","GP",I1446="SERVICE COS","GP",I1446="PARTS COS","GP",I1446="SELLING EXPENSES","Selling Expenses",I1446="EMPLOYMENT EXPENSES","Selling Expenses",I1446="EMPLOYMENT EXPENSES","Selling Expenses",I1446="DIRECT EXPENSES","Selling Expenses",I1446="INDIRECT EXPENSES","Selling Expenses"))</f>
        <v>#N/A</v>
      </c>
    </row>
    <row r="1447" spans="1:18" x14ac:dyDescent="0.2">
      <c r="A1447" s="75">
        <v>7535</v>
      </c>
      <c r="B1447" s="76" t="s">
        <v>951</v>
      </c>
      <c r="C1447" s="76">
        <v>130</v>
      </c>
      <c r="D1447" s="76" t="s">
        <v>432</v>
      </c>
      <c r="E1447" s="76" t="s">
        <v>426</v>
      </c>
      <c r="F1447" s="77">
        <v>14998.31</v>
      </c>
      <c r="G1447" s="77">
        <v>1269.96</v>
      </c>
      <c r="H1447" s="77">
        <v>16268.27</v>
      </c>
      <c r="I1447" s="76" t="s">
        <v>936</v>
      </c>
      <c r="J1447" s="77">
        <v>600</v>
      </c>
      <c r="K1447" s="78">
        <v>7027.73</v>
      </c>
      <c r="M1447" s="79" t="str">
        <f t="shared" si="68"/>
        <v>130-7535</v>
      </c>
      <c r="N1447" s="79" t="str">
        <f t="shared" si="66"/>
        <v/>
      </c>
      <c r="O1447" s="79" t="str">
        <f t="shared" si="67"/>
        <v>130</v>
      </c>
      <c r="P1447" s="79" t="str">
        <f>IFERROR(VLOOKUP($M1447,Export!$P:$R,2,FALSE),"-")</f>
        <v>Admin &amp; Other</v>
      </c>
      <c r="Q1447" s="79" t="str">
        <f>IFERROR(VLOOKUP($M1447,Export!$P:$R,3,FALSE),"-")</f>
        <v>Admin &amp; OtherOther Overheads as % of Total Gross Profit</v>
      </c>
      <c r="R1447" s="80" t="e" cm="1">
        <f t="array" ref="R1447">_xlfn.IFS(P1447="Service", _xlfn.IFS(I1447="SALES","GP",I1447="SERVICE SALES","GP",I1447="PARTS SALES","GP",I1447="SERVICE COS","GP",I1447="PARTS COS","GP",I1447="SELLING EXPENSES","Selling Expenses",I1447="EMPLOYMENT EXPENSES","Selling Expenses",I1447="EMPLOYMENT EXPENSES","Selling Expenses",I1447="DIRECT EXPENSES","Selling Expenses",I1447="INDIRECT EXPENSES","Selling Expenses"),P1447="Parts",_xlfn.IFS(I1447="SALES","GP",I1447="SERVICE SALES","GP",I1447="PARTS SALES","GP",I1447="SERVICE COS","GP",I1447="PARTS COS","GP",I1447="SELLING EXPENSES","Selling Expenses",I1447="EMPLOYMENT EXPENSES","Selling Expenses",I1447="EMPLOYMENT EXPENSES","Selling Expenses",I1447="DIRECT EXPENSES","Selling Expenses",I1447="INDIRECT EXPENSES","Selling Expenses"))</f>
        <v>#N/A</v>
      </c>
    </row>
    <row r="1448" spans="1:18" x14ac:dyDescent="0.2">
      <c r="A1448" s="75">
        <v>7535</v>
      </c>
      <c r="B1448" s="76" t="s">
        <v>951</v>
      </c>
      <c r="C1448" s="76">
        <v>140</v>
      </c>
      <c r="D1448" s="76" t="s">
        <v>433</v>
      </c>
      <c r="E1448" s="76" t="s">
        <v>426</v>
      </c>
      <c r="F1448" s="77">
        <v>17152.64</v>
      </c>
      <c r="G1448" s="77">
        <v>1502.14</v>
      </c>
      <c r="H1448" s="77">
        <v>18654.78</v>
      </c>
      <c r="I1448" s="76" t="s">
        <v>936</v>
      </c>
      <c r="J1448" s="77">
        <v>1600</v>
      </c>
      <c r="K1448" s="78">
        <v>15277.37</v>
      </c>
      <c r="M1448" s="79" t="str">
        <f t="shared" si="68"/>
        <v>140-7535</v>
      </c>
      <c r="N1448" s="79" t="str">
        <f t="shared" si="66"/>
        <v/>
      </c>
      <c r="O1448" s="79" t="str">
        <f t="shared" si="67"/>
        <v>140</v>
      </c>
      <c r="P1448" s="79" t="str">
        <f>IFERROR(VLOOKUP($M1448,Export!$P:$R,2,FALSE),"-")</f>
        <v>Admin &amp; Other</v>
      </c>
      <c r="Q1448" s="79" t="str">
        <f>IFERROR(VLOOKUP($M1448,Export!$P:$R,3,FALSE),"-")</f>
        <v>Admin &amp; OtherOther Overheads as % of Total Gross Profit</v>
      </c>
      <c r="R1448" s="80" t="e" cm="1">
        <f t="array" ref="R1448">_xlfn.IFS(P1448="Service", _xlfn.IFS(I1448="SALES","GP",I1448="SERVICE SALES","GP",I1448="PARTS SALES","GP",I1448="SERVICE COS","GP",I1448="PARTS COS","GP",I1448="SELLING EXPENSES","Selling Expenses",I1448="EMPLOYMENT EXPENSES","Selling Expenses",I1448="EMPLOYMENT EXPENSES","Selling Expenses",I1448="DIRECT EXPENSES","Selling Expenses",I1448="INDIRECT EXPENSES","Selling Expenses"),P1448="Parts",_xlfn.IFS(I1448="SALES","GP",I1448="SERVICE SALES","GP",I1448="PARTS SALES","GP",I1448="SERVICE COS","GP",I1448="PARTS COS","GP",I1448="SELLING EXPENSES","Selling Expenses",I1448="EMPLOYMENT EXPENSES","Selling Expenses",I1448="EMPLOYMENT EXPENSES","Selling Expenses",I1448="DIRECT EXPENSES","Selling Expenses",I1448="INDIRECT EXPENSES","Selling Expenses"))</f>
        <v>#N/A</v>
      </c>
    </row>
    <row r="1449" spans="1:18" x14ac:dyDescent="0.2">
      <c r="A1449" s="75">
        <v>7535</v>
      </c>
      <c r="B1449" s="76" t="s">
        <v>951</v>
      </c>
      <c r="C1449" s="76">
        <v>142</v>
      </c>
      <c r="D1449" s="76" t="s">
        <v>454</v>
      </c>
      <c r="E1449" s="76" t="s">
        <v>426</v>
      </c>
      <c r="F1449" s="77">
        <v>331.45</v>
      </c>
      <c r="G1449" s="77">
        <v>37.21</v>
      </c>
      <c r="H1449" s="77">
        <v>368.66</v>
      </c>
      <c r="I1449" s="76" t="s">
        <v>936</v>
      </c>
      <c r="J1449" s="77">
        <v>0</v>
      </c>
      <c r="K1449" s="78">
        <v>0</v>
      </c>
      <c r="M1449" s="79" t="str">
        <f t="shared" si="68"/>
        <v>142-7535</v>
      </c>
      <c r="N1449" s="79" t="str">
        <f t="shared" si="66"/>
        <v/>
      </c>
      <c r="O1449" s="79" t="str">
        <f t="shared" si="67"/>
        <v>142</v>
      </c>
      <c r="P1449" s="79" t="str">
        <f>IFERROR(VLOOKUP($M1449,Export!$P:$R,2,FALSE),"-")</f>
        <v>LEX Admin &amp; Other</v>
      </c>
      <c r="Q1449" s="79" t="str">
        <f>IFERROR(VLOOKUP($M1449,Export!$P:$R,3,FALSE),"-")</f>
        <v>LEX Admin &amp; OtherOther Overheads as % of Total Gross Profit</v>
      </c>
      <c r="R1449" s="80" t="e" cm="1">
        <f t="array" ref="R1449">_xlfn.IFS(P1449="Service", _xlfn.IFS(I1449="SALES","GP",I1449="SERVICE SALES","GP",I1449="PARTS SALES","GP",I1449="SERVICE COS","GP",I1449="PARTS COS","GP",I1449="SELLING EXPENSES","Selling Expenses",I1449="EMPLOYMENT EXPENSES","Selling Expenses",I1449="EMPLOYMENT EXPENSES","Selling Expenses",I1449="DIRECT EXPENSES","Selling Expenses",I1449="INDIRECT EXPENSES","Selling Expenses"),P1449="Parts",_xlfn.IFS(I1449="SALES","GP",I1449="SERVICE SALES","GP",I1449="PARTS SALES","GP",I1449="SERVICE COS","GP",I1449="PARTS COS","GP",I1449="SELLING EXPENSES","Selling Expenses",I1449="EMPLOYMENT EXPENSES","Selling Expenses",I1449="EMPLOYMENT EXPENSES","Selling Expenses",I1449="DIRECT EXPENSES","Selling Expenses",I1449="INDIRECT EXPENSES","Selling Expenses"))</f>
        <v>#N/A</v>
      </c>
    </row>
    <row r="1450" spans="1:18" x14ac:dyDescent="0.2">
      <c r="A1450" s="75">
        <v>7535</v>
      </c>
      <c r="B1450" s="76" t="s">
        <v>951</v>
      </c>
      <c r="C1450" s="76">
        <v>147</v>
      </c>
      <c r="D1450" s="76" t="s">
        <v>699</v>
      </c>
      <c r="E1450" s="76" t="s">
        <v>426</v>
      </c>
      <c r="F1450" s="77">
        <v>2.78</v>
      </c>
      <c r="G1450" s="77">
        <v>0</v>
      </c>
      <c r="H1450" s="77">
        <v>2.78</v>
      </c>
      <c r="I1450" s="76" t="s">
        <v>936</v>
      </c>
      <c r="J1450" s="77">
        <v>100</v>
      </c>
      <c r="K1450" s="78">
        <v>819.12</v>
      </c>
      <c r="M1450" s="79" t="str">
        <f t="shared" si="68"/>
        <v>147-7535</v>
      </c>
      <c r="N1450" s="79" t="str">
        <f t="shared" si="66"/>
        <v/>
      </c>
      <c r="O1450" s="79" t="str">
        <f t="shared" si="67"/>
        <v>147</v>
      </c>
      <c r="P1450" s="79" t="str">
        <f>IFERROR(VLOOKUP($M1450,Export!$P:$R,2,FALSE),"-")</f>
        <v>Admin &amp; Other</v>
      </c>
      <c r="Q1450" s="79" t="str">
        <f>IFERROR(VLOOKUP($M1450,Export!$P:$R,3,FALSE),"-")</f>
        <v>Admin &amp; OtherOther Overheads as % of Total Gross Profit</v>
      </c>
      <c r="R1450" s="80" t="e" cm="1">
        <f t="array" ref="R1450">_xlfn.IFS(P1450="Service", _xlfn.IFS(I1450="SALES","GP",I1450="SERVICE SALES","GP",I1450="PARTS SALES","GP",I1450="SERVICE COS","GP",I1450="PARTS COS","GP",I1450="SELLING EXPENSES","Selling Expenses",I1450="EMPLOYMENT EXPENSES","Selling Expenses",I1450="EMPLOYMENT EXPENSES","Selling Expenses",I1450="DIRECT EXPENSES","Selling Expenses",I1450="INDIRECT EXPENSES","Selling Expenses"),P1450="Parts",_xlfn.IFS(I1450="SALES","GP",I1450="SERVICE SALES","GP",I1450="PARTS SALES","GP",I1450="SERVICE COS","GP",I1450="PARTS COS","GP",I1450="SELLING EXPENSES","Selling Expenses",I1450="EMPLOYMENT EXPENSES","Selling Expenses",I1450="EMPLOYMENT EXPENSES","Selling Expenses",I1450="DIRECT EXPENSES","Selling Expenses",I1450="INDIRECT EXPENSES","Selling Expenses"))</f>
        <v>#N/A</v>
      </c>
    </row>
    <row r="1451" spans="1:18" x14ac:dyDescent="0.2">
      <c r="A1451" s="75">
        <v>7535</v>
      </c>
      <c r="B1451" s="76" t="s">
        <v>951</v>
      </c>
      <c r="C1451" s="76">
        <v>150</v>
      </c>
      <c r="D1451" s="76" t="s">
        <v>700</v>
      </c>
      <c r="E1451" s="76" t="s">
        <v>426</v>
      </c>
      <c r="F1451" s="77">
        <v>154.43</v>
      </c>
      <c r="G1451" s="77">
        <v>37.56</v>
      </c>
      <c r="H1451" s="77">
        <v>191.99</v>
      </c>
      <c r="I1451" s="76" t="s">
        <v>936</v>
      </c>
      <c r="J1451" s="77">
        <v>0</v>
      </c>
      <c r="K1451" s="78">
        <v>0</v>
      </c>
      <c r="M1451" s="79" t="str">
        <f t="shared" si="68"/>
        <v>150-7535</v>
      </c>
      <c r="N1451" s="79" t="str">
        <f t="shared" si="66"/>
        <v/>
      </c>
      <c r="O1451" s="79" t="str">
        <f t="shared" si="67"/>
        <v>150</v>
      </c>
      <c r="P1451" s="79" t="str">
        <f>IFERROR(VLOOKUP($M1451,Export!$P:$R,2,FALSE),"-")</f>
        <v>LEX Admin &amp; Other</v>
      </c>
      <c r="Q1451" s="79" t="str">
        <f>IFERROR(VLOOKUP($M1451,Export!$P:$R,3,FALSE),"-")</f>
        <v>LEX Admin &amp; OtherOther Overheads as % of Total Gross Profit</v>
      </c>
      <c r="R1451" s="80" t="e" cm="1">
        <f t="array" ref="R1451">_xlfn.IFS(P1451="Service", _xlfn.IFS(I1451="SALES","GP",I1451="SERVICE SALES","GP",I1451="PARTS SALES","GP",I1451="SERVICE COS","GP",I1451="PARTS COS","GP",I1451="SELLING EXPENSES","Selling Expenses",I1451="EMPLOYMENT EXPENSES","Selling Expenses",I1451="EMPLOYMENT EXPENSES","Selling Expenses",I1451="DIRECT EXPENSES","Selling Expenses",I1451="INDIRECT EXPENSES","Selling Expenses"),P1451="Parts",_xlfn.IFS(I1451="SALES","GP",I1451="SERVICE SALES","GP",I1451="PARTS SALES","GP",I1451="SERVICE COS","GP",I1451="PARTS COS","GP",I1451="SELLING EXPENSES","Selling Expenses",I1451="EMPLOYMENT EXPENSES","Selling Expenses",I1451="EMPLOYMENT EXPENSES","Selling Expenses",I1451="DIRECT EXPENSES","Selling Expenses",I1451="INDIRECT EXPENSES","Selling Expenses"))</f>
        <v>#N/A</v>
      </c>
    </row>
    <row r="1452" spans="1:18" x14ac:dyDescent="0.2">
      <c r="A1452" s="75">
        <v>7535</v>
      </c>
      <c r="B1452" s="76" t="s">
        <v>951</v>
      </c>
      <c r="C1452" s="76">
        <v>160</v>
      </c>
      <c r="D1452" s="76" t="s">
        <v>434</v>
      </c>
      <c r="E1452" s="76" t="s">
        <v>426</v>
      </c>
      <c r="F1452" s="77">
        <v>8485.17</v>
      </c>
      <c r="G1452" s="77">
        <v>743.19</v>
      </c>
      <c r="H1452" s="77">
        <v>9228.36</v>
      </c>
      <c r="I1452" s="76" t="s">
        <v>936</v>
      </c>
      <c r="J1452" s="77">
        <v>300</v>
      </c>
      <c r="K1452" s="78">
        <v>3179.18</v>
      </c>
      <c r="M1452" s="79" t="str">
        <f t="shared" si="68"/>
        <v>160-7535</v>
      </c>
      <c r="N1452" s="79" t="str">
        <f t="shared" si="66"/>
        <v/>
      </c>
      <c r="O1452" s="79" t="str">
        <f t="shared" si="67"/>
        <v>160</v>
      </c>
      <c r="P1452" s="79" t="str">
        <f>IFERROR(VLOOKUP($M1452,Export!$P:$R,2,FALSE),"-")</f>
        <v>Admin &amp; Other</v>
      </c>
      <c r="Q1452" s="79" t="str">
        <f>IFERROR(VLOOKUP($M1452,Export!$P:$R,3,FALSE),"-")</f>
        <v>Admin &amp; OtherOther Overheads as % of Total Gross Profit</v>
      </c>
      <c r="R1452" s="80" t="e" cm="1">
        <f t="array" ref="R1452">_xlfn.IFS(P1452="Service", _xlfn.IFS(I1452="SALES","GP",I1452="SERVICE SALES","GP",I1452="PARTS SALES","GP",I1452="SERVICE COS","GP",I1452="PARTS COS","GP",I1452="SELLING EXPENSES","Selling Expenses",I1452="EMPLOYMENT EXPENSES","Selling Expenses",I1452="EMPLOYMENT EXPENSES","Selling Expenses",I1452="DIRECT EXPENSES","Selling Expenses",I1452="INDIRECT EXPENSES","Selling Expenses"),P1452="Parts",_xlfn.IFS(I1452="SALES","GP",I1452="SERVICE SALES","GP",I1452="PARTS SALES","GP",I1452="SERVICE COS","GP",I1452="PARTS COS","GP",I1452="SELLING EXPENSES","Selling Expenses",I1452="EMPLOYMENT EXPENSES","Selling Expenses",I1452="EMPLOYMENT EXPENSES","Selling Expenses",I1452="DIRECT EXPENSES","Selling Expenses",I1452="INDIRECT EXPENSES","Selling Expenses"))</f>
        <v>#N/A</v>
      </c>
    </row>
    <row r="1453" spans="1:18" x14ac:dyDescent="0.2">
      <c r="A1453" s="75">
        <v>7535</v>
      </c>
      <c r="B1453" s="76" t="s">
        <v>951</v>
      </c>
      <c r="C1453" s="76">
        <v>190</v>
      </c>
      <c r="D1453" s="76" t="s">
        <v>435</v>
      </c>
      <c r="E1453" s="76" t="s">
        <v>426</v>
      </c>
      <c r="F1453" s="77">
        <v>831.92</v>
      </c>
      <c r="G1453" s="77">
        <v>262.94</v>
      </c>
      <c r="H1453" s="77">
        <v>1094.8599999999999</v>
      </c>
      <c r="I1453" s="76" t="s">
        <v>936</v>
      </c>
      <c r="J1453" s="77">
        <v>0</v>
      </c>
      <c r="K1453" s="78">
        <v>0</v>
      </c>
      <c r="M1453" s="79" t="str">
        <f t="shared" si="68"/>
        <v>190-7535</v>
      </c>
      <c r="N1453" s="79" t="str">
        <f t="shared" si="66"/>
        <v/>
      </c>
      <c r="O1453" s="79" t="str">
        <f t="shared" si="67"/>
        <v>190</v>
      </c>
      <c r="P1453" s="79" t="str">
        <f>IFERROR(VLOOKUP($M1453,Export!$P:$R,2,FALSE),"-")</f>
        <v>Admin &amp; Other</v>
      </c>
      <c r="Q1453" s="79" t="str">
        <f>IFERROR(VLOOKUP($M1453,Export!$P:$R,3,FALSE),"-")</f>
        <v>Admin &amp; OtherOther Overheads as % of Total Gross Profit</v>
      </c>
      <c r="R1453" s="80" t="e" cm="1">
        <f t="array" ref="R1453">_xlfn.IFS(P1453="Service", _xlfn.IFS(I1453="SALES","GP",I1453="SERVICE SALES","GP",I1453="PARTS SALES","GP",I1453="SERVICE COS","GP",I1453="PARTS COS","GP",I1453="SELLING EXPENSES","Selling Expenses",I1453="EMPLOYMENT EXPENSES","Selling Expenses",I1453="EMPLOYMENT EXPENSES","Selling Expenses",I1453="DIRECT EXPENSES","Selling Expenses",I1453="INDIRECT EXPENSES","Selling Expenses"),P1453="Parts",_xlfn.IFS(I1453="SALES","GP",I1453="SERVICE SALES","GP",I1453="PARTS SALES","GP",I1453="SERVICE COS","GP",I1453="PARTS COS","GP",I1453="SELLING EXPENSES","Selling Expenses",I1453="EMPLOYMENT EXPENSES","Selling Expenses",I1453="EMPLOYMENT EXPENSES","Selling Expenses",I1453="DIRECT EXPENSES","Selling Expenses",I1453="INDIRECT EXPENSES","Selling Expenses"))</f>
        <v>#N/A</v>
      </c>
    </row>
    <row r="1454" spans="1:18" x14ac:dyDescent="0.2">
      <c r="A1454" s="75">
        <v>7535</v>
      </c>
      <c r="B1454" s="76" t="s">
        <v>951</v>
      </c>
      <c r="C1454" s="76">
        <v>210</v>
      </c>
      <c r="D1454" s="76" t="s">
        <v>436</v>
      </c>
      <c r="E1454" s="76" t="s">
        <v>426</v>
      </c>
      <c r="F1454" s="77">
        <v>9676.9500000000007</v>
      </c>
      <c r="G1454" s="77">
        <v>823.17</v>
      </c>
      <c r="H1454" s="77">
        <v>10500.12</v>
      </c>
      <c r="I1454" s="76" t="s">
        <v>936</v>
      </c>
      <c r="J1454" s="77">
        <v>300</v>
      </c>
      <c r="K1454" s="78">
        <v>5124.97</v>
      </c>
      <c r="M1454" s="79" t="str">
        <f t="shared" si="68"/>
        <v>210-7535</v>
      </c>
      <c r="N1454" s="79" t="str">
        <f t="shared" si="66"/>
        <v/>
      </c>
      <c r="O1454" s="79" t="str">
        <f t="shared" si="67"/>
        <v>210</v>
      </c>
      <c r="P1454" s="79" t="str">
        <f>IFERROR(VLOOKUP($M1454,Export!$P:$R,2,FALSE),"-")</f>
        <v>Admin &amp; Other</v>
      </c>
      <c r="Q1454" s="79" t="str">
        <f>IFERROR(VLOOKUP($M1454,Export!$P:$R,3,FALSE),"-")</f>
        <v>Admin &amp; OtherOther Overheads as % of Total Gross Profit</v>
      </c>
      <c r="R1454" s="80" t="e" cm="1">
        <f t="array" ref="R1454">_xlfn.IFS(P1454="Service", _xlfn.IFS(I1454="SALES","GP",I1454="SERVICE SALES","GP",I1454="PARTS SALES","GP",I1454="SERVICE COS","GP",I1454="PARTS COS","GP",I1454="SELLING EXPENSES","Selling Expenses",I1454="EMPLOYMENT EXPENSES","Selling Expenses",I1454="EMPLOYMENT EXPENSES","Selling Expenses",I1454="DIRECT EXPENSES","Selling Expenses",I1454="INDIRECT EXPENSES","Selling Expenses"),P1454="Parts",_xlfn.IFS(I1454="SALES","GP",I1454="SERVICE SALES","GP",I1454="PARTS SALES","GP",I1454="SERVICE COS","GP",I1454="PARTS COS","GP",I1454="SELLING EXPENSES","Selling Expenses",I1454="EMPLOYMENT EXPENSES","Selling Expenses",I1454="EMPLOYMENT EXPENSES","Selling Expenses",I1454="DIRECT EXPENSES","Selling Expenses",I1454="INDIRECT EXPENSES","Selling Expenses"))</f>
        <v>#N/A</v>
      </c>
    </row>
    <row r="1455" spans="1:18" x14ac:dyDescent="0.2">
      <c r="A1455" s="75">
        <v>7535</v>
      </c>
      <c r="B1455" s="76" t="s">
        <v>951</v>
      </c>
      <c r="C1455" s="76">
        <v>220</v>
      </c>
      <c r="D1455" s="76" t="s">
        <v>437</v>
      </c>
      <c r="E1455" s="76" t="s">
        <v>426</v>
      </c>
      <c r="F1455" s="77">
        <v>5892.94</v>
      </c>
      <c r="G1455" s="77">
        <v>493.66</v>
      </c>
      <c r="H1455" s="77">
        <v>6386.6</v>
      </c>
      <c r="I1455" s="76" t="s">
        <v>936</v>
      </c>
      <c r="J1455" s="77">
        <v>300</v>
      </c>
      <c r="K1455" s="78">
        <v>3691.02</v>
      </c>
      <c r="M1455" s="79" t="str">
        <f t="shared" si="68"/>
        <v>220-7535</v>
      </c>
      <c r="N1455" s="79" t="str">
        <f t="shared" si="66"/>
        <v/>
      </c>
      <c r="O1455" s="79" t="str">
        <f t="shared" si="67"/>
        <v>220</v>
      </c>
      <c r="P1455" s="79" t="str">
        <f>IFERROR(VLOOKUP($M1455,Export!$P:$R,2,FALSE),"-")</f>
        <v>Admin &amp; Other</v>
      </c>
      <c r="Q1455" s="79" t="str">
        <f>IFERROR(VLOOKUP($M1455,Export!$P:$R,3,FALSE),"-")</f>
        <v>Admin &amp; OtherOther Overheads as % of Total Gross Profit</v>
      </c>
      <c r="R1455" s="80" t="e" cm="1">
        <f t="array" ref="R1455">_xlfn.IFS(P1455="Service", _xlfn.IFS(I1455="SALES","GP",I1455="SERVICE SALES","GP",I1455="PARTS SALES","GP",I1455="SERVICE COS","GP",I1455="PARTS COS","GP",I1455="SELLING EXPENSES","Selling Expenses",I1455="EMPLOYMENT EXPENSES","Selling Expenses",I1455="EMPLOYMENT EXPENSES","Selling Expenses",I1455="DIRECT EXPENSES","Selling Expenses",I1455="INDIRECT EXPENSES","Selling Expenses"),P1455="Parts",_xlfn.IFS(I1455="SALES","GP",I1455="SERVICE SALES","GP",I1455="PARTS SALES","GP",I1455="SERVICE COS","GP",I1455="PARTS COS","GP",I1455="SELLING EXPENSES","Selling Expenses",I1455="EMPLOYMENT EXPENSES","Selling Expenses",I1455="EMPLOYMENT EXPENSES","Selling Expenses",I1455="DIRECT EXPENSES","Selling Expenses",I1455="INDIRECT EXPENSES","Selling Expenses"))</f>
        <v>#N/A</v>
      </c>
    </row>
    <row r="1456" spans="1:18" x14ac:dyDescent="0.2">
      <c r="A1456" s="75">
        <v>7535</v>
      </c>
      <c r="B1456" s="76" t="s">
        <v>951</v>
      </c>
      <c r="C1456" s="76">
        <v>230</v>
      </c>
      <c r="D1456" s="76" t="s">
        <v>438</v>
      </c>
      <c r="E1456" s="76" t="s">
        <v>426</v>
      </c>
      <c r="F1456" s="77">
        <v>9810</v>
      </c>
      <c r="G1456" s="77">
        <v>834.09</v>
      </c>
      <c r="H1456" s="77">
        <v>10644.09</v>
      </c>
      <c r="I1456" s="76" t="s">
        <v>936</v>
      </c>
      <c r="J1456" s="77">
        <v>300</v>
      </c>
      <c r="K1456" s="78">
        <v>3501.24</v>
      </c>
      <c r="M1456" s="79" t="str">
        <f t="shared" si="68"/>
        <v>230-7535</v>
      </c>
      <c r="N1456" s="79" t="str">
        <f t="shared" si="66"/>
        <v/>
      </c>
      <c r="O1456" s="79" t="str">
        <f t="shared" si="67"/>
        <v>230</v>
      </c>
      <c r="P1456" s="79" t="str">
        <f>IFERROR(VLOOKUP($M1456,Export!$P:$R,2,FALSE),"-")</f>
        <v>Admin &amp; Other</v>
      </c>
      <c r="Q1456" s="79" t="str">
        <f>IFERROR(VLOOKUP($M1456,Export!$P:$R,3,FALSE),"-")</f>
        <v>Admin &amp; OtherOther Overheads as % of Total Gross Profit</v>
      </c>
      <c r="R1456" s="80" t="e" cm="1">
        <f t="array" ref="R1456">_xlfn.IFS(P1456="Service", _xlfn.IFS(I1456="SALES","GP",I1456="SERVICE SALES","GP",I1456="PARTS SALES","GP",I1456="SERVICE COS","GP",I1456="PARTS COS","GP",I1456="SELLING EXPENSES","Selling Expenses",I1456="EMPLOYMENT EXPENSES","Selling Expenses",I1456="EMPLOYMENT EXPENSES","Selling Expenses",I1456="DIRECT EXPENSES","Selling Expenses",I1456="INDIRECT EXPENSES","Selling Expenses"),P1456="Parts",_xlfn.IFS(I1456="SALES","GP",I1456="SERVICE SALES","GP",I1456="PARTS SALES","GP",I1456="SERVICE COS","GP",I1456="PARTS COS","GP",I1456="SELLING EXPENSES","Selling Expenses",I1456="EMPLOYMENT EXPENSES","Selling Expenses",I1456="EMPLOYMENT EXPENSES","Selling Expenses",I1456="DIRECT EXPENSES","Selling Expenses",I1456="INDIRECT EXPENSES","Selling Expenses"))</f>
        <v>#N/A</v>
      </c>
    </row>
    <row r="1457" spans="1:18" x14ac:dyDescent="0.2">
      <c r="A1457" s="75">
        <v>7535</v>
      </c>
      <c r="B1457" s="76" t="s">
        <v>951</v>
      </c>
      <c r="C1457" s="76">
        <v>240</v>
      </c>
      <c r="D1457" s="76" t="s">
        <v>439</v>
      </c>
      <c r="E1457" s="76" t="s">
        <v>426</v>
      </c>
      <c r="F1457" s="77">
        <v>7726.92</v>
      </c>
      <c r="G1457" s="77">
        <v>697.8</v>
      </c>
      <c r="H1457" s="77">
        <v>8424.7199999999993</v>
      </c>
      <c r="I1457" s="76" t="s">
        <v>936</v>
      </c>
      <c r="J1457" s="77">
        <v>646.37</v>
      </c>
      <c r="K1457" s="78">
        <v>6144.08</v>
      </c>
      <c r="M1457" s="79" t="str">
        <f t="shared" si="68"/>
        <v>240-7535</v>
      </c>
      <c r="N1457" s="79" t="str">
        <f t="shared" si="66"/>
        <v/>
      </c>
      <c r="O1457" s="79" t="str">
        <f t="shared" si="67"/>
        <v>240</v>
      </c>
      <c r="P1457" s="79" t="str">
        <f>IFERROR(VLOOKUP($M1457,Export!$P:$R,2,FALSE),"-")</f>
        <v>Admin &amp; Other</v>
      </c>
      <c r="Q1457" s="79" t="str">
        <f>IFERROR(VLOOKUP($M1457,Export!$P:$R,3,FALSE),"-")</f>
        <v>Admin &amp; OtherOther Overheads as % of Total Gross Profit</v>
      </c>
      <c r="R1457" s="80" t="e" cm="1">
        <f t="array" ref="R1457">_xlfn.IFS(P1457="Service", _xlfn.IFS(I1457="SALES","GP",I1457="SERVICE SALES","GP",I1457="PARTS SALES","GP",I1457="SERVICE COS","GP",I1457="PARTS COS","GP",I1457="SELLING EXPENSES","Selling Expenses",I1457="EMPLOYMENT EXPENSES","Selling Expenses",I1457="EMPLOYMENT EXPENSES","Selling Expenses",I1457="DIRECT EXPENSES","Selling Expenses",I1457="INDIRECT EXPENSES","Selling Expenses"),P1457="Parts",_xlfn.IFS(I1457="SALES","GP",I1457="SERVICE SALES","GP",I1457="PARTS SALES","GP",I1457="SERVICE COS","GP",I1457="PARTS COS","GP",I1457="SELLING EXPENSES","Selling Expenses",I1457="EMPLOYMENT EXPENSES","Selling Expenses",I1457="EMPLOYMENT EXPENSES","Selling Expenses",I1457="DIRECT EXPENSES","Selling Expenses",I1457="INDIRECT EXPENSES","Selling Expenses"))</f>
        <v>#N/A</v>
      </c>
    </row>
    <row r="1458" spans="1:18" x14ac:dyDescent="0.2">
      <c r="A1458" s="75">
        <v>7535</v>
      </c>
      <c r="B1458" s="76" t="s">
        <v>951</v>
      </c>
      <c r="C1458" s="76">
        <v>260</v>
      </c>
      <c r="D1458" s="76" t="s">
        <v>456</v>
      </c>
      <c r="E1458" s="76" t="s">
        <v>426</v>
      </c>
      <c r="F1458" s="77">
        <v>40.96</v>
      </c>
      <c r="G1458" s="77">
        <v>0</v>
      </c>
      <c r="H1458" s="77">
        <v>40.96</v>
      </c>
      <c r="I1458" s="76" t="s">
        <v>936</v>
      </c>
      <c r="J1458" s="77">
        <v>100</v>
      </c>
      <c r="K1458" s="78">
        <v>1185.98</v>
      </c>
      <c r="M1458" s="79" t="str">
        <f t="shared" si="68"/>
        <v>260-7535</v>
      </c>
      <c r="N1458" s="79" t="str">
        <f t="shared" si="66"/>
        <v/>
      </c>
      <c r="O1458" s="79" t="str">
        <f t="shared" si="67"/>
        <v>260</v>
      </c>
      <c r="P1458" s="79" t="str">
        <f>IFERROR(VLOOKUP($M1458,Export!$P:$R,2,FALSE),"-")</f>
        <v>Admin &amp; Other</v>
      </c>
      <c r="Q1458" s="79" t="str">
        <f>IFERROR(VLOOKUP($M1458,Export!$P:$R,3,FALSE),"-")</f>
        <v>Admin &amp; OtherOther Overheads as % of Total Gross Profit</v>
      </c>
      <c r="R1458" s="80" t="e" cm="1">
        <f t="array" ref="R1458">_xlfn.IFS(P1458="Service", _xlfn.IFS(I1458="SALES","GP",I1458="SERVICE SALES","GP",I1458="PARTS SALES","GP",I1458="SERVICE COS","GP",I1458="PARTS COS","GP",I1458="SELLING EXPENSES","Selling Expenses",I1458="EMPLOYMENT EXPENSES","Selling Expenses",I1458="EMPLOYMENT EXPENSES","Selling Expenses",I1458="DIRECT EXPENSES","Selling Expenses",I1458="INDIRECT EXPENSES","Selling Expenses"),P1458="Parts",_xlfn.IFS(I1458="SALES","GP",I1458="SERVICE SALES","GP",I1458="PARTS SALES","GP",I1458="SERVICE COS","GP",I1458="PARTS COS","GP",I1458="SELLING EXPENSES","Selling Expenses",I1458="EMPLOYMENT EXPENSES","Selling Expenses",I1458="EMPLOYMENT EXPENSES","Selling Expenses",I1458="DIRECT EXPENSES","Selling Expenses",I1458="INDIRECT EXPENSES","Selling Expenses"))</f>
        <v>#N/A</v>
      </c>
    </row>
    <row r="1459" spans="1:18" x14ac:dyDescent="0.2">
      <c r="A1459" s="75">
        <v>7535</v>
      </c>
      <c r="B1459" s="76" t="s">
        <v>951</v>
      </c>
      <c r="C1459" s="76">
        <v>330</v>
      </c>
      <c r="D1459" s="76" t="s">
        <v>457</v>
      </c>
      <c r="E1459" s="76" t="s">
        <v>426</v>
      </c>
      <c r="F1459" s="77">
        <v>2.1</v>
      </c>
      <c r="G1459" s="77">
        <v>0.35</v>
      </c>
      <c r="H1459" s="77">
        <v>2.4500000000000002</v>
      </c>
      <c r="I1459" s="76" t="s">
        <v>936</v>
      </c>
      <c r="J1459" s="77">
        <v>0</v>
      </c>
      <c r="K1459" s="78">
        <v>17.39</v>
      </c>
      <c r="M1459" s="79" t="str">
        <f t="shared" si="68"/>
        <v>330-7535</v>
      </c>
      <c r="N1459" s="79" t="str">
        <f t="shared" si="66"/>
        <v/>
      </c>
      <c r="O1459" s="79" t="str">
        <f t="shared" si="67"/>
        <v>330</v>
      </c>
      <c r="P1459" s="79" t="str">
        <f>IFERROR(VLOOKUP($M1459,Export!$P:$R,2,FALSE),"-")</f>
        <v>Admin &amp; Other</v>
      </c>
      <c r="Q1459" s="79" t="str">
        <f>IFERROR(VLOOKUP($M1459,Export!$P:$R,3,FALSE),"-")</f>
        <v>Admin &amp; OtherOther Overheads as % of Total Gross Profit</v>
      </c>
      <c r="R1459" s="80" t="e" cm="1">
        <f t="array" ref="R1459">_xlfn.IFS(P1459="Service", _xlfn.IFS(I1459="SALES","GP",I1459="SERVICE SALES","GP",I1459="PARTS SALES","GP",I1459="SERVICE COS","GP",I1459="PARTS COS","GP",I1459="SELLING EXPENSES","Selling Expenses",I1459="EMPLOYMENT EXPENSES","Selling Expenses",I1459="EMPLOYMENT EXPENSES","Selling Expenses",I1459="DIRECT EXPENSES","Selling Expenses",I1459="INDIRECT EXPENSES","Selling Expenses"),P1459="Parts",_xlfn.IFS(I1459="SALES","GP",I1459="SERVICE SALES","GP",I1459="PARTS SALES","GP",I1459="SERVICE COS","GP",I1459="PARTS COS","GP",I1459="SELLING EXPENSES","Selling Expenses",I1459="EMPLOYMENT EXPENSES","Selling Expenses",I1459="EMPLOYMENT EXPENSES","Selling Expenses",I1459="DIRECT EXPENSES","Selling Expenses",I1459="INDIRECT EXPENSES","Selling Expenses"))</f>
        <v>#N/A</v>
      </c>
    </row>
    <row r="1460" spans="1:18" x14ac:dyDescent="0.2">
      <c r="A1460" s="75">
        <v>7535</v>
      </c>
      <c r="B1460" s="76" t="s">
        <v>951</v>
      </c>
      <c r="C1460" s="76">
        <v>340</v>
      </c>
      <c r="D1460" s="76" t="s">
        <v>440</v>
      </c>
      <c r="E1460" s="76" t="s">
        <v>426</v>
      </c>
      <c r="F1460" s="77">
        <v>3859.34</v>
      </c>
      <c r="G1460" s="77">
        <v>339.17</v>
      </c>
      <c r="H1460" s="77">
        <v>4198.51</v>
      </c>
      <c r="I1460" s="76" t="s">
        <v>936</v>
      </c>
      <c r="J1460" s="77">
        <v>600</v>
      </c>
      <c r="K1460" s="78">
        <v>5634.67</v>
      </c>
      <c r="M1460" s="79" t="str">
        <f t="shared" si="68"/>
        <v>340-7535</v>
      </c>
      <c r="N1460" s="79" t="str">
        <f t="shared" si="66"/>
        <v/>
      </c>
      <c r="O1460" s="79" t="str">
        <f t="shared" si="67"/>
        <v>340</v>
      </c>
      <c r="P1460" s="79" t="str">
        <f>IFERROR(VLOOKUP($M1460,Export!$P:$R,2,FALSE),"-")</f>
        <v>Admin &amp; Other</v>
      </c>
      <c r="Q1460" s="79" t="str">
        <f>IFERROR(VLOOKUP($M1460,Export!$P:$R,3,FALSE),"-")</f>
        <v>Admin &amp; OtherOther Overheads as % of Total Gross Profit</v>
      </c>
      <c r="R1460" s="80" t="e" cm="1">
        <f t="array" ref="R1460">_xlfn.IFS(P1460="Service", _xlfn.IFS(I1460="SALES","GP",I1460="SERVICE SALES","GP",I1460="PARTS SALES","GP",I1460="SERVICE COS","GP",I1460="PARTS COS","GP",I1460="SELLING EXPENSES","Selling Expenses",I1460="EMPLOYMENT EXPENSES","Selling Expenses",I1460="EMPLOYMENT EXPENSES","Selling Expenses",I1460="DIRECT EXPENSES","Selling Expenses",I1460="INDIRECT EXPENSES","Selling Expenses"),P1460="Parts",_xlfn.IFS(I1460="SALES","GP",I1460="SERVICE SALES","GP",I1460="PARTS SALES","GP",I1460="SERVICE COS","GP",I1460="PARTS COS","GP",I1460="SELLING EXPENSES","Selling Expenses",I1460="EMPLOYMENT EXPENSES","Selling Expenses",I1460="EMPLOYMENT EXPENSES","Selling Expenses",I1460="DIRECT EXPENSES","Selling Expenses",I1460="INDIRECT EXPENSES","Selling Expenses"))</f>
        <v>#N/A</v>
      </c>
    </row>
    <row r="1461" spans="1:18" x14ac:dyDescent="0.2">
      <c r="A1461" s="75">
        <v>7535</v>
      </c>
      <c r="B1461" s="76" t="s">
        <v>951</v>
      </c>
      <c r="C1461" s="76">
        <v>430</v>
      </c>
      <c r="D1461" s="76" t="s">
        <v>458</v>
      </c>
      <c r="E1461" s="76" t="s">
        <v>426</v>
      </c>
      <c r="F1461" s="77">
        <v>123.83</v>
      </c>
      <c r="G1461" s="77">
        <v>0.35</v>
      </c>
      <c r="H1461" s="77">
        <v>124.18</v>
      </c>
      <c r="I1461" s="76" t="s">
        <v>936</v>
      </c>
      <c r="J1461" s="77">
        <v>0</v>
      </c>
      <c r="K1461" s="78">
        <v>589.33000000000004</v>
      </c>
      <c r="M1461" s="79" t="str">
        <f t="shared" si="68"/>
        <v>430-7535</v>
      </c>
      <c r="N1461" s="79" t="str">
        <f t="shared" si="66"/>
        <v/>
      </c>
      <c r="O1461" s="79" t="str">
        <f t="shared" si="67"/>
        <v>430</v>
      </c>
      <c r="P1461" s="79" t="str">
        <f>IFERROR(VLOOKUP($M1461,Export!$P:$R,2,FALSE),"-")</f>
        <v>Admin &amp; Other</v>
      </c>
      <c r="Q1461" s="79" t="str">
        <f>IFERROR(VLOOKUP($M1461,Export!$P:$R,3,FALSE),"-")</f>
        <v>Admin &amp; OtherOther Overheads as % of Total Gross Profit</v>
      </c>
      <c r="R1461" s="80" t="e" cm="1">
        <f t="array" ref="R1461">_xlfn.IFS(P1461="Service", _xlfn.IFS(I1461="SALES","GP",I1461="SERVICE SALES","GP",I1461="PARTS SALES","GP",I1461="SERVICE COS","GP",I1461="PARTS COS","GP",I1461="SELLING EXPENSES","Selling Expenses",I1461="EMPLOYMENT EXPENSES","Selling Expenses",I1461="EMPLOYMENT EXPENSES","Selling Expenses",I1461="DIRECT EXPENSES","Selling Expenses",I1461="INDIRECT EXPENSES","Selling Expenses"),P1461="Parts",_xlfn.IFS(I1461="SALES","GP",I1461="SERVICE SALES","GP",I1461="PARTS SALES","GP",I1461="SERVICE COS","GP",I1461="PARTS COS","GP",I1461="SELLING EXPENSES","Selling Expenses",I1461="EMPLOYMENT EXPENSES","Selling Expenses",I1461="EMPLOYMENT EXPENSES","Selling Expenses",I1461="DIRECT EXPENSES","Selling Expenses",I1461="INDIRECT EXPENSES","Selling Expenses"))</f>
        <v>#N/A</v>
      </c>
    </row>
    <row r="1462" spans="1:18" x14ac:dyDescent="0.2">
      <c r="A1462" s="75">
        <v>7535</v>
      </c>
      <c r="B1462" s="76" t="s">
        <v>951</v>
      </c>
      <c r="C1462" s="76">
        <v>440</v>
      </c>
      <c r="D1462" s="76" t="s">
        <v>441</v>
      </c>
      <c r="E1462" s="76" t="s">
        <v>426</v>
      </c>
      <c r="F1462" s="77">
        <v>142.61000000000001</v>
      </c>
      <c r="G1462" s="77">
        <v>3.48</v>
      </c>
      <c r="H1462" s="77">
        <v>146.09</v>
      </c>
      <c r="I1462" s="76" t="s">
        <v>936</v>
      </c>
      <c r="J1462" s="77">
        <v>0</v>
      </c>
      <c r="K1462" s="78">
        <v>87.3</v>
      </c>
      <c r="M1462" s="79" t="str">
        <f t="shared" si="68"/>
        <v>440-7535</v>
      </c>
      <c r="N1462" s="79" t="str">
        <f t="shared" si="66"/>
        <v/>
      </c>
      <c r="O1462" s="79" t="str">
        <f t="shared" si="67"/>
        <v>440</v>
      </c>
      <c r="P1462" s="79" t="str">
        <f>IFERROR(VLOOKUP($M1462,Export!$P:$R,2,FALSE),"-")</f>
        <v>Admin &amp; Other</v>
      </c>
      <c r="Q1462" s="79" t="str">
        <f>IFERROR(VLOOKUP($M1462,Export!$P:$R,3,FALSE),"-")</f>
        <v>Admin &amp; OtherOther Overheads as % of Total Gross Profit</v>
      </c>
      <c r="R1462" s="80" t="e" cm="1">
        <f t="array" ref="R1462">_xlfn.IFS(P1462="Service", _xlfn.IFS(I1462="SALES","GP",I1462="SERVICE SALES","GP",I1462="PARTS SALES","GP",I1462="SERVICE COS","GP",I1462="PARTS COS","GP",I1462="SELLING EXPENSES","Selling Expenses",I1462="EMPLOYMENT EXPENSES","Selling Expenses",I1462="EMPLOYMENT EXPENSES","Selling Expenses",I1462="DIRECT EXPENSES","Selling Expenses",I1462="INDIRECT EXPENSES","Selling Expenses"),P1462="Parts",_xlfn.IFS(I1462="SALES","GP",I1462="SERVICE SALES","GP",I1462="PARTS SALES","GP",I1462="SERVICE COS","GP",I1462="PARTS COS","GP",I1462="SELLING EXPENSES","Selling Expenses",I1462="EMPLOYMENT EXPENSES","Selling Expenses",I1462="EMPLOYMENT EXPENSES","Selling Expenses",I1462="DIRECT EXPENSES","Selling Expenses",I1462="INDIRECT EXPENSES","Selling Expenses"))</f>
        <v>#N/A</v>
      </c>
    </row>
    <row r="1463" spans="1:18" x14ac:dyDescent="0.2">
      <c r="A1463" s="75">
        <v>7535</v>
      </c>
      <c r="B1463" s="76" t="s">
        <v>951</v>
      </c>
      <c r="C1463" s="76">
        <v>935</v>
      </c>
      <c r="D1463" s="76" t="s">
        <v>442</v>
      </c>
      <c r="E1463" s="76" t="s">
        <v>426</v>
      </c>
      <c r="F1463" s="77">
        <v>3949.96</v>
      </c>
      <c r="G1463" s="77">
        <v>354.27</v>
      </c>
      <c r="H1463" s="77">
        <v>4304.2299999999996</v>
      </c>
      <c r="I1463" s="76" t="s">
        <v>936</v>
      </c>
      <c r="J1463" s="77">
        <v>200</v>
      </c>
      <c r="K1463" s="78">
        <v>2328.1</v>
      </c>
      <c r="M1463" s="79" t="str">
        <f t="shared" si="68"/>
        <v>935-7535</v>
      </c>
      <c r="N1463" s="79" t="str">
        <f t="shared" si="66"/>
        <v/>
      </c>
      <c r="O1463" s="79" t="str">
        <f t="shared" si="67"/>
        <v>935</v>
      </c>
      <c r="P1463" s="79" t="str">
        <f>IFERROR(VLOOKUP($M1463,Export!$P:$R,2,FALSE),"-")</f>
        <v>LEX Admin &amp; Other</v>
      </c>
      <c r="Q1463" s="79" t="str">
        <f>IFERROR(VLOOKUP($M1463,Export!$P:$R,3,FALSE),"-")</f>
        <v>LEX Admin &amp; OtherOther Overheads as % of Total Gross Profit</v>
      </c>
      <c r="R1463" s="80" t="e" cm="1">
        <f t="array" ref="R1463">_xlfn.IFS(P1463="Service", _xlfn.IFS(I1463="SALES","GP",I1463="SERVICE SALES","GP",I1463="PARTS SALES","GP",I1463="SERVICE COS","GP",I1463="PARTS COS","GP",I1463="SELLING EXPENSES","Selling Expenses",I1463="EMPLOYMENT EXPENSES","Selling Expenses",I1463="EMPLOYMENT EXPENSES","Selling Expenses",I1463="DIRECT EXPENSES","Selling Expenses",I1463="INDIRECT EXPENSES","Selling Expenses"),P1463="Parts",_xlfn.IFS(I1463="SALES","GP",I1463="SERVICE SALES","GP",I1463="PARTS SALES","GP",I1463="SERVICE COS","GP",I1463="PARTS COS","GP",I1463="SELLING EXPENSES","Selling Expenses",I1463="EMPLOYMENT EXPENSES","Selling Expenses",I1463="EMPLOYMENT EXPENSES","Selling Expenses",I1463="DIRECT EXPENSES","Selling Expenses",I1463="INDIRECT EXPENSES","Selling Expenses"))</f>
        <v>#N/A</v>
      </c>
    </row>
    <row r="1464" spans="1:18" x14ac:dyDescent="0.2">
      <c r="A1464" s="75">
        <v>7535</v>
      </c>
      <c r="B1464" s="76" t="s">
        <v>951</v>
      </c>
      <c r="C1464" s="76">
        <v>936</v>
      </c>
      <c r="D1464" s="76" t="s">
        <v>443</v>
      </c>
      <c r="E1464" s="76" t="s">
        <v>426</v>
      </c>
      <c r="F1464" s="77">
        <v>3527.94</v>
      </c>
      <c r="G1464" s="287">
        <v>308.54000000000002</v>
      </c>
      <c r="H1464" s="77">
        <v>3836.48</v>
      </c>
      <c r="I1464" s="76" t="s">
        <v>936</v>
      </c>
      <c r="J1464" s="77">
        <v>100</v>
      </c>
      <c r="K1464" s="78">
        <v>1374.99</v>
      </c>
      <c r="M1464" s="79" t="str">
        <f t="shared" si="68"/>
        <v>936-7535</v>
      </c>
      <c r="N1464" s="79" t="str">
        <f t="shared" si="66"/>
        <v/>
      </c>
      <c r="O1464" s="79" t="str">
        <f t="shared" si="67"/>
        <v>936</v>
      </c>
      <c r="P1464" s="79" t="str">
        <f>IFERROR(VLOOKUP($M1464,Export!$P:$R,2,FALSE),"-")</f>
        <v>LEX Admin &amp; Other</v>
      </c>
      <c r="Q1464" s="79" t="str">
        <f>IFERROR(VLOOKUP($M1464,Export!$P:$R,3,FALSE),"-")</f>
        <v>LEX Admin &amp; OtherOther Overheads as % of Total Gross Profit</v>
      </c>
      <c r="R1464" s="80" t="e" cm="1">
        <f t="array" ref="R1464">_xlfn.IFS(P1464="Service", _xlfn.IFS(I1464="SALES","GP",I1464="SERVICE SALES","GP",I1464="PARTS SALES","GP",I1464="SERVICE COS","GP",I1464="PARTS COS","GP",I1464="SELLING EXPENSES","Selling Expenses",I1464="EMPLOYMENT EXPENSES","Selling Expenses",I1464="EMPLOYMENT EXPENSES","Selling Expenses",I1464="DIRECT EXPENSES","Selling Expenses",I1464="INDIRECT EXPENSES","Selling Expenses"),P1464="Parts",_xlfn.IFS(I1464="SALES","GP",I1464="SERVICE SALES","GP",I1464="PARTS SALES","GP",I1464="SERVICE COS","GP",I1464="PARTS COS","GP",I1464="SELLING EXPENSES","Selling Expenses",I1464="EMPLOYMENT EXPENSES","Selling Expenses",I1464="EMPLOYMENT EXPENSES","Selling Expenses",I1464="DIRECT EXPENSES","Selling Expenses",I1464="INDIRECT EXPENSES","Selling Expenses"))</f>
        <v>#N/A</v>
      </c>
    </row>
    <row r="1465" spans="1:18" x14ac:dyDescent="0.2">
      <c r="A1465" s="75">
        <v>7570</v>
      </c>
      <c r="B1465" s="76" t="s">
        <v>131</v>
      </c>
      <c r="C1465" s="76">
        <v>110</v>
      </c>
      <c r="D1465" s="76" t="s">
        <v>430</v>
      </c>
      <c r="E1465" s="76" t="s">
        <v>426</v>
      </c>
      <c r="F1465" s="77">
        <v>2618.02</v>
      </c>
      <c r="G1465" s="77">
        <v>0</v>
      </c>
      <c r="H1465" s="77">
        <v>2618.02</v>
      </c>
      <c r="I1465" s="76" t="s">
        <v>936</v>
      </c>
      <c r="J1465" s="77">
        <v>0</v>
      </c>
      <c r="K1465" s="78">
        <v>20.75</v>
      </c>
      <c r="M1465" s="79" t="str">
        <f t="shared" si="68"/>
        <v>110-7570</v>
      </c>
      <c r="N1465" s="79" t="str">
        <f t="shared" si="66"/>
        <v/>
      </c>
      <c r="O1465" s="79" t="str">
        <f t="shared" si="67"/>
        <v>110</v>
      </c>
      <c r="P1465" s="79" t="str">
        <f>IFERROR(VLOOKUP($M1465,Export!$P:$R,2,FALSE),"-")</f>
        <v>Admin &amp; Other</v>
      </c>
      <c r="Q1465" s="79" t="str">
        <f>IFERROR(VLOOKUP($M1465,Export!$P:$R,3,FALSE),"-")</f>
        <v>Admin &amp; OtherR&amp;M and Cleaning as % of Total Gross Profit</v>
      </c>
      <c r="R1465" s="80" t="e" cm="1">
        <f t="array" ref="R1465">_xlfn.IFS(P1465="Service", _xlfn.IFS(I1465="SALES","GP",I1465="SERVICE SALES","GP",I1465="PARTS SALES","GP",I1465="SERVICE COS","GP",I1465="PARTS COS","GP",I1465="SELLING EXPENSES","Selling Expenses",I1465="EMPLOYMENT EXPENSES","Selling Expenses",I1465="EMPLOYMENT EXPENSES","Selling Expenses",I1465="DIRECT EXPENSES","Selling Expenses",I1465="INDIRECT EXPENSES","Selling Expenses"),P1465="Parts",_xlfn.IFS(I1465="SALES","GP",I1465="SERVICE SALES","GP",I1465="PARTS SALES","GP",I1465="SERVICE COS","GP",I1465="PARTS COS","GP",I1465="SELLING EXPENSES","Selling Expenses",I1465="EMPLOYMENT EXPENSES","Selling Expenses",I1465="EMPLOYMENT EXPENSES","Selling Expenses",I1465="DIRECT EXPENSES","Selling Expenses",I1465="INDIRECT EXPENSES","Selling Expenses"))</f>
        <v>#N/A</v>
      </c>
    </row>
    <row r="1466" spans="1:18" x14ac:dyDescent="0.2">
      <c r="A1466" s="75">
        <v>7570</v>
      </c>
      <c r="B1466" s="76" t="s">
        <v>131</v>
      </c>
      <c r="C1466" s="76">
        <v>112</v>
      </c>
      <c r="D1466" s="76" t="s">
        <v>349</v>
      </c>
      <c r="E1466" s="76" t="s">
        <v>426</v>
      </c>
      <c r="F1466" s="77">
        <v>699.13</v>
      </c>
      <c r="G1466" s="77">
        <v>0</v>
      </c>
      <c r="H1466" s="77">
        <v>699.13</v>
      </c>
      <c r="I1466" s="76" t="s">
        <v>936</v>
      </c>
      <c r="J1466" s="77">
        <v>0</v>
      </c>
      <c r="K1466" s="78">
        <v>0</v>
      </c>
      <c r="M1466" s="79" t="str">
        <f t="shared" si="68"/>
        <v>112-7570</v>
      </c>
      <c r="N1466" s="79" t="str">
        <f t="shared" si="66"/>
        <v/>
      </c>
      <c r="O1466" s="79" t="str">
        <f t="shared" si="67"/>
        <v>112</v>
      </c>
      <c r="P1466" s="79" t="str">
        <f>IFERROR(VLOOKUP($M1466,Export!$P:$R,2,FALSE),"-")</f>
        <v>LEX Admin &amp; Other</v>
      </c>
      <c r="Q1466" s="79" t="str">
        <f>IFERROR(VLOOKUP($M1466,Export!$P:$R,3,FALSE),"-")</f>
        <v>LEX Admin &amp; OtherR&amp;M and Cleaning as % of Total Gross Profit</v>
      </c>
      <c r="R1466" s="80" t="e" cm="1">
        <f t="array" ref="R1466">_xlfn.IFS(P1466="Service", _xlfn.IFS(I1466="SALES","GP",I1466="SERVICE SALES","GP",I1466="PARTS SALES","GP",I1466="SERVICE COS","GP",I1466="PARTS COS","GP",I1466="SELLING EXPENSES","Selling Expenses",I1466="EMPLOYMENT EXPENSES","Selling Expenses",I1466="EMPLOYMENT EXPENSES","Selling Expenses",I1466="DIRECT EXPENSES","Selling Expenses",I1466="INDIRECT EXPENSES","Selling Expenses"),P1466="Parts",_xlfn.IFS(I1466="SALES","GP",I1466="SERVICE SALES","GP",I1466="PARTS SALES","GP",I1466="SERVICE COS","GP",I1466="PARTS COS","GP",I1466="SELLING EXPENSES","Selling Expenses",I1466="EMPLOYMENT EXPENSES","Selling Expenses",I1466="EMPLOYMENT EXPENSES","Selling Expenses",I1466="DIRECT EXPENSES","Selling Expenses",I1466="INDIRECT EXPENSES","Selling Expenses"))</f>
        <v>#N/A</v>
      </c>
    </row>
    <row r="1467" spans="1:18" x14ac:dyDescent="0.2">
      <c r="A1467" s="75">
        <v>7570</v>
      </c>
      <c r="B1467" s="76" t="s">
        <v>131</v>
      </c>
      <c r="C1467" s="76">
        <v>120</v>
      </c>
      <c r="D1467" s="76" t="s">
        <v>431</v>
      </c>
      <c r="E1467" s="76" t="s">
        <v>426</v>
      </c>
      <c r="F1467" s="77">
        <v>270.43</v>
      </c>
      <c r="G1467" s="77">
        <v>0</v>
      </c>
      <c r="H1467" s="77">
        <v>270.43</v>
      </c>
      <c r="I1467" s="76" t="s">
        <v>936</v>
      </c>
      <c r="J1467" s="77">
        <v>0</v>
      </c>
      <c r="K1467" s="78">
        <v>20.75</v>
      </c>
      <c r="M1467" s="79" t="str">
        <f t="shared" si="68"/>
        <v>120-7570</v>
      </c>
      <c r="N1467" s="79" t="str">
        <f t="shared" si="66"/>
        <v/>
      </c>
      <c r="O1467" s="79" t="str">
        <f t="shared" si="67"/>
        <v>120</v>
      </c>
      <c r="P1467" s="79" t="str">
        <f>IFERROR(VLOOKUP($M1467,Export!$P:$R,2,FALSE),"-")</f>
        <v>Admin &amp; Other</v>
      </c>
      <c r="Q1467" s="79" t="str">
        <f>IFERROR(VLOOKUP($M1467,Export!$P:$R,3,FALSE),"-")</f>
        <v>Admin &amp; OtherOther Overheads as % of Total Gross Profit</v>
      </c>
      <c r="R1467" s="80" t="e" cm="1">
        <f t="array" ref="R1467">_xlfn.IFS(P1467="Service", _xlfn.IFS(I1467="SALES","GP",I1467="SERVICE SALES","GP",I1467="PARTS SALES","GP",I1467="SERVICE COS","GP",I1467="PARTS COS","GP",I1467="SELLING EXPENSES","Selling Expenses",I1467="EMPLOYMENT EXPENSES","Selling Expenses",I1467="EMPLOYMENT EXPENSES","Selling Expenses",I1467="DIRECT EXPENSES","Selling Expenses",I1467="INDIRECT EXPENSES","Selling Expenses"),P1467="Parts",_xlfn.IFS(I1467="SALES","GP",I1467="SERVICE SALES","GP",I1467="PARTS SALES","GP",I1467="SERVICE COS","GP",I1467="PARTS COS","GP",I1467="SELLING EXPENSES","Selling Expenses",I1467="EMPLOYMENT EXPENSES","Selling Expenses",I1467="EMPLOYMENT EXPENSES","Selling Expenses",I1467="DIRECT EXPENSES","Selling Expenses",I1467="INDIRECT EXPENSES","Selling Expenses"))</f>
        <v>#N/A</v>
      </c>
    </row>
    <row r="1468" spans="1:18" x14ac:dyDescent="0.2">
      <c r="A1468" s="75">
        <v>7570</v>
      </c>
      <c r="B1468" s="76" t="s">
        <v>131</v>
      </c>
      <c r="C1468" s="76">
        <v>121</v>
      </c>
      <c r="D1468" s="76" t="s">
        <v>449</v>
      </c>
      <c r="E1468" s="76" t="s">
        <v>426</v>
      </c>
      <c r="F1468" s="77">
        <v>0</v>
      </c>
      <c r="G1468" s="77">
        <v>0</v>
      </c>
      <c r="H1468" s="77">
        <v>0</v>
      </c>
      <c r="I1468" s="76" t="s">
        <v>936</v>
      </c>
      <c r="J1468" s="77">
        <v>0</v>
      </c>
      <c r="K1468" s="78">
        <v>20.75</v>
      </c>
      <c r="M1468" s="79" t="str">
        <f t="shared" si="68"/>
        <v>121-7570</v>
      </c>
      <c r="N1468" s="79" t="str">
        <f t="shared" si="66"/>
        <v/>
      </c>
      <c r="O1468" s="79" t="str">
        <f t="shared" si="67"/>
        <v>121</v>
      </c>
      <c r="P1468" s="79" t="str">
        <f>IFERROR(VLOOKUP($M1468,Export!$P:$R,2,FALSE),"-")</f>
        <v>Admin &amp; Other</v>
      </c>
      <c r="Q1468" s="79" t="str">
        <f>IFERROR(VLOOKUP($M1468,Export!$P:$R,3,FALSE),"-")</f>
        <v>Admin &amp; OtherOther Overheads as % of Total Gross Profit</v>
      </c>
      <c r="R1468" s="80" t="e" cm="1">
        <f t="array" ref="R1468">_xlfn.IFS(P1468="Service", _xlfn.IFS(I1468="SALES","GP",I1468="SERVICE SALES","GP",I1468="PARTS SALES","GP",I1468="SERVICE COS","GP",I1468="PARTS COS","GP",I1468="SELLING EXPENSES","Selling Expenses",I1468="EMPLOYMENT EXPENSES","Selling Expenses",I1468="EMPLOYMENT EXPENSES","Selling Expenses",I1468="DIRECT EXPENSES","Selling Expenses",I1468="INDIRECT EXPENSES","Selling Expenses"),P1468="Parts",_xlfn.IFS(I1468="SALES","GP",I1468="SERVICE SALES","GP",I1468="PARTS SALES","GP",I1468="SERVICE COS","GP",I1468="PARTS COS","GP",I1468="SELLING EXPENSES","Selling Expenses",I1468="EMPLOYMENT EXPENSES","Selling Expenses",I1468="EMPLOYMENT EXPENSES","Selling Expenses",I1468="DIRECT EXPENSES","Selling Expenses",I1468="INDIRECT EXPENSES","Selling Expenses"))</f>
        <v>#N/A</v>
      </c>
    </row>
    <row r="1469" spans="1:18" x14ac:dyDescent="0.2">
      <c r="A1469" s="75">
        <v>7570</v>
      </c>
      <c r="B1469" s="76" t="s">
        <v>131</v>
      </c>
      <c r="C1469" s="76">
        <v>130</v>
      </c>
      <c r="D1469" s="76" t="s">
        <v>432</v>
      </c>
      <c r="E1469" s="76" t="s">
        <v>426</v>
      </c>
      <c r="F1469" s="77">
        <v>0</v>
      </c>
      <c r="G1469" s="77">
        <v>0</v>
      </c>
      <c r="H1469" s="77">
        <v>0</v>
      </c>
      <c r="I1469" s="76" t="s">
        <v>936</v>
      </c>
      <c r="J1469" s="77">
        <v>0</v>
      </c>
      <c r="K1469" s="78">
        <v>70.75</v>
      </c>
      <c r="M1469" s="79" t="str">
        <f t="shared" si="68"/>
        <v>130-7570</v>
      </c>
      <c r="N1469" s="79" t="str">
        <f t="shared" si="66"/>
        <v/>
      </c>
      <c r="O1469" s="79" t="str">
        <f t="shared" si="67"/>
        <v>130</v>
      </c>
      <c r="P1469" s="79" t="str">
        <f>IFERROR(VLOOKUP($M1469,Export!$P:$R,2,FALSE),"-")</f>
        <v>Admin &amp; Other</v>
      </c>
      <c r="Q1469" s="79" t="str">
        <f>IFERROR(VLOOKUP($M1469,Export!$P:$R,3,FALSE),"-")</f>
        <v>Admin &amp; OtherR&amp;M and Cleaning as % of Total Gross Profit</v>
      </c>
      <c r="R1469" s="80" t="e" cm="1">
        <f t="array" ref="R1469">_xlfn.IFS(P1469="Service", _xlfn.IFS(I1469="SALES","GP",I1469="SERVICE SALES","GP",I1469="PARTS SALES","GP",I1469="SERVICE COS","GP",I1469="PARTS COS","GP",I1469="SELLING EXPENSES","Selling Expenses",I1469="EMPLOYMENT EXPENSES","Selling Expenses",I1469="EMPLOYMENT EXPENSES","Selling Expenses",I1469="DIRECT EXPENSES","Selling Expenses",I1469="INDIRECT EXPENSES","Selling Expenses"),P1469="Parts",_xlfn.IFS(I1469="SALES","GP",I1469="SERVICE SALES","GP",I1469="PARTS SALES","GP",I1469="SERVICE COS","GP",I1469="PARTS COS","GP",I1469="SELLING EXPENSES","Selling Expenses",I1469="EMPLOYMENT EXPENSES","Selling Expenses",I1469="EMPLOYMENT EXPENSES","Selling Expenses",I1469="DIRECT EXPENSES","Selling Expenses",I1469="INDIRECT EXPENSES","Selling Expenses"))</f>
        <v>#N/A</v>
      </c>
    </row>
    <row r="1470" spans="1:18" x14ac:dyDescent="0.2">
      <c r="A1470" s="75">
        <v>7570</v>
      </c>
      <c r="B1470" s="76" t="s">
        <v>131</v>
      </c>
      <c r="C1470" s="76">
        <v>140</v>
      </c>
      <c r="D1470" s="76" t="s">
        <v>433</v>
      </c>
      <c r="E1470" s="76" t="s">
        <v>426</v>
      </c>
      <c r="F1470" s="77">
        <v>6614.77</v>
      </c>
      <c r="G1470" s="287">
        <v>0</v>
      </c>
      <c r="H1470" s="77">
        <v>6614.77</v>
      </c>
      <c r="I1470" s="76" t="s">
        <v>936</v>
      </c>
      <c r="J1470" s="77">
        <v>800</v>
      </c>
      <c r="K1470" s="78">
        <v>7612.84</v>
      </c>
      <c r="M1470" s="79" t="str">
        <f t="shared" si="68"/>
        <v>140-7570</v>
      </c>
      <c r="N1470" s="79" t="str">
        <f t="shared" si="66"/>
        <v/>
      </c>
      <c r="O1470" s="79" t="str">
        <f t="shared" si="67"/>
        <v>140</v>
      </c>
      <c r="P1470" s="79" t="str">
        <f>IFERROR(VLOOKUP($M1470,Export!$P:$R,2,FALSE),"-")</f>
        <v>Service</v>
      </c>
      <c r="Q1470" s="79" t="str">
        <f>IFERROR(VLOOKUP($M1470,Export!$P:$R,3,FALSE),"-")</f>
        <v>ServiceOther Expenses as % of Sales</v>
      </c>
      <c r="R1470" s="80" t="str" cm="1">
        <f t="array" ref="R1470">_xlfn.IFS(P1470="Service", _xlfn.IFS(I1470="SALES","GP",I1470="SERVICE SALES","GP",I1470="PARTS SALES","GP",I1470="SERVICE COS","GP",I1470="PARTS COS","GP",I1470="SELLING EXPENSES","Selling Expenses",I1470="EMPLOYMENT EXPENSES","Selling Expenses",I1470="EMPLOYMENT EXPENSES","Selling Expenses",I1470="DIRECT EXPENSES","Selling Expenses",I1470="INDIRECT EXPENSES","Selling Expenses"),P1470="Parts",_xlfn.IFS(I1470="SALES","GP",I1470="SERVICE SALES","GP",I1470="PARTS SALES","GP",I1470="SERVICE COS","GP",I1470="PARTS COS","GP",I1470="SELLING EXPENSES","Selling Expenses",I1470="EMPLOYMENT EXPENSES","Selling Expenses",I1470="EMPLOYMENT EXPENSES","Selling Expenses",I1470="DIRECT EXPENSES","Selling Expenses",I1470="INDIRECT EXPENSES","Selling Expenses"))</f>
        <v>Selling Expenses</v>
      </c>
    </row>
    <row r="1471" spans="1:18" x14ac:dyDescent="0.2">
      <c r="A1471" s="75">
        <v>7570</v>
      </c>
      <c r="B1471" s="76" t="s">
        <v>131</v>
      </c>
      <c r="C1471" s="76">
        <v>142</v>
      </c>
      <c r="D1471" s="76" t="s">
        <v>454</v>
      </c>
      <c r="E1471" s="76" t="s">
        <v>426</v>
      </c>
      <c r="F1471" s="77">
        <v>311.02</v>
      </c>
      <c r="G1471" s="77">
        <v>0</v>
      </c>
      <c r="H1471" s="77">
        <v>311.02</v>
      </c>
      <c r="I1471" s="76" t="s">
        <v>936</v>
      </c>
      <c r="J1471" s="77">
        <v>0</v>
      </c>
      <c r="K1471" s="78">
        <v>0</v>
      </c>
      <c r="M1471" s="79" t="str">
        <f t="shared" si="68"/>
        <v>142-7570</v>
      </c>
      <c r="N1471" s="79" t="str">
        <f t="shared" si="66"/>
        <v/>
      </c>
      <c r="O1471" s="79" t="str">
        <f t="shared" si="67"/>
        <v>142</v>
      </c>
      <c r="P1471" s="79" t="str">
        <f>IFERROR(VLOOKUP($M1471,Export!$P:$R,2,FALSE),"-")</f>
        <v>Lex Service</v>
      </c>
      <c r="Q1471" s="79" t="str">
        <f>IFERROR(VLOOKUP($M1471,Export!$P:$R,3,FALSE),"-")</f>
        <v>Lex ServiceOther Expenses as % of Sales</v>
      </c>
      <c r="R1471" s="80" t="e" cm="1">
        <f t="array" ref="R1471">_xlfn.IFS(P1471="Service", _xlfn.IFS(I1471="SALES","GP",I1471="SERVICE SALES","GP",I1471="PARTS SALES","GP",I1471="SERVICE COS","GP",I1471="PARTS COS","GP",I1471="SELLING EXPENSES","Selling Expenses",I1471="EMPLOYMENT EXPENSES","Selling Expenses",I1471="EMPLOYMENT EXPENSES","Selling Expenses",I1471="DIRECT EXPENSES","Selling Expenses",I1471="INDIRECT EXPENSES","Selling Expenses"),P1471="Parts",_xlfn.IFS(I1471="SALES","GP",I1471="SERVICE SALES","GP",I1471="PARTS SALES","GP",I1471="SERVICE COS","GP",I1471="PARTS COS","GP",I1471="SELLING EXPENSES","Selling Expenses",I1471="EMPLOYMENT EXPENSES","Selling Expenses",I1471="EMPLOYMENT EXPENSES","Selling Expenses",I1471="DIRECT EXPENSES","Selling Expenses",I1471="INDIRECT EXPENSES","Selling Expenses"))</f>
        <v>#N/A</v>
      </c>
    </row>
    <row r="1472" spans="1:18" x14ac:dyDescent="0.2">
      <c r="A1472" s="75">
        <v>7570</v>
      </c>
      <c r="B1472" s="76" t="s">
        <v>131</v>
      </c>
      <c r="C1472" s="76">
        <v>150</v>
      </c>
      <c r="D1472" s="76" t="s">
        <v>700</v>
      </c>
      <c r="E1472" s="76" t="s">
        <v>426</v>
      </c>
      <c r="F1472" s="77">
        <v>784.4</v>
      </c>
      <c r="G1472" s="77">
        <v>0</v>
      </c>
      <c r="H1472" s="77">
        <v>784.4</v>
      </c>
      <c r="I1472" s="76" t="s">
        <v>936</v>
      </c>
      <c r="J1472" s="77">
        <v>0</v>
      </c>
      <c r="K1472" s="78">
        <v>0</v>
      </c>
      <c r="M1472" s="79" t="str">
        <f t="shared" si="68"/>
        <v>150-7570</v>
      </c>
      <c r="N1472" s="79" t="str">
        <f t="shared" si="66"/>
        <v/>
      </c>
      <c r="O1472" s="79" t="str">
        <f t="shared" si="67"/>
        <v>150</v>
      </c>
      <c r="P1472" s="79" t="str">
        <f>IFERROR(VLOOKUP($M1472,Export!$P:$R,2,FALSE),"-")</f>
        <v>Retail Detailing</v>
      </c>
      <c r="Q1472" s="79" t="str">
        <f>IFERROR(VLOOKUP($M1472,Export!$P:$R,3,FALSE),"-")</f>
        <v>Retail DetailingOther Expenses as % of Sales</v>
      </c>
      <c r="R1472" s="80" t="e" cm="1">
        <f t="array" ref="R1472">_xlfn.IFS(P1472="Service", _xlfn.IFS(I1472="SALES","GP",I1472="SERVICE SALES","GP",I1472="PARTS SALES","GP",I1472="SERVICE COS","GP",I1472="PARTS COS","GP",I1472="SELLING EXPENSES","Selling Expenses",I1472="EMPLOYMENT EXPENSES","Selling Expenses",I1472="EMPLOYMENT EXPENSES","Selling Expenses",I1472="DIRECT EXPENSES","Selling Expenses",I1472="INDIRECT EXPENSES","Selling Expenses"),P1472="Parts",_xlfn.IFS(I1472="SALES","GP",I1472="SERVICE SALES","GP",I1472="PARTS SALES","GP",I1472="SERVICE COS","GP",I1472="PARTS COS","GP",I1472="SELLING EXPENSES","Selling Expenses",I1472="EMPLOYMENT EXPENSES","Selling Expenses",I1472="EMPLOYMENT EXPENSES","Selling Expenses",I1472="DIRECT EXPENSES","Selling Expenses",I1472="INDIRECT EXPENSES","Selling Expenses"))</f>
        <v>#N/A</v>
      </c>
    </row>
    <row r="1473" spans="1:18" x14ac:dyDescent="0.2">
      <c r="A1473" s="75">
        <v>7570</v>
      </c>
      <c r="B1473" s="76" t="s">
        <v>131</v>
      </c>
      <c r="C1473" s="76">
        <v>210</v>
      </c>
      <c r="D1473" s="76" t="s">
        <v>436</v>
      </c>
      <c r="E1473" s="76" t="s">
        <v>426</v>
      </c>
      <c r="F1473" s="77">
        <v>282.13</v>
      </c>
      <c r="G1473" s="77">
        <v>0</v>
      </c>
      <c r="H1473" s="77">
        <v>282.13</v>
      </c>
      <c r="I1473" s="76" t="s">
        <v>936</v>
      </c>
      <c r="J1473" s="77">
        <v>0</v>
      </c>
      <c r="K1473" s="78">
        <v>20.75</v>
      </c>
      <c r="M1473" s="79" t="str">
        <f t="shared" si="68"/>
        <v>210-7570</v>
      </c>
      <c r="N1473" s="79" t="str">
        <f t="shared" si="66"/>
        <v/>
      </c>
      <c r="O1473" s="79" t="str">
        <f t="shared" si="67"/>
        <v>210</v>
      </c>
      <c r="P1473" s="79" t="str">
        <f>IFERROR(VLOOKUP($M1473,Export!$P:$R,2,FALSE),"-")</f>
        <v>Admin &amp; Other</v>
      </c>
      <c r="Q1473" s="79" t="str">
        <f>IFERROR(VLOOKUP($M1473,Export!$P:$R,3,FALSE),"-")</f>
        <v>Admin &amp; OtherR&amp;M and Cleaning as % of Total Gross Profit</v>
      </c>
      <c r="R1473" s="80" t="e" cm="1">
        <f t="array" ref="R1473">_xlfn.IFS(P1473="Service", _xlfn.IFS(I1473="SALES","GP",I1473="SERVICE SALES","GP",I1473="PARTS SALES","GP",I1473="SERVICE COS","GP",I1473="PARTS COS","GP",I1473="SELLING EXPENSES","Selling Expenses",I1473="EMPLOYMENT EXPENSES","Selling Expenses",I1473="EMPLOYMENT EXPENSES","Selling Expenses",I1473="DIRECT EXPENSES","Selling Expenses",I1473="INDIRECT EXPENSES","Selling Expenses"),P1473="Parts",_xlfn.IFS(I1473="SALES","GP",I1473="SERVICE SALES","GP",I1473="PARTS SALES","GP",I1473="SERVICE COS","GP",I1473="PARTS COS","GP",I1473="SELLING EXPENSES","Selling Expenses",I1473="EMPLOYMENT EXPENSES","Selling Expenses",I1473="EMPLOYMENT EXPENSES","Selling Expenses",I1473="DIRECT EXPENSES","Selling Expenses",I1473="INDIRECT EXPENSES","Selling Expenses"))</f>
        <v>#N/A</v>
      </c>
    </row>
    <row r="1474" spans="1:18" x14ac:dyDescent="0.2">
      <c r="A1474" s="75">
        <v>7570</v>
      </c>
      <c r="B1474" s="76" t="s">
        <v>131</v>
      </c>
      <c r="C1474" s="76">
        <v>220</v>
      </c>
      <c r="D1474" s="76" t="s">
        <v>437</v>
      </c>
      <c r="E1474" s="76" t="s">
        <v>426</v>
      </c>
      <c r="F1474" s="77">
        <v>285.58999999999997</v>
      </c>
      <c r="G1474" s="77">
        <v>0</v>
      </c>
      <c r="H1474" s="77">
        <v>285.58999999999997</v>
      </c>
      <c r="I1474" s="76" t="s">
        <v>936</v>
      </c>
      <c r="J1474" s="77">
        <v>0</v>
      </c>
      <c r="K1474" s="78">
        <v>20.75</v>
      </c>
      <c r="M1474" s="79" t="str">
        <f t="shared" si="68"/>
        <v>220-7570</v>
      </c>
      <c r="N1474" s="79" t="str">
        <f t="shared" ref="N1474:N1537" si="69">+IF(RIGHT(A1474,1)="#","#","")</f>
        <v/>
      </c>
      <c r="O1474" s="79" t="str">
        <f t="shared" ref="O1474:O1537" si="70">+C1474&amp;N1474</f>
        <v>220</v>
      </c>
      <c r="P1474" s="79" t="str">
        <f>IFERROR(VLOOKUP($M1474,Export!$P:$R,2,FALSE),"-")</f>
        <v>Admin &amp; Other</v>
      </c>
      <c r="Q1474" s="79" t="str">
        <f>IFERROR(VLOOKUP($M1474,Export!$P:$R,3,FALSE),"-")</f>
        <v>Admin &amp; OtherOther Overheads as % of Total Gross Profit</v>
      </c>
      <c r="R1474" s="80" t="e" cm="1">
        <f t="array" ref="R1474">_xlfn.IFS(P1474="Service", _xlfn.IFS(I1474="SALES","GP",I1474="SERVICE SALES","GP",I1474="PARTS SALES","GP",I1474="SERVICE COS","GP",I1474="PARTS COS","GP",I1474="SELLING EXPENSES","Selling Expenses",I1474="EMPLOYMENT EXPENSES","Selling Expenses",I1474="EMPLOYMENT EXPENSES","Selling Expenses",I1474="DIRECT EXPENSES","Selling Expenses",I1474="INDIRECT EXPENSES","Selling Expenses"),P1474="Parts",_xlfn.IFS(I1474="SALES","GP",I1474="SERVICE SALES","GP",I1474="PARTS SALES","GP",I1474="SERVICE COS","GP",I1474="PARTS COS","GP",I1474="SELLING EXPENSES","Selling Expenses",I1474="EMPLOYMENT EXPENSES","Selling Expenses",I1474="EMPLOYMENT EXPENSES","Selling Expenses",I1474="DIRECT EXPENSES","Selling Expenses",I1474="INDIRECT EXPENSES","Selling Expenses"))</f>
        <v>#N/A</v>
      </c>
    </row>
    <row r="1475" spans="1:18" x14ac:dyDescent="0.2">
      <c r="A1475" s="75">
        <v>7570</v>
      </c>
      <c r="B1475" s="76" t="s">
        <v>131</v>
      </c>
      <c r="C1475" s="76">
        <v>230</v>
      </c>
      <c r="D1475" s="76" t="s">
        <v>438</v>
      </c>
      <c r="E1475" s="76" t="s">
        <v>426</v>
      </c>
      <c r="F1475" s="77">
        <v>161.06</v>
      </c>
      <c r="G1475" s="77">
        <v>0</v>
      </c>
      <c r="H1475" s="77">
        <v>161.06</v>
      </c>
      <c r="I1475" s="76" t="s">
        <v>936</v>
      </c>
      <c r="J1475" s="77">
        <v>0</v>
      </c>
      <c r="K1475" s="78">
        <v>20.77</v>
      </c>
      <c r="M1475" s="79" t="str">
        <f t="shared" ref="M1475:M1538" si="71">+C1475&amp;"-"&amp;A1475</f>
        <v>230-7570</v>
      </c>
      <c r="N1475" s="79" t="str">
        <f t="shared" si="69"/>
        <v/>
      </c>
      <c r="O1475" s="79" t="str">
        <f t="shared" si="70"/>
        <v>230</v>
      </c>
      <c r="P1475" s="79" t="str">
        <f>IFERROR(VLOOKUP($M1475,Export!$P:$R,2,FALSE),"-")</f>
        <v>Admin &amp; Other</v>
      </c>
      <c r="Q1475" s="79" t="str">
        <f>IFERROR(VLOOKUP($M1475,Export!$P:$R,3,FALSE),"-")</f>
        <v>Admin &amp; OtherR&amp;M and Cleaning as % of Total Gross Profit</v>
      </c>
      <c r="R1475" s="80" t="e" cm="1">
        <f t="array" ref="R1475">_xlfn.IFS(P1475="Service", _xlfn.IFS(I1475="SALES","GP",I1475="SERVICE SALES","GP",I1475="PARTS SALES","GP",I1475="SERVICE COS","GP",I1475="PARTS COS","GP",I1475="SELLING EXPENSES","Selling Expenses",I1475="EMPLOYMENT EXPENSES","Selling Expenses",I1475="EMPLOYMENT EXPENSES","Selling Expenses",I1475="DIRECT EXPENSES","Selling Expenses",I1475="INDIRECT EXPENSES","Selling Expenses"),P1475="Parts",_xlfn.IFS(I1475="SALES","GP",I1475="SERVICE SALES","GP",I1475="PARTS SALES","GP",I1475="SERVICE COS","GP",I1475="PARTS COS","GP",I1475="SELLING EXPENSES","Selling Expenses",I1475="EMPLOYMENT EXPENSES","Selling Expenses",I1475="EMPLOYMENT EXPENSES","Selling Expenses",I1475="DIRECT EXPENSES","Selling Expenses",I1475="INDIRECT EXPENSES","Selling Expenses"))</f>
        <v>#N/A</v>
      </c>
    </row>
    <row r="1476" spans="1:18" x14ac:dyDescent="0.2">
      <c r="A1476" s="75">
        <v>7570</v>
      </c>
      <c r="B1476" s="76" t="s">
        <v>131</v>
      </c>
      <c r="C1476" s="76">
        <v>240</v>
      </c>
      <c r="D1476" s="76" t="s">
        <v>439</v>
      </c>
      <c r="E1476" s="76" t="s">
        <v>426</v>
      </c>
      <c r="F1476" s="77">
        <v>2328.65</v>
      </c>
      <c r="G1476" s="77">
        <v>0</v>
      </c>
      <c r="H1476" s="77">
        <v>2328.65</v>
      </c>
      <c r="I1476" s="76" t="s">
        <v>936</v>
      </c>
      <c r="J1476" s="77">
        <v>800</v>
      </c>
      <c r="K1476" s="78">
        <v>7611.34</v>
      </c>
      <c r="M1476" s="79" t="str">
        <f t="shared" si="71"/>
        <v>240-7570</v>
      </c>
      <c r="N1476" s="79" t="str">
        <f t="shared" si="69"/>
        <v/>
      </c>
      <c r="O1476" s="79" t="str">
        <f t="shared" si="70"/>
        <v>240</v>
      </c>
      <c r="P1476" s="79" t="str">
        <f>IFERROR(VLOOKUP($M1476,Export!$P:$R,2,FALSE),"-")</f>
        <v>Service</v>
      </c>
      <c r="Q1476" s="79" t="str">
        <f>IFERROR(VLOOKUP($M1476,Export!$P:$R,3,FALSE),"-")</f>
        <v>ServiceOther Expenses as % of Sales</v>
      </c>
      <c r="R1476" s="80" t="str" cm="1">
        <f t="array" ref="R1476">_xlfn.IFS(P1476="Service", _xlfn.IFS(I1476="SALES","GP",I1476="SERVICE SALES","GP",I1476="PARTS SALES","GP",I1476="SERVICE COS","GP",I1476="PARTS COS","GP",I1476="SELLING EXPENSES","Selling Expenses",I1476="EMPLOYMENT EXPENSES","Selling Expenses",I1476="EMPLOYMENT EXPENSES","Selling Expenses",I1476="DIRECT EXPENSES","Selling Expenses",I1476="INDIRECT EXPENSES","Selling Expenses"),P1476="Parts",_xlfn.IFS(I1476="SALES","GP",I1476="SERVICE SALES","GP",I1476="PARTS SALES","GP",I1476="SERVICE COS","GP",I1476="PARTS COS","GP",I1476="SELLING EXPENSES","Selling Expenses",I1476="EMPLOYMENT EXPENSES","Selling Expenses",I1476="EMPLOYMENT EXPENSES","Selling Expenses",I1476="DIRECT EXPENSES","Selling Expenses",I1476="INDIRECT EXPENSES","Selling Expenses"))</f>
        <v>Selling Expenses</v>
      </c>
    </row>
    <row r="1477" spans="1:18" x14ac:dyDescent="0.2">
      <c r="A1477" s="75">
        <v>7570</v>
      </c>
      <c r="B1477" s="76" t="s">
        <v>131</v>
      </c>
      <c r="C1477" s="76">
        <v>340</v>
      </c>
      <c r="D1477" s="76" t="s">
        <v>440</v>
      </c>
      <c r="E1477" s="76" t="s">
        <v>426</v>
      </c>
      <c r="F1477" s="77">
        <v>3965.62</v>
      </c>
      <c r="G1477" s="77">
        <v>190</v>
      </c>
      <c r="H1477" s="77">
        <v>4155.62</v>
      </c>
      <c r="I1477" s="76" t="s">
        <v>936</v>
      </c>
      <c r="J1477" s="77">
        <v>400</v>
      </c>
      <c r="K1477" s="78">
        <v>2678</v>
      </c>
      <c r="M1477" s="79" t="str">
        <f t="shared" si="71"/>
        <v>340-7570</v>
      </c>
      <c r="N1477" s="79" t="str">
        <f t="shared" si="69"/>
        <v/>
      </c>
      <c r="O1477" s="79" t="str">
        <f t="shared" si="70"/>
        <v>340</v>
      </c>
      <c r="P1477" s="79" t="str">
        <f>IFERROR(VLOOKUP($M1477,Export!$P:$R,2,FALSE),"-")</f>
        <v>Service</v>
      </c>
      <c r="Q1477" s="79" t="str">
        <f>IFERROR(VLOOKUP($M1477,Export!$P:$R,3,FALSE),"-")</f>
        <v>ServiceOther Expenses as % of Sales</v>
      </c>
      <c r="R1477" s="80" t="str" cm="1">
        <f t="array" ref="R1477">_xlfn.IFS(P1477="Service", _xlfn.IFS(I1477="SALES","GP",I1477="SERVICE SALES","GP",I1477="PARTS SALES","GP",I1477="SERVICE COS","GP",I1477="PARTS COS","GP",I1477="SELLING EXPENSES","Selling Expenses",I1477="EMPLOYMENT EXPENSES","Selling Expenses",I1477="EMPLOYMENT EXPENSES","Selling Expenses",I1477="DIRECT EXPENSES","Selling Expenses",I1477="INDIRECT EXPENSES","Selling Expenses"),P1477="Parts",_xlfn.IFS(I1477="SALES","GP",I1477="SERVICE SALES","GP",I1477="PARTS SALES","GP",I1477="SERVICE COS","GP",I1477="PARTS COS","GP",I1477="SELLING EXPENSES","Selling Expenses",I1477="EMPLOYMENT EXPENSES","Selling Expenses",I1477="EMPLOYMENT EXPENSES","Selling Expenses",I1477="DIRECT EXPENSES","Selling Expenses",I1477="INDIRECT EXPENSES","Selling Expenses"))</f>
        <v>Selling Expenses</v>
      </c>
    </row>
    <row r="1478" spans="1:18" x14ac:dyDescent="0.2">
      <c r="A1478" s="75">
        <v>7570</v>
      </c>
      <c r="B1478" s="76" t="s">
        <v>131</v>
      </c>
      <c r="C1478" s="76">
        <v>430</v>
      </c>
      <c r="D1478" s="76" t="s">
        <v>458</v>
      </c>
      <c r="E1478" s="76" t="s">
        <v>426</v>
      </c>
      <c r="F1478" s="77">
        <v>669.87</v>
      </c>
      <c r="G1478" s="77">
        <v>0</v>
      </c>
      <c r="H1478" s="77">
        <v>669.87</v>
      </c>
      <c r="I1478" s="76" t="s">
        <v>936</v>
      </c>
      <c r="J1478" s="77">
        <v>0</v>
      </c>
      <c r="K1478" s="78">
        <v>143.1</v>
      </c>
      <c r="M1478" s="79" t="str">
        <f t="shared" si="71"/>
        <v>430-7570</v>
      </c>
      <c r="N1478" s="79" t="str">
        <f t="shared" si="69"/>
        <v/>
      </c>
      <c r="O1478" s="79" t="str">
        <f t="shared" si="70"/>
        <v>430</v>
      </c>
      <c r="P1478" s="79" t="str">
        <f>IFERROR(VLOOKUP($M1478,Export!$P:$R,2,FALSE),"-")</f>
        <v>Admin &amp; Other</v>
      </c>
      <c r="Q1478" s="79" t="str">
        <f>IFERROR(VLOOKUP($M1478,Export!$P:$R,3,FALSE),"-")</f>
        <v>Admin &amp; OtherR&amp;M and Cleaning as % of Total Gross Profit</v>
      </c>
      <c r="R1478" s="80" t="e" cm="1">
        <f t="array" ref="R1478">_xlfn.IFS(P1478="Service", _xlfn.IFS(I1478="SALES","GP",I1478="SERVICE SALES","GP",I1478="PARTS SALES","GP",I1478="SERVICE COS","GP",I1478="PARTS COS","GP",I1478="SELLING EXPENSES","Selling Expenses",I1478="EMPLOYMENT EXPENSES","Selling Expenses",I1478="EMPLOYMENT EXPENSES","Selling Expenses",I1478="DIRECT EXPENSES","Selling Expenses",I1478="INDIRECT EXPENSES","Selling Expenses"),P1478="Parts",_xlfn.IFS(I1478="SALES","GP",I1478="SERVICE SALES","GP",I1478="PARTS SALES","GP",I1478="SERVICE COS","GP",I1478="PARTS COS","GP",I1478="SELLING EXPENSES","Selling Expenses",I1478="EMPLOYMENT EXPENSES","Selling Expenses",I1478="EMPLOYMENT EXPENSES","Selling Expenses",I1478="DIRECT EXPENSES","Selling Expenses",I1478="INDIRECT EXPENSES","Selling Expenses"))</f>
        <v>#N/A</v>
      </c>
    </row>
    <row r="1479" spans="1:18" x14ac:dyDescent="0.2">
      <c r="A1479" s="75">
        <v>7570</v>
      </c>
      <c r="B1479" s="76" t="s">
        <v>131</v>
      </c>
      <c r="C1479" s="76">
        <v>440</v>
      </c>
      <c r="D1479" s="76" t="s">
        <v>441</v>
      </c>
      <c r="E1479" s="76" t="s">
        <v>426</v>
      </c>
      <c r="F1479" s="77">
        <v>10388.19</v>
      </c>
      <c r="G1479" s="77">
        <v>0</v>
      </c>
      <c r="H1479" s="77">
        <v>10388.19</v>
      </c>
      <c r="I1479" s="76" t="s">
        <v>936</v>
      </c>
      <c r="J1479" s="77">
        <v>145.44</v>
      </c>
      <c r="K1479" s="78">
        <v>1015.74</v>
      </c>
      <c r="M1479" s="79" t="str">
        <f t="shared" si="71"/>
        <v>440-7570</v>
      </c>
      <c r="N1479" s="79" t="str">
        <f t="shared" si="69"/>
        <v/>
      </c>
      <c r="O1479" s="79" t="str">
        <f t="shared" si="70"/>
        <v>440</v>
      </c>
      <c r="P1479" s="79" t="str">
        <f>IFERROR(VLOOKUP($M1479,Export!$P:$R,2,FALSE),"-")</f>
        <v>Service</v>
      </c>
      <c r="Q1479" s="79" t="str">
        <f>IFERROR(VLOOKUP($M1479,Export!$P:$R,3,FALSE),"-")</f>
        <v>ServiceOther Expenses as % of Sales</v>
      </c>
      <c r="R1479" s="80" t="str" cm="1">
        <f t="array" ref="R1479">_xlfn.IFS(P1479="Service", _xlfn.IFS(I1479="SALES","GP",I1479="SERVICE SALES","GP",I1479="PARTS SALES","GP",I1479="SERVICE COS","GP",I1479="PARTS COS","GP",I1479="SELLING EXPENSES","Selling Expenses",I1479="EMPLOYMENT EXPENSES","Selling Expenses",I1479="EMPLOYMENT EXPENSES","Selling Expenses",I1479="DIRECT EXPENSES","Selling Expenses",I1479="INDIRECT EXPENSES","Selling Expenses"),P1479="Parts",_xlfn.IFS(I1479="SALES","GP",I1479="SERVICE SALES","GP",I1479="PARTS SALES","GP",I1479="SERVICE COS","GP",I1479="PARTS COS","GP",I1479="SELLING EXPENSES","Selling Expenses",I1479="EMPLOYMENT EXPENSES","Selling Expenses",I1479="EMPLOYMENT EXPENSES","Selling Expenses",I1479="DIRECT EXPENSES","Selling Expenses",I1479="INDIRECT EXPENSES","Selling Expenses"))</f>
        <v>Selling Expenses</v>
      </c>
    </row>
    <row r="1480" spans="1:18" x14ac:dyDescent="0.2">
      <c r="A1480" s="75">
        <v>7570</v>
      </c>
      <c r="B1480" s="76" t="s">
        <v>131</v>
      </c>
      <c r="C1480" s="76">
        <v>935</v>
      </c>
      <c r="D1480" s="76" t="s">
        <v>442</v>
      </c>
      <c r="E1480" s="76" t="s">
        <v>426</v>
      </c>
      <c r="F1480" s="77">
        <v>1192.22</v>
      </c>
      <c r="G1480" s="77">
        <v>0</v>
      </c>
      <c r="H1480" s="77">
        <v>1192.22</v>
      </c>
      <c r="I1480" s="76" t="s">
        <v>936</v>
      </c>
      <c r="J1480" s="77">
        <v>0</v>
      </c>
      <c r="K1480" s="78">
        <v>0</v>
      </c>
      <c r="M1480" s="79" t="str">
        <f t="shared" si="71"/>
        <v>935-7570</v>
      </c>
      <c r="N1480" s="79" t="str">
        <f t="shared" si="69"/>
        <v/>
      </c>
      <c r="O1480" s="79" t="str">
        <f t="shared" si="70"/>
        <v>935</v>
      </c>
      <c r="P1480" s="79" t="str">
        <f>IFERROR(VLOOKUP($M1480,Export!$P:$R,2,FALSE),"-")</f>
        <v>Bridgestone</v>
      </c>
      <c r="Q1480" s="79" t="str">
        <f>IFERROR(VLOOKUP($M1480,Export!$P:$R,3,FALSE),"-")</f>
        <v>BridgestoneOther Expenses as % of Sales</v>
      </c>
      <c r="R1480" s="80" t="e" cm="1">
        <f t="array" ref="R1480">_xlfn.IFS(P1480="Service", _xlfn.IFS(I1480="SALES","GP",I1480="SERVICE SALES","GP",I1480="PARTS SALES","GP",I1480="SERVICE COS","GP",I1480="PARTS COS","GP",I1480="SELLING EXPENSES","Selling Expenses",I1480="EMPLOYMENT EXPENSES","Selling Expenses",I1480="EMPLOYMENT EXPENSES","Selling Expenses",I1480="DIRECT EXPENSES","Selling Expenses",I1480="INDIRECT EXPENSES","Selling Expenses"),P1480="Parts",_xlfn.IFS(I1480="SALES","GP",I1480="SERVICE SALES","GP",I1480="PARTS SALES","GP",I1480="SERVICE COS","GP",I1480="PARTS COS","GP",I1480="SELLING EXPENSES","Selling Expenses",I1480="EMPLOYMENT EXPENSES","Selling Expenses",I1480="EMPLOYMENT EXPENSES","Selling Expenses",I1480="DIRECT EXPENSES","Selling Expenses",I1480="INDIRECT EXPENSES","Selling Expenses"))</f>
        <v>#N/A</v>
      </c>
    </row>
    <row r="1481" spans="1:18" x14ac:dyDescent="0.2">
      <c r="A1481" s="75">
        <v>7570</v>
      </c>
      <c r="B1481" s="76" t="s">
        <v>131</v>
      </c>
      <c r="C1481" s="76">
        <v>936</v>
      </c>
      <c r="D1481" s="76" t="s">
        <v>443</v>
      </c>
      <c r="E1481" s="76" t="s">
        <v>426</v>
      </c>
      <c r="F1481" s="77">
        <v>969.26</v>
      </c>
      <c r="G1481" s="77">
        <v>478</v>
      </c>
      <c r="H1481" s="77">
        <v>1447.26</v>
      </c>
      <c r="I1481" s="76" t="s">
        <v>936</v>
      </c>
      <c r="J1481" s="77">
        <v>0</v>
      </c>
      <c r="K1481" s="78">
        <v>0</v>
      </c>
      <c r="M1481" s="79" t="str">
        <f t="shared" si="71"/>
        <v>936-7570</v>
      </c>
      <c r="N1481" s="79" t="str">
        <f t="shared" si="69"/>
        <v/>
      </c>
      <c r="O1481" s="79" t="str">
        <f t="shared" si="70"/>
        <v>936</v>
      </c>
      <c r="P1481" s="79" t="str">
        <f>IFERROR(VLOOKUP($M1481,Export!$P:$R,2,FALSE),"-")</f>
        <v>Bridgestone</v>
      </c>
      <c r="Q1481" s="79" t="str">
        <f>IFERROR(VLOOKUP($M1481,Export!$P:$R,3,FALSE),"-")</f>
        <v>BridgestoneOther Expenses as % of Sales</v>
      </c>
      <c r="R1481" s="80" t="e" cm="1">
        <f t="array" ref="R1481">_xlfn.IFS(P1481="Service", _xlfn.IFS(I1481="SALES","GP",I1481="SERVICE SALES","GP",I1481="PARTS SALES","GP",I1481="SERVICE COS","GP",I1481="PARTS COS","GP",I1481="SELLING EXPENSES","Selling Expenses",I1481="EMPLOYMENT EXPENSES","Selling Expenses",I1481="EMPLOYMENT EXPENSES","Selling Expenses",I1481="DIRECT EXPENSES","Selling Expenses",I1481="INDIRECT EXPENSES","Selling Expenses"),P1481="Parts",_xlfn.IFS(I1481="SALES","GP",I1481="SERVICE SALES","GP",I1481="PARTS SALES","GP",I1481="SERVICE COS","GP",I1481="PARTS COS","GP",I1481="SELLING EXPENSES","Selling Expenses",I1481="EMPLOYMENT EXPENSES","Selling Expenses",I1481="EMPLOYMENT EXPENSES","Selling Expenses",I1481="DIRECT EXPENSES","Selling Expenses",I1481="INDIRECT EXPENSES","Selling Expenses"))</f>
        <v>#N/A</v>
      </c>
    </row>
    <row r="1482" spans="1:18" x14ac:dyDescent="0.2">
      <c r="A1482" s="75" t="s">
        <v>952</v>
      </c>
      <c r="B1482" s="76" t="s">
        <v>953</v>
      </c>
      <c r="C1482" s="76">
        <v>110</v>
      </c>
      <c r="D1482" s="76" t="s">
        <v>430</v>
      </c>
      <c r="E1482" s="76" t="s">
        <v>426</v>
      </c>
      <c r="F1482" s="77">
        <v>3703.99</v>
      </c>
      <c r="G1482" s="77">
        <v>324</v>
      </c>
      <c r="H1482" s="77">
        <v>4027.99</v>
      </c>
      <c r="I1482" s="76" t="s">
        <v>936</v>
      </c>
      <c r="J1482" s="77">
        <v>0</v>
      </c>
      <c r="K1482" s="78">
        <v>247.5</v>
      </c>
      <c r="M1482" s="79" t="str">
        <f t="shared" si="71"/>
        <v>110-7570R</v>
      </c>
      <c r="N1482" s="79" t="str">
        <f t="shared" si="69"/>
        <v/>
      </c>
      <c r="O1482" s="79" t="str">
        <f t="shared" si="70"/>
        <v>110</v>
      </c>
      <c r="P1482" s="79" t="str">
        <f>IFERROR(VLOOKUP($M1482,Export!$P:$R,2,FALSE),"-")</f>
        <v>Admin &amp; Other</v>
      </c>
      <c r="Q1482" s="79" t="str">
        <f>IFERROR(VLOOKUP($M1482,Export!$P:$R,3,FALSE),"-")</f>
        <v>Admin &amp; OtherOther Overheads as % of Total Gross Profit</v>
      </c>
      <c r="R1482" s="80" t="e" cm="1">
        <f t="array" ref="R1482">_xlfn.IFS(P1482="Service", _xlfn.IFS(I1482="SALES","GP",I1482="SERVICE SALES","GP",I1482="PARTS SALES","GP",I1482="SERVICE COS","GP",I1482="PARTS COS","GP",I1482="SELLING EXPENSES","Selling Expenses",I1482="EMPLOYMENT EXPENSES","Selling Expenses",I1482="EMPLOYMENT EXPENSES","Selling Expenses",I1482="DIRECT EXPENSES","Selling Expenses",I1482="INDIRECT EXPENSES","Selling Expenses"),P1482="Parts",_xlfn.IFS(I1482="SALES","GP",I1482="SERVICE SALES","GP",I1482="PARTS SALES","GP",I1482="SERVICE COS","GP",I1482="PARTS COS","GP",I1482="SELLING EXPENSES","Selling Expenses",I1482="EMPLOYMENT EXPENSES","Selling Expenses",I1482="EMPLOYMENT EXPENSES","Selling Expenses",I1482="DIRECT EXPENSES","Selling Expenses",I1482="INDIRECT EXPENSES","Selling Expenses"))</f>
        <v>#N/A</v>
      </c>
    </row>
    <row r="1483" spans="1:18" x14ac:dyDescent="0.2">
      <c r="A1483" s="75" t="s">
        <v>952</v>
      </c>
      <c r="B1483" s="76" t="s">
        <v>953</v>
      </c>
      <c r="C1483" s="76">
        <v>112</v>
      </c>
      <c r="D1483" s="76" t="s">
        <v>349</v>
      </c>
      <c r="E1483" s="76" t="s">
        <v>426</v>
      </c>
      <c r="F1483" s="77">
        <v>9396.5400000000009</v>
      </c>
      <c r="G1483" s="287">
        <v>932.58</v>
      </c>
      <c r="H1483" s="77">
        <v>10329.120000000001</v>
      </c>
      <c r="I1483" s="76" t="s">
        <v>936</v>
      </c>
      <c r="J1483" s="77">
        <v>600</v>
      </c>
      <c r="K1483" s="78">
        <v>6707</v>
      </c>
      <c r="M1483" s="79" t="str">
        <f t="shared" si="71"/>
        <v>112-7570R</v>
      </c>
      <c r="N1483" s="79" t="str">
        <f t="shared" si="69"/>
        <v/>
      </c>
      <c r="O1483" s="79" t="str">
        <f t="shared" si="70"/>
        <v>112</v>
      </c>
      <c r="P1483" s="79" t="str">
        <f>IFERROR(VLOOKUP($M1483,Export!$P:$R,2,FALSE),"-")</f>
        <v>LEX Admin &amp; Other</v>
      </c>
      <c r="Q1483" s="79" t="str">
        <f>IFERROR(VLOOKUP($M1483,Export!$P:$R,3,FALSE),"-")</f>
        <v>LEX Admin &amp; OtherOther Overheads as % of Total Gross Profit</v>
      </c>
      <c r="R1483" s="80" t="e" cm="1">
        <f t="array" ref="R1483">_xlfn.IFS(P1483="Service", _xlfn.IFS(I1483="SALES","GP",I1483="SERVICE SALES","GP",I1483="PARTS SALES","GP",I1483="SERVICE COS","GP",I1483="PARTS COS","GP",I1483="SELLING EXPENSES","Selling Expenses",I1483="EMPLOYMENT EXPENSES","Selling Expenses",I1483="EMPLOYMENT EXPENSES","Selling Expenses",I1483="DIRECT EXPENSES","Selling Expenses",I1483="INDIRECT EXPENSES","Selling Expenses"),P1483="Parts",_xlfn.IFS(I1483="SALES","GP",I1483="SERVICE SALES","GP",I1483="PARTS SALES","GP",I1483="SERVICE COS","GP",I1483="PARTS COS","GP",I1483="SELLING EXPENSES","Selling Expenses",I1483="EMPLOYMENT EXPENSES","Selling Expenses",I1483="EMPLOYMENT EXPENSES","Selling Expenses",I1483="DIRECT EXPENSES","Selling Expenses",I1483="INDIRECT EXPENSES","Selling Expenses"))</f>
        <v>#N/A</v>
      </c>
    </row>
    <row r="1484" spans="1:18" x14ac:dyDescent="0.2">
      <c r="A1484" s="75" t="s">
        <v>952</v>
      </c>
      <c r="B1484" s="76" t="s">
        <v>953</v>
      </c>
      <c r="C1484" s="76">
        <v>120</v>
      </c>
      <c r="D1484" s="76" t="s">
        <v>431</v>
      </c>
      <c r="E1484" s="76" t="s">
        <v>426</v>
      </c>
      <c r="F1484" s="77">
        <v>369.51</v>
      </c>
      <c r="G1484" s="287">
        <v>42</v>
      </c>
      <c r="H1484" s="77">
        <v>411.51</v>
      </c>
      <c r="I1484" s="76" t="s">
        <v>936</v>
      </c>
      <c r="J1484" s="77">
        <v>0</v>
      </c>
      <c r="K1484" s="78">
        <v>12.76</v>
      </c>
      <c r="M1484" s="79" t="str">
        <f t="shared" si="71"/>
        <v>120-7570R</v>
      </c>
      <c r="N1484" s="79" t="str">
        <f t="shared" si="69"/>
        <v/>
      </c>
      <c r="O1484" s="79" t="str">
        <f t="shared" si="70"/>
        <v>120</v>
      </c>
      <c r="P1484" s="79" t="str">
        <f>IFERROR(VLOOKUP($M1484,Export!$P:$R,2,FALSE),"-")</f>
        <v>Admin &amp; Other</v>
      </c>
      <c r="Q1484" s="79" t="str">
        <f>IFERROR(VLOOKUP($M1484,Export!$P:$R,3,FALSE),"-")</f>
        <v>Admin &amp; OtherOther Overheads as % of Total Gross Profit</v>
      </c>
      <c r="R1484" s="80" t="e" cm="1">
        <f t="array" ref="R1484">_xlfn.IFS(P1484="Service", _xlfn.IFS(I1484="SALES","GP",I1484="SERVICE SALES","GP",I1484="PARTS SALES","GP",I1484="SERVICE COS","GP",I1484="PARTS COS","GP",I1484="SELLING EXPENSES","Selling Expenses",I1484="EMPLOYMENT EXPENSES","Selling Expenses",I1484="EMPLOYMENT EXPENSES","Selling Expenses",I1484="DIRECT EXPENSES","Selling Expenses",I1484="INDIRECT EXPENSES","Selling Expenses"),P1484="Parts",_xlfn.IFS(I1484="SALES","GP",I1484="SERVICE SALES","GP",I1484="PARTS SALES","GP",I1484="SERVICE COS","GP",I1484="PARTS COS","GP",I1484="SELLING EXPENSES","Selling Expenses",I1484="EMPLOYMENT EXPENSES","Selling Expenses",I1484="EMPLOYMENT EXPENSES","Selling Expenses",I1484="DIRECT EXPENSES","Selling Expenses",I1484="INDIRECT EXPENSES","Selling Expenses"))</f>
        <v>#N/A</v>
      </c>
    </row>
    <row r="1485" spans="1:18" x14ac:dyDescent="0.2">
      <c r="A1485" s="75" t="s">
        <v>952</v>
      </c>
      <c r="B1485" s="76" t="s">
        <v>953</v>
      </c>
      <c r="C1485" s="76">
        <v>121</v>
      </c>
      <c r="D1485" s="76" t="s">
        <v>449</v>
      </c>
      <c r="E1485" s="76" t="s">
        <v>426</v>
      </c>
      <c r="F1485" s="77">
        <v>0</v>
      </c>
      <c r="G1485" s="77">
        <v>0</v>
      </c>
      <c r="H1485" s="77">
        <v>0</v>
      </c>
      <c r="I1485" s="76" t="s">
        <v>936</v>
      </c>
      <c r="J1485" s="77">
        <v>0</v>
      </c>
      <c r="K1485" s="78">
        <v>29.75</v>
      </c>
      <c r="M1485" s="79" t="str">
        <f t="shared" si="71"/>
        <v>121-7570R</v>
      </c>
      <c r="N1485" s="79" t="str">
        <f t="shared" si="69"/>
        <v/>
      </c>
      <c r="O1485" s="79" t="str">
        <f t="shared" si="70"/>
        <v>121</v>
      </c>
      <c r="P1485" s="79" t="str">
        <f>IFERROR(VLOOKUP($M1485,Export!$P:$R,2,FALSE),"-")</f>
        <v>Admin &amp; Other</v>
      </c>
      <c r="Q1485" s="79" t="str">
        <f>IFERROR(VLOOKUP($M1485,Export!$P:$R,3,FALSE),"-")</f>
        <v>Admin &amp; OtherOther Overheads as % of Total Gross Profit</v>
      </c>
      <c r="R1485" s="80" t="e" cm="1">
        <f t="array" ref="R1485">_xlfn.IFS(P1485="Service", _xlfn.IFS(I1485="SALES","GP",I1485="SERVICE SALES","GP",I1485="PARTS SALES","GP",I1485="SERVICE COS","GP",I1485="PARTS COS","GP",I1485="SELLING EXPENSES","Selling Expenses",I1485="EMPLOYMENT EXPENSES","Selling Expenses",I1485="EMPLOYMENT EXPENSES","Selling Expenses",I1485="DIRECT EXPENSES","Selling Expenses",I1485="INDIRECT EXPENSES","Selling Expenses"),P1485="Parts",_xlfn.IFS(I1485="SALES","GP",I1485="SERVICE SALES","GP",I1485="PARTS SALES","GP",I1485="SERVICE COS","GP",I1485="PARTS COS","GP",I1485="SELLING EXPENSES","Selling Expenses",I1485="EMPLOYMENT EXPENSES","Selling Expenses",I1485="EMPLOYMENT EXPENSES","Selling Expenses",I1485="DIRECT EXPENSES","Selling Expenses",I1485="INDIRECT EXPENSES","Selling Expenses"))</f>
        <v>#N/A</v>
      </c>
    </row>
    <row r="1486" spans="1:18" x14ac:dyDescent="0.2">
      <c r="A1486" s="75" t="s">
        <v>952</v>
      </c>
      <c r="B1486" s="76" t="s">
        <v>953</v>
      </c>
      <c r="C1486" s="76">
        <v>122</v>
      </c>
      <c r="D1486" s="76" t="s">
        <v>452</v>
      </c>
      <c r="E1486" s="76" t="s">
        <v>426</v>
      </c>
      <c r="F1486" s="77">
        <v>641.9</v>
      </c>
      <c r="G1486" s="287">
        <v>0</v>
      </c>
      <c r="H1486" s="77">
        <v>641.9</v>
      </c>
      <c r="I1486" s="76" t="s">
        <v>936</v>
      </c>
      <c r="J1486" s="77">
        <v>0</v>
      </c>
      <c r="K1486" s="78">
        <v>1283.8</v>
      </c>
      <c r="M1486" s="79" t="str">
        <f t="shared" si="71"/>
        <v>122-7570R</v>
      </c>
      <c r="N1486" s="79" t="str">
        <f t="shared" si="69"/>
        <v/>
      </c>
      <c r="O1486" s="79" t="str">
        <f t="shared" si="70"/>
        <v>122</v>
      </c>
      <c r="P1486" s="79" t="str">
        <f>IFERROR(VLOOKUP($M1486,Export!$P:$R,2,FALSE),"-")</f>
        <v>LEX Admin &amp; Other</v>
      </c>
      <c r="Q1486" s="79" t="str">
        <f>IFERROR(VLOOKUP($M1486,Export!$P:$R,3,FALSE),"-")</f>
        <v>LEX Admin &amp; OtherOther Overheads as % of Total Gross Profit</v>
      </c>
      <c r="R1486" s="80" t="e" cm="1">
        <f t="array" ref="R1486">_xlfn.IFS(P1486="Service", _xlfn.IFS(I1486="SALES","GP",I1486="SERVICE SALES","GP",I1486="PARTS SALES","GP",I1486="SERVICE COS","GP",I1486="PARTS COS","GP",I1486="SELLING EXPENSES","Selling Expenses",I1486="EMPLOYMENT EXPENSES","Selling Expenses",I1486="EMPLOYMENT EXPENSES","Selling Expenses",I1486="DIRECT EXPENSES","Selling Expenses",I1486="INDIRECT EXPENSES","Selling Expenses"),P1486="Parts",_xlfn.IFS(I1486="SALES","GP",I1486="SERVICE SALES","GP",I1486="PARTS SALES","GP",I1486="SERVICE COS","GP",I1486="PARTS COS","GP",I1486="SELLING EXPENSES","Selling Expenses",I1486="EMPLOYMENT EXPENSES","Selling Expenses",I1486="EMPLOYMENT EXPENSES","Selling Expenses",I1486="DIRECT EXPENSES","Selling Expenses",I1486="INDIRECT EXPENSES","Selling Expenses"))</f>
        <v>#N/A</v>
      </c>
    </row>
    <row r="1487" spans="1:18" x14ac:dyDescent="0.2">
      <c r="A1487" s="75" t="s">
        <v>952</v>
      </c>
      <c r="B1487" s="76" t="s">
        <v>953</v>
      </c>
      <c r="C1487" s="76">
        <v>130</v>
      </c>
      <c r="D1487" s="76" t="s">
        <v>432</v>
      </c>
      <c r="E1487" s="76" t="s">
        <v>426</v>
      </c>
      <c r="F1487" s="77">
        <v>234.86</v>
      </c>
      <c r="G1487" s="77">
        <v>46</v>
      </c>
      <c r="H1487" s="77">
        <v>280.86</v>
      </c>
      <c r="I1487" s="76" t="s">
        <v>936</v>
      </c>
      <c r="J1487" s="77">
        <v>0</v>
      </c>
      <c r="K1487" s="78">
        <v>166.15</v>
      </c>
      <c r="M1487" s="79" t="str">
        <f t="shared" si="71"/>
        <v>130-7570R</v>
      </c>
      <c r="N1487" s="79" t="str">
        <f t="shared" si="69"/>
        <v/>
      </c>
      <c r="O1487" s="79" t="str">
        <f t="shared" si="70"/>
        <v>130</v>
      </c>
      <c r="P1487" s="79" t="str">
        <f>IFERROR(VLOOKUP($M1487,Export!$P:$R,2,FALSE),"-")</f>
        <v>Admin &amp; Other</v>
      </c>
      <c r="Q1487" s="79" t="str">
        <f>IFERROR(VLOOKUP($M1487,Export!$P:$R,3,FALSE),"-")</f>
        <v>Admin &amp; OtherOther Overheads as % of Total Gross Profit</v>
      </c>
      <c r="R1487" s="80" t="e" cm="1">
        <f t="array" ref="R1487">_xlfn.IFS(P1487="Service", _xlfn.IFS(I1487="SALES","GP",I1487="SERVICE SALES","GP",I1487="PARTS SALES","GP",I1487="SERVICE COS","GP",I1487="PARTS COS","GP",I1487="SELLING EXPENSES","Selling Expenses",I1487="EMPLOYMENT EXPENSES","Selling Expenses",I1487="EMPLOYMENT EXPENSES","Selling Expenses",I1487="DIRECT EXPENSES","Selling Expenses",I1487="INDIRECT EXPENSES","Selling Expenses"),P1487="Parts",_xlfn.IFS(I1487="SALES","GP",I1487="SERVICE SALES","GP",I1487="PARTS SALES","GP",I1487="SERVICE COS","GP",I1487="PARTS COS","GP",I1487="SELLING EXPENSES","Selling Expenses",I1487="EMPLOYMENT EXPENSES","Selling Expenses",I1487="EMPLOYMENT EXPENSES","Selling Expenses",I1487="DIRECT EXPENSES","Selling Expenses",I1487="INDIRECT EXPENSES","Selling Expenses"))</f>
        <v>#N/A</v>
      </c>
    </row>
    <row r="1488" spans="1:18" x14ac:dyDescent="0.2">
      <c r="A1488" s="75" t="s">
        <v>952</v>
      </c>
      <c r="B1488" s="76" t="s">
        <v>953</v>
      </c>
      <c r="C1488" s="76">
        <v>140</v>
      </c>
      <c r="D1488" s="76" t="s">
        <v>433</v>
      </c>
      <c r="E1488" s="76" t="s">
        <v>426</v>
      </c>
      <c r="F1488" s="77">
        <v>640.28</v>
      </c>
      <c r="G1488" s="77">
        <v>29.75</v>
      </c>
      <c r="H1488" s="77">
        <v>670.03</v>
      </c>
      <c r="I1488" s="76" t="s">
        <v>936</v>
      </c>
      <c r="J1488" s="77">
        <v>300</v>
      </c>
      <c r="K1488" s="78">
        <v>3251.39</v>
      </c>
      <c r="M1488" s="79" t="str">
        <f t="shared" si="71"/>
        <v>140-7570R</v>
      </c>
      <c r="N1488" s="79" t="str">
        <f t="shared" si="69"/>
        <v/>
      </c>
      <c r="O1488" s="79" t="str">
        <f t="shared" si="70"/>
        <v>140</v>
      </c>
      <c r="P1488" s="79" t="str">
        <f>IFERROR(VLOOKUP($M1488,Export!$P:$R,2,FALSE),"-")</f>
        <v>Service</v>
      </c>
      <c r="Q1488" s="79" t="str">
        <f>IFERROR(VLOOKUP($M1488,Export!$P:$R,3,FALSE),"-")</f>
        <v>ServiceOther Expenses as % of Sales</v>
      </c>
      <c r="R1488" s="80" t="str" cm="1">
        <f t="array" ref="R1488">_xlfn.IFS(P1488="Service", _xlfn.IFS(I1488="SALES","GP",I1488="SERVICE SALES","GP",I1488="PARTS SALES","GP",I1488="SERVICE COS","GP",I1488="PARTS COS","GP",I1488="SELLING EXPENSES","Selling Expenses",I1488="EMPLOYMENT EXPENSES","Selling Expenses",I1488="EMPLOYMENT EXPENSES","Selling Expenses",I1488="DIRECT EXPENSES","Selling Expenses",I1488="INDIRECT EXPENSES","Selling Expenses"),P1488="Parts",_xlfn.IFS(I1488="SALES","GP",I1488="SERVICE SALES","GP",I1488="PARTS SALES","GP",I1488="SERVICE COS","GP",I1488="PARTS COS","GP",I1488="SELLING EXPENSES","Selling Expenses",I1488="EMPLOYMENT EXPENSES","Selling Expenses",I1488="EMPLOYMENT EXPENSES","Selling Expenses",I1488="DIRECT EXPENSES","Selling Expenses",I1488="INDIRECT EXPENSES","Selling Expenses"))</f>
        <v>Selling Expenses</v>
      </c>
    </row>
    <row r="1489" spans="1:18" x14ac:dyDescent="0.2">
      <c r="A1489" s="75" t="s">
        <v>952</v>
      </c>
      <c r="B1489" s="76" t="s">
        <v>953</v>
      </c>
      <c r="C1489" s="76">
        <v>147</v>
      </c>
      <c r="D1489" s="76" t="s">
        <v>699</v>
      </c>
      <c r="E1489" s="76" t="s">
        <v>426</v>
      </c>
      <c r="F1489" s="77">
        <v>0</v>
      </c>
      <c r="G1489" s="77">
        <v>0</v>
      </c>
      <c r="H1489" s="77">
        <v>0</v>
      </c>
      <c r="I1489" s="76" t="s">
        <v>936</v>
      </c>
      <c r="J1489" s="77">
        <v>100</v>
      </c>
      <c r="K1489" s="78">
        <v>629.75</v>
      </c>
      <c r="M1489" s="79" t="str">
        <f t="shared" si="71"/>
        <v>147-7570R</v>
      </c>
      <c r="N1489" s="79" t="str">
        <f t="shared" si="69"/>
        <v/>
      </c>
      <c r="O1489" s="79" t="str">
        <f t="shared" si="70"/>
        <v>147</v>
      </c>
      <c r="P1489" s="79" t="str">
        <f>IFERROR(VLOOKUP($M1489,Export!$P:$R,2,FALSE),"-")</f>
        <v>Service</v>
      </c>
      <c r="Q1489" s="79" t="str">
        <f>IFERROR(VLOOKUP($M1489,Export!$P:$R,3,FALSE),"-")</f>
        <v>ServiceOther Expenses as % of Sales</v>
      </c>
      <c r="R1489" s="80" t="str" cm="1">
        <f t="array" ref="R1489">_xlfn.IFS(P1489="Service", _xlfn.IFS(I1489="SALES","GP",I1489="SERVICE SALES","GP",I1489="PARTS SALES","GP",I1489="SERVICE COS","GP",I1489="PARTS COS","GP",I1489="SELLING EXPENSES","Selling Expenses",I1489="EMPLOYMENT EXPENSES","Selling Expenses",I1489="EMPLOYMENT EXPENSES","Selling Expenses",I1489="DIRECT EXPENSES","Selling Expenses",I1489="INDIRECT EXPENSES","Selling Expenses"),P1489="Parts",_xlfn.IFS(I1489="SALES","GP",I1489="SERVICE SALES","GP",I1489="PARTS SALES","GP",I1489="SERVICE COS","GP",I1489="PARTS COS","GP",I1489="SELLING EXPENSES","Selling Expenses",I1489="EMPLOYMENT EXPENSES","Selling Expenses",I1489="EMPLOYMENT EXPENSES","Selling Expenses",I1489="DIRECT EXPENSES","Selling Expenses",I1489="INDIRECT EXPENSES","Selling Expenses"))</f>
        <v>Selling Expenses</v>
      </c>
    </row>
    <row r="1490" spans="1:18" x14ac:dyDescent="0.2">
      <c r="A1490" s="75" t="s">
        <v>952</v>
      </c>
      <c r="B1490" s="76" t="s">
        <v>953</v>
      </c>
      <c r="C1490" s="76">
        <v>160</v>
      </c>
      <c r="D1490" s="76" t="s">
        <v>434</v>
      </c>
      <c r="E1490" s="76" t="s">
        <v>426</v>
      </c>
      <c r="F1490" s="77">
        <v>5.22</v>
      </c>
      <c r="G1490" s="77">
        <v>0</v>
      </c>
      <c r="H1490" s="77">
        <v>5.22</v>
      </c>
      <c r="I1490" s="76" t="s">
        <v>936</v>
      </c>
      <c r="J1490" s="77">
        <v>0</v>
      </c>
      <c r="K1490" s="78">
        <v>12.75</v>
      </c>
      <c r="M1490" s="79" t="str">
        <f t="shared" si="71"/>
        <v>160-7570R</v>
      </c>
      <c r="N1490" s="79" t="str">
        <f t="shared" si="69"/>
        <v/>
      </c>
      <c r="O1490" s="79" t="str">
        <f t="shared" si="70"/>
        <v>160</v>
      </c>
      <c r="P1490" s="79" t="str">
        <f>IFERROR(VLOOKUP($M1490,Export!$P:$R,2,FALSE),"-")</f>
        <v>Admin &amp; Other</v>
      </c>
      <c r="Q1490" s="79" t="str">
        <f>IFERROR(VLOOKUP($M1490,Export!$P:$R,3,FALSE),"-")</f>
        <v>Admin &amp; OtherOther Overheads as % of Total Gross Profit</v>
      </c>
      <c r="R1490" s="80" t="e" cm="1">
        <f t="array" ref="R1490">_xlfn.IFS(P1490="Service", _xlfn.IFS(I1490="SALES","GP",I1490="SERVICE SALES","GP",I1490="PARTS SALES","GP",I1490="SERVICE COS","GP",I1490="PARTS COS","GP",I1490="SELLING EXPENSES","Selling Expenses",I1490="EMPLOYMENT EXPENSES","Selling Expenses",I1490="EMPLOYMENT EXPENSES","Selling Expenses",I1490="DIRECT EXPENSES","Selling Expenses",I1490="INDIRECT EXPENSES","Selling Expenses"),P1490="Parts",_xlfn.IFS(I1490="SALES","GP",I1490="SERVICE SALES","GP",I1490="PARTS SALES","GP",I1490="SERVICE COS","GP",I1490="PARTS COS","GP",I1490="SELLING EXPENSES","Selling Expenses",I1490="EMPLOYMENT EXPENSES","Selling Expenses",I1490="EMPLOYMENT EXPENSES","Selling Expenses",I1490="DIRECT EXPENSES","Selling Expenses",I1490="INDIRECT EXPENSES","Selling Expenses"))</f>
        <v>#N/A</v>
      </c>
    </row>
    <row r="1491" spans="1:18" x14ac:dyDescent="0.2">
      <c r="A1491" s="75" t="s">
        <v>952</v>
      </c>
      <c r="B1491" s="76" t="s">
        <v>953</v>
      </c>
      <c r="C1491" s="76">
        <v>210</v>
      </c>
      <c r="D1491" s="76" t="s">
        <v>436</v>
      </c>
      <c r="E1491" s="76" t="s">
        <v>426</v>
      </c>
      <c r="F1491" s="77">
        <v>373.61</v>
      </c>
      <c r="G1491" s="287">
        <v>45</v>
      </c>
      <c r="H1491" s="77">
        <v>418.61</v>
      </c>
      <c r="I1491" s="76" t="s">
        <v>936</v>
      </c>
      <c r="J1491" s="77">
        <v>0</v>
      </c>
      <c r="K1491" s="78">
        <v>202.49</v>
      </c>
      <c r="M1491" s="79" t="str">
        <f t="shared" si="71"/>
        <v>210-7570R</v>
      </c>
      <c r="N1491" s="79" t="str">
        <f t="shared" si="69"/>
        <v/>
      </c>
      <c r="O1491" s="79" t="str">
        <f t="shared" si="70"/>
        <v>210</v>
      </c>
      <c r="P1491" s="79" t="str">
        <f>IFERROR(VLOOKUP($M1491,Export!$P:$R,2,FALSE),"-")</f>
        <v>Admin &amp; Other</v>
      </c>
      <c r="Q1491" s="79" t="str">
        <f>IFERROR(VLOOKUP($M1491,Export!$P:$R,3,FALSE),"-")</f>
        <v>Admin &amp; OtherOther Overheads as % of Total Gross Profit</v>
      </c>
      <c r="R1491" s="80" t="e" cm="1">
        <f t="array" ref="R1491">_xlfn.IFS(P1491="Service", _xlfn.IFS(I1491="SALES","GP",I1491="SERVICE SALES","GP",I1491="PARTS SALES","GP",I1491="SERVICE COS","GP",I1491="PARTS COS","GP",I1491="SELLING EXPENSES","Selling Expenses",I1491="EMPLOYMENT EXPENSES","Selling Expenses",I1491="EMPLOYMENT EXPENSES","Selling Expenses",I1491="DIRECT EXPENSES","Selling Expenses",I1491="INDIRECT EXPENSES","Selling Expenses"),P1491="Parts",_xlfn.IFS(I1491="SALES","GP",I1491="SERVICE SALES","GP",I1491="PARTS SALES","GP",I1491="SERVICE COS","GP",I1491="PARTS COS","GP",I1491="SELLING EXPENSES","Selling Expenses",I1491="EMPLOYMENT EXPENSES","Selling Expenses",I1491="EMPLOYMENT EXPENSES","Selling Expenses",I1491="DIRECT EXPENSES","Selling Expenses",I1491="INDIRECT EXPENSES","Selling Expenses"))</f>
        <v>#N/A</v>
      </c>
    </row>
    <row r="1492" spans="1:18" x14ac:dyDescent="0.2">
      <c r="A1492" s="75" t="s">
        <v>952</v>
      </c>
      <c r="B1492" s="76" t="s">
        <v>953</v>
      </c>
      <c r="C1492" s="76">
        <v>220</v>
      </c>
      <c r="D1492" s="76" t="s">
        <v>437</v>
      </c>
      <c r="E1492" s="76" t="s">
        <v>426</v>
      </c>
      <c r="F1492" s="77">
        <v>111.37</v>
      </c>
      <c r="G1492" s="77">
        <v>0</v>
      </c>
      <c r="H1492" s="77">
        <v>111.37</v>
      </c>
      <c r="I1492" s="76" t="s">
        <v>936</v>
      </c>
      <c r="J1492" s="77">
        <v>0</v>
      </c>
      <c r="K1492" s="78">
        <v>181.34</v>
      </c>
      <c r="M1492" s="79" t="str">
        <f t="shared" si="71"/>
        <v>220-7570R</v>
      </c>
      <c r="N1492" s="79" t="str">
        <f t="shared" si="69"/>
        <v/>
      </c>
      <c r="O1492" s="79" t="str">
        <f t="shared" si="70"/>
        <v>220</v>
      </c>
      <c r="P1492" s="79" t="str">
        <f>IFERROR(VLOOKUP($M1492,Export!$P:$R,2,FALSE),"-")</f>
        <v>Admin &amp; Other</v>
      </c>
      <c r="Q1492" s="79" t="str">
        <f>IFERROR(VLOOKUP($M1492,Export!$P:$R,3,FALSE),"-")</f>
        <v>Admin &amp; OtherOther Overheads as % of Total Gross Profit</v>
      </c>
      <c r="R1492" s="80" t="e" cm="1">
        <f t="array" ref="R1492">_xlfn.IFS(P1492="Service", _xlfn.IFS(I1492="SALES","GP",I1492="SERVICE SALES","GP",I1492="PARTS SALES","GP",I1492="SERVICE COS","GP",I1492="PARTS COS","GP",I1492="SELLING EXPENSES","Selling Expenses",I1492="EMPLOYMENT EXPENSES","Selling Expenses",I1492="EMPLOYMENT EXPENSES","Selling Expenses",I1492="DIRECT EXPENSES","Selling Expenses",I1492="INDIRECT EXPENSES","Selling Expenses"),P1492="Parts",_xlfn.IFS(I1492="SALES","GP",I1492="SERVICE SALES","GP",I1492="PARTS SALES","GP",I1492="SERVICE COS","GP",I1492="PARTS COS","GP",I1492="SELLING EXPENSES","Selling Expenses",I1492="EMPLOYMENT EXPENSES","Selling Expenses",I1492="EMPLOYMENT EXPENSES","Selling Expenses",I1492="DIRECT EXPENSES","Selling Expenses",I1492="INDIRECT EXPENSES","Selling Expenses"))</f>
        <v>#N/A</v>
      </c>
    </row>
    <row r="1493" spans="1:18" x14ac:dyDescent="0.2">
      <c r="A1493" s="75" t="s">
        <v>952</v>
      </c>
      <c r="B1493" s="76" t="s">
        <v>953</v>
      </c>
      <c r="C1493" s="76">
        <v>230</v>
      </c>
      <c r="D1493" s="76" t="s">
        <v>438</v>
      </c>
      <c r="E1493" s="76" t="s">
        <v>426</v>
      </c>
      <c r="F1493" s="77">
        <v>18.239999999999998</v>
      </c>
      <c r="G1493" s="77">
        <v>0</v>
      </c>
      <c r="H1493" s="77">
        <v>18.239999999999998</v>
      </c>
      <c r="I1493" s="76" t="s">
        <v>936</v>
      </c>
      <c r="J1493" s="77">
        <v>0</v>
      </c>
      <c r="K1493" s="78">
        <v>109.53</v>
      </c>
      <c r="M1493" s="79" t="str">
        <f t="shared" si="71"/>
        <v>230-7570R</v>
      </c>
      <c r="N1493" s="79" t="str">
        <f t="shared" si="69"/>
        <v/>
      </c>
      <c r="O1493" s="79" t="str">
        <f t="shared" si="70"/>
        <v>230</v>
      </c>
      <c r="P1493" s="79" t="str">
        <f>IFERROR(VLOOKUP($M1493,Export!$P:$R,2,FALSE),"-")</f>
        <v>Admin &amp; Other</v>
      </c>
      <c r="Q1493" s="79" t="str">
        <f>IFERROR(VLOOKUP($M1493,Export!$P:$R,3,FALSE),"-")</f>
        <v>Admin &amp; OtherOther Overheads as % of Total Gross Profit</v>
      </c>
      <c r="R1493" s="80" t="e" cm="1">
        <f t="array" ref="R1493">_xlfn.IFS(P1493="Service", _xlfn.IFS(I1493="SALES","GP",I1493="SERVICE SALES","GP",I1493="PARTS SALES","GP",I1493="SERVICE COS","GP",I1493="PARTS COS","GP",I1493="SELLING EXPENSES","Selling Expenses",I1493="EMPLOYMENT EXPENSES","Selling Expenses",I1493="EMPLOYMENT EXPENSES","Selling Expenses",I1493="DIRECT EXPENSES","Selling Expenses",I1493="INDIRECT EXPENSES","Selling Expenses"),P1493="Parts",_xlfn.IFS(I1493="SALES","GP",I1493="SERVICE SALES","GP",I1493="PARTS SALES","GP",I1493="SERVICE COS","GP",I1493="PARTS COS","GP",I1493="SELLING EXPENSES","Selling Expenses",I1493="EMPLOYMENT EXPENSES","Selling Expenses",I1493="EMPLOYMENT EXPENSES","Selling Expenses",I1493="DIRECT EXPENSES","Selling Expenses",I1493="INDIRECT EXPENSES","Selling Expenses"))</f>
        <v>#N/A</v>
      </c>
    </row>
    <row r="1494" spans="1:18" x14ac:dyDescent="0.2">
      <c r="A1494" s="75" t="s">
        <v>952</v>
      </c>
      <c r="B1494" s="76" t="s">
        <v>953</v>
      </c>
      <c r="C1494" s="76">
        <v>240</v>
      </c>
      <c r="D1494" s="76" t="s">
        <v>439</v>
      </c>
      <c r="E1494" s="76" t="s">
        <v>426</v>
      </c>
      <c r="F1494" s="77">
        <v>1160</v>
      </c>
      <c r="G1494" s="77">
        <v>203.8</v>
      </c>
      <c r="H1494" s="77">
        <v>1363.8</v>
      </c>
      <c r="I1494" s="76" t="s">
        <v>936</v>
      </c>
      <c r="J1494" s="77">
        <v>100</v>
      </c>
      <c r="K1494" s="78">
        <v>1097.24</v>
      </c>
      <c r="M1494" s="79" t="str">
        <f t="shared" si="71"/>
        <v>240-7570R</v>
      </c>
      <c r="N1494" s="79" t="str">
        <f t="shared" si="69"/>
        <v/>
      </c>
      <c r="O1494" s="79" t="str">
        <f t="shared" si="70"/>
        <v>240</v>
      </c>
      <c r="P1494" s="79" t="str">
        <f>IFERROR(VLOOKUP($M1494,Export!$P:$R,2,FALSE),"-")</f>
        <v>Service</v>
      </c>
      <c r="Q1494" s="79" t="str">
        <f>IFERROR(VLOOKUP($M1494,Export!$P:$R,3,FALSE),"-")</f>
        <v>ServiceOther Expenses as % of Sales</v>
      </c>
      <c r="R1494" s="80" t="str" cm="1">
        <f t="array" ref="R1494">_xlfn.IFS(P1494="Service", _xlfn.IFS(I1494="SALES","GP",I1494="SERVICE SALES","GP",I1494="PARTS SALES","GP",I1494="SERVICE COS","GP",I1494="PARTS COS","GP",I1494="SELLING EXPENSES","Selling Expenses",I1494="EMPLOYMENT EXPENSES","Selling Expenses",I1494="EMPLOYMENT EXPENSES","Selling Expenses",I1494="DIRECT EXPENSES","Selling Expenses",I1494="INDIRECT EXPENSES","Selling Expenses"),P1494="Parts",_xlfn.IFS(I1494="SALES","GP",I1494="SERVICE SALES","GP",I1494="PARTS SALES","GP",I1494="SERVICE COS","GP",I1494="PARTS COS","GP",I1494="SELLING EXPENSES","Selling Expenses",I1494="EMPLOYMENT EXPENSES","Selling Expenses",I1494="EMPLOYMENT EXPENSES","Selling Expenses",I1494="DIRECT EXPENSES","Selling Expenses",I1494="INDIRECT EXPENSES","Selling Expenses"))</f>
        <v>Selling Expenses</v>
      </c>
    </row>
    <row r="1495" spans="1:18" x14ac:dyDescent="0.2">
      <c r="A1495" s="75" t="s">
        <v>952</v>
      </c>
      <c r="B1495" s="76" t="s">
        <v>953</v>
      </c>
      <c r="C1495" s="76">
        <v>330</v>
      </c>
      <c r="D1495" s="76" t="s">
        <v>457</v>
      </c>
      <c r="E1495" s="76" t="s">
        <v>426</v>
      </c>
      <c r="F1495" s="77">
        <v>0</v>
      </c>
      <c r="G1495" s="77">
        <v>0</v>
      </c>
      <c r="H1495" s="77">
        <v>0</v>
      </c>
      <c r="I1495" s="76" t="s">
        <v>936</v>
      </c>
      <c r="J1495" s="77">
        <v>0</v>
      </c>
      <c r="K1495" s="78">
        <v>60</v>
      </c>
      <c r="M1495" s="79" t="str">
        <f t="shared" si="71"/>
        <v>330-7570R</v>
      </c>
      <c r="N1495" s="79" t="str">
        <f t="shared" si="69"/>
        <v/>
      </c>
      <c r="O1495" s="79" t="str">
        <f t="shared" si="70"/>
        <v>330</v>
      </c>
      <c r="P1495" s="79" t="str">
        <f>IFERROR(VLOOKUP($M1495,Export!$P:$R,2,FALSE),"-")</f>
        <v>Admin &amp; Other</v>
      </c>
      <c r="Q1495" s="79" t="str">
        <f>IFERROR(VLOOKUP($M1495,Export!$P:$R,3,FALSE),"-")</f>
        <v>Admin &amp; OtherOther Overheads as % of Total Gross Profit</v>
      </c>
      <c r="R1495" s="80" t="e" cm="1">
        <f t="array" ref="R1495">_xlfn.IFS(P1495="Service", _xlfn.IFS(I1495="SALES","GP",I1495="SERVICE SALES","GP",I1495="PARTS SALES","GP",I1495="SERVICE COS","GP",I1495="PARTS COS","GP",I1495="SELLING EXPENSES","Selling Expenses",I1495="EMPLOYMENT EXPENSES","Selling Expenses",I1495="EMPLOYMENT EXPENSES","Selling Expenses",I1495="DIRECT EXPENSES","Selling Expenses",I1495="INDIRECT EXPENSES","Selling Expenses"),P1495="Parts",_xlfn.IFS(I1495="SALES","GP",I1495="SERVICE SALES","GP",I1495="PARTS SALES","GP",I1495="SERVICE COS","GP",I1495="PARTS COS","GP",I1495="SELLING EXPENSES","Selling Expenses",I1495="EMPLOYMENT EXPENSES","Selling Expenses",I1495="EMPLOYMENT EXPENSES","Selling Expenses",I1495="DIRECT EXPENSES","Selling Expenses",I1495="INDIRECT EXPENSES","Selling Expenses"))</f>
        <v>#N/A</v>
      </c>
    </row>
    <row r="1496" spans="1:18" x14ac:dyDescent="0.2">
      <c r="A1496" s="75" t="s">
        <v>952</v>
      </c>
      <c r="B1496" s="76" t="s">
        <v>953</v>
      </c>
      <c r="C1496" s="76">
        <v>340</v>
      </c>
      <c r="D1496" s="76" t="s">
        <v>440</v>
      </c>
      <c r="E1496" s="76" t="s">
        <v>426</v>
      </c>
      <c r="F1496" s="77">
        <v>1281.9000000000001</v>
      </c>
      <c r="G1496" s="77">
        <v>138.65</v>
      </c>
      <c r="H1496" s="77">
        <v>1420.55</v>
      </c>
      <c r="I1496" s="76" t="s">
        <v>936</v>
      </c>
      <c r="J1496" s="77">
        <v>200</v>
      </c>
      <c r="K1496" s="78">
        <v>1897.8</v>
      </c>
      <c r="M1496" s="79" t="str">
        <f t="shared" si="71"/>
        <v>340-7570R</v>
      </c>
      <c r="N1496" s="79" t="str">
        <f t="shared" si="69"/>
        <v/>
      </c>
      <c r="O1496" s="79" t="str">
        <f t="shared" si="70"/>
        <v>340</v>
      </c>
      <c r="P1496" s="79" t="str">
        <f>IFERROR(VLOOKUP($M1496,Export!$P:$R,2,FALSE),"-")</f>
        <v>Service</v>
      </c>
      <c r="Q1496" s="79" t="str">
        <f>IFERROR(VLOOKUP($M1496,Export!$P:$R,3,FALSE),"-")</f>
        <v>ServiceOther Expenses as % of Sales</v>
      </c>
      <c r="R1496" s="80" t="str" cm="1">
        <f t="array" ref="R1496">_xlfn.IFS(P1496="Service", _xlfn.IFS(I1496="SALES","GP",I1496="SERVICE SALES","GP",I1496="PARTS SALES","GP",I1496="SERVICE COS","GP",I1496="PARTS COS","GP",I1496="SELLING EXPENSES","Selling Expenses",I1496="EMPLOYMENT EXPENSES","Selling Expenses",I1496="EMPLOYMENT EXPENSES","Selling Expenses",I1496="DIRECT EXPENSES","Selling Expenses",I1496="INDIRECT EXPENSES","Selling Expenses"),P1496="Parts",_xlfn.IFS(I1496="SALES","GP",I1496="SERVICE SALES","GP",I1496="PARTS SALES","GP",I1496="SERVICE COS","GP",I1496="PARTS COS","GP",I1496="SELLING EXPENSES","Selling Expenses",I1496="EMPLOYMENT EXPENSES","Selling Expenses",I1496="EMPLOYMENT EXPENSES","Selling Expenses",I1496="DIRECT EXPENSES","Selling Expenses",I1496="INDIRECT EXPENSES","Selling Expenses"))</f>
        <v>Selling Expenses</v>
      </c>
    </row>
    <row r="1497" spans="1:18" x14ac:dyDescent="0.2">
      <c r="A1497" s="75" t="s">
        <v>952</v>
      </c>
      <c r="B1497" s="76" t="s">
        <v>953</v>
      </c>
      <c r="C1497" s="76">
        <v>430</v>
      </c>
      <c r="D1497" s="76" t="s">
        <v>458</v>
      </c>
      <c r="E1497" s="76" t="s">
        <v>426</v>
      </c>
      <c r="F1497" s="77">
        <v>1611.09</v>
      </c>
      <c r="G1497" s="77">
        <v>197.29</v>
      </c>
      <c r="H1497" s="77">
        <v>1808.38</v>
      </c>
      <c r="I1497" s="76" t="s">
        <v>936</v>
      </c>
      <c r="J1497" s="77">
        <v>100</v>
      </c>
      <c r="K1497" s="78">
        <v>1319</v>
      </c>
      <c r="M1497" s="79" t="str">
        <f t="shared" si="71"/>
        <v>430-7570R</v>
      </c>
      <c r="N1497" s="79" t="str">
        <f t="shared" si="69"/>
        <v/>
      </c>
      <c r="O1497" s="79" t="str">
        <f t="shared" si="70"/>
        <v>430</v>
      </c>
      <c r="P1497" s="79" t="str">
        <f>IFERROR(VLOOKUP($M1497,Export!$P:$R,2,FALSE),"-")</f>
        <v>Admin &amp; Other</v>
      </c>
      <c r="Q1497" s="79" t="str">
        <f>IFERROR(VLOOKUP($M1497,Export!$P:$R,3,FALSE),"-")</f>
        <v>Admin &amp; OtherOther Overheads as % of Total Gross Profit</v>
      </c>
      <c r="R1497" s="80" t="e" cm="1">
        <f t="array" ref="R1497">_xlfn.IFS(P1497="Service", _xlfn.IFS(I1497="SALES","GP",I1497="SERVICE SALES","GP",I1497="PARTS SALES","GP",I1497="SERVICE COS","GP",I1497="PARTS COS","GP",I1497="SELLING EXPENSES","Selling Expenses",I1497="EMPLOYMENT EXPENSES","Selling Expenses",I1497="EMPLOYMENT EXPENSES","Selling Expenses",I1497="DIRECT EXPENSES","Selling Expenses",I1497="INDIRECT EXPENSES","Selling Expenses"),P1497="Parts",_xlfn.IFS(I1497="SALES","GP",I1497="SERVICE SALES","GP",I1497="PARTS SALES","GP",I1497="SERVICE COS","GP",I1497="PARTS COS","GP",I1497="SELLING EXPENSES","Selling Expenses",I1497="EMPLOYMENT EXPENSES","Selling Expenses",I1497="EMPLOYMENT EXPENSES","Selling Expenses",I1497="DIRECT EXPENSES","Selling Expenses",I1497="INDIRECT EXPENSES","Selling Expenses"))</f>
        <v>#N/A</v>
      </c>
    </row>
    <row r="1498" spans="1:18" x14ac:dyDescent="0.2">
      <c r="A1498" s="75" t="s">
        <v>952</v>
      </c>
      <c r="B1498" s="76" t="s">
        <v>953</v>
      </c>
      <c r="C1498" s="76">
        <v>440</v>
      </c>
      <c r="D1498" s="76" t="s">
        <v>441</v>
      </c>
      <c r="E1498" s="76" t="s">
        <v>426</v>
      </c>
      <c r="F1498" s="77">
        <v>2477.5500000000002</v>
      </c>
      <c r="G1498" s="77">
        <v>225.65</v>
      </c>
      <c r="H1498" s="77">
        <v>2703.2</v>
      </c>
      <c r="I1498" s="76" t="s">
        <v>936</v>
      </c>
      <c r="J1498" s="77">
        <v>300</v>
      </c>
      <c r="K1498" s="78">
        <v>3276.2</v>
      </c>
      <c r="M1498" s="79" t="str">
        <f t="shared" si="71"/>
        <v>440-7570R</v>
      </c>
      <c r="N1498" s="79" t="str">
        <f t="shared" si="69"/>
        <v/>
      </c>
      <c r="O1498" s="79" t="str">
        <f t="shared" si="70"/>
        <v>440</v>
      </c>
      <c r="P1498" s="79" t="str">
        <f>IFERROR(VLOOKUP($M1498,Export!$P:$R,2,FALSE),"-")</f>
        <v>Service</v>
      </c>
      <c r="Q1498" s="79" t="str">
        <f>IFERROR(VLOOKUP($M1498,Export!$P:$R,3,FALSE),"-")</f>
        <v>ServiceOther Expenses as % of Sales</v>
      </c>
      <c r="R1498" s="80" t="str" cm="1">
        <f t="array" ref="R1498">_xlfn.IFS(P1498="Service", _xlfn.IFS(I1498="SALES","GP",I1498="SERVICE SALES","GP",I1498="PARTS SALES","GP",I1498="SERVICE COS","GP",I1498="PARTS COS","GP",I1498="SELLING EXPENSES","Selling Expenses",I1498="EMPLOYMENT EXPENSES","Selling Expenses",I1498="EMPLOYMENT EXPENSES","Selling Expenses",I1498="DIRECT EXPENSES","Selling Expenses",I1498="INDIRECT EXPENSES","Selling Expenses"),P1498="Parts",_xlfn.IFS(I1498="SALES","GP",I1498="SERVICE SALES","GP",I1498="PARTS SALES","GP",I1498="SERVICE COS","GP",I1498="PARTS COS","GP",I1498="SELLING EXPENSES","Selling Expenses",I1498="EMPLOYMENT EXPENSES","Selling Expenses",I1498="EMPLOYMENT EXPENSES","Selling Expenses",I1498="DIRECT EXPENSES","Selling Expenses",I1498="INDIRECT EXPENSES","Selling Expenses"))</f>
        <v>Selling Expenses</v>
      </c>
    </row>
    <row r="1499" spans="1:18" x14ac:dyDescent="0.2">
      <c r="A1499" s="75" t="s">
        <v>952</v>
      </c>
      <c r="B1499" s="76" t="s">
        <v>953</v>
      </c>
      <c r="C1499" s="76">
        <v>935</v>
      </c>
      <c r="D1499" s="76" t="s">
        <v>442</v>
      </c>
      <c r="E1499" s="76" t="s">
        <v>426</v>
      </c>
      <c r="F1499" s="77">
        <v>496.68</v>
      </c>
      <c r="G1499" s="77">
        <v>82.78</v>
      </c>
      <c r="H1499" s="77">
        <v>579.46</v>
      </c>
      <c r="I1499" s="76" t="s">
        <v>936</v>
      </c>
      <c r="J1499" s="77">
        <v>0</v>
      </c>
      <c r="K1499" s="78">
        <v>29.75</v>
      </c>
      <c r="M1499" s="79" t="str">
        <f t="shared" si="71"/>
        <v>935-7570R</v>
      </c>
      <c r="N1499" s="79" t="str">
        <f t="shared" si="69"/>
        <v/>
      </c>
      <c r="O1499" s="79" t="str">
        <f t="shared" si="70"/>
        <v>935</v>
      </c>
      <c r="P1499" s="79" t="str">
        <f>IFERROR(VLOOKUP($M1499,Export!$P:$R,2,FALSE),"-")</f>
        <v>Bridgestone</v>
      </c>
      <c r="Q1499" s="79" t="str">
        <f>IFERROR(VLOOKUP($M1499,Export!$P:$R,3,FALSE),"-")</f>
        <v>BridgestoneOther Expenses as % of Sales</v>
      </c>
      <c r="R1499" s="80" t="e" cm="1">
        <f t="array" ref="R1499">_xlfn.IFS(P1499="Service", _xlfn.IFS(I1499="SALES","GP",I1499="SERVICE SALES","GP",I1499="PARTS SALES","GP",I1499="SERVICE COS","GP",I1499="PARTS COS","GP",I1499="SELLING EXPENSES","Selling Expenses",I1499="EMPLOYMENT EXPENSES","Selling Expenses",I1499="EMPLOYMENT EXPENSES","Selling Expenses",I1499="DIRECT EXPENSES","Selling Expenses",I1499="INDIRECT EXPENSES","Selling Expenses"),P1499="Parts",_xlfn.IFS(I1499="SALES","GP",I1499="SERVICE SALES","GP",I1499="PARTS SALES","GP",I1499="SERVICE COS","GP",I1499="PARTS COS","GP",I1499="SELLING EXPENSES","Selling Expenses",I1499="EMPLOYMENT EXPENSES","Selling Expenses",I1499="EMPLOYMENT EXPENSES","Selling Expenses",I1499="DIRECT EXPENSES","Selling Expenses",I1499="INDIRECT EXPENSES","Selling Expenses"))</f>
        <v>#N/A</v>
      </c>
    </row>
    <row r="1500" spans="1:18" x14ac:dyDescent="0.2">
      <c r="A1500" s="75" t="s">
        <v>952</v>
      </c>
      <c r="B1500" s="76" t="s">
        <v>953</v>
      </c>
      <c r="C1500" s="76">
        <v>936</v>
      </c>
      <c r="D1500" s="76" t="s">
        <v>443</v>
      </c>
      <c r="E1500" s="76" t="s">
        <v>426</v>
      </c>
      <c r="F1500" s="77">
        <v>34.869999999999997</v>
      </c>
      <c r="G1500" s="77">
        <v>0</v>
      </c>
      <c r="H1500" s="77">
        <v>34.869999999999997</v>
      </c>
      <c r="I1500" s="76" t="s">
        <v>936</v>
      </c>
      <c r="J1500" s="77">
        <v>0</v>
      </c>
      <c r="K1500" s="78">
        <v>30</v>
      </c>
      <c r="M1500" s="79" t="str">
        <f t="shared" si="71"/>
        <v>936-7570R</v>
      </c>
      <c r="N1500" s="79" t="str">
        <f t="shared" si="69"/>
        <v/>
      </c>
      <c r="O1500" s="79" t="str">
        <f t="shared" si="70"/>
        <v>936</v>
      </c>
      <c r="P1500" s="79" t="str">
        <f>IFERROR(VLOOKUP($M1500,Export!$P:$R,2,FALSE),"-")</f>
        <v>Bridgestone</v>
      </c>
      <c r="Q1500" s="79" t="str">
        <f>IFERROR(VLOOKUP($M1500,Export!$P:$R,3,FALSE),"-")</f>
        <v>BridgestoneOther Expenses as % of Sales</v>
      </c>
      <c r="R1500" s="80" t="e" cm="1">
        <f t="array" ref="R1500">_xlfn.IFS(P1500="Service", _xlfn.IFS(I1500="SALES","GP",I1500="SERVICE SALES","GP",I1500="PARTS SALES","GP",I1500="SERVICE COS","GP",I1500="PARTS COS","GP",I1500="SELLING EXPENSES","Selling Expenses",I1500="EMPLOYMENT EXPENSES","Selling Expenses",I1500="EMPLOYMENT EXPENSES","Selling Expenses",I1500="DIRECT EXPENSES","Selling Expenses",I1500="INDIRECT EXPENSES","Selling Expenses"),P1500="Parts",_xlfn.IFS(I1500="SALES","GP",I1500="SERVICE SALES","GP",I1500="PARTS SALES","GP",I1500="SERVICE COS","GP",I1500="PARTS COS","GP",I1500="SELLING EXPENSES","Selling Expenses",I1500="EMPLOYMENT EXPENSES","Selling Expenses",I1500="EMPLOYMENT EXPENSES","Selling Expenses",I1500="DIRECT EXPENSES","Selling Expenses",I1500="INDIRECT EXPENSES","Selling Expenses"))</f>
        <v>#N/A</v>
      </c>
    </row>
    <row r="1501" spans="1:18" x14ac:dyDescent="0.2">
      <c r="A1501" s="75">
        <v>7590</v>
      </c>
      <c r="B1501" s="76" t="s">
        <v>954</v>
      </c>
      <c r="C1501" s="76">
        <v>130</v>
      </c>
      <c r="D1501" s="76" t="s">
        <v>432</v>
      </c>
      <c r="E1501" s="76" t="s">
        <v>426</v>
      </c>
      <c r="F1501" s="77">
        <v>-113014.3</v>
      </c>
      <c r="G1501" s="77">
        <v>-5796.61</v>
      </c>
      <c r="H1501" s="77">
        <v>-118810.91</v>
      </c>
      <c r="I1501" s="76" t="s">
        <v>936</v>
      </c>
      <c r="J1501" s="77">
        <v>0</v>
      </c>
      <c r="K1501" s="78">
        <v>-51018.91</v>
      </c>
      <c r="M1501" s="79" t="str">
        <f t="shared" si="71"/>
        <v>130-7590</v>
      </c>
      <c r="N1501" s="79" t="str">
        <f t="shared" si="69"/>
        <v/>
      </c>
      <c r="O1501" s="79" t="str">
        <f t="shared" si="70"/>
        <v>130</v>
      </c>
      <c r="P1501" s="79" t="str">
        <f>IFERROR(VLOOKUP($M1501,Export!$P:$R,2,FALSE),"-")</f>
        <v>Parts</v>
      </c>
      <c r="Q1501" s="79" t="str">
        <f>IFERROR(VLOOKUP($M1501,Export!$P:$R,3,FALSE),"-")</f>
        <v>PartsTrade Sales Gross Profit % of Sales</v>
      </c>
      <c r="R1501" s="80" t="str" cm="1">
        <f t="array" ref="R1501">_xlfn.IFS(P1501="Service", _xlfn.IFS(I1501="SALES","GP",I1501="SERVICE SALES","GP",I1501="PARTS SALES","GP",I1501="SERVICE COS","GP",I1501="PARTS COS","GP",I1501="SELLING EXPENSES","Selling Expenses",I1501="EMPLOYMENT EXPENSES","Selling Expenses",I1501="EMPLOYMENT EXPENSES","Selling Expenses",I1501="DIRECT EXPENSES","Selling Expenses",I1501="INDIRECT EXPENSES","Selling Expenses"),P1501="Parts",_xlfn.IFS(I1501="SALES","GP",I1501="SERVICE SALES","GP",I1501="PARTS SALES","GP",I1501="SERVICE COS","GP",I1501="PARTS COS","GP",I1501="SELLING EXPENSES","Selling Expenses",I1501="EMPLOYMENT EXPENSES","Selling Expenses",I1501="EMPLOYMENT EXPENSES","Selling Expenses",I1501="DIRECT EXPENSES","Selling Expenses",I1501="INDIRECT EXPENSES","Selling Expenses"))</f>
        <v>Selling Expenses</v>
      </c>
    </row>
    <row r="1502" spans="1:18" x14ac:dyDescent="0.2">
      <c r="A1502" s="75">
        <v>7590</v>
      </c>
      <c r="B1502" s="76" t="s">
        <v>954</v>
      </c>
      <c r="C1502" s="76">
        <v>230</v>
      </c>
      <c r="D1502" s="76" t="s">
        <v>438</v>
      </c>
      <c r="E1502" s="76" t="s">
        <v>426</v>
      </c>
      <c r="F1502" s="77">
        <v>-52677.59</v>
      </c>
      <c r="G1502" s="287">
        <v>-4049.37</v>
      </c>
      <c r="H1502" s="77">
        <v>-56726.96</v>
      </c>
      <c r="I1502" s="76" t="s">
        <v>936</v>
      </c>
      <c r="J1502" s="77">
        <v>0</v>
      </c>
      <c r="K1502" s="78">
        <v>-20344.3</v>
      </c>
      <c r="M1502" s="79" t="str">
        <f t="shared" si="71"/>
        <v>230-7590</v>
      </c>
      <c r="N1502" s="79" t="str">
        <f t="shared" si="69"/>
        <v/>
      </c>
      <c r="O1502" s="79" t="str">
        <f t="shared" si="70"/>
        <v>230</v>
      </c>
      <c r="P1502" s="79" t="str">
        <f>IFERROR(VLOOKUP($M1502,Export!$P:$R,2,FALSE),"-")</f>
        <v>Parts</v>
      </c>
      <c r="Q1502" s="79" t="str">
        <f>IFERROR(VLOOKUP($M1502,Export!$P:$R,3,FALSE),"-")</f>
        <v>PartsTrade Sales Gross Profit % of Sales</v>
      </c>
      <c r="R1502" s="80" t="str" cm="1">
        <f t="array" ref="R1502">_xlfn.IFS(P1502="Service", _xlfn.IFS(I1502="SALES","GP",I1502="SERVICE SALES","GP",I1502="PARTS SALES","GP",I1502="SERVICE COS","GP",I1502="PARTS COS","GP",I1502="SELLING EXPENSES","Selling Expenses",I1502="EMPLOYMENT EXPENSES","Selling Expenses",I1502="EMPLOYMENT EXPENSES","Selling Expenses",I1502="DIRECT EXPENSES","Selling Expenses",I1502="INDIRECT EXPENSES","Selling Expenses"),P1502="Parts",_xlfn.IFS(I1502="SALES","GP",I1502="SERVICE SALES","GP",I1502="PARTS SALES","GP",I1502="SERVICE COS","GP",I1502="PARTS COS","GP",I1502="SELLING EXPENSES","Selling Expenses",I1502="EMPLOYMENT EXPENSES","Selling Expenses",I1502="EMPLOYMENT EXPENSES","Selling Expenses",I1502="DIRECT EXPENSES","Selling Expenses",I1502="INDIRECT EXPENSES","Selling Expenses"))</f>
        <v>Selling Expenses</v>
      </c>
    </row>
    <row r="1503" spans="1:18" x14ac:dyDescent="0.2">
      <c r="A1503" s="75">
        <v>7590</v>
      </c>
      <c r="B1503" s="76" t="s">
        <v>954</v>
      </c>
      <c r="C1503" s="76">
        <v>330</v>
      </c>
      <c r="D1503" s="76" t="s">
        <v>457</v>
      </c>
      <c r="E1503" s="76" t="s">
        <v>426</v>
      </c>
      <c r="F1503" s="77">
        <v>-9477.66</v>
      </c>
      <c r="G1503" s="287">
        <v>-1091.97</v>
      </c>
      <c r="H1503" s="77">
        <v>-10569.63</v>
      </c>
      <c r="I1503" s="76" t="s">
        <v>936</v>
      </c>
      <c r="J1503" s="77">
        <v>0</v>
      </c>
      <c r="K1503" s="78">
        <v>-1407.02</v>
      </c>
      <c r="M1503" s="79" t="str">
        <f t="shared" si="71"/>
        <v>330-7590</v>
      </c>
      <c r="N1503" s="79" t="str">
        <f t="shared" si="69"/>
        <v/>
      </c>
      <c r="O1503" s="79" t="str">
        <f t="shared" si="70"/>
        <v>330</v>
      </c>
      <c r="P1503" s="79" t="str">
        <f>IFERROR(VLOOKUP($M1503,Export!$P:$R,2,FALSE),"-")</f>
        <v>Parts</v>
      </c>
      <c r="Q1503" s="79" t="str">
        <f>IFERROR(VLOOKUP($M1503,Export!$P:$R,3,FALSE),"-")</f>
        <v>PartsTrade Sales Gross Profit % of Sales</v>
      </c>
      <c r="R1503" s="80" t="str" cm="1">
        <f t="array" ref="R1503">_xlfn.IFS(P1503="Service", _xlfn.IFS(I1503="SALES","GP",I1503="SERVICE SALES","GP",I1503="PARTS SALES","GP",I1503="SERVICE COS","GP",I1503="PARTS COS","GP",I1503="SELLING EXPENSES","Selling Expenses",I1503="EMPLOYMENT EXPENSES","Selling Expenses",I1503="EMPLOYMENT EXPENSES","Selling Expenses",I1503="DIRECT EXPENSES","Selling Expenses",I1503="INDIRECT EXPENSES","Selling Expenses"),P1503="Parts",_xlfn.IFS(I1503="SALES","GP",I1503="SERVICE SALES","GP",I1503="PARTS SALES","GP",I1503="SERVICE COS","GP",I1503="PARTS COS","GP",I1503="SELLING EXPENSES","Selling Expenses",I1503="EMPLOYMENT EXPENSES","Selling Expenses",I1503="EMPLOYMENT EXPENSES","Selling Expenses",I1503="DIRECT EXPENSES","Selling Expenses",I1503="INDIRECT EXPENSES","Selling Expenses"))</f>
        <v>Selling Expenses</v>
      </c>
    </row>
    <row r="1504" spans="1:18" x14ac:dyDescent="0.2">
      <c r="A1504" s="75">
        <v>7590</v>
      </c>
      <c r="B1504" s="76" t="s">
        <v>954</v>
      </c>
      <c r="C1504" s="76">
        <v>430</v>
      </c>
      <c r="D1504" s="76" t="s">
        <v>458</v>
      </c>
      <c r="E1504" s="76" t="s">
        <v>426</v>
      </c>
      <c r="F1504" s="77">
        <v>-4042.82</v>
      </c>
      <c r="G1504" s="77">
        <v>-763.49</v>
      </c>
      <c r="H1504" s="77">
        <v>-4806.3100000000004</v>
      </c>
      <c r="I1504" s="76" t="s">
        <v>936</v>
      </c>
      <c r="J1504" s="77">
        <v>0</v>
      </c>
      <c r="K1504" s="78">
        <v>-906.39</v>
      </c>
      <c r="M1504" s="79" t="str">
        <f t="shared" si="71"/>
        <v>430-7590</v>
      </c>
      <c r="N1504" s="79" t="str">
        <f t="shared" si="69"/>
        <v/>
      </c>
      <c r="O1504" s="79" t="str">
        <f t="shared" si="70"/>
        <v>430</v>
      </c>
      <c r="P1504" s="79" t="str">
        <f>IFERROR(VLOOKUP($M1504,Export!$P:$R,2,FALSE),"-")</f>
        <v>Parts</v>
      </c>
      <c r="Q1504" s="79" t="str">
        <f>IFERROR(VLOOKUP($M1504,Export!$P:$R,3,FALSE),"-")</f>
        <v>PartsTrade Sales Gross Profit % of Sales</v>
      </c>
      <c r="R1504" s="80" t="str" cm="1">
        <f t="array" ref="R1504">_xlfn.IFS(P1504="Service", _xlfn.IFS(I1504="SALES","GP",I1504="SERVICE SALES","GP",I1504="PARTS SALES","GP",I1504="SERVICE COS","GP",I1504="PARTS COS","GP",I1504="SELLING EXPENSES","Selling Expenses",I1504="EMPLOYMENT EXPENSES","Selling Expenses",I1504="EMPLOYMENT EXPENSES","Selling Expenses",I1504="DIRECT EXPENSES","Selling Expenses",I1504="INDIRECT EXPENSES","Selling Expenses"),P1504="Parts",_xlfn.IFS(I1504="SALES","GP",I1504="SERVICE SALES","GP",I1504="PARTS SALES","GP",I1504="SERVICE COS","GP",I1504="PARTS COS","GP",I1504="SELLING EXPENSES","Selling Expenses",I1504="EMPLOYMENT EXPENSES","Selling Expenses",I1504="EMPLOYMENT EXPENSES","Selling Expenses",I1504="DIRECT EXPENSES","Selling Expenses",I1504="INDIRECT EXPENSES","Selling Expenses"))</f>
        <v>Selling Expenses</v>
      </c>
    </row>
    <row r="1505" spans="1:18" x14ac:dyDescent="0.2">
      <c r="A1505" s="75">
        <v>7590</v>
      </c>
      <c r="B1505" s="76" t="s">
        <v>954</v>
      </c>
      <c r="C1505" s="76">
        <v>935</v>
      </c>
      <c r="D1505" s="76" t="s">
        <v>442</v>
      </c>
      <c r="E1505" s="76" t="s">
        <v>426</v>
      </c>
      <c r="F1505" s="77">
        <v>25662.73</v>
      </c>
      <c r="G1505" s="77">
        <v>1992.2</v>
      </c>
      <c r="H1505" s="77">
        <v>27654.93</v>
      </c>
      <c r="I1505" s="76" t="s">
        <v>936</v>
      </c>
      <c r="J1505" s="77">
        <v>0</v>
      </c>
      <c r="K1505" s="78">
        <v>1632.74</v>
      </c>
      <c r="M1505" s="79" t="str">
        <f t="shared" si="71"/>
        <v>935-7590</v>
      </c>
      <c r="N1505" s="79" t="str">
        <f t="shared" si="69"/>
        <v/>
      </c>
      <c r="O1505" s="79" t="str">
        <f t="shared" si="70"/>
        <v>935</v>
      </c>
      <c r="P1505" s="79" t="str">
        <f>IFERROR(VLOOKUP($M1505,Export!$P:$R,2,FALSE),"-")</f>
        <v>Bridgestone</v>
      </c>
      <c r="Q1505" s="79" t="str">
        <f>IFERROR(VLOOKUP($M1505,Export!$P:$R,3,FALSE),"-")</f>
        <v>BridgestoneOther Expenses as % of Sales</v>
      </c>
      <c r="R1505" s="80" t="e" cm="1">
        <f t="array" ref="R1505">_xlfn.IFS(P1505="Service", _xlfn.IFS(I1505="SALES","GP",I1505="SERVICE SALES","GP",I1505="PARTS SALES","GP",I1505="SERVICE COS","GP",I1505="PARTS COS","GP",I1505="SELLING EXPENSES","Selling Expenses",I1505="EMPLOYMENT EXPENSES","Selling Expenses",I1505="EMPLOYMENT EXPENSES","Selling Expenses",I1505="DIRECT EXPENSES","Selling Expenses",I1505="INDIRECT EXPENSES","Selling Expenses"),P1505="Parts",_xlfn.IFS(I1505="SALES","GP",I1505="SERVICE SALES","GP",I1505="PARTS SALES","GP",I1505="SERVICE COS","GP",I1505="PARTS COS","GP",I1505="SELLING EXPENSES","Selling Expenses",I1505="EMPLOYMENT EXPENSES","Selling Expenses",I1505="EMPLOYMENT EXPENSES","Selling Expenses",I1505="DIRECT EXPENSES","Selling Expenses",I1505="INDIRECT EXPENSES","Selling Expenses"))</f>
        <v>#N/A</v>
      </c>
    </row>
    <row r="1506" spans="1:18" x14ac:dyDescent="0.2">
      <c r="A1506" s="75">
        <v>7592</v>
      </c>
      <c r="B1506" s="76" t="s">
        <v>955</v>
      </c>
      <c r="C1506" s="76">
        <v>130</v>
      </c>
      <c r="D1506" s="76" t="s">
        <v>432</v>
      </c>
      <c r="E1506" s="76" t="s">
        <v>426</v>
      </c>
      <c r="F1506" s="77">
        <v>93781.17</v>
      </c>
      <c r="G1506" s="77">
        <v>6670.26</v>
      </c>
      <c r="H1506" s="77">
        <v>100451.43</v>
      </c>
      <c r="I1506" s="76" t="s">
        <v>936</v>
      </c>
      <c r="J1506" s="77">
        <v>650</v>
      </c>
      <c r="K1506" s="78">
        <v>53056.29</v>
      </c>
      <c r="M1506" s="79" t="str">
        <f t="shared" si="71"/>
        <v>130-7592</v>
      </c>
      <c r="N1506" s="79" t="str">
        <f t="shared" si="69"/>
        <v/>
      </c>
      <c r="O1506" s="79" t="str">
        <f t="shared" si="70"/>
        <v>130</v>
      </c>
      <c r="P1506" s="79" t="str">
        <f>IFERROR(VLOOKUP($M1506,Export!$P:$R,2,FALSE),"-")</f>
        <v>Parts</v>
      </c>
      <c r="Q1506" s="79" t="str">
        <f>IFERROR(VLOOKUP($M1506,Export!$P:$R,3,FALSE),"-")</f>
        <v>PartsTrade Sales Gross Profit % of Sales</v>
      </c>
      <c r="R1506" s="80" t="str" cm="1">
        <f t="array" ref="R1506">_xlfn.IFS(P1506="Service", _xlfn.IFS(I1506="SALES","GP",I1506="SERVICE SALES","GP",I1506="PARTS SALES","GP",I1506="SERVICE COS","GP",I1506="PARTS COS","GP",I1506="SELLING EXPENSES","Selling Expenses",I1506="EMPLOYMENT EXPENSES","Selling Expenses",I1506="EMPLOYMENT EXPENSES","Selling Expenses",I1506="DIRECT EXPENSES","Selling Expenses",I1506="INDIRECT EXPENSES","Selling Expenses"),P1506="Parts",_xlfn.IFS(I1506="SALES","GP",I1506="SERVICE SALES","GP",I1506="PARTS SALES","GP",I1506="SERVICE COS","GP",I1506="PARTS COS","GP",I1506="SELLING EXPENSES","Selling Expenses",I1506="EMPLOYMENT EXPENSES","Selling Expenses",I1506="EMPLOYMENT EXPENSES","Selling Expenses",I1506="DIRECT EXPENSES","Selling Expenses",I1506="INDIRECT EXPENSES","Selling Expenses"))</f>
        <v>Selling Expenses</v>
      </c>
    </row>
    <row r="1507" spans="1:18" x14ac:dyDescent="0.2">
      <c r="A1507" s="75">
        <v>7592</v>
      </c>
      <c r="B1507" s="76" t="s">
        <v>955</v>
      </c>
      <c r="C1507" s="76">
        <v>220</v>
      </c>
      <c r="D1507" s="76" t="s">
        <v>437</v>
      </c>
      <c r="E1507" s="76" t="s">
        <v>426</v>
      </c>
      <c r="F1507" s="77">
        <v>0</v>
      </c>
      <c r="G1507" s="77">
        <v>0</v>
      </c>
      <c r="H1507" s="77">
        <v>0</v>
      </c>
      <c r="I1507" s="76" t="s">
        <v>936</v>
      </c>
      <c r="J1507" s="77">
        <v>0</v>
      </c>
      <c r="K1507" s="78">
        <v>395</v>
      </c>
      <c r="M1507" s="79" t="str">
        <f t="shared" si="71"/>
        <v>220-7592</v>
      </c>
      <c r="N1507" s="79" t="str">
        <f t="shared" si="69"/>
        <v/>
      </c>
      <c r="O1507" s="79" t="str">
        <f t="shared" si="70"/>
        <v>220</v>
      </c>
      <c r="P1507" s="79" t="str">
        <f>IFERROR(VLOOKUP($M1507,Export!$P:$R,2,FALSE),"-")</f>
        <v>Used Vehicle</v>
      </c>
      <c r="Q1507" s="79" t="str">
        <f>IFERROR(VLOOKUP($M1507,Export!$P:$R,3,FALSE),"-")</f>
        <v>Used VehicleOther Semi-Fixed expenses per retail</v>
      </c>
      <c r="R1507" s="80" t="e" cm="1">
        <f t="array" ref="R1507">_xlfn.IFS(P1507="Service", _xlfn.IFS(I1507="SALES","GP",I1507="SERVICE SALES","GP",I1507="PARTS SALES","GP",I1507="SERVICE COS","GP",I1507="PARTS COS","GP",I1507="SELLING EXPENSES","Selling Expenses",I1507="EMPLOYMENT EXPENSES","Selling Expenses",I1507="EMPLOYMENT EXPENSES","Selling Expenses",I1507="DIRECT EXPENSES","Selling Expenses",I1507="INDIRECT EXPENSES","Selling Expenses"),P1507="Parts",_xlfn.IFS(I1507="SALES","GP",I1507="SERVICE SALES","GP",I1507="PARTS SALES","GP",I1507="SERVICE COS","GP",I1507="PARTS COS","GP",I1507="SELLING EXPENSES","Selling Expenses",I1507="EMPLOYMENT EXPENSES","Selling Expenses",I1507="EMPLOYMENT EXPENSES","Selling Expenses",I1507="DIRECT EXPENSES","Selling Expenses",I1507="INDIRECT EXPENSES","Selling Expenses"))</f>
        <v>#N/A</v>
      </c>
    </row>
    <row r="1508" spans="1:18" x14ac:dyDescent="0.2">
      <c r="A1508" s="75">
        <v>7592</v>
      </c>
      <c r="B1508" s="76" t="s">
        <v>955</v>
      </c>
      <c r="C1508" s="76">
        <v>230</v>
      </c>
      <c r="D1508" s="76" t="s">
        <v>438</v>
      </c>
      <c r="E1508" s="76" t="s">
        <v>426</v>
      </c>
      <c r="F1508" s="77">
        <v>41868.78</v>
      </c>
      <c r="G1508" s="77">
        <v>2365.71</v>
      </c>
      <c r="H1508" s="77">
        <v>44234.49</v>
      </c>
      <c r="I1508" s="76" t="s">
        <v>936</v>
      </c>
      <c r="J1508" s="77">
        <v>2959.61</v>
      </c>
      <c r="K1508" s="78">
        <v>38470.32</v>
      </c>
      <c r="M1508" s="79" t="str">
        <f t="shared" si="71"/>
        <v>230-7592</v>
      </c>
      <c r="N1508" s="79" t="str">
        <f t="shared" si="69"/>
        <v/>
      </c>
      <c r="O1508" s="79" t="str">
        <f t="shared" si="70"/>
        <v>230</v>
      </c>
      <c r="P1508" s="79" t="str">
        <f>IFERROR(VLOOKUP($M1508,Export!$P:$R,2,FALSE),"-")</f>
        <v>Parts</v>
      </c>
      <c r="Q1508" s="79" t="str">
        <f>IFERROR(VLOOKUP($M1508,Export!$P:$R,3,FALSE),"-")</f>
        <v>PartsTrade Sales Gross Profit % of Sales</v>
      </c>
      <c r="R1508" s="80" t="str" cm="1">
        <f t="array" ref="R1508">_xlfn.IFS(P1508="Service", _xlfn.IFS(I1508="SALES","GP",I1508="SERVICE SALES","GP",I1508="PARTS SALES","GP",I1508="SERVICE COS","GP",I1508="PARTS COS","GP",I1508="SELLING EXPENSES","Selling Expenses",I1508="EMPLOYMENT EXPENSES","Selling Expenses",I1508="EMPLOYMENT EXPENSES","Selling Expenses",I1508="DIRECT EXPENSES","Selling Expenses",I1508="INDIRECT EXPENSES","Selling Expenses"),P1508="Parts",_xlfn.IFS(I1508="SALES","GP",I1508="SERVICE SALES","GP",I1508="PARTS SALES","GP",I1508="SERVICE COS","GP",I1508="PARTS COS","GP",I1508="SELLING EXPENSES","Selling Expenses",I1508="EMPLOYMENT EXPENSES","Selling Expenses",I1508="EMPLOYMENT EXPENSES","Selling Expenses",I1508="DIRECT EXPENSES","Selling Expenses",I1508="INDIRECT EXPENSES","Selling Expenses"))</f>
        <v>Selling Expenses</v>
      </c>
    </row>
    <row r="1509" spans="1:18" x14ac:dyDescent="0.2">
      <c r="A1509" s="75">
        <v>7592</v>
      </c>
      <c r="B1509" s="76" t="s">
        <v>955</v>
      </c>
      <c r="C1509" s="76">
        <v>330</v>
      </c>
      <c r="D1509" s="76" t="s">
        <v>457</v>
      </c>
      <c r="E1509" s="76" t="s">
        <v>426</v>
      </c>
      <c r="F1509" s="77">
        <v>13722.4</v>
      </c>
      <c r="G1509" s="77">
        <v>2218.0300000000002</v>
      </c>
      <c r="H1509" s="77">
        <v>15940.43</v>
      </c>
      <c r="I1509" s="76" t="s">
        <v>936</v>
      </c>
      <c r="J1509" s="77">
        <v>0</v>
      </c>
      <c r="K1509" s="78">
        <v>404.95</v>
      </c>
      <c r="M1509" s="79" t="str">
        <f t="shared" si="71"/>
        <v>330-7592</v>
      </c>
      <c r="N1509" s="79" t="str">
        <f t="shared" si="69"/>
        <v/>
      </c>
      <c r="O1509" s="79" t="str">
        <f t="shared" si="70"/>
        <v>330</v>
      </c>
      <c r="P1509" s="79" t="str">
        <f>IFERROR(VLOOKUP($M1509,Export!$P:$R,2,FALSE),"-")</f>
        <v>Parts</v>
      </c>
      <c r="Q1509" s="79" t="str">
        <f>IFERROR(VLOOKUP($M1509,Export!$P:$R,3,FALSE),"-")</f>
        <v>PartsTrade Sales Gross Profit % of Sales</v>
      </c>
      <c r="R1509" s="80" t="str" cm="1">
        <f t="array" ref="R1509">_xlfn.IFS(P1509="Service", _xlfn.IFS(I1509="SALES","GP",I1509="SERVICE SALES","GP",I1509="PARTS SALES","GP",I1509="SERVICE COS","GP",I1509="PARTS COS","GP",I1509="SELLING EXPENSES","Selling Expenses",I1509="EMPLOYMENT EXPENSES","Selling Expenses",I1509="EMPLOYMENT EXPENSES","Selling Expenses",I1509="DIRECT EXPENSES","Selling Expenses",I1509="INDIRECT EXPENSES","Selling Expenses"),P1509="Parts",_xlfn.IFS(I1509="SALES","GP",I1509="SERVICE SALES","GP",I1509="PARTS SALES","GP",I1509="SERVICE COS","GP",I1509="PARTS COS","GP",I1509="SELLING EXPENSES","Selling Expenses",I1509="EMPLOYMENT EXPENSES","Selling Expenses",I1509="EMPLOYMENT EXPENSES","Selling Expenses",I1509="DIRECT EXPENSES","Selling Expenses",I1509="INDIRECT EXPENSES","Selling Expenses"))</f>
        <v>Selling Expenses</v>
      </c>
    </row>
    <row r="1510" spans="1:18" x14ac:dyDescent="0.2">
      <c r="A1510" s="75">
        <v>7592</v>
      </c>
      <c r="B1510" s="76" t="s">
        <v>955</v>
      </c>
      <c r="C1510" s="76">
        <v>430</v>
      </c>
      <c r="D1510" s="76" t="s">
        <v>458</v>
      </c>
      <c r="E1510" s="76" t="s">
        <v>426</v>
      </c>
      <c r="F1510" s="77">
        <v>9775.84</v>
      </c>
      <c r="G1510" s="77">
        <v>2082.88</v>
      </c>
      <c r="H1510" s="77">
        <v>11858.72</v>
      </c>
      <c r="I1510" s="76" t="s">
        <v>936</v>
      </c>
      <c r="J1510" s="77">
        <v>1386.08</v>
      </c>
      <c r="K1510" s="78">
        <v>14348.35</v>
      </c>
      <c r="M1510" s="79" t="str">
        <f t="shared" si="71"/>
        <v>430-7592</v>
      </c>
      <c r="N1510" s="79" t="str">
        <f t="shared" si="69"/>
        <v/>
      </c>
      <c r="O1510" s="79" t="str">
        <f t="shared" si="70"/>
        <v>430</v>
      </c>
      <c r="P1510" s="79" t="str">
        <f>IFERROR(VLOOKUP($M1510,Export!$P:$R,2,FALSE),"-")</f>
        <v>Parts</v>
      </c>
      <c r="Q1510" s="79" t="str">
        <f>IFERROR(VLOOKUP($M1510,Export!$P:$R,3,FALSE),"-")</f>
        <v>PartsTrade Sales Gross Profit % of Sales</v>
      </c>
      <c r="R1510" s="80" t="str" cm="1">
        <f t="array" ref="R1510">_xlfn.IFS(P1510="Service", _xlfn.IFS(I1510="SALES","GP",I1510="SERVICE SALES","GP",I1510="PARTS SALES","GP",I1510="SERVICE COS","GP",I1510="PARTS COS","GP",I1510="SELLING EXPENSES","Selling Expenses",I1510="EMPLOYMENT EXPENSES","Selling Expenses",I1510="EMPLOYMENT EXPENSES","Selling Expenses",I1510="DIRECT EXPENSES","Selling Expenses",I1510="INDIRECT EXPENSES","Selling Expenses"),P1510="Parts",_xlfn.IFS(I1510="SALES","GP",I1510="SERVICE SALES","GP",I1510="PARTS SALES","GP",I1510="SERVICE COS","GP",I1510="PARTS COS","GP",I1510="SELLING EXPENSES","Selling Expenses",I1510="EMPLOYMENT EXPENSES","Selling Expenses",I1510="EMPLOYMENT EXPENSES","Selling Expenses",I1510="DIRECT EXPENSES","Selling Expenses",I1510="INDIRECT EXPENSES","Selling Expenses"))</f>
        <v>Selling Expenses</v>
      </c>
    </row>
    <row r="1511" spans="1:18" x14ac:dyDescent="0.2">
      <c r="A1511" s="75">
        <v>7610</v>
      </c>
      <c r="B1511" s="76" t="s">
        <v>128</v>
      </c>
      <c r="C1511" s="76">
        <v>110</v>
      </c>
      <c r="D1511" s="76" t="s">
        <v>430</v>
      </c>
      <c r="E1511" s="76" t="s">
        <v>426</v>
      </c>
      <c r="F1511" s="77">
        <v>-2735.91</v>
      </c>
      <c r="G1511" s="77">
        <v>0</v>
      </c>
      <c r="H1511" s="77">
        <v>-2735.91</v>
      </c>
      <c r="I1511" s="76" t="s">
        <v>936</v>
      </c>
      <c r="J1511" s="77">
        <v>0</v>
      </c>
      <c r="K1511" s="78">
        <v>-34.78</v>
      </c>
      <c r="M1511" s="79" t="str">
        <f t="shared" si="71"/>
        <v>110-7610</v>
      </c>
      <c r="N1511" s="79" t="str">
        <f t="shared" si="69"/>
        <v/>
      </c>
      <c r="O1511" s="79" t="str">
        <f t="shared" si="70"/>
        <v>110</v>
      </c>
      <c r="P1511" s="79" t="str">
        <f>IFERROR(VLOOKUP($M1511,Export!$P:$R,2,FALSE),"-")</f>
        <v>Admin &amp; Other</v>
      </c>
      <c r="Q1511" s="79" t="str">
        <f>IFERROR(VLOOKUP($M1511,Export!$P:$R,3,FALSE),"-")</f>
        <v>Admin &amp; Otherinterest &amp; Bank Charges as % of Total Gross Profit</v>
      </c>
      <c r="R1511" s="80" t="e" cm="1">
        <f t="array" ref="R1511">_xlfn.IFS(P1511="Service", _xlfn.IFS(I1511="SALES","GP",I1511="SERVICE SALES","GP",I1511="PARTS SALES","GP",I1511="SERVICE COS","GP",I1511="PARTS COS","GP",I1511="SELLING EXPENSES","Selling Expenses",I1511="EMPLOYMENT EXPENSES","Selling Expenses",I1511="EMPLOYMENT EXPENSES","Selling Expenses",I1511="DIRECT EXPENSES","Selling Expenses",I1511="INDIRECT EXPENSES","Selling Expenses"),P1511="Parts",_xlfn.IFS(I1511="SALES","GP",I1511="SERVICE SALES","GP",I1511="PARTS SALES","GP",I1511="SERVICE COS","GP",I1511="PARTS COS","GP",I1511="SELLING EXPENSES","Selling Expenses",I1511="EMPLOYMENT EXPENSES","Selling Expenses",I1511="EMPLOYMENT EXPENSES","Selling Expenses",I1511="DIRECT EXPENSES","Selling Expenses",I1511="INDIRECT EXPENSES","Selling Expenses"))</f>
        <v>#N/A</v>
      </c>
    </row>
    <row r="1512" spans="1:18" x14ac:dyDescent="0.2">
      <c r="A1512" s="75">
        <v>7610</v>
      </c>
      <c r="B1512" s="76" t="s">
        <v>128</v>
      </c>
      <c r="C1512" s="76">
        <v>112</v>
      </c>
      <c r="D1512" s="76" t="s">
        <v>349</v>
      </c>
      <c r="E1512" s="76" t="s">
        <v>426</v>
      </c>
      <c r="F1512" s="77">
        <v>-9506.1</v>
      </c>
      <c r="G1512" s="77">
        <v>-34.78</v>
      </c>
      <c r="H1512" s="77">
        <v>-9540.8799999999992</v>
      </c>
      <c r="I1512" s="76" t="s">
        <v>936</v>
      </c>
      <c r="J1512" s="77">
        <v>0</v>
      </c>
      <c r="K1512" s="78">
        <v>0</v>
      </c>
      <c r="M1512" s="79" t="str">
        <f t="shared" si="71"/>
        <v>112-7610</v>
      </c>
      <c r="N1512" s="79" t="str">
        <f t="shared" si="69"/>
        <v/>
      </c>
      <c r="O1512" s="79" t="str">
        <f t="shared" si="70"/>
        <v>112</v>
      </c>
      <c r="P1512" s="79" t="str">
        <f>IFERROR(VLOOKUP($M1512,Export!$P:$R,2,FALSE),"-")</f>
        <v>LEX Admin &amp; Other</v>
      </c>
      <c r="Q1512" s="79" t="str">
        <f>IFERROR(VLOOKUP($M1512,Export!$P:$R,3,FALSE),"-")</f>
        <v>LEX Admin &amp; Otherinterest &amp; Bank Charges as % of Total Gross Profit</v>
      </c>
      <c r="R1512" s="80" t="e" cm="1">
        <f t="array" ref="R1512">_xlfn.IFS(P1512="Service", _xlfn.IFS(I1512="SALES","GP",I1512="SERVICE SALES","GP",I1512="PARTS SALES","GP",I1512="SERVICE COS","GP",I1512="PARTS COS","GP",I1512="SELLING EXPENSES","Selling Expenses",I1512="EMPLOYMENT EXPENSES","Selling Expenses",I1512="EMPLOYMENT EXPENSES","Selling Expenses",I1512="DIRECT EXPENSES","Selling Expenses",I1512="INDIRECT EXPENSES","Selling Expenses"),P1512="Parts",_xlfn.IFS(I1512="SALES","GP",I1512="SERVICE SALES","GP",I1512="PARTS SALES","GP",I1512="SERVICE COS","GP",I1512="PARTS COS","GP",I1512="SELLING EXPENSES","Selling Expenses",I1512="EMPLOYMENT EXPENSES","Selling Expenses",I1512="EMPLOYMENT EXPENSES","Selling Expenses",I1512="DIRECT EXPENSES","Selling Expenses",I1512="INDIRECT EXPENSES","Selling Expenses"))</f>
        <v>#N/A</v>
      </c>
    </row>
    <row r="1513" spans="1:18" x14ac:dyDescent="0.2">
      <c r="A1513" s="75">
        <v>7610</v>
      </c>
      <c r="B1513" s="76" t="s">
        <v>128</v>
      </c>
      <c r="C1513" s="76">
        <v>120</v>
      </c>
      <c r="D1513" s="76" t="s">
        <v>431</v>
      </c>
      <c r="E1513" s="76" t="s">
        <v>426</v>
      </c>
      <c r="F1513" s="77">
        <v>0</v>
      </c>
      <c r="G1513" s="77">
        <v>0</v>
      </c>
      <c r="H1513" s="77">
        <v>0</v>
      </c>
      <c r="I1513" s="76" t="s">
        <v>936</v>
      </c>
      <c r="J1513" s="77">
        <v>0</v>
      </c>
      <c r="K1513" s="78">
        <v>-241.33</v>
      </c>
      <c r="M1513" s="79" t="str">
        <f t="shared" si="71"/>
        <v>120-7610</v>
      </c>
      <c r="N1513" s="79" t="str">
        <f t="shared" si="69"/>
        <v/>
      </c>
      <c r="O1513" s="79" t="str">
        <f t="shared" si="70"/>
        <v>120</v>
      </c>
      <c r="P1513" s="79" t="str">
        <f>IFERROR(VLOOKUP($M1513,Export!$P:$R,2,FALSE),"-")</f>
        <v>Admin &amp; Other</v>
      </c>
      <c r="Q1513" s="79" t="str">
        <f>IFERROR(VLOOKUP($M1513,Export!$P:$R,3,FALSE),"-")</f>
        <v>Admin &amp; Otherinterest &amp; Bank Charges as % of Total Gross Profit</v>
      </c>
      <c r="R1513" s="80" t="e" cm="1">
        <f t="array" ref="R1513">_xlfn.IFS(P1513="Service", _xlfn.IFS(I1513="SALES","GP",I1513="SERVICE SALES","GP",I1513="PARTS SALES","GP",I1513="SERVICE COS","GP",I1513="PARTS COS","GP",I1513="SELLING EXPENSES","Selling Expenses",I1513="EMPLOYMENT EXPENSES","Selling Expenses",I1513="EMPLOYMENT EXPENSES","Selling Expenses",I1513="DIRECT EXPENSES","Selling Expenses",I1513="INDIRECT EXPENSES","Selling Expenses"),P1513="Parts",_xlfn.IFS(I1513="SALES","GP",I1513="SERVICE SALES","GP",I1513="PARTS SALES","GP",I1513="SERVICE COS","GP",I1513="PARTS COS","GP",I1513="SELLING EXPENSES","Selling Expenses",I1513="EMPLOYMENT EXPENSES","Selling Expenses",I1513="EMPLOYMENT EXPENSES","Selling Expenses",I1513="DIRECT EXPENSES","Selling Expenses",I1513="INDIRECT EXPENSES","Selling Expenses"))</f>
        <v>#N/A</v>
      </c>
    </row>
    <row r="1514" spans="1:18" x14ac:dyDescent="0.2">
      <c r="A1514" s="75">
        <v>7610</v>
      </c>
      <c r="B1514" s="76" t="s">
        <v>128</v>
      </c>
      <c r="C1514" s="76">
        <v>121</v>
      </c>
      <c r="D1514" s="76" t="s">
        <v>449</v>
      </c>
      <c r="E1514" s="76" t="s">
        <v>426</v>
      </c>
      <c r="F1514" s="77">
        <v>-26.09</v>
      </c>
      <c r="G1514" s="77">
        <v>0</v>
      </c>
      <c r="H1514" s="77">
        <v>-26.09</v>
      </c>
      <c r="I1514" s="76" t="s">
        <v>936</v>
      </c>
      <c r="J1514" s="77">
        <v>0</v>
      </c>
      <c r="K1514" s="78">
        <v>-312.95999999999998</v>
      </c>
      <c r="M1514" s="79" t="str">
        <f t="shared" si="71"/>
        <v>121-7610</v>
      </c>
      <c r="N1514" s="79" t="str">
        <f t="shared" si="69"/>
        <v/>
      </c>
      <c r="O1514" s="79" t="str">
        <f t="shared" si="70"/>
        <v>121</v>
      </c>
      <c r="P1514" s="79" t="str">
        <f>IFERROR(VLOOKUP($M1514,Export!$P:$R,2,FALSE),"-")</f>
        <v>Admin &amp; Other</v>
      </c>
      <c r="Q1514" s="79" t="str">
        <f>IFERROR(VLOOKUP($M1514,Export!$P:$R,3,FALSE),"-")</f>
        <v>Admin &amp; Otherinterest &amp; Bank Charges as % of Total Gross Profit</v>
      </c>
      <c r="R1514" s="80" t="e" cm="1">
        <f t="array" ref="R1514">_xlfn.IFS(P1514="Service", _xlfn.IFS(I1514="SALES","GP",I1514="SERVICE SALES","GP",I1514="PARTS SALES","GP",I1514="SERVICE COS","GP",I1514="PARTS COS","GP",I1514="SELLING EXPENSES","Selling Expenses",I1514="EMPLOYMENT EXPENSES","Selling Expenses",I1514="EMPLOYMENT EXPENSES","Selling Expenses",I1514="DIRECT EXPENSES","Selling Expenses",I1514="INDIRECT EXPENSES","Selling Expenses"),P1514="Parts",_xlfn.IFS(I1514="SALES","GP",I1514="SERVICE SALES","GP",I1514="PARTS SALES","GP",I1514="SERVICE COS","GP",I1514="PARTS COS","GP",I1514="SELLING EXPENSES","Selling Expenses",I1514="EMPLOYMENT EXPENSES","Selling Expenses",I1514="EMPLOYMENT EXPENSES","Selling Expenses",I1514="DIRECT EXPENSES","Selling Expenses",I1514="INDIRECT EXPENSES","Selling Expenses"))</f>
        <v>#N/A</v>
      </c>
    </row>
    <row r="1515" spans="1:18" x14ac:dyDescent="0.2">
      <c r="A1515" s="75">
        <v>7610</v>
      </c>
      <c r="B1515" s="76" t="s">
        <v>128</v>
      </c>
      <c r="C1515" s="76">
        <v>122</v>
      </c>
      <c r="D1515" s="76" t="s">
        <v>452</v>
      </c>
      <c r="E1515" s="76" t="s">
        <v>426</v>
      </c>
      <c r="F1515" s="77">
        <v>-1428.09</v>
      </c>
      <c r="G1515" s="77">
        <v>-63.04</v>
      </c>
      <c r="H1515" s="77">
        <v>-1491.13</v>
      </c>
      <c r="I1515" s="76" t="s">
        <v>936</v>
      </c>
      <c r="J1515" s="77">
        <v>0</v>
      </c>
      <c r="K1515" s="78">
        <v>-869.57</v>
      </c>
      <c r="M1515" s="79" t="str">
        <f t="shared" si="71"/>
        <v>122-7610</v>
      </c>
      <c r="N1515" s="79" t="str">
        <f t="shared" si="69"/>
        <v/>
      </c>
      <c r="O1515" s="79" t="str">
        <f t="shared" si="70"/>
        <v>122</v>
      </c>
      <c r="P1515" s="79" t="str">
        <f>IFERROR(VLOOKUP($M1515,Export!$P:$R,2,FALSE),"-")</f>
        <v>LEX Admin &amp; Other</v>
      </c>
      <c r="Q1515" s="79" t="str">
        <f>IFERROR(VLOOKUP($M1515,Export!$P:$R,3,FALSE),"-")</f>
        <v>LEX Admin &amp; Otherinterest &amp; Bank Charges as % of Total Gross Profit</v>
      </c>
      <c r="R1515" s="80" t="e" cm="1">
        <f t="array" ref="R1515">_xlfn.IFS(P1515="Service", _xlfn.IFS(I1515="SALES","GP",I1515="SERVICE SALES","GP",I1515="PARTS SALES","GP",I1515="SERVICE COS","GP",I1515="PARTS COS","GP",I1515="SELLING EXPENSES","Selling Expenses",I1515="EMPLOYMENT EXPENSES","Selling Expenses",I1515="EMPLOYMENT EXPENSES","Selling Expenses",I1515="DIRECT EXPENSES","Selling Expenses",I1515="INDIRECT EXPENSES","Selling Expenses"),P1515="Parts",_xlfn.IFS(I1515="SALES","GP",I1515="SERVICE SALES","GP",I1515="PARTS SALES","GP",I1515="SERVICE COS","GP",I1515="PARTS COS","GP",I1515="SELLING EXPENSES","Selling Expenses",I1515="EMPLOYMENT EXPENSES","Selling Expenses",I1515="EMPLOYMENT EXPENSES","Selling Expenses",I1515="DIRECT EXPENSES","Selling Expenses",I1515="INDIRECT EXPENSES","Selling Expenses"))</f>
        <v>#N/A</v>
      </c>
    </row>
    <row r="1516" spans="1:18" x14ac:dyDescent="0.2">
      <c r="A1516" s="75">
        <v>7610</v>
      </c>
      <c r="B1516" s="76" t="s">
        <v>128</v>
      </c>
      <c r="C1516" s="76">
        <v>130</v>
      </c>
      <c r="D1516" s="76" t="s">
        <v>432</v>
      </c>
      <c r="E1516" s="76" t="s">
        <v>426</v>
      </c>
      <c r="F1516" s="77">
        <v>-4615.3500000000004</v>
      </c>
      <c r="G1516" s="77">
        <v>-253.6</v>
      </c>
      <c r="H1516" s="77">
        <v>-4868.95</v>
      </c>
      <c r="I1516" s="76" t="s">
        <v>936</v>
      </c>
      <c r="J1516" s="77">
        <v>0</v>
      </c>
      <c r="K1516" s="78">
        <v>-4387.91</v>
      </c>
      <c r="M1516" s="79" t="str">
        <f t="shared" si="71"/>
        <v>130-7610</v>
      </c>
      <c r="N1516" s="79" t="str">
        <f t="shared" si="69"/>
        <v/>
      </c>
      <c r="O1516" s="79" t="str">
        <f t="shared" si="70"/>
        <v>130</v>
      </c>
      <c r="P1516" s="79" t="str">
        <f>IFERROR(VLOOKUP($M1516,Export!$P:$R,2,FALSE),"-")</f>
        <v>Admin &amp; Other</v>
      </c>
      <c r="Q1516" s="79" t="str">
        <f>IFERROR(VLOOKUP($M1516,Export!$P:$R,3,FALSE),"-")</f>
        <v>Admin &amp; Otherinterest &amp; Bank Charges as % of Total Gross Profit</v>
      </c>
      <c r="R1516" s="80" t="e" cm="1">
        <f t="array" ref="R1516">_xlfn.IFS(P1516="Service", _xlfn.IFS(I1516="SALES","GP",I1516="SERVICE SALES","GP",I1516="PARTS SALES","GP",I1516="SERVICE COS","GP",I1516="PARTS COS","GP",I1516="SELLING EXPENSES","Selling Expenses",I1516="EMPLOYMENT EXPENSES","Selling Expenses",I1516="EMPLOYMENT EXPENSES","Selling Expenses",I1516="DIRECT EXPENSES","Selling Expenses",I1516="INDIRECT EXPENSES","Selling Expenses"),P1516="Parts",_xlfn.IFS(I1516="SALES","GP",I1516="SERVICE SALES","GP",I1516="PARTS SALES","GP",I1516="SERVICE COS","GP",I1516="PARTS COS","GP",I1516="SELLING EXPENSES","Selling Expenses",I1516="EMPLOYMENT EXPENSES","Selling Expenses",I1516="EMPLOYMENT EXPENSES","Selling Expenses",I1516="DIRECT EXPENSES","Selling Expenses",I1516="INDIRECT EXPENSES","Selling Expenses"))</f>
        <v>#N/A</v>
      </c>
    </row>
    <row r="1517" spans="1:18" x14ac:dyDescent="0.2">
      <c r="A1517" s="75">
        <v>7610</v>
      </c>
      <c r="B1517" s="76" t="s">
        <v>128</v>
      </c>
      <c r="C1517" s="76">
        <v>140</v>
      </c>
      <c r="D1517" s="76" t="s">
        <v>433</v>
      </c>
      <c r="E1517" s="76" t="s">
        <v>426</v>
      </c>
      <c r="F1517" s="77">
        <v>-11048.4</v>
      </c>
      <c r="G1517" s="77">
        <v>-1060.48</v>
      </c>
      <c r="H1517" s="77">
        <v>-12108.88</v>
      </c>
      <c r="I1517" s="76" t="s">
        <v>936</v>
      </c>
      <c r="J1517" s="77">
        <v>0</v>
      </c>
      <c r="K1517" s="78">
        <v>-6522.49</v>
      </c>
      <c r="M1517" s="79" t="str">
        <f t="shared" si="71"/>
        <v>140-7610</v>
      </c>
      <c r="N1517" s="79" t="str">
        <f t="shared" si="69"/>
        <v/>
      </c>
      <c r="O1517" s="79" t="str">
        <f t="shared" si="70"/>
        <v>140</v>
      </c>
      <c r="P1517" s="79" t="str">
        <f>IFERROR(VLOOKUP($M1517,Export!$P:$R,2,FALSE),"-")</f>
        <v>Admin &amp; Other</v>
      </c>
      <c r="Q1517" s="79" t="str">
        <f>IFERROR(VLOOKUP($M1517,Export!$P:$R,3,FALSE),"-")</f>
        <v>Admin &amp; Otherinterest &amp; Bank Charges as % of Total Gross Profit</v>
      </c>
      <c r="R1517" s="80" t="e" cm="1">
        <f t="array" ref="R1517">_xlfn.IFS(P1517="Service", _xlfn.IFS(I1517="SALES","GP",I1517="SERVICE SALES","GP",I1517="PARTS SALES","GP",I1517="SERVICE COS","GP",I1517="PARTS COS","GP",I1517="SELLING EXPENSES","Selling Expenses",I1517="EMPLOYMENT EXPENSES","Selling Expenses",I1517="EMPLOYMENT EXPENSES","Selling Expenses",I1517="DIRECT EXPENSES","Selling Expenses",I1517="INDIRECT EXPENSES","Selling Expenses"),P1517="Parts",_xlfn.IFS(I1517="SALES","GP",I1517="SERVICE SALES","GP",I1517="PARTS SALES","GP",I1517="SERVICE COS","GP",I1517="PARTS COS","GP",I1517="SELLING EXPENSES","Selling Expenses",I1517="EMPLOYMENT EXPENSES","Selling Expenses",I1517="EMPLOYMENT EXPENSES","Selling Expenses",I1517="DIRECT EXPENSES","Selling Expenses",I1517="INDIRECT EXPENSES","Selling Expenses"))</f>
        <v>#N/A</v>
      </c>
    </row>
    <row r="1518" spans="1:18" x14ac:dyDescent="0.2">
      <c r="A1518" s="75">
        <v>7610</v>
      </c>
      <c r="B1518" s="76" t="s">
        <v>128</v>
      </c>
      <c r="C1518" s="76">
        <v>142</v>
      </c>
      <c r="D1518" s="76" t="s">
        <v>454</v>
      </c>
      <c r="E1518" s="76" t="s">
        <v>426</v>
      </c>
      <c r="F1518" s="77">
        <v>-1930.34</v>
      </c>
      <c r="G1518" s="77">
        <v>-262.07</v>
      </c>
      <c r="H1518" s="77">
        <v>-2192.41</v>
      </c>
      <c r="I1518" s="76" t="s">
        <v>936</v>
      </c>
      <c r="J1518" s="77">
        <v>0</v>
      </c>
      <c r="K1518" s="78">
        <v>0</v>
      </c>
      <c r="M1518" s="79" t="str">
        <f t="shared" si="71"/>
        <v>142-7610</v>
      </c>
      <c r="N1518" s="79" t="str">
        <f t="shared" si="69"/>
        <v/>
      </c>
      <c r="O1518" s="79" t="str">
        <f t="shared" si="70"/>
        <v>142</v>
      </c>
      <c r="P1518" s="79" t="str">
        <f>IFERROR(VLOOKUP($M1518,Export!$P:$R,2,FALSE),"-")</f>
        <v>LEX Admin &amp; Other</v>
      </c>
      <c r="Q1518" s="79" t="str">
        <f>IFERROR(VLOOKUP($M1518,Export!$P:$R,3,FALSE),"-")</f>
        <v>LEX Admin &amp; Otherinterest &amp; Bank Charges as % of Total Gross Profit</v>
      </c>
      <c r="R1518" s="80" t="e" cm="1">
        <f t="array" ref="R1518">_xlfn.IFS(P1518="Service", _xlfn.IFS(I1518="SALES","GP",I1518="SERVICE SALES","GP",I1518="PARTS SALES","GP",I1518="SERVICE COS","GP",I1518="PARTS COS","GP",I1518="SELLING EXPENSES","Selling Expenses",I1518="EMPLOYMENT EXPENSES","Selling Expenses",I1518="EMPLOYMENT EXPENSES","Selling Expenses",I1518="DIRECT EXPENSES","Selling Expenses",I1518="INDIRECT EXPENSES","Selling Expenses"),P1518="Parts",_xlfn.IFS(I1518="SALES","GP",I1518="SERVICE SALES","GP",I1518="PARTS SALES","GP",I1518="SERVICE COS","GP",I1518="PARTS COS","GP",I1518="SELLING EXPENSES","Selling Expenses",I1518="EMPLOYMENT EXPENSES","Selling Expenses",I1518="EMPLOYMENT EXPENSES","Selling Expenses",I1518="DIRECT EXPENSES","Selling Expenses",I1518="INDIRECT EXPENSES","Selling Expenses"))</f>
        <v>#N/A</v>
      </c>
    </row>
    <row r="1519" spans="1:18" x14ac:dyDescent="0.2">
      <c r="A1519" s="75">
        <v>7610</v>
      </c>
      <c r="B1519" s="76" t="s">
        <v>128</v>
      </c>
      <c r="C1519" s="76">
        <v>147</v>
      </c>
      <c r="D1519" s="76" t="s">
        <v>699</v>
      </c>
      <c r="E1519" s="76" t="s">
        <v>426</v>
      </c>
      <c r="F1519" s="77">
        <v>0</v>
      </c>
      <c r="G1519" s="77">
        <v>0</v>
      </c>
      <c r="H1519" s="77">
        <v>0</v>
      </c>
      <c r="I1519" s="76" t="s">
        <v>936</v>
      </c>
      <c r="J1519" s="77">
        <v>0</v>
      </c>
      <c r="K1519" s="78">
        <v>-427.52</v>
      </c>
      <c r="M1519" s="79" t="str">
        <f t="shared" si="71"/>
        <v>147-7610</v>
      </c>
      <c r="N1519" s="79" t="str">
        <f t="shared" si="69"/>
        <v/>
      </c>
      <c r="O1519" s="79" t="str">
        <f t="shared" si="70"/>
        <v>147</v>
      </c>
      <c r="P1519" s="79" t="str">
        <f>IFERROR(VLOOKUP($M1519,Export!$P:$R,2,FALSE),"-")</f>
        <v>Admin &amp; Other</v>
      </c>
      <c r="Q1519" s="79" t="str">
        <f>IFERROR(VLOOKUP($M1519,Export!$P:$R,3,FALSE),"-")</f>
        <v>Admin &amp; Otherinterest &amp; Bank Charges as % of Total Gross Profit</v>
      </c>
      <c r="R1519" s="80" t="e" cm="1">
        <f t="array" ref="R1519">_xlfn.IFS(P1519="Service", _xlfn.IFS(I1519="SALES","GP",I1519="SERVICE SALES","GP",I1519="PARTS SALES","GP",I1519="SERVICE COS","GP",I1519="PARTS COS","GP",I1519="SELLING EXPENSES","Selling Expenses",I1519="EMPLOYMENT EXPENSES","Selling Expenses",I1519="EMPLOYMENT EXPENSES","Selling Expenses",I1519="DIRECT EXPENSES","Selling Expenses",I1519="INDIRECT EXPENSES","Selling Expenses"),P1519="Parts",_xlfn.IFS(I1519="SALES","GP",I1519="SERVICE SALES","GP",I1519="PARTS SALES","GP",I1519="SERVICE COS","GP",I1519="PARTS COS","GP",I1519="SELLING EXPENSES","Selling Expenses",I1519="EMPLOYMENT EXPENSES","Selling Expenses",I1519="EMPLOYMENT EXPENSES","Selling Expenses",I1519="DIRECT EXPENSES","Selling Expenses",I1519="INDIRECT EXPENSES","Selling Expenses"))</f>
        <v>#N/A</v>
      </c>
    </row>
    <row r="1520" spans="1:18" x14ac:dyDescent="0.2">
      <c r="A1520" s="75">
        <v>7610</v>
      </c>
      <c r="B1520" s="76" t="s">
        <v>128</v>
      </c>
      <c r="C1520" s="76">
        <v>150</v>
      </c>
      <c r="D1520" s="76" t="s">
        <v>700</v>
      </c>
      <c r="E1520" s="76" t="s">
        <v>426</v>
      </c>
      <c r="F1520" s="77">
        <v>-58.76</v>
      </c>
      <c r="G1520" s="77">
        <v>0</v>
      </c>
      <c r="H1520" s="77">
        <v>-58.76</v>
      </c>
      <c r="I1520" s="76" t="s">
        <v>936</v>
      </c>
      <c r="J1520" s="77">
        <v>0</v>
      </c>
      <c r="K1520" s="78">
        <v>0</v>
      </c>
      <c r="M1520" s="79" t="str">
        <f t="shared" si="71"/>
        <v>150-7610</v>
      </c>
      <c r="N1520" s="79" t="str">
        <f t="shared" si="69"/>
        <v/>
      </c>
      <c r="O1520" s="79" t="str">
        <f t="shared" si="70"/>
        <v>150</v>
      </c>
      <c r="P1520" s="79" t="str">
        <f>IFERROR(VLOOKUP($M1520,Export!$P:$R,2,FALSE),"-")</f>
        <v>LEX Admin &amp; Other</v>
      </c>
      <c r="Q1520" s="79" t="str">
        <f>IFERROR(VLOOKUP($M1520,Export!$P:$R,3,FALSE),"-")</f>
        <v>LEX Admin &amp; Otherinterest &amp; Bank Charges as % of Total Gross Profit</v>
      </c>
      <c r="R1520" s="80" t="e" cm="1">
        <f t="array" ref="R1520">_xlfn.IFS(P1520="Service", _xlfn.IFS(I1520="SALES","GP",I1520="SERVICE SALES","GP",I1520="PARTS SALES","GP",I1520="SERVICE COS","GP",I1520="PARTS COS","GP",I1520="SELLING EXPENSES","Selling Expenses",I1520="EMPLOYMENT EXPENSES","Selling Expenses",I1520="EMPLOYMENT EXPENSES","Selling Expenses",I1520="DIRECT EXPENSES","Selling Expenses",I1520="INDIRECT EXPENSES","Selling Expenses"),P1520="Parts",_xlfn.IFS(I1520="SALES","GP",I1520="SERVICE SALES","GP",I1520="PARTS SALES","GP",I1520="SERVICE COS","GP",I1520="PARTS COS","GP",I1520="SELLING EXPENSES","Selling Expenses",I1520="EMPLOYMENT EXPENSES","Selling Expenses",I1520="EMPLOYMENT EXPENSES","Selling Expenses",I1520="DIRECT EXPENSES","Selling Expenses",I1520="INDIRECT EXPENSES","Selling Expenses"))</f>
        <v>#N/A</v>
      </c>
    </row>
    <row r="1521" spans="1:18" x14ac:dyDescent="0.2">
      <c r="A1521" s="75">
        <v>7610</v>
      </c>
      <c r="B1521" s="76" t="s">
        <v>128</v>
      </c>
      <c r="C1521" s="76">
        <v>210</v>
      </c>
      <c r="D1521" s="76" t="s">
        <v>436</v>
      </c>
      <c r="E1521" s="76" t="s">
        <v>426</v>
      </c>
      <c r="F1521" s="77">
        <v>-1427.29</v>
      </c>
      <c r="G1521" s="77">
        <v>-60</v>
      </c>
      <c r="H1521" s="77">
        <v>-1487.29</v>
      </c>
      <c r="I1521" s="76" t="s">
        <v>936</v>
      </c>
      <c r="J1521" s="77">
        <v>0</v>
      </c>
      <c r="K1521" s="78">
        <v>-15.57</v>
      </c>
      <c r="M1521" s="79" t="str">
        <f t="shared" si="71"/>
        <v>210-7610</v>
      </c>
      <c r="N1521" s="79" t="str">
        <f t="shared" si="69"/>
        <v/>
      </c>
      <c r="O1521" s="79" t="str">
        <f t="shared" si="70"/>
        <v>210</v>
      </c>
      <c r="P1521" s="79" t="str">
        <f>IFERROR(VLOOKUP($M1521,Export!$P:$R,2,FALSE),"-")</f>
        <v>Admin &amp; Other</v>
      </c>
      <c r="Q1521" s="79" t="str">
        <f>IFERROR(VLOOKUP($M1521,Export!$P:$R,3,FALSE),"-")</f>
        <v>Admin &amp; Otherinterest &amp; Bank Charges as % of Total Gross Profit</v>
      </c>
      <c r="R1521" s="80" t="e" cm="1">
        <f t="array" ref="R1521">_xlfn.IFS(P1521="Service", _xlfn.IFS(I1521="SALES","GP",I1521="SERVICE SALES","GP",I1521="PARTS SALES","GP",I1521="SERVICE COS","GP",I1521="PARTS COS","GP",I1521="SELLING EXPENSES","Selling Expenses",I1521="EMPLOYMENT EXPENSES","Selling Expenses",I1521="EMPLOYMENT EXPENSES","Selling Expenses",I1521="DIRECT EXPENSES","Selling Expenses",I1521="INDIRECT EXPENSES","Selling Expenses"),P1521="Parts",_xlfn.IFS(I1521="SALES","GP",I1521="SERVICE SALES","GP",I1521="PARTS SALES","GP",I1521="SERVICE COS","GP",I1521="PARTS COS","GP",I1521="SELLING EXPENSES","Selling Expenses",I1521="EMPLOYMENT EXPENSES","Selling Expenses",I1521="EMPLOYMENT EXPENSES","Selling Expenses",I1521="DIRECT EXPENSES","Selling Expenses",I1521="INDIRECT EXPENSES","Selling Expenses"))</f>
        <v>#N/A</v>
      </c>
    </row>
    <row r="1522" spans="1:18" x14ac:dyDescent="0.2">
      <c r="A1522" s="75">
        <v>7610</v>
      </c>
      <c r="B1522" s="76" t="s">
        <v>128</v>
      </c>
      <c r="C1522" s="76">
        <v>220</v>
      </c>
      <c r="D1522" s="76" t="s">
        <v>437</v>
      </c>
      <c r="E1522" s="76" t="s">
        <v>426</v>
      </c>
      <c r="F1522" s="77">
        <v>-1372.52</v>
      </c>
      <c r="G1522" s="77">
        <v>-37.83</v>
      </c>
      <c r="H1522" s="77">
        <v>-1410.35</v>
      </c>
      <c r="I1522" s="76" t="s">
        <v>936</v>
      </c>
      <c r="J1522" s="77">
        <v>0</v>
      </c>
      <c r="K1522" s="78">
        <v>-505.76</v>
      </c>
      <c r="M1522" s="79" t="str">
        <f t="shared" si="71"/>
        <v>220-7610</v>
      </c>
      <c r="N1522" s="79" t="str">
        <f t="shared" si="69"/>
        <v/>
      </c>
      <c r="O1522" s="79" t="str">
        <f t="shared" si="70"/>
        <v>220</v>
      </c>
      <c r="P1522" s="79" t="str">
        <f>IFERROR(VLOOKUP($M1522,Export!$P:$R,2,FALSE),"-")</f>
        <v>Admin &amp; Other</v>
      </c>
      <c r="Q1522" s="79" t="str">
        <f>IFERROR(VLOOKUP($M1522,Export!$P:$R,3,FALSE),"-")</f>
        <v>Admin &amp; Otherinterest &amp; Bank Charges as % of Total Gross Profit</v>
      </c>
      <c r="R1522" s="80" t="e" cm="1">
        <f t="array" ref="R1522">_xlfn.IFS(P1522="Service", _xlfn.IFS(I1522="SALES","GP",I1522="SERVICE SALES","GP",I1522="PARTS SALES","GP",I1522="SERVICE COS","GP",I1522="PARTS COS","GP",I1522="SELLING EXPENSES","Selling Expenses",I1522="EMPLOYMENT EXPENSES","Selling Expenses",I1522="EMPLOYMENT EXPENSES","Selling Expenses",I1522="DIRECT EXPENSES","Selling Expenses",I1522="INDIRECT EXPENSES","Selling Expenses"),P1522="Parts",_xlfn.IFS(I1522="SALES","GP",I1522="SERVICE SALES","GP",I1522="PARTS SALES","GP",I1522="SERVICE COS","GP",I1522="PARTS COS","GP",I1522="SELLING EXPENSES","Selling Expenses",I1522="EMPLOYMENT EXPENSES","Selling Expenses",I1522="EMPLOYMENT EXPENSES","Selling Expenses",I1522="DIRECT EXPENSES","Selling Expenses",I1522="INDIRECT EXPENSES","Selling Expenses"))</f>
        <v>#N/A</v>
      </c>
    </row>
    <row r="1523" spans="1:18" x14ac:dyDescent="0.2">
      <c r="A1523" s="75">
        <v>7610</v>
      </c>
      <c r="B1523" s="76" t="s">
        <v>128</v>
      </c>
      <c r="C1523" s="76">
        <v>230</v>
      </c>
      <c r="D1523" s="76" t="s">
        <v>438</v>
      </c>
      <c r="E1523" s="76" t="s">
        <v>426</v>
      </c>
      <c r="F1523" s="77">
        <v>-2136.7399999999998</v>
      </c>
      <c r="G1523" s="77">
        <v>-95.5</v>
      </c>
      <c r="H1523" s="77">
        <v>-2232.2399999999998</v>
      </c>
      <c r="I1523" s="76" t="s">
        <v>936</v>
      </c>
      <c r="J1523" s="77">
        <v>0</v>
      </c>
      <c r="K1523" s="78">
        <v>-948.5</v>
      </c>
      <c r="M1523" s="79" t="str">
        <f t="shared" si="71"/>
        <v>230-7610</v>
      </c>
      <c r="N1523" s="79" t="str">
        <f t="shared" si="69"/>
        <v/>
      </c>
      <c r="O1523" s="79" t="str">
        <f t="shared" si="70"/>
        <v>230</v>
      </c>
      <c r="P1523" s="79" t="str">
        <f>IFERROR(VLOOKUP($M1523,Export!$P:$R,2,FALSE),"-")</f>
        <v>Admin &amp; Other</v>
      </c>
      <c r="Q1523" s="79" t="str">
        <f>IFERROR(VLOOKUP($M1523,Export!$P:$R,3,FALSE),"-")</f>
        <v>Admin &amp; Otherinterest &amp; Bank Charges as % of Total Gross Profit</v>
      </c>
      <c r="R1523" s="80" t="e" cm="1">
        <f t="array" ref="R1523">_xlfn.IFS(P1523="Service", _xlfn.IFS(I1523="SALES","GP",I1523="SERVICE SALES","GP",I1523="PARTS SALES","GP",I1523="SERVICE COS","GP",I1523="PARTS COS","GP",I1523="SELLING EXPENSES","Selling Expenses",I1523="EMPLOYMENT EXPENSES","Selling Expenses",I1523="EMPLOYMENT EXPENSES","Selling Expenses",I1523="DIRECT EXPENSES","Selling Expenses",I1523="INDIRECT EXPENSES","Selling Expenses"),P1523="Parts",_xlfn.IFS(I1523="SALES","GP",I1523="SERVICE SALES","GP",I1523="PARTS SALES","GP",I1523="SERVICE COS","GP",I1523="PARTS COS","GP",I1523="SELLING EXPENSES","Selling Expenses",I1523="EMPLOYMENT EXPENSES","Selling Expenses",I1523="EMPLOYMENT EXPENSES","Selling Expenses",I1523="DIRECT EXPENSES","Selling Expenses",I1523="INDIRECT EXPENSES","Selling Expenses"))</f>
        <v>#N/A</v>
      </c>
    </row>
    <row r="1524" spans="1:18" x14ac:dyDescent="0.2">
      <c r="A1524" s="75">
        <v>7610</v>
      </c>
      <c r="B1524" s="76" t="s">
        <v>128</v>
      </c>
      <c r="C1524" s="76">
        <v>240</v>
      </c>
      <c r="D1524" s="76" t="s">
        <v>439</v>
      </c>
      <c r="E1524" s="76" t="s">
        <v>426</v>
      </c>
      <c r="F1524" s="77">
        <v>-1739.1</v>
      </c>
      <c r="G1524" s="77">
        <v>-118.9</v>
      </c>
      <c r="H1524" s="77">
        <v>-1858</v>
      </c>
      <c r="I1524" s="76" t="s">
        <v>936</v>
      </c>
      <c r="J1524" s="77">
        <v>0</v>
      </c>
      <c r="K1524" s="78">
        <v>-1570.49</v>
      </c>
      <c r="M1524" s="79" t="str">
        <f t="shared" si="71"/>
        <v>240-7610</v>
      </c>
      <c r="N1524" s="79" t="str">
        <f t="shared" si="69"/>
        <v/>
      </c>
      <c r="O1524" s="79" t="str">
        <f t="shared" si="70"/>
        <v>240</v>
      </c>
      <c r="P1524" s="79" t="str">
        <f>IFERROR(VLOOKUP($M1524,Export!$P:$R,2,FALSE),"-")</f>
        <v>Admin &amp; Other</v>
      </c>
      <c r="Q1524" s="79" t="str">
        <f>IFERROR(VLOOKUP($M1524,Export!$P:$R,3,FALSE),"-")</f>
        <v>Admin &amp; Otherinterest &amp; Bank Charges as % of Total Gross Profit</v>
      </c>
      <c r="R1524" s="80" t="e" cm="1">
        <f t="array" ref="R1524">_xlfn.IFS(P1524="Service", _xlfn.IFS(I1524="SALES","GP",I1524="SERVICE SALES","GP",I1524="PARTS SALES","GP",I1524="SERVICE COS","GP",I1524="PARTS COS","GP",I1524="SELLING EXPENSES","Selling Expenses",I1524="EMPLOYMENT EXPENSES","Selling Expenses",I1524="EMPLOYMENT EXPENSES","Selling Expenses",I1524="DIRECT EXPENSES","Selling Expenses",I1524="INDIRECT EXPENSES","Selling Expenses"),P1524="Parts",_xlfn.IFS(I1524="SALES","GP",I1524="SERVICE SALES","GP",I1524="PARTS SALES","GP",I1524="SERVICE COS","GP",I1524="PARTS COS","GP",I1524="SELLING EXPENSES","Selling Expenses",I1524="EMPLOYMENT EXPENSES","Selling Expenses",I1524="EMPLOYMENT EXPENSES","Selling Expenses",I1524="DIRECT EXPENSES","Selling Expenses",I1524="INDIRECT EXPENSES","Selling Expenses"))</f>
        <v>#N/A</v>
      </c>
    </row>
    <row r="1525" spans="1:18" x14ac:dyDescent="0.2">
      <c r="A1525" s="75">
        <v>7610</v>
      </c>
      <c r="B1525" s="76" t="s">
        <v>128</v>
      </c>
      <c r="C1525" s="76">
        <v>330</v>
      </c>
      <c r="D1525" s="76" t="s">
        <v>457</v>
      </c>
      <c r="E1525" s="76" t="s">
        <v>426</v>
      </c>
      <c r="F1525" s="77">
        <v>-1032.05</v>
      </c>
      <c r="G1525" s="77">
        <v>-65.69</v>
      </c>
      <c r="H1525" s="77">
        <v>-1097.74</v>
      </c>
      <c r="I1525" s="76" t="s">
        <v>936</v>
      </c>
      <c r="J1525" s="77">
        <v>0</v>
      </c>
      <c r="K1525" s="78">
        <v>-253.93</v>
      </c>
      <c r="M1525" s="79" t="str">
        <f t="shared" si="71"/>
        <v>330-7610</v>
      </c>
      <c r="N1525" s="79" t="str">
        <f t="shared" si="69"/>
        <v/>
      </c>
      <c r="O1525" s="79" t="str">
        <f t="shared" si="70"/>
        <v>330</v>
      </c>
      <c r="P1525" s="79" t="str">
        <f>IFERROR(VLOOKUP($M1525,Export!$P:$R,2,FALSE),"-")</f>
        <v>Admin &amp; Other</v>
      </c>
      <c r="Q1525" s="79" t="str">
        <f>IFERROR(VLOOKUP($M1525,Export!$P:$R,3,FALSE),"-")</f>
        <v>Admin &amp; Otherinterest &amp; Bank Charges as % of Total Gross Profit</v>
      </c>
      <c r="R1525" s="80" t="e" cm="1">
        <f t="array" ref="R1525">_xlfn.IFS(P1525="Service", _xlfn.IFS(I1525="SALES","GP",I1525="SERVICE SALES","GP",I1525="PARTS SALES","GP",I1525="SERVICE COS","GP",I1525="PARTS COS","GP",I1525="SELLING EXPENSES","Selling Expenses",I1525="EMPLOYMENT EXPENSES","Selling Expenses",I1525="EMPLOYMENT EXPENSES","Selling Expenses",I1525="DIRECT EXPENSES","Selling Expenses",I1525="INDIRECT EXPENSES","Selling Expenses"),P1525="Parts",_xlfn.IFS(I1525="SALES","GP",I1525="SERVICE SALES","GP",I1525="PARTS SALES","GP",I1525="SERVICE COS","GP",I1525="PARTS COS","GP",I1525="SELLING EXPENSES","Selling Expenses",I1525="EMPLOYMENT EXPENSES","Selling Expenses",I1525="EMPLOYMENT EXPENSES","Selling Expenses",I1525="DIRECT EXPENSES","Selling Expenses",I1525="INDIRECT EXPENSES","Selling Expenses"))</f>
        <v>#N/A</v>
      </c>
    </row>
    <row r="1526" spans="1:18" x14ac:dyDescent="0.2">
      <c r="A1526" s="75">
        <v>7610</v>
      </c>
      <c r="B1526" s="76" t="s">
        <v>128</v>
      </c>
      <c r="C1526" s="76">
        <v>340</v>
      </c>
      <c r="D1526" s="76" t="s">
        <v>440</v>
      </c>
      <c r="E1526" s="76" t="s">
        <v>426</v>
      </c>
      <c r="F1526" s="77">
        <v>-3357.09</v>
      </c>
      <c r="G1526" s="77">
        <v>-342.87</v>
      </c>
      <c r="H1526" s="77">
        <v>-3699.96</v>
      </c>
      <c r="I1526" s="76" t="s">
        <v>936</v>
      </c>
      <c r="J1526" s="77">
        <v>0</v>
      </c>
      <c r="K1526" s="78">
        <v>-1825.7</v>
      </c>
      <c r="M1526" s="79" t="str">
        <f t="shared" si="71"/>
        <v>340-7610</v>
      </c>
      <c r="N1526" s="79" t="str">
        <f t="shared" si="69"/>
        <v/>
      </c>
      <c r="O1526" s="79" t="str">
        <f t="shared" si="70"/>
        <v>340</v>
      </c>
      <c r="P1526" s="79" t="str">
        <f>IFERROR(VLOOKUP($M1526,Export!$P:$R,2,FALSE),"-")</f>
        <v>Admin &amp; Other</v>
      </c>
      <c r="Q1526" s="79" t="str">
        <f>IFERROR(VLOOKUP($M1526,Export!$P:$R,3,FALSE),"-")</f>
        <v>Admin &amp; Otherinterest &amp; Bank Charges as % of Total Gross Profit</v>
      </c>
      <c r="R1526" s="80" t="e" cm="1">
        <f t="array" ref="R1526">_xlfn.IFS(P1526="Service", _xlfn.IFS(I1526="SALES","GP",I1526="SERVICE SALES","GP",I1526="PARTS SALES","GP",I1526="SERVICE COS","GP",I1526="PARTS COS","GP",I1526="SELLING EXPENSES","Selling Expenses",I1526="EMPLOYMENT EXPENSES","Selling Expenses",I1526="EMPLOYMENT EXPENSES","Selling Expenses",I1526="DIRECT EXPENSES","Selling Expenses",I1526="INDIRECT EXPENSES","Selling Expenses"),P1526="Parts",_xlfn.IFS(I1526="SALES","GP",I1526="SERVICE SALES","GP",I1526="PARTS SALES","GP",I1526="SERVICE COS","GP",I1526="PARTS COS","GP",I1526="SELLING EXPENSES","Selling Expenses",I1526="EMPLOYMENT EXPENSES","Selling Expenses",I1526="EMPLOYMENT EXPENSES","Selling Expenses",I1526="DIRECT EXPENSES","Selling Expenses",I1526="INDIRECT EXPENSES","Selling Expenses"))</f>
        <v>#N/A</v>
      </c>
    </row>
    <row r="1527" spans="1:18" x14ac:dyDescent="0.2">
      <c r="A1527" s="75">
        <v>7610</v>
      </c>
      <c r="B1527" s="76" t="s">
        <v>128</v>
      </c>
      <c r="C1527" s="76">
        <v>430</v>
      </c>
      <c r="D1527" s="76" t="s">
        <v>458</v>
      </c>
      <c r="E1527" s="76" t="s">
        <v>426</v>
      </c>
      <c r="F1527" s="77">
        <v>-99.58</v>
      </c>
      <c r="G1527" s="77">
        <v>-44.19</v>
      </c>
      <c r="H1527" s="77">
        <v>-143.77000000000001</v>
      </c>
      <c r="I1527" s="76" t="s">
        <v>936</v>
      </c>
      <c r="J1527" s="77">
        <v>0</v>
      </c>
      <c r="K1527" s="78">
        <v>-57.17</v>
      </c>
      <c r="M1527" s="79" t="str">
        <f t="shared" si="71"/>
        <v>430-7610</v>
      </c>
      <c r="N1527" s="79" t="str">
        <f t="shared" si="69"/>
        <v/>
      </c>
      <c r="O1527" s="79" t="str">
        <f t="shared" si="70"/>
        <v>430</v>
      </c>
      <c r="P1527" s="79" t="str">
        <f>IFERROR(VLOOKUP($M1527,Export!$P:$R,2,FALSE),"-")</f>
        <v>Admin &amp; Other</v>
      </c>
      <c r="Q1527" s="79" t="str">
        <f>IFERROR(VLOOKUP($M1527,Export!$P:$R,3,FALSE),"-")</f>
        <v>Admin &amp; Otherinterest &amp; Bank Charges as % of Total Gross Profit</v>
      </c>
      <c r="R1527" s="80" t="e" cm="1">
        <f t="array" ref="R1527">_xlfn.IFS(P1527="Service", _xlfn.IFS(I1527="SALES","GP",I1527="SERVICE SALES","GP",I1527="PARTS SALES","GP",I1527="SERVICE COS","GP",I1527="PARTS COS","GP",I1527="SELLING EXPENSES","Selling Expenses",I1527="EMPLOYMENT EXPENSES","Selling Expenses",I1527="EMPLOYMENT EXPENSES","Selling Expenses",I1527="DIRECT EXPENSES","Selling Expenses",I1527="INDIRECT EXPENSES","Selling Expenses"),P1527="Parts",_xlfn.IFS(I1527="SALES","GP",I1527="SERVICE SALES","GP",I1527="PARTS SALES","GP",I1527="SERVICE COS","GP",I1527="PARTS COS","GP",I1527="SELLING EXPENSES","Selling Expenses",I1527="EMPLOYMENT EXPENSES","Selling Expenses",I1527="EMPLOYMENT EXPENSES","Selling Expenses",I1527="DIRECT EXPENSES","Selling Expenses",I1527="INDIRECT EXPENSES","Selling Expenses"))</f>
        <v>#N/A</v>
      </c>
    </row>
    <row r="1528" spans="1:18" x14ac:dyDescent="0.2">
      <c r="A1528" s="75">
        <v>7610</v>
      </c>
      <c r="B1528" s="76" t="s">
        <v>128</v>
      </c>
      <c r="C1528" s="76">
        <v>440</v>
      </c>
      <c r="D1528" s="76" t="s">
        <v>441</v>
      </c>
      <c r="E1528" s="76" t="s">
        <v>426</v>
      </c>
      <c r="F1528" s="77">
        <v>-2894.98</v>
      </c>
      <c r="G1528" s="77">
        <v>-215.46</v>
      </c>
      <c r="H1528" s="77">
        <v>-3110.44</v>
      </c>
      <c r="I1528" s="76" t="s">
        <v>936</v>
      </c>
      <c r="J1528" s="77">
        <v>0</v>
      </c>
      <c r="K1528" s="78">
        <v>-602.27</v>
      </c>
      <c r="M1528" s="79" t="str">
        <f t="shared" si="71"/>
        <v>440-7610</v>
      </c>
      <c r="N1528" s="79" t="str">
        <f t="shared" si="69"/>
        <v/>
      </c>
      <c r="O1528" s="79" t="str">
        <f t="shared" si="70"/>
        <v>440</v>
      </c>
      <c r="P1528" s="79" t="str">
        <f>IFERROR(VLOOKUP($M1528,Export!$P:$R,2,FALSE),"-")</f>
        <v>Admin &amp; Other</v>
      </c>
      <c r="Q1528" s="79" t="str">
        <f>IFERROR(VLOOKUP($M1528,Export!$P:$R,3,FALSE),"-")</f>
        <v>Admin &amp; Otherinterest &amp; Bank Charges as % of Total Gross Profit</v>
      </c>
      <c r="R1528" s="80" t="e" cm="1">
        <f t="array" ref="R1528">_xlfn.IFS(P1528="Service", _xlfn.IFS(I1528="SALES","GP",I1528="SERVICE SALES","GP",I1528="PARTS SALES","GP",I1528="SERVICE COS","GP",I1528="PARTS COS","GP",I1528="SELLING EXPENSES","Selling Expenses",I1528="EMPLOYMENT EXPENSES","Selling Expenses",I1528="EMPLOYMENT EXPENSES","Selling Expenses",I1528="DIRECT EXPENSES","Selling Expenses",I1528="INDIRECT EXPENSES","Selling Expenses"),P1528="Parts",_xlfn.IFS(I1528="SALES","GP",I1528="SERVICE SALES","GP",I1528="PARTS SALES","GP",I1528="SERVICE COS","GP",I1528="PARTS COS","GP",I1528="SELLING EXPENSES","Selling Expenses",I1528="EMPLOYMENT EXPENSES","Selling Expenses",I1528="EMPLOYMENT EXPENSES","Selling Expenses",I1528="DIRECT EXPENSES","Selling Expenses",I1528="INDIRECT EXPENSES","Selling Expenses"))</f>
        <v>#N/A</v>
      </c>
    </row>
    <row r="1529" spans="1:18" x14ac:dyDescent="0.2">
      <c r="A1529" s="75">
        <v>7610</v>
      </c>
      <c r="B1529" s="76" t="s">
        <v>128</v>
      </c>
      <c r="C1529" s="76">
        <v>935</v>
      </c>
      <c r="D1529" s="76" t="s">
        <v>442</v>
      </c>
      <c r="E1529" s="76" t="s">
        <v>426</v>
      </c>
      <c r="F1529" s="77">
        <v>-595.66</v>
      </c>
      <c r="G1529" s="77">
        <v>-98.93</v>
      </c>
      <c r="H1529" s="77">
        <v>-694.59</v>
      </c>
      <c r="I1529" s="76" t="s">
        <v>936</v>
      </c>
      <c r="J1529" s="77">
        <v>0</v>
      </c>
      <c r="K1529" s="78">
        <v>0</v>
      </c>
      <c r="M1529" s="79" t="str">
        <f t="shared" si="71"/>
        <v>935-7610</v>
      </c>
      <c r="N1529" s="79" t="str">
        <f t="shared" si="69"/>
        <v/>
      </c>
      <c r="O1529" s="79" t="str">
        <f t="shared" si="70"/>
        <v>935</v>
      </c>
      <c r="P1529" s="79" t="str">
        <f>IFERROR(VLOOKUP($M1529,Export!$P:$R,2,FALSE),"-")</f>
        <v>LEX Admin &amp; Other</v>
      </c>
      <c r="Q1529" s="79" t="str">
        <f>IFERROR(VLOOKUP($M1529,Export!$P:$R,3,FALSE),"-")</f>
        <v>LEX Admin &amp; Otherinterest &amp; Bank Charges as % of Total Gross Profit</v>
      </c>
      <c r="R1529" s="80" t="e" cm="1">
        <f t="array" ref="R1529">_xlfn.IFS(P1529="Service", _xlfn.IFS(I1529="SALES","GP",I1529="SERVICE SALES","GP",I1529="PARTS SALES","GP",I1529="SERVICE COS","GP",I1529="PARTS COS","GP",I1529="SELLING EXPENSES","Selling Expenses",I1529="EMPLOYMENT EXPENSES","Selling Expenses",I1529="EMPLOYMENT EXPENSES","Selling Expenses",I1529="DIRECT EXPENSES","Selling Expenses",I1529="INDIRECT EXPENSES","Selling Expenses"),P1529="Parts",_xlfn.IFS(I1529="SALES","GP",I1529="SERVICE SALES","GP",I1529="PARTS SALES","GP",I1529="SERVICE COS","GP",I1529="PARTS COS","GP",I1529="SELLING EXPENSES","Selling Expenses",I1529="EMPLOYMENT EXPENSES","Selling Expenses",I1529="EMPLOYMENT EXPENSES","Selling Expenses",I1529="DIRECT EXPENSES","Selling Expenses",I1529="INDIRECT EXPENSES","Selling Expenses"))</f>
        <v>#N/A</v>
      </c>
    </row>
    <row r="1530" spans="1:18" x14ac:dyDescent="0.2">
      <c r="A1530" s="75">
        <v>7610</v>
      </c>
      <c r="B1530" s="76" t="s">
        <v>128</v>
      </c>
      <c r="C1530" s="76">
        <v>936</v>
      </c>
      <c r="D1530" s="76" t="s">
        <v>443</v>
      </c>
      <c r="E1530" s="76" t="s">
        <v>426</v>
      </c>
      <c r="F1530" s="77">
        <v>-1741.89</v>
      </c>
      <c r="G1530" s="77">
        <v>-156.88999999999999</v>
      </c>
      <c r="H1530" s="77">
        <v>-1898.78</v>
      </c>
      <c r="I1530" s="76" t="s">
        <v>936</v>
      </c>
      <c r="J1530" s="77">
        <v>0</v>
      </c>
      <c r="K1530" s="78">
        <v>-781.73</v>
      </c>
      <c r="M1530" s="79" t="str">
        <f t="shared" si="71"/>
        <v>936-7610</v>
      </c>
      <c r="N1530" s="79" t="str">
        <f t="shared" si="69"/>
        <v/>
      </c>
      <c r="O1530" s="79" t="str">
        <f t="shared" si="70"/>
        <v>936</v>
      </c>
      <c r="P1530" s="79" t="str">
        <f>IFERROR(VLOOKUP($M1530,Export!$P:$R,2,FALSE),"-")</f>
        <v>LEX Admin &amp; Other</v>
      </c>
      <c r="Q1530" s="79" t="str">
        <f>IFERROR(VLOOKUP($M1530,Export!$P:$R,3,FALSE),"-")</f>
        <v>LEX Admin &amp; Otherinterest &amp; Bank Charges as % of Total Gross Profit</v>
      </c>
      <c r="R1530" s="80" t="e" cm="1">
        <f t="array" ref="R1530">_xlfn.IFS(P1530="Service", _xlfn.IFS(I1530="SALES","GP",I1530="SERVICE SALES","GP",I1530="PARTS SALES","GP",I1530="SERVICE COS","GP",I1530="PARTS COS","GP",I1530="SELLING EXPENSES","Selling Expenses",I1530="EMPLOYMENT EXPENSES","Selling Expenses",I1530="EMPLOYMENT EXPENSES","Selling Expenses",I1530="DIRECT EXPENSES","Selling Expenses",I1530="INDIRECT EXPENSES","Selling Expenses"),P1530="Parts",_xlfn.IFS(I1530="SALES","GP",I1530="SERVICE SALES","GP",I1530="PARTS SALES","GP",I1530="SERVICE COS","GP",I1530="PARTS COS","GP",I1530="SELLING EXPENSES","Selling Expenses",I1530="EMPLOYMENT EXPENSES","Selling Expenses",I1530="EMPLOYMENT EXPENSES","Selling Expenses",I1530="DIRECT EXPENSES","Selling Expenses",I1530="INDIRECT EXPENSES","Selling Expenses"))</f>
        <v>#N/A</v>
      </c>
    </row>
    <row r="1531" spans="1:18" x14ac:dyDescent="0.2">
      <c r="A1531" s="75">
        <v>7630</v>
      </c>
      <c r="B1531" s="76" t="s">
        <v>956</v>
      </c>
      <c r="C1531" s="76">
        <v>110</v>
      </c>
      <c r="D1531" s="76" t="s">
        <v>430</v>
      </c>
      <c r="E1531" s="76" t="s">
        <v>426</v>
      </c>
      <c r="F1531" s="77">
        <v>231526.43</v>
      </c>
      <c r="G1531" s="77">
        <v>28082.400000000001</v>
      </c>
      <c r="H1531" s="77">
        <v>259608.83</v>
      </c>
      <c r="I1531" s="76" t="s">
        <v>936</v>
      </c>
      <c r="J1531" s="77">
        <v>10466.66</v>
      </c>
      <c r="K1531" s="78">
        <v>92296.25</v>
      </c>
      <c r="M1531" s="79" t="str">
        <f t="shared" si="71"/>
        <v>110-7630</v>
      </c>
      <c r="N1531" s="79" t="str">
        <f t="shared" si="69"/>
        <v/>
      </c>
      <c r="O1531" s="79" t="str">
        <f t="shared" si="70"/>
        <v>110</v>
      </c>
      <c r="P1531" s="79" t="str">
        <f>IFERROR(VLOOKUP($M1531,Export!$P:$R,2,FALSE),"-")</f>
        <v>New Vehicle</v>
      </c>
      <c r="Q1531" s="79" t="str">
        <f>IFERROR(VLOOKUP($M1531,Export!$P:$R,3,FALSE),"-")</f>
        <v>New VehicleDemo Expenses (incl. interest) p.u.</v>
      </c>
      <c r="R1531" s="80" t="e" cm="1">
        <f t="array" ref="R1531">_xlfn.IFS(P1531="Service", _xlfn.IFS(I1531="SALES","GP",I1531="SERVICE SALES","GP",I1531="PARTS SALES","GP",I1531="SERVICE COS","GP",I1531="PARTS COS","GP",I1531="SELLING EXPENSES","Selling Expenses",I1531="EMPLOYMENT EXPENSES","Selling Expenses",I1531="EMPLOYMENT EXPENSES","Selling Expenses",I1531="DIRECT EXPENSES","Selling Expenses",I1531="INDIRECT EXPENSES","Selling Expenses"),P1531="Parts",_xlfn.IFS(I1531="SALES","GP",I1531="SERVICE SALES","GP",I1531="PARTS SALES","GP",I1531="SERVICE COS","GP",I1531="PARTS COS","GP",I1531="SELLING EXPENSES","Selling Expenses",I1531="EMPLOYMENT EXPENSES","Selling Expenses",I1531="EMPLOYMENT EXPENSES","Selling Expenses",I1531="DIRECT EXPENSES","Selling Expenses",I1531="INDIRECT EXPENSES","Selling Expenses"))</f>
        <v>#N/A</v>
      </c>
    </row>
    <row r="1532" spans="1:18" x14ac:dyDescent="0.2">
      <c r="A1532" s="75">
        <v>7630</v>
      </c>
      <c r="B1532" s="76" t="s">
        <v>956</v>
      </c>
      <c r="C1532" s="76">
        <v>112</v>
      </c>
      <c r="D1532" s="76" t="s">
        <v>349</v>
      </c>
      <c r="E1532" s="76" t="s">
        <v>426</v>
      </c>
      <c r="F1532" s="77">
        <v>129184.87</v>
      </c>
      <c r="G1532" s="77">
        <v>14296.56</v>
      </c>
      <c r="H1532" s="77">
        <v>143481.43</v>
      </c>
      <c r="I1532" s="76" t="s">
        <v>936</v>
      </c>
      <c r="J1532" s="77">
        <v>8516.15</v>
      </c>
      <c r="K1532" s="78">
        <v>75200.639999999999</v>
      </c>
      <c r="M1532" s="79" t="str">
        <f t="shared" si="71"/>
        <v>112-7630</v>
      </c>
      <c r="N1532" s="79" t="str">
        <f t="shared" si="69"/>
        <v/>
      </c>
      <c r="O1532" s="79" t="str">
        <f t="shared" si="70"/>
        <v>112</v>
      </c>
      <c r="P1532" s="79" t="str">
        <f>IFERROR(VLOOKUP($M1532,Export!$P:$R,2,FALSE),"-")</f>
        <v>LEX Admin &amp; Other</v>
      </c>
      <c r="Q1532" s="79" t="str">
        <f>IFERROR(VLOOKUP($M1532,Export!$P:$R,3,FALSE),"-")</f>
        <v>LEX Admin &amp; Otherinterest &amp; Bank Charges as % of Total Gross Profit</v>
      </c>
      <c r="R1532" s="80" t="e" cm="1">
        <f t="array" ref="R1532">_xlfn.IFS(P1532="Service", _xlfn.IFS(I1532="SALES","GP",I1532="SERVICE SALES","GP",I1532="PARTS SALES","GP",I1532="SERVICE COS","GP",I1532="PARTS COS","GP",I1532="SELLING EXPENSES","Selling Expenses",I1532="EMPLOYMENT EXPENSES","Selling Expenses",I1532="EMPLOYMENT EXPENSES","Selling Expenses",I1532="DIRECT EXPENSES","Selling Expenses",I1532="INDIRECT EXPENSES","Selling Expenses"),P1532="Parts",_xlfn.IFS(I1532="SALES","GP",I1532="SERVICE SALES","GP",I1532="PARTS SALES","GP",I1532="SERVICE COS","GP",I1532="PARTS COS","GP",I1532="SELLING EXPENSES","Selling Expenses",I1532="EMPLOYMENT EXPENSES","Selling Expenses",I1532="EMPLOYMENT EXPENSES","Selling Expenses",I1532="DIRECT EXPENSES","Selling Expenses",I1532="INDIRECT EXPENSES","Selling Expenses"))</f>
        <v>#N/A</v>
      </c>
    </row>
    <row r="1533" spans="1:18" x14ac:dyDescent="0.2">
      <c r="A1533" s="75">
        <v>7630</v>
      </c>
      <c r="B1533" s="76" t="s">
        <v>956</v>
      </c>
      <c r="C1533" s="76">
        <v>120</v>
      </c>
      <c r="D1533" s="76" t="s">
        <v>431</v>
      </c>
      <c r="E1533" s="76" t="s">
        <v>426</v>
      </c>
      <c r="F1533" s="77">
        <v>70610.759999999995</v>
      </c>
      <c r="G1533" s="77">
        <v>8509.82</v>
      </c>
      <c r="H1533" s="77">
        <v>79120.58</v>
      </c>
      <c r="I1533" s="76" t="s">
        <v>936</v>
      </c>
      <c r="J1533" s="77">
        <v>6296.19</v>
      </c>
      <c r="K1533" s="78">
        <v>61934.74</v>
      </c>
      <c r="M1533" s="79" t="str">
        <f t="shared" si="71"/>
        <v>120-7630</v>
      </c>
      <c r="N1533" s="79" t="str">
        <f t="shared" si="69"/>
        <v/>
      </c>
      <c r="O1533" s="79" t="str">
        <f t="shared" si="70"/>
        <v>120</v>
      </c>
      <c r="P1533" s="79" t="str">
        <f>IFERROR(VLOOKUP($M1533,Export!$P:$R,2,FALSE),"-")</f>
        <v>Used Vehicle</v>
      </c>
      <c r="Q1533" s="79" t="str">
        <f>IFERROR(VLOOKUP($M1533,Export!$P:$R,3,FALSE),"-")</f>
        <v>Used VehicleFloorplan interest per retail</v>
      </c>
      <c r="R1533" s="80" t="e" cm="1">
        <f t="array" ref="R1533">_xlfn.IFS(P1533="Service", _xlfn.IFS(I1533="SALES","GP",I1533="SERVICE SALES","GP",I1533="PARTS SALES","GP",I1533="SERVICE COS","GP",I1533="PARTS COS","GP",I1533="SELLING EXPENSES","Selling Expenses",I1533="EMPLOYMENT EXPENSES","Selling Expenses",I1533="EMPLOYMENT EXPENSES","Selling Expenses",I1533="DIRECT EXPENSES","Selling Expenses",I1533="INDIRECT EXPENSES","Selling Expenses"),P1533="Parts",_xlfn.IFS(I1533="SALES","GP",I1533="SERVICE SALES","GP",I1533="PARTS SALES","GP",I1533="SERVICE COS","GP",I1533="PARTS COS","GP",I1533="SELLING EXPENSES","Selling Expenses",I1533="EMPLOYMENT EXPENSES","Selling Expenses",I1533="EMPLOYMENT EXPENSES","Selling Expenses",I1533="DIRECT EXPENSES","Selling Expenses",I1533="INDIRECT EXPENSES","Selling Expenses"))</f>
        <v>#N/A</v>
      </c>
    </row>
    <row r="1534" spans="1:18" x14ac:dyDescent="0.2">
      <c r="A1534" s="75">
        <v>7630</v>
      </c>
      <c r="B1534" s="76" t="s">
        <v>956</v>
      </c>
      <c r="C1534" s="76">
        <v>121</v>
      </c>
      <c r="D1534" s="76" t="s">
        <v>449</v>
      </c>
      <c r="E1534" s="76" t="s">
        <v>426</v>
      </c>
      <c r="F1534" s="77">
        <v>49111.68</v>
      </c>
      <c r="G1534" s="77">
        <v>5956.87</v>
      </c>
      <c r="H1534" s="77">
        <v>55068.55</v>
      </c>
      <c r="I1534" s="76" t="s">
        <v>936</v>
      </c>
      <c r="J1534" s="77">
        <v>1015.19</v>
      </c>
      <c r="K1534" s="78">
        <v>13624.34</v>
      </c>
      <c r="M1534" s="79" t="str">
        <f t="shared" si="71"/>
        <v>121-7630</v>
      </c>
      <c r="N1534" s="79" t="str">
        <f t="shared" si="69"/>
        <v/>
      </c>
      <c r="O1534" s="79" t="str">
        <f t="shared" si="70"/>
        <v>121</v>
      </c>
      <c r="P1534" s="79" t="str">
        <f>IFERROR(VLOOKUP($M1534,Export!$P:$R,2,FALSE),"-")</f>
        <v>Used Vehicle</v>
      </c>
      <c r="Q1534" s="79" t="str">
        <f>IFERROR(VLOOKUP($M1534,Export!$P:$R,3,FALSE),"-")</f>
        <v>Used VehicleFloorplan interest per retail</v>
      </c>
      <c r="R1534" s="80" t="e" cm="1">
        <f t="array" ref="R1534">_xlfn.IFS(P1534="Service", _xlfn.IFS(I1534="SALES","GP",I1534="SERVICE SALES","GP",I1534="PARTS SALES","GP",I1534="SERVICE COS","GP",I1534="PARTS COS","GP",I1534="SELLING EXPENSES","Selling Expenses",I1534="EMPLOYMENT EXPENSES","Selling Expenses",I1534="EMPLOYMENT EXPENSES","Selling Expenses",I1534="DIRECT EXPENSES","Selling Expenses",I1534="INDIRECT EXPENSES","Selling Expenses"),P1534="Parts",_xlfn.IFS(I1534="SALES","GP",I1534="SERVICE SALES","GP",I1534="PARTS SALES","GP",I1534="SERVICE COS","GP",I1534="PARTS COS","GP",I1534="SELLING EXPENSES","Selling Expenses",I1534="EMPLOYMENT EXPENSES","Selling Expenses",I1534="EMPLOYMENT EXPENSES","Selling Expenses",I1534="DIRECT EXPENSES","Selling Expenses",I1534="INDIRECT EXPENSES","Selling Expenses"))</f>
        <v>#N/A</v>
      </c>
    </row>
    <row r="1535" spans="1:18" x14ac:dyDescent="0.2">
      <c r="A1535" s="75">
        <v>7630</v>
      </c>
      <c r="B1535" s="76" t="s">
        <v>956</v>
      </c>
      <c r="C1535" s="76">
        <v>122</v>
      </c>
      <c r="D1535" s="76" t="s">
        <v>452</v>
      </c>
      <c r="E1535" s="76" t="s">
        <v>426</v>
      </c>
      <c r="F1535" s="77">
        <v>49998</v>
      </c>
      <c r="G1535" s="77">
        <v>6127</v>
      </c>
      <c r="H1535" s="77">
        <v>56125</v>
      </c>
      <c r="I1535" s="76" t="s">
        <v>936</v>
      </c>
      <c r="J1535" s="77">
        <v>0</v>
      </c>
      <c r="K1535" s="78">
        <v>2029.06</v>
      </c>
      <c r="M1535" s="79" t="str">
        <f t="shared" si="71"/>
        <v>122-7630</v>
      </c>
      <c r="N1535" s="79" t="str">
        <f t="shared" si="69"/>
        <v/>
      </c>
      <c r="O1535" s="79" t="str">
        <f t="shared" si="70"/>
        <v>122</v>
      </c>
      <c r="P1535" s="79" t="str">
        <f>IFERROR(VLOOKUP($M1535,Export!$P:$R,2,FALSE),"-")</f>
        <v>LEX Admin &amp; Other</v>
      </c>
      <c r="Q1535" s="79" t="str">
        <f>IFERROR(VLOOKUP($M1535,Export!$P:$R,3,FALSE),"-")</f>
        <v>LEX Admin &amp; Otherinterest &amp; Bank Charges as % of Total Gross Profit</v>
      </c>
      <c r="R1535" s="80" t="e" cm="1">
        <f t="array" ref="R1535">_xlfn.IFS(P1535="Service", _xlfn.IFS(I1535="SALES","GP",I1535="SERVICE SALES","GP",I1535="PARTS SALES","GP",I1535="SERVICE COS","GP",I1535="PARTS COS","GP",I1535="SELLING EXPENSES","Selling Expenses",I1535="EMPLOYMENT EXPENSES","Selling Expenses",I1535="EMPLOYMENT EXPENSES","Selling Expenses",I1535="DIRECT EXPENSES","Selling Expenses",I1535="INDIRECT EXPENSES","Selling Expenses"),P1535="Parts",_xlfn.IFS(I1535="SALES","GP",I1535="SERVICE SALES","GP",I1535="PARTS SALES","GP",I1535="SERVICE COS","GP",I1535="PARTS COS","GP",I1535="SELLING EXPENSES","Selling Expenses",I1535="EMPLOYMENT EXPENSES","Selling Expenses",I1535="EMPLOYMENT EXPENSES","Selling Expenses",I1535="DIRECT EXPENSES","Selling Expenses",I1535="INDIRECT EXPENSES","Selling Expenses"))</f>
        <v>#N/A</v>
      </c>
    </row>
    <row r="1536" spans="1:18" x14ac:dyDescent="0.2">
      <c r="A1536" s="75">
        <v>7630</v>
      </c>
      <c r="B1536" s="76" t="s">
        <v>956</v>
      </c>
      <c r="C1536" s="76">
        <v>130</v>
      </c>
      <c r="D1536" s="76" t="s">
        <v>432</v>
      </c>
      <c r="E1536" s="76" t="s">
        <v>426</v>
      </c>
      <c r="F1536" s="77">
        <v>30068.29</v>
      </c>
      <c r="G1536" s="287">
        <v>3403.93</v>
      </c>
      <c r="H1536" s="77">
        <v>33472.22</v>
      </c>
      <c r="I1536" s="76" t="s">
        <v>936</v>
      </c>
      <c r="J1536" s="77">
        <v>1370.42</v>
      </c>
      <c r="K1536" s="78">
        <v>18375.48</v>
      </c>
      <c r="M1536" s="79" t="str">
        <f t="shared" si="71"/>
        <v>130-7630</v>
      </c>
      <c r="N1536" s="79" t="str">
        <f t="shared" si="69"/>
        <v/>
      </c>
      <c r="O1536" s="79" t="str">
        <f t="shared" si="70"/>
        <v>130</v>
      </c>
      <c r="P1536" s="79" t="str">
        <f>IFERROR(VLOOKUP($M1536,Export!$P:$R,2,FALSE),"-")</f>
        <v>Admin &amp; Other</v>
      </c>
      <c r="Q1536" s="79" t="str">
        <f>IFERROR(VLOOKUP($M1536,Export!$P:$R,3,FALSE),"-")</f>
        <v>Admin &amp; Otherinterest &amp; Bank Charges as % of Total Gross Profit</v>
      </c>
      <c r="R1536" s="80" t="e" cm="1">
        <f t="array" ref="R1536">_xlfn.IFS(P1536="Service", _xlfn.IFS(I1536="SALES","GP",I1536="SERVICE SALES","GP",I1536="PARTS SALES","GP",I1536="SERVICE COS","GP",I1536="PARTS COS","GP",I1536="SELLING EXPENSES","Selling Expenses",I1536="EMPLOYMENT EXPENSES","Selling Expenses",I1536="EMPLOYMENT EXPENSES","Selling Expenses",I1536="DIRECT EXPENSES","Selling Expenses",I1536="INDIRECT EXPENSES","Selling Expenses"),P1536="Parts",_xlfn.IFS(I1536="SALES","GP",I1536="SERVICE SALES","GP",I1536="PARTS SALES","GP",I1536="SERVICE COS","GP",I1536="PARTS COS","GP",I1536="SELLING EXPENSES","Selling Expenses",I1536="EMPLOYMENT EXPENSES","Selling Expenses",I1536="EMPLOYMENT EXPENSES","Selling Expenses",I1536="DIRECT EXPENSES","Selling Expenses",I1536="INDIRECT EXPENSES","Selling Expenses"))</f>
        <v>#N/A</v>
      </c>
    </row>
    <row r="1537" spans="1:18" x14ac:dyDescent="0.2">
      <c r="A1537" s="75">
        <v>7630</v>
      </c>
      <c r="B1537" s="76" t="s">
        <v>956</v>
      </c>
      <c r="C1537" s="76">
        <v>140</v>
      </c>
      <c r="D1537" s="76" t="s">
        <v>433</v>
      </c>
      <c r="E1537" s="76" t="s">
        <v>426</v>
      </c>
      <c r="F1537" s="77">
        <v>8108.7</v>
      </c>
      <c r="G1537" s="77">
        <v>850.98</v>
      </c>
      <c r="H1537" s="77">
        <v>8959.68</v>
      </c>
      <c r="I1537" s="76" t="s">
        <v>936</v>
      </c>
      <c r="J1537" s="77">
        <v>805.07</v>
      </c>
      <c r="K1537" s="78">
        <v>10468.51</v>
      </c>
      <c r="M1537" s="79" t="str">
        <f t="shared" si="71"/>
        <v>140-7630</v>
      </c>
      <c r="N1537" s="79" t="str">
        <f t="shared" si="69"/>
        <v/>
      </c>
      <c r="O1537" s="79" t="str">
        <f t="shared" si="70"/>
        <v>140</v>
      </c>
      <c r="P1537" s="79" t="str">
        <f>IFERROR(VLOOKUP($M1537,Export!$P:$R,2,FALSE),"-")</f>
        <v>Admin &amp; Other</v>
      </c>
      <c r="Q1537" s="79" t="str">
        <f>IFERROR(VLOOKUP($M1537,Export!$P:$R,3,FALSE),"-")</f>
        <v>Admin &amp; Otherinterest &amp; Bank Charges as % of Total Gross Profit</v>
      </c>
      <c r="R1537" s="80" t="e" cm="1">
        <f t="array" ref="R1537">_xlfn.IFS(P1537="Service", _xlfn.IFS(I1537="SALES","GP",I1537="SERVICE SALES","GP",I1537="PARTS SALES","GP",I1537="SERVICE COS","GP",I1537="PARTS COS","GP",I1537="SELLING EXPENSES","Selling Expenses",I1537="EMPLOYMENT EXPENSES","Selling Expenses",I1537="EMPLOYMENT EXPENSES","Selling Expenses",I1537="DIRECT EXPENSES","Selling Expenses",I1537="INDIRECT EXPENSES","Selling Expenses"),P1537="Parts",_xlfn.IFS(I1537="SALES","GP",I1537="SERVICE SALES","GP",I1537="PARTS SALES","GP",I1537="SERVICE COS","GP",I1537="PARTS COS","GP",I1537="SELLING EXPENSES","Selling Expenses",I1537="EMPLOYMENT EXPENSES","Selling Expenses",I1537="EMPLOYMENT EXPENSES","Selling Expenses",I1537="DIRECT EXPENSES","Selling Expenses",I1537="INDIRECT EXPENSES","Selling Expenses"))</f>
        <v>#N/A</v>
      </c>
    </row>
    <row r="1538" spans="1:18" x14ac:dyDescent="0.2">
      <c r="A1538" s="75">
        <v>7630</v>
      </c>
      <c r="B1538" s="76" t="s">
        <v>956</v>
      </c>
      <c r="C1538" s="76">
        <v>147</v>
      </c>
      <c r="D1538" s="76" t="s">
        <v>699</v>
      </c>
      <c r="E1538" s="76" t="s">
        <v>426</v>
      </c>
      <c r="F1538" s="77">
        <v>0</v>
      </c>
      <c r="G1538" s="77">
        <v>0</v>
      </c>
      <c r="H1538" s="77">
        <v>0</v>
      </c>
      <c r="I1538" s="76" t="s">
        <v>936</v>
      </c>
      <c r="J1538" s="77">
        <v>272.3</v>
      </c>
      <c r="K1538" s="78">
        <v>3633.8</v>
      </c>
      <c r="M1538" s="79" t="str">
        <f t="shared" si="71"/>
        <v>147-7630</v>
      </c>
      <c r="N1538" s="79" t="str">
        <f t="shared" ref="N1538:N1601" si="72">+IF(RIGHT(A1538,1)="#","#","")</f>
        <v/>
      </c>
      <c r="O1538" s="79" t="str">
        <f t="shared" ref="O1538:O1601" si="73">+C1538&amp;N1538</f>
        <v>147</v>
      </c>
      <c r="P1538" s="79" t="str">
        <f>IFERROR(VLOOKUP($M1538,Export!$P:$R,2,FALSE),"-")</f>
        <v>Admin &amp; Other</v>
      </c>
      <c r="Q1538" s="79" t="str">
        <f>IFERROR(VLOOKUP($M1538,Export!$P:$R,3,FALSE),"-")</f>
        <v>Admin &amp; Otherinterest &amp; Bank Charges as % of Total Gross Profit</v>
      </c>
      <c r="R1538" s="80" t="e" cm="1">
        <f t="array" ref="R1538">_xlfn.IFS(P1538="Service", _xlfn.IFS(I1538="SALES","GP",I1538="SERVICE SALES","GP",I1538="PARTS SALES","GP",I1538="SERVICE COS","GP",I1538="PARTS COS","GP",I1538="SELLING EXPENSES","Selling Expenses",I1538="EMPLOYMENT EXPENSES","Selling Expenses",I1538="EMPLOYMENT EXPENSES","Selling Expenses",I1538="DIRECT EXPENSES","Selling Expenses",I1538="INDIRECT EXPENSES","Selling Expenses"),P1538="Parts",_xlfn.IFS(I1538="SALES","GP",I1538="SERVICE SALES","GP",I1538="PARTS SALES","GP",I1538="SERVICE COS","GP",I1538="PARTS COS","GP",I1538="SELLING EXPENSES","Selling Expenses",I1538="EMPLOYMENT EXPENSES","Selling Expenses",I1538="EMPLOYMENT EXPENSES","Selling Expenses",I1538="DIRECT EXPENSES","Selling Expenses",I1538="INDIRECT EXPENSES","Selling Expenses"))</f>
        <v>#N/A</v>
      </c>
    </row>
    <row r="1539" spans="1:18" x14ac:dyDescent="0.2">
      <c r="A1539" s="75">
        <v>7630</v>
      </c>
      <c r="B1539" s="76" t="s">
        <v>956</v>
      </c>
      <c r="C1539" s="76">
        <v>190</v>
      </c>
      <c r="D1539" s="76" t="s">
        <v>435</v>
      </c>
      <c r="E1539" s="76" t="s">
        <v>426</v>
      </c>
      <c r="F1539" s="77">
        <v>29250</v>
      </c>
      <c r="G1539" s="77">
        <v>0</v>
      </c>
      <c r="H1539" s="77">
        <v>29250</v>
      </c>
      <c r="I1539" s="76" t="s">
        <v>936</v>
      </c>
      <c r="J1539" s="77">
        <v>0</v>
      </c>
      <c r="K1539" s="78">
        <v>0</v>
      </c>
      <c r="M1539" s="79" t="str">
        <f t="shared" ref="M1539:M1602" si="74">+C1539&amp;"-"&amp;A1539</f>
        <v>190-7630</v>
      </c>
      <c r="N1539" s="79" t="str">
        <f t="shared" si="72"/>
        <v/>
      </c>
      <c r="O1539" s="79" t="str">
        <f t="shared" si="73"/>
        <v>190</v>
      </c>
      <c r="P1539" s="79" t="str">
        <f>IFERROR(VLOOKUP($M1539,Export!$P:$R,2,FALSE),"-")</f>
        <v>Admin &amp; Other</v>
      </c>
      <c r="Q1539" s="79" t="str">
        <f>IFERROR(VLOOKUP($M1539,Export!$P:$R,3,FALSE),"-")</f>
        <v>Admin &amp; Otherinterest &amp; Bank Charges as % of Total Gross Profit</v>
      </c>
      <c r="R1539" s="80" t="e" cm="1">
        <f t="array" ref="R1539">_xlfn.IFS(P1539="Service", _xlfn.IFS(I1539="SALES","GP",I1539="SERVICE SALES","GP",I1539="PARTS SALES","GP",I1539="SERVICE COS","GP",I1539="PARTS COS","GP",I1539="SELLING EXPENSES","Selling Expenses",I1539="EMPLOYMENT EXPENSES","Selling Expenses",I1539="EMPLOYMENT EXPENSES","Selling Expenses",I1539="DIRECT EXPENSES","Selling Expenses",I1539="INDIRECT EXPENSES","Selling Expenses"),P1539="Parts",_xlfn.IFS(I1539="SALES","GP",I1539="SERVICE SALES","GP",I1539="PARTS SALES","GP",I1539="SERVICE COS","GP",I1539="PARTS COS","GP",I1539="SELLING EXPENSES","Selling Expenses",I1539="EMPLOYMENT EXPENSES","Selling Expenses",I1539="EMPLOYMENT EXPENSES","Selling Expenses",I1539="DIRECT EXPENSES","Selling Expenses",I1539="INDIRECT EXPENSES","Selling Expenses"))</f>
        <v>#N/A</v>
      </c>
    </row>
    <row r="1540" spans="1:18" x14ac:dyDescent="0.2">
      <c r="A1540" s="75">
        <v>7630</v>
      </c>
      <c r="B1540" s="76" t="s">
        <v>956</v>
      </c>
      <c r="C1540" s="76">
        <v>210</v>
      </c>
      <c r="D1540" s="76" t="s">
        <v>436</v>
      </c>
      <c r="E1540" s="76" t="s">
        <v>426</v>
      </c>
      <c r="F1540" s="77">
        <v>56127.63</v>
      </c>
      <c r="G1540" s="77">
        <v>6807.85</v>
      </c>
      <c r="H1540" s="77">
        <v>62935.48</v>
      </c>
      <c r="I1540" s="76" t="s">
        <v>936</v>
      </c>
      <c r="J1540" s="77">
        <v>3035.9</v>
      </c>
      <c r="K1540" s="78">
        <v>25926.34</v>
      </c>
      <c r="M1540" s="79" t="str">
        <f t="shared" si="74"/>
        <v>210-7630</v>
      </c>
      <c r="N1540" s="79" t="str">
        <f t="shared" si="72"/>
        <v/>
      </c>
      <c r="O1540" s="79" t="str">
        <f t="shared" si="73"/>
        <v>210</v>
      </c>
      <c r="P1540" s="79" t="str">
        <f>IFERROR(VLOOKUP($M1540,Export!$P:$R,2,FALSE),"-")</f>
        <v>New Vehicle</v>
      </c>
      <c r="Q1540" s="79" t="str">
        <f>IFERROR(VLOOKUP($M1540,Export!$P:$R,3,FALSE),"-")</f>
        <v>New VehicleDemo Expenses (incl. interest) p.u.</v>
      </c>
      <c r="R1540" s="80" t="e" cm="1">
        <f t="array" ref="R1540">_xlfn.IFS(P1540="Service", _xlfn.IFS(I1540="SALES","GP",I1540="SERVICE SALES","GP",I1540="PARTS SALES","GP",I1540="SERVICE COS","GP",I1540="PARTS COS","GP",I1540="SELLING EXPENSES","Selling Expenses",I1540="EMPLOYMENT EXPENSES","Selling Expenses",I1540="EMPLOYMENT EXPENSES","Selling Expenses",I1540="DIRECT EXPENSES","Selling Expenses",I1540="INDIRECT EXPENSES","Selling Expenses"),P1540="Parts",_xlfn.IFS(I1540="SALES","GP",I1540="SERVICE SALES","GP",I1540="PARTS SALES","GP",I1540="SERVICE COS","GP",I1540="PARTS COS","GP",I1540="SELLING EXPENSES","Selling Expenses",I1540="EMPLOYMENT EXPENSES","Selling Expenses",I1540="EMPLOYMENT EXPENSES","Selling Expenses",I1540="DIRECT EXPENSES","Selling Expenses",I1540="INDIRECT EXPENSES","Selling Expenses"))</f>
        <v>#N/A</v>
      </c>
    </row>
    <row r="1541" spans="1:18" x14ac:dyDescent="0.2">
      <c r="A1541" s="75">
        <v>7630</v>
      </c>
      <c r="B1541" s="76" t="s">
        <v>956</v>
      </c>
      <c r="C1541" s="76">
        <v>220</v>
      </c>
      <c r="D1541" s="76" t="s">
        <v>437</v>
      </c>
      <c r="E1541" s="76" t="s">
        <v>426</v>
      </c>
      <c r="F1541" s="77">
        <v>49111.68</v>
      </c>
      <c r="G1541" s="77">
        <v>5956.87</v>
      </c>
      <c r="H1541" s="77">
        <v>55068.55</v>
      </c>
      <c r="I1541" s="76" t="s">
        <v>936</v>
      </c>
      <c r="J1541" s="77">
        <v>1287.48</v>
      </c>
      <c r="K1541" s="78">
        <v>17258.07</v>
      </c>
      <c r="M1541" s="79" t="str">
        <f t="shared" si="74"/>
        <v>220-7630</v>
      </c>
      <c r="N1541" s="79" t="str">
        <f t="shared" si="72"/>
        <v/>
      </c>
      <c r="O1541" s="79" t="str">
        <f t="shared" si="73"/>
        <v>220</v>
      </c>
      <c r="P1541" s="79" t="str">
        <f>IFERROR(VLOOKUP($M1541,Export!$P:$R,2,FALSE),"-")</f>
        <v>Used Vehicle</v>
      </c>
      <c r="Q1541" s="79" t="str">
        <f>IFERROR(VLOOKUP($M1541,Export!$P:$R,3,FALSE),"-")</f>
        <v>Used VehicleFloorplan interest per retail</v>
      </c>
      <c r="R1541" s="80" t="e" cm="1">
        <f t="array" ref="R1541">_xlfn.IFS(P1541="Service", _xlfn.IFS(I1541="SALES","GP",I1541="SERVICE SALES","GP",I1541="PARTS SALES","GP",I1541="SERVICE COS","GP",I1541="PARTS COS","GP",I1541="SELLING EXPENSES","Selling Expenses",I1541="EMPLOYMENT EXPENSES","Selling Expenses",I1541="EMPLOYMENT EXPENSES","Selling Expenses",I1541="DIRECT EXPENSES","Selling Expenses",I1541="INDIRECT EXPENSES","Selling Expenses"),P1541="Parts",_xlfn.IFS(I1541="SALES","GP",I1541="SERVICE SALES","GP",I1541="PARTS SALES","GP",I1541="SERVICE COS","GP",I1541="PARTS COS","GP",I1541="SELLING EXPENSES","Selling Expenses",I1541="EMPLOYMENT EXPENSES","Selling Expenses",I1541="EMPLOYMENT EXPENSES","Selling Expenses",I1541="DIRECT EXPENSES","Selling Expenses",I1541="INDIRECT EXPENSES","Selling Expenses"))</f>
        <v>#N/A</v>
      </c>
    </row>
    <row r="1542" spans="1:18" x14ac:dyDescent="0.2">
      <c r="A1542" s="75">
        <v>7630</v>
      </c>
      <c r="B1542" s="76" t="s">
        <v>956</v>
      </c>
      <c r="C1542" s="76">
        <v>230</v>
      </c>
      <c r="D1542" s="76" t="s">
        <v>438</v>
      </c>
      <c r="E1542" s="76" t="s">
        <v>426</v>
      </c>
      <c r="F1542" s="77">
        <v>14931.89</v>
      </c>
      <c r="G1542" s="77">
        <v>1701.98</v>
      </c>
      <c r="H1542" s="77">
        <v>16633.87</v>
      </c>
      <c r="I1542" s="76" t="s">
        <v>936</v>
      </c>
      <c r="J1542" s="77">
        <v>680.75</v>
      </c>
      <c r="K1542" s="78">
        <v>9084.5</v>
      </c>
      <c r="M1542" s="79" t="str">
        <f t="shared" si="74"/>
        <v>230-7630</v>
      </c>
      <c r="N1542" s="79" t="str">
        <f t="shared" si="72"/>
        <v/>
      </c>
      <c r="O1542" s="79" t="str">
        <f t="shared" si="73"/>
        <v>230</v>
      </c>
      <c r="P1542" s="79" t="str">
        <f>IFERROR(VLOOKUP($M1542,Export!$P:$R,2,FALSE),"-")</f>
        <v>Admin &amp; Other</v>
      </c>
      <c r="Q1542" s="79" t="str">
        <f>IFERROR(VLOOKUP($M1542,Export!$P:$R,3,FALSE),"-")</f>
        <v>Admin &amp; Otherinterest &amp; Bank Charges as % of Total Gross Profit</v>
      </c>
      <c r="R1542" s="80" t="e" cm="1">
        <f t="array" ref="R1542">_xlfn.IFS(P1542="Service", _xlfn.IFS(I1542="SALES","GP",I1542="SERVICE SALES","GP",I1542="PARTS SALES","GP",I1542="SERVICE COS","GP",I1542="PARTS COS","GP",I1542="SELLING EXPENSES","Selling Expenses",I1542="EMPLOYMENT EXPENSES","Selling Expenses",I1542="EMPLOYMENT EXPENSES","Selling Expenses",I1542="DIRECT EXPENSES","Selling Expenses",I1542="INDIRECT EXPENSES","Selling Expenses"),P1542="Parts",_xlfn.IFS(I1542="SALES","GP",I1542="SERVICE SALES","GP",I1542="PARTS SALES","GP",I1542="SERVICE COS","GP",I1542="PARTS COS","GP",I1542="SELLING EXPENSES","Selling Expenses",I1542="EMPLOYMENT EXPENSES","Selling Expenses",I1542="EMPLOYMENT EXPENSES","Selling Expenses",I1542="DIRECT EXPENSES","Selling Expenses",I1542="INDIRECT EXPENSES","Selling Expenses"))</f>
        <v>#N/A</v>
      </c>
    </row>
    <row r="1543" spans="1:18" x14ac:dyDescent="0.2">
      <c r="A1543" s="75">
        <v>7630</v>
      </c>
      <c r="B1543" s="76" t="s">
        <v>956</v>
      </c>
      <c r="C1543" s="76">
        <v>240</v>
      </c>
      <c r="D1543" s="76" t="s">
        <v>439</v>
      </c>
      <c r="E1543" s="76" t="s">
        <v>426</v>
      </c>
      <c r="F1543" s="77">
        <v>8772.69</v>
      </c>
      <c r="G1543" s="77">
        <v>850.98</v>
      </c>
      <c r="H1543" s="77">
        <v>9623.67</v>
      </c>
      <c r="I1543" s="76" t="s">
        <v>936</v>
      </c>
      <c r="J1543" s="77">
        <v>444.32</v>
      </c>
      <c r="K1543" s="78">
        <v>5752.13</v>
      </c>
      <c r="M1543" s="79" t="str">
        <f t="shared" si="74"/>
        <v>240-7630</v>
      </c>
      <c r="N1543" s="79" t="str">
        <f t="shared" si="72"/>
        <v/>
      </c>
      <c r="O1543" s="79" t="str">
        <f t="shared" si="73"/>
        <v>240</v>
      </c>
      <c r="P1543" s="79" t="str">
        <f>IFERROR(VLOOKUP($M1543,Export!$P:$R,2,FALSE),"-")</f>
        <v>Admin &amp; Other</v>
      </c>
      <c r="Q1543" s="79" t="str">
        <f>IFERROR(VLOOKUP($M1543,Export!$P:$R,3,FALSE),"-")</f>
        <v>Admin &amp; Otherinterest &amp; Bank Charges as % of Total Gross Profit</v>
      </c>
      <c r="R1543" s="80" t="e" cm="1">
        <f t="array" ref="R1543">_xlfn.IFS(P1543="Service", _xlfn.IFS(I1543="SALES","GP",I1543="SERVICE SALES","GP",I1543="PARTS SALES","GP",I1543="SERVICE COS","GP",I1543="PARTS COS","GP",I1543="SELLING EXPENSES","Selling Expenses",I1543="EMPLOYMENT EXPENSES","Selling Expenses",I1543="EMPLOYMENT EXPENSES","Selling Expenses",I1543="DIRECT EXPENSES","Selling Expenses",I1543="INDIRECT EXPENSES","Selling Expenses"),P1543="Parts",_xlfn.IFS(I1543="SALES","GP",I1543="SERVICE SALES","GP",I1543="PARTS SALES","GP",I1543="SERVICE COS","GP",I1543="PARTS COS","GP",I1543="SELLING EXPENSES","Selling Expenses",I1543="EMPLOYMENT EXPENSES","Selling Expenses",I1543="EMPLOYMENT EXPENSES","Selling Expenses",I1543="DIRECT EXPENSES","Selling Expenses",I1543="INDIRECT EXPENSES","Selling Expenses"))</f>
        <v>#N/A</v>
      </c>
    </row>
    <row r="1544" spans="1:18" x14ac:dyDescent="0.2">
      <c r="A1544" s="75">
        <v>7630</v>
      </c>
      <c r="B1544" s="76" t="s">
        <v>956</v>
      </c>
      <c r="C1544" s="76">
        <v>340</v>
      </c>
      <c r="D1544" s="76" t="s">
        <v>440</v>
      </c>
      <c r="E1544" s="76" t="s">
        <v>426</v>
      </c>
      <c r="F1544" s="77">
        <v>7465.96</v>
      </c>
      <c r="G1544" s="77">
        <v>850.98</v>
      </c>
      <c r="H1544" s="77">
        <v>8316.94</v>
      </c>
      <c r="I1544" s="76" t="s">
        <v>936</v>
      </c>
      <c r="J1544" s="77">
        <v>229.92</v>
      </c>
      <c r="K1544" s="78">
        <v>3334.7</v>
      </c>
      <c r="M1544" s="79" t="str">
        <f t="shared" si="74"/>
        <v>340-7630</v>
      </c>
      <c r="N1544" s="79" t="str">
        <f t="shared" si="72"/>
        <v/>
      </c>
      <c r="O1544" s="79" t="str">
        <f t="shared" si="73"/>
        <v>340</v>
      </c>
      <c r="P1544" s="79" t="str">
        <f>IFERROR(VLOOKUP($M1544,Export!$P:$R,2,FALSE),"-")</f>
        <v>Admin &amp; Other</v>
      </c>
      <c r="Q1544" s="79" t="str">
        <f>IFERROR(VLOOKUP($M1544,Export!$P:$R,3,FALSE),"-")</f>
        <v>Admin &amp; Otherinterest &amp; Bank Charges as % of Total Gross Profit</v>
      </c>
      <c r="R1544" s="80" t="e" cm="1">
        <f t="array" ref="R1544">_xlfn.IFS(P1544="Service", _xlfn.IFS(I1544="SALES","GP",I1544="SERVICE SALES","GP",I1544="PARTS SALES","GP",I1544="SERVICE COS","GP",I1544="PARTS COS","GP",I1544="SELLING EXPENSES","Selling Expenses",I1544="EMPLOYMENT EXPENSES","Selling Expenses",I1544="EMPLOYMENT EXPENSES","Selling Expenses",I1544="DIRECT EXPENSES","Selling Expenses",I1544="INDIRECT EXPENSES","Selling Expenses"),P1544="Parts",_xlfn.IFS(I1544="SALES","GP",I1544="SERVICE SALES","GP",I1544="PARTS SALES","GP",I1544="SERVICE COS","GP",I1544="PARTS COS","GP",I1544="SELLING EXPENSES","Selling Expenses",I1544="EMPLOYMENT EXPENSES","Selling Expenses",I1544="EMPLOYMENT EXPENSES","Selling Expenses",I1544="DIRECT EXPENSES","Selling Expenses",I1544="INDIRECT EXPENSES","Selling Expenses"))</f>
        <v>#N/A</v>
      </c>
    </row>
    <row r="1545" spans="1:18" x14ac:dyDescent="0.2">
      <c r="A1545" s="75">
        <v>7630</v>
      </c>
      <c r="B1545" s="76" t="s">
        <v>956</v>
      </c>
      <c r="C1545" s="76">
        <v>440</v>
      </c>
      <c r="D1545" s="76" t="s">
        <v>441</v>
      </c>
      <c r="E1545" s="76" t="s">
        <v>426</v>
      </c>
      <c r="F1545" s="77">
        <v>7465.9</v>
      </c>
      <c r="G1545" s="77">
        <v>850.98</v>
      </c>
      <c r="H1545" s="77">
        <v>8316.8799999999992</v>
      </c>
      <c r="I1545" s="76" t="s">
        <v>936</v>
      </c>
      <c r="J1545" s="77">
        <v>0</v>
      </c>
      <c r="K1545" s="78">
        <v>0</v>
      </c>
      <c r="M1545" s="79" t="str">
        <f t="shared" si="74"/>
        <v>440-7630</v>
      </c>
      <c r="N1545" s="79" t="str">
        <f t="shared" si="72"/>
        <v/>
      </c>
      <c r="O1545" s="79" t="str">
        <f t="shared" si="73"/>
        <v>440</v>
      </c>
      <c r="P1545" s="79" t="str">
        <f>IFERROR(VLOOKUP($M1545,Export!$P:$R,2,FALSE),"-")</f>
        <v>Admin &amp; Other</v>
      </c>
      <c r="Q1545" s="79" t="str">
        <f>IFERROR(VLOOKUP($M1545,Export!$P:$R,3,FALSE),"-")</f>
        <v>Admin &amp; Otherinterest &amp; Bank Charges as % of Total Gross Profit</v>
      </c>
      <c r="R1545" s="80" t="e" cm="1">
        <f t="array" ref="R1545">_xlfn.IFS(P1545="Service", _xlfn.IFS(I1545="SALES","GP",I1545="SERVICE SALES","GP",I1545="PARTS SALES","GP",I1545="SERVICE COS","GP",I1545="PARTS COS","GP",I1545="SELLING EXPENSES","Selling Expenses",I1545="EMPLOYMENT EXPENSES","Selling Expenses",I1545="EMPLOYMENT EXPENSES","Selling Expenses",I1545="DIRECT EXPENSES","Selling Expenses",I1545="INDIRECT EXPENSES","Selling Expenses"),P1545="Parts",_xlfn.IFS(I1545="SALES","GP",I1545="SERVICE SALES","GP",I1545="PARTS SALES","GP",I1545="SERVICE COS","GP",I1545="PARTS COS","GP",I1545="SELLING EXPENSES","Selling Expenses",I1545="EMPLOYMENT EXPENSES","Selling Expenses",I1545="EMPLOYMENT EXPENSES","Selling Expenses",I1545="DIRECT EXPENSES","Selling Expenses",I1545="INDIRECT EXPENSES","Selling Expenses"))</f>
        <v>#N/A</v>
      </c>
    </row>
    <row r="1546" spans="1:18" x14ac:dyDescent="0.2">
      <c r="A1546" s="75">
        <v>7630</v>
      </c>
      <c r="B1546" s="76" t="s">
        <v>956</v>
      </c>
      <c r="C1546" s="76">
        <v>935</v>
      </c>
      <c r="D1546" s="76" t="s">
        <v>442</v>
      </c>
      <c r="E1546" s="76" t="s">
        <v>426</v>
      </c>
      <c r="F1546" s="77">
        <v>7465.96</v>
      </c>
      <c r="G1546" s="77">
        <v>850.98</v>
      </c>
      <c r="H1546" s="77">
        <v>8316.94</v>
      </c>
      <c r="I1546" s="76" t="s">
        <v>936</v>
      </c>
      <c r="J1546" s="77">
        <v>641.70000000000005</v>
      </c>
      <c r="K1546" s="78">
        <v>7885.12</v>
      </c>
      <c r="M1546" s="79" t="str">
        <f t="shared" si="74"/>
        <v>935-7630</v>
      </c>
      <c r="N1546" s="79" t="str">
        <f t="shared" si="72"/>
        <v/>
      </c>
      <c r="O1546" s="79" t="str">
        <f t="shared" si="73"/>
        <v>935</v>
      </c>
      <c r="P1546" s="79" t="str">
        <f>IFERROR(VLOOKUP($M1546,Export!$P:$R,2,FALSE),"-")</f>
        <v>LEX Admin &amp; Other</v>
      </c>
      <c r="Q1546" s="79" t="str">
        <f>IFERROR(VLOOKUP($M1546,Export!$P:$R,3,FALSE),"-")</f>
        <v>LEX Admin &amp; Otherinterest &amp; Bank Charges as % of Total Gross Profit</v>
      </c>
      <c r="R1546" s="80" t="e" cm="1">
        <f t="array" ref="R1546">_xlfn.IFS(P1546="Service", _xlfn.IFS(I1546="SALES","GP",I1546="SERVICE SALES","GP",I1546="PARTS SALES","GP",I1546="SERVICE COS","GP",I1546="PARTS COS","GP",I1546="SELLING EXPENSES","Selling Expenses",I1546="EMPLOYMENT EXPENSES","Selling Expenses",I1546="EMPLOYMENT EXPENSES","Selling Expenses",I1546="DIRECT EXPENSES","Selling Expenses",I1546="INDIRECT EXPENSES","Selling Expenses"),P1546="Parts",_xlfn.IFS(I1546="SALES","GP",I1546="SERVICE SALES","GP",I1546="PARTS SALES","GP",I1546="SERVICE COS","GP",I1546="PARTS COS","GP",I1546="SELLING EXPENSES","Selling Expenses",I1546="EMPLOYMENT EXPENSES","Selling Expenses",I1546="EMPLOYMENT EXPENSES","Selling Expenses",I1546="DIRECT EXPENSES","Selling Expenses",I1546="INDIRECT EXPENSES","Selling Expenses"))</f>
        <v>#N/A</v>
      </c>
    </row>
    <row r="1547" spans="1:18" x14ac:dyDescent="0.2">
      <c r="A1547" s="75">
        <v>7630</v>
      </c>
      <c r="B1547" s="76" t="s">
        <v>956</v>
      </c>
      <c r="C1547" s="76">
        <v>936</v>
      </c>
      <c r="D1547" s="76" t="s">
        <v>443</v>
      </c>
      <c r="E1547" s="76" t="s">
        <v>426</v>
      </c>
      <c r="F1547" s="77">
        <v>0</v>
      </c>
      <c r="G1547" s="77">
        <v>0</v>
      </c>
      <c r="H1547" s="77">
        <v>0</v>
      </c>
      <c r="I1547" s="76" t="s">
        <v>936</v>
      </c>
      <c r="J1547" s="77">
        <v>149.76</v>
      </c>
      <c r="K1547" s="78">
        <v>1998.56</v>
      </c>
      <c r="M1547" s="79" t="str">
        <f t="shared" si="74"/>
        <v>936-7630</v>
      </c>
      <c r="N1547" s="79" t="str">
        <f t="shared" si="72"/>
        <v/>
      </c>
      <c r="O1547" s="79" t="str">
        <f t="shared" si="73"/>
        <v>936</v>
      </c>
      <c r="P1547" s="79" t="str">
        <f>IFERROR(VLOOKUP($M1547,Export!$P:$R,2,FALSE),"-")</f>
        <v>LEX Admin &amp; Other</v>
      </c>
      <c r="Q1547" s="79" t="str">
        <f>IFERROR(VLOOKUP($M1547,Export!$P:$R,3,FALSE),"-")</f>
        <v>LEX Admin &amp; Otherinterest &amp; Bank Charges as % of Total Gross Profit</v>
      </c>
      <c r="R1547" s="80" t="e" cm="1">
        <f t="array" ref="R1547">_xlfn.IFS(P1547="Service", _xlfn.IFS(I1547="SALES","GP",I1547="SERVICE SALES","GP",I1547="PARTS SALES","GP",I1547="SERVICE COS","GP",I1547="PARTS COS","GP",I1547="SELLING EXPENSES","Selling Expenses",I1547="EMPLOYMENT EXPENSES","Selling Expenses",I1547="EMPLOYMENT EXPENSES","Selling Expenses",I1547="DIRECT EXPENSES","Selling Expenses",I1547="INDIRECT EXPENSES","Selling Expenses"),P1547="Parts",_xlfn.IFS(I1547="SALES","GP",I1547="SERVICE SALES","GP",I1547="PARTS SALES","GP",I1547="SERVICE COS","GP",I1547="PARTS COS","GP",I1547="SELLING EXPENSES","Selling Expenses",I1547="EMPLOYMENT EXPENSES","Selling Expenses",I1547="EMPLOYMENT EXPENSES","Selling Expenses",I1547="DIRECT EXPENSES","Selling Expenses",I1547="INDIRECT EXPENSES","Selling Expenses"))</f>
        <v>#N/A</v>
      </c>
    </row>
    <row r="1548" spans="1:18" x14ac:dyDescent="0.2">
      <c r="A1548" s="75">
        <v>7820</v>
      </c>
      <c r="B1548" s="76" t="s">
        <v>957</v>
      </c>
      <c r="C1548" s="76">
        <v>110</v>
      </c>
      <c r="D1548" s="76" t="s">
        <v>430</v>
      </c>
      <c r="E1548" s="76" t="s">
        <v>426</v>
      </c>
      <c r="F1548" s="77">
        <v>5195.6000000000004</v>
      </c>
      <c r="G1548" s="77">
        <v>466.5</v>
      </c>
      <c r="H1548" s="77">
        <v>5662.1</v>
      </c>
      <c r="I1548" s="76" t="s">
        <v>936</v>
      </c>
      <c r="J1548" s="77">
        <v>300</v>
      </c>
      <c r="K1548" s="78">
        <v>3589.94</v>
      </c>
      <c r="M1548" s="79" t="str">
        <f t="shared" si="74"/>
        <v>110-7820</v>
      </c>
      <c r="N1548" s="79" t="str">
        <f t="shared" si="72"/>
        <v/>
      </c>
      <c r="O1548" s="79" t="str">
        <f t="shared" si="73"/>
        <v>110</v>
      </c>
      <c r="P1548" s="79" t="str">
        <f>IFERROR(VLOOKUP($M1548,Export!$P:$R,2,FALSE),"-")</f>
        <v>Admin &amp; Other</v>
      </c>
      <c r="Q1548" s="79" t="str">
        <f>IFERROR(VLOOKUP($M1548,Export!$P:$R,3,FALSE),"-")</f>
        <v>Admin &amp; OtherOther Overheads as % of Total Gross Profit</v>
      </c>
      <c r="R1548" s="80" t="e" cm="1">
        <f t="array" ref="R1548">_xlfn.IFS(P1548="Service", _xlfn.IFS(I1548="SALES","GP",I1548="SERVICE SALES","GP",I1548="PARTS SALES","GP",I1548="SERVICE COS","GP",I1548="PARTS COS","GP",I1548="SELLING EXPENSES","Selling Expenses",I1548="EMPLOYMENT EXPENSES","Selling Expenses",I1548="EMPLOYMENT EXPENSES","Selling Expenses",I1548="DIRECT EXPENSES","Selling Expenses",I1548="INDIRECT EXPENSES","Selling Expenses"),P1548="Parts",_xlfn.IFS(I1548="SALES","GP",I1548="SERVICE SALES","GP",I1548="PARTS SALES","GP",I1548="SERVICE COS","GP",I1548="PARTS COS","GP",I1548="SELLING EXPENSES","Selling Expenses",I1548="EMPLOYMENT EXPENSES","Selling Expenses",I1548="EMPLOYMENT EXPENSES","Selling Expenses",I1548="DIRECT EXPENSES","Selling Expenses",I1548="INDIRECT EXPENSES","Selling Expenses"))</f>
        <v>#N/A</v>
      </c>
    </row>
    <row r="1549" spans="1:18" x14ac:dyDescent="0.2">
      <c r="A1549" s="75">
        <v>7820</v>
      </c>
      <c r="B1549" s="76" t="s">
        <v>957</v>
      </c>
      <c r="C1549" s="76">
        <v>112</v>
      </c>
      <c r="D1549" s="76" t="s">
        <v>349</v>
      </c>
      <c r="E1549" s="76" t="s">
        <v>426</v>
      </c>
      <c r="F1549" s="77">
        <v>14877.54</v>
      </c>
      <c r="G1549" s="77">
        <v>1732.97</v>
      </c>
      <c r="H1549" s="77">
        <v>16610.509999999998</v>
      </c>
      <c r="I1549" s="76" t="s">
        <v>936</v>
      </c>
      <c r="J1549" s="77">
        <v>500</v>
      </c>
      <c r="K1549" s="78">
        <v>9681.86</v>
      </c>
      <c r="M1549" s="79" t="str">
        <f t="shared" si="74"/>
        <v>112-7820</v>
      </c>
      <c r="N1549" s="79" t="str">
        <f t="shared" si="72"/>
        <v/>
      </c>
      <c r="O1549" s="79" t="str">
        <f t="shared" si="73"/>
        <v>112</v>
      </c>
      <c r="P1549" s="79" t="str">
        <f>IFERROR(VLOOKUP($M1549,Export!$P:$R,2,FALSE),"-")</f>
        <v>LEX Admin &amp; Other</v>
      </c>
      <c r="Q1549" s="79" t="str">
        <f>IFERROR(VLOOKUP($M1549,Export!$P:$R,3,FALSE),"-")</f>
        <v>LEX Admin &amp; OtherOther Overheads as % of Total Gross Profit</v>
      </c>
      <c r="R1549" s="80" t="e" cm="1">
        <f t="array" ref="R1549">_xlfn.IFS(P1549="Service", _xlfn.IFS(I1549="SALES","GP",I1549="SERVICE SALES","GP",I1549="PARTS SALES","GP",I1549="SERVICE COS","GP",I1549="PARTS COS","GP",I1549="SELLING EXPENSES","Selling Expenses",I1549="EMPLOYMENT EXPENSES","Selling Expenses",I1549="EMPLOYMENT EXPENSES","Selling Expenses",I1549="DIRECT EXPENSES","Selling Expenses",I1549="INDIRECT EXPENSES","Selling Expenses"),P1549="Parts",_xlfn.IFS(I1549="SALES","GP",I1549="SERVICE SALES","GP",I1549="PARTS SALES","GP",I1549="SERVICE COS","GP",I1549="PARTS COS","GP",I1549="SELLING EXPENSES","Selling Expenses",I1549="EMPLOYMENT EXPENSES","Selling Expenses",I1549="EMPLOYMENT EXPENSES","Selling Expenses",I1549="DIRECT EXPENSES","Selling Expenses",I1549="INDIRECT EXPENSES","Selling Expenses"))</f>
        <v>#N/A</v>
      </c>
    </row>
    <row r="1550" spans="1:18" x14ac:dyDescent="0.2">
      <c r="A1550" s="75">
        <v>7820</v>
      </c>
      <c r="B1550" s="76" t="s">
        <v>957</v>
      </c>
      <c r="C1550" s="76">
        <v>120</v>
      </c>
      <c r="D1550" s="76" t="s">
        <v>431</v>
      </c>
      <c r="E1550" s="76" t="s">
        <v>426</v>
      </c>
      <c r="F1550" s="77">
        <v>7022.42</v>
      </c>
      <c r="G1550" s="287">
        <v>543.37</v>
      </c>
      <c r="H1550" s="77">
        <v>7565.79</v>
      </c>
      <c r="I1550" s="76" t="s">
        <v>936</v>
      </c>
      <c r="J1550" s="77">
        <v>400</v>
      </c>
      <c r="K1550" s="78">
        <v>4580.5</v>
      </c>
      <c r="M1550" s="79" t="str">
        <f t="shared" si="74"/>
        <v>120-7820</v>
      </c>
      <c r="N1550" s="79" t="str">
        <f t="shared" si="72"/>
        <v/>
      </c>
      <c r="O1550" s="79" t="str">
        <f t="shared" si="73"/>
        <v>120</v>
      </c>
      <c r="P1550" s="79" t="str">
        <f>IFERROR(VLOOKUP($M1550,Export!$P:$R,2,FALSE),"-")</f>
        <v>Admin &amp; Other</v>
      </c>
      <c r="Q1550" s="79" t="str">
        <f>IFERROR(VLOOKUP($M1550,Export!$P:$R,3,FALSE),"-")</f>
        <v>Admin &amp; OtherOther Overheads as % of Total Gross Profit</v>
      </c>
      <c r="R1550" s="80" t="e" cm="1">
        <f t="array" ref="R1550">_xlfn.IFS(P1550="Service", _xlfn.IFS(I1550="SALES","GP",I1550="SERVICE SALES","GP",I1550="PARTS SALES","GP",I1550="SERVICE COS","GP",I1550="PARTS COS","GP",I1550="SELLING EXPENSES","Selling Expenses",I1550="EMPLOYMENT EXPENSES","Selling Expenses",I1550="EMPLOYMENT EXPENSES","Selling Expenses",I1550="DIRECT EXPENSES","Selling Expenses",I1550="INDIRECT EXPENSES","Selling Expenses"),P1550="Parts",_xlfn.IFS(I1550="SALES","GP",I1550="SERVICE SALES","GP",I1550="PARTS SALES","GP",I1550="SERVICE COS","GP",I1550="PARTS COS","GP",I1550="SELLING EXPENSES","Selling Expenses",I1550="EMPLOYMENT EXPENSES","Selling Expenses",I1550="EMPLOYMENT EXPENSES","Selling Expenses",I1550="DIRECT EXPENSES","Selling Expenses",I1550="INDIRECT EXPENSES","Selling Expenses"))</f>
        <v>#N/A</v>
      </c>
    </row>
    <row r="1551" spans="1:18" x14ac:dyDescent="0.2">
      <c r="A1551" s="75">
        <v>7820</v>
      </c>
      <c r="B1551" s="76" t="s">
        <v>957</v>
      </c>
      <c r="C1551" s="76">
        <v>121</v>
      </c>
      <c r="D1551" s="76" t="s">
        <v>449</v>
      </c>
      <c r="E1551" s="76" t="s">
        <v>426</v>
      </c>
      <c r="F1551" s="77">
        <v>2112.2600000000002</v>
      </c>
      <c r="G1551" s="287">
        <v>346.72</v>
      </c>
      <c r="H1551" s="77">
        <v>2458.98</v>
      </c>
      <c r="I1551" s="76" t="s">
        <v>936</v>
      </c>
      <c r="J1551" s="77">
        <v>200</v>
      </c>
      <c r="K1551" s="78">
        <v>3330.98</v>
      </c>
      <c r="M1551" s="79" t="str">
        <f t="shared" si="74"/>
        <v>121-7820</v>
      </c>
      <c r="N1551" s="79" t="str">
        <f t="shared" si="72"/>
        <v/>
      </c>
      <c r="O1551" s="79" t="str">
        <f t="shared" si="73"/>
        <v>121</v>
      </c>
      <c r="P1551" s="79" t="str">
        <f>IFERROR(VLOOKUP($M1551,Export!$P:$R,2,FALSE),"-")</f>
        <v>Admin &amp; Other</v>
      </c>
      <c r="Q1551" s="79" t="str">
        <f>IFERROR(VLOOKUP($M1551,Export!$P:$R,3,FALSE),"-")</f>
        <v>Admin &amp; OtherOther Overheads as % of Total Gross Profit</v>
      </c>
      <c r="R1551" s="80" t="e" cm="1">
        <f t="array" ref="R1551">_xlfn.IFS(P1551="Service", _xlfn.IFS(I1551="SALES","GP",I1551="SERVICE SALES","GP",I1551="PARTS SALES","GP",I1551="SERVICE COS","GP",I1551="PARTS COS","GP",I1551="SELLING EXPENSES","Selling Expenses",I1551="EMPLOYMENT EXPENSES","Selling Expenses",I1551="EMPLOYMENT EXPENSES","Selling Expenses",I1551="DIRECT EXPENSES","Selling Expenses",I1551="INDIRECT EXPENSES","Selling Expenses"),P1551="Parts",_xlfn.IFS(I1551="SALES","GP",I1551="SERVICE SALES","GP",I1551="PARTS SALES","GP",I1551="SERVICE COS","GP",I1551="PARTS COS","GP",I1551="SELLING EXPENSES","Selling Expenses",I1551="EMPLOYMENT EXPENSES","Selling Expenses",I1551="EMPLOYMENT EXPENSES","Selling Expenses",I1551="DIRECT EXPENSES","Selling Expenses",I1551="INDIRECT EXPENSES","Selling Expenses"))</f>
        <v>#N/A</v>
      </c>
    </row>
    <row r="1552" spans="1:18" x14ac:dyDescent="0.2">
      <c r="A1552" s="75">
        <v>7820</v>
      </c>
      <c r="B1552" s="76" t="s">
        <v>957</v>
      </c>
      <c r="C1552" s="76">
        <v>122</v>
      </c>
      <c r="D1552" s="76" t="s">
        <v>452</v>
      </c>
      <c r="E1552" s="76" t="s">
        <v>426</v>
      </c>
      <c r="F1552" s="77">
        <v>1371.99</v>
      </c>
      <c r="G1552" s="77">
        <v>126.92</v>
      </c>
      <c r="H1552" s="77">
        <v>1498.91</v>
      </c>
      <c r="I1552" s="76" t="s">
        <v>936</v>
      </c>
      <c r="J1552" s="77">
        <v>0</v>
      </c>
      <c r="K1552" s="78">
        <v>329.3</v>
      </c>
      <c r="M1552" s="79" t="str">
        <f t="shared" si="74"/>
        <v>122-7820</v>
      </c>
      <c r="N1552" s="79" t="str">
        <f t="shared" si="72"/>
        <v/>
      </c>
      <c r="O1552" s="79" t="str">
        <f t="shared" si="73"/>
        <v>122</v>
      </c>
      <c r="P1552" s="79" t="str">
        <f>IFERROR(VLOOKUP($M1552,Export!$P:$R,2,FALSE),"-")</f>
        <v>LEX Admin &amp; Other</v>
      </c>
      <c r="Q1552" s="79" t="str">
        <f>IFERROR(VLOOKUP($M1552,Export!$P:$R,3,FALSE),"-")</f>
        <v>LEX Admin &amp; OtherOther Overheads as % of Total Gross Profit</v>
      </c>
      <c r="R1552" s="80" t="e" cm="1">
        <f t="array" ref="R1552">_xlfn.IFS(P1552="Service", _xlfn.IFS(I1552="SALES","GP",I1552="SERVICE SALES","GP",I1552="PARTS SALES","GP",I1552="SERVICE COS","GP",I1552="PARTS COS","GP",I1552="SELLING EXPENSES","Selling Expenses",I1552="EMPLOYMENT EXPENSES","Selling Expenses",I1552="EMPLOYMENT EXPENSES","Selling Expenses",I1552="DIRECT EXPENSES","Selling Expenses",I1552="INDIRECT EXPENSES","Selling Expenses"),P1552="Parts",_xlfn.IFS(I1552="SALES","GP",I1552="SERVICE SALES","GP",I1552="PARTS SALES","GP",I1552="SERVICE COS","GP",I1552="PARTS COS","GP",I1552="SELLING EXPENSES","Selling Expenses",I1552="EMPLOYMENT EXPENSES","Selling Expenses",I1552="EMPLOYMENT EXPENSES","Selling Expenses",I1552="DIRECT EXPENSES","Selling Expenses",I1552="INDIRECT EXPENSES","Selling Expenses"))</f>
        <v>#N/A</v>
      </c>
    </row>
    <row r="1553" spans="1:18" x14ac:dyDescent="0.2">
      <c r="A1553" s="75">
        <v>7820</v>
      </c>
      <c r="B1553" s="76" t="s">
        <v>957</v>
      </c>
      <c r="C1553" s="76">
        <v>130</v>
      </c>
      <c r="D1553" s="76" t="s">
        <v>432</v>
      </c>
      <c r="E1553" s="76" t="s">
        <v>426</v>
      </c>
      <c r="F1553" s="77">
        <v>5321.57</v>
      </c>
      <c r="G1553" s="77">
        <v>487.76</v>
      </c>
      <c r="H1553" s="77">
        <v>5809.33</v>
      </c>
      <c r="I1553" s="76" t="s">
        <v>936</v>
      </c>
      <c r="J1553" s="77">
        <v>300</v>
      </c>
      <c r="K1553" s="78">
        <v>3640.37</v>
      </c>
      <c r="M1553" s="79" t="str">
        <f t="shared" si="74"/>
        <v>130-7820</v>
      </c>
      <c r="N1553" s="79" t="str">
        <f t="shared" si="72"/>
        <v/>
      </c>
      <c r="O1553" s="79" t="str">
        <f t="shared" si="73"/>
        <v>130</v>
      </c>
      <c r="P1553" s="79" t="str">
        <f>IFERROR(VLOOKUP($M1553,Export!$P:$R,2,FALSE),"-")</f>
        <v>Admin &amp; Other</v>
      </c>
      <c r="Q1553" s="79" t="str">
        <f>IFERROR(VLOOKUP($M1553,Export!$P:$R,3,FALSE),"-")</f>
        <v>Admin &amp; OtherOther Overheads as % of Total Gross Profit</v>
      </c>
      <c r="R1553" s="80" t="e" cm="1">
        <f t="array" ref="R1553">_xlfn.IFS(P1553="Service", _xlfn.IFS(I1553="SALES","GP",I1553="SERVICE SALES","GP",I1553="PARTS SALES","GP",I1553="SERVICE COS","GP",I1553="PARTS COS","GP",I1553="SELLING EXPENSES","Selling Expenses",I1553="EMPLOYMENT EXPENSES","Selling Expenses",I1553="EMPLOYMENT EXPENSES","Selling Expenses",I1553="DIRECT EXPENSES","Selling Expenses",I1553="INDIRECT EXPENSES","Selling Expenses"),P1553="Parts",_xlfn.IFS(I1553="SALES","GP",I1553="SERVICE SALES","GP",I1553="PARTS SALES","GP",I1553="SERVICE COS","GP",I1553="PARTS COS","GP",I1553="SELLING EXPENSES","Selling Expenses",I1553="EMPLOYMENT EXPENSES","Selling Expenses",I1553="EMPLOYMENT EXPENSES","Selling Expenses",I1553="DIRECT EXPENSES","Selling Expenses",I1553="INDIRECT EXPENSES","Selling Expenses"))</f>
        <v>#N/A</v>
      </c>
    </row>
    <row r="1554" spans="1:18" x14ac:dyDescent="0.2">
      <c r="A1554" s="75">
        <v>7820</v>
      </c>
      <c r="B1554" s="76" t="s">
        <v>957</v>
      </c>
      <c r="C1554" s="76">
        <v>132</v>
      </c>
      <c r="D1554" s="76" t="s">
        <v>453</v>
      </c>
      <c r="E1554" s="76" t="s">
        <v>426</v>
      </c>
      <c r="F1554" s="77">
        <v>1371.99</v>
      </c>
      <c r="G1554" s="77">
        <v>126.92</v>
      </c>
      <c r="H1554" s="77">
        <v>1498.91</v>
      </c>
      <c r="I1554" s="76" t="s">
        <v>936</v>
      </c>
      <c r="J1554" s="77">
        <v>0</v>
      </c>
      <c r="K1554" s="78">
        <v>329.3</v>
      </c>
      <c r="M1554" s="79" t="str">
        <f t="shared" si="74"/>
        <v>132-7820</v>
      </c>
      <c r="N1554" s="79" t="str">
        <f t="shared" si="72"/>
        <v/>
      </c>
      <c r="O1554" s="79" t="str">
        <f t="shared" si="73"/>
        <v>132</v>
      </c>
      <c r="P1554" s="79" t="str">
        <f>IFERROR(VLOOKUP($M1554,Export!$P:$R,2,FALSE),"-")</f>
        <v>LEX Admin &amp; Other</v>
      </c>
      <c r="Q1554" s="79" t="str">
        <f>IFERROR(VLOOKUP($M1554,Export!$P:$R,3,FALSE),"-")</f>
        <v>LEX Admin &amp; OtherOther Overheads as % of Total Gross Profit</v>
      </c>
      <c r="R1554" s="80" t="e" cm="1">
        <f t="array" ref="R1554">_xlfn.IFS(P1554="Service", _xlfn.IFS(I1554="SALES","GP",I1554="SERVICE SALES","GP",I1554="PARTS SALES","GP",I1554="SERVICE COS","GP",I1554="PARTS COS","GP",I1554="SELLING EXPENSES","Selling Expenses",I1554="EMPLOYMENT EXPENSES","Selling Expenses",I1554="EMPLOYMENT EXPENSES","Selling Expenses",I1554="DIRECT EXPENSES","Selling Expenses",I1554="INDIRECT EXPENSES","Selling Expenses"),P1554="Parts",_xlfn.IFS(I1554="SALES","GP",I1554="SERVICE SALES","GP",I1554="PARTS SALES","GP",I1554="SERVICE COS","GP",I1554="PARTS COS","GP",I1554="SELLING EXPENSES","Selling Expenses",I1554="EMPLOYMENT EXPENSES","Selling Expenses",I1554="EMPLOYMENT EXPENSES","Selling Expenses",I1554="DIRECT EXPENSES","Selling Expenses",I1554="INDIRECT EXPENSES","Selling Expenses"))</f>
        <v>#N/A</v>
      </c>
    </row>
    <row r="1555" spans="1:18" x14ac:dyDescent="0.2">
      <c r="A1555" s="75">
        <v>7820</v>
      </c>
      <c r="B1555" s="76" t="s">
        <v>957</v>
      </c>
      <c r="C1555" s="76">
        <v>140</v>
      </c>
      <c r="D1555" s="76" t="s">
        <v>433</v>
      </c>
      <c r="E1555" s="76" t="s">
        <v>426</v>
      </c>
      <c r="F1555" s="77">
        <v>8330.31</v>
      </c>
      <c r="G1555" s="77">
        <v>822.25</v>
      </c>
      <c r="H1555" s="77">
        <v>9152.56</v>
      </c>
      <c r="I1555" s="76" t="s">
        <v>936</v>
      </c>
      <c r="J1555" s="77">
        <v>1000</v>
      </c>
      <c r="K1555" s="78">
        <v>10183.120000000001</v>
      </c>
      <c r="M1555" s="79" t="str">
        <f t="shared" si="74"/>
        <v>140-7820</v>
      </c>
      <c r="N1555" s="79" t="str">
        <f t="shared" si="72"/>
        <v/>
      </c>
      <c r="O1555" s="79" t="str">
        <f t="shared" si="73"/>
        <v>140</v>
      </c>
      <c r="P1555" s="79" t="str">
        <f>IFERROR(VLOOKUP($M1555,Export!$P:$R,2,FALSE),"-")</f>
        <v>Admin &amp; Other</v>
      </c>
      <c r="Q1555" s="79" t="str">
        <f>IFERROR(VLOOKUP($M1555,Export!$P:$R,3,FALSE),"-")</f>
        <v>Admin &amp; OtherOther Overheads as % of Total Gross Profit</v>
      </c>
      <c r="R1555" s="80" t="e" cm="1">
        <f t="array" ref="R1555">_xlfn.IFS(P1555="Service", _xlfn.IFS(I1555="SALES","GP",I1555="SERVICE SALES","GP",I1555="PARTS SALES","GP",I1555="SERVICE COS","GP",I1555="PARTS COS","GP",I1555="SELLING EXPENSES","Selling Expenses",I1555="EMPLOYMENT EXPENSES","Selling Expenses",I1555="EMPLOYMENT EXPENSES","Selling Expenses",I1555="DIRECT EXPENSES","Selling Expenses",I1555="INDIRECT EXPENSES","Selling Expenses"),P1555="Parts",_xlfn.IFS(I1555="SALES","GP",I1555="SERVICE SALES","GP",I1555="PARTS SALES","GP",I1555="SERVICE COS","GP",I1555="PARTS COS","GP",I1555="SELLING EXPENSES","Selling Expenses",I1555="EMPLOYMENT EXPENSES","Selling Expenses",I1555="EMPLOYMENT EXPENSES","Selling Expenses",I1555="DIRECT EXPENSES","Selling Expenses",I1555="INDIRECT EXPENSES","Selling Expenses"))</f>
        <v>#N/A</v>
      </c>
    </row>
    <row r="1556" spans="1:18" x14ac:dyDescent="0.2">
      <c r="A1556" s="75">
        <v>7820</v>
      </c>
      <c r="B1556" s="76" t="s">
        <v>957</v>
      </c>
      <c r="C1556" s="76">
        <v>142</v>
      </c>
      <c r="D1556" s="76" t="s">
        <v>454</v>
      </c>
      <c r="E1556" s="76" t="s">
        <v>426</v>
      </c>
      <c r="F1556" s="77">
        <v>247.05</v>
      </c>
      <c r="G1556" s="77">
        <v>0</v>
      </c>
      <c r="H1556" s="77">
        <v>247.05</v>
      </c>
      <c r="I1556" s="76" t="s">
        <v>936</v>
      </c>
      <c r="J1556" s="77">
        <v>0</v>
      </c>
      <c r="K1556" s="78">
        <v>0</v>
      </c>
      <c r="M1556" s="79" t="str">
        <f t="shared" si="74"/>
        <v>142-7820</v>
      </c>
      <c r="N1556" s="79" t="str">
        <f t="shared" si="72"/>
        <v/>
      </c>
      <c r="O1556" s="79" t="str">
        <f t="shared" si="73"/>
        <v>142</v>
      </c>
      <c r="P1556" s="79" t="str">
        <f>IFERROR(VLOOKUP($M1556,Export!$P:$R,2,FALSE),"-")</f>
        <v>LEX Admin &amp; Other</v>
      </c>
      <c r="Q1556" s="79" t="str">
        <f>IFERROR(VLOOKUP($M1556,Export!$P:$R,3,FALSE),"-")</f>
        <v>LEX Admin &amp; OtherOther Overheads as % of Total Gross Profit</v>
      </c>
      <c r="R1556" s="80" t="e" cm="1">
        <f t="array" ref="R1556">_xlfn.IFS(P1556="Service", _xlfn.IFS(I1556="SALES","GP",I1556="SERVICE SALES","GP",I1556="PARTS SALES","GP",I1556="SERVICE COS","GP",I1556="PARTS COS","GP",I1556="SELLING EXPENSES","Selling Expenses",I1556="EMPLOYMENT EXPENSES","Selling Expenses",I1556="EMPLOYMENT EXPENSES","Selling Expenses",I1556="DIRECT EXPENSES","Selling Expenses",I1556="INDIRECT EXPENSES","Selling Expenses"),P1556="Parts",_xlfn.IFS(I1556="SALES","GP",I1556="SERVICE SALES","GP",I1556="PARTS SALES","GP",I1556="SERVICE COS","GP",I1556="PARTS COS","GP",I1556="SELLING EXPENSES","Selling Expenses",I1556="EMPLOYMENT EXPENSES","Selling Expenses",I1556="EMPLOYMENT EXPENSES","Selling Expenses",I1556="DIRECT EXPENSES","Selling Expenses",I1556="INDIRECT EXPENSES","Selling Expenses"))</f>
        <v>#N/A</v>
      </c>
    </row>
    <row r="1557" spans="1:18" x14ac:dyDescent="0.2">
      <c r="A1557" s="75">
        <v>7820</v>
      </c>
      <c r="B1557" s="76" t="s">
        <v>957</v>
      </c>
      <c r="C1557" s="76">
        <v>147</v>
      </c>
      <c r="D1557" s="76" t="s">
        <v>699</v>
      </c>
      <c r="E1557" s="76" t="s">
        <v>426</v>
      </c>
      <c r="F1557" s="77">
        <v>598.11</v>
      </c>
      <c r="G1557" s="77">
        <v>0</v>
      </c>
      <c r="H1557" s="77">
        <v>598.11</v>
      </c>
      <c r="I1557" s="76" t="s">
        <v>936</v>
      </c>
      <c r="J1557" s="77">
        <v>200</v>
      </c>
      <c r="K1557" s="78">
        <v>2228.89</v>
      </c>
      <c r="M1557" s="79" t="str">
        <f t="shared" si="74"/>
        <v>147-7820</v>
      </c>
      <c r="N1557" s="79" t="str">
        <f t="shared" si="72"/>
        <v/>
      </c>
      <c r="O1557" s="79" t="str">
        <f t="shared" si="73"/>
        <v>147</v>
      </c>
      <c r="P1557" s="79" t="str">
        <f>IFERROR(VLOOKUP($M1557,Export!$P:$R,2,FALSE),"-")</f>
        <v>Admin &amp; Other</v>
      </c>
      <c r="Q1557" s="79" t="str">
        <f>IFERROR(VLOOKUP($M1557,Export!$P:$R,3,FALSE),"-")</f>
        <v>Admin &amp; OtherOther Overheads as % of Total Gross Profit</v>
      </c>
      <c r="R1557" s="80" t="e" cm="1">
        <f t="array" ref="R1557">_xlfn.IFS(P1557="Service", _xlfn.IFS(I1557="SALES","GP",I1557="SERVICE SALES","GP",I1557="PARTS SALES","GP",I1557="SERVICE COS","GP",I1557="PARTS COS","GP",I1557="SELLING EXPENSES","Selling Expenses",I1557="EMPLOYMENT EXPENSES","Selling Expenses",I1557="EMPLOYMENT EXPENSES","Selling Expenses",I1557="DIRECT EXPENSES","Selling Expenses",I1557="INDIRECT EXPENSES","Selling Expenses"),P1557="Parts",_xlfn.IFS(I1557="SALES","GP",I1557="SERVICE SALES","GP",I1557="PARTS SALES","GP",I1557="SERVICE COS","GP",I1557="PARTS COS","GP",I1557="SELLING EXPENSES","Selling Expenses",I1557="EMPLOYMENT EXPENSES","Selling Expenses",I1557="EMPLOYMENT EXPENSES","Selling Expenses",I1557="DIRECT EXPENSES","Selling Expenses",I1557="INDIRECT EXPENSES","Selling Expenses"))</f>
        <v>#N/A</v>
      </c>
    </row>
    <row r="1558" spans="1:18" x14ac:dyDescent="0.2">
      <c r="A1558" s="75">
        <v>7820</v>
      </c>
      <c r="B1558" s="76" t="s">
        <v>957</v>
      </c>
      <c r="C1558" s="76">
        <v>150</v>
      </c>
      <c r="D1558" s="76" t="s">
        <v>700</v>
      </c>
      <c r="E1558" s="76" t="s">
        <v>426</v>
      </c>
      <c r="F1558" s="77">
        <v>1474.95</v>
      </c>
      <c r="G1558" s="77">
        <v>243.73</v>
      </c>
      <c r="H1558" s="77">
        <v>1718.68</v>
      </c>
      <c r="I1558" s="76" t="s">
        <v>936</v>
      </c>
      <c r="J1558" s="77">
        <v>0</v>
      </c>
      <c r="K1558" s="78">
        <v>0</v>
      </c>
      <c r="M1558" s="79" t="str">
        <f t="shared" si="74"/>
        <v>150-7820</v>
      </c>
      <c r="N1558" s="79" t="str">
        <f t="shared" si="72"/>
        <v/>
      </c>
      <c r="O1558" s="79" t="str">
        <f t="shared" si="73"/>
        <v>150</v>
      </c>
      <c r="P1558" s="79" t="str">
        <f>IFERROR(VLOOKUP($M1558,Export!$P:$R,2,FALSE),"-")</f>
        <v>LEX Admin &amp; Other</v>
      </c>
      <c r="Q1558" s="79" t="str">
        <f>IFERROR(VLOOKUP($M1558,Export!$P:$R,3,FALSE),"-")</f>
        <v>LEX Admin &amp; OtherOther Overheads as % of Total Gross Profit</v>
      </c>
      <c r="R1558" s="80" t="e" cm="1">
        <f t="array" ref="R1558">_xlfn.IFS(P1558="Service", _xlfn.IFS(I1558="SALES","GP",I1558="SERVICE SALES","GP",I1558="PARTS SALES","GP",I1558="SERVICE COS","GP",I1558="PARTS COS","GP",I1558="SELLING EXPENSES","Selling Expenses",I1558="EMPLOYMENT EXPENSES","Selling Expenses",I1558="EMPLOYMENT EXPENSES","Selling Expenses",I1558="DIRECT EXPENSES","Selling Expenses",I1558="INDIRECT EXPENSES","Selling Expenses"),P1558="Parts",_xlfn.IFS(I1558="SALES","GP",I1558="SERVICE SALES","GP",I1558="PARTS SALES","GP",I1558="SERVICE COS","GP",I1558="PARTS COS","GP",I1558="SELLING EXPENSES","Selling Expenses",I1558="EMPLOYMENT EXPENSES","Selling Expenses",I1558="EMPLOYMENT EXPENSES","Selling Expenses",I1558="DIRECT EXPENSES","Selling Expenses",I1558="INDIRECT EXPENSES","Selling Expenses"))</f>
        <v>#N/A</v>
      </c>
    </row>
    <row r="1559" spans="1:18" x14ac:dyDescent="0.2">
      <c r="A1559" s="75">
        <v>7820</v>
      </c>
      <c r="B1559" s="76" t="s">
        <v>957</v>
      </c>
      <c r="C1559" s="76">
        <v>160</v>
      </c>
      <c r="D1559" s="76" t="s">
        <v>434</v>
      </c>
      <c r="E1559" s="76" t="s">
        <v>426</v>
      </c>
      <c r="F1559" s="77">
        <v>2306.14</v>
      </c>
      <c r="G1559" s="77">
        <v>206.82</v>
      </c>
      <c r="H1559" s="77">
        <v>2512.96</v>
      </c>
      <c r="I1559" s="76" t="s">
        <v>936</v>
      </c>
      <c r="J1559" s="77">
        <v>200</v>
      </c>
      <c r="K1559" s="78">
        <v>2244.37</v>
      </c>
      <c r="M1559" s="79" t="str">
        <f t="shared" si="74"/>
        <v>160-7820</v>
      </c>
      <c r="N1559" s="79" t="str">
        <f t="shared" si="72"/>
        <v/>
      </c>
      <c r="O1559" s="79" t="str">
        <f t="shared" si="73"/>
        <v>160</v>
      </c>
      <c r="P1559" s="79" t="str">
        <f>IFERROR(VLOOKUP($M1559,Export!$P:$R,2,FALSE),"-")</f>
        <v>Admin &amp; Other</v>
      </c>
      <c r="Q1559" s="79" t="str">
        <f>IFERROR(VLOOKUP($M1559,Export!$P:$R,3,FALSE),"-")</f>
        <v>Admin &amp; OtherOther Overheads as % of Total Gross Profit</v>
      </c>
      <c r="R1559" s="80" t="e" cm="1">
        <f t="array" ref="R1559">_xlfn.IFS(P1559="Service", _xlfn.IFS(I1559="SALES","GP",I1559="SERVICE SALES","GP",I1559="PARTS SALES","GP",I1559="SERVICE COS","GP",I1559="PARTS COS","GP",I1559="SELLING EXPENSES","Selling Expenses",I1559="EMPLOYMENT EXPENSES","Selling Expenses",I1559="EMPLOYMENT EXPENSES","Selling Expenses",I1559="DIRECT EXPENSES","Selling Expenses",I1559="INDIRECT EXPENSES","Selling Expenses"),P1559="Parts",_xlfn.IFS(I1559="SALES","GP",I1559="SERVICE SALES","GP",I1559="PARTS SALES","GP",I1559="SERVICE COS","GP",I1559="PARTS COS","GP",I1559="SELLING EXPENSES","Selling Expenses",I1559="EMPLOYMENT EXPENSES","Selling Expenses",I1559="EMPLOYMENT EXPENSES","Selling Expenses",I1559="DIRECT EXPENSES","Selling Expenses",I1559="INDIRECT EXPENSES","Selling Expenses"))</f>
        <v>#N/A</v>
      </c>
    </row>
    <row r="1560" spans="1:18" x14ac:dyDescent="0.2">
      <c r="A1560" s="75">
        <v>7820</v>
      </c>
      <c r="B1560" s="76" t="s">
        <v>957</v>
      </c>
      <c r="C1560" s="76">
        <v>162</v>
      </c>
      <c r="D1560" s="76" t="s">
        <v>455</v>
      </c>
      <c r="E1560" s="76" t="s">
        <v>426</v>
      </c>
      <c r="F1560" s="77">
        <v>1371.99</v>
      </c>
      <c r="G1560" s="77">
        <v>126.92</v>
      </c>
      <c r="H1560" s="77">
        <v>1498.91</v>
      </c>
      <c r="I1560" s="76" t="s">
        <v>936</v>
      </c>
      <c r="J1560" s="77">
        <v>0</v>
      </c>
      <c r="K1560" s="78">
        <v>329.3</v>
      </c>
      <c r="M1560" s="79" t="str">
        <f t="shared" si="74"/>
        <v>162-7820</v>
      </c>
      <c r="N1560" s="79" t="str">
        <f t="shared" si="72"/>
        <v/>
      </c>
      <c r="O1560" s="79" t="str">
        <f t="shared" si="73"/>
        <v>162</v>
      </c>
      <c r="P1560" s="79" t="str">
        <f>IFERROR(VLOOKUP($M1560,Export!$P:$R,2,FALSE),"-")</f>
        <v>LEX Admin &amp; Other</v>
      </c>
      <c r="Q1560" s="79" t="str">
        <f>IFERROR(VLOOKUP($M1560,Export!$P:$R,3,FALSE),"-")</f>
        <v>LEX Admin &amp; OtherOther Overheads as % of Total Gross Profit</v>
      </c>
      <c r="R1560" s="80" t="e" cm="1">
        <f t="array" ref="R1560">_xlfn.IFS(P1560="Service", _xlfn.IFS(I1560="SALES","GP",I1560="SERVICE SALES","GP",I1560="PARTS SALES","GP",I1560="SERVICE COS","GP",I1560="PARTS COS","GP",I1560="SELLING EXPENSES","Selling Expenses",I1560="EMPLOYMENT EXPENSES","Selling Expenses",I1560="EMPLOYMENT EXPENSES","Selling Expenses",I1560="DIRECT EXPENSES","Selling Expenses",I1560="INDIRECT EXPENSES","Selling Expenses"),P1560="Parts",_xlfn.IFS(I1560="SALES","GP",I1560="SERVICE SALES","GP",I1560="PARTS SALES","GP",I1560="SERVICE COS","GP",I1560="PARTS COS","GP",I1560="SELLING EXPENSES","Selling Expenses",I1560="EMPLOYMENT EXPENSES","Selling Expenses",I1560="EMPLOYMENT EXPENSES","Selling Expenses",I1560="DIRECT EXPENSES","Selling Expenses",I1560="INDIRECT EXPENSES","Selling Expenses"))</f>
        <v>#N/A</v>
      </c>
    </row>
    <row r="1561" spans="1:18" x14ac:dyDescent="0.2">
      <c r="A1561" s="75">
        <v>7820</v>
      </c>
      <c r="B1561" s="76" t="s">
        <v>957</v>
      </c>
      <c r="C1561" s="76">
        <v>210</v>
      </c>
      <c r="D1561" s="76" t="s">
        <v>436</v>
      </c>
      <c r="E1561" s="76" t="s">
        <v>426</v>
      </c>
      <c r="F1561" s="77">
        <v>2527.62</v>
      </c>
      <c r="G1561" s="77">
        <v>312.54000000000002</v>
      </c>
      <c r="H1561" s="77">
        <v>2840.16</v>
      </c>
      <c r="I1561" s="76" t="s">
        <v>936</v>
      </c>
      <c r="J1561" s="77">
        <v>200</v>
      </c>
      <c r="K1561" s="78">
        <v>3005.23</v>
      </c>
      <c r="M1561" s="79" t="str">
        <f t="shared" si="74"/>
        <v>210-7820</v>
      </c>
      <c r="N1561" s="79" t="str">
        <f t="shared" si="72"/>
        <v/>
      </c>
      <c r="O1561" s="79" t="str">
        <f t="shared" si="73"/>
        <v>210</v>
      </c>
      <c r="P1561" s="79" t="str">
        <f>IFERROR(VLOOKUP($M1561,Export!$P:$R,2,FALSE),"-")</f>
        <v>Admin &amp; Other</v>
      </c>
      <c r="Q1561" s="79" t="str">
        <f>IFERROR(VLOOKUP($M1561,Export!$P:$R,3,FALSE),"-")</f>
        <v>Admin &amp; OtherOther Overheads as % of Total Gross Profit</v>
      </c>
      <c r="R1561" s="80" t="e" cm="1">
        <f t="array" ref="R1561">_xlfn.IFS(P1561="Service", _xlfn.IFS(I1561="SALES","GP",I1561="SERVICE SALES","GP",I1561="PARTS SALES","GP",I1561="SERVICE COS","GP",I1561="PARTS COS","GP",I1561="SELLING EXPENSES","Selling Expenses",I1561="EMPLOYMENT EXPENSES","Selling Expenses",I1561="EMPLOYMENT EXPENSES","Selling Expenses",I1561="DIRECT EXPENSES","Selling Expenses",I1561="INDIRECT EXPENSES","Selling Expenses"),P1561="Parts",_xlfn.IFS(I1561="SALES","GP",I1561="SERVICE SALES","GP",I1561="PARTS SALES","GP",I1561="SERVICE COS","GP",I1561="PARTS COS","GP",I1561="SELLING EXPENSES","Selling Expenses",I1561="EMPLOYMENT EXPENSES","Selling Expenses",I1561="EMPLOYMENT EXPENSES","Selling Expenses",I1561="DIRECT EXPENSES","Selling Expenses",I1561="INDIRECT EXPENSES","Selling Expenses"))</f>
        <v>#N/A</v>
      </c>
    </row>
    <row r="1562" spans="1:18" x14ac:dyDescent="0.2">
      <c r="A1562" s="75">
        <v>7820</v>
      </c>
      <c r="B1562" s="76" t="s">
        <v>957</v>
      </c>
      <c r="C1562" s="76">
        <v>220</v>
      </c>
      <c r="D1562" s="76" t="s">
        <v>437</v>
      </c>
      <c r="E1562" s="76" t="s">
        <v>426</v>
      </c>
      <c r="F1562" s="77">
        <v>2635.05</v>
      </c>
      <c r="G1562" s="77">
        <v>330.68</v>
      </c>
      <c r="H1562" s="77">
        <v>2965.73</v>
      </c>
      <c r="I1562" s="76" t="s">
        <v>936</v>
      </c>
      <c r="J1562" s="77">
        <v>300</v>
      </c>
      <c r="K1562" s="78">
        <v>3648.25</v>
      </c>
      <c r="M1562" s="79" t="str">
        <f t="shared" si="74"/>
        <v>220-7820</v>
      </c>
      <c r="N1562" s="79" t="str">
        <f t="shared" si="72"/>
        <v/>
      </c>
      <c r="O1562" s="79" t="str">
        <f t="shared" si="73"/>
        <v>220</v>
      </c>
      <c r="P1562" s="79" t="str">
        <f>IFERROR(VLOOKUP($M1562,Export!$P:$R,2,FALSE),"-")</f>
        <v>Admin &amp; Other</v>
      </c>
      <c r="Q1562" s="79" t="str">
        <f>IFERROR(VLOOKUP($M1562,Export!$P:$R,3,FALSE),"-")</f>
        <v>Admin &amp; OtherOther Overheads as % of Total Gross Profit</v>
      </c>
      <c r="R1562" s="80" t="e" cm="1">
        <f t="array" ref="R1562">_xlfn.IFS(P1562="Service", _xlfn.IFS(I1562="SALES","GP",I1562="SERVICE SALES","GP",I1562="PARTS SALES","GP",I1562="SERVICE COS","GP",I1562="PARTS COS","GP",I1562="SELLING EXPENSES","Selling Expenses",I1562="EMPLOYMENT EXPENSES","Selling Expenses",I1562="EMPLOYMENT EXPENSES","Selling Expenses",I1562="DIRECT EXPENSES","Selling Expenses",I1562="INDIRECT EXPENSES","Selling Expenses"),P1562="Parts",_xlfn.IFS(I1562="SALES","GP",I1562="SERVICE SALES","GP",I1562="PARTS SALES","GP",I1562="SERVICE COS","GP",I1562="PARTS COS","GP",I1562="SELLING EXPENSES","Selling Expenses",I1562="EMPLOYMENT EXPENSES","Selling Expenses",I1562="EMPLOYMENT EXPENSES","Selling Expenses",I1562="DIRECT EXPENSES","Selling Expenses",I1562="INDIRECT EXPENSES","Selling Expenses"))</f>
        <v>#N/A</v>
      </c>
    </row>
    <row r="1563" spans="1:18" x14ac:dyDescent="0.2">
      <c r="A1563" s="75">
        <v>7820</v>
      </c>
      <c r="B1563" s="76" t="s">
        <v>957</v>
      </c>
      <c r="C1563" s="76">
        <v>230</v>
      </c>
      <c r="D1563" s="76" t="s">
        <v>438</v>
      </c>
      <c r="E1563" s="76" t="s">
        <v>426</v>
      </c>
      <c r="F1563" s="77">
        <v>2524.35</v>
      </c>
      <c r="G1563" s="77">
        <v>312</v>
      </c>
      <c r="H1563" s="77">
        <v>2836.35</v>
      </c>
      <c r="I1563" s="76" t="s">
        <v>936</v>
      </c>
      <c r="J1563" s="77">
        <v>300</v>
      </c>
      <c r="K1563" s="78">
        <v>3603.94</v>
      </c>
      <c r="M1563" s="79" t="str">
        <f t="shared" si="74"/>
        <v>230-7820</v>
      </c>
      <c r="N1563" s="79" t="str">
        <f t="shared" si="72"/>
        <v/>
      </c>
      <c r="O1563" s="79" t="str">
        <f t="shared" si="73"/>
        <v>230</v>
      </c>
      <c r="P1563" s="79" t="str">
        <f>IFERROR(VLOOKUP($M1563,Export!$P:$R,2,FALSE),"-")</f>
        <v>Admin &amp; Other</v>
      </c>
      <c r="Q1563" s="79" t="str">
        <f>IFERROR(VLOOKUP($M1563,Export!$P:$R,3,FALSE),"-")</f>
        <v>Admin &amp; OtherOther Overheads as % of Total Gross Profit</v>
      </c>
      <c r="R1563" s="80" t="e" cm="1">
        <f t="array" ref="R1563">_xlfn.IFS(P1563="Service", _xlfn.IFS(I1563="SALES","GP",I1563="SERVICE SALES","GP",I1563="PARTS SALES","GP",I1563="SERVICE COS","GP",I1563="PARTS COS","GP",I1563="SELLING EXPENSES","Selling Expenses",I1563="EMPLOYMENT EXPENSES","Selling Expenses",I1563="EMPLOYMENT EXPENSES","Selling Expenses",I1563="DIRECT EXPENSES","Selling Expenses",I1563="INDIRECT EXPENSES","Selling Expenses"),P1563="Parts",_xlfn.IFS(I1563="SALES","GP",I1563="SERVICE SALES","GP",I1563="PARTS SALES","GP",I1563="SERVICE COS","GP",I1563="PARTS COS","GP",I1563="SELLING EXPENSES","Selling Expenses",I1563="EMPLOYMENT EXPENSES","Selling Expenses",I1563="EMPLOYMENT EXPENSES","Selling Expenses",I1563="DIRECT EXPENSES","Selling Expenses",I1563="INDIRECT EXPENSES","Selling Expenses"))</f>
        <v>#N/A</v>
      </c>
    </row>
    <row r="1564" spans="1:18" x14ac:dyDescent="0.2">
      <c r="A1564" s="75">
        <v>7820</v>
      </c>
      <c r="B1564" s="76" t="s">
        <v>957</v>
      </c>
      <c r="C1564" s="76">
        <v>240</v>
      </c>
      <c r="D1564" s="76" t="s">
        <v>439</v>
      </c>
      <c r="E1564" s="76" t="s">
        <v>426</v>
      </c>
      <c r="F1564" s="77">
        <v>3104.48</v>
      </c>
      <c r="G1564" s="77">
        <v>375.93</v>
      </c>
      <c r="H1564" s="77">
        <v>3480.41</v>
      </c>
      <c r="I1564" s="76" t="s">
        <v>936</v>
      </c>
      <c r="J1564" s="77">
        <v>400</v>
      </c>
      <c r="K1564" s="78">
        <v>4458.83</v>
      </c>
      <c r="M1564" s="79" t="str">
        <f t="shared" si="74"/>
        <v>240-7820</v>
      </c>
      <c r="N1564" s="79" t="str">
        <f t="shared" si="72"/>
        <v/>
      </c>
      <c r="O1564" s="79" t="str">
        <f t="shared" si="73"/>
        <v>240</v>
      </c>
      <c r="P1564" s="79" t="str">
        <f>IFERROR(VLOOKUP($M1564,Export!$P:$R,2,FALSE),"-")</f>
        <v>Admin &amp; Other</v>
      </c>
      <c r="Q1564" s="79" t="str">
        <f>IFERROR(VLOOKUP($M1564,Export!$P:$R,3,FALSE),"-")</f>
        <v>Admin &amp; OtherOther Overheads as % of Total Gross Profit</v>
      </c>
      <c r="R1564" s="80" t="e" cm="1">
        <f t="array" ref="R1564">_xlfn.IFS(P1564="Service", _xlfn.IFS(I1564="SALES","GP",I1564="SERVICE SALES","GP",I1564="PARTS SALES","GP",I1564="SERVICE COS","GP",I1564="PARTS COS","GP",I1564="SELLING EXPENSES","Selling Expenses",I1564="EMPLOYMENT EXPENSES","Selling Expenses",I1564="EMPLOYMENT EXPENSES","Selling Expenses",I1564="DIRECT EXPENSES","Selling Expenses",I1564="INDIRECT EXPENSES","Selling Expenses"),P1564="Parts",_xlfn.IFS(I1564="SALES","GP",I1564="SERVICE SALES","GP",I1564="PARTS SALES","GP",I1564="SERVICE COS","GP",I1564="PARTS COS","GP",I1564="SELLING EXPENSES","Selling Expenses",I1564="EMPLOYMENT EXPENSES","Selling Expenses",I1564="EMPLOYMENT EXPENSES","Selling Expenses",I1564="DIRECT EXPENSES","Selling Expenses",I1564="INDIRECT EXPENSES","Selling Expenses"))</f>
        <v>#N/A</v>
      </c>
    </row>
    <row r="1565" spans="1:18" x14ac:dyDescent="0.2">
      <c r="A1565" s="75">
        <v>7820</v>
      </c>
      <c r="B1565" s="76" t="s">
        <v>957</v>
      </c>
      <c r="C1565" s="76">
        <v>330</v>
      </c>
      <c r="D1565" s="76" t="s">
        <v>457</v>
      </c>
      <c r="E1565" s="76" t="s">
        <v>426</v>
      </c>
      <c r="F1565" s="77">
        <v>922.56</v>
      </c>
      <c r="G1565" s="77">
        <v>0</v>
      </c>
      <c r="H1565" s="77">
        <v>922.56</v>
      </c>
      <c r="I1565" s="76" t="s">
        <v>936</v>
      </c>
      <c r="J1565" s="77">
        <v>0</v>
      </c>
      <c r="K1565" s="78">
        <v>0</v>
      </c>
      <c r="M1565" s="79" t="str">
        <f t="shared" si="74"/>
        <v>330-7820</v>
      </c>
      <c r="N1565" s="79" t="str">
        <f t="shared" si="72"/>
        <v/>
      </c>
      <c r="O1565" s="79" t="str">
        <f t="shared" si="73"/>
        <v>330</v>
      </c>
      <c r="P1565" s="79" t="str">
        <f>IFERROR(VLOOKUP($M1565,Export!$P:$R,2,FALSE),"-")</f>
        <v>Admin &amp; Other</v>
      </c>
      <c r="Q1565" s="79" t="str">
        <f>IFERROR(VLOOKUP($M1565,Export!$P:$R,3,FALSE),"-")</f>
        <v>Admin &amp; OtherOther Overheads as % of Total Gross Profit</v>
      </c>
      <c r="R1565" s="80" t="e" cm="1">
        <f t="array" ref="R1565">_xlfn.IFS(P1565="Service", _xlfn.IFS(I1565="SALES","GP",I1565="SERVICE SALES","GP",I1565="PARTS SALES","GP",I1565="SERVICE COS","GP",I1565="PARTS COS","GP",I1565="SELLING EXPENSES","Selling Expenses",I1565="EMPLOYMENT EXPENSES","Selling Expenses",I1565="EMPLOYMENT EXPENSES","Selling Expenses",I1565="DIRECT EXPENSES","Selling Expenses",I1565="INDIRECT EXPENSES","Selling Expenses"),P1565="Parts",_xlfn.IFS(I1565="SALES","GP",I1565="SERVICE SALES","GP",I1565="PARTS SALES","GP",I1565="SERVICE COS","GP",I1565="PARTS COS","GP",I1565="SELLING EXPENSES","Selling Expenses",I1565="EMPLOYMENT EXPENSES","Selling Expenses",I1565="EMPLOYMENT EXPENSES","Selling Expenses",I1565="DIRECT EXPENSES","Selling Expenses",I1565="INDIRECT EXPENSES","Selling Expenses"))</f>
        <v>#N/A</v>
      </c>
    </row>
    <row r="1566" spans="1:18" x14ac:dyDescent="0.2">
      <c r="A1566" s="75">
        <v>7820</v>
      </c>
      <c r="B1566" s="76" t="s">
        <v>957</v>
      </c>
      <c r="C1566" s="76">
        <v>340</v>
      </c>
      <c r="D1566" s="76" t="s">
        <v>440</v>
      </c>
      <c r="E1566" s="76" t="s">
        <v>426</v>
      </c>
      <c r="F1566" s="77">
        <v>2461.2199999999998</v>
      </c>
      <c r="G1566" s="77">
        <v>285.37</v>
      </c>
      <c r="H1566" s="77">
        <v>2746.59</v>
      </c>
      <c r="I1566" s="76" t="s">
        <v>936</v>
      </c>
      <c r="J1566" s="77">
        <v>400</v>
      </c>
      <c r="K1566" s="78">
        <v>3856.32</v>
      </c>
      <c r="M1566" s="79" t="str">
        <f t="shared" si="74"/>
        <v>340-7820</v>
      </c>
      <c r="N1566" s="79" t="str">
        <f t="shared" si="72"/>
        <v/>
      </c>
      <c r="O1566" s="79" t="str">
        <f t="shared" si="73"/>
        <v>340</v>
      </c>
      <c r="P1566" s="79" t="str">
        <f>IFERROR(VLOOKUP($M1566,Export!$P:$R,2,FALSE),"-")</f>
        <v>Admin &amp; Other</v>
      </c>
      <c r="Q1566" s="79" t="str">
        <f>IFERROR(VLOOKUP($M1566,Export!$P:$R,3,FALSE),"-")</f>
        <v>Admin &amp; OtherOther Overheads as % of Total Gross Profit</v>
      </c>
      <c r="R1566" s="80" t="e" cm="1">
        <f t="array" ref="R1566">_xlfn.IFS(P1566="Service", _xlfn.IFS(I1566="SALES","GP",I1566="SERVICE SALES","GP",I1566="PARTS SALES","GP",I1566="SERVICE COS","GP",I1566="PARTS COS","GP",I1566="SELLING EXPENSES","Selling Expenses",I1566="EMPLOYMENT EXPENSES","Selling Expenses",I1566="EMPLOYMENT EXPENSES","Selling Expenses",I1566="DIRECT EXPENSES","Selling Expenses",I1566="INDIRECT EXPENSES","Selling Expenses"),P1566="Parts",_xlfn.IFS(I1566="SALES","GP",I1566="SERVICE SALES","GP",I1566="PARTS SALES","GP",I1566="SERVICE COS","GP",I1566="PARTS COS","GP",I1566="SELLING EXPENSES","Selling Expenses",I1566="EMPLOYMENT EXPENSES","Selling Expenses",I1566="EMPLOYMENT EXPENSES","Selling Expenses",I1566="DIRECT EXPENSES","Selling Expenses",I1566="INDIRECT EXPENSES","Selling Expenses"))</f>
        <v>#N/A</v>
      </c>
    </row>
    <row r="1567" spans="1:18" x14ac:dyDescent="0.2">
      <c r="A1567" s="75">
        <v>7820</v>
      </c>
      <c r="B1567" s="76" t="s">
        <v>957</v>
      </c>
      <c r="C1567" s="76">
        <v>430</v>
      </c>
      <c r="D1567" s="76" t="s">
        <v>458</v>
      </c>
      <c r="E1567" s="76" t="s">
        <v>426</v>
      </c>
      <c r="F1567" s="77">
        <v>1850.91</v>
      </c>
      <c r="G1567" s="77">
        <v>186.23</v>
      </c>
      <c r="H1567" s="77">
        <v>2037.14</v>
      </c>
      <c r="I1567" s="76" t="s">
        <v>936</v>
      </c>
      <c r="J1567" s="77">
        <v>0</v>
      </c>
      <c r="K1567" s="78">
        <v>325.06</v>
      </c>
      <c r="M1567" s="79" t="str">
        <f t="shared" si="74"/>
        <v>430-7820</v>
      </c>
      <c r="N1567" s="79" t="str">
        <f t="shared" si="72"/>
        <v/>
      </c>
      <c r="O1567" s="79" t="str">
        <f t="shared" si="73"/>
        <v>430</v>
      </c>
      <c r="P1567" s="79" t="str">
        <f>IFERROR(VLOOKUP($M1567,Export!$P:$R,2,FALSE),"-")</f>
        <v>Admin &amp; Other</v>
      </c>
      <c r="Q1567" s="79" t="str">
        <f>IFERROR(VLOOKUP($M1567,Export!$P:$R,3,FALSE),"-")</f>
        <v>Admin &amp; OtherOther Overheads as % of Total Gross Profit</v>
      </c>
      <c r="R1567" s="80" t="e" cm="1">
        <f t="array" ref="R1567">_xlfn.IFS(P1567="Service", _xlfn.IFS(I1567="SALES","GP",I1567="SERVICE SALES","GP",I1567="PARTS SALES","GP",I1567="SERVICE COS","GP",I1567="PARTS COS","GP",I1567="SELLING EXPENSES","Selling Expenses",I1567="EMPLOYMENT EXPENSES","Selling Expenses",I1567="EMPLOYMENT EXPENSES","Selling Expenses",I1567="DIRECT EXPENSES","Selling Expenses",I1567="INDIRECT EXPENSES","Selling Expenses"),P1567="Parts",_xlfn.IFS(I1567="SALES","GP",I1567="SERVICE SALES","GP",I1567="PARTS SALES","GP",I1567="SERVICE COS","GP",I1567="PARTS COS","GP",I1567="SELLING EXPENSES","Selling Expenses",I1567="EMPLOYMENT EXPENSES","Selling Expenses",I1567="EMPLOYMENT EXPENSES","Selling Expenses",I1567="DIRECT EXPENSES","Selling Expenses",I1567="INDIRECT EXPENSES","Selling Expenses"))</f>
        <v>#N/A</v>
      </c>
    </row>
    <row r="1568" spans="1:18" x14ac:dyDescent="0.2">
      <c r="A1568" s="75">
        <v>7820</v>
      </c>
      <c r="B1568" s="76" t="s">
        <v>957</v>
      </c>
      <c r="C1568" s="76">
        <v>440</v>
      </c>
      <c r="D1568" s="76" t="s">
        <v>441</v>
      </c>
      <c r="E1568" s="76" t="s">
        <v>426</v>
      </c>
      <c r="F1568" s="77">
        <v>2170.59</v>
      </c>
      <c r="G1568" s="77">
        <v>173.91</v>
      </c>
      <c r="H1568" s="77">
        <v>2344.5</v>
      </c>
      <c r="I1568" s="76" t="s">
        <v>936</v>
      </c>
      <c r="J1568" s="77">
        <v>100</v>
      </c>
      <c r="K1568" s="78">
        <v>925.09</v>
      </c>
      <c r="M1568" s="79" t="str">
        <f t="shared" si="74"/>
        <v>440-7820</v>
      </c>
      <c r="N1568" s="79" t="str">
        <f t="shared" si="72"/>
        <v/>
      </c>
      <c r="O1568" s="79" t="str">
        <f t="shared" si="73"/>
        <v>440</v>
      </c>
      <c r="P1568" s="79" t="str">
        <f>IFERROR(VLOOKUP($M1568,Export!$P:$R,2,FALSE),"-")</f>
        <v>Admin &amp; Other</v>
      </c>
      <c r="Q1568" s="79" t="str">
        <f>IFERROR(VLOOKUP($M1568,Export!$P:$R,3,FALSE),"-")</f>
        <v>Admin &amp; OtherOther Overheads as % of Total Gross Profit</v>
      </c>
      <c r="R1568" s="80" t="e" cm="1">
        <f t="array" ref="R1568">_xlfn.IFS(P1568="Service", _xlfn.IFS(I1568="SALES","GP",I1568="SERVICE SALES","GP",I1568="PARTS SALES","GP",I1568="SERVICE COS","GP",I1568="PARTS COS","GP",I1568="SELLING EXPENSES","Selling Expenses",I1568="EMPLOYMENT EXPENSES","Selling Expenses",I1568="EMPLOYMENT EXPENSES","Selling Expenses",I1568="DIRECT EXPENSES","Selling Expenses",I1568="INDIRECT EXPENSES","Selling Expenses"),P1568="Parts",_xlfn.IFS(I1568="SALES","GP",I1568="SERVICE SALES","GP",I1568="PARTS SALES","GP",I1568="SERVICE COS","GP",I1568="PARTS COS","GP",I1568="SELLING EXPENSES","Selling Expenses",I1568="EMPLOYMENT EXPENSES","Selling Expenses",I1568="EMPLOYMENT EXPENSES","Selling Expenses",I1568="DIRECT EXPENSES","Selling Expenses",I1568="INDIRECT EXPENSES","Selling Expenses"))</f>
        <v>#N/A</v>
      </c>
    </row>
    <row r="1569" spans="1:18" x14ac:dyDescent="0.2">
      <c r="A1569" s="75">
        <v>7820</v>
      </c>
      <c r="B1569" s="76" t="s">
        <v>957</v>
      </c>
      <c r="C1569" s="76">
        <v>935</v>
      </c>
      <c r="D1569" s="76" t="s">
        <v>442</v>
      </c>
      <c r="E1569" s="76" t="s">
        <v>426</v>
      </c>
      <c r="F1569" s="77">
        <v>1439.96</v>
      </c>
      <c r="G1569" s="77">
        <v>156.38999999999999</v>
      </c>
      <c r="H1569" s="77">
        <v>1596.35</v>
      </c>
      <c r="I1569" s="76" t="s">
        <v>936</v>
      </c>
      <c r="J1569" s="77">
        <v>200</v>
      </c>
      <c r="K1569" s="78">
        <v>3281.03</v>
      </c>
      <c r="M1569" s="79" t="str">
        <f t="shared" si="74"/>
        <v>935-7820</v>
      </c>
      <c r="N1569" s="79" t="str">
        <f t="shared" si="72"/>
        <v/>
      </c>
      <c r="O1569" s="79" t="str">
        <f t="shared" si="73"/>
        <v>935</v>
      </c>
      <c r="P1569" s="79" t="str">
        <f>IFERROR(VLOOKUP($M1569,Export!$P:$R,2,FALSE),"-")</f>
        <v>LEX Admin &amp; Other</v>
      </c>
      <c r="Q1569" s="79" t="str">
        <f>IFERROR(VLOOKUP($M1569,Export!$P:$R,3,FALSE),"-")</f>
        <v>LEX Admin &amp; OtherOther Overheads as % of Total Gross Profit</v>
      </c>
      <c r="R1569" s="80" t="e" cm="1">
        <f t="array" ref="R1569">_xlfn.IFS(P1569="Service", _xlfn.IFS(I1569="SALES","GP",I1569="SERVICE SALES","GP",I1569="PARTS SALES","GP",I1569="SERVICE COS","GP",I1569="PARTS COS","GP",I1569="SELLING EXPENSES","Selling Expenses",I1569="EMPLOYMENT EXPENSES","Selling Expenses",I1569="EMPLOYMENT EXPENSES","Selling Expenses",I1569="DIRECT EXPENSES","Selling Expenses",I1569="INDIRECT EXPENSES","Selling Expenses"),P1569="Parts",_xlfn.IFS(I1569="SALES","GP",I1569="SERVICE SALES","GP",I1569="PARTS SALES","GP",I1569="SERVICE COS","GP",I1569="PARTS COS","GP",I1569="SELLING EXPENSES","Selling Expenses",I1569="EMPLOYMENT EXPENSES","Selling Expenses",I1569="EMPLOYMENT EXPENSES","Selling Expenses",I1569="DIRECT EXPENSES","Selling Expenses",I1569="INDIRECT EXPENSES","Selling Expenses"))</f>
        <v>#N/A</v>
      </c>
    </row>
    <row r="1570" spans="1:18" x14ac:dyDescent="0.2">
      <c r="A1570" s="75">
        <v>7820</v>
      </c>
      <c r="B1570" s="76" t="s">
        <v>957</v>
      </c>
      <c r="C1570" s="76">
        <v>936</v>
      </c>
      <c r="D1570" s="76" t="s">
        <v>443</v>
      </c>
      <c r="E1570" s="76" t="s">
        <v>426</v>
      </c>
      <c r="F1570" s="77">
        <v>1815.29</v>
      </c>
      <c r="G1570" s="77">
        <v>253.38</v>
      </c>
      <c r="H1570" s="77">
        <v>2068.67</v>
      </c>
      <c r="I1570" s="76" t="s">
        <v>936</v>
      </c>
      <c r="J1570" s="77">
        <v>200</v>
      </c>
      <c r="K1570" s="78">
        <v>2510.58</v>
      </c>
      <c r="M1570" s="79" t="str">
        <f t="shared" si="74"/>
        <v>936-7820</v>
      </c>
      <c r="N1570" s="79" t="str">
        <f t="shared" si="72"/>
        <v/>
      </c>
      <c r="O1570" s="79" t="str">
        <f t="shared" si="73"/>
        <v>936</v>
      </c>
      <c r="P1570" s="79" t="str">
        <f>IFERROR(VLOOKUP($M1570,Export!$P:$R,2,FALSE),"-")</f>
        <v>LEX Admin &amp; Other</v>
      </c>
      <c r="Q1570" s="79" t="str">
        <f>IFERROR(VLOOKUP($M1570,Export!$P:$R,3,FALSE),"-")</f>
        <v>LEX Admin &amp; OtherOther Overheads as % of Total Gross Profit</v>
      </c>
      <c r="R1570" s="80" t="e" cm="1">
        <f t="array" ref="R1570">_xlfn.IFS(P1570="Service", _xlfn.IFS(I1570="SALES","GP",I1570="SERVICE SALES","GP",I1570="PARTS SALES","GP",I1570="SERVICE COS","GP",I1570="PARTS COS","GP",I1570="SELLING EXPENSES","Selling Expenses",I1570="EMPLOYMENT EXPENSES","Selling Expenses",I1570="EMPLOYMENT EXPENSES","Selling Expenses",I1570="DIRECT EXPENSES","Selling Expenses",I1570="INDIRECT EXPENSES","Selling Expenses"),P1570="Parts",_xlfn.IFS(I1570="SALES","GP",I1570="SERVICE SALES","GP",I1570="PARTS SALES","GP",I1570="SERVICE COS","GP",I1570="PARTS COS","GP",I1570="SELLING EXPENSES","Selling Expenses",I1570="EMPLOYMENT EXPENSES","Selling Expenses",I1570="EMPLOYMENT EXPENSES","Selling Expenses",I1570="DIRECT EXPENSES","Selling Expenses",I1570="INDIRECT EXPENSES","Selling Expenses"))</f>
        <v>#N/A</v>
      </c>
    </row>
    <row r="1571" spans="1:18" x14ac:dyDescent="0.2">
      <c r="A1571" s="75">
        <v>7860</v>
      </c>
      <c r="B1571" s="76" t="s">
        <v>1776</v>
      </c>
      <c r="C1571" s="76">
        <v>110</v>
      </c>
      <c r="D1571" s="76" t="s">
        <v>430</v>
      </c>
      <c r="E1571" s="76" t="s">
        <v>426</v>
      </c>
      <c r="F1571" s="77">
        <v>2515.81</v>
      </c>
      <c r="G1571" s="77">
        <v>623.39</v>
      </c>
      <c r="H1571" s="77">
        <v>3139.2</v>
      </c>
      <c r="I1571" s="76" t="s">
        <v>936</v>
      </c>
      <c r="J1571" s="77">
        <v>200</v>
      </c>
      <c r="K1571" s="78">
        <v>2144.5300000000002</v>
      </c>
      <c r="M1571" s="79" t="str">
        <f t="shared" si="74"/>
        <v>110-7860</v>
      </c>
      <c r="N1571" s="79" t="str">
        <f t="shared" si="72"/>
        <v/>
      </c>
      <c r="O1571" s="79" t="str">
        <f t="shared" si="73"/>
        <v>110</v>
      </c>
      <c r="P1571" s="79" t="str">
        <f>IFERROR(VLOOKUP($M1571,Export!$P:$R,2,FALSE),"-")</f>
        <v>Admin &amp; Other</v>
      </c>
      <c r="Q1571" s="79" t="str">
        <f>IFERROR(VLOOKUP($M1571,Export!$P:$R,3,FALSE),"-")</f>
        <v>Admin &amp; OtherOther Overheads as % of Total Gross Profit</v>
      </c>
      <c r="R1571" s="80" t="e" cm="1">
        <f t="array" ref="R1571">_xlfn.IFS(P1571="Service", _xlfn.IFS(I1571="SALES","GP",I1571="SERVICE SALES","GP",I1571="PARTS SALES","GP",I1571="SERVICE COS","GP",I1571="PARTS COS","GP",I1571="SELLING EXPENSES","Selling Expenses",I1571="EMPLOYMENT EXPENSES","Selling Expenses",I1571="EMPLOYMENT EXPENSES","Selling Expenses",I1571="DIRECT EXPENSES","Selling Expenses",I1571="INDIRECT EXPENSES","Selling Expenses"),P1571="Parts",_xlfn.IFS(I1571="SALES","GP",I1571="SERVICE SALES","GP",I1571="PARTS SALES","GP",I1571="SERVICE COS","GP",I1571="PARTS COS","GP",I1571="SELLING EXPENSES","Selling Expenses",I1571="EMPLOYMENT EXPENSES","Selling Expenses",I1571="EMPLOYMENT EXPENSES","Selling Expenses",I1571="DIRECT EXPENSES","Selling Expenses",I1571="INDIRECT EXPENSES","Selling Expenses"))</f>
        <v>#N/A</v>
      </c>
    </row>
    <row r="1572" spans="1:18" x14ac:dyDescent="0.2">
      <c r="A1572" s="75">
        <v>7860</v>
      </c>
      <c r="B1572" s="76" t="s">
        <v>1776</v>
      </c>
      <c r="C1572" s="76">
        <v>112</v>
      </c>
      <c r="D1572" s="76" t="s">
        <v>349</v>
      </c>
      <c r="E1572" s="76" t="s">
        <v>426</v>
      </c>
      <c r="F1572" s="77">
        <v>15</v>
      </c>
      <c r="G1572" s="77">
        <v>0</v>
      </c>
      <c r="H1572" s="77">
        <v>15</v>
      </c>
      <c r="I1572" s="76" t="s">
        <v>936</v>
      </c>
      <c r="J1572" s="77">
        <v>100</v>
      </c>
      <c r="K1572" s="78">
        <v>1083.67</v>
      </c>
      <c r="M1572" s="79" t="str">
        <f t="shared" si="74"/>
        <v>112-7860</v>
      </c>
      <c r="N1572" s="79" t="str">
        <f t="shared" si="72"/>
        <v/>
      </c>
      <c r="O1572" s="79" t="str">
        <f t="shared" si="73"/>
        <v>112</v>
      </c>
      <c r="P1572" s="79" t="str">
        <f>IFERROR(VLOOKUP($M1572,Export!$P:$R,2,FALSE),"-")</f>
        <v>LEX Admin &amp; Other</v>
      </c>
      <c r="Q1572" s="79" t="str">
        <f>IFERROR(VLOOKUP($M1572,Export!$P:$R,3,FALSE),"-")</f>
        <v>LEX Admin &amp; OtherOther Overheads as % of Total Gross Profit</v>
      </c>
      <c r="R1572" s="80" t="e" cm="1">
        <f t="array" ref="R1572">_xlfn.IFS(P1572="Service", _xlfn.IFS(I1572="SALES","GP",I1572="SERVICE SALES","GP",I1572="PARTS SALES","GP",I1572="SERVICE COS","GP",I1572="PARTS COS","GP",I1572="SELLING EXPENSES","Selling Expenses",I1572="EMPLOYMENT EXPENSES","Selling Expenses",I1572="EMPLOYMENT EXPENSES","Selling Expenses",I1572="DIRECT EXPENSES","Selling Expenses",I1572="INDIRECT EXPENSES","Selling Expenses"),P1572="Parts",_xlfn.IFS(I1572="SALES","GP",I1572="SERVICE SALES","GP",I1572="PARTS SALES","GP",I1572="SERVICE COS","GP",I1572="PARTS COS","GP",I1572="SELLING EXPENSES","Selling Expenses",I1572="EMPLOYMENT EXPENSES","Selling Expenses",I1572="EMPLOYMENT EXPENSES","Selling Expenses",I1572="DIRECT EXPENSES","Selling Expenses",I1572="INDIRECT EXPENSES","Selling Expenses"))</f>
        <v>#N/A</v>
      </c>
    </row>
    <row r="1573" spans="1:18" x14ac:dyDescent="0.2">
      <c r="A1573" s="75">
        <v>7860</v>
      </c>
      <c r="B1573" s="76" t="s">
        <v>1776</v>
      </c>
      <c r="C1573" s="76">
        <v>120</v>
      </c>
      <c r="D1573" s="76" t="s">
        <v>431</v>
      </c>
      <c r="E1573" s="76" t="s">
        <v>426</v>
      </c>
      <c r="F1573" s="77">
        <v>4326.17</v>
      </c>
      <c r="G1573" s="77">
        <v>542.08000000000004</v>
      </c>
      <c r="H1573" s="77">
        <v>4868.25</v>
      </c>
      <c r="I1573" s="76" t="s">
        <v>936</v>
      </c>
      <c r="J1573" s="77">
        <v>100</v>
      </c>
      <c r="K1573" s="78">
        <v>1230.5899999999999</v>
      </c>
      <c r="M1573" s="79" t="str">
        <f t="shared" si="74"/>
        <v>120-7860</v>
      </c>
      <c r="N1573" s="79" t="str">
        <f t="shared" si="72"/>
        <v/>
      </c>
      <c r="O1573" s="79" t="str">
        <f t="shared" si="73"/>
        <v>120</v>
      </c>
      <c r="P1573" s="79" t="str">
        <f>IFERROR(VLOOKUP($M1573,Export!$P:$R,2,FALSE),"-")</f>
        <v>Admin &amp; Other</v>
      </c>
      <c r="Q1573" s="79" t="str">
        <f>IFERROR(VLOOKUP($M1573,Export!$P:$R,3,FALSE),"-")</f>
        <v>Admin &amp; OtherOther Overheads as % of Total Gross Profit</v>
      </c>
      <c r="R1573" s="80" t="e" cm="1">
        <f t="array" ref="R1573">_xlfn.IFS(P1573="Service", _xlfn.IFS(I1573="SALES","GP",I1573="SERVICE SALES","GP",I1573="PARTS SALES","GP",I1573="SERVICE COS","GP",I1573="PARTS COS","GP",I1573="SELLING EXPENSES","Selling Expenses",I1573="EMPLOYMENT EXPENSES","Selling Expenses",I1573="EMPLOYMENT EXPENSES","Selling Expenses",I1573="DIRECT EXPENSES","Selling Expenses",I1573="INDIRECT EXPENSES","Selling Expenses"),P1573="Parts",_xlfn.IFS(I1573="SALES","GP",I1573="SERVICE SALES","GP",I1573="PARTS SALES","GP",I1573="SERVICE COS","GP",I1573="PARTS COS","GP",I1573="SELLING EXPENSES","Selling Expenses",I1573="EMPLOYMENT EXPENSES","Selling Expenses",I1573="EMPLOYMENT EXPENSES","Selling Expenses",I1573="DIRECT EXPENSES","Selling Expenses",I1573="INDIRECT EXPENSES","Selling Expenses"))</f>
        <v>#N/A</v>
      </c>
    </row>
    <row r="1574" spans="1:18" x14ac:dyDescent="0.2">
      <c r="A1574" s="75">
        <v>7860</v>
      </c>
      <c r="B1574" s="76" t="s">
        <v>1776</v>
      </c>
      <c r="C1574" s="76">
        <v>121</v>
      </c>
      <c r="D1574" s="76" t="s">
        <v>449</v>
      </c>
      <c r="E1574" s="76" t="s">
        <v>426</v>
      </c>
      <c r="F1574" s="77">
        <v>282.02999999999997</v>
      </c>
      <c r="G1574" s="77">
        <v>0</v>
      </c>
      <c r="H1574" s="77">
        <v>282.02999999999997</v>
      </c>
      <c r="I1574" s="76" t="s">
        <v>936</v>
      </c>
      <c r="J1574" s="77">
        <v>100</v>
      </c>
      <c r="K1574" s="78">
        <v>1030.43</v>
      </c>
      <c r="M1574" s="79" t="str">
        <f t="shared" si="74"/>
        <v>121-7860</v>
      </c>
      <c r="N1574" s="79" t="str">
        <f t="shared" si="72"/>
        <v/>
      </c>
      <c r="O1574" s="79" t="str">
        <f t="shared" si="73"/>
        <v>121</v>
      </c>
      <c r="P1574" s="79" t="str">
        <f>IFERROR(VLOOKUP($M1574,Export!$P:$R,2,FALSE),"-")</f>
        <v>Admin &amp; Other</v>
      </c>
      <c r="Q1574" s="79" t="str">
        <f>IFERROR(VLOOKUP($M1574,Export!$P:$R,3,FALSE),"-")</f>
        <v>Admin &amp; OtherOther Overheads as % of Total Gross Profit</v>
      </c>
      <c r="R1574" s="80" t="e" cm="1">
        <f t="array" ref="R1574">_xlfn.IFS(P1574="Service", _xlfn.IFS(I1574="SALES","GP",I1574="SERVICE SALES","GP",I1574="PARTS SALES","GP",I1574="SERVICE COS","GP",I1574="PARTS COS","GP",I1574="SELLING EXPENSES","Selling Expenses",I1574="EMPLOYMENT EXPENSES","Selling Expenses",I1574="EMPLOYMENT EXPENSES","Selling Expenses",I1574="DIRECT EXPENSES","Selling Expenses",I1574="INDIRECT EXPENSES","Selling Expenses"),P1574="Parts",_xlfn.IFS(I1574="SALES","GP",I1574="SERVICE SALES","GP",I1574="PARTS SALES","GP",I1574="SERVICE COS","GP",I1574="PARTS COS","GP",I1574="SELLING EXPENSES","Selling Expenses",I1574="EMPLOYMENT EXPENSES","Selling Expenses",I1574="EMPLOYMENT EXPENSES","Selling Expenses",I1574="DIRECT EXPENSES","Selling Expenses",I1574="INDIRECT EXPENSES","Selling Expenses"))</f>
        <v>#N/A</v>
      </c>
    </row>
    <row r="1575" spans="1:18" x14ac:dyDescent="0.2">
      <c r="A1575" s="75">
        <v>7860</v>
      </c>
      <c r="B1575" s="76" t="s">
        <v>1776</v>
      </c>
      <c r="C1575" s="76">
        <v>130</v>
      </c>
      <c r="D1575" s="76" t="s">
        <v>432</v>
      </c>
      <c r="E1575" s="76" t="s">
        <v>426</v>
      </c>
      <c r="F1575" s="77">
        <v>2229.15</v>
      </c>
      <c r="G1575" s="77">
        <v>542.08000000000004</v>
      </c>
      <c r="H1575" s="77">
        <v>2771.23</v>
      </c>
      <c r="I1575" s="76" t="s">
        <v>936</v>
      </c>
      <c r="J1575" s="77">
        <v>150</v>
      </c>
      <c r="K1575" s="78">
        <v>1631.74</v>
      </c>
      <c r="M1575" s="79" t="str">
        <f t="shared" si="74"/>
        <v>130-7860</v>
      </c>
      <c r="N1575" s="79" t="str">
        <f t="shared" si="72"/>
        <v/>
      </c>
      <c r="O1575" s="79" t="str">
        <f t="shared" si="73"/>
        <v>130</v>
      </c>
      <c r="P1575" s="79" t="str">
        <f>IFERROR(VLOOKUP($M1575,Export!$P:$R,2,FALSE),"-")</f>
        <v>Admin &amp; Other</v>
      </c>
      <c r="Q1575" s="79" t="str">
        <f>IFERROR(VLOOKUP($M1575,Export!$P:$R,3,FALSE),"-")</f>
        <v>Admin &amp; OtherOther Overheads as % of Total Gross Profit</v>
      </c>
      <c r="R1575" s="80" t="e" cm="1">
        <f t="array" ref="R1575">_xlfn.IFS(P1575="Service", _xlfn.IFS(I1575="SALES","GP",I1575="SERVICE SALES","GP",I1575="PARTS SALES","GP",I1575="SERVICE COS","GP",I1575="PARTS COS","GP",I1575="SELLING EXPENSES","Selling Expenses",I1575="EMPLOYMENT EXPENSES","Selling Expenses",I1575="EMPLOYMENT EXPENSES","Selling Expenses",I1575="DIRECT EXPENSES","Selling Expenses",I1575="INDIRECT EXPENSES","Selling Expenses"),P1575="Parts",_xlfn.IFS(I1575="SALES","GP",I1575="SERVICE SALES","GP",I1575="PARTS SALES","GP",I1575="SERVICE COS","GP",I1575="PARTS COS","GP",I1575="SELLING EXPENSES","Selling Expenses",I1575="EMPLOYMENT EXPENSES","Selling Expenses",I1575="EMPLOYMENT EXPENSES","Selling Expenses",I1575="DIRECT EXPENSES","Selling Expenses",I1575="INDIRECT EXPENSES","Selling Expenses"))</f>
        <v>#N/A</v>
      </c>
    </row>
    <row r="1576" spans="1:18" x14ac:dyDescent="0.2">
      <c r="A1576" s="75">
        <v>7860</v>
      </c>
      <c r="B1576" s="76" t="s">
        <v>1776</v>
      </c>
      <c r="C1576" s="76">
        <v>140</v>
      </c>
      <c r="D1576" s="76" t="s">
        <v>433</v>
      </c>
      <c r="E1576" s="76" t="s">
        <v>426</v>
      </c>
      <c r="F1576" s="77">
        <v>4066.73</v>
      </c>
      <c r="G1576" s="77">
        <v>542.08000000000004</v>
      </c>
      <c r="H1576" s="77">
        <v>4608.8100000000004</v>
      </c>
      <c r="I1576" s="76" t="s">
        <v>936</v>
      </c>
      <c r="J1576" s="77">
        <v>400</v>
      </c>
      <c r="K1576" s="78">
        <v>3344.53</v>
      </c>
      <c r="M1576" s="79" t="str">
        <f t="shared" si="74"/>
        <v>140-7860</v>
      </c>
      <c r="N1576" s="79" t="str">
        <f t="shared" si="72"/>
        <v/>
      </c>
      <c r="O1576" s="79" t="str">
        <f t="shared" si="73"/>
        <v>140</v>
      </c>
      <c r="P1576" s="79" t="str">
        <f>IFERROR(VLOOKUP($M1576,Export!$P:$R,2,FALSE),"-")</f>
        <v>Admin &amp; Other</v>
      </c>
      <c r="Q1576" s="79" t="str">
        <f>IFERROR(VLOOKUP($M1576,Export!$P:$R,3,FALSE),"-")</f>
        <v>Admin &amp; OtherOther Overheads as % of Total Gross Profit</v>
      </c>
      <c r="R1576" s="80" t="e" cm="1">
        <f t="array" ref="R1576">_xlfn.IFS(P1576="Service", _xlfn.IFS(I1576="SALES","GP",I1576="SERVICE SALES","GP",I1576="PARTS SALES","GP",I1576="SERVICE COS","GP",I1576="PARTS COS","GP",I1576="SELLING EXPENSES","Selling Expenses",I1576="EMPLOYMENT EXPENSES","Selling Expenses",I1576="EMPLOYMENT EXPENSES","Selling Expenses",I1576="DIRECT EXPENSES","Selling Expenses",I1576="INDIRECT EXPENSES","Selling Expenses"),P1576="Parts",_xlfn.IFS(I1576="SALES","GP",I1576="SERVICE SALES","GP",I1576="PARTS SALES","GP",I1576="SERVICE COS","GP",I1576="PARTS COS","GP",I1576="SELLING EXPENSES","Selling Expenses",I1576="EMPLOYMENT EXPENSES","Selling Expenses",I1576="EMPLOYMENT EXPENSES","Selling Expenses",I1576="DIRECT EXPENSES","Selling Expenses",I1576="INDIRECT EXPENSES","Selling Expenses"))</f>
        <v>#N/A</v>
      </c>
    </row>
    <row r="1577" spans="1:18" x14ac:dyDescent="0.2">
      <c r="A1577" s="75">
        <v>7860</v>
      </c>
      <c r="B1577" s="76" t="s">
        <v>1776</v>
      </c>
      <c r="C1577" s="76">
        <v>142</v>
      </c>
      <c r="D1577" s="76" t="s">
        <v>454</v>
      </c>
      <c r="E1577" s="76" t="s">
        <v>426</v>
      </c>
      <c r="F1577" s="77">
        <v>818.47</v>
      </c>
      <c r="G1577" s="77">
        <v>0</v>
      </c>
      <c r="H1577" s="77">
        <v>818.47</v>
      </c>
      <c r="I1577" s="76" t="s">
        <v>936</v>
      </c>
      <c r="J1577" s="77">
        <v>0</v>
      </c>
      <c r="K1577" s="78">
        <v>0</v>
      </c>
      <c r="M1577" s="79" t="str">
        <f t="shared" si="74"/>
        <v>142-7860</v>
      </c>
      <c r="N1577" s="79" t="str">
        <f t="shared" si="72"/>
        <v/>
      </c>
      <c r="O1577" s="79" t="str">
        <f t="shared" si="73"/>
        <v>142</v>
      </c>
      <c r="P1577" s="79" t="str">
        <f>IFERROR(VLOOKUP($M1577,Export!$P:$R,2,FALSE),"-")</f>
        <v>LEX Admin &amp; Other</v>
      </c>
      <c r="Q1577" s="79" t="str">
        <f>IFERROR(VLOOKUP($M1577,Export!$P:$R,3,FALSE),"-")</f>
        <v>LEX Admin &amp; OtherOther Overheads as % of Total Gross Profit</v>
      </c>
      <c r="R1577" s="80" t="e" cm="1">
        <f t="array" ref="R1577">_xlfn.IFS(P1577="Service", _xlfn.IFS(I1577="SALES","GP",I1577="SERVICE SALES","GP",I1577="PARTS SALES","GP",I1577="SERVICE COS","GP",I1577="PARTS COS","GP",I1577="SELLING EXPENSES","Selling Expenses",I1577="EMPLOYMENT EXPENSES","Selling Expenses",I1577="EMPLOYMENT EXPENSES","Selling Expenses",I1577="DIRECT EXPENSES","Selling Expenses",I1577="INDIRECT EXPENSES","Selling Expenses"),P1577="Parts",_xlfn.IFS(I1577="SALES","GP",I1577="SERVICE SALES","GP",I1577="PARTS SALES","GP",I1577="SERVICE COS","GP",I1577="PARTS COS","GP",I1577="SELLING EXPENSES","Selling Expenses",I1577="EMPLOYMENT EXPENSES","Selling Expenses",I1577="EMPLOYMENT EXPENSES","Selling Expenses",I1577="DIRECT EXPENSES","Selling Expenses",I1577="INDIRECT EXPENSES","Selling Expenses"))</f>
        <v>#N/A</v>
      </c>
    </row>
    <row r="1578" spans="1:18" x14ac:dyDescent="0.2">
      <c r="A1578" s="75">
        <v>7860</v>
      </c>
      <c r="B1578" s="76" t="s">
        <v>1776</v>
      </c>
      <c r="C1578" s="76">
        <v>160</v>
      </c>
      <c r="D1578" s="76" t="s">
        <v>434</v>
      </c>
      <c r="E1578" s="76" t="s">
        <v>426</v>
      </c>
      <c r="F1578" s="77">
        <v>282.83</v>
      </c>
      <c r="G1578" s="77">
        <v>0</v>
      </c>
      <c r="H1578" s="77">
        <v>282.83</v>
      </c>
      <c r="I1578" s="76" t="s">
        <v>936</v>
      </c>
      <c r="J1578" s="77">
        <v>0</v>
      </c>
      <c r="K1578" s="78">
        <v>258.26</v>
      </c>
      <c r="M1578" s="79" t="str">
        <f t="shared" si="74"/>
        <v>160-7860</v>
      </c>
      <c r="N1578" s="79" t="str">
        <f t="shared" si="72"/>
        <v/>
      </c>
      <c r="O1578" s="79" t="str">
        <f t="shared" si="73"/>
        <v>160</v>
      </c>
      <c r="P1578" s="79" t="str">
        <f>IFERROR(VLOOKUP($M1578,Export!$P:$R,2,FALSE),"-")</f>
        <v>Admin &amp; Other</v>
      </c>
      <c r="Q1578" s="79" t="str">
        <f>IFERROR(VLOOKUP($M1578,Export!$P:$R,3,FALSE),"-")</f>
        <v>Admin &amp; OtherOther Overheads as % of Total Gross Profit</v>
      </c>
      <c r="R1578" s="80" t="e" cm="1">
        <f t="array" ref="R1578">_xlfn.IFS(P1578="Service", _xlfn.IFS(I1578="SALES","GP",I1578="SERVICE SALES","GP",I1578="PARTS SALES","GP",I1578="SERVICE COS","GP",I1578="PARTS COS","GP",I1578="SELLING EXPENSES","Selling Expenses",I1578="EMPLOYMENT EXPENSES","Selling Expenses",I1578="EMPLOYMENT EXPENSES","Selling Expenses",I1578="DIRECT EXPENSES","Selling Expenses",I1578="INDIRECT EXPENSES","Selling Expenses"),P1578="Parts",_xlfn.IFS(I1578="SALES","GP",I1578="SERVICE SALES","GP",I1578="PARTS SALES","GP",I1578="SERVICE COS","GP",I1578="PARTS COS","GP",I1578="SELLING EXPENSES","Selling Expenses",I1578="EMPLOYMENT EXPENSES","Selling Expenses",I1578="EMPLOYMENT EXPENSES","Selling Expenses",I1578="DIRECT EXPENSES","Selling Expenses",I1578="INDIRECT EXPENSES","Selling Expenses"))</f>
        <v>#N/A</v>
      </c>
    </row>
    <row r="1579" spans="1:18" x14ac:dyDescent="0.2">
      <c r="A1579" s="75">
        <v>7860</v>
      </c>
      <c r="B1579" s="76" t="s">
        <v>1776</v>
      </c>
      <c r="C1579" s="76">
        <v>210</v>
      </c>
      <c r="D1579" s="76" t="s">
        <v>436</v>
      </c>
      <c r="E1579" s="76" t="s">
        <v>426</v>
      </c>
      <c r="F1579" s="77">
        <v>2787.55</v>
      </c>
      <c r="G1579" s="77">
        <v>542.08000000000004</v>
      </c>
      <c r="H1579" s="77">
        <v>3329.63</v>
      </c>
      <c r="I1579" s="76" t="s">
        <v>936</v>
      </c>
      <c r="J1579" s="77">
        <v>0</v>
      </c>
      <c r="K1579" s="78">
        <v>83.66</v>
      </c>
      <c r="M1579" s="79" t="str">
        <f t="shared" si="74"/>
        <v>210-7860</v>
      </c>
      <c r="N1579" s="79" t="str">
        <f t="shared" si="72"/>
        <v/>
      </c>
      <c r="O1579" s="79" t="str">
        <f t="shared" si="73"/>
        <v>210</v>
      </c>
      <c r="P1579" s="79" t="str">
        <f>IFERROR(VLOOKUP($M1579,Export!$P:$R,2,FALSE),"-")</f>
        <v>Admin &amp; Other</v>
      </c>
      <c r="Q1579" s="79" t="str">
        <f>IFERROR(VLOOKUP($M1579,Export!$P:$R,3,FALSE),"-")</f>
        <v>Admin &amp; OtherOther Overheads as % of Total Gross Profit</v>
      </c>
      <c r="R1579" s="80" t="e" cm="1">
        <f t="array" ref="R1579">_xlfn.IFS(P1579="Service", _xlfn.IFS(I1579="SALES","GP",I1579="SERVICE SALES","GP",I1579="PARTS SALES","GP",I1579="SERVICE COS","GP",I1579="PARTS COS","GP",I1579="SELLING EXPENSES","Selling Expenses",I1579="EMPLOYMENT EXPENSES","Selling Expenses",I1579="EMPLOYMENT EXPENSES","Selling Expenses",I1579="DIRECT EXPENSES","Selling Expenses",I1579="INDIRECT EXPENSES","Selling Expenses"),P1579="Parts",_xlfn.IFS(I1579="SALES","GP",I1579="SERVICE SALES","GP",I1579="PARTS SALES","GP",I1579="SERVICE COS","GP",I1579="PARTS COS","GP",I1579="SELLING EXPENSES","Selling Expenses",I1579="EMPLOYMENT EXPENSES","Selling Expenses",I1579="EMPLOYMENT EXPENSES","Selling Expenses",I1579="DIRECT EXPENSES","Selling Expenses",I1579="INDIRECT EXPENSES","Selling Expenses"))</f>
        <v>#N/A</v>
      </c>
    </row>
    <row r="1580" spans="1:18" x14ac:dyDescent="0.2">
      <c r="A1580" s="75">
        <v>7860</v>
      </c>
      <c r="B1580" s="76" t="s">
        <v>1776</v>
      </c>
      <c r="C1580" s="76">
        <v>220</v>
      </c>
      <c r="D1580" s="76" t="s">
        <v>437</v>
      </c>
      <c r="E1580" s="76" t="s">
        <v>426</v>
      </c>
      <c r="F1580" s="77">
        <v>3136.09</v>
      </c>
      <c r="G1580" s="77">
        <v>542.08000000000004</v>
      </c>
      <c r="H1580" s="77">
        <v>3678.17</v>
      </c>
      <c r="I1580" s="76" t="s">
        <v>936</v>
      </c>
      <c r="J1580" s="77">
        <v>0</v>
      </c>
      <c r="K1580" s="78">
        <v>83.66</v>
      </c>
      <c r="M1580" s="79" t="str">
        <f t="shared" si="74"/>
        <v>220-7860</v>
      </c>
      <c r="N1580" s="79" t="str">
        <f t="shared" si="72"/>
        <v/>
      </c>
      <c r="O1580" s="79" t="str">
        <f t="shared" si="73"/>
        <v>220</v>
      </c>
      <c r="P1580" s="79" t="str">
        <f>IFERROR(VLOOKUP($M1580,Export!$P:$R,2,FALSE),"-")</f>
        <v>Admin &amp; Other</v>
      </c>
      <c r="Q1580" s="79" t="str">
        <f>IFERROR(VLOOKUP($M1580,Export!$P:$R,3,FALSE),"-")</f>
        <v>Admin &amp; OtherOther Overheads as % of Total Gross Profit</v>
      </c>
      <c r="R1580" s="80" t="e" cm="1">
        <f t="array" ref="R1580">_xlfn.IFS(P1580="Service", _xlfn.IFS(I1580="SALES","GP",I1580="SERVICE SALES","GP",I1580="PARTS SALES","GP",I1580="SERVICE COS","GP",I1580="PARTS COS","GP",I1580="SELLING EXPENSES","Selling Expenses",I1580="EMPLOYMENT EXPENSES","Selling Expenses",I1580="EMPLOYMENT EXPENSES","Selling Expenses",I1580="DIRECT EXPENSES","Selling Expenses",I1580="INDIRECT EXPENSES","Selling Expenses"),P1580="Parts",_xlfn.IFS(I1580="SALES","GP",I1580="SERVICE SALES","GP",I1580="PARTS SALES","GP",I1580="SERVICE COS","GP",I1580="PARTS COS","GP",I1580="SELLING EXPENSES","Selling Expenses",I1580="EMPLOYMENT EXPENSES","Selling Expenses",I1580="EMPLOYMENT EXPENSES","Selling Expenses",I1580="DIRECT EXPENSES","Selling Expenses",I1580="INDIRECT EXPENSES","Selling Expenses"))</f>
        <v>#N/A</v>
      </c>
    </row>
    <row r="1581" spans="1:18" x14ac:dyDescent="0.2">
      <c r="A1581" s="75">
        <v>7860</v>
      </c>
      <c r="B1581" s="76" t="s">
        <v>1776</v>
      </c>
      <c r="C1581" s="76">
        <v>230</v>
      </c>
      <c r="D1581" s="76" t="s">
        <v>438</v>
      </c>
      <c r="E1581" s="76" t="s">
        <v>426</v>
      </c>
      <c r="F1581" s="77">
        <v>3646.16</v>
      </c>
      <c r="G1581" s="77">
        <v>542.08000000000004</v>
      </c>
      <c r="H1581" s="77">
        <v>4188.24</v>
      </c>
      <c r="I1581" s="76" t="s">
        <v>936</v>
      </c>
      <c r="J1581" s="77">
        <v>0</v>
      </c>
      <c r="K1581" s="78">
        <v>0</v>
      </c>
      <c r="M1581" s="79" t="str">
        <f t="shared" si="74"/>
        <v>230-7860</v>
      </c>
      <c r="N1581" s="79" t="str">
        <f t="shared" si="72"/>
        <v/>
      </c>
      <c r="O1581" s="79" t="str">
        <f t="shared" si="73"/>
        <v>230</v>
      </c>
      <c r="P1581" s="79" t="str">
        <f>IFERROR(VLOOKUP($M1581,Export!$P:$R,2,FALSE),"-")</f>
        <v>Admin &amp; Other</v>
      </c>
      <c r="Q1581" s="79" t="str">
        <f>IFERROR(VLOOKUP($M1581,Export!$P:$R,3,FALSE),"-")</f>
        <v>Admin &amp; OtherOther Overheads as % of Total Gross Profit</v>
      </c>
      <c r="R1581" s="80" t="e" cm="1">
        <f t="array" ref="R1581">_xlfn.IFS(P1581="Service", _xlfn.IFS(I1581="SALES","GP",I1581="SERVICE SALES","GP",I1581="PARTS SALES","GP",I1581="SERVICE COS","GP",I1581="PARTS COS","GP",I1581="SELLING EXPENSES","Selling Expenses",I1581="EMPLOYMENT EXPENSES","Selling Expenses",I1581="EMPLOYMENT EXPENSES","Selling Expenses",I1581="DIRECT EXPENSES","Selling Expenses",I1581="INDIRECT EXPENSES","Selling Expenses"),P1581="Parts",_xlfn.IFS(I1581="SALES","GP",I1581="SERVICE SALES","GP",I1581="PARTS SALES","GP",I1581="SERVICE COS","GP",I1581="PARTS COS","GP",I1581="SELLING EXPENSES","Selling Expenses",I1581="EMPLOYMENT EXPENSES","Selling Expenses",I1581="EMPLOYMENT EXPENSES","Selling Expenses",I1581="DIRECT EXPENSES","Selling Expenses",I1581="INDIRECT EXPENSES","Selling Expenses"))</f>
        <v>#N/A</v>
      </c>
    </row>
    <row r="1582" spans="1:18" x14ac:dyDescent="0.2">
      <c r="A1582" s="75">
        <v>7860</v>
      </c>
      <c r="B1582" s="76" t="s">
        <v>1776</v>
      </c>
      <c r="C1582" s="76">
        <v>240</v>
      </c>
      <c r="D1582" s="76" t="s">
        <v>439</v>
      </c>
      <c r="E1582" s="76" t="s">
        <v>426</v>
      </c>
      <c r="F1582" s="77">
        <v>3559.23</v>
      </c>
      <c r="G1582" s="77">
        <v>542.08000000000004</v>
      </c>
      <c r="H1582" s="77">
        <v>4101.3100000000004</v>
      </c>
      <c r="I1582" s="76" t="s">
        <v>936</v>
      </c>
      <c r="J1582" s="77">
        <v>300</v>
      </c>
      <c r="K1582" s="78">
        <v>2498.25</v>
      </c>
      <c r="M1582" s="79" t="str">
        <f t="shared" si="74"/>
        <v>240-7860</v>
      </c>
      <c r="N1582" s="79" t="str">
        <f t="shared" si="72"/>
        <v/>
      </c>
      <c r="O1582" s="79" t="str">
        <f t="shared" si="73"/>
        <v>240</v>
      </c>
      <c r="P1582" s="79" t="str">
        <f>IFERROR(VLOOKUP($M1582,Export!$P:$R,2,FALSE),"-")</f>
        <v>Admin &amp; Other</v>
      </c>
      <c r="Q1582" s="79" t="str">
        <f>IFERROR(VLOOKUP($M1582,Export!$P:$R,3,FALSE),"-")</f>
        <v>Admin &amp; OtherOther Overheads as % of Total Gross Profit</v>
      </c>
      <c r="R1582" s="80" t="e" cm="1">
        <f t="array" ref="R1582">_xlfn.IFS(P1582="Service", _xlfn.IFS(I1582="SALES","GP",I1582="SERVICE SALES","GP",I1582="PARTS SALES","GP",I1582="SERVICE COS","GP",I1582="PARTS COS","GP",I1582="SELLING EXPENSES","Selling Expenses",I1582="EMPLOYMENT EXPENSES","Selling Expenses",I1582="EMPLOYMENT EXPENSES","Selling Expenses",I1582="DIRECT EXPENSES","Selling Expenses",I1582="INDIRECT EXPENSES","Selling Expenses"),P1582="Parts",_xlfn.IFS(I1582="SALES","GP",I1582="SERVICE SALES","GP",I1582="PARTS SALES","GP",I1582="SERVICE COS","GP",I1582="PARTS COS","GP",I1582="SELLING EXPENSES","Selling Expenses",I1582="EMPLOYMENT EXPENSES","Selling Expenses",I1582="EMPLOYMENT EXPENSES","Selling Expenses",I1582="DIRECT EXPENSES","Selling Expenses",I1582="INDIRECT EXPENSES","Selling Expenses"))</f>
        <v>#N/A</v>
      </c>
    </row>
    <row r="1583" spans="1:18" x14ac:dyDescent="0.2">
      <c r="A1583" s="75">
        <v>7860</v>
      </c>
      <c r="B1583" s="76" t="s">
        <v>1776</v>
      </c>
      <c r="C1583" s="76">
        <v>340</v>
      </c>
      <c r="D1583" s="76" t="s">
        <v>440</v>
      </c>
      <c r="E1583" s="76" t="s">
        <v>426</v>
      </c>
      <c r="F1583" s="77">
        <v>1557</v>
      </c>
      <c r="G1583" s="77">
        <v>0</v>
      </c>
      <c r="H1583" s="77">
        <v>1557</v>
      </c>
      <c r="I1583" s="76" t="s">
        <v>936</v>
      </c>
      <c r="J1583" s="77">
        <v>100</v>
      </c>
      <c r="K1583" s="78">
        <v>653.25</v>
      </c>
      <c r="M1583" s="79" t="str">
        <f t="shared" si="74"/>
        <v>340-7860</v>
      </c>
      <c r="N1583" s="79" t="str">
        <f t="shared" si="72"/>
        <v/>
      </c>
      <c r="O1583" s="79" t="str">
        <f t="shared" si="73"/>
        <v>340</v>
      </c>
      <c r="P1583" s="79" t="str">
        <f>IFERROR(VLOOKUP($M1583,Export!$P:$R,2,FALSE),"-")</f>
        <v>Admin &amp; Other</v>
      </c>
      <c r="Q1583" s="79" t="str">
        <f>IFERROR(VLOOKUP($M1583,Export!$P:$R,3,FALSE),"-")</f>
        <v>Admin &amp; OtherOther Overheads as % of Total Gross Profit</v>
      </c>
      <c r="R1583" s="80" t="e" cm="1">
        <f t="array" ref="R1583">_xlfn.IFS(P1583="Service", _xlfn.IFS(I1583="SALES","GP",I1583="SERVICE SALES","GP",I1583="PARTS SALES","GP",I1583="SERVICE COS","GP",I1583="PARTS COS","GP",I1583="SELLING EXPENSES","Selling Expenses",I1583="EMPLOYMENT EXPENSES","Selling Expenses",I1583="EMPLOYMENT EXPENSES","Selling Expenses",I1583="DIRECT EXPENSES","Selling Expenses",I1583="INDIRECT EXPENSES","Selling Expenses"),P1583="Parts",_xlfn.IFS(I1583="SALES","GP",I1583="SERVICE SALES","GP",I1583="PARTS SALES","GP",I1583="SERVICE COS","GP",I1583="PARTS COS","GP",I1583="SELLING EXPENSES","Selling Expenses",I1583="EMPLOYMENT EXPENSES","Selling Expenses",I1583="EMPLOYMENT EXPENSES","Selling Expenses",I1583="DIRECT EXPENSES","Selling Expenses",I1583="INDIRECT EXPENSES","Selling Expenses"))</f>
        <v>#N/A</v>
      </c>
    </row>
    <row r="1584" spans="1:18" x14ac:dyDescent="0.2">
      <c r="A1584" s="75">
        <v>7860</v>
      </c>
      <c r="B1584" s="76" t="s">
        <v>1776</v>
      </c>
      <c r="C1584" s="76">
        <v>440</v>
      </c>
      <c r="D1584" s="76" t="s">
        <v>441</v>
      </c>
      <c r="E1584" s="76" t="s">
        <v>426</v>
      </c>
      <c r="F1584" s="77">
        <v>987.85</v>
      </c>
      <c r="G1584" s="77">
        <v>0</v>
      </c>
      <c r="H1584" s="77">
        <v>987.85</v>
      </c>
      <c r="I1584" s="76" t="s">
        <v>936</v>
      </c>
      <c r="J1584" s="77">
        <v>0</v>
      </c>
      <c r="K1584" s="78">
        <v>0</v>
      </c>
      <c r="M1584" s="79" t="str">
        <f t="shared" si="74"/>
        <v>440-7860</v>
      </c>
      <c r="N1584" s="79" t="str">
        <f t="shared" si="72"/>
        <v/>
      </c>
      <c r="O1584" s="79" t="str">
        <f t="shared" si="73"/>
        <v>440</v>
      </c>
      <c r="P1584" s="79" t="str">
        <f>IFERROR(VLOOKUP($M1584,Export!$P:$R,2,FALSE),"-")</f>
        <v>Admin &amp; Other</v>
      </c>
      <c r="Q1584" s="79" t="str">
        <f>IFERROR(VLOOKUP($M1584,Export!$P:$R,3,FALSE),"-")</f>
        <v>Admin &amp; OtherOther Overheads as % of Total Gross Profit</v>
      </c>
      <c r="R1584" s="80" t="e" cm="1">
        <f t="array" ref="R1584">_xlfn.IFS(P1584="Service", _xlfn.IFS(I1584="SALES","GP",I1584="SERVICE SALES","GP",I1584="PARTS SALES","GP",I1584="SERVICE COS","GP",I1584="PARTS COS","GP",I1584="SELLING EXPENSES","Selling Expenses",I1584="EMPLOYMENT EXPENSES","Selling Expenses",I1584="EMPLOYMENT EXPENSES","Selling Expenses",I1584="DIRECT EXPENSES","Selling Expenses",I1584="INDIRECT EXPENSES","Selling Expenses"),P1584="Parts",_xlfn.IFS(I1584="SALES","GP",I1584="SERVICE SALES","GP",I1584="PARTS SALES","GP",I1584="SERVICE COS","GP",I1584="PARTS COS","GP",I1584="SELLING EXPENSES","Selling Expenses",I1584="EMPLOYMENT EXPENSES","Selling Expenses",I1584="EMPLOYMENT EXPENSES","Selling Expenses",I1584="DIRECT EXPENSES","Selling Expenses",I1584="INDIRECT EXPENSES","Selling Expenses"))</f>
        <v>#N/A</v>
      </c>
    </row>
    <row r="1585" spans="1:18" x14ac:dyDescent="0.2">
      <c r="A1585" s="75">
        <v>7860</v>
      </c>
      <c r="B1585" s="76" t="s">
        <v>1776</v>
      </c>
      <c r="C1585" s="76">
        <v>935</v>
      </c>
      <c r="D1585" s="76" t="s">
        <v>442</v>
      </c>
      <c r="E1585" s="76" t="s">
        <v>426</v>
      </c>
      <c r="F1585" s="77">
        <v>4454.76</v>
      </c>
      <c r="G1585" s="77">
        <v>698</v>
      </c>
      <c r="H1585" s="77">
        <v>5152.76</v>
      </c>
      <c r="I1585" s="76" t="s">
        <v>936</v>
      </c>
      <c r="J1585" s="77">
        <v>300</v>
      </c>
      <c r="K1585" s="78">
        <v>3699.22</v>
      </c>
      <c r="M1585" s="79" t="str">
        <f t="shared" si="74"/>
        <v>935-7860</v>
      </c>
      <c r="N1585" s="79" t="str">
        <f t="shared" si="72"/>
        <v/>
      </c>
      <c r="O1585" s="79" t="str">
        <f t="shared" si="73"/>
        <v>935</v>
      </c>
      <c r="P1585" s="79" t="str">
        <f>IFERROR(VLOOKUP($M1585,Export!$P:$R,2,FALSE),"-")</f>
        <v>LEX Admin &amp; Other</v>
      </c>
      <c r="Q1585" s="79" t="str">
        <f>IFERROR(VLOOKUP($M1585,Export!$P:$R,3,FALSE),"-")</f>
        <v>LEX Admin &amp; OtherOther Overheads as % of Total Gross Profit</v>
      </c>
      <c r="R1585" s="80" t="e" cm="1">
        <f t="array" ref="R1585">_xlfn.IFS(P1585="Service", _xlfn.IFS(I1585="SALES","GP",I1585="SERVICE SALES","GP",I1585="PARTS SALES","GP",I1585="SERVICE COS","GP",I1585="PARTS COS","GP",I1585="SELLING EXPENSES","Selling Expenses",I1585="EMPLOYMENT EXPENSES","Selling Expenses",I1585="EMPLOYMENT EXPENSES","Selling Expenses",I1585="DIRECT EXPENSES","Selling Expenses",I1585="INDIRECT EXPENSES","Selling Expenses"),P1585="Parts",_xlfn.IFS(I1585="SALES","GP",I1585="SERVICE SALES","GP",I1585="PARTS SALES","GP",I1585="SERVICE COS","GP",I1585="PARTS COS","GP",I1585="SELLING EXPENSES","Selling Expenses",I1585="EMPLOYMENT EXPENSES","Selling Expenses",I1585="EMPLOYMENT EXPENSES","Selling Expenses",I1585="DIRECT EXPENSES","Selling Expenses",I1585="INDIRECT EXPENSES","Selling Expenses"))</f>
        <v>#N/A</v>
      </c>
    </row>
    <row r="1586" spans="1:18" x14ac:dyDescent="0.2">
      <c r="A1586" s="75">
        <v>7860</v>
      </c>
      <c r="B1586" s="298" t="s">
        <v>1776</v>
      </c>
      <c r="C1586" s="76">
        <v>936</v>
      </c>
      <c r="D1586" s="76" t="s">
        <v>443</v>
      </c>
      <c r="E1586" s="76" t="s">
        <v>426</v>
      </c>
      <c r="F1586" s="77">
        <v>2125.75</v>
      </c>
      <c r="G1586" s="77">
        <v>543</v>
      </c>
      <c r="H1586" s="77">
        <v>2668.75</v>
      </c>
      <c r="I1586" s="76" t="s">
        <v>936</v>
      </c>
      <c r="J1586" s="77">
        <v>300</v>
      </c>
      <c r="K1586" s="78">
        <v>3329</v>
      </c>
      <c r="M1586" s="79" t="str">
        <f t="shared" si="74"/>
        <v>936-7860</v>
      </c>
      <c r="N1586" s="79" t="str">
        <f t="shared" si="72"/>
        <v/>
      </c>
      <c r="O1586" s="79" t="str">
        <f t="shared" si="73"/>
        <v>936</v>
      </c>
      <c r="P1586" s="79" t="str">
        <f>IFERROR(VLOOKUP($M1586,Export!$P:$R,2,FALSE),"-")</f>
        <v>LEX Admin &amp; Other</v>
      </c>
      <c r="Q1586" s="79" t="str">
        <f>IFERROR(VLOOKUP($M1586,Export!$P:$R,3,FALSE),"-")</f>
        <v>LEX Admin &amp; OtherOther Overheads as % of Total Gross Profit</v>
      </c>
      <c r="R1586" s="80" t="e" cm="1">
        <f t="array" ref="R1586">_xlfn.IFS(P1586="Service", _xlfn.IFS(I1586="SALES","GP",I1586="SERVICE SALES","GP",I1586="PARTS SALES","GP",I1586="SERVICE COS","GP",I1586="PARTS COS","GP",I1586="SELLING EXPENSES","Selling Expenses",I1586="EMPLOYMENT EXPENSES","Selling Expenses",I1586="EMPLOYMENT EXPENSES","Selling Expenses",I1586="DIRECT EXPENSES","Selling Expenses",I1586="INDIRECT EXPENSES","Selling Expenses"),P1586="Parts",_xlfn.IFS(I1586="SALES","GP",I1586="SERVICE SALES","GP",I1586="PARTS SALES","GP",I1586="SERVICE COS","GP",I1586="PARTS COS","GP",I1586="SELLING EXPENSES","Selling Expenses",I1586="EMPLOYMENT EXPENSES","Selling Expenses",I1586="EMPLOYMENT EXPENSES","Selling Expenses",I1586="DIRECT EXPENSES","Selling Expenses",I1586="INDIRECT EXPENSES","Selling Expenses"))</f>
        <v>#N/A</v>
      </c>
    </row>
    <row r="1587" spans="1:18" x14ac:dyDescent="0.2">
      <c r="A1587" s="75">
        <v>7910</v>
      </c>
      <c r="B1587" s="76" t="s">
        <v>958</v>
      </c>
      <c r="C1587" s="76">
        <v>110</v>
      </c>
      <c r="D1587" s="76" t="s">
        <v>430</v>
      </c>
      <c r="E1587" s="76" t="s">
        <v>426</v>
      </c>
      <c r="F1587" s="77">
        <v>6402.56</v>
      </c>
      <c r="G1587" s="77">
        <v>379.03</v>
      </c>
      <c r="H1587" s="77">
        <v>6781.59</v>
      </c>
      <c r="I1587" s="76" t="s">
        <v>936</v>
      </c>
      <c r="J1587" s="77">
        <v>0</v>
      </c>
      <c r="K1587" s="78">
        <v>0</v>
      </c>
      <c r="M1587" s="79" t="str">
        <f t="shared" si="74"/>
        <v>110-7910</v>
      </c>
      <c r="N1587" s="79" t="str">
        <f t="shared" si="72"/>
        <v/>
      </c>
      <c r="O1587" s="79" t="str">
        <f t="shared" si="73"/>
        <v>110</v>
      </c>
      <c r="P1587" s="79" t="str">
        <f>IFERROR(VLOOKUP($M1587,Export!$P:$R,2,FALSE),"-")</f>
        <v>Used Vehicle</v>
      </c>
      <c r="Q1587" s="79" t="str">
        <f>IFERROR(VLOOKUP($M1587,Export!$P:$R,3,FALSE),"-")</f>
        <v>Used VehicleAdvertising per retail</v>
      </c>
      <c r="R1587" s="80" t="e" cm="1">
        <f t="array" ref="R1587">_xlfn.IFS(P1587="Service", _xlfn.IFS(I1587="SALES","GP",I1587="SERVICE SALES","GP",I1587="PARTS SALES","GP",I1587="SERVICE COS","GP",I1587="PARTS COS","GP",I1587="SELLING EXPENSES","Selling Expenses",I1587="EMPLOYMENT EXPENSES","Selling Expenses",I1587="EMPLOYMENT EXPENSES","Selling Expenses",I1587="DIRECT EXPENSES","Selling Expenses",I1587="INDIRECT EXPENSES","Selling Expenses"),P1587="Parts",_xlfn.IFS(I1587="SALES","GP",I1587="SERVICE SALES","GP",I1587="PARTS SALES","GP",I1587="SERVICE COS","GP",I1587="PARTS COS","GP",I1587="SELLING EXPENSES","Selling Expenses",I1587="EMPLOYMENT EXPENSES","Selling Expenses",I1587="EMPLOYMENT EXPENSES","Selling Expenses",I1587="DIRECT EXPENSES","Selling Expenses",I1587="INDIRECT EXPENSES","Selling Expenses"))</f>
        <v>#N/A</v>
      </c>
    </row>
    <row r="1588" spans="1:18" x14ac:dyDescent="0.2">
      <c r="A1588" s="75">
        <v>7910</v>
      </c>
      <c r="B1588" s="76" t="s">
        <v>958</v>
      </c>
      <c r="C1588" s="76">
        <v>112</v>
      </c>
      <c r="D1588" s="76" t="s">
        <v>349</v>
      </c>
      <c r="E1588" s="76" t="s">
        <v>426</v>
      </c>
      <c r="F1588" s="77">
        <v>2512.06</v>
      </c>
      <c r="G1588" s="77">
        <v>284.35000000000002</v>
      </c>
      <c r="H1588" s="77">
        <v>2796.41</v>
      </c>
      <c r="I1588" s="76" t="s">
        <v>936</v>
      </c>
      <c r="J1588" s="77">
        <v>0</v>
      </c>
      <c r="K1588" s="78">
        <v>0</v>
      </c>
      <c r="M1588" s="79" t="str">
        <f t="shared" si="74"/>
        <v>112-7910</v>
      </c>
      <c r="N1588" s="79" t="str">
        <f t="shared" si="72"/>
        <v/>
      </c>
      <c r="O1588" s="79" t="str">
        <f t="shared" si="73"/>
        <v>112</v>
      </c>
      <c r="P1588" s="79" t="str">
        <f>IFERROR(VLOOKUP($M1588,Export!$P:$R,2,FALSE),"-")</f>
        <v>LEX New Vehicle</v>
      </c>
      <c r="Q1588" s="79" t="str">
        <f>IFERROR(VLOOKUP($M1588,Export!$P:$R,3,FALSE),"-")</f>
        <v>LEX New VehicleAdvertising p.u.</v>
      </c>
      <c r="R1588" s="80" t="e" cm="1">
        <f t="array" ref="R1588">_xlfn.IFS(P1588="Service", _xlfn.IFS(I1588="SALES","GP",I1588="SERVICE SALES","GP",I1588="PARTS SALES","GP",I1588="SERVICE COS","GP",I1588="PARTS COS","GP",I1588="SELLING EXPENSES","Selling Expenses",I1588="EMPLOYMENT EXPENSES","Selling Expenses",I1588="EMPLOYMENT EXPENSES","Selling Expenses",I1588="DIRECT EXPENSES","Selling Expenses",I1588="INDIRECT EXPENSES","Selling Expenses"),P1588="Parts",_xlfn.IFS(I1588="SALES","GP",I1588="SERVICE SALES","GP",I1588="PARTS SALES","GP",I1588="SERVICE COS","GP",I1588="PARTS COS","GP",I1588="SELLING EXPENSES","Selling Expenses",I1588="EMPLOYMENT EXPENSES","Selling Expenses",I1588="EMPLOYMENT EXPENSES","Selling Expenses",I1588="DIRECT EXPENSES","Selling Expenses",I1588="INDIRECT EXPENSES","Selling Expenses"))</f>
        <v>#N/A</v>
      </c>
    </row>
    <row r="1589" spans="1:18" x14ac:dyDescent="0.2">
      <c r="A1589" s="75">
        <v>7910</v>
      </c>
      <c r="B1589" s="76" t="s">
        <v>958</v>
      </c>
      <c r="C1589" s="76">
        <v>120</v>
      </c>
      <c r="D1589" s="76" t="s">
        <v>431</v>
      </c>
      <c r="E1589" s="76" t="s">
        <v>426</v>
      </c>
      <c r="F1589" s="77">
        <v>4233.62</v>
      </c>
      <c r="G1589" s="77">
        <v>511.82</v>
      </c>
      <c r="H1589" s="77">
        <v>4745.4399999999996</v>
      </c>
      <c r="I1589" s="76" t="s">
        <v>936</v>
      </c>
      <c r="J1589" s="77">
        <v>0</v>
      </c>
      <c r="K1589" s="78">
        <v>0</v>
      </c>
      <c r="M1589" s="79" t="str">
        <f t="shared" si="74"/>
        <v>120-7910</v>
      </c>
      <c r="N1589" s="79" t="str">
        <f t="shared" si="72"/>
        <v/>
      </c>
      <c r="O1589" s="79" t="str">
        <f t="shared" si="73"/>
        <v>120</v>
      </c>
      <c r="P1589" s="79" t="str">
        <f>IFERROR(VLOOKUP($M1589,Export!$P:$R,2,FALSE),"-")</f>
        <v>Used Vehicle</v>
      </c>
      <c r="Q1589" s="79" t="str">
        <f>IFERROR(VLOOKUP($M1589,Export!$P:$R,3,FALSE),"-")</f>
        <v>Used VehicleAdvertising per retail</v>
      </c>
      <c r="R1589" s="80" t="e" cm="1">
        <f t="array" ref="R1589">_xlfn.IFS(P1589="Service", _xlfn.IFS(I1589="SALES","GP",I1589="SERVICE SALES","GP",I1589="PARTS SALES","GP",I1589="SERVICE COS","GP",I1589="PARTS COS","GP",I1589="SELLING EXPENSES","Selling Expenses",I1589="EMPLOYMENT EXPENSES","Selling Expenses",I1589="EMPLOYMENT EXPENSES","Selling Expenses",I1589="DIRECT EXPENSES","Selling Expenses",I1589="INDIRECT EXPENSES","Selling Expenses"),P1589="Parts",_xlfn.IFS(I1589="SALES","GP",I1589="SERVICE SALES","GP",I1589="PARTS SALES","GP",I1589="SERVICE COS","GP",I1589="PARTS COS","GP",I1589="SELLING EXPENSES","Selling Expenses",I1589="EMPLOYMENT EXPENSES","Selling Expenses",I1589="EMPLOYMENT EXPENSES","Selling Expenses",I1589="DIRECT EXPENSES","Selling Expenses",I1589="INDIRECT EXPENSES","Selling Expenses"))</f>
        <v>#N/A</v>
      </c>
    </row>
    <row r="1590" spans="1:18" x14ac:dyDescent="0.2">
      <c r="A1590" s="75">
        <v>7910</v>
      </c>
      <c r="B1590" s="76" t="s">
        <v>958</v>
      </c>
      <c r="C1590" s="76">
        <v>130</v>
      </c>
      <c r="D1590" s="76" t="s">
        <v>432</v>
      </c>
      <c r="E1590" s="76" t="s">
        <v>426</v>
      </c>
      <c r="F1590" s="77">
        <v>23297.3</v>
      </c>
      <c r="G1590" s="77">
        <v>2450.04</v>
      </c>
      <c r="H1590" s="77">
        <v>25747.34</v>
      </c>
      <c r="I1590" s="76" t="s">
        <v>936</v>
      </c>
      <c r="J1590" s="77">
        <v>0</v>
      </c>
      <c r="K1590" s="78">
        <v>0</v>
      </c>
      <c r="M1590" s="79" t="str">
        <f t="shared" si="74"/>
        <v>130-7910</v>
      </c>
      <c r="N1590" s="79" t="str">
        <f t="shared" si="72"/>
        <v/>
      </c>
      <c r="O1590" s="79" t="str">
        <f t="shared" si="73"/>
        <v>130</v>
      </c>
      <c r="P1590" s="79" t="str">
        <f>IFERROR(VLOOKUP($M1590,Export!$P:$R,2,FALSE),"-")</f>
        <v>Parts</v>
      </c>
      <c r="Q1590" s="79" t="str">
        <f>IFERROR(VLOOKUP($M1590,Export!$P:$R,3,FALSE),"-")</f>
        <v>PartsOther Expenses as % of Sales</v>
      </c>
      <c r="R1590" s="80" t="str" cm="1">
        <f t="array" ref="R1590">_xlfn.IFS(P1590="Service", _xlfn.IFS(I1590="SALES","GP",I1590="SERVICE SALES","GP",I1590="PARTS SALES","GP",I1590="SERVICE COS","GP",I1590="PARTS COS","GP",I1590="SELLING EXPENSES","Selling Expenses",I1590="EMPLOYMENT EXPENSES","Selling Expenses",I1590="EMPLOYMENT EXPENSES","Selling Expenses",I1590="DIRECT EXPENSES","Selling Expenses",I1590="INDIRECT EXPENSES","Selling Expenses"),P1590="Parts",_xlfn.IFS(I1590="SALES","GP",I1590="SERVICE SALES","GP",I1590="PARTS SALES","GP",I1590="SERVICE COS","GP",I1590="PARTS COS","GP",I1590="SELLING EXPENSES","Selling Expenses",I1590="EMPLOYMENT EXPENSES","Selling Expenses",I1590="EMPLOYMENT EXPENSES","Selling Expenses",I1590="DIRECT EXPENSES","Selling Expenses",I1590="INDIRECT EXPENSES","Selling Expenses"))</f>
        <v>Selling Expenses</v>
      </c>
    </row>
    <row r="1591" spans="1:18" x14ac:dyDescent="0.2">
      <c r="A1591" s="75">
        <v>7910</v>
      </c>
      <c r="B1591" s="76" t="s">
        <v>958</v>
      </c>
      <c r="C1591" s="76">
        <v>140</v>
      </c>
      <c r="D1591" s="76" t="s">
        <v>433</v>
      </c>
      <c r="E1591" s="76" t="s">
        <v>426</v>
      </c>
      <c r="F1591" s="77">
        <v>4171.7</v>
      </c>
      <c r="G1591" s="77">
        <v>341.2</v>
      </c>
      <c r="H1591" s="77">
        <v>4512.8999999999996</v>
      </c>
      <c r="I1591" s="76" t="s">
        <v>936</v>
      </c>
      <c r="J1591" s="77">
        <v>0</v>
      </c>
      <c r="K1591" s="78">
        <v>143.88999999999999</v>
      </c>
      <c r="M1591" s="79" t="str">
        <f t="shared" si="74"/>
        <v>140-7910</v>
      </c>
      <c r="N1591" s="79" t="str">
        <f t="shared" si="72"/>
        <v/>
      </c>
      <c r="O1591" s="79" t="str">
        <f t="shared" si="73"/>
        <v>140</v>
      </c>
      <c r="P1591" s="79" t="str">
        <f>IFERROR(VLOOKUP($M1591,Export!$P:$R,2,FALSE),"-")</f>
        <v>Service</v>
      </c>
      <c r="Q1591" s="79" t="str">
        <f>IFERROR(VLOOKUP($M1591,Export!$P:$R,3,FALSE),"-")</f>
        <v>ServiceOther Expenses as % of Sales</v>
      </c>
      <c r="R1591" s="80" t="str" cm="1">
        <f t="array" ref="R1591">_xlfn.IFS(P1591="Service", _xlfn.IFS(I1591="SALES","GP",I1591="SERVICE SALES","GP",I1591="PARTS SALES","GP",I1591="SERVICE COS","GP",I1591="PARTS COS","GP",I1591="SELLING EXPENSES","Selling Expenses",I1591="EMPLOYMENT EXPENSES","Selling Expenses",I1591="EMPLOYMENT EXPENSES","Selling Expenses",I1591="DIRECT EXPENSES","Selling Expenses",I1591="INDIRECT EXPENSES","Selling Expenses"),P1591="Parts",_xlfn.IFS(I1591="SALES","GP",I1591="SERVICE SALES","GP",I1591="PARTS SALES","GP",I1591="SERVICE COS","GP",I1591="PARTS COS","GP",I1591="SELLING EXPENSES","Selling Expenses",I1591="EMPLOYMENT EXPENSES","Selling Expenses",I1591="EMPLOYMENT EXPENSES","Selling Expenses",I1591="DIRECT EXPENSES","Selling Expenses",I1591="INDIRECT EXPENSES","Selling Expenses"))</f>
        <v>Selling Expenses</v>
      </c>
    </row>
    <row r="1592" spans="1:18" x14ac:dyDescent="0.2">
      <c r="A1592" s="75">
        <v>7910</v>
      </c>
      <c r="B1592" s="76" t="s">
        <v>958</v>
      </c>
      <c r="C1592" s="76">
        <v>160</v>
      </c>
      <c r="D1592" s="76" t="s">
        <v>434</v>
      </c>
      <c r="E1592" s="76" t="s">
        <v>426</v>
      </c>
      <c r="F1592" s="77">
        <v>1411.23</v>
      </c>
      <c r="G1592" s="77">
        <v>170.62</v>
      </c>
      <c r="H1592" s="77">
        <v>1581.85</v>
      </c>
      <c r="I1592" s="76" t="s">
        <v>936</v>
      </c>
      <c r="J1592" s="77">
        <v>0</v>
      </c>
      <c r="K1592" s="78">
        <v>0</v>
      </c>
      <c r="M1592" s="79" t="str">
        <f t="shared" si="74"/>
        <v>160-7910</v>
      </c>
      <c r="N1592" s="79" t="str">
        <f t="shared" si="72"/>
        <v/>
      </c>
      <c r="O1592" s="79" t="str">
        <f t="shared" si="73"/>
        <v>160</v>
      </c>
      <c r="P1592" s="79" t="str">
        <f>IFERROR(VLOOKUP($M1592,Export!$P:$R,2,FALSE),"-")</f>
        <v>F&amp;I</v>
      </c>
      <c r="Q1592" s="79" t="str">
        <f>IFERROR(VLOOKUP($M1592,Export!$P:$R,3,FALSE),"-")</f>
        <v>F&amp;IOther Expenses per vehicle retailed</v>
      </c>
      <c r="R1592" s="80" t="e" cm="1">
        <f t="array" ref="R1592">_xlfn.IFS(P1592="Service", _xlfn.IFS(I1592="SALES","GP",I1592="SERVICE SALES","GP",I1592="PARTS SALES","GP",I1592="SERVICE COS","GP",I1592="PARTS COS","GP",I1592="SELLING EXPENSES","Selling Expenses",I1592="EMPLOYMENT EXPENSES","Selling Expenses",I1592="EMPLOYMENT EXPENSES","Selling Expenses",I1592="DIRECT EXPENSES","Selling Expenses",I1592="INDIRECT EXPENSES","Selling Expenses"),P1592="Parts",_xlfn.IFS(I1592="SALES","GP",I1592="SERVICE SALES","GP",I1592="PARTS SALES","GP",I1592="SERVICE COS","GP",I1592="PARTS COS","GP",I1592="SELLING EXPENSES","Selling Expenses",I1592="EMPLOYMENT EXPENSES","Selling Expenses",I1592="EMPLOYMENT EXPENSES","Selling Expenses",I1592="DIRECT EXPENSES","Selling Expenses",I1592="INDIRECT EXPENSES","Selling Expenses"))</f>
        <v>#N/A</v>
      </c>
    </row>
    <row r="1593" spans="1:18" x14ac:dyDescent="0.2">
      <c r="A1593" s="75">
        <v>7910</v>
      </c>
      <c r="B1593" s="76" t="s">
        <v>958</v>
      </c>
      <c r="C1593" s="76">
        <v>190</v>
      </c>
      <c r="D1593" s="76" t="s">
        <v>435</v>
      </c>
      <c r="E1593" s="76" t="s">
        <v>426</v>
      </c>
      <c r="F1593" s="77">
        <v>394.78</v>
      </c>
      <c r="G1593" s="77">
        <v>0</v>
      </c>
      <c r="H1593" s="77">
        <v>394.78</v>
      </c>
      <c r="I1593" s="76" t="s">
        <v>936</v>
      </c>
      <c r="J1593" s="77">
        <v>0</v>
      </c>
      <c r="K1593" s="78">
        <v>0</v>
      </c>
      <c r="M1593" s="79" t="str">
        <f t="shared" si="74"/>
        <v>190-7910</v>
      </c>
      <c r="N1593" s="79" t="str">
        <f t="shared" si="72"/>
        <v/>
      </c>
      <c r="O1593" s="79" t="str">
        <f t="shared" si="73"/>
        <v>190</v>
      </c>
      <c r="P1593" s="79" t="str">
        <f>IFERROR(VLOOKUP($M1593,Export!$P:$R,2,FALSE),"-")</f>
        <v>Admin &amp; Other</v>
      </c>
      <c r="Q1593" s="79" t="str">
        <f>IFERROR(VLOOKUP($M1593,Export!$P:$R,3,FALSE),"-")</f>
        <v>Admin &amp; OtherOther Overheads as % of Total Gross Profit</v>
      </c>
      <c r="R1593" s="80" t="e" cm="1">
        <f t="array" ref="R1593">_xlfn.IFS(P1593="Service", _xlfn.IFS(I1593="SALES","GP",I1593="SERVICE SALES","GP",I1593="PARTS SALES","GP",I1593="SERVICE COS","GP",I1593="PARTS COS","GP",I1593="SELLING EXPENSES","Selling Expenses",I1593="EMPLOYMENT EXPENSES","Selling Expenses",I1593="EMPLOYMENT EXPENSES","Selling Expenses",I1593="DIRECT EXPENSES","Selling Expenses",I1593="INDIRECT EXPENSES","Selling Expenses"),P1593="Parts",_xlfn.IFS(I1593="SALES","GP",I1593="SERVICE SALES","GP",I1593="PARTS SALES","GP",I1593="SERVICE COS","GP",I1593="PARTS COS","GP",I1593="SELLING EXPENSES","Selling Expenses",I1593="EMPLOYMENT EXPENSES","Selling Expenses",I1593="EMPLOYMENT EXPENSES","Selling Expenses",I1593="DIRECT EXPENSES","Selling Expenses",I1593="INDIRECT EXPENSES","Selling Expenses"))</f>
        <v>#N/A</v>
      </c>
    </row>
    <row r="1594" spans="1:18" x14ac:dyDescent="0.2">
      <c r="A1594" s="75">
        <v>7910</v>
      </c>
      <c r="B1594" s="76" t="s">
        <v>958</v>
      </c>
      <c r="C1594" s="76">
        <v>210</v>
      </c>
      <c r="D1594" s="76" t="s">
        <v>436</v>
      </c>
      <c r="E1594" s="76" t="s">
        <v>426</v>
      </c>
      <c r="F1594" s="77">
        <v>1646.79</v>
      </c>
      <c r="G1594" s="77">
        <v>189.66</v>
      </c>
      <c r="H1594" s="77">
        <v>1836.45</v>
      </c>
      <c r="I1594" s="76" t="s">
        <v>936</v>
      </c>
      <c r="J1594" s="77">
        <v>1200</v>
      </c>
      <c r="K1594" s="78">
        <v>3600</v>
      </c>
      <c r="M1594" s="79" t="str">
        <f t="shared" si="74"/>
        <v>210-7910</v>
      </c>
      <c r="N1594" s="79" t="str">
        <f t="shared" si="72"/>
        <v/>
      </c>
      <c r="O1594" s="79" t="str">
        <f t="shared" si="73"/>
        <v>210</v>
      </c>
      <c r="P1594" s="79" t="str">
        <f>IFERROR(VLOOKUP($M1594,Export!$P:$R,2,FALSE),"-")</f>
        <v>Used Vehicle</v>
      </c>
      <c r="Q1594" s="79" t="str">
        <f>IFERROR(VLOOKUP($M1594,Export!$P:$R,3,FALSE),"-")</f>
        <v>Used VehicleAdvertising per retail</v>
      </c>
      <c r="R1594" s="80" t="e" cm="1">
        <f t="array" ref="R1594">_xlfn.IFS(P1594="Service", _xlfn.IFS(I1594="SALES","GP",I1594="SERVICE SALES","GP",I1594="PARTS SALES","GP",I1594="SERVICE COS","GP",I1594="PARTS COS","GP",I1594="SELLING EXPENSES","Selling Expenses",I1594="EMPLOYMENT EXPENSES","Selling Expenses",I1594="EMPLOYMENT EXPENSES","Selling Expenses",I1594="DIRECT EXPENSES","Selling Expenses",I1594="INDIRECT EXPENSES","Selling Expenses"),P1594="Parts",_xlfn.IFS(I1594="SALES","GP",I1594="SERVICE SALES","GP",I1594="PARTS SALES","GP",I1594="SERVICE COS","GP",I1594="PARTS COS","GP",I1594="SELLING EXPENSES","Selling Expenses",I1594="EMPLOYMENT EXPENSES","Selling Expenses",I1594="EMPLOYMENT EXPENSES","Selling Expenses",I1594="DIRECT EXPENSES","Selling Expenses",I1594="INDIRECT EXPENSES","Selling Expenses"))</f>
        <v>#N/A</v>
      </c>
    </row>
    <row r="1595" spans="1:18" x14ac:dyDescent="0.2">
      <c r="A1595" s="75">
        <v>7910</v>
      </c>
      <c r="B1595" s="76" t="s">
        <v>958</v>
      </c>
      <c r="C1595" s="76">
        <v>220</v>
      </c>
      <c r="D1595" s="76" t="s">
        <v>437</v>
      </c>
      <c r="E1595" s="76" t="s">
        <v>426</v>
      </c>
      <c r="F1595" s="77">
        <v>1018.82</v>
      </c>
      <c r="G1595" s="77">
        <v>113.74</v>
      </c>
      <c r="H1595" s="77">
        <v>1132.56</v>
      </c>
      <c r="I1595" s="76" t="s">
        <v>936</v>
      </c>
      <c r="J1595" s="77">
        <v>0</v>
      </c>
      <c r="K1595" s="78">
        <v>0</v>
      </c>
      <c r="M1595" s="79" t="str">
        <f t="shared" si="74"/>
        <v>220-7910</v>
      </c>
      <c r="N1595" s="79" t="str">
        <f t="shared" si="72"/>
        <v/>
      </c>
      <c r="O1595" s="79" t="str">
        <f t="shared" si="73"/>
        <v>220</v>
      </c>
      <c r="P1595" s="79" t="str">
        <f>IFERROR(VLOOKUP($M1595,Export!$P:$R,2,FALSE),"-")</f>
        <v>Used Vehicle</v>
      </c>
      <c r="Q1595" s="79" t="str">
        <f>IFERROR(VLOOKUP($M1595,Export!$P:$R,3,FALSE),"-")</f>
        <v>Used VehicleAdvertising per retail</v>
      </c>
      <c r="R1595" s="80" t="e" cm="1">
        <f t="array" ref="R1595">_xlfn.IFS(P1595="Service", _xlfn.IFS(I1595="SALES","GP",I1595="SERVICE SALES","GP",I1595="PARTS SALES","GP",I1595="SERVICE COS","GP",I1595="PARTS COS","GP",I1595="SELLING EXPENSES","Selling Expenses",I1595="EMPLOYMENT EXPENSES","Selling Expenses",I1595="EMPLOYMENT EXPENSES","Selling Expenses",I1595="DIRECT EXPENSES","Selling Expenses",I1595="INDIRECT EXPENSES","Selling Expenses"),P1595="Parts",_xlfn.IFS(I1595="SALES","GP",I1595="SERVICE SALES","GP",I1595="PARTS SALES","GP",I1595="SERVICE COS","GP",I1595="PARTS COS","GP",I1595="SELLING EXPENSES","Selling Expenses",I1595="EMPLOYMENT EXPENSES","Selling Expenses",I1595="EMPLOYMENT EXPENSES","Selling Expenses",I1595="DIRECT EXPENSES","Selling Expenses",I1595="INDIRECT EXPENSES","Selling Expenses"))</f>
        <v>#N/A</v>
      </c>
    </row>
    <row r="1596" spans="1:18" x14ac:dyDescent="0.2">
      <c r="A1596" s="75">
        <v>7910</v>
      </c>
      <c r="B1596" s="76" t="s">
        <v>958</v>
      </c>
      <c r="C1596" s="76">
        <v>230</v>
      </c>
      <c r="D1596" s="76" t="s">
        <v>438</v>
      </c>
      <c r="E1596" s="76" t="s">
        <v>426</v>
      </c>
      <c r="F1596" s="77">
        <v>1872</v>
      </c>
      <c r="G1596" s="77">
        <v>239.94</v>
      </c>
      <c r="H1596" s="77">
        <v>2111.94</v>
      </c>
      <c r="I1596" s="76" t="s">
        <v>936</v>
      </c>
      <c r="J1596" s="77">
        <v>0</v>
      </c>
      <c r="K1596" s="78">
        <v>0</v>
      </c>
      <c r="M1596" s="79" t="str">
        <f t="shared" si="74"/>
        <v>230-7910</v>
      </c>
      <c r="N1596" s="79" t="str">
        <f t="shared" si="72"/>
        <v/>
      </c>
      <c r="O1596" s="79" t="str">
        <f t="shared" si="73"/>
        <v>230</v>
      </c>
      <c r="P1596" s="79" t="str">
        <f>IFERROR(VLOOKUP($M1596,Export!$P:$R,2,FALSE),"-")</f>
        <v>Parts</v>
      </c>
      <c r="Q1596" s="79" t="str">
        <f>IFERROR(VLOOKUP($M1596,Export!$P:$R,3,FALSE),"-")</f>
        <v>PartsOther Expenses as % of Sales</v>
      </c>
      <c r="R1596" s="80" t="str" cm="1">
        <f t="array" ref="R1596">_xlfn.IFS(P1596="Service", _xlfn.IFS(I1596="SALES","GP",I1596="SERVICE SALES","GP",I1596="PARTS SALES","GP",I1596="SERVICE COS","GP",I1596="PARTS COS","GP",I1596="SELLING EXPENSES","Selling Expenses",I1596="EMPLOYMENT EXPENSES","Selling Expenses",I1596="EMPLOYMENT EXPENSES","Selling Expenses",I1596="DIRECT EXPENSES","Selling Expenses",I1596="INDIRECT EXPENSES","Selling Expenses"),P1596="Parts",_xlfn.IFS(I1596="SALES","GP",I1596="SERVICE SALES","GP",I1596="PARTS SALES","GP",I1596="SERVICE COS","GP",I1596="PARTS COS","GP",I1596="SELLING EXPENSES","Selling Expenses",I1596="EMPLOYMENT EXPENSES","Selling Expenses",I1596="EMPLOYMENT EXPENSES","Selling Expenses",I1596="DIRECT EXPENSES","Selling Expenses",I1596="INDIRECT EXPENSES","Selling Expenses"))</f>
        <v>Selling Expenses</v>
      </c>
    </row>
    <row r="1597" spans="1:18" x14ac:dyDescent="0.2">
      <c r="A1597" s="75">
        <v>7910</v>
      </c>
      <c r="B1597" s="76" t="s">
        <v>958</v>
      </c>
      <c r="C1597" s="76">
        <v>240</v>
      </c>
      <c r="D1597" s="76" t="s">
        <v>439</v>
      </c>
      <c r="E1597" s="76" t="s">
        <v>426</v>
      </c>
      <c r="F1597" s="77">
        <v>4374.6099999999997</v>
      </c>
      <c r="G1597" s="77">
        <v>151.55000000000001</v>
      </c>
      <c r="H1597" s="77">
        <v>4526.16</v>
      </c>
      <c r="I1597" s="76" t="s">
        <v>936</v>
      </c>
      <c r="J1597" s="77">
        <v>0</v>
      </c>
      <c r="K1597" s="78">
        <v>0</v>
      </c>
      <c r="M1597" s="79" t="str">
        <f t="shared" si="74"/>
        <v>240-7910</v>
      </c>
      <c r="N1597" s="79" t="str">
        <f t="shared" si="72"/>
        <v/>
      </c>
      <c r="O1597" s="79" t="str">
        <f t="shared" si="73"/>
        <v>240</v>
      </c>
      <c r="P1597" s="79" t="str">
        <f>IFERROR(VLOOKUP($M1597,Export!$P:$R,2,FALSE),"-")</f>
        <v>Service</v>
      </c>
      <c r="Q1597" s="79" t="str">
        <f>IFERROR(VLOOKUP($M1597,Export!$P:$R,3,FALSE),"-")</f>
        <v>ServiceOther Expenses as % of Sales</v>
      </c>
      <c r="R1597" s="80" t="str" cm="1">
        <f t="array" ref="R1597">_xlfn.IFS(P1597="Service", _xlfn.IFS(I1597="SALES","GP",I1597="SERVICE SALES","GP",I1597="PARTS SALES","GP",I1597="SERVICE COS","GP",I1597="PARTS COS","GP",I1597="SELLING EXPENSES","Selling Expenses",I1597="EMPLOYMENT EXPENSES","Selling Expenses",I1597="EMPLOYMENT EXPENSES","Selling Expenses",I1597="DIRECT EXPENSES","Selling Expenses",I1597="INDIRECT EXPENSES","Selling Expenses"),P1597="Parts",_xlfn.IFS(I1597="SALES","GP",I1597="SERVICE SALES","GP",I1597="PARTS SALES","GP",I1597="SERVICE COS","GP",I1597="PARTS COS","GP",I1597="SELLING EXPENSES","Selling Expenses",I1597="EMPLOYMENT EXPENSES","Selling Expenses",I1597="EMPLOYMENT EXPENSES","Selling Expenses",I1597="DIRECT EXPENSES","Selling Expenses",I1597="INDIRECT EXPENSES","Selling Expenses"))</f>
        <v>Selling Expenses</v>
      </c>
    </row>
    <row r="1598" spans="1:18" x14ac:dyDescent="0.2">
      <c r="A1598" s="75">
        <v>7910</v>
      </c>
      <c r="B1598" s="76" t="s">
        <v>958</v>
      </c>
      <c r="C1598" s="76">
        <v>340</v>
      </c>
      <c r="D1598" s="76" t="s">
        <v>440</v>
      </c>
      <c r="E1598" s="76" t="s">
        <v>426</v>
      </c>
      <c r="F1598" s="77">
        <v>639.80999999999995</v>
      </c>
      <c r="G1598" s="77">
        <v>77.34</v>
      </c>
      <c r="H1598" s="77">
        <v>717.15</v>
      </c>
      <c r="I1598" s="76" t="s">
        <v>936</v>
      </c>
      <c r="J1598" s="77">
        <v>0</v>
      </c>
      <c r="K1598" s="78">
        <v>0</v>
      </c>
      <c r="M1598" s="79" t="str">
        <f t="shared" si="74"/>
        <v>340-7910</v>
      </c>
      <c r="N1598" s="79" t="str">
        <f t="shared" si="72"/>
        <v/>
      </c>
      <c r="O1598" s="79" t="str">
        <f t="shared" si="73"/>
        <v>340</v>
      </c>
      <c r="P1598" s="79" t="str">
        <f>IFERROR(VLOOKUP($M1598,Export!$P:$R,2,FALSE),"-")</f>
        <v>Service</v>
      </c>
      <c r="Q1598" s="79" t="str">
        <f>IFERROR(VLOOKUP($M1598,Export!$P:$R,3,FALSE),"-")</f>
        <v>ServiceOther Expenses as % of Sales</v>
      </c>
      <c r="R1598" s="80" t="str" cm="1">
        <f t="array" ref="R1598">_xlfn.IFS(P1598="Service", _xlfn.IFS(I1598="SALES","GP",I1598="SERVICE SALES","GP",I1598="PARTS SALES","GP",I1598="SERVICE COS","GP",I1598="PARTS COS","GP",I1598="SELLING EXPENSES","Selling Expenses",I1598="EMPLOYMENT EXPENSES","Selling Expenses",I1598="EMPLOYMENT EXPENSES","Selling Expenses",I1598="DIRECT EXPENSES","Selling Expenses",I1598="INDIRECT EXPENSES","Selling Expenses"),P1598="Parts",_xlfn.IFS(I1598="SALES","GP",I1598="SERVICE SALES","GP",I1598="PARTS SALES","GP",I1598="SERVICE COS","GP",I1598="PARTS COS","GP",I1598="SELLING EXPENSES","Selling Expenses",I1598="EMPLOYMENT EXPENSES","Selling Expenses",I1598="EMPLOYMENT EXPENSES","Selling Expenses",I1598="DIRECT EXPENSES","Selling Expenses",I1598="INDIRECT EXPENSES","Selling Expenses"))</f>
        <v>Selling Expenses</v>
      </c>
    </row>
    <row r="1599" spans="1:18" x14ac:dyDescent="0.2">
      <c r="A1599" s="75">
        <v>7910</v>
      </c>
      <c r="B1599" s="76" t="s">
        <v>958</v>
      </c>
      <c r="C1599" s="76">
        <v>935</v>
      </c>
      <c r="D1599" s="76" t="s">
        <v>442</v>
      </c>
      <c r="E1599" s="76" t="s">
        <v>426</v>
      </c>
      <c r="F1599" s="77">
        <v>663.02</v>
      </c>
      <c r="G1599" s="77">
        <v>71.09</v>
      </c>
      <c r="H1599" s="77">
        <v>734.11</v>
      </c>
      <c r="I1599" s="76" t="s">
        <v>936</v>
      </c>
      <c r="J1599" s="77">
        <v>0</v>
      </c>
      <c r="K1599" s="78">
        <v>0</v>
      </c>
      <c r="M1599" s="79" t="str">
        <f t="shared" si="74"/>
        <v>935-7910</v>
      </c>
      <c r="N1599" s="79" t="str">
        <f t="shared" si="72"/>
        <v/>
      </c>
      <c r="O1599" s="79" t="str">
        <f t="shared" si="73"/>
        <v>935</v>
      </c>
      <c r="P1599" s="79" t="str">
        <f>IFERROR(VLOOKUP($M1599,Export!$P:$R,2,FALSE),"-")</f>
        <v>Bridgestone</v>
      </c>
      <c r="Q1599" s="79" t="str">
        <f>IFERROR(VLOOKUP($M1599,Export!$P:$R,3,FALSE),"-")</f>
        <v>BridgestoneOther Expenses as % of Sales</v>
      </c>
      <c r="R1599" s="80" t="e" cm="1">
        <f t="array" ref="R1599">_xlfn.IFS(P1599="Service", _xlfn.IFS(I1599="SALES","GP",I1599="SERVICE SALES","GP",I1599="PARTS SALES","GP",I1599="SERVICE COS","GP",I1599="PARTS COS","GP",I1599="SELLING EXPENSES","Selling Expenses",I1599="EMPLOYMENT EXPENSES","Selling Expenses",I1599="EMPLOYMENT EXPENSES","Selling Expenses",I1599="DIRECT EXPENSES","Selling Expenses",I1599="INDIRECT EXPENSES","Selling Expenses"),P1599="Parts",_xlfn.IFS(I1599="SALES","GP",I1599="SERVICE SALES","GP",I1599="PARTS SALES","GP",I1599="SERVICE COS","GP",I1599="PARTS COS","GP",I1599="SELLING EXPENSES","Selling Expenses",I1599="EMPLOYMENT EXPENSES","Selling Expenses",I1599="EMPLOYMENT EXPENSES","Selling Expenses",I1599="DIRECT EXPENSES","Selling Expenses",I1599="INDIRECT EXPENSES","Selling Expenses"))</f>
        <v>#N/A</v>
      </c>
    </row>
    <row r="1600" spans="1:18" x14ac:dyDescent="0.2">
      <c r="A1600" s="75">
        <v>7910</v>
      </c>
      <c r="B1600" s="76" t="s">
        <v>958</v>
      </c>
      <c r="C1600" s="76">
        <v>936</v>
      </c>
      <c r="D1600" s="76" t="s">
        <v>443</v>
      </c>
      <c r="E1600" s="76" t="s">
        <v>426</v>
      </c>
      <c r="F1600" s="77">
        <v>588.02</v>
      </c>
      <c r="G1600" s="77">
        <v>71.09</v>
      </c>
      <c r="H1600" s="77">
        <v>659.11</v>
      </c>
      <c r="I1600" s="76" t="s">
        <v>936</v>
      </c>
      <c r="J1600" s="77">
        <v>0</v>
      </c>
      <c r="K1600" s="78">
        <v>0</v>
      </c>
      <c r="M1600" s="79" t="str">
        <f t="shared" si="74"/>
        <v>936-7910</v>
      </c>
      <c r="N1600" s="79" t="str">
        <f t="shared" si="72"/>
        <v/>
      </c>
      <c r="O1600" s="79" t="str">
        <f t="shared" si="73"/>
        <v>936</v>
      </c>
      <c r="P1600" s="79" t="str">
        <f>IFERROR(VLOOKUP($M1600,Export!$P:$R,2,FALSE),"-")</f>
        <v>Bridgestone</v>
      </c>
      <c r="Q1600" s="79" t="str">
        <f>IFERROR(VLOOKUP($M1600,Export!$P:$R,3,FALSE),"-")</f>
        <v>BridgestoneOther Expenses as % of Sales</v>
      </c>
      <c r="R1600" s="80" t="e" cm="1">
        <f t="array" ref="R1600">_xlfn.IFS(P1600="Service", _xlfn.IFS(I1600="SALES","GP",I1600="SERVICE SALES","GP",I1600="PARTS SALES","GP",I1600="SERVICE COS","GP",I1600="PARTS COS","GP",I1600="SELLING EXPENSES","Selling Expenses",I1600="EMPLOYMENT EXPENSES","Selling Expenses",I1600="EMPLOYMENT EXPENSES","Selling Expenses",I1600="DIRECT EXPENSES","Selling Expenses",I1600="INDIRECT EXPENSES","Selling Expenses"),P1600="Parts",_xlfn.IFS(I1600="SALES","GP",I1600="SERVICE SALES","GP",I1600="PARTS SALES","GP",I1600="SERVICE COS","GP",I1600="PARTS COS","GP",I1600="SELLING EXPENSES","Selling Expenses",I1600="EMPLOYMENT EXPENSES","Selling Expenses",I1600="EMPLOYMENT EXPENSES","Selling Expenses",I1600="DIRECT EXPENSES","Selling Expenses",I1600="INDIRECT EXPENSES","Selling Expenses"))</f>
        <v>#N/A</v>
      </c>
    </row>
    <row r="1601" spans="1:18" x14ac:dyDescent="0.2">
      <c r="A1601" s="75" t="s">
        <v>72</v>
      </c>
      <c r="B1601" s="76" t="s">
        <v>73</v>
      </c>
      <c r="C1601" s="76">
        <v>100</v>
      </c>
      <c r="D1601" s="76" t="s">
        <v>227</v>
      </c>
      <c r="E1601" s="76" t="s">
        <v>247</v>
      </c>
      <c r="F1601" s="77">
        <v>5</v>
      </c>
      <c r="G1601" s="77">
        <v>0</v>
      </c>
      <c r="H1601" s="77">
        <v>5</v>
      </c>
      <c r="I1601" s="76" t="s">
        <v>936</v>
      </c>
      <c r="J1601" s="77">
        <v>0</v>
      </c>
      <c r="K1601" s="78">
        <v>5</v>
      </c>
      <c r="M1601" s="79" t="str">
        <f t="shared" si="74"/>
        <v>100-9285M#</v>
      </c>
      <c r="N1601" s="79" t="str">
        <f t="shared" si="72"/>
        <v>#</v>
      </c>
      <c r="O1601" s="79" t="str">
        <f t="shared" si="73"/>
        <v>100#</v>
      </c>
      <c r="P1601" s="79" t="str">
        <f>IFERROR(VLOOKUP($M1601,Export!$P:$R,2,FALSE),"-")</f>
        <v>-</v>
      </c>
      <c r="Q1601" s="79" t="str">
        <f>IFERROR(VLOOKUP($M1601,Export!$P:$R,3,FALSE),"-")</f>
        <v>-</v>
      </c>
      <c r="R1601" s="80" t="e" cm="1">
        <f t="array" ref="R1601">_xlfn.IFS(P1601="Service", _xlfn.IFS(I1601="SALES","GP",I1601="SERVICE SALES","GP",I1601="PARTS SALES","GP",I1601="SERVICE COS","GP",I1601="PARTS COS","GP",I1601="SELLING EXPENSES","Selling Expenses",I1601="EMPLOYMENT EXPENSES","Selling Expenses",I1601="EMPLOYMENT EXPENSES","Selling Expenses",I1601="DIRECT EXPENSES","Selling Expenses",I1601="INDIRECT EXPENSES","Selling Expenses"),P1601="Parts",_xlfn.IFS(I1601="SALES","GP",I1601="SERVICE SALES","GP",I1601="PARTS SALES","GP",I1601="SERVICE COS","GP",I1601="PARTS COS","GP",I1601="SELLING EXPENSES","Selling Expenses",I1601="EMPLOYMENT EXPENSES","Selling Expenses",I1601="EMPLOYMENT EXPENSES","Selling Expenses",I1601="DIRECT EXPENSES","Selling Expenses",I1601="INDIRECT EXPENSES","Selling Expenses"))</f>
        <v>#N/A</v>
      </c>
    </row>
    <row r="1602" spans="1:18" x14ac:dyDescent="0.2">
      <c r="A1602" s="75" t="s">
        <v>72</v>
      </c>
      <c r="B1602" s="76" t="s">
        <v>73</v>
      </c>
      <c r="C1602" s="76">
        <v>112</v>
      </c>
      <c r="D1602" s="76" t="s">
        <v>349</v>
      </c>
      <c r="E1602" s="76" t="s">
        <v>247</v>
      </c>
      <c r="F1602" s="77">
        <v>4</v>
      </c>
      <c r="G1602" s="77">
        <v>0</v>
      </c>
      <c r="H1602" s="77">
        <v>4</v>
      </c>
      <c r="I1602" s="76" t="s">
        <v>936</v>
      </c>
      <c r="J1602" s="77">
        <v>0</v>
      </c>
      <c r="K1602" s="78">
        <v>0</v>
      </c>
      <c r="M1602" s="79" t="str">
        <f t="shared" si="74"/>
        <v>112-9285M#</v>
      </c>
      <c r="N1602" s="79" t="str">
        <f t="shared" ref="N1602:N1665" si="75">+IF(RIGHT(A1602,1)="#","#","")</f>
        <v>#</v>
      </c>
      <c r="O1602" s="79" t="str">
        <f t="shared" ref="O1602:O1665" si="76">+C1602&amp;N1602</f>
        <v>112#</v>
      </c>
      <c r="P1602" s="79" t="str">
        <f>IFERROR(VLOOKUP($M1602,Export!$P:$R,2,FALSE),"-")</f>
        <v>-</v>
      </c>
      <c r="Q1602" s="79" t="str">
        <f>IFERROR(VLOOKUP($M1602,Export!$P:$R,3,FALSE),"-")</f>
        <v>-</v>
      </c>
      <c r="R1602" s="80" t="e" cm="1">
        <f t="array" ref="R1602">_xlfn.IFS(P1602="Service", _xlfn.IFS(I1602="SALES","GP",I1602="SERVICE SALES","GP",I1602="PARTS SALES","GP",I1602="SERVICE COS","GP",I1602="PARTS COS","GP",I1602="SELLING EXPENSES","Selling Expenses",I1602="EMPLOYMENT EXPENSES","Selling Expenses",I1602="EMPLOYMENT EXPENSES","Selling Expenses",I1602="DIRECT EXPENSES","Selling Expenses",I1602="INDIRECT EXPENSES","Selling Expenses"),P1602="Parts",_xlfn.IFS(I1602="SALES","GP",I1602="SERVICE SALES","GP",I1602="PARTS SALES","GP",I1602="SERVICE COS","GP",I1602="PARTS COS","GP",I1602="SELLING EXPENSES","Selling Expenses",I1602="EMPLOYMENT EXPENSES","Selling Expenses",I1602="EMPLOYMENT EXPENSES","Selling Expenses",I1602="DIRECT EXPENSES","Selling Expenses",I1602="INDIRECT EXPENSES","Selling Expenses"))</f>
        <v>#N/A</v>
      </c>
    </row>
    <row r="1603" spans="1:18" x14ac:dyDescent="0.2">
      <c r="A1603" s="75" t="s">
        <v>72</v>
      </c>
      <c r="B1603" s="76" t="s">
        <v>73</v>
      </c>
      <c r="C1603" s="76">
        <v>200</v>
      </c>
      <c r="D1603" s="76" t="s">
        <v>428</v>
      </c>
      <c r="E1603" s="76" t="s">
        <v>247</v>
      </c>
      <c r="F1603" s="77">
        <v>2</v>
      </c>
      <c r="G1603" s="77">
        <v>0</v>
      </c>
      <c r="H1603" s="77">
        <v>2</v>
      </c>
      <c r="I1603" s="76" t="s">
        <v>936</v>
      </c>
      <c r="J1603" s="77">
        <v>0</v>
      </c>
      <c r="K1603" s="78">
        <v>3</v>
      </c>
      <c r="M1603" s="79" t="str">
        <f t="shared" ref="M1603:M1666" si="77">+C1603&amp;"-"&amp;A1603</f>
        <v>200-9285M#</v>
      </c>
      <c r="N1603" s="79" t="str">
        <f t="shared" si="75"/>
        <v>#</v>
      </c>
      <c r="O1603" s="79" t="str">
        <f t="shared" si="76"/>
        <v>200#</v>
      </c>
      <c r="P1603" s="79" t="str">
        <f>IFERROR(VLOOKUP($M1603,Export!$P:$R,2,FALSE),"-")</f>
        <v>-</v>
      </c>
      <c r="Q1603" s="79" t="str">
        <f>IFERROR(VLOOKUP($M1603,Export!$P:$R,3,FALSE),"-")</f>
        <v>-</v>
      </c>
      <c r="R1603" s="80" t="e" cm="1">
        <f t="array" ref="R1603">_xlfn.IFS(P1603="Service", _xlfn.IFS(I1603="SALES","GP",I1603="SERVICE SALES","GP",I1603="PARTS SALES","GP",I1603="SERVICE COS","GP",I1603="PARTS COS","GP",I1603="SELLING EXPENSES","Selling Expenses",I1603="EMPLOYMENT EXPENSES","Selling Expenses",I1603="EMPLOYMENT EXPENSES","Selling Expenses",I1603="DIRECT EXPENSES","Selling Expenses",I1603="INDIRECT EXPENSES","Selling Expenses"),P1603="Parts",_xlfn.IFS(I1603="SALES","GP",I1603="SERVICE SALES","GP",I1603="PARTS SALES","GP",I1603="SERVICE COS","GP",I1603="PARTS COS","GP",I1603="SELLING EXPENSES","Selling Expenses",I1603="EMPLOYMENT EXPENSES","Selling Expenses",I1603="EMPLOYMENT EXPENSES","Selling Expenses",I1603="DIRECT EXPENSES","Selling Expenses",I1603="INDIRECT EXPENSES","Selling Expenses"))</f>
        <v>#N/A</v>
      </c>
    </row>
    <row r="1604" spans="1:18" x14ac:dyDescent="0.2">
      <c r="A1604" s="75" t="s">
        <v>78</v>
      </c>
      <c r="B1604" s="76" t="s">
        <v>80</v>
      </c>
      <c r="C1604" s="76">
        <v>120</v>
      </c>
      <c r="D1604" s="76" t="s">
        <v>431</v>
      </c>
      <c r="E1604" s="76" t="s">
        <v>247</v>
      </c>
      <c r="F1604" s="77">
        <v>5</v>
      </c>
      <c r="G1604" s="77">
        <v>1</v>
      </c>
      <c r="H1604" s="77">
        <v>6</v>
      </c>
      <c r="I1604" s="76" t="s">
        <v>936</v>
      </c>
      <c r="J1604" s="77">
        <v>0</v>
      </c>
      <c r="K1604" s="78">
        <v>5</v>
      </c>
      <c r="M1604" s="79" t="str">
        <f t="shared" si="77"/>
        <v>120-9290M#</v>
      </c>
      <c r="N1604" s="79" t="str">
        <f t="shared" si="75"/>
        <v>#</v>
      </c>
      <c r="O1604" s="79" t="str">
        <f t="shared" si="76"/>
        <v>120#</v>
      </c>
      <c r="P1604" s="79" t="str">
        <f>IFERROR(VLOOKUP($M1604,Export!$P:$R,2,FALSE),"-")</f>
        <v>-</v>
      </c>
      <c r="Q1604" s="79" t="str">
        <f>IFERROR(VLOOKUP($M1604,Export!$P:$R,3,FALSE),"-")</f>
        <v>-</v>
      </c>
      <c r="R1604" s="80" t="e" cm="1">
        <f t="array" ref="R1604">_xlfn.IFS(P1604="Service", _xlfn.IFS(I1604="SALES","GP",I1604="SERVICE SALES","GP",I1604="PARTS SALES","GP",I1604="SERVICE COS","GP",I1604="PARTS COS","GP",I1604="SELLING EXPENSES","Selling Expenses",I1604="EMPLOYMENT EXPENSES","Selling Expenses",I1604="EMPLOYMENT EXPENSES","Selling Expenses",I1604="DIRECT EXPENSES","Selling Expenses",I1604="INDIRECT EXPENSES","Selling Expenses"),P1604="Parts",_xlfn.IFS(I1604="SALES","GP",I1604="SERVICE SALES","GP",I1604="PARTS SALES","GP",I1604="SERVICE COS","GP",I1604="PARTS COS","GP",I1604="SELLING EXPENSES","Selling Expenses",I1604="EMPLOYMENT EXPENSES","Selling Expenses",I1604="EMPLOYMENT EXPENSES","Selling Expenses",I1604="DIRECT EXPENSES","Selling Expenses",I1604="INDIRECT EXPENSES","Selling Expenses"))</f>
        <v>#N/A</v>
      </c>
    </row>
    <row r="1605" spans="1:18" x14ac:dyDescent="0.2">
      <c r="A1605" s="75" t="s">
        <v>78</v>
      </c>
      <c r="B1605" s="76" t="s">
        <v>80</v>
      </c>
      <c r="C1605" s="76">
        <v>220</v>
      </c>
      <c r="D1605" s="76" t="s">
        <v>437</v>
      </c>
      <c r="E1605" s="76" t="s">
        <v>247</v>
      </c>
      <c r="F1605" s="77">
        <v>4</v>
      </c>
      <c r="G1605" s="77">
        <v>0</v>
      </c>
      <c r="H1605" s="77">
        <v>4</v>
      </c>
      <c r="I1605" s="76" t="s">
        <v>936</v>
      </c>
      <c r="J1605" s="77">
        <v>0</v>
      </c>
      <c r="K1605" s="78">
        <v>0</v>
      </c>
      <c r="M1605" s="79" t="str">
        <f t="shared" si="77"/>
        <v>220-9290M#</v>
      </c>
      <c r="N1605" s="79" t="str">
        <f t="shared" si="75"/>
        <v>#</v>
      </c>
      <c r="O1605" s="79" t="str">
        <f t="shared" si="76"/>
        <v>220#</v>
      </c>
      <c r="P1605" s="79" t="str">
        <f>IFERROR(VLOOKUP($M1605,Export!$P:$R,2,FALSE),"-")</f>
        <v>-</v>
      </c>
      <c r="Q1605" s="79" t="str">
        <f>IFERROR(VLOOKUP($M1605,Export!$P:$R,3,FALSE),"-")</f>
        <v>-</v>
      </c>
      <c r="R1605" s="80" t="e" cm="1">
        <f t="array" ref="R1605">_xlfn.IFS(P1605="Service", _xlfn.IFS(I1605="SALES","GP",I1605="SERVICE SALES","GP",I1605="PARTS SALES","GP",I1605="SERVICE COS","GP",I1605="PARTS COS","GP",I1605="SELLING EXPENSES","Selling Expenses",I1605="EMPLOYMENT EXPENSES","Selling Expenses",I1605="EMPLOYMENT EXPENSES","Selling Expenses",I1605="DIRECT EXPENSES","Selling Expenses",I1605="INDIRECT EXPENSES","Selling Expenses"),P1605="Parts",_xlfn.IFS(I1605="SALES","GP",I1605="SERVICE SALES","GP",I1605="PARTS SALES","GP",I1605="SERVICE COS","GP",I1605="PARTS COS","GP",I1605="SELLING EXPENSES","Selling Expenses",I1605="EMPLOYMENT EXPENSES","Selling Expenses",I1605="EMPLOYMENT EXPENSES","Selling Expenses",I1605="DIRECT EXPENSES","Selling Expenses",I1605="INDIRECT EXPENSES","Selling Expenses"))</f>
        <v>#N/A</v>
      </c>
    </row>
    <row r="1606" spans="1:18" x14ac:dyDescent="0.2">
      <c r="A1606" s="75" t="s">
        <v>959</v>
      </c>
      <c r="B1606" s="76" t="s">
        <v>960</v>
      </c>
      <c r="C1606" s="76">
        <v>140</v>
      </c>
      <c r="D1606" s="76" t="s">
        <v>433</v>
      </c>
      <c r="E1606" s="76" t="s">
        <v>247</v>
      </c>
      <c r="F1606" s="77">
        <v>6</v>
      </c>
      <c r="G1606" s="77">
        <v>1</v>
      </c>
      <c r="H1606" s="77">
        <v>7</v>
      </c>
      <c r="I1606" s="76" t="s">
        <v>936</v>
      </c>
      <c r="J1606" s="77">
        <v>0</v>
      </c>
      <c r="K1606" s="78">
        <v>0</v>
      </c>
      <c r="M1606" s="79" t="str">
        <f t="shared" si="77"/>
        <v>140-9355M#</v>
      </c>
      <c r="N1606" s="79" t="str">
        <f t="shared" si="75"/>
        <v>#</v>
      </c>
      <c r="O1606" s="79" t="str">
        <f t="shared" si="76"/>
        <v>140#</v>
      </c>
      <c r="P1606" s="79" t="str">
        <f>IFERROR(VLOOKUP($M1606,Export!$P:$R,2,FALSE),"-")</f>
        <v>-</v>
      </c>
      <c r="Q1606" s="79" t="str">
        <f>IFERROR(VLOOKUP($M1606,Export!$P:$R,3,FALSE),"-")</f>
        <v>-</v>
      </c>
      <c r="R1606" s="80" t="e" cm="1">
        <f t="array" ref="R1606">_xlfn.IFS(P1606="Service", _xlfn.IFS(I1606="SALES","GP",I1606="SERVICE SALES","GP",I1606="PARTS SALES","GP",I1606="SERVICE COS","GP",I1606="PARTS COS","GP",I1606="SELLING EXPENSES","Selling Expenses",I1606="EMPLOYMENT EXPENSES","Selling Expenses",I1606="EMPLOYMENT EXPENSES","Selling Expenses",I1606="DIRECT EXPENSES","Selling Expenses",I1606="INDIRECT EXPENSES","Selling Expenses"),P1606="Parts",_xlfn.IFS(I1606="SALES","GP",I1606="SERVICE SALES","GP",I1606="PARTS SALES","GP",I1606="SERVICE COS","GP",I1606="PARTS COS","GP",I1606="SELLING EXPENSES","Selling Expenses",I1606="EMPLOYMENT EXPENSES","Selling Expenses",I1606="EMPLOYMENT EXPENSES","Selling Expenses",I1606="DIRECT EXPENSES","Selling Expenses",I1606="INDIRECT EXPENSES","Selling Expenses"))</f>
        <v>#N/A</v>
      </c>
    </row>
    <row r="1607" spans="1:18" x14ac:dyDescent="0.2">
      <c r="A1607" s="75" t="s">
        <v>959</v>
      </c>
      <c r="B1607" s="76" t="s">
        <v>960</v>
      </c>
      <c r="C1607" s="76">
        <v>142</v>
      </c>
      <c r="D1607" s="76" t="s">
        <v>454</v>
      </c>
      <c r="E1607" s="76" t="s">
        <v>247</v>
      </c>
      <c r="F1607" s="77">
        <v>3</v>
      </c>
      <c r="G1607" s="77">
        <v>0</v>
      </c>
      <c r="H1607" s="77">
        <v>3</v>
      </c>
      <c r="I1607" s="76" t="s">
        <v>936</v>
      </c>
      <c r="J1607" s="77">
        <v>0</v>
      </c>
      <c r="K1607" s="78">
        <v>0</v>
      </c>
      <c r="M1607" s="79" t="str">
        <f t="shared" si="77"/>
        <v>142-9355M#</v>
      </c>
      <c r="N1607" s="79" t="str">
        <f t="shared" si="75"/>
        <v>#</v>
      </c>
      <c r="O1607" s="79" t="str">
        <f t="shared" si="76"/>
        <v>142#</v>
      </c>
      <c r="P1607" s="79" t="str">
        <f>IFERROR(VLOOKUP($M1607,Export!$P:$R,2,FALSE),"-")</f>
        <v>-</v>
      </c>
      <c r="Q1607" s="79" t="str">
        <f>IFERROR(VLOOKUP($M1607,Export!$P:$R,3,FALSE),"-")</f>
        <v>-</v>
      </c>
      <c r="R1607" s="80" t="e" cm="1">
        <f t="array" ref="R1607">_xlfn.IFS(P1607="Service", _xlfn.IFS(I1607="SALES","GP",I1607="SERVICE SALES","GP",I1607="PARTS SALES","GP",I1607="SERVICE COS","GP",I1607="PARTS COS","GP",I1607="SELLING EXPENSES","Selling Expenses",I1607="EMPLOYMENT EXPENSES","Selling Expenses",I1607="EMPLOYMENT EXPENSES","Selling Expenses",I1607="DIRECT EXPENSES","Selling Expenses",I1607="INDIRECT EXPENSES","Selling Expenses"),P1607="Parts",_xlfn.IFS(I1607="SALES","GP",I1607="SERVICE SALES","GP",I1607="PARTS SALES","GP",I1607="SERVICE COS","GP",I1607="PARTS COS","GP",I1607="SELLING EXPENSES","Selling Expenses",I1607="EMPLOYMENT EXPENSES","Selling Expenses",I1607="EMPLOYMENT EXPENSES","Selling Expenses",I1607="DIRECT EXPENSES","Selling Expenses",I1607="INDIRECT EXPENSES","Selling Expenses"))</f>
        <v>#N/A</v>
      </c>
    </row>
    <row r="1608" spans="1:18" x14ac:dyDescent="0.2">
      <c r="A1608" s="75" t="s">
        <v>959</v>
      </c>
      <c r="B1608" s="76" t="s">
        <v>960</v>
      </c>
      <c r="C1608" s="76">
        <v>240</v>
      </c>
      <c r="D1608" s="76" t="s">
        <v>439</v>
      </c>
      <c r="E1608" s="76" t="s">
        <v>247</v>
      </c>
      <c r="F1608" s="77">
        <v>3</v>
      </c>
      <c r="G1608" s="77">
        <v>0</v>
      </c>
      <c r="H1608" s="77">
        <v>3</v>
      </c>
      <c r="I1608" s="76" t="s">
        <v>936</v>
      </c>
      <c r="J1608" s="77">
        <v>0</v>
      </c>
      <c r="K1608" s="78">
        <v>0</v>
      </c>
      <c r="M1608" s="79" t="str">
        <f t="shared" si="77"/>
        <v>240-9355M#</v>
      </c>
      <c r="N1608" s="79" t="str">
        <f t="shared" si="75"/>
        <v>#</v>
      </c>
      <c r="O1608" s="79" t="str">
        <f t="shared" si="76"/>
        <v>240#</v>
      </c>
      <c r="P1608" s="79" t="str">
        <f>IFERROR(VLOOKUP($M1608,Export!$P:$R,2,FALSE),"-")</f>
        <v>-</v>
      </c>
      <c r="Q1608" s="79" t="str">
        <f>IFERROR(VLOOKUP($M1608,Export!$P:$R,3,FALSE),"-")</f>
        <v>-</v>
      </c>
      <c r="R1608" s="80" t="e" cm="1">
        <f t="array" ref="R1608">_xlfn.IFS(P1608="Service", _xlfn.IFS(I1608="SALES","GP",I1608="SERVICE SALES","GP",I1608="PARTS SALES","GP",I1608="SERVICE COS","GP",I1608="PARTS COS","GP",I1608="SELLING EXPENSES","Selling Expenses",I1608="EMPLOYMENT EXPENSES","Selling Expenses",I1608="EMPLOYMENT EXPENSES","Selling Expenses",I1608="DIRECT EXPENSES","Selling Expenses",I1608="INDIRECT EXPENSES","Selling Expenses"),P1608="Parts",_xlfn.IFS(I1608="SALES","GP",I1608="SERVICE SALES","GP",I1608="PARTS SALES","GP",I1608="SERVICE COS","GP",I1608="PARTS COS","GP",I1608="SELLING EXPENSES","Selling Expenses",I1608="EMPLOYMENT EXPENSES","Selling Expenses",I1608="EMPLOYMENT EXPENSES","Selling Expenses",I1608="DIRECT EXPENSES","Selling Expenses",I1608="INDIRECT EXPENSES","Selling Expenses"))</f>
        <v>#N/A</v>
      </c>
    </row>
    <row r="1609" spans="1:18" x14ac:dyDescent="0.2">
      <c r="A1609" s="75" t="s">
        <v>959</v>
      </c>
      <c r="B1609" s="76" t="s">
        <v>960</v>
      </c>
      <c r="C1609" s="76">
        <v>340</v>
      </c>
      <c r="D1609" s="76" t="s">
        <v>440</v>
      </c>
      <c r="E1609" s="76" t="s">
        <v>247</v>
      </c>
      <c r="F1609" s="77">
        <v>1</v>
      </c>
      <c r="G1609" s="77">
        <v>0</v>
      </c>
      <c r="H1609" s="77">
        <v>1</v>
      </c>
      <c r="I1609" s="76" t="s">
        <v>936</v>
      </c>
      <c r="J1609" s="77">
        <v>0</v>
      </c>
      <c r="K1609" s="78">
        <v>0</v>
      </c>
      <c r="M1609" s="79" t="str">
        <f t="shared" si="77"/>
        <v>340-9355M#</v>
      </c>
      <c r="N1609" s="79" t="str">
        <f t="shared" si="75"/>
        <v>#</v>
      </c>
      <c r="O1609" s="79" t="str">
        <f t="shared" si="76"/>
        <v>340#</v>
      </c>
      <c r="P1609" s="79" t="str">
        <f>IFERROR(VLOOKUP($M1609,Export!$P:$R,2,FALSE),"-")</f>
        <v>-</v>
      </c>
      <c r="Q1609" s="79" t="str">
        <f>IFERROR(VLOOKUP($M1609,Export!$P:$R,3,FALSE),"-")</f>
        <v>-</v>
      </c>
      <c r="R1609" s="80" t="e" cm="1">
        <f t="array" ref="R1609">_xlfn.IFS(P1609="Service", _xlfn.IFS(I1609="SALES","GP",I1609="SERVICE SALES","GP",I1609="PARTS SALES","GP",I1609="SERVICE COS","GP",I1609="PARTS COS","GP",I1609="SELLING EXPENSES","Selling Expenses",I1609="EMPLOYMENT EXPENSES","Selling Expenses",I1609="EMPLOYMENT EXPENSES","Selling Expenses",I1609="DIRECT EXPENSES","Selling Expenses",I1609="INDIRECT EXPENSES","Selling Expenses"),P1609="Parts",_xlfn.IFS(I1609="SALES","GP",I1609="SERVICE SALES","GP",I1609="PARTS SALES","GP",I1609="SERVICE COS","GP",I1609="PARTS COS","GP",I1609="SELLING EXPENSES","Selling Expenses",I1609="EMPLOYMENT EXPENSES","Selling Expenses",I1609="EMPLOYMENT EXPENSES","Selling Expenses",I1609="DIRECT EXPENSES","Selling Expenses",I1609="INDIRECT EXPENSES","Selling Expenses"))</f>
        <v>#N/A</v>
      </c>
    </row>
    <row r="1610" spans="1:18" x14ac:dyDescent="0.2">
      <c r="A1610" s="75" t="s">
        <v>959</v>
      </c>
      <c r="B1610" s="76" t="s">
        <v>960</v>
      </c>
      <c r="C1610" s="76">
        <v>440</v>
      </c>
      <c r="D1610" s="76" t="s">
        <v>441</v>
      </c>
      <c r="E1610" s="76" t="s">
        <v>247</v>
      </c>
      <c r="F1610" s="77">
        <v>2</v>
      </c>
      <c r="G1610" s="77">
        <v>0</v>
      </c>
      <c r="H1610" s="77">
        <v>2</v>
      </c>
      <c r="I1610" s="76" t="s">
        <v>936</v>
      </c>
      <c r="J1610" s="77">
        <v>0</v>
      </c>
      <c r="K1610" s="78">
        <v>0</v>
      </c>
      <c r="M1610" s="79" t="str">
        <f t="shared" si="77"/>
        <v>440-9355M#</v>
      </c>
      <c r="N1610" s="79" t="str">
        <f t="shared" si="75"/>
        <v>#</v>
      </c>
      <c r="O1610" s="79" t="str">
        <f t="shared" si="76"/>
        <v>440#</v>
      </c>
      <c r="P1610" s="79" t="str">
        <f>IFERROR(VLOOKUP($M1610,Export!$P:$R,2,FALSE),"-")</f>
        <v>-</v>
      </c>
      <c r="Q1610" s="79" t="str">
        <f>IFERROR(VLOOKUP($M1610,Export!$P:$R,3,FALSE),"-")</f>
        <v>-</v>
      </c>
      <c r="R1610" s="80" t="e" cm="1">
        <f t="array" ref="R1610">_xlfn.IFS(P1610="Service", _xlfn.IFS(I1610="SALES","GP",I1610="SERVICE SALES","GP",I1610="PARTS SALES","GP",I1610="SERVICE COS","GP",I1610="PARTS COS","GP",I1610="SELLING EXPENSES","Selling Expenses",I1610="EMPLOYMENT EXPENSES","Selling Expenses",I1610="EMPLOYMENT EXPENSES","Selling Expenses",I1610="DIRECT EXPENSES","Selling Expenses",I1610="INDIRECT EXPENSES","Selling Expenses"),P1610="Parts",_xlfn.IFS(I1610="SALES","GP",I1610="SERVICE SALES","GP",I1610="PARTS SALES","GP",I1610="SERVICE COS","GP",I1610="PARTS COS","GP",I1610="SELLING EXPENSES","Selling Expenses",I1610="EMPLOYMENT EXPENSES","Selling Expenses",I1610="EMPLOYMENT EXPENSES","Selling Expenses",I1610="DIRECT EXPENSES","Selling Expenses",I1610="INDIRECT EXPENSES","Selling Expenses"))</f>
        <v>#N/A</v>
      </c>
    </row>
    <row r="1611" spans="1:18" x14ac:dyDescent="0.2">
      <c r="A1611" s="75" t="s">
        <v>110</v>
      </c>
      <c r="B1611" s="76" t="s">
        <v>112</v>
      </c>
      <c r="C1611" s="76">
        <v>140</v>
      </c>
      <c r="D1611" s="76" t="s">
        <v>433</v>
      </c>
      <c r="E1611" s="76" t="s">
        <v>247</v>
      </c>
      <c r="F1611" s="77">
        <v>12.5</v>
      </c>
      <c r="G1611" s="77">
        <v>-1</v>
      </c>
      <c r="H1611" s="77">
        <v>11.5</v>
      </c>
      <c r="I1611" s="76" t="s">
        <v>936</v>
      </c>
      <c r="J1611" s="77">
        <v>0</v>
      </c>
      <c r="K1611" s="78">
        <v>13</v>
      </c>
      <c r="M1611" s="79" t="str">
        <f t="shared" si="77"/>
        <v>140-9360M#</v>
      </c>
      <c r="N1611" s="79" t="str">
        <f t="shared" si="75"/>
        <v>#</v>
      </c>
      <c r="O1611" s="79" t="str">
        <f t="shared" si="76"/>
        <v>140#</v>
      </c>
      <c r="P1611" s="79" t="str">
        <f>IFERROR(VLOOKUP($M1611,Export!$P:$R,2,FALSE),"-")</f>
        <v>-</v>
      </c>
      <c r="Q1611" s="79" t="str">
        <f>IFERROR(VLOOKUP($M1611,Export!$P:$R,3,FALSE),"-")</f>
        <v>-</v>
      </c>
      <c r="R1611" s="80" t="e" cm="1">
        <f t="array" ref="R1611">_xlfn.IFS(P1611="Service", _xlfn.IFS(I1611="SALES","GP",I1611="SERVICE SALES","GP",I1611="PARTS SALES","GP",I1611="SERVICE COS","GP",I1611="PARTS COS","GP",I1611="SELLING EXPENSES","Selling Expenses",I1611="EMPLOYMENT EXPENSES","Selling Expenses",I1611="EMPLOYMENT EXPENSES","Selling Expenses",I1611="DIRECT EXPENSES","Selling Expenses",I1611="INDIRECT EXPENSES","Selling Expenses"),P1611="Parts",_xlfn.IFS(I1611="SALES","GP",I1611="SERVICE SALES","GP",I1611="PARTS SALES","GP",I1611="SERVICE COS","GP",I1611="PARTS COS","GP",I1611="SELLING EXPENSES","Selling Expenses",I1611="EMPLOYMENT EXPENSES","Selling Expenses",I1611="EMPLOYMENT EXPENSES","Selling Expenses",I1611="DIRECT EXPENSES","Selling Expenses",I1611="INDIRECT EXPENSES","Selling Expenses"))</f>
        <v>#N/A</v>
      </c>
    </row>
    <row r="1612" spans="1:18" x14ac:dyDescent="0.2">
      <c r="A1612" s="75" t="s">
        <v>110</v>
      </c>
      <c r="B1612" s="76" t="s">
        <v>112</v>
      </c>
      <c r="C1612" s="76">
        <v>142</v>
      </c>
      <c r="D1612" s="76" t="s">
        <v>454</v>
      </c>
      <c r="E1612" s="76" t="s">
        <v>247</v>
      </c>
      <c r="F1612" s="77">
        <v>1.5</v>
      </c>
      <c r="G1612" s="77">
        <v>0</v>
      </c>
      <c r="H1612" s="77">
        <v>1.5</v>
      </c>
      <c r="I1612" s="76" t="s">
        <v>936</v>
      </c>
      <c r="J1612" s="77">
        <v>0</v>
      </c>
      <c r="K1612" s="78">
        <v>0</v>
      </c>
      <c r="M1612" s="79" t="str">
        <f t="shared" si="77"/>
        <v>142-9360M#</v>
      </c>
      <c r="N1612" s="79" t="str">
        <f t="shared" si="75"/>
        <v>#</v>
      </c>
      <c r="O1612" s="79" t="str">
        <f t="shared" si="76"/>
        <v>142#</v>
      </c>
      <c r="P1612" s="79" t="str">
        <f>IFERROR(VLOOKUP($M1612,Export!$P:$R,2,FALSE),"-")</f>
        <v>-</v>
      </c>
      <c r="Q1612" s="79" t="str">
        <f>IFERROR(VLOOKUP($M1612,Export!$P:$R,3,FALSE),"-")</f>
        <v>-</v>
      </c>
      <c r="R1612" s="80" t="e" cm="1">
        <f t="array" ref="R1612">_xlfn.IFS(P1612="Service", _xlfn.IFS(I1612="SALES","GP",I1612="SERVICE SALES","GP",I1612="PARTS SALES","GP",I1612="SERVICE COS","GP",I1612="PARTS COS","GP",I1612="SELLING EXPENSES","Selling Expenses",I1612="EMPLOYMENT EXPENSES","Selling Expenses",I1612="EMPLOYMENT EXPENSES","Selling Expenses",I1612="DIRECT EXPENSES","Selling Expenses",I1612="INDIRECT EXPENSES","Selling Expenses"),P1612="Parts",_xlfn.IFS(I1612="SALES","GP",I1612="SERVICE SALES","GP",I1612="PARTS SALES","GP",I1612="SERVICE COS","GP",I1612="PARTS COS","GP",I1612="SELLING EXPENSES","Selling Expenses",I1612="EMPLOYMENT EXPENSES","Selling Expenses",I1612="EMPLOYMENT EXPENSES","Selling Expenses",I1612="DIRECT EXPENSES","Selling Expenses",I1612="INDIRECT EXPENSES","Selling Expenses"))</f>
        <v>#N/A</v>
      </c>
    </row>
    <row r="1613" spans="1:18" x14ac:dyDescent="0.2">
      <c r="A1613" s="75" t="s">
        <v>110</v>
      </c>
      <c r="B1613" s="76" t="s">
        <v>112</v>
      </c>
      <c r="C1613" s="76">
        <v>147</v>
      </c>
      <c r="D1613" s="76" t="s">
        <v>699</v>
      </c>
      <c r="E1613" s="76" t="s">
        <v>247</v>
      </c>
      <c r="F1613" s="77">
        <v>0</v>
      </c>
      <c r="G1613" s="77">
        <v>0</v>
      </c>
      <c r="H1613" s="77">
        <v>0</v>
      </c>
      <c r="I1613" s="76" t="s">
        <v>936</v>
      </c>
      <c r="J1613" s="77">
        <v>0</v>
      </c>
      <c r="K1613" s="78">
        <v>5</v>
      </c>
      <c r="M1613" s="79" t="str">
        <f t="shared" si="77"/>
        <v>147-9360M#</v>
      </c>
      <c r="N1613" s="79" t="str">
        <f t="shared" si="75"/>
        <v>#</v>
      </c>
      <c r="O1613" s="79" t="str">
        <f t="shared" si="76"/>
        <v>147#</v>
      </c>
      <c r="P1613" s="79" t="str">
        <f>IFERROR(VLOOKUP($M1613,Export!$P:$R,2,FALSE),"-")</f>
        <v>-</v>
      </c>
      <c r="Q1613" s="79" t="str">
        <f>IFERROR(VLOOKUP($M1613,Export!$P:$R,3,FALSE),"-")</f>
        <v>-</v>
      </c>
      <c r="R1613" s="80" t="e" cm="1">
        <f t="array" ref="R1613">_xlfn.IFS(P1613="Service", _xlfn.IFS(I1613="SALES","GP",I1613="SERVICE SALES","GP",I1613="PARTS SALES","GP",I1613="SERVICE COS","GP",I1613="PARTS COS","GP",I1613="SELLING EXPENSES","Selling Expenses",I1613="EMPLOYMENT EXPENSES","Selling Expenses",I1613="EMPLOYMENT EXPENSES","Selling Expenses",I1613="DIRECT EXPENSES","Selling Expenses",I1613="INDIRECT EXPENSES","Selling Expenses"),P1613="Parts",_xlfn.IFS(I1613="SALES","GP",I1613="SERVICE SALES","GP",I1613="PARTS SALES","GP",I1613="SERVICE COS","GP",I1613="PARTS COS","GP",I1613="SELLING EXPENSES","Selling Expenses",I1613="EMPLOYMENT EXPENSES","Selling Expenses",I1613="EMPLOYMENT EXPENSES","Selling Expenses",I1613="DIRECT EXPENSES","Selling Expenses",I1613="INDIRECT EXPENSES","Selling Expenses"))</f>
        <v>#N/A</v>
      </c>
    </row>
    <row r="1614" spans="1:18" x14ac:dyDescent="0.2">
      <c r="A1614" s="75" t="s">
        <v>110</v>
      </c>
      <c r="B1614" s="76" t="s">
        <v>112</v>
      </c>
      <c r="C1614" s="76">
        <v>240</v>
      </c>
      <c r="D1614" s="76" t="s">
        <v>439</v>
      </c>
      <c r="E1614" s="76" t="s">
        <v>247</v>
      </c>
      <c r="F1614" s="77">
        <v>5.5</v>
      </c>
      <c r="G1614" s="77">
        <v>0</v>
      </c>
      <c r="H1614" s="77">
        <v>5.5</v>
      </c>
      <c r="I1614" s="76" t="s">
        <v>936</v>
      </c>
      <c r="J1614" s="77">
        <v>0</v>
      </c>
      <c r="K1614" s="78">
        <v>0</v>
      </c>
      <c r="M1614" s="79" t="str">
        <f t="shared" si="77"/>
        <v>240-9360M#</v>
      </c>
      <c r="N1614" s="79" t="str">
        <f t="shared" si="75"/>
        <v>#</v>
      </c>
      <c r="O1614" s="79" t="str">
        <f t="shared" si="76"/>
        <v>240#</v>
      </c>
      <c r="P1614" s="79" t="str">
        <f>IFERROR(VLOOKUP($M1614,Export!$P:$R,2,FALSE),"-")</f>
        <v>-</v>
      </c>
      <c r="Q1614" s="79" t="str">
        <f>IFERROR(VLOOKUP($M1614,Export!$P:$R,3,FALSE),"-")</f>
        <v>-</v>
      </c>
      <c r="R1614" s="80" t="e" cm="1">
        <f t="array" ref="R1614">_xlfn.IFS(P1614="Service", _xlfn.IFS(I1614="SALES","GP",I1614="SERVICE SALES","GP",I1614="PARTS SALES","GP",I1614="SERVICE COS","GP",I1614="PARTS COS","GP",I1614="SELLING EXPENSES","Selling Expenses",I1614="EMPLOYMENT EXPENSES","Selling Expenses",I1614="EMPLOYMENT EXPENSES","Selling Expenses",I1614="DIRECT EXPENSES","Selling Expenses",I1614="INDIRECT EXPENSES","Selling Expenses"),P1614="Parts",_xlfn.IFS(I1614="SALES","GP",I1614="SERVICE SALES","GP",I1614="PARTS SALES","GP",I1614="SERVICE COS","GP",I1614="PARTS COS","GP",I1614="SELLING EXPENSES","Selling Expenses",I1614="EMPLOYMENT EXPENSES","Selling Expenses",I1614="EMPLOYMENT EXPENSES","Selling Expenses",I1614="DIRECT EXPENSES","Selling Expenses",I1614="INDIRECT EXPENSES","Selling Expenses"))</f>
        <v>#N/A</v>
      </c>
    </row>
    <row r="1615" spans="1:18" x14ac:dyDescent="0.2">
      <c r="A1615" s="75" t="s">
        <v>110</v>
      </c>
      <c r="B1615" s="76" t="s">
        <v>112</v>
      </c>
      <c r="C1615" s="76">
        <v>340</v>
      </c>
      <c r="D1615" s="76" t="s">
        <v>440</v>
      </c>
      <c r="E1615" s="76" t="s">
        <v>247</v>
      </c>
      <c r="F1615" s="77">
        <v>5</v>
      </c>
      <c r="G1615" s="77">
        <v>-4.5</v>
      </c>
      <c r="H1615" s="77">
        <v>0.5</v>
      </c>
      <c r="I1615" s="76" t="s">
        <v>936</v>
      </c>
      <c r="J1615" s="77">
        <v>0</v>
      </c>
      <c r="K1615" s="78">
        <v>0</v>
      </c>
      <c r="M1615" s="79" t="str">
        <f t="shared" si="77"/>
        <v>340-9360M#</v>
      </c>
      <c r="N1615" s="79" t="str">
        <f t="shared" si="75"/>
        <v>#</v>
      </c>
      <c r="O1615" s="79" t="str">
        <f t="shared" si="76"/>
        <v>340#</v>
      </c>
      <c r="P1615" s="79" t="str">
        <f>IFERROR(VLOOKUP($M1615,Export!$P:$R,2,FALSE),"-")</f>
        <v>-</v>
      </c>
      <c r="Q1615" s="79" t="str">
        <f>IFERROR(VLOOKUP($M1615,Export!$P:$R,3,FALSE),"-")</f>
        <v>-</v>
      </c>
      <c r="R1615" s="80" t="e" cm="1">
        <f t="array" ref="R1615">_xlfn.IFS(P1615="Service", _xlfn.IFS(I1615="SALES","GP",I1615="SERVICE SALES","GP",I1615="PARTS SALES","GP",I1615="SERVICE COS","GP",I1615="PARTS COS","GP",I1615="SELLING EXPENSES","Selling Expenses",I1615="EMPLOYMENT EXPENSES","Selling Expenses",I1615="EMPLOYMENT EXPENSES","Selling Expenses",I1615="DIRECT EXPENSES","Selling Expenses",I1615="INDIRECT EXPENSES","Selling Expenses"),P1615="Parts",_xlfn.IFS(I1615="SALES","GP",I1615="SERVICE SALES","GP",I1615="PARTS SALES","GP",I1615="SERVICE COS","GP",I1615="PARTS COS","GP",I1615="SELLING EXPENSES","Selling Expenses",I1615="EMPLOYMENT EXPENSES","Selling Expenses",I1615="EMPLOYMENT EXPENSES","Selling Expenses",I1615="DIRECT EXPENSES","Selling Expenses",I1615="INDIRECT EXPENSES","Selling Expenses"))</f>
        <v>#N/A</v>
      </c>
    </row>
    <row r="1616" spans="1:18" x14ac:dyDescent="0.2">
      <c r="A1616" s="75" t="s">
        <v>110</v>
      </c>
      <c r="B1616" s="298" t="s">
        <v>112</v>
      </c>
      <c r="C1616" s="76">
        <v>440</v>
      </c>
      <c r="D1616" s="76" t="s">
        <v>441</v>
      </c>
      <c r="E1616" s="76" t="s">
        <v>247</v>
      </c>
      <c r="F1616" s="77">
        <v>5</v>
      </c>
      <c r="G1616" s="77">
        <v>0</v>
      </c>
      <c r="H1616" s="77">
        <v>5</v>
      </c>
      <c r="I1616" s="76" t="s">
        <v>936</v>
      </c>
      <c r="J1616" s="77">
        <v>0</v>
      </c>
      <c r="K1616" s="78">
        <v>4</v>
      </c>
      <c r="M1616" s="79" t="str">
        <f t="shared" si="77"/>
        <v>440-9360M#</v>
      </c>
      <c r="N1616" s="79" t="str">
        <f t="shared" si="75"/>
        <v>#</v>
      </c>
      <c r="O1616" s="79" t="str">
        <f t="shared" si="76"/>
        <v>440#</v>
      </c>
      <c r="P1616" s="79" t="str">
        <f>IFERROR(VLOOKUP($M1616,Export!$P:$R,2,FALSE),"-")</f>
        <v>-</v>
      </c>
      <c r="Q1616" s="79" t="str">
        <f>IFERROR(VLOOKUP($M1616,Export!$P:$R,3,FALSE),"-")</f>
        <v>-</v>
      </c>
      <c r="R1616" s="80" t="e" cm="1">
        <f t="array" ref="R1616">_xlfn.IFS(P1616="Service", _xlfn.IFS(I1616="SALES","GP",I1616="SERVICE SALES","GP",I1616="PARTS SALES","GP",I1616="SERVICE COS","GP",I1616="PARTS COS","GP",I1616="SELLING EXPENSES","Selling Expenses",I1616="EMPLOYMENT EXPENSES","Selling Expenses",I1616="EMPLOYMENT EXPENSES","Selling Expenses",I1616="DIRECT EXPENSES","Selling Expenses",I1616="INDIRECT EXPENSES","Selling Expenses"),P1616="Parts",_xlfn.IFS(I1616="SALES","GP",I1616="SERVICE SALES","GP",I1616="PARTS SALES","GP",I1616="SERVICE COS","GP",I1616="PARTS COS","GP",I1616="SELLING EXPENSES","Selling Expenses",I1616="EMPLOYMENT EXPENSES","Selling Expenses",I1616="EMPLOYMENT EXPENSES","Selling Expenses",I1616="DIRECT EXPENSES","Selling Expenses",I1616="INDIRECT EXPENSES","Selling Expenses"))</f>
        <v>#N/A</v>
      </c>
    </row>
    <row r="1617" spans="1:18" x14ac:dyDescent="0.2">
      <c r="A1617" s="75" t="s">
        <v>961</v>
      </c>
      <c r="B1617" s="76" t="s">
        <v>962</v>
      </c>
      <c r="C1617" s="76">
        <v>140</v>
      </c>
      <c r="D1617" s="76" t="s">
        <v>433</v>
      </c>
      <c r="E1617" s="76" t="s">
        <v>247</v>
      </c>
      <c r="F1617" s="77">
        <v>5</v>
      </c>
      <c r="G1617" s="77">
        <v>2</v>
      </c>
      <c r="H1617" s="77">
        <v>7</v>
      </c>
      <c r="I1617" s="76" t="s">
        <v>936</v>
      </c>
      <c r="J1617" s="77">
        <v>0</v>
      </c>
      <c r="K1617" s="78">
        <v>5</v>
      </c>
      <c r="M1617" s="79" t="str">
        <f t="shared" si="77"/>
        <v>140-9365M#</v>
      </c>
      <c r="N1617" s="79" t="str">
        <f t="shared" si="75"/>
        <v>#</v>
      </c>
      <c r="O1617" s="79" t="str">
        <f t="shared" si="76"/>
        <v>140#</v>
      </c>
      <c r="P1617" s="79" t="str">
        <f>IFERROR(VLOOKUP($M1617,Export!$P:$R,2,FALSE),"-")</f>
        <v>-</v>
      </c>
      <c r="Q1617" s="79" t="str">
        <f>IFERROR(VLOOKUP($M1617,Export!$P:$R,3,FALSE),"-")</f>
        <v>-</v>
      </c>
      <c r="R1617" s="80" t="e" cm="1">
        <f t="array" ref="R1617">_xlfn.IFS(P1617="Service", _xlfn.IFS(I1617="SALES","GP",I1617="SERVICE SALES","GP",I1617="PARTS SALES","GP",I1617="SERVICE COS","GP",I1617="PARTS COS","GP",I1617="SELLING EXPENSES","Selling Expenses",I1617="EMPLOYMENT EXPENSES","Selling Expenses",I1617="EMPLOYMENT EXPENSES","Selling Expenses",I1617="DIRECT EXPENSES","Selling Expenses",I1617="INDIRECT EXPENSES","Selling Expenses"),P1617="Parts",_xlfn.IFS(I1617="SALES","GP",I1617="SERVICE SALES","GP",I1617="PARTS SALES","GP",I1617="SERVICE COS","GP",I1617="PARTS COS","GP",I1617="SELLING EXPENSES","Selling Expenses",I1617="EMPLOYMENT EXPENSES","Selling Expenses",I1617="EMPLOYMENT EXPENSES","Selling Expenses",I1617="DIRECT EXPENSES","Selling Expenses",I1617="INDIRECT EXPENSES","Selling Expenses"))</f>
        <v>#N/A</v>
      </c>
    </row>
    <row r="1618" spans="1:18" x14ac:dyDescent="0.2">
      <c r="A1618" s="75" t="s">
        <v>961</v>
      </c>
      <c r="B1618" s="76" t="s">
        <v>962</v>
      </c>
      <c r="C1618" s="76">
        <v>142</v>
      </c>
      <c r="D1618" s="76" t="s">
        <v>454</v>
      </c>
      <c r="E1618" s="76" t="s">
        <v>247</v>
      </c>
      <c r="F1618" s="77">
        <v>3</v>
      </c>
      <c r="G1618" s="77">
        <v>0</v>
      </c>
      <c r="H1618" s="77">
        <v>3</v>
      </c>
      <c r="I1618" s="76" t="s">
        <v>936</v>
      </c>
      <c r="J1618" s="77">
        <v>0</v>
      </c>
      <c r="K1618" s="78">
        <v>0</v>
      </c>
      <c r="M1618" s="79" t="str">
        <f t="shared" si="77"/>
        <v>142-9365M#</v>
      </c>
      <c r="N1618" s="79" t="str">
        <f t="shared" si="75"/>
        <v>#</v>
      </c>
      <c r="O1618" s="79" t="str">
        <f t="shared" si="76"/>
        <v>142#</v>
      </c>
      <c r="P1618" s="79" t="str">
        <f>IFERROR(VLOOKUP($M1618,Export!$P:$R,2,FALSE),"-")</f>
        <v>-</v>
      </c>
      <c r="Q1618" s="79" t="str">
        <f>IFERROR(VLOOKUP($M1618,Export!$P:$R,3,FALSE),"-")</f>
        <v>-</v>
      </c>
      <c r="R1618" s="80" t="e" cm="1">
        <f t="array" ref="R1618">_xlfn.IFS(P1618="Service", _xlfn.IFS(I1618="SALES","GP",I1618="SERVICE SALES","GP",I1618="PARTS SALES","GP",I1618="SERVICE COS","GP",I1618="PARTS COS","GP",I1618="SELLING EXPENSES","Selling Expenses",I1618="EMPLOYMENT EXPENSES","Selling Expenses",I1618="EMPLOYMENT EXPENSES","Selling Expenses",I1618="DIRECT EXPENSES","Selling Expenses",I1618="INDIRECT EXPENSES","Selling Expenses"),P1618="Parts",_xlfn.IFS(I1618="SALES","GP",I1618="SERVICE SALES","GP",I1618="PARTS SALES","GP",I1618="SERVICE COS","GP",I1618="PARTS COS","GP",I1618="SELLING EXPENSES","Selling Expenses",I1618="EMPLOYMENT EXPENSES","Selling Expenses",I1618="EMPLOYMENT EXPENSES","Selling Expenses",I1618="DIRECT EXPENSES","Selling Expenses",I1618="INDIRECT EXPENSES","Selling Expenses"))</f>
        <v>#N/A</v>
      </c>
    </row>
    <row r="1619" spans="1:18" x14ac:dyDescent="0.2">
      <c r="A1619" s="75" t="s">
        <v>961</v>
      </c>
      <c r="B1619" s="76" t="s">
        <v>962</v>
      </c>
      <c r="C1619" s="76">
        <v>147</v>
      </c>
      <c r="D1619" s="76" t="s">
        <v>699</v>
      </c>
      <c r="E1619" s="76" t="s">
        <v>247</v>
      </c>
      <c r="F1619" s="77">
        <v>0</v>
      </c>
      <c r="G1619" s="77">
        <v>0</v>
      </c>
      <c r="H1619" s="77">
        <v>0</v>
      </c>
      <c r="I1619" s="76" t="s">
        <v>936</v>
      </c>
      <c r="J1619" s="77">
        <v>0</v>
      </c>
      <c r="K1619" s="78">
        <v>2</v>
      </c>
      <c r="M1619" s="79" t="str">
        <f t="shared" si="77"/>
        <v>147-9365M#</v>
      </c>
      <c r="N1619" s="79" t="str">
        <f t="shared" si="75"/>
        <v>#</v>
      </c>
      <c r="O1619" s="79" t="str">
        <f t="shared" si="76"/>
        <v>147#</v>
      </c>
      <c r="P1619" s="79" t="str">
        <f>IFERROR(VLOOKUP($M1619,Export!$P:$R,2,FALSE),"-")</f>
        <v>-</v>
      </c>
      <c r="Q1619" s="79" t="str">
        <f>IFERROR(VLOOKUP($M1619,Export!$P:$R,3,FALSE),"-")</f>
        <v>-</v>
      </c>
      <c r="R1619" s="80" t="e" cm="1">
        <f t="array" ref="R1619">_xlfn.IFS(P1619="Service", _xlfn.IFS(I1619="SALES","GP",I1619="SERVICE SALES","GP",I1619="PARTS SALES","GP",I1619="SERVICE COS","GP",I1619="PARTS COS","GP",I1619="SELLING EXPENSES","Selling Expenses",I1619="EMPLOYMENT EXPENSES","Selling Expenses",I1619="EMPLOYMENT EXPENSES","Selling Expenses",I1619="DIRECT EXPENSES","Selling Expenses",I1619="INDIRECT EXPENSES","Selling Expenses"),P1619="Parts",_xlfn.IFS(I1619="SALES","GP",I1619="SERVICE SALES","GP",I1619="PARTS SALES","GP",I1619="SERVICE COS","GP",I1619="PARTS COS","GP",I1619="SELLING EXPENSES","Selling Expenses",I1619="EMPLOYMENT EXPENSES","Selling Expenses",I1619="EMPLOYMENT EXPENSES","Selling Expenses",I1619="DIRECT EXPENSES","Selling Expenses",I1619="INDIRECT EXPENSES","Selling Expenses"))</f>
        <v>#N/A</v>
      </c>
    </row>
    <row r="1620" spans="1:18" x14ac:dyDescent="0.2">
      <c r="A1620" s="75" t="s">
        <v>961</v>
      </c>
      <c r="B1620" s="76" t="s">
        <v>962</v>
      </c>
      <c r="C1620" s="76">
        <v>240</v>
      </c>
      <c r="D1620" s="76" t="s">
        <v>439</v>
      </c>
      <c r="E1620" s="76" t="s">
        <v>247</v>
      </c>
      <c r="F1620" s="77">
        <v>2.5</v>
      </c>
      <c r="G1620" s="77">
        <v>0</v>
      </c>
      <c r="H1620" s="77">
        <v>2.5</v>
      </c>
      <c r="I1620" s="76" t="s">
        <v>936</v>
      </c>
      <c r="J1620" s="77">
        <v>0</v>
      </c>
      <c r="K1620" s="78">
        <v>0</v>
      </c>
      <c r="M1620" s="79" t="str">
        <f t="shared" si="77"/>
        <v>240-9365M#</v>
      </c>
      <c r="N1620" s="79" t="str">
        <f t="shared" si="75"/>
        <v>#</v>
      </c>
      <c r="O1620" s="79" t="str">
        <f t="shared" si="76"/>
        <v>240#</v>
      </c>
      <c r="P1620" s="79" t="str">
        <f>IFERROR(VLOOKUP($M1620,Export!$P:$R,2,FALSE),"-")</f>
        <v>-</v>
      </c>
      <c r="Q1620" s="79" t="str">
        <f>IFERROR(VLOOKUP($M1620,Export!$P:$R,3,FALSE),"-")</f>
        <v>-</v>
      </c>
      <c r="R1620" s="80" t="e" cm="1">
        <f t="array" ref="R1620">_xlfn.IFS(P1620="Service", _xlfn.IFS(I1620="SALES","GP",I1620="SERVICE SALES","GP",I1620="PARTS SALES","GP",I1620="SERVICE COS","GP",I1620="PARTS COS","GP",I1620="SELLING EXPENSES","Selling Expenses",I1620="EMPLOYMENT EXPENSES","Selling Expenses",I1620="EMPLOYMENT EXPENSES","Selling Expenses",I1620="DIRECT EXPENSES","Selling Expenses",I1620="INDIRECT EXPENSES","Selling Expenses"),P1620="Parts",_xlfn.IFS(I1620="SALES","GP",I1620="SERVICE SALES","GP",I1620="PARTS SALES","GP",I1620="SERVICE COS","GP",I1620="PARTS COS","GP",I1620="SELLING EXPENSES","Selling Expenses",I1620="EMPLOYMENT EXPENSES","Selling Expenses",I1620="EMPLOYMENT EXPENSES","Selling Expenses",I1620="DIRECT EXPENSES","Selling Expenses",I1620="INDIRECT EXPENSES","Selling Expenses"))</f>
        <v>#N/A</v>
      </c>
    </row>
    <row r="1621" spans="1:18" x14ac:dyDescent="0.2">
      <c r="A1621" s="75" t="s">
        <v>961</v>
      </c>
      <c r="B1621" s="76" t="s">
        <v>962</v>
      </c>
      <c r="C1621" s="76">
        <v>340</v>
      </c>
      <c r="D1621" s="76" t="s">
        <v>440</v>
      </c>
      <c r="E1621" s="76" t="s">
        <v>247</v>
      </c>
      <c r="F1621" s="77">
        <v>1</v>
      </c>
      <c r="G1621" s="77">
        <v>1.5</v>
      </c>
      <c r="H1621" s="77">
        <v>2.5</v>
      </c>
      <c r="I1621" s="76" t="s">
        <v>936</v>
      </c>
      <c r="J1621" s="77">
        <v>0</v>
      </c>
      <c r="K1621" s="78">
        <v>0</v>
      </c>
      <c r="M1621" s="79" t="str">
        <f t="shared" si="77"/>
        <v>340-9365M#</v>
      </c>
      <c r="N1621" s="79" t="str">
        <f t="shared" si="75"/>
        <v>#</v>
      </c>
      <c r="O1621" s="79" t="str">
        <f t="shared" si="76"/>
        <v>340#</v>
      </c>
      <c r="P1621" s="79" t="str">
        <f>IFERROR(VLOOKUP($M1621,Export!$P:$R,2,FALSE),"-")</f>
        <v>-</v>
      </c>
      <c r="Q1621" s="79" t="str">
        <f>IFERROR(VLOOKUP($M1621,Export!$P:$R,3,FALSE),"-")</f>
        <v>-</v>
      </c>
      <c r="R1621" s="80" t="e" cm="1">
        <f t="array" ref="R1621">_xlfn.IFS(P1621="Service", _xlfn.IFS(I1621="SALES","GP",I1621="SERVICE SALES","GP",I1621="PARTS SALES","GP",I1621="SERVICE COS","GP",I1621="PARTS COS","GP",I1621="SELLING EXPENSES","Selling Expenses",I1621="EMPLOYMENT EXPENSES","Selling Expenses",I1621="EMPLOYMENT EXPENSES","Selling Expenses",I1621="DIRECT EXPENSES","Selling Expenses",I1621="INDIRECT EXPENSES","Selling Expenses"),P1621="Parts",_xlfn.IFS(I1621="SALES","GP",I1621="SERVICE SALES","GP",I1621="PARTS SALES","GP",I1621="SERVICE COS","GP",I1621="PARTS COS","GP",I1621="SELLING EXPENSES","Selling Expenses",I1621="EMPLOYMENT EXPENSES","Selling Expenses",I1621="EMPLOYMENT EXPENSES","Selling Expenses",I1621="DIRECT EXPENSES","Selling Expenses",I1621="INDIRECT EXPENSES","Selling Expenses"))</f>
        <v>#N/A</v>
      </c>
    </row>
    <row r="1622" spans="1:18" x14ac:dyDescent="0.2">
      <c r="A1622" s="75" t="s">
        <v>961</v>
      </c>
      <c r="B1622" s="76" t="s">
        <v>962</v>
      </c>
      <c r="C1622" s="76">
        <v>440</v>
      </c>
      <c r="D1622" s="76" t="s">
        <v>441</v>
      </c>
      <c r="E1622" s="76" t="s">
        <v>247</v>
      </c>
      <c r="F1622" s="77">
        <v>3</v>
      </c>
      <c r="G1622" s="77">
        <v>0</v>
      </c>
      <c r="H1622" s="77">
        <v>3</v>
      </c>
      <c r="I1622" s="76" t="s">
        <v>936</v>
      </c>
      <c r="J1622" s="77">
        <v>0</v>
      </c>
      <c r="K1622" s="78">
        <v>1</v>
      </c>
      <c r="M1622" s="79" t="str">
        <f t="shared" si="77"/>
        <v>440-9365M#</v>
      </c>
      <c r="N1622" s="79" t="str">
        <f t="shared" si="75"/>
        <v>#</v>
      </c>
      <c r="O1622" s="79" t="str">
        <f t="shared" si="76"/>
        <v>440#</v>
      </c>
      <c r="P1622" s="79" t="str">
        <f>IFERROR(VLOOKUP($M1622,Export!$P:$R,2,FALSE),"-")</f>
        <v>-</v>
      </c>
      <c r="Q1622" s="79" t="str">
        <f>IFERROR(VLOOKUP($M1622,Export!$P:$R,3,FALSE),"-")</f>
        <v>-</v>
      </c>
      <c r="R1622" s="80" t="e" cm="1">
        <f t="array" ref="R1622">_xlfn.IFS(P1622="Service", _xlfn.IFS(I1622="SALES","GP",I1622="SERVICE SALES","GP",I1622="PARTS SALES","GP",I1622="SERVICE COS","GP",I1622="PARTS COS","GP",I1622="SELLING EXPENSES","Selling Expenses",I1622="EMPLOYMENT EXPENSES","Selling Expenses",I1622="EMPLOYMENT EXPENSES","Selling Expenses",I1622="DIRECT EXPENSES","Selling Expenses",I1622="INDIRECT EXPENSES","Selling Expenses"),P1622="Parts",_xlfn.IFS(I1622="SALES","GP",I1622="SERVICE SALES","GP",I1622="PARTS SALES","GP",I1622="SERVICE COS","GP",I1622="PARTS COS","GP",I1622="SELLING EXPENSES","Selling Expenses",I1622="EMPLOYMENT EXPENSES","Selling Expenses",I1622="EMPLOYMENT EXPENSES","Selling Expenses",I1622="DIRECT EXPENSES","Selling Expenses",I1622="INDIRECT EXPENSES","Selling Expenses"))</f>
        <v>#N/A</v>
      </c>
    </row>
    <row r="1623" spans="1:18" x14ac:dyDescent="0.2">
      <c r="A1623" s="75" t="s">
        <v>963</v>
      </c>
      <c r="B1623" s="76" t="s">
        <v>964</v>
      </c>
      <c r="C1623" s="76">
        <v>140</v>
      </c>
      <c r="D1623" s="76" t="s">
        <v>433</v>
      </c>
      <c r="E1623" s="76" t="s">
        <v>247</v>
      </c>
      <c r="F1623" s="77">
        <v>27</v>
      </c>
      <c r="G1623" s="77">
        <v>2</v>
      </c>
      <c r="H1623" s="77">
        <v>29</v>
      </c>
      <c r="I1623" s="76" t="s">
        <v>936</v>
      </c>
      <c r="J1623" s="77">
        <v>0</v>
      </c>
      <c r="K1623" s="78">
        <v>42</v>
      </c>
      <c r="M1623" s="79" t="str">
        <f t="shared" si="77"/>
        <v>140-9485M#</v>
      </c>
      <c r="N1623" s="79" t="str">
        <f t="shared" si="75"/>
        <v>#</v>
      </c>
      <c r="O1623" s="79" t="str">
        <f t="shared" si="76"/>
        <v>140#</v>
      </c>
      <c r="P1623" s="79" t="str">
        <f>IFERROR(VLOOKUP($M1623,Export!$P:$R,2,FALSE),"-")</f>
        <v>-</v>
      </c>
      <c r="Q1623" s="79" t="str">
        <f>IFERROR(VLOOKUP($M1623,Export!$P:$R,3,FALSE),"-")</f>
        <v>-</v>
      </c>
      <c r="R1623" s="80" t="e" cm="1">
        <f t="array" ref="R1623">_xlfn.IFS(P1623="Service", _xlfn.IFS(I1623="SALES","GP",I1623="SERVICE SALES","GP",I1623="PARTS SALES","GP",I1623="SERVICE COS","GP",I1623="PARTS COS","GP",I1623="SELLING EXPENSES","Selling Expenses",I1623="EMPLOYMENT EXPENSES","Selling Expenses",I1623="EMPLOYMENT EXPENSES","Selling Expenses",I1623="DIRECT EXPENSES","Selling Expenses",I1623="INDIRECT EXPENSES","Selling Expenses"),P1623="Parts",_xlfn.IFS(I1623="SALES","GP",I1623="SERVICE SALES","GP",I1623="PARTS SALES","GP",I1623="SERVICE COS","GP",I1623="PARTS COS","GP",I1623="SELLING EXPENSES","Selling Expenses",I1623="EMPLOYMENT EXPENSES","Selling Expenses",I1623="EMPLOYMENT EXPENSES","Selling Expenses",I1623="DIRECT EXPENSES","Selling Expenses",I1623="INDIRECT EXPENSES","Selling Expenses"))</f>
        <v>#N/A</v>
      </c>
    </row>
    <row r="1624" spans="1:18" x14ac:dyDescent="0.2">
      <c r="A1624" s="75" t="s">
        <v>963</v>
      </c>
      <c r="B1624" s="76" t="s">
        <v>964</v>
      </c>
      <c r="C1624" s="76">
        <v>142</v>
      </c>
      <c r="D1624" s="76" t="s">
        <v>454</v>
      </c>
      <c r="E1624" s="76" t="s">
        <v>247</v>
      </c>
      <c r="F1624" s="77">
        <v>10</v>
      </c>
      <c r="G1624" s="77">
        <v>-1</v>
      </c>
      <c r="H1624" s="77">
        <v>9</v>
      </c>
      <c r="I1624" s="76" t="s">
        <v>936</v>
      </c>
      <c r="J1624" s="77">
        <v>0</v>
      </c>
      <c r="K1624" s="78">
        <v>0</v>
      </c>
      <c r="M1624" s="79" t="str">
        <f t="shared" si="77"/>
        <v>142-9485M#</v>
      </c>
      <c r="N1624" s="79" t="str">
        <f t="shared" si="75"/>
        <v>#</v>
      </c>
      <c r="O1624" s="79" t="str">
        <f t="shared" si="76"/>
        <v>142#</v>
      </c>
      <c r="P1624" s="79" t="str">
        <f>IFERROR(VLOOKUP($M1624,Export!$P:$R,2,FALSE),"-")</f>
        <v>-</v>
      </c>
      <c r="Q1624" s="79" t="str">
        <f>IFERROR(VLOOKUP($M1624,Export!$P:$R,3,FALSE),"-")</f>
        <v>-</v>
      </c>
      <c r="R1624" s="80" t="e" cm="1">
        <f t="array" ref="R1624">_xlfn.IFS(P1624="Service", _xlfn.IFS(I1624="SALES","GP",I1624="SERVICE SALES","GP",I1624="PARTS SALES","GP",I1624="SERVICE COS","GP",I1624="PARTS COS","GP",I1624="SELLING EXPENSES","Selling Expenses",I1624="EMPLOYMENT EXPENSES","Selling Expenses",I1624="EMPLOYMENT EXPENSES","Selling Expenses",I1624="DIRECT EXPENSES","Selling Expenses",I1624="INDIRECT EXPENSES","Selling Expenses"),P1624="Parts",_xlfn.IFS(I1624="SALES","GP",I1624="SERVICE SALES","GP",I1624="PARTS SALES","GP",I1624="SERVICE COS","GP",I1624="PARTS COS","GP",I1624="SELLING EXPENSES","Selling Expenses",I1624="EMPLOYMENT EXPENSES","Selling Expenses",I1624="EMPLOYMENT EXPENSES","Selling Expenses",I1624="DIRECT EXPENSES","Selling Expenses",I1624="INDIRECT EXPENSES","Selling Expenses"))</f>
        <v>#N/A</v>
      </c>
    </row>
    <row r="1625" spans="1:18" x14ac:dyDescent="0.2">
      <c r="A1625" s="75" t="s">
        <v>963</v>
      </c>
      <c r="B1625" s="76" t="s">
        <v>964</v>
      </c>
      <c r="C1625" s="76">
        <v>147</v>
      </c>
      <c r="D1625" s="76" t="s">
        <v>699</v>
      </c>
      <c r="E1625" s="76" t="s">
        <v>247</v>
      </c>
      <c r="F1625" s="77">
        <v>0</v>
      </c>
      <c r="G1625" s="77">
        <v>0</v>
      </c>
      <c r="H1625" s="77">
        <v>0</v>
      </c>
      <c r="I1625" s="76" t="s">
        <v>936</v>
      </c>
      <c r="J1625" s="77">
        <v>0</v>
      </c>
      <c r="K1625" s="78">
        <v>9</v>
      </c>
      <c r="M1625" s="79" t="str">
        <f t="shared" si="77"/>
        <v>147-9485M#</v>
      </c>
      <c r="N1625" s="79" t="str">
        <f t="shared" si="75"/>
        <v>#</v>
      </c>
      <c r="O1625" s="79" t="str">
        <f t="shared" si="76"/>
        <v>147#</v>
      </c>
      <c r="P1625" s="79" t="str">
        <f>IFERROR(VLOOKUP($M1625,Export!$P:$R,2,FALSE),"-")</f>
        <v>-</v>
      </c>
      <c r="Q1625" s="79" t="str">
        <f>IFERROR(VLOOKUP($M1625,Export!$P:$R,3,FALSE),"-")</f>
        <v>-</v>
      </c>
      <c r="R1625" s="80" t="e" cm="1">
        <f t="array" ref="R1625">_xlfn.IFS(P1625="Service", _xlfn.IFS(I1625="SALES","GP",I1625="SERVICE SALES","GP",I1625="PARTS SALES","GP",I1625="SERVICE COS","GP",I1625="PARTS COS","GP",I1625="SELLING EXPENSES","Selling Expenses",I1625="EMPLOYMENT EXPENSES","Selling Expenses",I1625="EMPLOYMENT EXPENSES","Selling Expenses",I1625="DIRECT EXPENSES","Selling Expenses",I1625="INDIRECT EXPENSES","Selling Expenses"),P1625="Parts",_xlfn.IFS(I1625="SALES","GP",I1625="SERVICE SALES","GP",I1625="PARTS SALES","GP",I1625="SERVICE COS","GP",I1625="PARTS COS","GP",I1625="SELLING EXPENSES","Selling Expenses",I1625="EMPLOYMENT EXPENSES","Selling Expenses",I1625="EMPLOYMENT EXPENSES","Selling Expenses",I1625="DIRECT EXPENSES","Selling Expenses",I1625="INDIRECT EXPENSES","Selling Expenses"))</f>
        <v>#N/A</v>
      </c>
    </row>
    <row r="1626" spans="1:18" x14ac:dyDescent="0.2">
      <c r="A1626" s="75" t="s">
        <v>963</v>
      </c>
      <c r="B1626" s="76" t="s">
        <v>964</v>
      </c>
      <c r="C1626" s="76">
        <v>240</v>
      </c>
      <c r="D1626" s="76" t="s">
        <v>439</v>
      </c>
      <c r="E1626" s="76" t="s">
        <v>247</v>
      </c>
      <c r="F1626" s="77">
        <v>13.5</v>
      </c>
      <c r="G1626" s="77">
        <v>0</v>
      </c>
      <c r="H1626" s="77">
        <v>13.5</v>
      </c>
      <c r="I1626" s="76" t="s">
        <v>936</v>
      </c>
      <c r="J1626" s="77">
        <v>0</v>
      </c>
      <c r="K1626" s="78">
        <v>0</v>
      </c>
      <c r="M1626" s="79" t="str">
        <f t="shared" si="77"/>
        <v>240-9485M#</v>
      </c>
      <c r="N1626" s="79" t="str">
        <f t="shared" si="75"/>
        <v>#</v>
      </c>
      <c r="O1626" s="79" t="str">
        <f t="shared" si="76"/>
        <v>240#</v>
      </c>
      <c r="P1626" s="79" t="str">
        <f>IFERROR(VLOOKUP($M1626,Export!$P:$R,2,FALSE),"-")</f>
        <v>-</v>
      </c>
      <c r="Q1626" s="79" t="str">
        <f>IFERROR(VLOOKUP($M1626,Export!$P:$R,3,FALSE),"-")</f>
        <v>-</v>
      </c>
      <c r="R1626" s="80" t="e" cm="1">
        <f t="array" ref="R1626">_xlfn.IFS(P1626="Service", _xlfn.IFS(I1626="SALES","GP",I1626="SERVICE SALES","GP",I1626="PARTS SALES","GP",I1626="SERVICE COS","GP",I1626="PARTS COS","GP",I1626="SELLING EXPENSES","Selling Expenses",I1626="EMPLOYMENT EXPENSES","Selling Expenses",I1626="EMPLOYMENT EXPENSES","Selling Expenses",I1626="DIRECT EXPENSES","Selling Expenses",I1626="INDIRECT EXPENSES","Selling Expenses"),P1626="Parts",_xlfn.IFS(I1626="SALES","GP",I1626="SERVICE SALES","GP",I1626="PARTS SALES","GP",I1626="SERVICE COS","GP",I1626="PARTS COS","GP",I1626="SELLING EXPENSES","Selling Expenses",I1626="EMPLOYMENT EXPENSES","Selling Expenses",I1626="EMPLOYMENT EXPENSES","Selling Expenses",I1626="DIRECT EXPENSES","Selling Expenses",I1626="INDIRECT EXPENSES","Selling Expenses"))</f>
        <v>#N/A</v>
      </c>
    </row>
    <row r="1627" spans="1:18" x14ac:dyDescent="0.2">
      <c r="A1627" s="75" t="s">
        <v>963</v>
      </c>
      <c r="B1627" s="76" t="s">
        <v>964</v>
      </c>
      <c r="C1627" s="76">
        <v>340</v>
      </c>
      <c r="D1627" s="76" t="s">
        <v>440</v>
      </c>
      <c r="E1627" s="76" t="s">
        <v>247</v>
      </c>
      <c r="F1627" s="77">
        <v>8</v>
      </c>
      <c r="G1627" s="77">
        <v>0</v>
      </c>
      <c r="H1627" s="77">
        <v>8</v>
      </c>
      <c r="I1627" s="76" t="s">
        <v>936</v>
      </c>
      <c r="J1627" s="77">
        <v>0</v>
      </c>
      <c r="K1627" s="78">
        <v>0</v>
      </c>
      <c r="M1627" s="79" t="str">
        <f t="shared" si="77"/>
        <v>340-9485M#</v>
      </c>
      <c r="N1627" s="79" t="str">
        <f t="shared" si="75"/>
        <v>#</v>
      </c>
      <c r="O1627" s="79" t="str">
        <f t="shared" si="76"/>
        <v>340#</v>
      </c>
      <c r="P1627" s="79" t="str">
        <f>IFERROR(VLOOKUP($M1627,Export!$P:$R,2,FALSE),"-")</f>
        <v>-</v>
      </c>
      <c r="Q1627" s="79" t="str">
        <f>IFERROR(VLOOKUP($M1627,Export!$P:$R,3,FALSE),"-")</f>
        <v>-</v>
      </c>
      <c r="R1627" s="80" t="e" cm="1">
        <f t="array" ref="R1627">_xlfn.IFS(P1627="Service", _xlfn.IFS(I1627="SALES","GP",I1627="SERVICE SALES","GP",I1627="PARTS SALES","GP",I1627="SERVICE COS","GP",I1627="PARTS COS","GP",I1627="SELLING EXPENSES","Selling Expenses",I1627="EMPLOYMENT EXPENSES","Selling Expenses",I1627="EMPLOYMENT EXPENSES","Selling Expenses",I1627="DIRECT EXPENSES","Selling Expenses",I1627="INDIRECT EXPENSES","Selling Expenses"),P1627="Parts",_xlfn.IFS(I1627="SALES","GP",I1627="SERVICE SALES","GP",I1627="PARTS SALES","GP",I1627="SERVICE COS","GP",I1627="PARTS COS","GP",I1627="SELLING EXPENSES","Selling Expenses",I1627="EMPLOYMENT EXPENSES","Selling Expenses",I1627="EMPLOYMENT EXPENSES","Selling Expenses",I1627="DIRECT EXPENSES","Selling Expenses",I1627="INDIRECT EXPENSES","Selling Expenses"))</f>
        <v>#N/A</v>
      </c>
    </row>
    <row r="1628" spans="1:18" x14ac:dyDescent="0.2">
      <c r="A1628" s="75" t="s">
        <v>963</v>
      </c>
      <c r="B1628" s="76" t="s">
        <v>964</v>
      </c>
      <c r="C1628" s="76">
        <v>440</v>
      </c>
      <c r="D1628" s="76" t="s">
        <v>441</v>
      </c>
      <c r="E1628" s="76" t="s">
        <v>247</v>
      </c>
      <c r="F1628" s="77">
        <v>13</v>
      </c>
      <c r="G1628" s="77">
        <v>0</v>
      </c>
      <c r="H1628" s="77">
        <v>13</v>
      </c>
      <c r="I1628" s="76" t="s">
        <v>936</v>
      </c>
      <c r="J1628" s="77">
        <v>0</v>
      </c>
      <c r="K1628" s="78">
        <v>10</v>
      </c>
      <c r="M1628" s="79" t="str">
        <f t="shared" si="77"/>
        <v>440-9485M#</v>
      </c>
      <c r="N1628" s="79" t="str">
        <f t="shared" si="75"/>
        <v>#</v>
      </c>
      <c r="O1628" s="79" t="str">
        <f t="shared" si="76"/>
        <v>440#</v>
      </c>
      <c r="P1628" s="79" t="str">
        <f>IFERROR(VLOOKUP($M1628,Export!$P:$R,2,FALSE),"-")</f>
        <v>-</v>
      </c>
      <c r="Q1628" s="79" t="str">
        <f>IFERROR(VLOOKUP($M1628,Export!$P:$R,3,FALSE),"-")</f>
        <v>-</v>
      </c>
      <c r="R1628" s="80" t="e" cm="1">
        <f t="array" ref="R1628">_xlfn.IFS(P1628="Service", _xlfn.IFS(I1628="SALES","GP",I1628="SERVICE SALES","GP",I1628="PARTS SALES","GP",I1628="SERVICE COS","GP",I1628="PARTS COS","GP",I1628="SELLING EXPENSES","Selling Expenses",I1628="EMPLOYMENT EXPENSES","Selling Expenses",I1628="EMPLOYMENT EXPENSES","Selling Expenses",I1628="DIRECT EXPENSES","Selling Expenses",I1628="INDIRECT EXPENSES","Selling Expenses"),P1628="Parts",_xlfn.IFS(I1628="SALES","GP",I1628="SERVICE SALES","GP",I1628="PARTS SALES","GP",I1628="SERVICE COS","GP",I1628="PARTS COS","GP",I1628="SELLING EXPENSES","Selling Expenses",I1628="EMPLOYMENT EXPENSES","Selling Expenses",I1628="EMPLOYMENT EXPENSES","Selling Expenses",I1628="DIRECT EXPENSES","Selling Expenses",I1628="INDIRECT EXPENSES","Selling Expenses"))</f>
        <v>#N/A</v>
      </c>
    </row>
    <row r="1629" spans="1:18" x14ac:dyDescent="0.2">
      <c r="A1629" s="75" t="s">
        <v>97</v>
      </c>
      <c r="B1629" s="76" t="s">
        <v>99</v>
      </c>
      <c r="C1629" s="76">
        <v>130</v>
      </c>
      <c r="D1629" s="76" t="s">
        <v>432</v>
      </c>
      <c r="E1629" s="76" t="s">
        <v>247</v>
      </c>
      <c r="F1629" s="77">
        <v>6</v>
      </c>
      <c r="G1629" s="77">
        <v>-1</v>
      </c>
      <c r="H1629" s="77">
        <v>5</v>
      </c>
      <c r="I1629" s="76" t="s">
        <v>936</v>
      </c>
      <c r="J1629" s="77">
        <v>0</v>
      </c>
      <c r="K1629" s="78">
        <v>10</v>
      </c>
      <c r="M1629" s="79" t="str">
        <f t="shared" si="77"/>
        <v>130-9490M#</v>
      </c>
      <c r="N1629" s="79" t="str">
        <f t="shared" si="75"/>
        <v>#</v>
      </c>
      <c r="O1629" s="79" t="str">
        <f t="shared" si="76"/>
        <v>130#</v>
      </c>
      <c r="P1629" s="79" t="str">
        <f>IFERROR(VLOOKUP($M1629,Export!$P:$R,2,FALSE),"-")</f>
        <v>-</v>
      </c>
      <c r="Q1629" s="79" t="str">
        <f>IFERROR(VLOOKUP($M1629,Export!$P:$R,3,FALSE),"-")</f>
        <v>-</v>
      </c>
      <c r="R1629" s="80" t="e" cm="1">
        <f t="array" ref="R1629">_xlfn.IFS(P1629="Service", _xlfn.IFS(I1629="SALES","GP",I1629="SERVICE SALES","GP",I1629="PARTS SALES","GP",I1629="SERVICE COS","GP",I1629="PARTS COS","GP",I1629="SELLING EXPENSES","Selling Expenses",I1629="EMPLOYMENT EXPENSES","Selling Expenses",I1629="EMPLOYMENT EXPENSES","Selling Expenses",I1629="DIRECT EXPENSES","Selling Expenses",I1629="INDIRECT EXPENSES","Selling Expenses"),P1629="Parts",_xlfn.IFS(I1629="SALES","GP",I1629="SERVICE SALES","GP",I1629="PARTS SALES","GP",I1629="SERVICE COS","GP",I1629="PARTS COS","GP",I1629="SELLING EXPENSES","Selling Expenses",I1629="EMPLOYMENT EXPENSES","Selling Expenses",I1629="EMPLOYMENT EXPENSES","Selling Expenses",I1629="DIRECT EXPENSES","Selling Expenses",I1629="INDIRECT EXPENSES","Selling Expenses"))</f>
        <v>#N/A</v>
      </c>
    </row>
    <row r="1630" spans="1:18" x14ac:dyDescent="0.2">
      <c r="A1630" s="75" t="s">
        <v>97</v>
      </c>
      <c r="B1630" s="76" t="s">
        <v>99</v>
      </c>
      <c r="C1630" s="76">
        <v>230</v>
      </c>
      <c r="D1630" s="76" t="s">
        <v>438</v>
      </c>
      <c r="E1630" s="76" t="s">
        <v>247</v>
      </c>
      <c r="F1630" s="77">
        <v>4</v>
      </c>
      <c r="G1630" s="77">
        <v>-1</v>
      </c>
      <c r="H1630" s="77">
        <v>3</v>
      </c>
      <c r="I1630" s="76" t="s">
        <v>936</v>
      </c>
      <c r="J1630" s="77">
        <v>0</v>
      </c>
      <c r="K1630" s="78">
        <v>0</v>
      </c>
      <c r="M1630" s="79" t="str">
        <f t="shared" si="77"/>
        <v>230-9490M#</v>
      </c>
      <c r="N1630" s="79" t="str">
        <f t="shared" si="75"/>
        <v>#</v>
      </c>
      <c r="O1630" s="79" t="str">
        <f t="shared" si="76"/>
        <v>230#</v>
      </c>
      <c r="P1630" s="79" t="str">
        <f>IFERROR(VLOOKUP($M1630,Export!$P:$R,2,FALSE),"-")</f>
        <v>-</v>
      </c>
      <c r="Q1630" s="79" t="str">
        <f>IFERROR(VLOOKUP($M1630,Export!$P:$R,3,FALSE),"-")</f>
        <v>-</v>
      </c>
      <c r="R1630" s="80" t="e" cm="1">
        <f t="array" ref="R1630">_xlfn.IFS(P1630="Service", _xlfn.IFS(I1630="SALES","GP",I1630="SERVICE SALES","GP",I1630="PARTS SALES","GP",I1630="SERVICE COS","GP",I1630="PARTS COS","GP",I1630="SELLING EXPENSES","Selling Expenses",I1630="EMPLOYMENT EXPENSES","Selling Expenses",I1630="EMPLOYMENT EXPENSES","Selling Expenses",I1630="DIRECT EXPENSES","Selling Expenses",I1630="INDIRECT EXPENSES","Selling Expenses"),P1630="Parts",_xlfn.IFS(I1630="SALES","GP",I1630="SERVICE SALES","GP",I1630="PARTS SALES","GP",I1630="SERVICE COS","GP",I1630="PARTS COS","GP",I1630="SELLING EXPENSES","Selling Expenses",I1630="EMPLOYMENT EXPENSES","Selling Expenses",I1630="EMPLOYMENT EXPENSES","Selling Expenses",I1630="DIRECT EXPENSES","Selling Expenses",I1630="INDIRECT EXPENSES","Selling Expenses"))</f>
        <v>#N/A</v>
      </c>
    </row>
    <row r="1631" spans="1:18" x14ac:dyDescent="0.2">
      <c r="A1631" s="75" t="s">
        <v>97</v>
      </c>
      <c r="B1631" s="76" t="s">
        <v>99</v>
      </c>
      <c r="C1631" s="76">
        <v>330</v>
      </c>
      <c r="D1631" s="76" t="s">
        <v>457</v>
      </c>
      <c r="E1631" s="76" t="s">
        <v>247</v>
      </c>
      <c r="F1631" s="77">
        <v>1</v>
      </c>
      <c r="G1631" s="77">
        <v>0</v>
      </c>
      <c r="H1631" s="77">
        <v>1</v>
      </c>
      <c r="I1631" s="76" t="s">
        <v>936</v>
      </c>
      <c r="J1631" s="77">
        <v>0</v>
      </c>
      <c r="K1631" s="78">
        <v>0</v>
      </c>
      <c r="M1631" s="79" t="str">
        <f t="shared" si="77"/>
        <v>330-9490M#</v>
      </c>
      <c r="N1631" s="79" t="str">
        <f t="shared" si="75"/>
        <v>#</v>
      </c>
      <c r="O1631" s="79" t="str">
        <f t="shared" si="76"/>
        <v>330#</v>
      </c>
      <c r="P1631" s="79" t="str">
        <f>IFERROR(VLOOKUP($M1631,Export!$P:$R,2,FALSE),"-")</f>
        <v>-</v>
      </c>
      <c r="Q1631" s="79" t="str">
        <f>IFERROR(VLOOKUP($M1631,Export!$P:$R,3,FALSE),"-")</f>
        <v>-</v>
      </c>
      <c r="R1631" s="80" t="e" cm="1">
        <f t="array" ref="R1631">_xlfn.IFS(P1631="Service", _xlfn.IFS(I1631="SALES","GP",I1631="SERVICE SALES","GP",I1631="PARTS SALES","GP",I1631="SERVICE COS","GP",I1631="PARTS COS","GP",I1631="SELLING EXPENSES","Selling Expenses",I1631="EMPLOYMENT EXPENSES","Selling Expenses",I1631="EMPLOYMENT EXPENSES","Selling Expenses",I1631="DIRECT EXPENSES","Selling Expenses",I1631="INDIRECT EXPENSES","Selling Expenses"),P1631="Parts",_xlfn.IFS(I1631="SALES","GP",I1631="SERVICE SALES","GP",I1631="PARTS SALES","GP",I1631="SERVICE COS","GP",I1631="PARTS COS","GP",I1631="SELLING EXPENSES","Selling Expenses",I1631="EMPLOYMENT EXPENSES","Selling Expenses",I1631="EMPLOYMENT EXPENSES","Selling Expenses",I1631="DIRECT EXPENSES","Selling Expenses",I1631="INDIRECT EXPENSES","Selling Expenses"))</f>
        <v>#N/A</v>
      </c>
    </row>
    <row r="1632" spans="1:18" x14ac:dyDescent="0.2">
      <c r="A1632" s="75" t="s">
        <v>97</v>
      </c>
      <c r="B1632" s="76" t="s">
        <v>99</v>
      </c>
      <c r="C1632" s="76">
        <v>430</v>
      </c>
      <c r="D1632" s="76" t="s">
        <v>458</v>
      </c>
      <c r="E1632" s="76" t="s">
        <v>247</v>
      </c>
      <c r="F1632" s="77">
        <v>1</v>
      </c>
      <c r="G1632" s="77">
        <v>0</v>
      </c>
      <c r="H1632" s="77">
        <v>1</v>
      </c>
      <c r="I1632" s="76" t="s">
        <v>936</v>
      </c>
      <c r="J1632" s="77">
        <v>0</v>
      </c>
      <c r="K1632" s="78">
        <v>0</v>
      </c>
      <c r="M1632" s="79" t="str">
        <f t="shared" si="77"/>
        <v>430-9490M#</v>
      </c>
      <c r="N1632" s="79" t="str">
        <f t="shared" si="75"/>
        <v>#</v>
      </c>
      <c r="O1632" s="79" t="str">
        <f t="shared" si="76"/>
        <v>430#</v>
      </c>
      <c r="P1632" s="79" t="str">
        <f>IFERROR(VLOOKUP($M1632,Export!$P:$R,2,FALSE),"-")</f>
        <v>-</v>
      </c>
      <c r="Q1632" s="79" t="str">
        <f>IFERROR(VLOOKUP($M1632,Export!$P:$R,3,FALSE),"-")</f>
        <v>-</v>
      </c>
      <c r="R1632" s="80" t="e" cm="1">
        <f t="array" ref="R1632">_xlfn.IFS(P1632="Service", _xlfn.IFS(I1632="SALES","GP",I1632="SERVICE SALES","GP",I1632="PARTS SALES","GP",I1632="SERVICE COS","GP",I1632="PARTS COS","GP",I1632="SELLING EXPENSES","Selling Expenses",I1632="EMPLOYMENT EXPENSES","Selling Expenses",I1632="EMPLOYMENT EXPENSES","Selling Expenses",I1632="DIRECT EXPENSES","Selling Expenses",I1632="INDIRECT EXPENSES","Selling Expenses"),P1632="Parts",_xlfn.IFS(I1632="SALES","GP",I1632="SERVICE SALES","GP",I1632="PARTS SALES","GP",I1632="SERVICE COS","GP",I1632="PARTS COS","GP",I1632="SELLING EXPENSES","Selling Expenses",I1632="EMPLOYMENT EXPENSES","Selling Expenses",I1632="EMPLOYMENT EXPENSES","Selling Expenses",I1632="DIRECT EXPENSES","Selling Expenses",I1632="INDIRECT EXPENSES","Selling Expenses"))</f>
        <v>#N/A</v>
      </c>
    </row>
    <row r="1633" spans="1:18" x14ac:dyDescent="0.2">
      <c r="A1633" s="75" t="s">
        <v>965</v>
      </c>
      <c r="B1633" s="76" t="s">
        <v>966</v>
      </c>
      <c r="C1633" s="76">
        <v>240</v>
      </c>
      <c r="D1633" s="76" t="s">
        <v>439</v>
      </c>
      <c r="E1633" s="76" t="s">
        <v>247</v>
      </c>
      <c r="F1633" s="77">
        <v>24.5</v>
      </c>
      <c r="G1633" s="77">
        <v>-1</v>
      </c>
      <c r="H1633" s="77">
        <v>23.5</v>
      </c>
      <c r="I1633" s="76" t="s">
        <v>936</v>
      </c>
      <c r="J1633" s="77">
        <v>0</v>
      </c>
      <c r="K1633" s="78">
        <v>0</v>
      </c>
      <c r="M1633" s="79" t="str">
        <f t="shared" si="77"/>
        <v>240-9510M#</v>
      </c>
      <c r="N1633" s="79" t="str">
        <f t="shared" si="75"/>
        <v>#</v>
      </c>
      <c r="O1633" s="79" t="str">
        <f t="shared" si="76"/>
        <v>240#</v>
      </c>
      <c r="P1633" s="79" t="str">
        <f>IFERROR(VLOOKUP($M1633,Export!$P:$R,2,FALSE),"-")</f>
        <v>-</v>
      </c>
      <c r="Q1633" s="79" t="str">
        <f>IFERROR(VLOOKUP($M1633,Export!$P:$R,3,FALSE),"-")</f>
        <v>-</v>
      </c>
      <c r="R1633" s="80" t="e" cm="1">
        <f t="array" ref="R1633">_xlfn.IFS(P1633="Service", _xlfn.IFS(I1633="SALES","GP",I1633="SERVICE SALES","GP",I1633="PARTS SALES","GP",I1633="SERVICE COS","GP",I1633="PARTS COS","GP",I1633="SELLING EXPENSES","Selling Expenses",I1633="EMPLOYMENT EXPENSES","Selling Expenses",I1633="EMPLOYMENT EXPENSES","Selling Expenses",I1633="DIRECT EXPENSES","Selling Expenses",I1633="INDIRECT EXPENSES","Selling Expenses"),P1633="Parts",_xlfn.IFS(I1633="SALES","GP",I1633="SERVICE SALES","GP",I1633="PARTS SALES","GP",I1633="SERVICE COS","GP",I1633="PARTS COS","GP",I1633="SELLING EXPENSES","Selling Expenses",I1633="EMPLOYMENT EXPENSES","Selling Expenses",I1633="EMPLOYMENT EXPENSES","Selling Expenses",I1633="DIRECT EXPENSES","Selling Expenses",I1633="INDIRECT EXPENSES","Selling Expenses"))</f>
        <v>#N/A</v>
      </c>
    </row>
    <row r="1634" spans="1:18" x14ac:dyDescent="0.2">
      <c r="A1634" s="75" t="s">
        <v>965</v>
      </c>
      <c r="B1634" s="76" t="s">
        <v>966</v>
      </c>
      <c r="C1634" s="76">
        <v>340</v>
      </c>
      <c r="D1634" s="76" t="s">
        <v>440</v>
      </c>
      <c r="E1634" s="76" t="s">
        <v>247</v>
      </c>
      <c r="F1634" s="77">
        <v>9</v>
      </c>
      <c r="G1634" s="77">
        <v>0</v>
      </c>
      <c r="H1634" s="77">
        <v>9</v>
      </c>
      <c r="I1634" s="76" t="s">
        <v>936</v>
      </c>
      <c r="J1634" s="77">
        <v>0</v>
      </c>
      <c r="K1634" s="78">
        <v>0</v>
      </c>
      <c r="M1634" s="79" t="str">
        <f t="shared" si="77"/>
        <v>340-9510M#</v>
      </c>
      <c r="N1634" s="79" t="str">
        <f t="shared" si="75"/>
        <v>#</v>
      </c>
      <c r="O1634" s="79" t="str">
        <f t="shared" si="76"/>
        <v>340#</v>
      </c>
      <c r="P1634" s="79" t="str">
        <f>IFERROR(VLOOKUP($M1634,Export!$P:$R,2,FALSE),"-")</f>
        <v>-</v>
      </c>
      <c r="Q1634" s="79" t="str">
        <f>IFERROR(VLOOKUP($M1634,Export!$P:$R,3,FALSE),"-")</f>
        <v>-</v>
      </c>
      <c r="R1634" s="80" t="e" cm="1">
        <f t="array" ref="R1634">_xlfn.IFS(P1634="Service", _xlfn.IFS(I1634="SALES","GP",I1634="SERVICE SALES","GP",I1634="PARTS SALES","GP",I1634="SERVICE COS","GP",I1634="PARTS COS","GP",I1634="SELLING EXPENSES","Selling Expenses",I1634="EMPLOYMENT EXPENSES","Selling Expenses",I1634="EMPLOYMENT EXPENSES","Selling Expenses",I1634="DIRECT EXPENSES","Selling Expenses",I1634="INDIRECT EXPENSES","Selling Expenses"),P1634="Parts",_xlfn.IFS(I1634="SALES","GP",I1634="SERVICE SALES","GP",I1634="PARTS SALES","GP",I1634="SERVICE COS","GP",I1634="PARTS COS","GP",I1634="SELLING EXPENSES","Selling Expenses",I1634="EMPLOYMENT EXPENSES","Selling Expenses",I1634="EMPLOYMENT EXPENSES","Selling Expenses",I1634="DIRECT EXPENSES","Selling Expenses",I1634="INDIRECT EXPENSES","Selling Expenses"))</f>
        <v>#N/A</v>
      </c>
    </row>
    <row r="1635" spans="1:18" x14ac:dyDescent="0.2">
      <c r="A1635" s="75" t="s">
        <v>965</v>
      </c>
      <c r="B1635" s="76" t="s">
        <v>966</v>
      </c>
      <c r="C1635" s="76">
        <v>440</v>
      </c>
      <c r="D1635" s="76" t="s">
        <v>441</v>
      </c>
      <c r="E1635" s="76" t="s">
        <v>247</v>
      </c>
      <c r="F1635" s="77">
        <v>14</v>
      </c>
      <c r="G1635" s="77">
        <v>0</v>
      </c>
      <c r="H1635" s="77">
        <v>14</v>
      </c>
      <c r="I1635" s="76" t="s">
        <v>936</v>
      </c>
      <c r="J1635" s="77">
        <v>0</v>
      </c>
      <c r="K1635" s="78">
        <v>0</v>
      </c>
      <c r="M1635" s="79" t="str">
        <f t="shared" si="77"/>
        <v>440-9510M#</v>
      </c>
      <c r="N1635" s="79" t="str">
        <f t="shared" si="75"/>
        <v>#</v>
      </c>
      <c r="O1635" s="79" t="str">
        <f t="shared" si="76"/>
        <v>440#</v>
      </c>
      <c r="P1635" s="79" t="str">
        <f>IFERROR(VLOOKUP($M1635,Export!$P:$R,2,FALSE),"-")</f>
        <v>-</v>
      </c>
      <c r="Q1635" s="79" t="str">
        <f>IFERROR(VLOOKUP($M1635,Export!$P:$R,3,FALSE),"-")</f>
        <v>-</v>
      </c>
      <c r="R1635" s="80" t="e" cm="1">
        <f t="array" ref="R1635">_xlfn.IFS(P1635="Service", _xlfn.IFS(I1635="SALES","GP",I1635="SERVICE SALES","GP",I1635="PARTS SALES","GP",I1635="SERVICE COS","GP",I1635="PARTS COS","GP",I1635="SELLING EXPENSES","Selling Expenses",I1635="EMPLOYMENT EXPENSES","Selling Expenses",I1635="EMPLOYMENT EXPENSES","Selling Expenses",I1635="DIRECT EXPENSES","Selling Expenses",I1635="INDIRECT EXPENSES","Selling Expenses"),P1635="Parts",_xlfn.IFS(I1635="SALES","GP",I1635="SERVICE SALES","GP",I1635="PARTS SALES","GP",I1635="SERVICE COS","GP",I1635="PARTS COS","GP",I1635="SELLING EXPENSES","Selling Expenses",I1635="EMPLOYMENT EXPENSES","Selling Expenses",I1635="EMPLOYMENT EXPENSES","Selling Expenses",I1635="DIRECT EXPENSES","Selling Expenses",I1635="INDIRECT EXPENSES","Selling Expenses"))</f>
        <v>#N/A</v>
      </c>
    </row>
    <row r="1636" spans="1:18" x14ac:dyDescent="0.2">
      <c r="A1636" s="75" t="s">
        <v>965</v>
      </c>
      <c r="B1636" s="76" t="s">
        <v>966</v>
      </c>
      <c r="C1636" s="76">
        <v>900</v>
      </c>
      <c r="D1636" s="76" t="s">
        <v>214</v>
      </c>
      <c r="E1636" s="76" t="s">
        <v>247</v>
      </c>
      <c r="F1636" s="77">
        <v>96.5</v>
      </c>
      <c r="G1636" s="77">
        <v>-2</v>
      </c>
      <c r="H1636" s="77">
        <v>94.5</v>
      </c>
      <c r="I1636" s="76" t="s">
        <v>936</v>
      </c>
      <c r="J1636" s="77">
        <v>0</v>
      </c>
      <c r="K1636" s="78">
        <v>0</v>
      </c>
      <c r="M1636" s="79" t="str">
        <f t="shared" si="77"/>
        <v>900-9510M#</v>
      </c>
      <c r="N1636" s="79" t="str">
        <f t="shared" si="75"/>
        <v>#</v>
      </c>
      <c r="O1636" s="79" t="str">
        <f t="shared" si="76"/>
        <v>900#</v>
      </c>
      <c r="P1636" s="79" t="str">
        <f>IFERROR(VLOOKUP($M1636,Export!$P:$R,2,FALSE),"-")</f>
        <v>-</v>
      </c>
      <c r="Q1636" s="79" t="str">
        <f>IFERROR(VLOOKUP($M1636,Export!$P:$R,3,FALSE),"-")</f>
        <v>-</v>
      </c>
      <c r="R1636" s="80" t="e" cm="1">
        <f t="array" ref="R1636">_xlfn.IFS(P1636="Service", _xlfn.IFS(I1636="SALES","GP",I1636="SERVICE SALES","GP",I1636="PARTS SALES","GP",I1636="SERVICE COS","GP",I1636="PARTS COS","GP",I1636="SELLING EXPENSES","Selling Expenses",I1636="EMPLOYMENT EXPENSES","Selling Expenses",I1636="EMPLOYMENT EXPENSES","Selling Expenses",I1636="DIRECT EXPENSES","Selling Expenses",I1636="INDIRECT EXPENSES","Selling Expenses"),P1636="Parts",_xlfn.IFS(I1636="SALES","GP",I1636="SERVICE SALES","GP",I1636="PARTS SALES","GP",I1636="SERVICE COS","GP",I1636="PARTS COS","GP",I1636="SELLING EXPENSES","Selling Expenses",I1636="EMPLOYMENT EXPENSES","Selling Expenses",I1636="EMPLOYMENT EXPENSES","Selling Expenses",I1636="DIRECT EXPENSES","Selling Expenses",I1636="INDIRECT EXPENSES","Selling Expenses"))</f>
        <v>#N/A</v>
      </c>
    </row>
    <row r="1637" spans="1:18" x14ac:dyDescent="0.2">
      <c r="A1637" s="75">
        <v>7170</v>
      </c>
      <c r="B1637" s="76" t="s">
        <v>967</v>
      </c>
      <c r="C1637" s="76">
        <v>110</v>
      </c>
      <c r="D1637" s="76" t="s">
        <v>430</v>
      </c>
      <c r="E1637" s="76" t="s">
        <v>426</v>
      </c>
      <c r="F1637" s="77">
        <v>115808.48</v>
      </c>
      <c r="G1637" s="77">
        <v>13238.95</v>
      </c>
      <c r="H1637" s="77">
        <v>129047.43</v>
      </c>
      <c r="I1637" s="76" t="s">
        <v>968</v>
      </c>
      <c r="J1637" s="77">
        <v>10062.5</v>
      </c>
      <c r="K1637" s="78">
        <v>141473.38</v>
      </c>
      <c r="M1637" s="79" t="str">
        <f t="shared" si="77"/>
        <v>110-7170</v>
      </c>
      <c r="N1637" s="79" t="str">
        <f t="shared" si="75"/>
        <v/>
      </c>
      <c r="O1637" s="79" t="str">
        <f t="shared" si="76"/>
        <v>110</v>
      </c>
      <c r="P1637" s="79" t="str">
        <f>IFERROR(VLOOKUP($M1637,Export!$P:$R,2,FALSE),"-")</f>
        <v>New Vehicle</v>
      </c>
      <c r="Q1637" s="79" t="str">
        <f>IFERROR(VLOOKUP($M1637,Export!$P:$R,3,FALSE),"-")</f>
        <v>New VehicleSalaries &amp; Wages p.u.</v>
      </c>
      <c r="R1637" s="80" t="e" cm="1">
        <f t="array" ref="R1637">_xlfn.IFS(P1637="Service", _xlfn.IFS(I1637="SALES","GP",I1637="SERVICE SALES","GP",I1637="PARTS SALES","GP",I1637="SERVICE COS","GP",I1637="PARTS COS","GP",I1637="SELLING EXPENSES","Selling Expenses",I1637="EMPLOYMENT EXPENSES","Selling Expenses",I1637="EMPLOYMENT EXPENSES","Selling Expenses",I1637="DIRECT EXPENSES","Selling Expenses",I1637="INDIRECT EXPENSES","Selling Expenses"),P1637="Parts",_xlfn.IFS(I1637="SALES","GP",I1637="SERVICE SALES","GP",I1637="PARTS SALES","GP",I1637="SERVICE COS","GP",I1637="PARTS COS","GP",I1637="SELLING EXPENSES","Selling Expenses",I1637="EMPLOYMENT EXPENSES","Selling Expenses",I1637="EMPLOYMENT EXPENSES","Selling Expenses",I1637="DIRECT EXPENSES","Selling Expenses",I1637="INDIRECT EXPENSES","Selling Expenses"))</f>
        <v>#N/A</v>
      </c>
    </row>
    <row r="1638" spans="1:18" x14ac:dyDescent="0.2">
      <c r="A1638" s="75">
        <v>7170</v>
      </c>
      <c r="B1638" s="76" t="s">
        <v>967</v>
      </c>
      <c r="C1638" s="76">
        <v>112</v>
      </c>
      <c r="D1638" s="76" t="s">
        <v>349</v>
      </c>
      <c r="E1638" s="76" t="s">
        <v>426</v>
      </c>
      <c r="F1638" s="77">
        <v>12376.3</v>
      </c>
      <c r="G1638" s="77">
        <v>705.56</v>
      </c>
      <c r="H1638" s="77">
        <v>13081.86</v>
      </c>
      <c r="I1638" s="76" t="s">
        <v>968</v>
      </c>
      <c r="J1638" s="77">
        <v>2062.5</v>
      </c>
      <c r="K1638" s="78">
        <v>40997.339999999997</v>
      </c>
      <c r="M1638" s="79" t="str">
        <f t="shared" si="77"/>
        <v>112-7170</v>
      </c>
      <c r="N1638" s="79" t="str">
        <f t="shared" si="75"/>
        <v/>
      </c>
      <c r="O1638" s="79" t="str">
        <f t="shared" si="76"/>
        <v>112</v>
      </c>
      <c r="P1638" s="79" t="str">
        <f>IFERROR(VLOOKUP($M1638,Export!$P:$R,2,FALSE),"-")</f>
        <v>LEX New Vehicle</v>
      </c>
      <c r="Q1638" s="79" t="str">
        <f>IFERROR(VLOOKUP($M1638,Export!$P:$R,3,FALSE),"-")</f>
        <v>LEX New VehicleSalaries &amp; Wages p.u.</v>
      </c>
      <c r="R1638" s="80" t="e" cm="1">
        <f t="array" ref="R1638">_xlfn.IFS(P1638="Service", _xlfn.IFS(I1638="SALES","GP",I1638="SERVICE SALES","GP",I1638="PARTS SALES","GP",I1638="SERVICE COS","GP",I1638="PARTS COS","GP",I1638="SELLING EXPENSES","Selling Expenses",I1638="EMPLOYMENT EXPENSES","Selling Expenses",I1638="EMPLOYMENT EXPENSES","Selling Expenses",I1638="DIRECT EXPENSES","Selling Expenses",I1638="INDIRECT EXPENSES","Selling Expenses"),P1638="Parts",_xlfn.IFS(I1638="SALES","GP",I1638="SERVICE SALES","GP",I1638="PARTS SALES","GP",I1638="SERVICE COS","GP",I1638="PARTS COS","GP",I1638="SELLING EXPENSES","Selling Expenses",I1638="EMPLOYMENT EXPENSES","Selling Expenses",I1638="EMPLOYMENT EXPENSES","Selling Expenses",I1638="DIRECT EXPENSES","Selling Expenses",I1638="INDIRECT EXPENSES","Selling Expenses"))</f>
        <v>#N/A</v>
      </c>
    </row>
    <row r="1639" spans="1:18" x14ac:dyDescent="0.2">
      <c r="A1639" s="75">
        <v>7170</v>
      </c>
      <c r="B1639" s="76" t="s">
        <v>967</v>
      </c>
      <c r="C1639" s="76">
        <v>120</v>
      </c>
      <c r="D1639" s="76" t="s">
        <v>431</v>
      </c>
      <c r="E1639" s="76" t="s">
        <v>426</v>
      </c>
      <c r="F1639" s="77">
        <v>34713.08</v>
      </c>
      <c r="G1639" s="77">
        <v>2634.62</v>
      </c>
      <c r="H1639" s="77">
        <v>37347.699999999997</v>
      </c>
      <c r="I1639" s="76" t="s">
        <v>968</v>
      </c>
      <c r="J1639" s="77">
        <v>10062.5</v>
      </c>
      <c r="K1639" s="78">
        <v>95947.65</v>
      </c>
      <c r="M1639" s="79" t="str">
        <f t="shared" si="77"/>
        <v>120-7170</v>
      </c>
      <c r="N1639" s="79" t="str">
        <f t="shared" si="75"/>
        <v/>
      </c>
      <c r="O1639" s="79" t="str">
        <f t="shared" si="76"/>
        <v>120</v>
      </c>
      <c r="P1639" s="79" t="str">
        <f>IFERROR(VLOOKUP($M1639,Export!$P:$R,2,FALSE),"-")</f>
        <v>Used Vehicle</v>
      </c>
      <c r="Q1639" s="79" t="str">
        <f>IFERROR(VLOOKUP($M1639,Export!$P:$R,3,FALSE),"-")</f>
        <v>Used VehicleSalaries &amp; Wages per retail</v>
      </c>
      <c r="R1639" s="80" t="e" cm="1">
        <f t="array" ref="R1639">_xlfn.IFS(P1639="Service", _xlfn.IFS(I1639="SALES","GP",I1639="SERVICE SALES","GP",I1639="PARTS SALES","GP",I1639="SERVICE COS","GP",I1639="PARTS COS","GP",I1639="SELLING EXPENSES","Selling Expenses",I1639="EMPLOYMENT EXPENSES","Selling Expenses",I1639="EMPLOYMENT EXPENSES","Selling Expenses",I1639="DIRECT EXPENSES","Selling Expenses",I1639="INDIRECT EXPENSES","Selling Expenses"),P1639="Parts",_xlfn.IFS(I1639="SALES","GP",I1639="SERVICE SALES","GP",I1639="PARTS SALES","GP",I1639="SERVICE COS","GP",I1639="PARTS COS","GP",I1639="SELLING EXPENSES","Selling Expenses",I1639="EMPLOYMENT EXPENSES","Selling Expenses",I1639="EMPLOYMENT EXPENSES","Selling Expenses",I1639="DIRECT EXPENSES","Selling Expenses",I1639="INDIRECT EXPENSES","Selling Expenses"))</f>
        <v>#N/A</v>
      </c>
    </row>
    <row r="1640" spans="1:18" x14ac:dyDescent="0.2">
      <c r="A1640" s="75">
        <v>7170</v>
      </c>
      <c r="B1640" s="76" t="s">
        <v>967</v>
      </c>
      <c r="C1640" s="76">
        <v>121</v>
      </c>
      <c r="D1640" s="76" t="s">
        <v>449</v>
      </c>
      <c r="E1640" s="76" t="s">
        <v>426</v>
      </c>
      <c r="F1640" s="77">
        <v>22828.23</v>
      </c>
      <c r="G1640" s="77">
        <v>1343.38</v>
      </c>
      <c r="H1640" s="77">
        <v>24171.61</v>
      </c>
      <c r="I1640" s="76" t="s">
        <v>968</v>
      </c>
      <c r="J1640" s="77">
        <v>0</v>
      </c>
      <c r="K1640" s="78">
        <v>35572.65</v>
      </c>
      <c r="M1640" s="79" t="str">
        <f t="shared" si="77"/>
        <v>121-7170</v>
      </c>
      <c r="N1640" s="79" t="str">
        <f t="shared" si="75"/>
        <v/>
      </c>
      <c r="O1640" s="79" t="str">
        <f t="shared" si="76"/>
        <v>121</v>
      </c>
      <c r="P1640" s="79" t="str">
        <f>IFERROR(VLOOKUP($M1640,Export!$P:$R,2,FALSE),"-")</f>
        <v>Used Vehicle</v>
      </c>
      <c r="Q1640" s="79" t="str">
        <f>IFERROR(VLOOKUP($M1640,Export!$P:$R,3,FALSE),"-")</f>
        <v>Used VehicleSalaries &amp; Wages per retail</v>
      </c>
      <c r="R1640" s="80" t="e" cm="1">
        <f t="array" ref="R1640">_xlfn.IFS(P1640="Service", _xlfn.IFS(I1640="SALES","GP",I1640="SERVICE SALES","GP",I1640="PARTS SALES","GP",I1640="SERVICE COS","GP",I1640="PARTS COS","GP",I1640="SELLING EXPENSES","Selling Expenses",I1640="EMPLOYMENT EXPENSES","Selling Expenses",I1640="EMPLOYMENT EXPENSES","Selling Expenses",I1640="DIRECT EXPENSES","Selling Expenses",I1640="INDIRECT EXPENSES","Selling Expenses"),P1640="Parts",_xlfn.IFS(I1640="SALES","GP",I1640="SERVICE SALES","GP",I1640="PARTS SALES","GP",I1640="SERVICE COS","GP",I1640="PARTS COS","GP",I1640="SELLING EXPENSES","Selling Expenses",I1640="EMPLOYMENT EXPENSES","Selling Expenses",I1640="EMPLOYMENT EXPENSES","Selling Expenses",I1640="DIRECT EXPENSES","Selling Expenses",I1640="INDIRECT EXPENSES","Selling Expenses"))</f>
        <v>#N/A</v>
      </c>
    </row>
    <row r="1641" spans="1:18" x14ac:dyDescent="0.2">
      <c r="A1641" s="75">
        <v>7170</v>
      </c>
      <c r="B1641" s="76" t="s">
        <v>967</v>
      </c>
      <c r="C1641" s="76">
        <v>122</v>
      </c>
      <c r="D1641" s="76" t="s">
        <v>452</v>
      </c>
      <c r="E1641" s="76" t="s">
        <v>426</v>
      </c>
      <c r="F1641" s="77">
        <v>4745</v>
      </c>
      <c r="G1641" s="77">
        <v>302</v>
      </c>
      <c r="H1641" s="77">
        <v>5047</v>
      </c>
      <c r="I1641" s="76" t="s">
        <v>968</v>
      </c>
      <c r="J1641" s="77">
        <v>0</v>
      </c>
      <c r="K1641" s="78">
        <v>2352.1999999999998</v>
      </c>
      <c r="M1641" s="79" t="str">
        <f t="shared" si="77"/>
        <v>122-7170</v>
      </c>
      <c r="N1641" s="79" t="str">
        <f t="shared" si="75"/>
        <v/>
      </c>
      <c r="O1641" s="79" t="str">
        <f t="shared" si="76"/>
        <v>122</v>
      </c>
      <c r="P1641" s="79" t="str">
        <f>IFERROR(VLOOKUP($M1641,Export!$P:$R,2,FALSE),"-")</f>
        <v>LEX Used Vehicle</v>
      </c>
      <c r="Q1641" s="79" t="str">
        <f>IFERROR(VLOOKUP($M1641,Export!$P:$R,3,FALSE),"-")</f>
        <v>LEX Used VehicleSalaries &amp; Wages per retail</v>
      </c>
      <c r="R1641" s="80" t="e" cm="1">
        <f t="array" ref="R1641">_xlfn.IFS(P1641="Service", _xlfn.IFS(I1641="SALES","GP",I1641="SERVICE SALES","GP",I1641="PARTS SALES","GP",I1641="SERVICE COS","GP",I1641="PARTS COS","GP",I1641="SELLING EXPENSES","Selling Expenses",I1641="EMPLOYMENT EXPENSES","Selling Expenses",I1641="EMPLOYMENT EXPENSES","Selling Expenses",I1641="DIRECT EXPENSES","Selling Expenses",I1641="INDIRECT EXPENSES","Selling Expenses"),P1641="Parts",_xlfn.IFS(I1641="SALES","GP",I1641="SERVICE SALES","GP",I1641="PARTS SALES","GP",I1641="SERVICE COS","GP",I1641="PARTS COS","GP",I1641="SELLING EXPENSES","Selling Expenses",I1641="EMPLOYMENT EXPENSES","Selling Expenses",I1641="EMPLOYMENT EXPENSES","Selling Expenses",I1641="DIRECT EXPENSES","Selling Expenses",I1641="INDIRECT EXPENSES","Selling Expenses"))</f>
        <v>#N/A</v>
      </c>
    </row>
    <row r="1642" spans="1:18" x14ac:dyDescent="0.2">
      <c r="A1642" s="75">
        <v>7170</v>
      </c>
      <c r="B1642" s="76" t="s">
        <v>967</v>
      </c>
      <c r="C1642" s="76">
        <v>130</v>
      </c>
      <c r="D1642" s="76" t="s">
        <v>432</v>
      </c>
      <c r="E1642" s="76" t="s">
        <v>426</v>
      </c>
      <c r="F1642" s="77">
        <v>141117.73000000001</v>
      </c>
      <c r="G1642" s="77">
        <v>16717.47</v>
      </c>
      <c r="H1642" s="77">
        <v>157835.20000000001</v>
      </c>
      <c r="I1642" s="76" t="s">
        <v>968</v>
      </c>
      <c r="J1642" s="77">
        <v>15793</v>
      </c>
      <c r="K1642" s="78">
        <v>172659.21</v>
      </c>
      <c r="M1642" s="79" t="str">
        <f t="shared" si="77"/>
        <v>130-7170</v>
      </c>
      <c r="N1642" s="79" t="str">
        <f t="shared" si="75"/>
        <v/>
      </c>
      <c r="O1642" s="79" t="str">
        <f t="shared" si="76"/>
        <v>130</v>
      </c>
      <c r="P1642" s="79" t="str">
        <f>IFERROR(VLOOKUP($M1642,Export!$P:$R,2,FALSE),"-")</f>
        <v>Parts</v>
      </c>
      <c r="Q1642" s="79" t="str">
        <f>IFERROR(VLOOKUP($M1642,Export!$P:$R,3,FALSE),"-")</f>
        <v>PartsSalaries &amp; Commission as % of Sales</v>
      </c>
      <c r="R1642" s="80" t="str" cm="1">
        <f t="array" ref="R1642">_xlfn.IFS(P1642="Service", _xlfn.IFS(I1642="SALES","GP",I1642="SERVICE SALES","GP",I1642="PARTS SALES","GP",I1642="SERVICE COS","GP",I1642="PARTS COS","GP",I1642="SELLING EXPENSES","Selling Expenses",I1642="EMPLOYMENT EXPENSES","Selling Expenses",I1642="EMPLOYMENT EXPENSES","Selling Expenses",I1642="DIRECT EXPENSES","Selling Expenses",I1642="INDIRECT EXPENSES","Selling Expenses"),P1642="Parts",_xlfn.IFS(I1642="SALES","GP",I1642="SERVICE SALES","GP",I1642="PARTS SALES","GP",I1642="SERVICE COS","GP",I1642="PARTS COS","GP",I1642="SELLING EXPENSES","Selling Expenses",I1642="EMPLOYMENT EXPENSES","Selling Expenses",I1642="EMPLOYMENT EXPENSES","Selling Expenses",I1642="DIRECT EXPENSES","Selling Expenses",I1642="INDIRECT EXPENSES","Selling Expenses"))</f>
        <v>Selling Expenses</v>
      </c>
    </row>
    <row r="1643" spans="1:18" x14ac:dyDescent="0.2">
      <c r="A1643" s="75">
        <v>7170</v>
      </c>
      <c r="B1643" s="76" t="s">
        <v>967</v>
      </c>
      <c r="C1643" s="76">
        <v>132</v>
      </c>
      <c r="D1643" s="76" t="s">
        <v>453</v>
      </c>
      <c r="E1643" s="76" t="s">
        <v>426</v>
      </c>
      <c r="F1643" s="77">
        <v>4840</v>
      </c>
      <c r="G1643" s="77">
        <v>1858</v>
      </c>
      <c r="H1643" s="77">
        <v>6698</v>
      </c>
      <c r="I1643" s="76" t="s">
        <v>968</v>
      </c>
      <c r="J1643" s="77">
        <v>0</v>
      </c>
      <c r="K1643" s="78">
        <v>0</v>
      </c>
      <c r="M1643" s="79" t="str">
        <f t="shared" si="77"/>
        <v>132-7170</v>
      </c>
      <c r="N1643" s="79" t="str">
        <f t="shared" si="75"/>
        <v/>
      </c>
      <c r="O1643" s="79" t="str">
        <f t="shared" si="76"/>
        <v>132</v>
      </c>
      <c r="P1643" s="79" t="str">
        <f>IFERROR(VLOOKUP($M1643,Export!$P:$R,2,FALSE),"-")</f>
        <v>LEX Parts</v>
      </c>
      <c r="Q1643" s="79" t="str">
        <f>IFERROR(VLOOKUP($M1643,Export!$P:$R,3,FALSE),"-")</f>
        <v>LEX PartsSalaries &amp; Commission as % of Sales</v>
      </c>
      <c r="R1643" s="80" t="e" cm="1">
        <f t="array" ref="R1643">_xlfn.IFS(P1643="Service", _xlfn.IFS(I1643="SALES","GP",I1643="SERVICE SALES","GP",I1643="PARTS SALES","GP",I1643="SERVICE COS","GP",I1643="PARTS COS","GP",I1643="SELLING EXPENSES","Selling Expenses",I1643="EMPLOYMENT EXPENSES","Selling Expenses",I1643="EMPLOYMENT EXPENSES","Selling Expenses",I1643="DIRECT EXPENSES","Selling Expenses",I1643="INDIRECT EXPENSES","Selling Expenses"),P1643="Parts",_xlfn.IFS(I1643="SALES","GP",I1643="SERVICE SALES","GP",I1643="PARTS SALES","GP",I1643="SERVICE COS","GP",I1643="PARTS COS","GP",I1643="SELLING EXPENSES","Selling Expenses",I1643="EMPLOYMENT EXPENSES","Selling Expenses",I1643="EMPLOYMENT EXPENSES","Selling Expenses",I1643="DIRECT EXPENSES","Selling Expenses",I1643="INDIRECT EXPENSES","Selling Expenses"))</f>
        <v>#N/A</v>
      </c>
    </row>
    <row r="1644" spans="1:18" x14ac:dyDescent="0.2">
      <c r="A1644" s="75">
        <v>7170</v>
      </c>
      <c r="B1644" s="76" t="s">
        <v>967</v>
      </c>
      <c r="C1644" s="76">
        <v>140</v>
      </c>
      <c r="D1644" s="76" t="s">
        <v>433</v>
      </c>
      <c r="E1644" s="76" t="s">
        <v>426</v>
      </c>
      <c r="F1644" s="77">
        <v>154845.82</v>
      </c>
      <c r="G1644" s="77">
        <v>19303.18</v>
      </c>
      <c r="H1644" s="77">
        <v>174149</v>
      </c>
      <c r="I1644" s="76" t="s">
        <v>968</v>
      </c>
      <c r="J1644" s="77">
        <v>26712.67</v>
      </c>
      <c r="K1644" s="78">
        <v>278024.21000000002</v>
      </c>
      <c r="M1644" s="79" t="str">
        <f t="shared" si="77"/>
        <v>140-7170</v>
      </c>
      <c r="N1644" s="79" t="str">
        <f t="shared" si="75"/>
        <v/>
      </c>
      <c r="O1644" s="79" t="str">
        <f t="shared" si="76"/>
        <v>140</v>
      </c>
      <c r="P1644" s="79" t="str">
        <f>IFERROR(VLOOKUP($M1644,Export!$P:$R,2,FALSE),"-")</f>
        <v>Service</v>
      </c>
      <c r="Q1644" s="79" t="str">
        <f>IFERROR(VLOOKUP($M1644,Export!$P:$R,3,FALSE),"-")</f>
        <v>ServiceSalaries, Commission &amp; Leave as % of Sales</v>
      </c>
      <c r="R1644" s="80" t="str" cm="1">
        <f t="array" ref="R1644">_xlfn.IFS(P1644="Service", _xlfn.IFS(I1644="SALES","GP",I1644="SERVICE SALES","GP",I1644="PARTS SALES","GP",I1644="SERVICE COS","GP",I1644="PARTS COS","GP",I1644="SELLING EXPENSES","Selling Expenses",I1644="EMPLOYMENT EXPENSES","Selling Expenses",I1644="EMPLOYMENT EXPENSES","Selling Expenses",I1644="DIRECT EXPENSES","Selling Expenses",I1644="INDIRECT EXPENSES","Selling Expenses"),P1644="Parts",_xlfn.IFS(I1644="SALES","GP",I1644="SERVICE SALES","GP",I1644="PARTS SALES","GP",I1644="SERVICE COS","GP",I1644="PARTS COS","GP",I1644="SELLING EXPENSES","Selling Expenses",I1644="EMPLOYMENT EXPENSES","Selling Expenses",I1644="EMPLOYMENT EXPENSES","Selling Expenses",I1644="DIRECT EXPENSES","Selling Expenses",I1644="INDIRECT EXPENSES","Selling Expenses"))</f>
        <v>Selling Expenses</v>
      </c>
    </row>
    <row r="1645" spans="1:18" x14ac:dyDescent="0.2">
      <c r="A1645" s="75">
        <v>7170</v>
      </c>
      <c r="B1645" s="76" t="s">
        <v>967</v>
      </c>
      <c r="C1645" s="76">
        <v>142</v>
      </c>
      <c r="D1645" s="76" t="s">
        <v>454</v>
      </c>
      <c r="E1645" s="76" t="s">
        <v>426</v>
      </c>
      <c r="F1645" s="77">
        <v>66109.649999999994</v>
      </c>
      <c r="G1645" s="77">
        <v>8273</v>
      </c>
      <c r="H1645" s="77">
        <v>74382.649999999994</v>
      </c>
      <c r="I1645" s="76" t="s">
        <v>968</v>
      </c>
      <c r="J1645" s="77">
        <v>700</v>
      </c>
      <c r="K1645" s="78">
        <v>15728.57</v>
      </c>
      <c r="M1645" s="79" t="str">
        <f t="shared" si="77"/>
        <v>142-7170</v>
      </c>
      <c r="N1645" s="79" t="str">
        <f t="shared" si="75"/>
        <v/>
      </c>
      <c r="O1645" s="79" t="str">
        <f t="shared" si="76"/>
        <v>142</v>
      </c>
      <c r="P1645" s="79" t="str">
        <f>IFERROR(VLOOKUP($M1645,Export!$P:$R,2,FALSE),"-")</f>
        <v>Lex Service</v>
      </c>
      <c r="Q1645" s="79" t="str">
        <f>IFERROR(VLOOKUP($M1645,Export!$P:$R,3,FALSE),"-")</f>
        <v>Lex ServiceSalaries, Commission &amp; Leave as % of Sales</v>
      </c>
      <c r="R1645" s="80" t="e" cm="1">
        <f t="array" ref="R1645">_xlfn.IFS(P1645="Service", _xlfn.IFS(I1645="SALES","GP",I1645="SERVICE SALES","GP",I1645="PARTS SALES","GP",I1645="SERVICE COS","GP",I1645="PARTS COS","GP",I1645="SELLING EXPENSES","Selling Expenses",I1645="EMPLOYMENT EXPENSES","Selling Expenses",I1645="EMPLOYMENT EXPENSES","Selling Expenses",I1645="DIRECT EXPENSES","Selling Expenses",I1645="INDIRECT EXPENSES","Selling Expenses"),P1645="Parts",_xlfn.IFS(I1645="SALES","GP",I1645="SERVICE SALES","GP",I1645="PARTS SALES","GP",I1645="SERVICE COS","GP",I1645="PARTS COS","GP",I1645="SELLING EXPENSES","Selling Expenses",I1645="EMPLOYMENT EXPENSES","Selling Expenses",I1645="EMPLOYMENT EXPENSES","Selling Expenses",I1645="DIRECT EXPENSES","Selling Expenses",I1645="INDIRECT EXPENSES","Selling Expenses"))</f>
        <v>#N/A</v>
      </c>
    </row>
    <row r="1646" spans="1:18" x14ac:dyDescent="0.2">
      <c r="A1646" s="75">
        <v>7170</v>
      </c>
      <c r="B1646" s="76" t="s">
        <v>967</v>
      </c>
      <c r="C1646" s="76">
        <v>147</v>
      </c>
      <c r="D1646" s="76" t="s">
        <v>699</v>
      </c>
      <c r="E1646" s="76" t="s">
        <v>426</v>
      </c>
      <c r="F1646" s="77">
        <v>2130.23</v>
      </c>
      <c r="G1646" s="77">
        <v>0</v>
      </c>
      <c r="H1646" s="77">
        <v>2130.23</v>
      </c>
      <c r="I1646" s="76" t="s">
        <v>968</v>
      </c>
      <c r="J1646" s="77">
        <v>6933.33</v>
      </c>
      <c r="K1646" s="78">
        <v>81546.17</v>
      </c>
      <c r="M1646" s="79" t="str">
        <f t="shared" si="77"/>
        <v>147-7170</v>
      </c>
      <c r="N1646" s="79" t="str">
        <f t="shared" si="75"/>
        <v/>
      </c>
      <c r="O1646" s="79" t="str">
        <f t="shared" si="76"/>
        <v>147</v>
      </c>
      <c r="P1646" s="79" t="str">
        <f>IFERROR(VLOOKUP($M1646,Export!$P:$R,2,FALSE),"-")</f>
        <v>Service</v>
      </c>
      <c r="Q1646" s="79" t="str">
        <f>IFERROR(VLOOKUP($M1646,Export!$P:$R,3,FALSE),"-")</f>
        <v>ServiceSalaries, Commission &amp; Leave as % of Sales</v>
      </c>
      <c r="R1646" s="80" t="str" cm="1">
        <f t="array" ref="R1646">_xlfn.IFS(P1646="Service", _xlfn.IFS(I1646="SALES","GP",I1646="SERVICE SALES","GP",I1646="PARTS SALES","GP",I1646="SERVICE COS","GP",I1646="PARTS COS","GP",I1646="SELLING EXPENSES","Selling Expenses",I1646="EMPLOYMENT EXPENSES","Selling Expenses",I1646="EMPLOYMENT EXPENSES","Selling Expenses",I1646="DIRECT EXPENSES","Selling Expenses",I1646="INDIRECT EXPENSES","Selling Expenses"),P1646="Parts",_xlfn.IFS(I1646="SALES","GP",I1646="SERVICE SALES","GP",I1646="PARTS SALES","GP",I1646="SERVICE COS","GP",I1646="PARTS COS","GP",I1646="SELLING EXPENSES","Selling Expenses",I1646="EMPLOYMENT EXPENSES","Selling Expenses",I1646="EMPLOYMENT EXPENSES","Selling Expenses",I1646="DIRECT EXPENSES","Selling Expenses",I1646="INDIRECT EXPENSES","Selling Expenses"))</f>
        <v>Selling Expenses</v>
      </c>
    </row>
    <row r="1647" spans="1:18" x14ac:dyDescent="0.2">
      <c r="A1647" s="75">
        <v>7170</v>
      </c>
      <c r="B1647" s="76" t="s">
        <v>967</v>
      </c>
      <c r="C1647" s="76">
        <v>150</v>
      </c>
      <c r="D1647" s="76" t="s">
        <v>700</v>
      </c>
      <c r="E1647" s="76" t="s">
        <v>426</v>
      </c>
      <c r="F1647" s="77">
        <v>69333.64</v>
      </c>
      <c r="G1647" s="77">
        <v>7778.7</v>
      </c>
      <c r="H1647" s="77">
        <v>77112.34</v>
      </c>
      <c r="I1647" s="76" t="s">
        <v>968</v>
      </c>
      <c r="J1647" s="77">
        <v>0</v>
      </c>
      <c r="K1647" s="78">
        <v>0</v>
      </c>
      <c r="M1647" s="79" t="str">
        <f t="shared" si="77"/>
        <v>150-7170</v>
      </c>
      <c r="N1647" s="79" t="str">
        <f t="shared" si="75"/>
        <v/>
      </c>
      <c r="O1647" s="79" t="str">
        <f t="shared" si="76"/>
        <v>150</v>
      </c>
      <c r="P1647" s="79" t="str">
        <f>IFERROR(VLOOKUP($M1647,Export!$P:$R,2,FALSE),"-")</f>
        <v>Retail Detailing</v>
      </c>
      <c r="Q1647" s="79" t="str">
        <f>IFERROR(VLOOKUP($M1647,Export!$P:$R,3,FALSE),"-")</f>
        <v>Retail DetailingSalaries, Commission &amp; Leave as % of Sales</v>
      </c>
      <c r="R1647" s="80" t="e" cm="1">
        <f t="array" ref="R1647">_xlfn.IFS(P1647="Service", _xlfn.IFS(I1647="SALES","GP",I1647="SERVICE SALES","GP",I1647="PARTS SALES","GP",I1647="SERVICE COS","GP",I1647="PARTS COS","GP",I1647="SELLING EXPENSES","Selling Expenses",I1647="EMPLOYMENT EXPENSES","Selling Expenses",I1647="EMPLOYMENT EXPENSES","Selling Expenses",I1647="DIRECT EXPENSES","Selling Expenses",I1647="INDIRECT EXPENSES","Selling Expenses"),P1647="Parts",_xlfn.IFS(I1647="SALES","GP",I1647="SERVICE SALES","GP",I1647="PARTS SALES","GP",I1647="SERVICE COS","GP",I1647="PARTS COS","GP",I1647="SELLING EXPENSES","Selling Expenses",I1647="EMPLOYMENT EXPENSES","Selling Expenses",I1647="EMPLOYMENT EXPENSES","Selling Expenses",I1647="DIRECT EXPENSES","Selling Expenses",I1647="INDIRECT EXPENSES","Selling Expenses"))</f>
        <v>#N/A</v>
      </c>
    </row>
    <row r="1648" spans="1:18" x14ac:dyDescent="0.2">
      <c r="A1648" s="75">
        <v>7170</v>
      </c>
      <c r="B1648" s="76" t="s">
        <v>967</v>
      </c>
      <c r="C1648" s="76">
        <v>160</v>
      </c>
      <c r="D1648" s="76" t="s">
        <v>434</v>
      </c>
      <c r="E1648" s="76" t="s">
        <v>426</v>
      </c>
      <c r="F1648" s="77">
        <v>11035.3</v>
      </c>
      <c r="G1648" s="77">
        <v>614.55999999999995</v>
      </c>
      <c r="H1648" s="77">
        <v>11649.86</v>
      </c>
      <c r="I1648" s="76" t="s">
        <v>968</v>
      </c>
      <c r="J1648" s="77">
        <v>4312.5</v>
      </c>
      <c r="K1648" s="78">
        <v>44495.93</v>
      </c>
      <c r="M1648" s="79" t="str">
        <f t="shared" si="77"/>
        <v>160-7170</v>
      </c>
      <c r="N1648" s="79" t="str">
        <f t="shared" si="75"/>
        <v/>
      </c>
      <c r="O1648" s="79" t="str">
        <f t="shared" si="76"/>
        <v>160</v>
      </c>
      <c r="P1648" s="79" t="str">
        <f>IFERROR(VLOOKUP($M1648,Export!$P:$R,2,FALSE),"-")</f>
        <v>F&amp;I</v>
      </c>
      <c r="Q1648" s="79" t="str">
        <f>IFERROR(VLOOKUP($M1648,Export!$P:$R,3,FALSE),"-")</f>
        <v>F&amp;ISalaries &amp; Commission per vehicle retailed</v>
      </c>
      <c r="R1648" s="80" t="e" cm="1">
        <f t="array" ref="R1648">_xlfn.IFS(P1648="Service", _xlfn.IFS(I1648="SALES","GP",I1648="SERVICE SALES","GP",I1648="PARTS SALES","GP",I1648="SERVICE COS","GP",I1648="PARTS COS","GP",I1648="SELLING EXPENSES","Selling Expenses",I1648="EMPLOYMENT EXPENSES","Selling Expenses",I1648="EMPLOYMENT EXPENSES","Selling Expenses",I1648="DIRECT EXPENSES","Selling Expenses",I1648="INDIRECT EXPENSES","Selling Expenses"),P1648="Parts",_xlfn.IFS(I1648="SALES","GP",I1648="SERVICE SALES","GP",I1648="PARTS SALES","GP",I1648="SERVICE COS","GP",I1648="PARTS COS","GP",I1648="SELLING EXPENSES","Selling Expenses",I1648="EMPLOYMENT EXPENSES","Selling Expenses",I1648="EMPLOYMENT EXPENSES","Selling Expenses",I1648="DIRECT EXPENSES","Selling Expenses",I1648="INDIRECT EXPENSES","Selling Expenses"))</f>
        <v>#N/A</v>
      </c>
    </row>
    <row r="1649" spans="1:18" x14ac:dyDescent="0.2">
      <c r="A1649" s="75">
        <v>7170</v>
      </c>
      <c r="B1649" s="76" t="s">
        <v>967</v>
      </c>
      <c r="C1649" s="76">
        <v>162</v>
      </c>
      <c r="D1649" s="76" t="s">
        <v>455</v>
      </c>
      <c r="E1649" s="76" t="s">
        <v>426</v>
      </c>
      <c r="F1649" s="77">
        <v>6086</v>
      </c>
      <c r="G1649" s="77">
        <v>393</v>
      </c>
      <c r="H1649" s="77">
        <v>6479</v>
      </c>
      <c r="I1649" s="76" t="s">
        <v>968</v>
      </c>
      <c r="J1649" s="77">
        <v>0</v>
      </c>
      <c r="K1649" s="78">
        <v>2053.61</v>
      </c>
      <c r="M1649" s="79" t="str">
        <f t="shared" si="77"/>
        <v>162-7170</v>
      </c>
      <c r="N1649" s="79" t="str">
        <f t="shared" si="75"/>
        <v/>
      </c>
      <c r="O1649" s="79" t="str">
        <f t="shared" si="76"/>
        <v>162</v>
      </c>
      <c r="P1649" s="79" t="str">
        <f>IFERROR(VLOOKUP($M1649,Export!$P:$R,2,FALSE),"-")</f>
        <v>LEX F&amp;I</v>
      </c>
      <c r="Q1649" s="79" t="str">
        <f>IFERROR(VLOOKUP($M1649,Export!$P:$R,3,FALSE),"-")</f>
        <v>LEX F&amp;ISalaries &amp; Commission per vehicle retailed</v>
      </c>
      <c r="R1649" s="80" t="e" cm="1">
        <f t="array" ref="R1649">_xlfn.IFS(P1649="Service", _xlfn.IFS(I1649="SALES","GP",I1649="SERVICE SALES","GP",I1649="PARTS SALES","GP",I1649="SERVICE COS","GP",I1649="PARTS COS","GP",I1649="SELLING EXPENSES","Selling Expenses",I1649="EMPLOYMENT EXPENSES","Selling Expenses",I1649="EMPLOYMENT EXPENSES","Selling Expenses",I1649="DIRECT EXPENSES","Selling Expenses",I1649="INDIRECT EXPENSES","Selling Expenses"),P1649="Parts",_xlfn.IFS(I1649="SALES","GP",I1649="SERVICE SALES","GP",I1649="PARTS SALES","GP",I1649="SERVICE COS","GP",I1649="PARTS COS","GP",I1649="SELLING EXPENSES","Selling Expenses",I1649="EMPLOYMENT EXPENSES","Selling Expenses",I1649="EMPLOYMENT EXPENSES","Selling Expenses",I1649="DIRECT EXPENSES","Selling Expenses",I1649="INDIRECT EXPENSES","Selling Expenses"))</f>
        <v>#N/A</v>
      </c>
    </row>
    <row r="1650" spans="1:18" x14ac:dyDescent="0.2">
      <c r="A1650" s="75">
        <v>7170</v>
      </c>
      <c r="B1650" s="76" t="s">
        <v>967</v>
      </c>
      <c r="C1650" s="76">
        <v>210</v>
      </c>
      <c r="D1650" s="76" t="s">
        <v>436</v>
      </c>
      <c r="E1650" s="76" t="s">
        <v>426</v>
      </c>
      <c r="F1650" s="77">
        <v>14538.48</v>
      </c>
      <c r="G1650" s="77">
        <v>7022.45</v>
      </c>
      <c r="H1650" s="77">
        <v>21560.93</v>
      </c>
      <c r="I1650" s="76" t="s">
        <v>968</v>
      </c>
      <c r="J1650" s="77">
        <v>3645.83</v>
      </c>
      <c r="K1650" s="78">
        <v>55398.51</v>
      </c>
      <c r="M1650" s="79" t="str">
        <f t="shared" si="77"/>
        <v>210-7170</v>
      </c>
      <c r="N1650" s="79" t="str">
        <f t="shared" si="75"/>
        <v/>
      </c>
      <c r="O1650" s="79" t="str">
        <f t="shared" si="76"/>
        <v>210</v>
      </c>
      <c r="P1650" s="79" t="str">
        <f>IFERROR(VLOOKUP($M1650,Export!$P:$R,2,FALSE),"-")</f>
        <v>New Vehicle</v>
      </c>
      <c r="Q1650" s="79" t="str">
        <f>IFERROR(VLOOKUP($M1650,Export!$P:$R,3,FALSE),"-")</f>
        <v>New VehicleSalaries &amp; Wages p.u.</v>
      </c>
      <c r="R1650" s="80" t="e" cm="1">
        <f t="array" ref="R1650">_xlfn.IFS(P1650="Service", _xlfn.IFS(I1650="SALES","GP",I1650="SERVICE SALES","GP",I1650="PARTS SALES","GP",I1650="SERVICE COS","GP",I1650="PARTS COS","GP",I1650="SELLING EXPENSES","Selling Expenses",I1650="EMPLOYMENT EXPENSES","Selling Expenses",I1650="EMPLOYMENT EXPENSES","Selling Expenses",I1650="DIRECT EXPENSES","Selling Expenses",I1650="INDIRECT EXPENSES","Selling Expenses"),P1650="Parts",_xlfn.IFS(I1650="SALES","GP",I1650="SERVICE SALES","GP",I1650="PARTS SALES","GP",I1650="SERVICE COS","GP",I1650="PARTS COS","GP",I1650="SELLING EXPENSES","Selling Expenses",I1650="EMPLOYMENT EXPENSES","Selling Expenses",I1650="EMPLOYMENT EXPENSES","Selling Expenses",I1650="DIRECT EXPENSES","Selling Expenses",I1650="INDIRECT EXPENSES","Selling Expenses"))</f>
        <v>#N/A</v>
      </c>
    </row>
    <row r="1651" spans="1:18" x14ac:dyDescent="0.2">
      <c r="A1651" s="75">
        <v>7170</v>
      </c>
      <c r="B1651" s="76" t="s">
        <v>967</v>
      </c>
      <c r="C1651" s="76">
        <v>220</v>
      </c>
      <c r="D1651" s="76" t="s">
        <v>437</v>
      </c>
      <c r="E1651" s="76" t="s">
        <v>426</v>
      </c>
      <c r="F1651" s="77">
        <v>0</v>
      </c>
      <c r="G1651" s="77">
        <v>0</v>
      </c>
      <c r="H1651" s="77">
        <v>0</v>
      </c>
      <c r="I1651" s="76" t="s">
        <v>968</v>
      </c>
      <c r="J1651" s="77">
        <v>2187.5</v>
      </c>
      <c r="K1651" s="78">
        <v>105654.49</v>
      </c>
      <c r="M1651" s="79" t="str">
        <f t="shared" si="77"/>
        <v>220-7170</v>
      </c>
      <c r="N1651" s="79" t="str">
        <f t="shared" si="75"/>
        <v/>
      </c>
      <c r="O1651" s="79" t="str">
        <f t="shared" si="76"/>
        <v>220</v>
      </c>
      <c r="P1651" s="79" t="str">
        <f>IFERROR(VLOOKUP($M1651,Export!$P:$R,2,FALSE),"-")</f>
        <v>Used Vehicle</v>
      </c>
      <c r="Q1651" s="79" t="str">
        <f>IFERROR(VLOOKUP($M1651,Export!$P:$R,3,FALSE),"-")</f>
        <v>Used VehicleSalaries &amp; Wages per retail</v>
      </c>
      <c r="R1651" s="80" t="e" cm="1">
        <f t="array" ref="R1651">_xlfn.IFS(P1651="Service", _xlfn.IFS(I1651="SALES","GP",I1651="SERVICE SALES","GP",I1651="PARTS SALES","GP",I1651="SERVICE COS","GP",I1651="PARTS COS","GP",I1651="SELLING EXPENSES","Selling Expenses",I1651="EMPLOYMENT EXPENSES","Selling Expenses",I1651="EMPLOYMENT EXPENSES","Selling Expenses",I1651="DIRECT EXPENSES","Selling Expenses",I1651="INDIRECT EXPENSES","Selling Expenses"),P1651="Parts",_xlfn.IFS(I1651="SALES","GP",I1651="SERVICE SALES","GP",I1651="PARTS SALES","GP",I1651="SERVICE COS","GP",I1651="PARTS COS","GP",I1651="SELLING EXPENSES","Selling Expenses",I1651="EMPLOYMENT EXPENSES","Selling Expenses",I1651="EMPLOYMENT EXPENSES","Selling Expenses",I1651="DIRECT EXPENSES","Selling Expenses",I1651="INDIRECT EXPENSES","Selling Expenses"))</f>
        <v>#N/A</v>
      </c>
    </row>
    <row r="1652" spans="1:18" x14ac:dyDescent="0.2">
      <c r="A1652" s="75">
        <v>7170</v>
      </c>
      <c r="B1652" s="76" t="s">
        <v>967</v>
      </c>
      <c r="C1652" s="76">
        <v>230</v>
      </c>
      <c r="D1652" s="76" t="s">
        <v>438</v>
      </c>
      <c r="E1652" s="76" t="s">
        <v>426</v>
      </c>
      <c r="F1652" s="77">
        <v>75033.460000000006</v>
      </c>
      <c r="G1652" s="77">
        <v>10271.14</v>
      </c>
      <c r="H1652" s="77">
        <v>85304.6</v>
      </c>
      <c r="I1652" s="76" t="s">
        <v>968</v>
      </c>
      <c r="J1652" s="77">
        <v>9225</v>
      </c>
      <c r="K1652" s="78">
        <v>95846.13</v>
      </c>
      <c r="M1652" s="79" t="str">
        <f t="shared" si="77"/>
        <v>230-7170</v>
      </c>
      <c r="N1652" s="79" t="str">
        <f t="shared" si="75"/>
        <v/>
      </c>
      <c r="O1652" s="79" t="str">
        <f t="shared" si="76"/>
        <v>230</v>
      </c>
      <c r="P1652" s="79" t="str">
        <f>IFERROR(VLOOKUP($M1652,Export!$P:$R,2,FALSE),"-")</f>
        <v>Parts</v>
      </c>
      <c r="Q1652" s="79" t="str">
        <f>IFERROR(VLOOKUP($M1652,Export!$P:$R,3,FALSE),"-")</f>
        <v>PartsSalaries &amp; Commission as % of Sales</v>
      </c>
      <c r="R1652" s="80" t="str" cm="1">
        <f t="array" ref="R1652">_xlfn.IFS(P1652="Service", _xlfn.IFS(I1652="SALES","GP",I1652="SERVICE SALES","GP",I1652="PARTS SALES","GP",I1652="SERVICE COS","GP",I1652="PARTS COS","GP",I1652="SELLING EXPENSES","Selling Expenses",I1652="EMPLOYMENT EXPENSES","Selling Expenses",I1652="EMPLOYMENT EXPENSES","Selling Expenses",I1652="DIRECT EXPENSES","Selling Expenses",I1652="INDIRECT EXPENSES","Selling Expenses"),P1652="Parts",_xlfn.IFS(I1652="SALES","GP",I1652="SERVICE SALES","GP",I1652="PARTS SALES","GP",I1652="SERVICE COS","GP",I1652="PARTS COS","GP",I1652="SELLING EXPENSES","Selling Expenses",I1652="EMPLOYMENT EXPENSES","Selling Expenses",I1652="EMPLOYMENT EXPENSES","Selling Expenses",I1652="DIRECT EXPENSES","Selling Expenses",I1652="INDIRECT EXPENSES","Selling Expenses"))</f>
        <v>Selling Expenses</v>
      </c>
    </row>
    <row r="1653" spans="1:18" x14ac:dyDescent="0.2">
      <c r="A1653" s="75">
        <v>7170</v>
      </c>
      <c r="B1653" s="76" t="s">
        <v>967</v>
      </c>
      <c r="C1653" s="76">
        <v>240</v>
      </c>
      <c r="D1653" s="76" t="s">
        <v>439</v>
      </c>
      <c r="E1653" s="76" t="s">
        <v>426</v>
      </c>
      <c r="F1653" s="77">
        <v>108654.6</v>
      </c>
      <c r="G1653" s="77">
        <v>13966.07</v>
      </c>
      <c r="H1653" s="77">
        <v>122620.67</v>
      </c>
      <c r="I1653" s="76" t="s">
        <v>968</v>
      </c>
      <c r="J1653" s="77">
        <v>12266.67</v>
      </c>
      <c r="K1653" s="78">
        <v>116740.11</v>
      </c>
      <c r="M1653" s="79" t="str">
        <f t="shared" si="77"/>
        <v>240-7170</v>
      </c>
      <c r="N1653" s="79" t="str">
        <f t="shared" si="75"/>
        <v/>
      </c>
      <c r="O1653" s="79" t="str">
        <f t="shared" si="76"/>
        <v>240</v>
      </c>
      <c r="P1653" s="79" t="str">
        <f>IFERROR(VLOOKUP($M1653,Export!$P:$R,2,FALSE),"-")</f>
        <v>Service</v>
      </c>
      <c r="Q1653" s="79" t="str">
        <f>IFERROR(VLOOKUP($M1653,Export!$P:$R,3,FALSE),"-")</f>
        <v>ServiceSalaries, Commission &amp; Leave as % of Sales</v>
      </c>
      <c r="R1653" s="80" t="str" cm="1">
        <f t="array" ref="R1653">_xlfn.IFS(P1653="Service", _xlfn.IFS(I1653="SALES","GP",I1653="SERVICE SALES","GP",I1653="PARTS SALES","GP",I1653="SERVICE COS","GP",I1653="PARTS COS","GP",I1653="SELLING EXPENSES","Selling Expenses",I1653="EMPLOYMENT EXPENSES","Selling Expenses",I1653="EMPLOYMENT EXPENSES","Selling Expenses",I1653="DIRECT EXPENSES","Selling Expenses",I1653="INDIRECT EXPENSES","Selling Expenses"),P1653="Parts",_xlfn.IFS(I1653="SALES","GP",I1653="SERVICE SALES","GP",I1653="PARTS SALES","GP",I1653="SERVICE COS","GP",I1653="PARTS COS","GP",I1653="SELLING EXPENSES","Selling Expenses",I1653="EMPLOYMENT EXPENSES","Selling Expenses",I1653="EMPLOYMENT EXPENSES","Selling Expenses",I1653="DIRECT EXPENSES","Selling Expenses",I1653="INDIRECT EXPENSES","Selling Expenses"))</f>
        <v>Selling Expenses</v>
      </c>
    </row>
    <row r="1654" spans="1:18" x14ac:dyDescent="0.2">
      <c r="A1654" s="75">
        <v>7170</v>
      </c>
      <c r="B1654" s="76" t="s">
        <v>967</v>
      </c>
      <c r="C1654" s="76">
        <v>260</v>
      </c>
      <c r="D1654" s="76" t="s">
        <v>456</v>
      </c>
      <c r="E1654" s="76" t="s">
        <v>426</v>
      </c>
      <c r="F1654" s="77">
        <v>12654.75</v>
      </c>
      <c r="G1654" s="77">
        <v>2808.98</v>
      </c>
      <c r="H1654" s="77">
        <v>15463.73</v>
      </c>
      <c r="I1654" s="76" t="s">
        <v>968</v>
      </c>
      <c r="J1654" s="77">
        <v>0</v>
      </c>
      <c r="K1654" s="78">
        <v>15747.78</v>
      </c>
      <c r="M1654" s="79" t="str">
        <f t="shared" si="77"/>
        <v>260-7170</v>
      </c>
      <c r="N1654" s="79" t="str">
        <f t="shared" si="75"/>
        <v/>
      </c>
      <c r="O1654" s="79" t="str">
        <f t="shared" si="76"/>
        <v>260</v>
      </c>
      <c r="P1654" s="79" t="str">
        <f>IFERROR(VLOOKUP($M1654,Export!$P:$R,2,FALSE),"-")</f>
        <v>F&amp;I</v>
      </c>
      <c r="Q1654" s="79" t="str">
        <f>IFERROR(VLOOKUP($M1654,Export!$P:$R,3,FALSE),"-")</f>
        <v>F&amp;ISalaries &amp; Commission per vehicle retailed</v>
      </c>
      <c r="R1654" s="80" t="e" cm="1">
        <f t="array" ref="R1654">_xlfn.IFS(P1654="Service", _xlfn.IFS(I1654="SALES","GP",I1654="SERVICE SALES","GP",I1654="PARTS SALES","GP",I1654="SERVICE COS","GP",I1654="PARTS COS","GP",I1654="SELLING EXPENSES","Selling Expenses",I1654="EMPLOYMENT EXPENSES","Selling Expenses",I1654="EMPLOYMENT EXPENSES","Selling Expenses",I1654="DIRECT EXPENSES","Selling Expenses",I1654="INDIRECT EXPENSES","Selling Expenses"),P1654="Parts",_xlfn.IFS(I1654="SALES","GP",I1654="SERVICE SALES","GP",I1654="PARTS SALES","GP",I1654="SERVICE COS","GP",I1654="PARTS COS","GP",I1654="SELLING EXPENSES","Selling Expenses",I1654="EMPLOYMENT EXPENSES","Selling Expenses",I1654="EMPLOYMENT EXPENSES","Selling Expenses",I1654="DIRECT EXPENSES","Selling Expenses",I1654="INDIRECT EXPENSES","Selling Expenses"))</f>
        <v>#N/A</v>
      </c>
    </row>
    <row r="1655" spans="1:18" x14ac:dyDescent="0.2">
      <c r="A1655" s="75">
        <v>7170</v>
      </c>
      <c r="B1655" s="76" t="s">
        <v>967</v>
      </c>
      <c r="C1655" s="76">
        <v>340</v>
      </c>
      <c r="D1655" s="76" t="s">
        <v>440</v>
      </c>
      <c r="E1655" s="76" t="s">
        <v>426</v>
      </c>
      <c r="F1655" s="77">
        <v>91606.73</v>
      </c>
      <c r="G1655" s="77">
        <v>19362.27</v>
      </c>
      <c r="H1655" s="77">
        <v>110969</v>
      </c>
      <c r="I1655" s="76" t="s">
        <v>968</v>
      </c>
      <c r="J1655" s="77">
        <v>6516.67</v>
      </c>
      <c r="K1655" s="78">
        <v>86272.3</v>
      </c>
      <c r="M1655" s="79" t="str">
        <f t="shared" si="77"/>
        <v>340-7170</v>
      </c>
      <c r="N1655" s="79" t="str">
        <f t="shared" si="75"/>
        <v/>
      </c>
      <c r="O1655" s="79" t="str">
        <f t="shared" si="76"/>
        <v>340</v>
      </c>
      <c r="P1655" s="79" t="str">
        <f>IFERROR(VLOOKUP($M1655,Export!$P:$R,2,FALSE),"-")</f>
        <v>Service</v>
      </c>
      <c r="Q1655" s="79" t="str">
        <f>IFERROR(VLOOKUP($M1655,Export!$P:$R,3,FALSE),"-")</f>
        <v>ServiceSalaries, Commission &amp; Leave as % of Sales</v>
      </c>
      <c r="R1655" s="80" t="str" cm="1">
        <f t="array" ref="R1655">_xlfn.IFS(P1655="Service", _xlfn.IFS(I1655="SALES","GP",I1655="SERVICE SALES","GP",I1655="PARTS SALES","GP",I1655="SERVICE COS","GP",I1655="PARTS COS","GP",I1655="SELLING EXPENSES","Selling Expenses",I1655="EMPLOYMENT EXPENSES","Selling Expenses",I1655="EMPLOYMENT EXPENSES","Selling Expenses",I1655="DIRECT EXPENSES","Selling Expenses",I1655="INDIRECT EXPENSES","Selling Expenses"),P1655="Parts",_xlfn.IFS(I1655="SALES","GP",I1655="SERVICE SALES","GP",I1655="PARTS SALES","GP",I1655="SERVICE COS","GP",I1655="PARTS COS","GP",I1655="SELLING EXPENSES","Selling Expenses",I1655="EMPLOYMENT EXPENSES","Selling Expenses",I1655="EMPLOYMENT EXPENSES","Selling Expenses",I1655="DIRECT EXPENSES","Selling Expenses",I1655="INDIRECT EXPENSES","Selling Expenses"))</f>
        <v>Selling Expenses</v>
      </c>
    </row>
    <row r="1656" spans="1:18" x14ac:dyDescent="0.2">
      <c r="A1656" s="75">
        <v>7170</v>
      </c>
      <c r="B1656" s="76" t="s">
        <v>967</v>
      </c>
      <c r="C1656" s="76">
        <v>430</v>
      </c>
      <c r="D1656" s="76" t="s">
        <v>458</v>
      </c>
      <c r="E1656" s="76" t="s">
        <v>426</v>
      </c>
      <c r="F1656" s="77">
        <v>1888.24</v>
      </c>
      <c r="G1656" s="77">
        <v>269.19</v>
      </c>
      <c r="H1656" s="77">
        <v>2157.4299999999998</v>
      </c>
      <c r="I1656" s="76" t="s">
        <v>968</v>
      </c>
      <c r="J1656" s="77">
        <v>1750</v>
      </c>
      <c r="K1656" s="78">
        <v>10500</v>
      </c>
      <c r="M1656" s="79" t="str">
        <f t="shared" si="77"/>
        <v>430-7170</v>
      </c>
      <c r="N1656" s="79" t="str">
        <f t="shared" si="75"/>
        <v/>
      </c>
      <c r="O1656" s="79" t="str">
        <f t="shared" si="76"/>
        <v>430</v>
      </c>
      <c r="P1656" s="79" t="str">
        <f>IFERROR(VLOOKUP($M1656,Export!$P:$R,2,FALSE),"-")</f>
        <v>Parts</v>
      </c>
      <c r="Q1656" s="79" t="str">
        <f>IFERROR(VLOOKUP($M1656,Export!$P:$R,3,FALSE),"-")</f>
        <v>PartsSalaries &amp; Commission as % of Sales</v>
      </c>
      <c r="R1656" s="80" t="str" cm="1">
        <f t="array" ref="R1656">_xlfn.IFS(P1656="Service", _xlfn.IFS(I1656="SALES","GP",I1656="SERVICE SALES","GP",I1656="PARTS SALES","GP",I1656="SERVICE COS","GP",I1656="PARTS COS","GP",I1656="SELLING EXPENSES","Selling Expenses",I1656="EMPLOYMENT EXPENSES","Selling Expenses",I1656="EMPLOYMENT EXPENSES","Selling Expenses",I1656="DIRECT EXPENSES","Selling Expenses",I1656="INDIRECT EXPENSES","Selling Expenses"),P1656="Parts",_xlfn.IFS(I1656="SALES","GP",I1656="SERVICE SALES","GP",I1656="PARTS SALES","GP",I1656="SERVICE COS","GP",I1656="PARTS COS","GP",I1656="SELLING EXPENSES","Selling Expenses",I1656="EMPLOYMENT EXPENSES","Selling Expenses",I1656="EMPLOYMENT EXPENSES","Selling Expenses",I1656="DIRECT EXPENSES","Selling Expenses",I1656="INDIRECT EXPENSES","Selling Expenses"))</f>
        <v>Selling Expenses</v>
      </c>
    </row>
    <row r="1657" spans="1:18" x14ac:dyDescent="0.2">
      <c r="A1657" s="75">
        <v>7170</v>
      </c>
      <c r="B1657" s="76" t="s">
        <v>967</v>
      </c>
      <c r="C1657" s="76">
        <v>440</v>
      </c>
      <c r="D1657" s="76" t="s">
        <v>441</v>
      </c>
      <c r="E1657" s="76" t="s">
        <v>426</v>
      </c>
      <c r="F1657" s="77">
        <v>87301.92</v>
      </c>
      <c r="G1657" s="77">
        <v>7251.08</v>
      </c>
      <c r="H1657" s="77">
        <v>94553</v>
      </c>
      <c r="I1657" s="76" t="s">
        <v>968</v>
      </c>
      <c r="J1657" s="77">
        <v>5250</v>
      </c>
      <c r="K1657" s="78">
        <v>61546.11</v>
      </c>
      <c r="M1657" s="79" t="str">
        <f t="shared" si="77"/>
        <v>440-7170</v>
      </c>
      <c r="N1657" s="79" t="str">
        <f t="shared" si="75"/>
        <v/>
      </c>
      <c r="O1657" s="79" t="str">
        <f t="shared" si="76"/>
        <v>440</v>
      </c>
      <c r="P1657" s="79" t="str">
        <f>IFERROR(VLOOKUP($M1657,Export!$P:$R,2,FALSE),"-")</f>
        <v>Service</v>
      </c>
      <c r="Q1657" s="79" t="str">
        <f>IFERROR(VLOOKUP($M1657,Export!$P:$R,3,FALSE),"-")</f>
        <v>ServiceSalaries, Commission &amp; Leave as % of Sales</v>
      </c>
      <c r="R1657" s="80" t="str" cm="1">
        <f t="array" ref="R1657">_xlfn.IFS(P1657="Service", _xlfn.IFS(I1657="SALES","GP",I1657="SERVICE SALES","GP",I1657="PARTS SALES","GP",I1657="SERVICE COS","GP",I1657="PARTS COS","GP",I1657="SELLING EXPENSES","Selling Expenses",I1657="EMPLOYMENT EXPENSES","Selling Expenses",I1657="EMPLOYMENT EXPENSES","Selling Expenses",I1657="DIRECT EXPENSES","Selling Expenses",I1657="INDIRECT EXPENSES","Selling Expenses"),P1657="Parts",_xlfn.IFS(I1657="SALES","GP",I1657="SERVICE SALES","GP",I1657="PARTS SALES","GP",I1657="SERVICE COS","GP",I1657="PARTS COS","GP",I1657="SELLING EXPENSES","Selling Expenses",I1657="EMPLOYMENT EXPENSES","Selling Expenses",I1657="EMPLOYMENT EXPENSES","Selling Expenses",I1657="DIRECT EXPENSES","Selling Expenses",I1657="INDIRECT EXPENSES","Selling Expenses"))</f>
        <v>Selling Expenses</v>
      </c>
    </row>
    <row r="1658" spans="1:18" x14ac:dyDescent="0.2">
      <c r="A1658" s="75">
        <v>7170</v>
      </c>
      <c r="B1658" s="76" t="s">
        <v>967</v>
      </c>
      <c r="C1658" s="76">
        <v>935</v>
      </c>
      <c r="D1658" s="76" t="s">
        <v>442</v>
      </c>
      <c r="E1658" s="76" t="s">
        <v>426</v>
      </c>
      <c r="F1658" s="77">
        <v>66089.53</v>
      </c>
      <c r="G1658" s="77">
        <v>8953.41</v>
      </c>
      <c r="H1658" s="77">
        <v>75042.94</v>
      </c>
      <c r="I1658" s="76" t="s">
        <v>968</v>
      </c>
      <c r="J1658" s="77">
        <v>8941.67</v>
      </c>
      <c r="K1658" s="78">
        <v>83452.87</v>
      </c>
      <c r="M1658" s="79" t="str">
        <f t="shared" si="77"/>
        <v>935-7170</v>
      </c>
      <c r="N1658" s="79" t="str">
        <f t="shared" si="75"/>
        <v/>
      </c>
      <c r="O1658" s="79" t="str">
        <f t="shared" si="76"/>
        <v>935</v>
      </c>
      <c r="P1658" s="79" t="str">
        <f>IFERROR(VLOOKUP($M1658,Export!$P:$R,2,FALSE),"-")</f>
        <v>Bridgestone</v>
      </c>
      <c r="Q1658" s="79" t="str">
        <f>IFERROR(VLOOKUP($M1658,Export!$P:$R,3,FALSE),"-")</f>
        <v>BridgestoneSalaries, Commission &amp; Leave as % of Sales</v>
      </c>
      <c r="R1658" s="80" t="e" cm="1">
        <f t="array" ref="R1658">_xlfn.IFS(P1658="Service", _xlfn.IFS(I1658="SALES","GP",I1658="SERVICE SALES","GP",I1658="PARTS SALES","GP",I1658="SERVICE COS","GP",I1658="PARTS COS","GP",I1658="SELLING EXPENSES","Selling Expenses",I1658="EMPLOYMENT EXPENSES","Selling Expenses",I1658="EMPLOYMENT EXPENSES","Selling Expenses",I1658="DIRECT EXPENSES","Selling Expenses",I1658="INDIRECT EXPENSES","Selling Expenses"),P1658="Parts",_xlfn.IFS(I1658="SALES","GP",I1658="SERVICE SALES","GP",I1658="PARTS SALES","GP",I1658="SERVICE COS","GP",I1658="PARTS COS","GP",I1658="SELLING EXPENSES","Selling Expenses",I1658="EMPLOYMENT EXPENSES","Selling Expenses",I1658="EMPLOYMENT EXPENSES","Selling Expenses",I1658="DIRECT EXPENSES","Selling Expenses",I1658="INDIRECT EXPENSES","Selling Expenses"))</f>
        <v>#N/A</v>
      </c>
    </row>
    <row r="1659" spans="1:18" x14ac:dyDescent="0.2">
      <c r="A1659" s="75">
        <v>7170</v>
      </c>
      <c r="B1659" s="76" t="s">
        <v>967</v>
      </c>
      <c r="C1659" s="76">
        <v>936</v>
      </c>
      <c r="D1659" s="76" t="s">
        <v>443</v>
      </c>
      <c r="E1659" s="76" t="s">
        <v>426</v>
      </c>
      <c r="F1659" s="77">
        <v>47065.93</v>
      </c>
      <c r="G1659" s="77">
        <v>5797.66</v>
      </c>
      <c r="H1659" s="77">
        <v>52863.59</v>
      </c>
      <c r="I1659" s="76" t="s">
        <v>968</v>
      </c>
      <c r="J1659" s="77">
        <v>2750</v>
      </c>
      <c r="K1659" s="78">
        <v>25044.28</v>
      </c>
      <c r="M1659" s="79" t="str">
        <f t="shared" si="77"/>
        <v>936-7170</v>
      </c>
      <c r="N1659" s="79" t="str">
        <f t="shared" si="75"/>
        <v/>
      </c>
      <c r="O1659" s="79" t="str">
        <f t="shared" si="76"/>
        <v>936</v>
      </c>
      <c r="P1659" s="79" t="str">
        <f>IFERROR(VLOOKUP($M1659,Export!$P:$R,2,FALSE),"-")</f>
        <v>Bridgestone</v>
      </c>
      <c r="Q1659" s="79" t="str">
        <f>IFERROR(VLOOKUP($M1659,Export!$P:$R,3,FALSE),"-")</f>
        <v>BridgestoneSalaries, Commission &amp; Leave as % of Sales</v>
      </c>
      <c r="R1659" s="80" t="e" cm="1">
        <f t="array" ref="R1659">_xlfn.IFS(P1659="Service", _xlfn.IFS(I1659="SALES","GP",I1659="SERVICE SALES","GP",I1659="PARTS SALES","GP",I1659="SERVICE COS","GP",I1659="PARTS COS","GP",I1659="SELLING EXPENSES","Selling Expenses",I1659="EMPLOYMENT EXPENSES","Selling Expenses",I1659="EMPLOYMENT EXPENSES","Selling Expenses",I1659="DIRECT EXPENSES","Selling Expenses",I1659="INDIRECT EXPENSES","Selling Expenses"),P1659="Parts",_xlfn.IFS(I1659="SALES","GP",I1659="SERVICE SALES","GP",I1659="PARTS SALES","GP",I1659="SERVICE COS","GP",I1659="PARTS COS","GP",I1659="SELLING EXPENSES","Selling Expenses",I1659="EMPLOYMENT EXPENSES","Selling Expenses",I1659="EMPLOYMENT EXPENSES","Selling Expenses",I1659="DIRECT EXPENSES","Selling Expenses",I1659="INDIRECT EXPENSES","Selling Expenses"))</f>
        <v>#N/A</v>
      </c>
    </row>
    <row r="1660" spans="1:18" x14ac:dyDescent="0.2">
      <c r="A1660" s="75">
        <v>7175</v>
      </c>
      <c r="B1660" s="76" t="s">
        <v>969</v>
      </c>
      <c r="C1660" s="76">
        <v>110</v>
      </c>
      <c r="D1660" s="76" t="s">
        <v>430</v>
      </c>
      <c r="E1660" s="76" t="s">
        <v>426</v>
      </c>
      <c r="F1660" s="77">
        <v>44165.52</v>
      </c>
      <c r="G1660" s="77">
        <v>4520.83</v>
      </c>
      <c r="H1660" s="77">
        <v>48686.35</v>
      </c>
      <c r="I1660" s="76" t="s">
        <v>968</v>
      </c>
      <c r="J1660" s="77">
        <v>6520.83</v>
      </c>
      <c r="K1660" s="78">
        <v>56937.98</v>
      </c>
      <c r="M1660" s="79" t="str">
        <f t="shared" si="77"/>
        <v>110-7175</v>
      </c>
      <c r="N1660" s="79" t="str">
        <f t="shared" si="75"/>
        <v/>
      </c>
      <c r="O1660" s="79" t="str">
        <f t="shared" si="76"/>
        <v>110</v>
      </c>
      <c r="P1660" s="79" t="str">
        <f>IFERROR(VLOOKUP($M1660,Export!$P:$R,2,FALSE),"-")</f>
        <v>New Vehicle</v>
      </c>
      <c r="Q1660" s="79" t="str">
        <f>IFERROR(VLOOKUP($M1660,Export!$P:$R,3,FALSE),"-")</f>
        <v>New VehicleCommission p.u.</v>
      </c>
      <c r="R1660" s="80" t="e" cm="1">
        <f t="array" ref="R1660">_xlfn.IFS(P1660="Service", _xlfn.IFS(I1660="SALES","GP",I1660="SERVICE SALES","GP",I1660="PARTS SALES","GP",I1660="SERVICE COS","GP",I1660="PARTS COS","GP",I1660="SELLING EXPENSES","Selling Expenses",I1660="EMPLOYMENT EXPENSES","Selling Expenses",I1660="EMPLOYMENT EXPENSES","Selling Expenses",I1660="DIRECT EXPENSES","Selling Expenses",I1660="INDIRECT EXPENSES","Selling Expenses"),P1660="Parts",_xlfn.IFS(I1660="SALES","GP",I1660="SERVICE SALES","GP",I1660="PARTS SALES","GP",I1660="SERVICE COS","GP",I1660="PARTS COS","GP",I1660="SELLING EXPENSES","Selling Expenses",I1660="EMPLOYMENT EXPENSES","Selling Expenses",I1660="EMPLOYMENT EXPENSES","Selling Expenses",I1660="DIRECT EXPENSES","Selling Expenses",I1660="INDIRECT EXPENSES","Selling Expenses"))</f>
        <v>#N/A</v>
      </c>
    </row>
    <row r="1661" spans="1:18" x14ac:dyDescent="0.2">
      <c r="A1661" s="75">
        <v>7175</v>
      </c>
      <c r="B1661" s="76" t="s">
        <v>969</v>
      </c>
      <c r="C1661" s="76">
        <v>112</v>
      </c>
      <c r="D1661" s="76" t="s">
        <v>349</v>
      </c>
      <c r="E1661" s="76" t="s">
        <v>426</v>
      </c>
      <c r="F1661" s="77">
        <v>18928.28</v>
      </c>
      <c r="G1661" s="77">
        <v>1937.69</v>
      </c>
      <c r="H1661" s="77">
        <v>20865.97</v>
      </c>
      <c r="I1661" s="76" t="s">
        <v>968</v>
      </c>
      <c r="J1661" s="77">
        <v>1937.5</v>
      </c>
      <c r="K1661" s="78">
        <v>20532</v>
      </c>
      <c r="M1661" s="79" t="str">
        <f t="shared" si="77"/>
        <v>112-7175</v>
      </c>
      <c r="N1661" s="79" t="str">
        <f t="shared" si="75"/>
        <v/>
      </c>
      <c r="O1661" s="79" t="str">
        <f t="shared" si="76"/>
        <v>112</v>
      </c>
      <c r="P1661" s="79" t="str">
        <f>IFERROR(VLOOKUP($M1661,Export!$P:$R,2,FALSE),"-")</f>
        <v>LEX New Vehicle</v>
      </c>
      <c r="Q1661" s="79" t="str">
        <f>IFERROR(VLOOKUP($M1661,Export!$P:$R,3,FALSE),"-")</f>
        <v>LEX New VehicleCommission p.u.</v>
      </c>
      <c r="R1661" s="80" t="e" cm="1">
        <f t="array" ref="R1661">_xlfn.IFS(P1661="Service", _xlfn.IFS(I1661="SALES","GP",I1661="SERVICE SALES","GP",I1661="PARTS SALES","GP",I1661="SERVICE COS","GP",I1661="PARTS COS","GP",I1661="SELLING EXPENSES","Selling Expenses",I1661="EMPLOYMENT EXPENSES","Selling Expenses",I1661="EMPLOYMENT EXPENSES","Selling Expenses",I1661="DIRECT EXPENSES","Selling Expenses",I1661="INDIRECT EXPENSES","Selling Expenses"),P1661="Parts",_xlfn.IFS(I1661="SALES","GP",I1661="SERVICE SALES","GP",I1661="PARTS SALES","GP",I1661="SERVICE COS","GP",I1661="PARTS COS","GP",I1661="SELLING EXPENSES","Selling Expenses",I1661="EMPLOYMENT EXPENSES","Selling Expenses",I1661="EMPLOYMENT EXPENSES","Selling Expenses",I1661="DIRECT EXPENSES","Selling Expenses",I1661="INDIRECT EXPENSES","Selling Expenses"))</f>
        <v>#N/A</v>
      </c>
    </row>
    <row r="1662" spans="1:18" x14ac:dyDescent="0.2">
      <c r="A1662" s="75">
        <v>7175</v>
      </c>
      <c r="B1662" s="76" t="s">
        <v>969</v>
      </c>
      <c r="C1662" s="76">
        <v>120</v>
      </c>
      <c r="D1662" s="76" t="s">
        <v>431</v>
      </c>
      <c r="E1662" s="76" t="s">
        <v>426</v>
      </c>
      <c r="F1662" s="77">
        <v>44165.11</v>
      </c>
      <c r="G1662" s="77">
        <v>4520.83</v>
      </c>
      <c r="H1662" s="77">
        <v>48685.94</v>
      </c>
      <c r="I1662" s="76" t="s">
        <v>968</v>
      </c>
      <c r="J1662" s="77">
        <v>7520.83</v>
      </c>
      <c r="K1662" s="78">
        <v>57000.98</v>
      </c>
      <c r="M1662" s="79" t="str">
        <f t="shared" si="77"/>
        <v>120-7175</v>
      </c>
      <c r="N1662" s="79" t="str">
        <f t="shared" si="75"/>
        <v/>
      </c>
      <c r="O1662" s="79" t="str">
        <f t="shared" si="76"/>
        <v>120</v>
      </c>
      <c r="P1662" s="79" t="str">
        <f>IFERROR(VLOOKUP($M1662,Export!$P:$R,2,FALSE),"-")</f>
        <v>Used Vehicle</v>
      </c>
      <c r="Q1662" s="79" t="str">
        <f>IFERROR(VLOOKUP($M1662,Export!$P:$R,3,FALSE),"-")</f>
        <v>Used VehicleCommission per retail</v>
      </c>
      <c r="R1662" s="80" t="e" cm="1">
        <f t="array" ref="R1662">_xlfn.IFS(P1662="Service", _xlfn.IFS(I1662="SALES","GP",I1662="SERVICE SALES","GP",I1662="PARTS SALES","GP",I1662="SERVICE COS","GP",I1662="PARTS COS","GP",I1662="SELLING EXPENSES","Selling Expenses",I1662="EMPLOYMENT EXPENSES","Selling Expenses",I1662="EMPLOYMENT EXPENSES","Selling Expenses",I1662="DIRECT EXPENSES","Selling Expenses",I1662="INDIRECT EXPENSES","Selling Expenses"),P1662="Parts",_xlfn.IFS(I1662="SALES","GP",I1662="SERVICE SALES","GP",I1662="PARTS SALES","GP",I1662="SERVICE COS","GP",I1662="PARTS COS","GP",I1662="SELLING EXPENSES","Selling Expenses",I1662="EMPLOYMENT EXPENSES","Selling Expenses",I1662="EMPLOYMENT EXPENSES","Selling Expenses",I1662="DIRECT EXPENSES","Selling Expenses",I1662="INDIRECT EXPENSES","Selling Expenses"))</f>
        <v>#N/A</v>
      </c>
    </row>
    <row r="1663" spans="1:18" x14ac:dyDescent="0.2">
      <c r="A1663" s="75">
        <v>7175</v>
      </c>
      <c r="B1663" s="76" t="s">
        <v>969</v>
      </c>
      <c r="C1663" s="76">
        <v>121</v>
      </c>
      <c r="D1663" s="76" t="s">
        <v>449</v>
      </c>
      <c r="E1663" s="76" t="s">
        <v>426</v>
      </c>
      <c r="F1663" s="77">
        <v>0</v>
      </c>
      <c r="G1663" s="77">
        <v>0</v>
      </c>
      <c r="H1663" s="77">
        <v>0</v>
      </c>
      <c r="I1663" s="76" t="s">
        <v>968</v>
      </c>
      <c r="J1663" s="77">
        <v>0</v>
      </c>
      <c r="K1663" s="78">
        <v>11876</v>
      </c>
      <c r="M1663" s="79" t="str">
        <f t="shared" si="77"/>
        <v>121-7175</v>
      </c>
      <c r="N1663" s="79" t="str">
        <f t="shared" si="75"/>
        <v/>
      </c>
      <c r="O1663" s="79" t="str">
        <f t="shared" si="76"/>
        <v>121</v>
      </c>
      <c r="P1663" s="79" t="str">
        <f>IFERROR(VLOOKUP($M1663,Export!$P:$R,2,FALSE),"-")</f>
        <v>Used Vehicle</v>
      </c>
      <c r="Q1663" s="79" t="str">
        <f>IFERROR(VLOOKUP($M1663,Export!$P:$R,3,FALSE),"-")</f>
        <v>Used VehicleCommission per retail</v>
      </c>
      <c r="R1663" s="80" t="e" cm="1">
        <f t="array" ref="R1663">_xlfn.IFS(P1663="Service", _xlfn.IFS(I1663="SALES","GP",I1663="SERVICE SALES","GP",I1663="PARTS SALES","GP",I1663="SERVICE COS","GP",I1663="PARTS COS","GP",I1663="SELLING EXPENSES","Selling Expenses",I1663="EMPLOYMENT EXPENSES","Selling Expenses",I1663="EMPLOYMENT EXPENSES","Selling Expenses",I1663="DIRECT EXPENSES","Selling Expenses",I1663="INDIRECT EXPENSES","Selling Expenses"),P1663="Parts",_xlfn.IFS(I1663="SALES","GP",I1663="SERVICE SALES","GP",I1663="PARTS SALES","GP",I1663="SERVICE COS","GP",I1663="PARTS COS","GP",I1663="SELLING EXPENSES","Selling Expenses",I1663="EMPLOYMENT EXPENSES","Selling Expenses",I1663="EMPLOYMENT EXPENSES","Selling Expenses",I1663="DIRECT EXPENSES","Selling Expenses",I1663="INDIRECT EXPENSES","Selling Expenses"))</f>
        <v>#N/A</v>
      </c>
    </row>
    <row r="1664" spans="1:18" x14ac:dyDescent="0.2">
      <c r="A1664" s="75">
        <v>7175</v>
      </c>
      <c r="B1664" s="76" t="s">
        <v>969</v>
      </c>
      <c r="C1664" s="76">
        <v>130</v>
      </c>
      <c r="D1664" s="76" t="s">
        <v>432</v>
      </c>
      <c r="E1664" s="76" t="s">
        <v>426</v>
      </c>
      <c r="F1664" s="77">
        <v>24761.35</v>
      </c>
      <c r="G1664" s="77">
        <v>2851.67</v>
      </c>
      <c r="H1664" s="77">
        <v>27613.02</v>
      </c>
      <c r="I1664" s="76" t="s">
        <v>968</v>
      </c>
      <c r="J1664" s="77">
        <v>4666.67</v>
      </c>
      <c r="K1664" s="78">
        <v>47247.02</v>
      </c>
      <c r="M1664" s="79" t="str">
        <f t="shared" si="77"/>
        <v>130-7175</v>
      </c>
      <c r="N1664" s="79" t="str">
        <f t="shared" si="75"/>
        <v/>
      </c>
      <c r="O1664" s="79" t="str">
        <f t="shared" si="76"/>
        <v>130</v>
      </c>
      <c r="P1664" s="79" t="str">
        <f>IFERROR(VLOOKUP($M1664,Export!$P:$R,2,FALSE),"-")</f>
        <v>Parts</v>
      </c>
      <c r="Q1664" s="79" t="str">
        <f>IFERROR(VLOOKUP($M1664,Export!$P:$R,3,FALSE),"-")</f>
        <v>PartsSalaries &amp; Commission as % of Sales</v>
      </c>
      <c r="R1664" s="80" t="str" cm="1">
        <f t="array" ref="R1664">_xlfn.IFS(P1664="Service", _xlfn.IFS(I1664="SALES","GP",I1664="SERVICE SALES","GP",I1664="PARTS SALES","GP",I1664="SERVICE COS","GP",I1664="PARTS COS","GP",I1664="SELLING EXPENSES","Selling Expenses",I1664="EMPLOYMENT EXPENSES","Selling Expenses",I1664="EMPLOYMENT EXPENSES","Selling Expenses",I1664="DIRECT EXPENSES","Selling Expenses",I1664="INDIRECT EXPENSES","Selling Expenses"),P1664="Parts",_xlfn.IFS(I1664="SALES","GP",I1664="SERVICE SALES","GP",I1664="PARTS SALES","GP",I1664="SERVICE COS","GP",I1664="PARTS COS","GP",I1664="SELLING EXPENSES","Selling Expenses",I1664="EMPLOYMENT EXPENSES","Selling Expenses",I1664="EMPLOYMENT EXPENSES","Selling Expenses",I1664="DIRECT EXPENSES","Selling Expenses",I1664="INDIRECT EXPENSES","Selling Expenses"))</f>
        <v>Selling Expenses</v>
      </c>
    </row>
    <row r="1665" spans="1:18" x14ac:dyDescent="0.2">
      <c r="A1665" s="75">
        <v>7175</v>
      </c>
      <c r="B1665" s="76" t="s">
        <v>969</v>
      </c>
      <c r="C1665" s="76">
        <v>140</v>
      </c>
      <c r="D1665" s="76" t="s">
        <v>433</v>
      </c>
      <c r="E1665" s="76" t="s">
        <v>426</v>
      </c>
      <c r="F1665" s="77">
        <v>79023.570000000007</v>
      </c>
      <c r="G1665" s="77">
        <v>8726.67</v>
      </c>
      <c r="H1665" s="77">
        <v>87750.24</v>
      </c>
      <c r="I1665" s="76" t="s">
        <v>968</v>
      </c>
      <c r="J1665" s="77">
        <v>7883.33</v>
      </c>
      <c r="K1665" s="78">
        <v>95610.98</v>
      </c>
      <c r="M1665" s="79" t="str">
        <f t="shared" si="77"/>
        <v>140-7175</v>
      </c>
      <c r="N1665" s="79" t="str">
        <f t="shared" si="75"/>
        <v/>
      </c>
      <c r="O1665" s="79" t="str">
        <f t="shared" si="76"/>
        <v>140</v>
      </c>
      <c r="P1665" s="79" t="str">
        <f>IFERROR(VLOOKUP($M1665,Export!$P:$R,2,FALSE),"-")</f>
        <v>Service</v>
      </c>
      <c r="Q1665" s="79" t="str">
        <f>IFERROR(VLOOKUP($M1665,Export!$P:$R,3,FALSE),"-")</f>
        <v>ServiceSalaries, Commission &amp; Leave as % of Sales</v>
      </c>
      <c r="R1665" s="80" t="str" cm="1">
        <f t="array" ref="R1665">_xlfn.IFS(P1665="Service", _xlfn.IFS(I1665="SALES","GP",I1665="SERVICE SALES","GP",I1665="PARTS SALES","GP",I1665="SERVICE COS","GP",I1665="PARTS COS","GP",I1665="SELLING EXPENSES","Selling Expenses",I1665="EMPLOYMENT EXPENSES","Selling Expenses",I1665="EMPLOYMENT EXPENSES","Selling Expenses",I1665="DIRECT EXPENSES","Selling Expenses",I1665="INDIRECT EXPENSES","Selling Expenses"),P1665="Parts",_xlfn.IFS(I1665="SALES","GP",I1665="SERVICE SALES","GP",I1665="PARTS SALES","GP",I1665="SERVICE COS","GP",I1665="PARTS COS","GP",I1665="SELLING EXPENSES","Selling Expenses",I1665="EMPLOYMENT EXPENSES","Selling Expenses",I1665="EMPLOYMENT EXPENSES","Selling Expenses",I1665="DIRECT EXPENSES","Selling Expenses",I1665="INDIRECT EXPENSES","Selling Expenses"))</f>
        <v>Selling Expenses</v>
      </c>
    </row>
    <row r="1666" spans="1:18" x14ac:dyDescent="0.2">
      <c r="A1666" s="75">
        <v>7175</v>
      </c>
      <c r="B1666" s="76" t="s">
        <v>969</v>
      </c>
      <c r="C1666" s="76">
        <v>142</v>
      </c>
      <c r="D1666" s="76" t="s">
        <v>454</v>
      </c>
      <c r="E1666" s="76" t="s">
        <v>426</v>
      </c>
      <c r="F1666" s="77">
        <v>14126.94</v>
      </c>
      <c r="G1666" s="77">
        <v>1200</v>
      </c>
      <c r="H1666" s="77">
        <v>15326.94</v>
      </c>
      <c r="I1666" s="76" t="s">
        <v>968</v>
      </c>
      <c r="J1666" s="77">
        <v>466.67</v>
      </c>
      <c r="K1666" s="78">
        <v>8054.02</v>
      </c>
      <c r="M1666" s="79" t="str">
        <f t="shared" si="77"/>
        <v>142-7175</v>
      </c>
      <c r="N1666" s="79" t="str">
        <f t="shared" ref="N1666:N1729" si="78">+IF(RIGHT(A1666,1)="#","#","")</f>
        <v/>
      </c>
      <c r="O1666" s="79" t="str">
        <f t="shared" ref="O1666:O1729" si="79">+C1666&amp;N1666</f>
        <v>142</v>
      </c>
      <c r="P1666" s="79" t="str">
        <f>IFERROR(VLOOKUP($M1666,Export!$P:$R,2,FALSE),"-")</f>
        <v>Lex Service</v>
      </c>
      <c r="Q1666" s="79" t="str">
        <f>IFERROR(VLOOKUP($M1666,Export!$P:$R,3,FALSE),"-")</f>
        <v>Lex ServiceSalaries, Commission &amp; Leave as % of Sales</v>
      </c>
      <c r="R1666" s="80" t="e" cm="1">
        <f t="array" ref="R1666">_xlfn.IFS(P1666="Service", _xlfn.IFS(I1666="SALES","GP",I1666="SERVICE SALES","GP",I1666="PARTS SALES","GP",I1666="SERVICE COS","GP",I1666="PARTS COS","GP",I1666="SELLING EXPENSES","Selling Expenses",I1666="EMPLOYMENT EXPENSES","Selling Expenses",I1666="EMPLOYMENT EXPENSES","Selling Expenses",I1666="DIRECT EXPENSES","Selling Expenses",I1666="INDIRECT EXPENSES","Selling Expenses"),P1666="Parts",_xlfn.IFS(I1666="SALES","GP",I1666="SERVICE SALES","GP",I1666="PARTS SALES","GP",I1666="SERVICE COS","GP",I1666="PARTS COS","GP",I1666="SELLING EXPENSES","Selling Expenses",I1666="EMPLOYMENT EXPENSES","Selling Expenses",I1666="EMPLOYMENT EXPENSES","Selling Expenses",I1666="DIRECT EXPENSES","Selling Expenses",I1666="INDIRECT EXPENSES","Selling Expenses"))</f>
        <v>#N/A</v>
      </c>
    </row>
    <row r="1667" spans="1:18" x14ac:dyDescent="0.2">
      <c r="A1667" s="75">
        <v>7175</v>
      </c>
      <c r="B1667" s="76" t="s">
        <v>969</v>
      </c>
      <c r="C1667" s="76">
        <v>147</v>
      </c>
      <c r="D1667" s="76" t="s">
        <v>699</v>
      </c>
      <c r="E1667" s="76" t="s">
        <v>426</v>
      </c>
      <c r="F1667" s="77">
        <v>609.76</v>
      </c>
      <c r="G1667" s="77">
        <v>0</v>
      </c>
      <c r="H1667" s="77">
        <v>609.76</v>
      </c>
      <c r="I1667" s="76" t="s">
        <v>968</v>
      </c>
      <c r="J1667" s="77">
        <v>1983.33</v>
      </c>
      <c r="K1667" s="78">
        <v>16250.98</v>
      </c>
      <c r="M1667" s="79" t="str">
        <f t="shared" ref="M1667:M1730" si="80">+C1667&amp;"-"&amp;A1667</f>
        <v>147-7175</v>
      </c>
      <c r="N1667" s="79" t="str">
        <f t="shared" si="78"/>
        <v/>
      </c>
      <c r="O1667" s="79" t="str">
        <f t="shared" si="79"/>
        <v>147</v>
      </c>
      <c r="P1667" s="79" t="str">
        <f>IFERROR(VLOOKUP($M1667,Export!$P:$R,2,FALSE),"-")</f>
        <v>Service</v>
      </c>
      <c r="Q1667" s="79" t="str">
        <f>IFERROR(VLOOKUP($M1667,Export!$P:$R,3,FALSE),"-")</f>
        <v>ServiceSalaries, Commission &amp; Leave as % of Sales</v>
      </c>
      <c r="R1667" s="80" t="str" cm="1">
        <f t="array" ref="R1667">_xlfn.IFS(P1667="Service", _xlfn.IFS(I1667="SALES","GP",I1667="SERVICE SALES","GP",I1667="PARTS SALES","GP",I1667="SERVICE COS","GP",I1667="PARTS COS","GP",I1667="SELLING EXPENSES","Selling Expenses",I1667="EMPLOYMENT EXPENSES","Selling Expenses",I1667="EMPLOYMENT EXPENSES","Selling Expenses",I1667="DIRECT EXPENSES","Selling Expenses",I1667="INDIRECT EXPENSES","Selling Expenses"),P1667="Parts",_xlfn.IFS(I1667="SALES","GP",I1667="SERVICE SALES","GP",I1667="PARTS SALES","GP",I1667="SERVICE COS","GP",I1667="PARTS COS","GP",I1667="SELLING EXPENSES","Selling Expenses",I1667="EMPLOYMENT EXPENSES","Selling Expenses",I1667="EMPLOYMENT EXPENSES","Selling Expenses",I1667="DIRECT EXPENSES","Selling Expenses",I1667="INDIRECT EXPENSES","Selling Expenses"))</f>
        <v>Selling Expenses</v>
      </c>
    </row>
    <row r="1668" spans="1:18" x14ac:dyDescent="0.2">
      <c r="A1668" s="75">
        <v>7175</v>
      </c>
      <c r="B1668" s="76" t="s">
        <v>969</v>
      </c>
      <c r="C1668" s="76">
        <v>160</v>
      </c>
      <c r="D1668" s="76" t="s">
        <v>434</v>
      </c>
      <c r="E1668" s="76" t="s">
        <v>426</v>
      </c>
      <c r="F1668" s="77">
        <v>18928.11</v>
      </c>
      <c r="G1668" s="77">
        <v>1937.5</v>
      </c>
      <c r="H1668" s="77">
        <v>20865.61</v>
      </c>
      <c r="I1668" s="76" t="s">
        <v>968</v>
      </c>
      <c r="J1668" s="77">
        <v>1937.5</v>
      </c>
      <c r="K1668" s="78">
        <v>20532</v>
      </c>
      <c r="M1668" s="79" t="str">
        <f t="shared" si="80"/>
        <v>160-7175</v>
      </c>
      <c r="N1668" s="79" t="str">
        <f t="shared" si="78"/>
        <v/>
      </c>
      <c r="O1668" s="79" t="str">
        <f t="shared" si="79"/>
        <v>160</v>
      </c>
      <c r="P1668" s="79" t="str">
        <f>IFERROR(VLOOKUP($M1668,Export!$P:$R,2,FALSE),"-")</f>
        <v>F&amp;I</v>
      </c>
      <c r="Q1668" s="79" t="str">
        <f>IFERROR(VLOOKUP($M1668,Export!$P:$R,3,FALSE),"-")</f>
        <v>F&amp;ISalaries &amp; Commission per vehicle retailed</v>
      </c>
      <c r="R1668" s="80" t="e" cm="1">
        <f t="array" ref="R1668">_xlfn.IFS(P1668="Service", _xlfn.IFS(I1668="SALES","GP",I1668="SERVICE SALES","GP",I1668="PARTS SALES","GP",I1668="SERVICE COS","GP",I1668="PARTS COS","GP",I1668="SELLING EXPENSES","Selling Expenses",I1668="EMPLOYMENT EXPENSES","Selling Expenses",I1668="EMPLOYMENT EXPENSES","Selling Expenses",I1668="DIRECT EXPENSES","Selling Expenses",I1668="INDIRECT EXPENSES","Selling Expenses"),P1668="Parts",_xlfn.IFS(I1668="SALES","GP",I1668="SERVICE SALES","GP",I1668="PARTS SALES","GP",I1668="SERVICE COS","GP",I1668="PARTS COS","GP",I1668="SELLING EXPENSES","Selling Expenses",I1668="EMPLOYMENT EXPENSES","Selling Expenses",I1668="EMPLOYMENT EXPENSES","Selling Expenses",I1668="DIRECT EXPENSES","Selling Expenses",I1668="INDIRECT EXPENSES","Selling Expenses"))</f>
        <v>#N/A</v>
      </c>
    </row>
    <row r="1669" spans="1:18" x14ac:dyDescent="0.2">
      <c r="A1669" s="75">
        <v>7175</v>
      </c>
      <c r="B1669" s="76" t="s">
        <v>969</v>
      </c>
      <c r="C1669" s="76">
        <v>210</v>
      </c>
      <c r="D1669" s="76" t="s">
        <v>436</v>
      </c>
      <c r="E1669" s="76" t="s">
        <v>426</v>
      </c>
      <c r="F1669" s="77">
        <v>13865</v>
      </c>
      <c r="G1669" s="77">
        <v>2500</v>
      </c>
      <c r="H1669" s="77">
        <v>16365</v>
      </c>
      <c r="I1669" s="76" t="s">
        <v>968</v>
      </c>
      <c r="J1669" s="77">
        <v>0</v>
      </c>
      <c r="K1669" s="78">
        <v>27328</v>
      </c>
      <c r="M1669" s="79" t="str">
        <f t="shared" si="80"/>
        <v>210-7175</v>
      </c>
      <c r="N1669" s="79" t="str">
        <f t="shared" si="78"/>
        <v/>
      </c>
      <c r="O1669" s="79" t="str">
        <f t="shared" si="79"/>
        <v>210</v>
      </c>
      <c r="P1669" s="79" t="str">
        <f>IFERROR(VLOOKUP($M1669,Export!$P:$R,2,FALSE),"-")</f>
        <v>New Vehicle</v>
      </c>
      <c r="Q1669" s="79" t="str">
        <f>IFERROR(VLOOKUP($M1669,Export!$P:$R,3,FALSE),"-")</f>
        <v>New VehicleCommission p.u.</v>
      </c>
      <c r="R1669" s="80" t="e" cm="1">
        <f t="array" ref="R1669">_xlfn.IFS(P1669="Service", _xlfn.IFS(I1669="SALES","GP",I1669="SERVICE SALES","GP",I1669="PARTS SALES","GP",I1669="SERVICE COS","GP",I1669="PARTS COS","GP",I1669="SELLING EXPENSES","Selling Expenses",I1669="EMPLOYMENT EXPENSES","Selling Expenses",I1669="EMPLOYMENT EXPENSES","Selling Expenses",I1669="DIRECT EXPENSES","Selling Expenses",I1669="INDIRECT EXPENSES","Selling Expenses"),P1669="Parts",_xlfn.IFS(I1669="SALES","GP",I1669="SERVICE SALES","GP",I1669="PARTS SALES","GP",I1669="SERVICE COS","GP",I1669="PARTS COS","GP",I1669="SELLING EXPENSES","Selling Expenses",I1669="EMPLOYMENT EXPENSES","Selling Expenses",I1669="EMPLOYMENT EXPENSES","Selling Expenses",I1669="DIRECT EXPENSES","Selling Expenses",I1669="INDIRECT EXPENSES","Selling Expenses"))</f>
        <v>#N/A</v>
      </c>
    </row>
    <row r="1670" spans="1:18" x14ac:dyDescent="0.2">
      <c r="A1670" s="75">
        <v>7175</v>
      </c>
      <c r="B1670" s="76" t="s">
        <v>969</v>
      </c>
      <c r="C1670" s="76">
        <v>220</v>
      </c>
      <c r="D1670" s="76" t="s">
        <v>437</v>
      </c>
      <c r="E1670" s="76" t="s">
        <v>426</v>
      </c>
      <c r="F1670" s="77">
        <v>8319</v>
      </c>
      <c r="G1670" s="77">
        <v>1500</v>
      </c>
      <c r="H1670" s="77">
        <v>9819</v>
      </c>
      <c r="I1670" s="76" t="s">
        <v>968</v>
      </c>
      <c r="J1670" s="77">
        <v>937.5</v>
      </c>
      <c r="K1670" s="78">
        <v>22023</v>
      </c>
      <c r="M1670" s="79" t="str">
        <f t="shared" si="80"/>
        <v>220-7175</v>
      </c>
      <c r="N1670" s="79" t="str">
        <f t="shared" si="78"/>
        <v/>
      </c>
      <c r="O1670" s="79" t="str">
        <f t="shared" si="79"/>
        <v>220</v>
      </c>
      <c r="P1670" s="79" t="str">
        <f>IFERROR(VLOOKUP($M1670,Export!$P:$R,2,FALSE),"-")</f>
        <v>Used Vehicle</v>
      </c>
      <c r="Q1670" s="79" t="str">
        <f>IFERROR(VLOOKUP($M1670,Export!$P:$R,3,FALSE),"-")</f>
        <v>Used VehicleCommission per retail</v>
      </c>
      <c r="R1670" s="80" t="e" cm="1">
        <f t="array" ref="R1670">_xlfn.IFS(P1670="Service", _xlfn.IFS(I1670="SALES","GP",I1670="SERVICE SALES","GP",I1670="PARTS SALES","GP",I1670="SERVICE COS","GP",I1670="PARTS COS","GP",I1670="SELLING EXPENSES","Selling Expenses",I1670="EMPLOYMENT EXPENSES","Selling Expenses",I1670="EMPLOYMENT EXPENSES","Selling Expenses",I1670="DIRECT EXPENSES","Selling Expenses",I1670="INDIRECT EXPENSES","Selling Expenses"),P1670="Parts",_xlfn.IFS(I1670="SALES","GP",I1670="SERVICE SALES","GP",I1670="PARTS SALES","GP",I1670="SERVICE COS","GP",I1670="PARTS COS","GP",I1670="SELLING EXPENSES","Selling Expenses",I1670="EMPLOYMENT EXPENSES","Selling Expenses",I1670="EMPLOYMENT EXPENSES","Selling Expenses",I1670="DIRECT EXPENSES","Selling Expenses",I1670="INDIRECT EXPENSES","Selling Expenses"))</f>
        <v>#N/A</v>
      </c>
    </row>
    <row r="1671" spans="1:18" x14ac:dyDescent="0.2">
      <c r="A1671" s="75">
        <v>7175</v>
      </c>
      <c r="B1671" s="76" t="s">
        <v>969</v>
      </c>
      <c r="C1671" s="76">
        <v>230</v>
      </c>
      <c r="D1671" s="76" t="s">
        <v>438</v>
      </c>
      <c r="E1671" s="76" t="s">
        <v>426</v>
      </c>
      <c r="F1671" s="77">
        <v>24093.9</v>
      </c>
      <c r="G1671" s="77">
        <v>2585</v>
      </c>
      <c r="H1671" s="77">
        <v>26678.9</v>
      </c>
      <c r="I1671" s="76" t="s">
        <v>968</v>
      </c>
      <c r="J1671" s="77">
        <v>2400</v>
      </c>
      <c r="K1671" s="78">
        <v>28481</v>
      </c>
      <c r="M1671" s="79" t="str">
        <f t="shared" si="80"/>
        <v>230-7175</v>
      </c>
      <c r="N1671" s="79" t="str">
        <f t="shared" si="78"/>
        <v/>
      </c>
      <c r="O1671" s="79" t="str">
        <f t="shared" si="79"/>
        <v>230</v>
      </c>
      <c r="P1671" s="79" t="str">
        <f>IFERROR(VLOOKUP($M1671,Export!$P:$R,2,FALSE),"-")</f>
        <v>Parts</v>
      </c>
      <c r="Q1671" s="79" t="str">
        <f>IFERROR(VLOOKUP($M1671,Export!$P:$R,3,FALSE),"-")</f>
        <v>PartsSalaries &amp; Commission as % of Sales</v>
      </c>
      <c r="R1671" s="80" t="str" cm="1">
        <f t="array" ref="R1671">_xlfn.IFS(P1671="Service", _xlfn.IFS(I1671="SALES","GP",I1671="SERVICE SALES","GP",I1671="PARTS SALES","GP",I1671="SERVICE COS","GP",I1671="PARTS COS","GP",I1671="SELLING EXPENSES","Selling Expenses",I1671="EMPLOYMENT EXPENSES","Selling Expenses",I1671="EMPLOYMENT EXPENSES","Selling Expenses",I1671="DIRECT EXPENSES","Selling Expenses",I1671="INDIRECT EXPENSES","Selling Expenses"),P1671="Parts",_xlfn.IFS(I1671="SALES","GP",I1671="SERVICE SALES","GP",I1671="PARTS SALES","GP",I1671="SERVICE COS","GP",I1671="PARTS COS","GP",I1671="SELLING EXPENSES","Selling Expenses",I1671="EMPLOYMENT EXPENSES","Selling Expenses",I1671="EMPLOYMENT EXPENSES","Selling Expenses",I1671="DIRECT EXPENSES","Selling Expenses",I1671="INDIRECT EXPENSES","Selling Expenses"))</f>
        <v>Selling Expenses</v>
      </c>
    </row>
    <row r="1672" spans="1:18" x14ac:dyDescent="0.2">
      <c r="A1672" s="75">
        <v>7175</v>
      </c>
      <c r="B1672" s="76" t="s">
        <v>969</v>
      </c>
      <c r="C1672" s="76">
        <v>240</v>
      </c>
      <c r="D1672" s="76" t="s">
        <v>439</v>
      </c>
      <c r="E1672" s="76" t="s">
        <v>426</v>
      </c>
      <c r="F1672" s="77">
        <v>46397.86</v>
      </c>
      <c r="G1672" s="77">
        <v>5150</v>
      </c>
      <c r="H1672" s="77">
        <v>51547.86</v>
      </c>
      <c r="I1672" s="76" t="s">
        <v>968</v>
      </c>
      <c r="J1672" s="77">
        <v>4983.33</v>
      </c>
      <c r="K1672" s="78">
        <v>56376.98</v>
      </c>
      <c r="M1672" s="79" t="str">
        <f t="shared" si="80"/>
        <v>240-7175</v>
      </c>
      <c r="N1672" s="79" t="str">
        <f t="shared" si="78"/>
        <v/>
      </c>
      <c r="O1672" s="79" t="str">
        <f t="shared" si="79"/>
        <v>240</v>
      </c>
      <c r="P1672" s="79" t="str">
        <f>IFERROR(VLOOKUP($M1672,Export!$P:$R,2,FALSE),"-")</f>
        <v>Service</v>
      </c>
      <c r="Q1672" s="79" t="str">
        <f>IFERROR(VLOOKUP($M1672,Export!$P:$R,3,FALSE),"-")</f>
        <v>ServiceSalaries, Commission &amp; Leave as % of Sales</v>
      </c>
      <c r="R1672" s="80" t="str" cm="1">
        <f t="array" ref="R1672">_xlfn.IFS(P1672="Service", _xlfn.IFS(I1672="SALES","GP",I1672="SERVICE SALES","GP",I1672="PARTS SALES","GP",I1672="SERVICE COS","GP",I1672="PARTS COS","GP",I1672="SELLING EXPENSES","Selling Expenses",I1672="EMPLOYMENT EXPENSES","Selling Expenses",I1672="EMPLOYMENT EXPENSES","Selling Expenses",I1672="DIRECT EXPENSES","Selling Expenses",I1672="INDIRECT EXPENSES","Selling Expenses"),P1672="Parts",_xlfn.IFS(I1672="SALES","GP",I1672="SERVICE SALES","GP",I1672="PARTS SALES","GP",I1672="SERVICE COS","GP",I1672="PARTS COS","GP",I1672="SELLING EXPENSES","Selling Expenses",I1672="EMPLOYMENT EXPENSES","Selling Expenses",I1672="EMPLOYMENT EXPENSES","Selling Expenses",I1672="DIRECT EXPENSES","Selling Expenses",I1672="INDIRECT EXPENSES","Selling Expenses"))</f>
        <v>Selling Expenses</v>
      </c>
    </row>
    <row r="1673" spans="1:18" x14ac:dyDescent="0.2">
      <c r="A1673" s="75">
        <v>7175</v>
      </c>
      <c r="B1673" s="76" t="s">
        <v>969</v>
      </c>
      <c r="C1673" s="76">
        <v>260</v>
      </c>
      <c r="D1673" s="76" t="s">
        <v>456</v>
      </c>
      <c r="E1673" s="76" t="s">
        <v>426</v>
      </c>
      <c r="F1673" s="77">
        <v>5546</v>
      </c>
      <c r="G1673" s="77">
        <v>1000</v>
      </c>
      <c r="H1673" s="77">
        <v>6546</v>
      </c>
      <c r="I1673" s="76" t="s">
        <v>968</v>
      </c>
      <c r="J1673" s="77">
        <v>625</v>
      </c>
      <c r="K1673" s="78">
        <v>14680</v>
      </c>
      <c r="M1673" s="79" t="str">
        <f t="shared" si="80"/>
        <v>260-7175</v>
      </c>
      <c r="N1673" s="79" t="str">
        <f t="shared" si="78"/>
        <v/>
      </c>
      <c r="O1673" s="79" t="str">
        <f t="shared" si="79"/>
        <v>260</v>
      </c>
      <c r="P1673" s="79" t="str">
        <f>IFERROR(VLOOKUP($M1673,Export!$P:$R,2,FALSE),"-")</f>
        <v>F&amp;I</v>
      </c>
      <c r="Q1673" s="79" t="str">
        <f>IFERROR(VLOOKUP($M1673,Export!$P:$R,3,FALSE),"-")</f>
        <v>F&amp;ISalaries &amp; Commission per vehicle retailed</v>
      </c>
      <c r="R1673" s="80" t="e" cm="1">
        <f t="array" ref="R1673">_xlfn.IFS(P1673="Service", _xlfn.IFS(I1673="SALES","GP",I1673="SERVICE SALES","GP",I1673="PARTS SALES","GP",I1673="SERVICE COS","GP",I1673="PARTS COS","GP",I1673="SELLING EXPENSES","Selling Expenses",I1673="EMPLOYMENT EXPENSES","Selling Expenses",I1673="EMPLOYMENT EXPENSES","Selling Expenses",I1673="DIRECT EXPENSES","Selling Expenses",I1673="INDIRECT EXPENSES","Selling Expenses"),P1673="Parts",_xlfn.IFS(I1673="SALES","GP",I1673="SERVICE SALES","GP",I1673="PARTS SALES","GP",I1673="SERVICE COS","GP",I1673="PARTS COS","GP",I1673="SELLING EXPENSES","Selling Expenses",I1673="EMPLOYMENT EXPENSES","Selling Expenses",I1673="EMPLOYMENT EXPENSES","Selling Expenses",I1673="DIRECT EXPENSES","Selling Expenses",I1673="INDIRECT EXPENSES","Selling Expenses"))</f>
        <v>#N/A</v>
      </c>
    </row>
    <row r="1674" spans="1:18" x14ac:dyDescent="0.2">
      <c r="A1674" s="75">
        <v>7175</v>
      </c>
      <c r="B1674" s="76" t="s">
        <v>969</v>
      </c>
      <c r="C1674" s="76">
        <v>340</v>
      </c>
      <c r="D1674" s="76" t="s">
        <v>440</v>
      </c>
      <c r="E1674" s="76" t="s">
        <v>426</v>
      </c>
      <c r="F1674" s="77">
        <v>20860.39</v>
      </c>
      <c r="G1674" s="77">
        <v>2266.67</v>
      </c>
      <c r="H1674" s="77">
        <v>23127.06</v>
      </c>
      <c r="I1674" s="76" t="s">
        <v>968</v>
      </c>
      <c r="J1674" s="77">
        <v>3895.83</v>
      </c>
      <c r="K1674" s="78">
        <v>43749.98</v>
      </c>
      <c r="M1674" s="79" t="str">
        <f t="shared" si="80"/>
        <v>340-7175</v>
      </c>
      <c r="N1674" s="79" t="str">
        <f t="shared" si="78"/>
        <v/>
      </c>
      <c r="O1674" s="79" t="str">
        <f t="shared" si="79"/>
        <v>340</v>
      </c>
      <c r="P1674" s="79" t="str">
        <f>IFERROR(VLOOKUP($M1674,Export!$P:$R,2,FALSE),"-")</f>
        <v>Service</v>
      </c>
      <c r="Q1674" s="79" t="str">
        <f>IFERROR(VLOOKUP($M1674,Export!$P:$R,3,FALSE),"-")</f>
        <v>ServiceSalaries, Commission &amp; Leave as % of Sales</v>
      </c>
      <c r="R1674" s="80" t="str" cm="1">
        <f t="array" ref="R1674">_xlfn.IFS(P1674="Service", _xlfn.IFS(I1674="SALES","GP",I1674="SERVICE SALES","GP",I1674="PARTS SALES","GP",I1674="SERVICE COS","GP",I1674="PARTS COS","GP",I1674="SELLING EXPENSES","Selling Expenses",I1674="EMPLOYMENT EXPENSES","Selling Expenses",I1674="EMPLOYMENT EXPENSES","Selling Expenses",I1674="DIRECT EXPENSES","Selling Expenses",I1674="INDIRECT EXPENSES","Selling Expenses"),P1674="Parts",_xlfn.IFS(I1674="SALES","GP",I1674="SERVICE SALES","GP",I1674="PARTS SALES","GP",I1674="SERVICE COS","GP",I1674="PARTS COS","GP",I1674="SELLING EXPENSES","Selling Expenses",I1674="EMPLOYMENT EXPENSES","Selling Expenses",I1674="EMPLOYMENT EXPENSES","Selling Expenses",I1674="DIRECT EXPENSES","Selling Expenses",I1674="INDIRECT EXPENSES","Selling Expenses"))</f>
        <v>Selling Expenses</v>
      </c>
    </row>
    <row r="1675" spans="1:18" x14ac:dyDescent="0.2">
      <c r="A1675" s="75">
        <v>7175</v>
      </c>
      <c r="B1675" s="76" t="s">
        <v>969</v>
      </c>
      <c r="C1675" s="76">
        <v>430</v>
      </c>
      <c r="D1675" s="76" t="s">
        <v>458</v>
      </c>
      <c r="E1675" s="76" t="s">
        <v>426</v>
      </c>
      <c r="F1675" s="77">
        <v>4565.03</v>
      </c>
      <c r="G1675" s="77">
        <v>479.17</v>
      </c>
      <c r="H1675" s="77">
        <v>5044.2</v>
      </c>
      <c r="I1675" s="76" t="s">
        <v>968</v>
      </c>
      <c r="J1675" s="77">
        <v>437.5</v>
      </c>
      <c r="K1675" s="78">
        <v>5245</v>
      </c>
      <c r="M1675" s="79" t="str">
        <f t="shared" si="80"/>
        <v>430-7175</v>
      </c>
      <c r="N1675" s="79" t="str">
        <f t="shared" si="78"/>
        <v/>
      </c>
      <c r="O1675" s="79" t="str">
        <f t="shared" si="79"/>
        <v>430</v>
      </c>
      <c r="P1675" s="79" t="str">
        <f>IFERROR(VLOOKUP($M1675,Export!$P:$R,2,FALSE),"-")</f>
        <v>Parts</v>
      </c>
      <c r="Q1675" s="79" t="str">
        <f>IFERROR(VLOOKUP($M1675,Export!$P:$R,3,FALSE),"-")</f>
        <v>PartsSalaries &amp; Commission as % of Sales</v>
      </c>
      <c r="R1675" s="80" t="str" cm="1">
        <f t="array" ref="R1675">_xlfn.IFS(P1675="Service", _xlfn.IFS(I1675="SALES","GP",I1675="SERVICE SALES","GP",I1675="PARTS SALES","GP",I1675="SERVICE COS","GP",I1675="PARTS COS","GP",I1675="SELLING EXPENSES","Selling Expenses",I1675="EMPLOYMENT EXPENSES","Selling Expenses",I1675="EMPLOYMENT EXPENSES","Selling Expenses",I1675="DIRECT EXPENSES","Selling Expenses",I1675="INDIRECT EXPENSES","Selling Expenses"),P1675="Parts",_xlfn.IFS(I1675="SALES","GP",I1675="SERVICE SALES","GP",I1675="PARTS SALES","GP",I1675="SERVICE COS","GP",I1675="PARTS COS","GP",I1675="SELLING EXPENSES","Selling Expenses",I1675="EMPLOYMENT EXPENSES","Selling Expenses",I1675="EMPLOYMENT EXPENSES","Selling Expenses",I1675="DIRECT EXPENSES","Selling Expenses",I1675="INDIRECT EXPENSES","Selling Expenses"))</f>
        <v>Selling Expenses</v>
      </c>
    </row>
    <row r="1676" spans="1:18" x14ac:dyDescent="0.2">
      <c r="A1676" s="75">
        <v>7175</v>
      </c>
      <c r="B1676" s="76" t="s">
        <v>969</v>
      </c>
      <c r="C1676" s="76">
        <v>440</v>
      </c>
      <c r="D1676" s="76" t="s">
        <v>441</v>
      </c>
      <c r="E1676" s="76" t="s">
        <v>426</v>
      </c>
      <c r="F1676" s="77">
        <v>13694.97</v>
      </c>
      <c r="G1676" s="77">
        <v>1437.5</v>
      </c>
      <c r="H1676" s="77">
        <v>15132.47</v>
      </c>
      <c r="I1676" s="76" t="s">
        <v>968</v>
      </c>
      <c r="J1676" s="77">
        <v>1312.5</v>
      </c>
      <c r="K1676" s="78">
        <v>15731</v>
      </c>
      <c r="M1676" s="79" t="str">
        <f t="shared" si="80"/>
        <v>440-7175</v>
      </c>
      <c r="N1676" s="79" t="str">
        <f t="shared" si="78"/>
        <v/>
      </c>
      <c r="O1676" s="79" t="str">
        <f t="shared" si="79"/>
        <v>440</v>
      </c>
      <c r="P1676" s="79" t="str">
        <f>IFERROR(VLOOKUP($M1676,Export!$P:$R,2,FALSE),"-")</f>
        <v>Service</v>
      </c>
      <c r="Q1676" s="79" t="str">
        <f>IFERROR(VLOOKUP($M1676,Export!$P:$R,3,FALSE),"-")</f>
        <v>ServiceSalaries, Commission &amp; Leave as % of Sales</v>
      </c>
      <c r="R1676" s="80" t="str" cm="1">
        <f t="array" ref="R1676">_xlfn.IFS(P1676="Service", _xlfn.IFS(I1676="SALES","GP",I1676="SERVICE SALES","GP",I1676="PARTS SALES","GP",I1676="SERVICE COS","GP",I1676="PARTS COS","GP",I1676="SELLING EXPENSES","Selling Expenses",I1676="EMPLOYMENT EXPENSES","Selling Expenses",I1676="EMPLOYMENT EXPENSES","Selling Expenses",I1676="DIRECT EXPENSES","Selling Expenses",I1676="INDIRECT EXPENSES","Selling Expenses"),P1676="Parts",_xlfn.IFS(I1676="SALES","GP",I1676="SERVICE SALES","GP",I1676="PARTS SALES","GP",I1676="SERVICE COS","GP",I1676="PARTS COS","GP",I1676="SELLING EXPENSES","Selling Expenses",I1676="EMPLOYMENT EXPENSES","Selling Expenses",I1676="EMPLOYMENT EXPENSES","Selling Expenses",I1676="DIRECT EXPENSES","Selling Expenses",I1676="INDIRECT EXPENSES","Selling Expenses"))</f>
        <v>Selling Expenses</v>
      </c>
    </row>
    <row r="1677" spans="1:18" x14ac:dyDescent="0.2">
      <c r="A1677" s="75">
        <v>7175</v>
      </c>
      <c r="B1677" s="76" t="s">
        <v>969</v>
      </c>
      <c r="C1677" s="76">
        <v>935</v>
      </c>
      <c r="D1677" s="76" t="s">
        <v>442</v>
      </c>
      <c r="E1677" s="76" t="s">
        <v>426</v>
      </c>
      <c r="F1677" s="77">
        <v>16524.900000000001</v>
      </c>
      <c r="G1677" s="77">
        <v>2100</v>
      </c>
      <c r="H1677" s="77">
        <v>18624.900000000001</v>
      </c>
      <c r="I1677" s="76" t="s">
        <v>968</v>
      </c>
      <c r="J1677" s="77">
        <v>2375</v>
      </c>
      <c r="K1677" s="78">
        <v>30345</v>
      </c>
      <c r="M1677" s="79" t="str">
        <f t="shared" si="80"/>
        <v>935-7175</v>
      </c>
      <c r="N1677" s="79" t="str">
        <f t="shared" si="78"/>
        <v/>
      </c>
      <c r="O1677" s="79" t="str">
        <f t="shared" si="79"/>
        <v>935</v>
      </c>
      <c r="P1677" s="79" t="str">
        <f>IFERROR(VLOOKUP($M1677,Export!$P:$R,2,FALSE),"-")</f>
        <v>Bridgestone</v>
      </c>
      <c r="Q1677" s="79" t="str">
        <f>IFERROR(VLOOKUP($M1677,Export!$P:$R,3,FALSE),"-")</f>
        <v>BridgestoneSalaries, Commission &amp; Leave as % of Sales</v>
      </c>
      <c r="R1677" s="80" t="e" cm="1">
        <f t="array" ref="R1677">_xlfn.IFS(P1677="Service", _xlfn.IFS(I1677="SALES","GP",I1677="SERVICE SALES","GP",I1677="PARTS SALES","GP",I1677="SERVICE COS","GP",I1677="PARTS COS","GP",I1677="SELLING EXPENSES","Selling Expenses",I1677="EMPLOYMENT EXPENSES","Selling Expenses",I1677="EMPLOYMENT EXPENSES","Selling Expenses",I1677="DIRECT EXPENSES","Selling Expenses",I1677="INDIRECT EXPENSES","Selling Expenses"),P1677="Parts",_xlfn.IFS(I1677="SALES","GP",I1677="SERVICE SALES","GP",I1677="PARTS SALES","GP",I1677="SERVICE COS","GP",I1677="PARTS COS","GP",I1677="SELLING EXPENSES","Selling Expenses",I1677="EMPLOYMENT EXPENSES","Selling Expenses",I1677="EMPLOYMENT EXPENSES","Selling Expenses",I1677="DIRECT EXPENSES","Selling Expenses",I1677="INDIRECT EXPENSES","Selling Expenses"))</f>
        <v>#N/A</v>
      </c>
    </row>
    <row r="1678" spans="1:18" x14ac:dyDescent="0.2">
      <c r="A1678" s="75">
        <v>7175</v>
      </c>
      <c r="B1678" s="76" t="s">
        <v>969</v>
      </c>
      <c r="C1678" s="76">
        <v>936</v>
      </c>
      <c r="D1678" s="76" t="s">
        <v>443</v>
      </c>
      <c r="E1678" s="76" t="s">
        <v>426</v>
      </c>
      <c r="F1678" s="77">
        <v>5521.86</v>
      </c>
      <c r="G1678" s="77">
        <v>600</v>
      </c>
      <c r="H1678" s="77">
        <v>6121.86</v>
      </c>
      <c r="I1678" s="76" t="s">
        <v>968</v>
      </c>
      <c r="J1678" s="77">
        <v>1354.17</v>
      </c>
      <c r="K1678" s="78">
        <v>12835.02</v>
      </c>
      <c r="M1678" s="79" t="str">
        <f t="shared" si="80"/>
        <v>936-7175</v>
      </c>
      <c r="N1678" s="79" t="str">
        <f t="shared" si="78"/>
        <v/>
      </c>
      <c r="O1678" s="79" t="str">
        <f t="shared" si="79"/>
        <v>936</v>
      </c>
      <c r="P1678" s="79" t="str">
        <f>IFERROR(VLOOKUP($M1678,Export!$P:$R,2,FALSE),"-")</f>
        <v>Bridgestone</v>
      </c>
      <c r="Q1678" s="79" t="str">
        <f>IFERROR(VLOOKUP($M1678,Export!$P:$R,3,FALSE),"-")</f>
        <v>BridgestoneSalaries, Commission &amp; Leave as % of Sales</v>
      </c>
      <c r="R1678" s="80" t="e" cm="1">
        <f t="array" ref="R1678">_xlfn.IFS(P1678="Service", _xlfn.IFS(I1678="SALES","GP",I1678="SERVICE SALES","GP",I1678="PARTS SALES","GP",I1678="SERVICE COS","GP",I1678="PARTS COS","GP",I1678="SELLING EXPENSES","Selling Expenses",I1678="EMPLOYMENT EXPENSES","Selling Expenses",I1678="EMPLOYMENT EXPENSES","Selling Expenses",I1678="DIRECT EXPENSES","Selling Expenses",I1678="INDIRECT EXPENSES","Selling Expenses"),P1678="Parts",_xlfn.IFS(I1678="SALES","GP",I1678="SERVICE SALES","GP",I1678="PARTS SALES","GP",I1678="SERVICE COS","GP",I1678="PARTS COS","GP",I1678="SELLING EXPENSES","Selling Expenses",I1678="EMPLOYMENT EXPENSES","Selling Expenses",I1678="EMPLOYMENT EXPENSES","Selling Expenses",I1678="DIRECT EXPENSES","Selling Expenses",I1678="INDIRECT EXPENSES","Selling Expenses"))</f>
        <v>#N/A</v>
      </c>
    </row>
    <row r="1679" spans="1:18" x14ac:dyDescent="0.2">
      <c r="A1679" s="75">
        <v>7180</v>
      </c>
      <c r="B1679" s="76" t="s">
        <v>125</v>
      </c>
      <c r="C1679" s="76">
        <v>110</v>
      </c>
      <c r="D1679" s="76" t="s">
        <v>430</v>
      </c>
      <c r="E1679" s="76" t="s">
        <v>426</v>
      </c>
      <c r="F1679" s="77">
        <v>206785.82</v>
      </c>
      <c r="G1679" s="77">
        <v>22192.959999999999</v>
      </c>
      <c r="H1679" s="77">
        <v>228978.78</v>
      </c>
      <c r="I1679" s="76" t="s">
        <v>968</v>
      </c>
      <c r="J1679" s="77">
        <v>17121.349999999999</v>
      </c>
      <c r="K1679" s="78">
        <v>177937.16</v>
      </c>
      <c r="M1679" s="79" t="str">
        <f t="shared" si="80"/>
        <v>110-7180</v>
      </c>
      <c r="N1679" s="79" t="str">
        <f t="shared" si="78"/>
        <v/>
      </c>
      <c r="O1679" s="79" t="str">
        <f t="shared" si="79"/>
        <v>110</v>
      </c>
      <c r="P1679" s="79" t="str">
        <f>IFERROR(VLOOKUP($M1679,Export!$P:$R,2,FALSE),"-")</f>
        <v>Admin &amp; Other</v>
      </c>
      <c r="Q1679" s="79" t="str">
        <f>IFERROR(VLOOKUP($M1679,Export!$P:$R,3,FALSE),"-")</f>
        <v xml:space="preserve">Admin &amp; OtherStaff Remuneration &amp; Benefits as % of Total Gross </v>
      </c>
      <c r="R1679" s="80" t="e" cm="1">
        <f t="array" ref="R1679">_xlfn.IFS(P1679="Service", _xlfn.IFS(I1679="SALES","GP",I1679="SERVICE SALES","GP",I1679="PARTS SALES","GP",I1679="SERVICE COS","GP",I1679="PARTS COS","GP",I1679="SELLING EXPENSES","Selling Expenses",I1679="EMPLOYMENT EXPENSES","Selling Expenses",I1679="EMPLOYMENT EXPENSES","Selling Expenses",I1679="DIRECT EXPENSES","Selling Expenses",I1679="INDIRECT EXPENSES","Selling Expenses"),P1679="Parts",_xlfn.IFS(I1679="SALES","GP",I1679="SERVICE SALES","GP",I1679="PARTS SALES","GP",I1679="SERVICE COS","GP",I1679="PARTS COS","GP",I1679="SELLING EXPENSES","Selling Expenses",I1679="EMPLOYMENT EXPENSES","Selling Expenses",I1679="EMPLOYMENT EXPENSES","Selling Expenses",I1679="DIRECT EXPENSES","Selling Expenses",I1679="INDIRECT EXPENSES","Selling Expenses"))</f>
        <v>#N/A</v>
      </c>
    </row>
    <row r="1680" spans="1:18" x14ac:dyDescent="0.2">
      <c r="A1680" s="75">
        <v>7180</v>
      </c>
      <c r="B1680" s="76" t="s">
        <v>125</v>
      </c>
      <c r="C1680" s="76">
        <v>112</v>
      </c>
      <c r="D1680" s="76" t="s">
        <v>349</v>
      </c>
      <c r="E1680" s="76" t="s">
        <v>426</v>
      </c>
      <c r="F1680" s="77">
        <v>130547.56</v>
      </c>
      <c r="G1680" s="77">
        <v>13778.76</v>
      </c>
      <c r="H1680" s="77">
        <v>144326.32</v>
      </c>
      <c r="I1680" s="76" t="s">
        <v>968</v>
      </c>
      <c r="J1680" s="77">
        <v>29125.53</v>
      </c>
      <c r="K1680" s="78">
        <v>243313.74</v>
      </c>
      <c r="M1680" s="79" t="str">
        <f t="shared" si="80"/>
        <v>112-7180</v>
      </c>
      <c r="N1680" s="79" t="str">
        <f t="shared" si="78"/>
        <v/>
      </c>
      <c r="O1680" s="79" t="str">
        <f t="shared" si="79"/>
        <v>112</v>
      </c>
      <c r="P1680" s="79" t="str">
        <f>IFERROR(VLOOKUP($M1680,Export!$P:$R,2,FALSE),"-")</f>
        <v>LEX Admin &amp; Other</v>
      </c>
      <c r="Q1680" s="79" t="str">
        <f>IFERROR(VLOOKUP($M1680,Export!$P:$R,3,FALSE),"-")</f>
        <v xml:space="preserve">LEX Admin &amp; OtherStaff Remuneration &amp; Benefits as % of Total Gross </v>
      </c>
      <c r="R1680" s="80" t="e" cm="1">
        <f t="array" ref="R1680">_xlfn.IFS(P1680="Service", _xlfn.IFS(I1680="SALES","GP",I1680="SERVICE SALES","GP",I1680="PARTS SALES","GP",I1680="SERVICE COS","GP",I1680="PARTS COS","GP",I1680="SELLING EXPENSES","Selling Expenses",I1680="EMPLOYMENT EXPENSES","Selling Expenses",I1680="EMPLOYMENT EXPENSES","Selling Expenses",I1680="DIRECT EXPENSES","Selling Expenses",I1680="INDIRECT EXPENSES","Selling Expenses"),P1680="Parts",_xlfn.IFS(I1680="SALES","GP",I1680="SERVICE SALES","GP",I1680="PARTS SALES","GP",I1680="SERVICE COS","GP",I1680="PARTS COS","GP",I1680="SELLING EXPENSES","Selling Expenses",I1680="EMPLOYMENT EXPENSES","Selling Expenses",I1680="EMPLOYMENT EXPENSES","Selling Expenses",I1680="DIRECT EXPENSES","Selling Expenses",I1680="INDIRECT EXPENSES","Selling Expenses"))</f>
        <v>#N/A</v>
      </c>
    </row>
    <row r="1681" spans="1:18" x14ac:dyDescent="0.2">
      <c r="A1681" s="75">
        <v>7180</v>
      </c>
      <c r="B1681" s="76" t="s">
        <v>125</v>
      </c>
      <c r="C1681" s="76">
        <v>120</v>
      </c>
      <c r="D1681" s="76" t="s">
        <v>431</v>
      </c>
      <c r="E1681" s="76" t="s">
        <v>426</v>
      </c>
      <c r="F1681" s="77">
        <v>212616.75</v>
      </c>
      <c r="G1681" s="77">
        <v>23194.31</v>
      </c>
      <c r="H1681" s="77">
        <v>235811.06</v>
      </c>
      <c r="I1681" s="76" t="s">
        <v>968</v>
      </c>
      <c r="J1681" s="77">
        <v>17196.849999999999</v>
      </c>
      <c r="K1681" s="78">
        <v>156901.85</v>
      </c>
      <c r="M1681" s="79" t="str">
        <f t="shared" si="80"/>
        <v>120-7180</v>
      </c>
      <c r="N1681" s="79" t="str">
        <f t="shared" si="78"/>
        <v/>
      </c>
      <c r="O1681" s="79" t="str">
        <f t="shared" si="79"/>
        <v>120</v>
      </c>
      <c r="P1681" s="79" t="str">
        <f>IFERROR(VLOOKUP($M1681,Export!$P:$R,2,FALSE),"-")</f>
        <v>Admin &amp; Other</v>
      </c>
      <c r="Q1681" s="79" t="str">
        <f>IFERROR(VLOOKUP($M1681,Export!$P:$R,3,FALSE),"-")</f>
        <v xml:space="preserve">Admin &amp; OtherStaff Remuneration &amp; Benefits as % of Total Gross </v>
      </c>
      <c r="R1681" s="80" t="e" cm="1">
        <f t="array" ref="R1681">_xlfn.IFS(P1681="Service", _xlfn.IFS(I1681="SALES","GP",I1681="SERVICE SALES","GP",I1681="PARTS SALES","GP",I1681="SERVICE COS","GP",I1681="PARTS COS","GP",I1681="SELLING EXPENSES","Selling Expenses",I1681="EMPLOYMENT EXPENSES","Selling Expenses",I1681="EMPLOYMENT EXPENSES","Selling Expenses",I1681="DIRECT EXPENSES","Selling Expenses",I1681="INDIRECT EXPENSES","Selling Expenses"),P1681="Parts",_xlfn.IFS(I1681="SALES","GP",I1681="SERVICE SALES","GP",I1681="PARTS SALES","GP",I1681="SERVICE COS","GP",I1681="PARTS COS","GP",I1681="SELLING EXPENSES","Selling Expenses",I1681="EMPLOYMENT EXPENSES","Selling Expenses",I1681="EMPLOYMENT EXPENSES","Selling Expenses",I1681="DIRECT EXPENSES","Selling Expenses",I1681="INDIRECT EXPENSES","Selling Expenses"))</f>
        <v>#N/A</v>
      </c>
    </row>
    <row r="1682" spans="1:18" x14ac:dyDescent="0.2">
      <c r="A1682" s="75">
        <v>7180</v>
      </c>
      <c r="B1682" s="76" t="s">
        <v>125</v>
      </c>
      <c r="C1682" s="76">
        <v>121</v>
      </c>
      <c r="D1682" s="76" t="s">
        <v>449</v>
      </c>
      <c r="E1682" s="76" t="s">
        <v>426</v>
      </c>
      <c r="F1682" s="77">
        <v>0</v>
      </c>
      <c r="G1682" s="77">
        <v>0</v>
      </c>
      <c r="H1682" s="77">
        <v>0</v>
      </c>
      <c r="I1682" s="76" t="s">
        <v>968</v>
      </c>
      <c r="J1682" s="77">
        <v>0</v>
      </c>
      <c r="K1682" s="78">
        <v>53720.75</v>
      </c>
      <c r="M1682" s="79" t="str">
        <f t="shared" si="80"/>
        <v>121-7180</v>
      </c>
      <c r="N1682" s="79" t="str">
        <f t="shared" si="78"/>
        <v/>
      </c>
      <c r="O1682" s="79" t="str">
        <f t="shared" si="79"/>
        <v>121</v>
      </c>
      <c r="P1682" s="79" t="str">
        <f>IFERROR(VLOOKUP($M1682,Export!$P:$R,2,FALSE),"-")</f>
        <v>Admin &amp; Other</v>
      </c>
      <c r="Q1682" s="79" t="str">
        <f>IFERROR(VLOOKUP($M1682,Export!$P:$R,3,FALSE),"-")</f>
        <v xml:space="preserve">Admin &amp; OtherStaff Remuneration &amp; Benefits as % of Total Gross </v>
      </c>
      <c r="R1682" s="80" t="e" cm="1">
        <f t="array" ref="R1682">_xlfn.IFS(P1682="Service", _xlfn.IFS(I1682="SALES","GP",I1682="SERVICE SALES","GP",I1682="PARTS SALES","GP",I1682="SERVICE COS","GP",I1682="PARTS COS","GP",I1682="SELLING EXPENSES","Selling Expenses",I1682="EMPLOYMENT EXPENSES","Selling Expenses",I1682="EMPLOYMENT EXPENSES","Selling Expenses",I1682="DIRECT EXPENSES","Selling Expenses",I1682="INDIRECT EXPENSES","Selling Expenses"),P1682="Parts",_xlfn.IFS(I1682="SALES","GP",I1682="SERVICE SALES","GP",I1682="PARTS SALES","GP",I1682="SERVICE COS","GP",I1682="PARTS COS","GP",I1682="SELLING EXPENSES","Selling Expenses",I1682="EMPLOYMENT EXPENSES","Selling Expenses",I1682="EMPLOYMENT EXPENSES","Selling Expenses",I1682="DIRECT EXPENSES","Selling Expenses",I1682="INDIRECT EXPENSES","Selling Expenses"))</f>
        <v>#N/A</v>
      </c>
    </row>
    <row r="1683" spans="1:18" x14ac:dyDescent="0.2">
      <c r="A1683" s="75">
        <v>7180</v>
      </c>
      <c r="B1683" s="76" t="s">
        <v>125</v>
      </c>
      <c r="C1683" s="76">
        <v>122</v>
      </c>
      <c r="D1683" s="76" t="s">
        <v>452</v>
      </c>
      <c r="E1683" s="76" t="s">
        <v>426</v>
      </c>
      <c r="F1683" s="77">
        <v>47558</v>
      </c>
      <c r="G1683" s="77">
        <v>5209</v>
      </c>
      <c r="H1683" s="77">
        <v>52767</v>
      </c>
      <c r="I1683" s="76" t="s">
        <v>968</v>
      </c>
      <c r="J1683" s="77">
        <v>0</v>
      </c>
      <c r="K1683" s="78">
        <v>3160.19</v>
      </c>
      <c r="M1683" s="79" t="str">
        <f t="shared" si="80"/>
        <v>122-7180</v>
      </c>
      <c r="N1683" s="79" t="str">
        <f t="shared" si="78"/>
        <v/>
      </c>
      <c r="O1683" s="79" t="str">
        <f t="shared" si="79"/>
        <v>122</v>
      </c>
      <c r="P1683" s="79" t="str">
        <f>IFERROR(VLOOKUP($M1683,Export!$P:$R,2,FALSE),"-")</f>
        <v>LEX Admin &amp; Other</v>
      </c>
      <c r="Q1683" s="79" t="str">
        <f>IFERROR(VLOOKUP($M1683,Export!$P:$R,3,FALSE),"-")</f>
        <v xml:space="preserve">LEX Admin &amp; OtherStaff Remuneration &amp; Benefits as % of Total Gross </v>
      </c>
      <c r="R1683" s="80" t="e" cm="1">
        <f t="array" ref="R1683">_xlfn.IFS(P1683="Service", _xlfn.IFS(I1683="SALES","GP",I1683="SERVICE SALES","GP",I1683="PARTS SALES","GP",I1683="SERVICE COS","GP",I1683="PARTS COS","GP",I1683="SELLING EXPENSES","Selling Expenses",I1683="EMPLOYMENT EXPENSES","Selling Expenses",I1683="EMPLOYMENT EXPENSES","Selling Expenses",I1683="DIRECT EXPENSES","Selling Expenses",I1683="INDIRECT EXPENSES","Selling Expenses"),P1683="Parts",_xlfn.IFS(I1683="SALES","GP",I1683="SERVICE SALES","GP",I1683="PARTS SALES","GP",I1683="SERVICE COS","GP",I1683="PARTS COS","GP",I1683="SELLING EXPENSES","Selling Expenses",I1683="EMPLOYMENT EXPENSES","Selling Expenses",I1683="EMPLOYMENT EXPENSES","Selling Expenses",I1683="DIRECT EXPENSES","Selling Expenses",I1683="INDIRECT EXPENSES","Selling Expenses"))</f>
        <v>#N/A</v>
      </c>
    </row>
    <row r="1684" spans="1:18" x14ac:dyDescent="0.2">
      <c r="A1684" s="75">
        <v>7180</v>
      </c>
      <c r="B1684" s="76" t="s">
        <v>125</v>
      </c>
      <c r="C1684" s="76">
        <v>130</v>
      </c>
      <c r="D1684" s="76" t="s">
        <v>432</v>
      </c>
      <c r="E1684" s="76" t="s">
        <v>426</v>
      </c>
      <c r="F1684" s="77">
        <v>105059.34</v>
      </c>
      <c r="G1684" s="77">
        <v>10781.31</v>
      </c>
      <c r="H1684" s="77">
        <v>115840.65</v>
      </c>
      <c r="I1684" s="76" t="s">
        <v>968</v>
      </c>
      <c r="J1684" s="77">
        <v>8656.69</v>
      </c>
      <c r="K1684" s="78">
        <v>105660.89</v>
      </c>
      <c r="M1684" s="79" t="str">
        <f t="shared" si="80"/>
        <v>130-7180</v>
      </c>
      <c r="N1684" s="79" t="str">
        <f t="shared" si="78"/>
        <v/>
      </c>
      <c r="O1684" s="79" t="str">
        <f t="shared" si="79"/>
        <v>130</v>
      </c>
      <c r="P1684" s="79" t="str">
        <f>IFERROR(VLOOKUP($M1684,Export!$P:$R,2,FALSE),"-")</f>
        <v>Admin &amp; Other</v>
      </c>
      <c r="Q1684" s="79" t="str">
        <f>IFERROR(VLOOKUP($M1684,Export!$P:$R,3,FALSE),"-")</f>
        <v xml:space="preserve">Admin &amp; OtherStaff Remuneration &amp; Benefits as % of Total Gross </v>
      </c>
      <c r="R1684" s="80" t="e" cm="1">
        <f t="array" ref="R1684">_xlfn.IFS(P1684="Service", _xlfn.IFS(I1684="SALES","GP",I1684="SERVICE SALES","GP",I1684="PARTS SALES","GP",I1684="SERVICE COS","GP",I1684="PARTS COS","GP",I1684="SELLING EXPENSES","Selling Expenses",I1684="EMPLOYMENT EXPENSES","Selling Expenses",I1684="EMPLOYMENT EXPENSES","Selling Expenses",I1684="DIRECT EXPENSES","Selling Expenses",I1684="INDIRECT EXPENSES","Selling Expenses"),P1684="Parts",_xlfn.IFS(I1684="SALES","GP",I1684="SERVICE SALES","GP",I1684="PARTS SALES","GP",I1684="SERVICE COS","GP",I1684="PARTS COS","GP",I1684="SELLING EXPENSES","Selling Expenses",I1684="EMPLOYMENT EXPENSES","Selling Expenses",I1684="EMPLOYMENT EXPENSES","Selling Expenses",I1684="DIRECT EXPENSES","Selling Expenses",I1684="INDIRECT EXPENSES","Selling Expenses"))</f>
        <v>#N/A</v>
      </c>
    </row>
    <row r="1685" spans="1:18" x14ac:dyDescent="0.2">
      <c r="A1685" s="75">
        <v>7180</v>
      </c>
      <c r="B1685" s="76" t="s">
        <v>125</v>
      </c>
      <c r="C1685" s="76">
        <v>140</v>
      </c>
      <c r="D1685" s="76" t="s">
        <v>433</v>
      </c>
      <c r="E1685" s="76" t="s">
        <v>426</v>
      </c>
      <c r="F1685" s="77">
        <v>199278.05</v>
      </c>
      <c r="G1685" s="77">
        <v>25501.63</v>
      </c>
      <c r="H1685" s="77">
        <v>224779.68</v>
      </c>
      <c r="I1685" s="76" t="s">
        <v>968</v>
      </c>
      <c r="J1685" s="77">
        <v>19576.740000000002</v>
      </c>
      <c r="K1685" s="78">
        <v>168495.17</v>
      </c>
      <c r="M1685" s="79" t="str">
        <f t="shared" si="80"/>
        <v>140-7180</v>
      </c>
      <c r="N1685" s="79" t="str">
        <f t="shared" si="78"/>
        <v/>
      </c>
      <c r="O1685" s="79" t="str">
        <f t="shared" si="79"/>
        <v>140</v>
      </c>
      <c r="P1685" s="79" t="str">
        <f>IFERROR(VLOOKUP($M1685,Export!$P:$R,2,FALSE),"-")</f>
        <v>Admin &amp; Other</v>
      </c>
      <c r="Q1685" s="79" t="str">
        <f>IFERROR(VLOOKUP($M1685,Export!$P:$R,3,FALSE),"-")</f>
        <v xml:space="preserve">Admin &amp; OtherStaff Remuneration &amp; Benefits as % of Total Gross </v>
      </c>
      <c r="R1685" s="80" t="e" cm="1">
        <f t="array" ref="R1685">_xlfn.IFS(P1685="Service", _xlfn.IFS(I1685="SALES","GP",I1685="SERVICE SALES","GP",I1685="PARTS SALES","GP",I1685="SERVICE COS","GP",I1685="PARTS COS","GP",I1685="SELLING EXPENSES","Selling Expenses",I1685="EMPLOYMENT EXPENSES","Selling Expenses",I1685="EMPLOYMENT EXPENSES","Selling Expenses",I1685="DIRECT EXPENSES","Selling Expenses",I1685="INDIRECT EXPENSES","Selling Expenses"),P1685="Parts",_xlfn.IFS(I1685="SALES","GP",I1685="SERVICE SALES","GP",I1685="PARTS SALES","GP",I1685="SERVICE COS","GP",I1685="PARTS COS","GP",I1685="SELLING EXPENSES","Selling Expenses",I1685="EMPLOYMENT EXPENSES","Selling Expenses",I1685="EMPLOYMENT EXPENSES","Selling Expenses",I1685="DIRECT EXPENSES","Selling Expenses",I1685="INDIRECT EXPENSES","Selling Expenses"))</f>
        <v>#N/A</v>
      </c>
    </row>
    <row r="1686" spans="1:18" x14ac:dyDescent="0.2">
      <c r="A1686" s="75">
        <v>7180</v>
      </c>
      <c r="B1686" s="76" t="s">
        <v>125</v>
      </c>
      <c r="C1686" s="76">
        <v>142</v>
      </c>
      <c r="D1686" s="76" t="s">
        <v>454</v>
      </c>
      <c r="E1686" s="76" t="s">
        <v>426</v>
      </c>
      <c r="F1686" s="77">
        <v>205224.77</v>
      </c>
      <c r="G1686" s="77">
        <v>26079.35</v>
      </c>
      <c r="H1686" s="77">
        <v>231304.12</v>
      </c>
      <c r="I1686" s="76" t="s">
        <v>968</v>
      </c>
      <c r="J1686" s="77">
        <v>7958.66</v>
      </c>
      <c r="K1686" s="78">
        <v>47751.96</v>
      </c>
      <c r="M1686" s="79" t="str">
        <f t="shared" si="80"/>
        <v>142-7180</v>
      </c>
      <c r="N1686" s="79" t="str">
        <f t="shared" si="78"/>
        <v/>
      </c>
      <c r="O1686" s="79" t="str">
        <f t="shared" si="79"/>
        <v>142</v>
      </c>
      <c r="P1686" s="79" t="str">
        <f>IFERROR(VLOOKUP($M1686,Export!$P:$R,2,FALSE),"-")</f>
        <v>LEX Admin &amp; Other</v>
      </c>
      <c r="Q1686" s="79" t="str">
        <f>IFERROR(VLOOKUP($M1686,Export!$P:$R,3,FALSE),"-")</f>
        <v xml:space="preserve">LEX Admin &amp; OtherStaff Remuneration &amp; Benefits as % of Total Gross </v>
      </c>
      <c r="R1686" s="80" t="e" cm="1">
        <f t="array" ref="R1686">_xlfn.IFS(P1686="Service", _xlfn.IFS(I1686="SALES","GP",I1686="SERVICE SALES","GP",I1686="PARTS SALES","GP",I1686="SERVICE COS","GP",I1686="PARTS COS","GP",I1686="SELLING EXPENSES","Selling Expenses",I1686="EMPLOYMENT EXPENSES","Selling Expenses",I1686="EMPLOYMENT EXPENSES","Selling Expenses",I1686="DIRECT EXPENSES","Selling Expenses",I1686="INDIRECT EXPENSES","Selling Expenses"),P1686="Parts",_xlfn.IFS(I1686="SALES","GP",I1686="SERVICE SALES","GP",I1686="PARTS SALES","GP",I1686="SERVICE COS","GP",I1686="PARTS COS","GP",I1686="SELLING EXPENSES","Selling Expenses",I1686="EMPLOYMENT EXPENSES","Selling Expenses",I1686="EMPLOYMENT EXPENSES","Selling Expenses",I1686="DIRECT EXPENSES","Selling Expenses",I1686="INDIRECT EXPENSES","Selling Expenses"))</f>
        <v>#N/A</v>
      </c>
    </row>
    <row r="1687" spans="1:18" x14ac:dyDescent="0.2">
      <c r="A1687" s="75">
        <v>7180</v>
      </c>
      <c r="B1687" s="76" t="s">
        <v>125</v>
      </c>
      <c r="C1687" s="76">
        <v>147</v>
      </c>
      <c r="D1687" s="76" t="s">
        <v>699</v>
      </c>
      <c r="E1687" s="76" t="s">
        <v>426</v>
      </c>
      <c r="F1687" s="77">
        <v>26977.9</v>
      </c>
      <c r="G1687" s="77">
        <v>0</v>
      </c>
      <c r="H1687" s="77">
        <v>26977.9</v>
      </c>
      <c r="I1687" s="76" t="s">
        <v>968</v>
      </c>
      <c r="J1687" s="77">
        <v>8751.5</v>
      </c>
      <c r="K1687" s="78">
        <v>60567.03</v>
      </c>
      <c r="M1687" s="79" t="str">
        <f t="shared" si="80"/>
        <v>147-7180</v>
      </c>
      <c r="N1687" s="79" t="str">
        <f t="shared" si="78"/>
        <v/>
      </c>
      <c r="O1687" s="79" t="str">
        <f t="shared" si="79"/>
        <v>147</v>
      </c>
      <c r="P1687" s="79" t="str">
        <f>IFERROR(VLOOKUP($M1687,Export!$P:$R,2,FALSE),"-")</f>
        <v>Admin &amp; Other</v>
      </c>
      <c r="Q1687" s="79" t="str">
        <f>IFERROR(VLOOKUP($M1687,Export!$P:$R,3,FALSE),"-")</f>
        <v xml:space="preserve">Admin &amp; OtherStaff Remuneration &amp; Benefits as % of Total Gross </v>
      </c>
      <c r="R1687" s="80" t="e" cm="1">
        <f t="array" ref="R1687">_xlfn.IFS(P1687="Service", _xlfn.IFS(I1687="SALES","GP",I1687="SERVICE SALES","GP",I1687="PARTS SALES","GP",I1687="SERVICE COS","GP",I1687="PARTS COS","GP",I1687="SELLING EXPENSES","Selling Expenses",I1687="EMPLOYMENT EXPENSES","Selling Expenses",I1687="EMPLOYMENT EXPENSES","Selling Expenses",I1687="DIRECT EXPENSES","Selling Expenses",I1687="INDIRECT EXPENSES","Selling Expenses"),P1687="Parts",_xlfn.IFS(I1687="SALES","GP",I1687="SERVICE SALES","GP",I1687="PARTS SALES","GP",I1687="SERVICE COS","GP",I1687="PARTS COS","GP",I1687="SELLING EXPENSES","Selling Expenses",I1687="EMPLOYMENT EXPENSES","Selling Expenses",I1687="EMPLOYMENT EXPENSES","Selling Expenses",I1687="DIRECT EXPENSES","Selling Expenses",I1687="INDIRECT EXPENSES","Selling Expenses"))</f>
        <v>#N/A</v>
      </c>
    </row>
    <row r="1688" spans="1:18" x14ac:dyDescent="0.2">
      <c r="A1688" s="75">
        <v>7180</v>
      </c>
      <c r="B1688" s="76" t="s">
        <v>125</v>
      </c>
      <c r="C1688" s="76">
        <v>150</v>
      </c>
      <c r="D1688" s="76" t="s">
        <v>700</v>
      </c>
      <c r="E1688" s="76" t="s">
        <v>426</v>
      </c>
      <c r="F1688" s="77">
        <v>33638.400000000001</v>
      </c>
      <c r="G1688" s="77">
        <v>3133.87</v>
      </c>
      <c r="H1688" s="77">
        <v>36772.269999999997</v>
      </c>
      <c r="I1688" s="76" t="s">
        <v>968</v>
      </c>
      <c r="J1688" s="77">
        <v>0</v>
      </c>
      <c r="K1688" s="78">
        <v>0</v>
      </c>
      <c r="M1688" s="79" t="str">
        <f t="shared" si="80"/>
        <v>150-7180</v>
      </c>
      <c r="N1688" s="79" t="str">
        <f t="shared" si="78"/>
        <v/>
      </c>
      <c r="O1688" s="79" t="str">
        <f t="shared" si="79"/>
        <v>150</v>
      </c>
      <c r="P1688" s="79" t="str">
        <f>IFERROR(VLOOKUP($M1688,Export!$P:$R,2,FALSE),"-")</f>
        <v>LEX Admin &amp; Other</v>
      </c>
      <c r="Q1688" s="79" t="str">
        <f>IFERROR(VLOOKUP($M1688,Export!$P:$R,3,FALSE),"-")</f>
        <v xml:space="preserve">LEX Admin &amp; OtherStaff Remuneration &amp; Benefits as % of Total Gross </v>
      </c>
      <c r="R1688" s="80" t="e" cm="1">
        <f t="array" ref="R1688">_xlfn.IFS(P1688="Service", _xlfn.IFS(I1688="SALES","GP",I1688="SERVICE SALES","GP",I1688="PARTS SALES","GP",I1688="SERVICE COS","GP",I1688="PARTS COS","GP",I1688="SELLING EXPENSES","Selling Expenses",I1688="EMPLOYMENT EXPENSES","Selling Expenses",I1688="EMPLOYMENT EXPENSES","Selling Expenses",I1688="DIRECT EXPENSES","Selling Expenses",I1688="INDIRECT EXPENSES","Selling Expenses"),P1688="Parts",_xlfn.IFS(I1688="SALES","GP",I1688="SERVICE SALES","GP",I1688="PARTS SALES","GP",I1688="SERVICE COS","GP",I1688="PARTS COS","GP",I1688="SELLING EXPENSES","Selling Expenses",I1688="EMPLOYMENT EXPENSES","Selling Expenses",I1688="EMPLOYMENT EXPENSES","Selling Expenses",I1688="DIRECT EXPENSES","Selling Expenses",I1688="INDIRECT EXPENSES","Selling Expenses"))</f>
        <v>#N/A</v>
      </c>
    </row>
    <row r="1689" spans="1:18" x14ac:dyDescent="0.2">
      <c r="A1689" s="75">
        <v>7180</v>
      </c>
      <c r="B1689" s="76" t="s">
        <v>125</v>
      </c>
      <c r="C1689" s="76">
        <v>160</v>
      </c>
      <c r="D1689" s="76" t="s">
        <v>434</v>
      </c>
      <c r="E1689" s="76" t="s">
        <v>426</v>
      </c>
      <c r="F1689" s="77">
        <v>31646.09</v>
      </c>
      <c r="G1689" s="77">
        <v>3292.87</v>
      </c>
      <c r="H1689" s="77">
        <v>34938.959999999999</v>
      </c>
      <c r="I1689" s="76" t="s">
        <v>968</v>
      </c>
      <c r="J1689" s="77">
        <v>2473.34</v>
      </c>
      <c r="K1689" s="78">
        <v>36328.35</v>
      </c>
      <c r="M1689" s="79" t="str">
        <f t="shared" si="80"/>
        <v>160-7180</v>
      </c>
      <c r="N1689" s="79" t="str">
        <f t="shared" si="78"/>
        <v/>
      </c>
      <c r="O1689" s="79" t="str">
        <f t="shared" si="79"/>
        <v>160</v>
      </c>
      <c r="P1689" s="79" t="str">
        <f>IFERROR(VLOOKUP($M1689,Export!$P:$R,2,FALSE),"-")</f>
        <v>Admin &amp; Other</v>
      </c>
      <c r="Q1689" s="79" t="str">
        <f>IFERROR(VLOOKUP($M1689,Export!$P:$R,3,FALSE),"-")</f>
        <v xml:space="preserve">Admin &amp; OtherStaff Remuneration &amp; Benefits as % of Total Gross </v>
      </c>
      <c r="R1689" s="80" t="e" cm="1">
        <f t="array" ref="R1689">_xlfn.IFS(P1689="Service", _xlfn.IFS(I1689="SALES","GP",I1689="SERVICE SALES","GP",I1689="PARTS SALES","GP",I1689="SERVICE COS","GP",I1689="PARTS COS","GP",I1689="SELLING EXPENSES","Selling Expenses",I1689="EMPLOYMENT EXPENSES","Selling Expenses",I1689="EMPLOYMENT EXPENSES","Selling Expenses",I1689="DIRECT EXPENSES","Selling Expenses",I1689="INDIRECT EXPENSES","Selling Expenses"),P1689="Parts",_xlfn.IFS(I1689="SALES","GP",I1689="SERVICE SALES","GP",I1689="PARTS SALES","GP",I1689="SERVICE COS","GP",I1689="PARTS COS","GP",I1689="SELLING EXPENSES","Selling Expenses",I1689="EMPLOYMENT EXPENSES","Selling Expenses",I1689="EMPLOYMENT EXPENSES","Selling Expenses",I1689="DIRECT EXPENSES","Selling Expenses",I1689="INDIRECT EXPENSES","Selling Expenses"))</f>
        <v>#N/A</v>
      </c>
    </row>
    <row r="1690" spans="1:18" x14ac:dyDescent="0.2">
      <c r="A1690" s="75">
        <v>7180</v>
      </c>
      <c r="B1690" s="76" t="s">
        <v>125</v>
      </c>
      <c r="C1690" s="76">
        <v>190</v>
      </c>
      <c r="D1690" s="76" t="s">
        <v>435</v>
      </c>
      <c r="E1690" s="76" t="s">
        <v>426</v>
      </c>
      <c r="F1690" s="77">
        <v>1728</v>
      </c>
      <c r="G1690" s="77">
        <v>0</v>
      </c>
      <c r="H1690" s="77">
        <v>1728</v>
      </c>
      <c r="I1690" s="76" t="s">
        <v>968</v>
      </c>
      <c r="J1690" s="77">
        <v>0</v>
      </c>
      <c r="K1690" s="78">
        <v>0</v>
      </c>
      <c r="M1690" s="79" t="str">
        <f t="shared" si="80"/>
        <v>190-7180</v>
      </c>
      <c r="N1690" s="79" t="str">
        <f t="shared" si="78"/>
        <v/>
      </c>
      <c r="O1690" s="79" t="str">
        <f t="shared" si="79"/>
        <v>190</v>
      </c>
      <c r="P1690" s="79" t="str">
        <f>IFERROR(VLOOKUP($M1690,Export!$P:$R,2,FALSE),"-")</f>
        <v>Admin &amp; Other</v>
      </c>
      <c r="Q1690" s="79" t="str">
        <f>IFERROR(VLOOKUP($M1690,Export!$P:$R,3,FALSE),"-")</f>
        <v>Admin &amp; OtherOther Overheads as % of Total Gross Profit</v>
      </c>
      <c r="R1690" s="80" t="e" cm="1">
        <f t="array" ref="R1690">_xlfn.IFS(P1690="Service", _xlfn.IFS(I1690="SALES","GP",I1690="SERVICE SALES","GP",I1690="PARTS SALES","GP",I1690="SERVICE COS","GP",I1690="PARTS COS","GP",I1690="SELLING EXPENSES","Selling Expenses",I1690="EMPLOYMENT EXPENSES","Selling Expenses",I1690="EMPLOYMENT EXPENSES","Selling Expenses",I1690="DIRECT EXPENSES","Selling Expenses",I1690="INDIRECT EXPENSES","Selling Expenses"),P1690="Parts",_xlfn.IFS(I1690="SALES","GP",I1690="SERVICE SALES","GP",I1690="PARTS SALES","GP",I1690="SERVICE COS","GP",I1690="PARTS COS","GP",I1690="SELLING EXPENSES","Selling Expenses",I1690="EMPLOYMENT EXPENSES","Selling Expenses",I1690="EMPLOYMENT EXPENSES","Selling Expenses",I1690="DIRECT EXPENSES","Selling Expenses",I1690="INDIRECT EXPENSES","Selling Expenses"))</f>
        <v>#N/A</v>
      </c>
    </row>
    <row r="1691" spans="1:18" x14ac:dyDescent="0.2">
      <c r="A1691" s="75">
        <v>7180</v>
      </c>
      <c r="B1691" s="76" t="s">
        <v>125</v>
      </c>
      <c r="C1691" s="76">
        <v>210</v>
      </c>
      <c r="D1691" s="76" t="s">
        <v>436</v>
      </c>
      <c r="E1691" s="76" t="s">
        <v>426</v>
      </c>
      <c r="F1691" s="77">
        <v>187772.32</v>
      </c>
      <c r="G1691" s="77">
        <v>20239.91</v>
      </c>
      <c r="H1691" s="77">
        <v>208012.23</v>
      </c>
      <c r="I1691" s="76" t="s">
        <v>968</v>
      </c>
      <c r="J1691" s="77">
        <v>17330.18</v>
      </c>
      <c r="K1691" s="78">
        <v>141585.60000000001</v>
      </c>
      <c r="M1691" s="79" t="str">
        <f t="shared" si="80"/>
        <v>210-7180</v>
      </c>
      <c r="N1691" s="79" t="str">
        <f t="shared" si="78"/>
        <v/>
      </c>
      <c r="O1691" s="79" t="str">
        <f t="shared" si="79"/>
        <v>210</v>
      </c>
      <c r="P1691" s="79" t="str">
        <f>IFERROR(VLOOKUP($M1691,Export!$P:$R,2,FALSE),"-")</f>
        <v>Admin &amp; Other</v>
      </c>
      <c r="Q1691" s="79" t="str">
        <f>IFERROR(VLOOKUP($M1691,Export!$P:$R,3,FALSE),"-")</f>
        <v xml:space="preserve">Admin &amp; OtherStaff Remuneration &amp; Benefits as % of Total Gross </v>
      </c>
      <c r="R1691" s="80" t="e" cm="1">
        <f t="array" ref="R1691">_xlfn.IFS(P1691="Service", _xlfn.IFS(I1691="SALES","GP",I1691="SERVICE SALES","GP",I1691="PARTS SALES","GP",I1691="SERVICE COS","GP",I1691="PARTS COS","GP",I1691="SELLING EXPENSES","Selling Expenses",I1691="EMPLOYMENT EXPENSES","Selling Expenses",I1691="EMPLOYMENT EXPENSES","Selling Expenses",I1691="DIRECT EXPENSES","Selling Expenses",I1691="INDIRECT EXPENSES","Selling Expenses"),P1691="Parts",_xlfn.IFS(I1691="SALES","GP",I1691="SERVICE SALES","GP",I1691="PARTS SALES","GP",I1691="SERVICE COS","GP",I1691="PARTS COS","GP",I1691="SELLING EXPENSES","Selling Expenses",I1691="EMPLOYMENT EXPENSES","Selling Expenses",I1691="EMPLOYMENT EXPENSES","Selling Expenses",I1691="DIRECT EXPENSES","Selling Expenses",I1691="INDIRECT EXPENSES","Selling Expenses"))</f>
        <v>#N/A</v>
      </c>
    </row>
    <row r="1692" spans="1:18" x14ac:dyDescent="0.2">
      <c r="A1692" s="75">
        <v>7180</v>
      </c>
      <c r="B1692" s="76" t="s">
        <v>125</v>
      </c>
      <c r="C1692" s="76">
        <v>220</v>
      </c>
      <c r="D1692" s="76" t="s">
        <v>437</v>
      </c>
      <c r="E1692" s="76" t="s">
        <v>426</v>
      </c>
      <c r="F1692" s="77">
        <v>187772.32</v>
      </c>
      <c r="G1692" s="77">
        <v>20239.91</v>
      </c>
      <c r="H1692" s="77">
        <v>208012.23</v>
      </c>
      <c r="I1692" s="76" t="s">
        <v>968</v>
      </c>
      <c r="J1692" s="77">
        <v>17330.18</v>
      </c>
      <c r="K1692" s="78">
        <v>130841.46</v>
      </c>
      <c r="M1692" s="79" t="str">
        <f t="shared" si="80"/>
        <v>220-7180</v>
      </c>
      <c r="N1692" s="79" t="str">
        <f t="shared" si="78"/>
        <v/>
      </c>
      <c r="O1692" s="79" t="str">
        <f t="shared" si="79"/>
        <v>220</v>
      </c>
      <c r="P1692" s="79" t="str">
        <f>IFERROR(VLOOKUP($M1692,Export!$P:$R,2,FALSE),"-")</f>
        <v>Admin &amp; Other</v>
      </c>
      <c r="Q1692" s="79" t="str">
        <f>IFERROR(VLOOKUP($M1692,Export!$P:$R,3,FALSE),"-")</f>
        <v xml:space="preserve">Admin &amp; OtherStaff Remuneration &amp; Benefits as % of Total Gross </v>
      </c>
      <c r="R1692" s="80" t="e" cm="1">
        <f t="array" ref="R1692">_xlfn.IFS(P1692="Service", _xlfn.IFS(I1692="SALES","GP",I1692="SERVICE SALES","GP",I1692="PARTS SALES","GP",I1692="SERVICE COS","GP",I1692="PARTS COS","GP",I1692="SELLING EXPENSES","Selling Expenses",I1692="EMPLOYMENT EXPENSES","Selling Expenses",I1692="EMPLOYMENT EXPENSES","Selling Expenses",I1692="DIRECT EXPENSES","Selling Expenses",I1692="INDIRECT EXPENSES","Selling Expenses"),P1692="Parts",_xlfn.IFS(I1692="SALES","GP",I1692="SERVICE SALES","GP",I1692="PARTS SALES","GP",I1692="SERVICE COS","GP",I1692="PARTS COS","GP",I1692="SELLING EXPENSES","Selling Expenses",I1692="EMPLOYMENT EXPENSES","Selling Expenses",I1692="EMPLOYMENT EXPENSES","Selling Expenses",I1692="DIRECT EXPENSES","Selling Expenses",I1692="INDIRECT EXPENSES","Selling Expenses"))</f>
        <v>#N/A</v>
      </c>
    </row>
    <row r="1693" spans="1:18" x14ac:dyDescent="0.2">
      <c r="A1693" s="75">
        <v>7180</v>
      </c>
      <c r="B1693" s="76" t="s">
        <v>125</v>
      </c>
      <c r="C1693" s="76">
        <v>230</v>
      </c>
      <c r="D1693" s="76" t="s">
        <v>438</v>
      </c>
      <c r="E1693" s="76" t="s">
        <v>426</v>
      </c>
      <c r="F1693" s="77">
        <v>46158.74</v>
      </c>
      <c r="G1693" s="77">
        <v>4620.57</v>
      </c>
      <c r="H1693" s="77">
        <v>50779.31</v>
      </c>
      <c r="I1693" s="76" t="s">
        <v>968</v>
      </c>
      <c r="J1693" s="77">
        <v>3710.01</v>
      </c>
      <c r="K1693" s="78">
        <v>49120.44</v>
      </c>
      <c r="M1693" s="79" t="str">
        <f t="shared" si="80"/>
        <v>230-7180</v>
      </c>
      <c r="N1693" s="79" t="str">
        <f t="shared" si="78"/>
        <v/>
      </c>
      <c r="O1693" s="79" t="str">
        <f t="shared" si="79"/>
        <v>230</v>
      </c>
      <c r="P1693" s="79" t="str">
        <f>IFERROR(VLOOKUP($M1693,Export!$P:$R,2,FALSE),"-")</f>
        <v>Admin &amp; Other</v>
      </c>
      <c r="Q1693" s="79" t="str">
        <f>IFERROR(VLOOKUP($M1693,Export!$P:$R,3,FALSE),"-")</f>
        <v xml:space="preserve">Admin &amp; OtherStaff Remuneration &amp; Benefits as % of Total Gross </v>
      </c>
      <c r="R1693" s="80" t="e" cm="1">
        <f t="array" ref="R1693">_xlfn.IFS(P1693="Service", _xlfn.IFS(I1693="SALES","GP",I1693="SERVICE SALES","GP",I1693="PARTS SALES","GP",I1693="SERVICE COS","GP",I1693="PARTS COS","GP",I1693="SELLING EXPENSES","Selling Expenses",I1693="EMPLOYMENT EXPENSES","Selling Expenses",I1693="EMPLOYMENT EXPENSES","Selling Expenses",I1693="DIRECT EXPENSES","Selling Expenses",I1693="INDIRECT EXPENSES","Selling Expenses"),P1693="Parts",_xlfn.IFS(I1693="SALES","GP",I1693="SERVICE SALES","GP",I1693="PARTS SALES","GP",I1693="SERVICE COS","GP",I1693="PARTS COS","GP",I1693="SELLING EXPENSES","Selling Expenses",I1693="EMPLOYMENT EXPENSES","Selling Expenses",I1693="EMPLOYMENT EXPENSES","Selling Expenses",I1693="DIRECT EXPENSES","Selling Expenses",I1693="INDIRECT EXPENSES","Selling Expenses"))</f>
        <v>#N/A</v>
      </c>
    </row>
    <row r="1694" spans="1:18" x14ac:dyDescent="0.2">
      <c r="A1694" s="75">
        <v>7180</v>
      </c>
      <c r="B1694" s="76" t="s">
        <v>125</v>
      </c>
      <c r="C1694" s="76">
        <v>240</v>
      </c>
      <c r="D1694" s="76" t="s">
        <v>439</v>
      </c>
      <c r="E1694" s="76" t="s">
        <v>426</v>
      </c>
      <c r="F1694" s="77">
        <v>146929.01999999999</v>
      </c>
      <c r="G1694" s="77">
        <v>17739.22</v>
      </c>
      <c r="H1694" s="77">
        <v>164668.24</v>
      </c>
      <c r="I1694" s="76" t="s">
        <v>968</v>
      </c>
      <c r="J1694" s="77">
        <v>11490.29</v>
      </c>
      <c r="K1694" s="78">
        <v>95802.12</v>
      </c>
      <c r="M1694" s="79" t="str">
        <f t="shared" si="80"/>
        <v>240-7180</v>
      </c>
      <c r="N1694" s="79" t="str">
        <f t="shared" si="78"/>
        <v/>
      </c>
      <c r="O1694" s="79" t="str">
        <f t="shared" si="79"/>
        <v>240</v>
      </c>
      <c r="P1694" s="79" t="str">
        <f>IFERROR(VLOOKUP($M1694,Export!$P:$R,2,FALSE),"-")</f>
        <v>Admin &amp; Other</v>
      </c>
      <c r="Q1694" s="79" t="str">
        <f>IFERROR(VLOOKUP($M1694,Export!$P:$R,3,FALSE),"-")</f>
        <v xml:space="preserve">Admin &amp; OtherStaff Remuneration &amp; Benefits as % of Total Gross </v>
      </c>
      <c r="R1694" s="80" t="e" cm="1">
        <f t="array" ref="R1694">_xlfn.IFS(P1694="Service", _xlfn.IFS(I1694="SALES","GP",I1694="SERVICE SALES","GP",I1694="PARTS SALES","GP",I1694="SERVICE COS","GP",I1694="PARTS COS","GP",I1694="SELLING EXPENSES","Selling Expenses",I1694="EMPLOYMENT EXPENSES","Selling Expenses",I1694="EMPLOYMENT EXPENSES","Selling Expenses",I1694="DIRECT EXPENSES","Selling Expenses",I1694="INDIRECT EXPENSES","Selling Expenses"),P1694="Parts",_xlfn.IFS(I1694="SALES","GP",I1694="SERVICE SALES","GP",I1694="PARTS SALES","GP",I1694="SERVICE COS","GP",I1694="PARTS COS","GP",I1694="SELLING EXPENSES","Selling Expenses",I1694="EMPLOYMENT EXPENSES","Selling Expenses",I1694="EMPLOYMENT EXPENSES","Selling Expenses",I1694="DIRECT EXPENSES","Selling Expenses",I1694="INDIRECT EXPENSES","Selling Expenses"))</f>
        <v>#N/A</v>
      </c>
    </row>
    <row r="1695" spans="1:18" x14ac:dyDescent="0.2">
      <c r="A1695" s="75">
        <v>7180</v>
      </c>
      <c r="B1695" s="76" t="s">
        <v>125</v>
      </c>
      <c r="C1695" s="76">
        <v>260</v>
      </c>
      <c r="D1695" s="76" t="s">
        <v>456</v>
      </c>
      <c r="E1695" s="76" t="s">
        <v>426</v>
      </c>
      <c r="F1695" s="77">
        <v>16708.400000000001</v>
      </c>
      <c r="G1695" s="77">
        <v>1540.19</v>
      </c>
      <c r="H1695" s="77">
        <v>18248.59</v>
      </c>
      <c r="I1695" s="76" t="s">
        <v>968</v>
      </c>
      <c r="J1695" s="77">
        <v>1236.67</v>
      </c>
      <c r="K1695" s="78">
        <v>18164.18</v>
      </c>
      <c r="M1695" s="79" t="str">
        <f t="shared" si="80"/>
        <v>260-7180</v>
      </c>
      <c r="N1695" s="79" t="str">
        <f t="shared" si="78"/>
        <v/>
      </c>
      <c r="O1695" s="79" t="str">
        <f t="shared" si="79"/>
        <v>260</v>
      </c>
      <c r="P1695" s="79" t="str">
        <f>IFERROR(VLOOKUP($M1695,Export!$P:$R,2,FALSE),"-")</f>
        <v>Admin &amp; Other</v>
      </c>
      <c r="Q1695" s="79" t="str">
        <f>IFERROR(VLOOKUP($M1695,Export!$P:$R,3,FALSE),"-")</f>
        <v xml:space="preserve">Admin &amp; OtherStaff Remuneration &amp; Benefits as % of Total Gross </v>
      </c>
      <c r="R1695" s="80" t="e" cm="1">
        <f t="array" ref="R1695">_xlfn.IFS(P1695="Service", _xlfn.IFS(I1695="SALES","GP",I1695="SERVICE SALES","GP",I1695="PARTS SALES","GP",I1695="SERVICE COS","GP",I1695="PARTS COS","GP",I1695="SELLING EXPENSES","Selling Expenses",I1695="EMPLOYMENT EXPENSES","Selling Expenses",I1695="EMPLOYMENT EXPENSES","Selling Expenses",I1695="DIRECT EXPENSES","Selling Expenses",I1695="INDIRECT EXPENSES","Selling Expenses"),P1695="Parts",_xlfn.IFS(I1695="SALES","GP",I1695="SERVICE SALES","GP",I1695="PARTS SALES","GP",I1695="SERVICE COS","GP",I1695="PARTS COS","GP",I1695="SELLING EXPENSES","Selling Expenses",I1695="EMPLOYMENT EXPENSES","Selling Expenses",I1695="EMPLOYMENT EXPENSES","Selling Expenses",I1695="DIRECT EXPENSES","Selling Expenses",I1695="INDIRECT EXPENSES","Selling Expenses"))</f>
        <v>#N/A</v>
      </c>
    </row>
    <row r="1696" spans="1:18" x14ac:dyDescent="0.2">
      <c r="A1696" s="75">
        <v>7180</v>
      </c>
      <c r="B1696" s="76" t="s">
        <v>125</v>
      </c>
      <c r="C1696" s="76">
        <v>330</v>
      </c>
      <c r="D1696" s="76" t="s">
        <v>457</v>
      </c>
      <c r="E1696" s="76" t="s">
        <v>426</v>
      </c>
      <c r="F1696" s="77">
        <v>16708.400000000001</v>
      </c>
      <c r="G1696" s="77">
        <v>1540.19</v>
      </c>
      <c r="H1696" s="77">
        <v>18248.59</v>
      </c>
      <c r="I1696" s="76" t="s">
        <v>968</v>
      </c>
      <c r="J1696" s="77">
        <v>1236.67</v>
      </c>
      <c r="K1696" s="78">
        <v>7420.02</v>
      </c>
      <c r="M1696" s="79" t="str">
        <f t="shared" si="80"/>
        <v>330-7180</v>
      </c>
      <c r="N1696" s="79" t="str">
        <f t="shared" si="78"/>
        <v/>
      </c>
      <c r="O1696" s="79" t="str">
        <f t="shared" si="79"/>
        <v>330</v>
      </c>
      <c r="P1696" s="79" t="str">
        <f>IFERROR(VLOOKUP($M1696,Export!$P:$R,2,FALSE),"-")</f>
        <v>Admin &amp; Other</v>
      </c>
      <c r="Q1696" s="79" t="str">
        <f>IFERROR(VLOOKUP($M1696,Export!$P:$R,3,FALSE),"-")</f>
        <v xml:space="preserve">Admin &amp; OtherStaff Remuneration &amp; Benefits as % of Total Gross </v>
      </c>
      <c r="R1696" s="80" t="e" cm="1">
        <f t="array" ref="R1696">_xlfn.IFS(P1696="Service", _xlfn.IFS(I1696="SALES","GP",I1696="SERVICE SALES","GP",I1696="PARTS SALES","GP",I1696="SERVICE COS","GP",I1696="PARTS COS","GP",I1696="SELLING EXPENSES","Selling Expenses",I1696="EMPLOYMENT EXPENSES","Selling Expenses",I1696="EMPLOYMENT EXPENSES","Selling Expenses",I1696="DIRECT EXPENSES","Selling Expenses",I1696="INDIRECT EXPENSES","Selling Expenses"),P1696="Parts",_xlfn.IFS(I1696="SALES","GP",I1696="SERVICE SALES","GP",I1696="PARTS SALES","GP",I1696="SERVICE COS","GP",I1696="PARTS COS","GP",I1696="SELLING EXPENSES","Selling Expenses",I1696="EMPLOYMENT EXPENSES","Selling Expenses",I1696="EMPLOYMENT EXPENSES","Selling Expenses",I1696="DIRECT EXPENSES","Selling Expenses",I1696="INDIRECT EXPENSES","Selling Expenses"))</f>
        <v>#N/A</v>
      </c>
    </row>
    <row r="1697" spans="1:18" x14ac:dyDescent="0.2">
      <c r="A1697" s="75">
        <v>7180</v>
      </c>
      <c r="B1697" s="76" t="s">
        <v>125</v>
      </c>
      <c r="C1697" s="76">
        <v>340</v>
      </c>
      <c r="D1697" s="76" t="s">
        <v>440</v>
      </c>
      <c r="E1697" s="76" t="s">
        <v>426</v>
      </c>
      <c r="F1697" s="77">
        <v>132230.19</v>
      </c>
      <c r="G1697" s="77">
        <v>15621.29</v>
      </c>
      <c r="H1697" s="77">
        <v>147851.48000000001</v>
      </c>
      <c r="I1697" s="76" t="s">
        <v>968</v>
      </c>
      <c r="J1697" s="77">
        <v>9852.64</v>
      </c>
      <c r="K1697" s="78">
        <v>72546.039999999994</v>
      </c>
      <c r="M1697" s="79" t="str">
        <f t="shared" si="80"/>
        <v>340-7180</v>
      </c>
      <c r="N1697" s="79" t="str">
        <f t="shared" si="78"/>
        <v/>
      </c>
      <c r="O1697" s="79" t="str">
        <f t="shared" si="79"/>
        <v>340</v>
      </c>
      <c r="P1697" s="79" t="str">
        <f>IFERROR(VLOOKUP($M1697,Export!$P:$R,2,FALSE),"-")</f>
        <v>Admin &amp; Other</v>
      </c>
      <c r="Q1697" s="79" t="str">
        <f>IFERROR(VLOOKUP($M1697,Export!$P:$R,3,FALSE),"-")</f>
        <v xml:space="preserve">Admin &amp; OtherStaff Remuneration &amp; Benefits as % of Total Gross </v>
      </c>
      <c r="R1697" s="80" t="e" cm="1">
        <f t="array" ref="R1697">_xlfn.IFS(P1697="Service", _xlfn.IFS(I1697="SALES","GP",I1697="SERVICE SALES","GP",I1697="PARTS SALES","GP",I1697="SERVICE COS","GP",I1697="PARTS COS","GP",I1697="SELLING EXPENSES","Selling Expenses",I1697="EMPLOYMENT EXPENSES","Selling Expenses",I1697="EMPLOYMENT EXPENSES","Selling Expenses",I1697="DIRECT EXPENSES","Selling Expenses",I1697="INDIRECT EXPENSES","Selling Expenses"),P1697="Parts",_xlfn.IFS(I1697="SALES","GP",I1697="SERVICE SALES","GP",I1697="PARTS SALES","GP",I1697="SERVICE COS","GP",I1697="PARTS COS","GP",I1697="SELLING EXPENSES","Selling Expenses",I1697="EMPLOYMENT EXPENSES","Selling Expenses",I1697="EMPLOYMENT EXPENSES","Selling Expenses",I1697="DIRECT EXPENSES","Selling Expenses",I1697="INDIRECT EXPENSES","Selling Expenses"))</f>
        <v>#N/A</v>
      </c>
    </row>
    <row r="1698" spans="1:18" x14ac:dyDescent="0.2">
      <c r="A1698" s="75">
        <v>7180</v>
      </c>
      <c r="B1698" s="76" t="s">
        <v>125</v>
      </c>
      <c r="C1698" s="76">
        <v>430</v>
      </c>
      <c r="D1698" s="76" t="s">
        <v>458</v>
      </c>
      <c r="E1698" s="76" t="s">
        <v>426</v>
      </c>
      <c r="F1698" s="77">
        <v>16708.400000000001</v>
      </c>
      <c r="G1698" s="77">
        <v>1540.19</v>
      </c>
      <c r="H1698" s="77">
        <v>18248.59</v>
      </c>
      <c r="I1698" s="76" t="s">
        <v>968</v>
      </c>
      <c r="J1698" s="77">
        <v>1236.67</v>
      </c>
      <c r="K1698" s="78">
        <v>7420.02</v>
      </c>
      <c r="M1698" s="79" t="str">
        <f t="shared" si="80"/>
        <v>430-7180</v>
      </c>
      <c r="N1698" s="79" t="str">
        <f t="shared" si="78"/>
        <v/>
      </c>
      <c r="O1698" s="79" t="str">
        <f t="shared" si="79"/>
        <v>430</v>
      </c>
      <c r="P1698" s="79" t="str">
        <f>IFERROR(VLOOKUP($M1698,Export!$P:$R,2,FALSE),"-")</f>
        <v>Admin &amp; Other</v>
      </c>
      <c r="Q1698" s="79" t="str">
        <f>IFERROR(VLOOKUP($M1698,Export!$P:$R,3,FALSE),"-")</f>
        <v xml:space="preserve">Admin &amp; OtherStaff Remuneration &amp; Benefits as % of Total Gross </v>
      </c>
      <c r="R1698" s="80" t="e" cm="1">
        <f t="array" ref="R1698">_xlfn.IFS(P1698="Service", _xlfn.IFS(I1698="SALES","GP",I1698="SERVICE SALES","GP",I1698="PARTS SALES","GP",I1698="SERVICE COS","GP",I1698="PARTS COS","GP",I1698="SELLING EXPENSES","Selling Expenses",I1698="EMPLOYMENT EXPENSES","Selling Expenses",I1698="EMPLOYMENT EXPENSES","Selling Expenses",I1698="DIRECT EXPENSES","Selling Expenses",I1698="INDIRECT EXPENSES","Selling Expenses"),P1698="Parts",_xlfn.IFS(I1698="SALES","GP",I1698="SERVICE SALES","GP",I1698="PARTS SALES","GP",I1698="SERVICE COS","GP",I1698="PARTS COS","GP",I1698="SELLING EXPENSES","Selling Expenses",I1698="EMPLOYMENT EXPENSES","Selling Expenses",I1698="EMPLOYMENT EXPENSES","Selling Expenses",I1698="DIRECT EXPENSES","Selling Expenses",I1698="INDIRECT EXPENSES","Selling Expenses"))</f>
        <v>#N/A</v>
      </c>
    </row>
    <row r="1699" spans="1:18" x14ac:dyDescent="0.2">
      <c r="A1699" s="75">
        <v>7180</v>
      </c>
      <c r="B1699" s="76" t="s">
        <v>125</v>
      </c>
      <c r="C1699" s="76">
        <v>440</v>
      </c>
      <c r="D1699" s="76" t="s">
        <v>441</v>
      </c>
      <c r="E1699" s="76" t="s">
        <v>426</v>
      </c>
      <c r="F1699" s="77">
        <v>97847.78</v>
      </c>
      <c r="G1699" s="77">
        <v>11747.95</v>
      </c>
      <c r="H1699" s="77">
        <v>109595.73</v>
      </c>
      <c r="I1699" s="76" t="s">
        <v>968</v>
      </c>
      <c r="J1699" s="77">
        <v>7122.97</v>
      </c>
      <c r="K1699" s="78">
        <v>42737.82</v>
      </c>
      <c r="M1699" s="79" t="str">
        <f t="shared" si="80"/>
        <v>440-7180</v>
      </c>
      <c r="N1699" s="79" t="str">
        <f t="shared" si="78"/>
        <v/>
      </c>
      <c r="O1699" s="79" t="str">
        <f t="shared" si="79"/>
        <v>440</v>
      </c>
      <c r="P1699" s="79" t="str">
        <f>IFERROR(VLOOKUP($M1699,Export!$P:$R,2,FALSE),"-")</f>
        <v>Admin &amp; Other</v>
      </c>
      <c r="Q1699" s="79" t="str">
        <f>IFERROR(VLOOKUP($M1699,Export!$P:$R,3,FALSE),"-")</f>
        <v xml:space="preserve">Admin &amp; OtherStaff Remuneration &amp; Benefits as % of Total Gross </v>
      </c>
      <c r="R1699" s="80" t="e" cm="1">
        <f t="array" ref="R1699">_xlfn.IFS(P1699="Service", _xlfn.IFS(I1699="SALES","GP",I1699="SERVICE SALES","GP",I1699="PARTS SALES","GP",I1699="SERVICE COS","GP",I1699="PARTS COS","GP",I1699="SELLING EXPENSES","Selling Expenses",I1699="EMPLOYMENT EXPENSES","Selling Expenses",I1699="EMPLOYMENT EXPENSES","Selling Expenses",I1699="DIRECT EXPENSES","Selling Expenses",I1699="INDIRECT EXPENSES","Selling Expenses"),P1699="Parts",_xlfn.IFS(I1699="SALES","GP",I1699="SERVICE SALES","GP",I1699="PARTS SALES","GP",I1699="SERVICE COS","GP",I1699="PARTS COS","GP",I1699="SELLING EXPENSES","Selling Expenses",I1699="EMPLOYMENT EXPENSES","Selling Expenses",I1699="EMPLOYMENT EXPENSES","Selling Expenses",I1699="DIRECT EXPENSES","Selling Expenses",I1699="INDIRECT EXPENSES","Selling Expenses"))</f>
        <v>#N/A</v>
      </c>
    </row>
    <row r="1700" spans="1:18" x14ac:dyDescent="0.2">
      <c r="A1700" s="75">
        <v>7180</v>
      </c>
      <c r="B1700" s="76" t="s">
        <v>125</v>
      </c>
      <c r="C1700" s="76">
        <v>935</v>
      </c>
      <c r="D1700" s="76" t="s">
        <v>442</v>
      </c>
      <c r="E1700" s="76" t="s">
        <v>426</v>
      </c>
      <c r="F1700" s="77">
        <v>46158.74</v>
      </c>
      <c r="G1700" s="77">
        <v>4620.57</v>
      </c>
      <c r="H1700" s="77">
        <v>50779.31</v>
      </c>
      <c r="I1700" s="76" t="s">
        <v>968</v>
      </c>
      <c r="J1700" s="77">
        <v>3710.01</v>
      </c>
      <c r="K1700" s="78">
        <v>35690.26</v>
      </c>
      <c r="M1700" s="79" t="str">
        <f t="shared" si="80"/>
        <v>935-7180</v>
      </c>
      <c r="N1700" s="79" t="str">
        <f t="shared" si="78"/>
        <v/>
      </c>
      <c r="O1700" s="79" t="str">
        <f t="shared" si="79"/>
        <v>935</v>
      </c>
      <c r="P1700" s="79" t="str">
        <f>IFERROR(VLOOKUP($M1700,Export!$P:$R,2,FALSE),"-")</f>
        <v>LEX Admin &amp; Other</v>
      </c>
      <c r="Q1700" s="79" t="str">
        <f>IFERROR(VLOOKUP($M1700,Export!$P:$R,3,FALSE),"-")</f>
        <v xml:space="preserve">LEX Admin &amp; OtherStaff Remuneration &amp; Benefits as % of Total Gross </v>
      </c>
      <c r="R1700" s="80" t="e" cm="1">
        <f t="array" ref="R1700">_xlfn.IFS(P1700="Service", _xlfn.IFS(I1700="SALES","GP",I1700="SERVICE SALES","GP",I1700="PARTS SALES","GP",I1700="SERVICE COS","GP",I1700="PARTS COS","GP",I1700="SELLING EXPENSES","Selling Expenses",I1700="EMPLOYMENT EXPENSES","Selling Expenses",I1700="EMPLOYMENT EXPENSES","Selling Expenses",I1700="DIRECT EXPENSES","Selling Expenses",I1700="INDIRECT EXPENSES","Selling Expenses"),P1700="Parts",_xlfn.IFS(I1700="SALES","GP",I1700="SERVICE SALES","GP",I1700="PARTS SALES","GP",I1700="SERVICE COS","GP",I1700="PARTS COS","GP",I1700="SELLING EXPENSES","Selling Expenses",I1700="EMPLOYMENT EXPENSES","Selling Expenses",I1700="EMPLOYMENT EXPENSES","Selling Expenses",I1700="DIRECT EXPENSES","Selling Expenses",I1700="INDIRECT EXPENSES","Selling Expenses"))</f>
        <v>#N/A</v>
      </c>
    </row>
    <row r="1701" spans="1:18" x14ac:dyDescent="0.2">
      <c r="A1701" s="75">
        <v>7180</v>
      </c>
      <c r="B1701" s="76" t="s">
        <v>125</v>
      </c>
      <c r="C1701" s="76">
        <v>936</v>
      </c>
      <c r="D1701" s="76" t="s">
        <v>443</v>
      </c>
      <c r="E1701" s="76" t="s">
        <v>426</v>
      </c>
      <c r="F1701" s="77">
        <v>16708.32</v>
      </c>
      <c r="G1701" s="77">
        <v>1540.16</v>
      </c>
      <c r="H1701" s="77">
        <v>18248.48</v>
      </c>
      <c r="I1701" s="76" t="s">
        <v>968</v>
      </c>
      <c r="J1701" s="77">
        <v>1236.67</v>
      </c>
      <c r="K1701" s="78">
        <v>18164.18</v>
      </c>
      <c r="M1701" s="79" t="str">
        <f t="shared" si="80"/>
        <v>936-7180</v>
      </c>
      <c r="N1701" s="79" t="str">
        <f t="shared" si="78"/>
        <v/>
      </c>
      <c r="O1701" s="79" t="str">
        <f t="shared" si="79"/>
        <v>936</v>
      </c>
      <c r="P1701" s="79" t="str">
        <f>IFERROR(VLOOKUP($M1701,Export!$P:$R,2,FALSE),"-")</f>
        <v>LEX Admin &amp; Other</v>
      </c>
      <c r="Q1701" s="79" t="str">
        <f>IFERROR(VLOOKUP($M1701,Export!$P:$R,3,FALSE),"-")</f>
        <v xml:space="preserve">LEX Admin &amp; OtherStaff Remuneration &amp; Benefits as % of Total Gross </v>
      </c>
      <c r="R1701" s="80" t="e" cm="1">
        <f t="array" ref="R1701">_xlfn.IFS(P1701="Service", _xlfn.IFS(I1701="SALES","GP",I1701="SERVICE SALES","GP",I1701="PARTS SALES","GP",I1701="SERVICE COS","GP",I1701="PARTS COS","GP",I1701="SELLING EXPENSES","Selling Expenses",I1701="EMPLOYMENT EXPENSES","Selling Expenses",I1701="EMPLOYMENT EXPENSES","Selling Expenses",I1701="DIRECT EXPENSES","Selling Expenses",I1701="INDIRECT EXPENSES","Selling Expenses"),P1701="Parts",_xlfn.IFS(I1701="SALES","GP",I1701="SERVICE SALES","GP",I1701="PARTS SALES","GP",I1701="SERVICE COS","GP",I1701="PARTS COS","GP",I1701="SELLING EXPENSES","Selling Expenses",I1701="EMPLOYMENT EXPENSES","Selling Expenses",I1701="EMPLOYMENT EXPENSES","Selling Expenses",I1701="DIRECT EXPENSES","Selling Expenses",I1701="INDIRECT EXPENSES","Selling Expenses"))</f>
        <v>#N/A</v>
      </c>
    </row>
    <row r="1702" spans="1:18" x14ac:dyDescent="0.2">
      <c r="A1702" s="75">
        <v>7305</v>
      </c>
      <c r="B1702" s="76" t="s">
        <v>970</v>
      </c>
      <c r="C1702" s="76">
        <v>120</v>
      </c>
      <c r="D1702" s="76" t="s">
        <v>431</v>
      </c>
      <c r="E1702" s="76" t="s">
        <v>426</v>
      </c>
      <c r="F1702" s="77">
        <v>0</v>
      </c>
      <c r="G1702" s="77">
        <v>0</v>
      </c>
      <c r="H1702" s="77">
        <v>0</v>
      </c>
      <c r="I1702" s="76" t="s">
        <v>968</v>
      </c>
      <c r="J1702" s="77">
        <v>0</v>
      </c>
      <c r="K1702" s="78">
        <v>1652.18</v>
      </c>
      <c r="M1702" s="79" t="str">
        <f t="shared" si="80"/>
        <v>120-7305</v>
      </c>
      <c r="N1702" s="79" t="str">
        <f t="shared" si="78"/>
        <v/>
      </c>
      <c r="O1702" s="79" t="str">
        <f t="shared" si="79"/>
        <v>120</v>
      </c>
      <c r="P1702" s="79" t="str">
        <f>IFERROR(VLOOKUP($M1702,Export!$P:$R,2,FALSE),"-")</f>
        <v>Admin &amp; Other</v>
      </c>
      <c r="Q1702" s="79" t="str">
        <f>IFERROR(VLOOKUP($M1702,Export!$P:$R,3,FALSE),"-")</f>
        <v>Admin &amp; OtherOther Overheads as % of Total Gross Profit</v>
      </c>
      <c r="R1702" s="80" t="e" cm="1">
        <f t="array" ref="R1702">_xlfn.IFS(P1702="Service", _xlfn.IFS(I1702="SALES","GP",I1702="SERVICE SALES","GP",I1702="PARTS SALES","GP",I1702="SERVICE COS","GP",I1702="PARTS COS","GP",I1702="SELLING EXPENSES","Selling Expenses",I1702="EMPLOYMENT EXPENSES","Selling Expenses",I1702="EMPLOYMENT EXPENSES","Selling Expenses",I1702="DIRECT EXPENSES","Selling Expenses",I1702="INDIRECT EXPENSES","Selling Expenses"),P1702="Parts",_xlfn.IFS(I1702="SALES","GP",I1702="SERVICE SALES","GP",I1702="PARTS SALES","GP",I1702="SERVICE COS","GP",I1702="PARTS COS","GP",I1702="SELLING EXPENSES","Selling Expenses",I1702="EMPLOYMENT EXPENSES","Selling Expenses",I1702="EMPLOYMENT EXPENSES","Selling Expenses",I1702="DIRECT EXPENSES","Selling Expenses",I1702="INDIRECT EXPENSES","Selling Expenses"))</f>
        <v>#N/A</v>
      </c>
    </row>
    <row r="1703" spans="1:18" x14ac:dyDescent="0.2">
      <c r="A1703" s="75">
        <v>7305</v>
      </c>
      <c r="B1703" s="76" t="s">
        <v>970</v>
      </c>
      <c r="C1703" s="76">
        <v>130</v>
      </c>
      <c r="D1703" s="76" t="s">
        <v>432</v>
      </c>
      <c r="E1703" s="76" t="s">
        <v>426</v>
      </c>
      <c r="F1703" s="77">
        <v>4500</v>
      </c>
      <c r="G1703" s="77">
        <v>500</v>
      </c>
      <c r="H1703" s="77">
        <v>5000</v>
      </c>
      <c r="I1703" s="76" t="s">
        <v>968</v>
      </c>
      <c r="J1703" s="77">
        <v>800</v>
      </c>
      <c r="K1703" s="78">
        <v>5600</v>
      </c>
      <c r="M1703" s="79" t="str">
        <f t="shared" si="80"/>
        <v>130-7305</v>
      </c>
      <c r="N1703" s="79" t="str">
        <f t="shared" si="78"/>
        <v/>
      </c>
      <c r="O1703" s="79" t="str">
        <f t="shared" si="79"/>
        <v>130</v>
      </c>
      <c r="P1703" s="79" t="str">
        <f>IFERROR(VLOOKUP($M1703,Export!$P:$R,2,FALSE),"-")</f>
        <v>Admin &amp; Other</v>
      </c>
      <c r="Q1703" s="79" t="str">
        <f>IFERROR(VLOOKUP($M1703,Export!$P:$R,3,FALSE),"-")</f>
        <v>Admin &amp; OtherOther Overheads as % of Total Gross Profit</v>
      </c>
      <c r="R1703" s="80" t="e" cm="1">
        <f t="array" ref="R1703">_xlfn.IFS(P1703="Service", _xlfn.IFS(I1703="SALES","GP",I1703="SERVICE SALES","GP",I1703="PARTS SALES","GP",I1703="SERVICE COS","GP",I1703="PARTS COS","GP",I1703="SELLING EXPENSES","Selling Expenses",I1703="EMPLOYMENT EXPENSES","Selling Expenses",I1703="EMPLOYMENT EXPENSES","Selling Expenses",I1703="DIRECT EXPENSES","Selling Expenses",I1703="INDIRECT EXPENSES","Selling Expenses"),P1703="Parts",_xlfn.IFS(I1703="SALES","GP",I1703="SERVICE SALES","GP",I1703="PARTS SALES","GP",I1703="SERVICE COS","GP",I1703="PARTS COS","GP",I1703="SELLING EXPENSES","Selling Expenses",I1703="EMPLOYMENT EXPENSES","Selling Expenses",I1703="EMPLOYMENT EXPENSES","Selling Expenses",I1703="DIRECT EXPENSES","Selling Expenses",I1703="INDIRECT EXPENSES","Selling Expenses"))</f>
        <v>#N/A</v>
      </c>
    </row>
    <row r="1704" spans="1:18" x14ac:dyDescent="0.2">
      <c r="A1704" s="75">
        <v>7305</v>
      </c>
      <c r="B1704" s="76" t="s">
        <v>970</v>
      </c>
      <c r="C1704" s="76">
        <v>140</v>
      </c>
      <c r="D1704" s="76" t="s">
        <v>433</v>
      </c>
      <c r="E1704" s="76" t="s">
        <v>426</v>
      </c>
      <c r="F1704" s="77">
        <v>6301.89</v>
      </c>
      <c r="G1704" s="77">
        <v>650</v>
      </c>
      <c r="H1704" s="77">
        <v>6951.89</v>
      </c>
      <c r="I1704" s="76" t="s">
        <v>968</v>
      </c>
      <c r="J1704" s="77">
        <v>1400</v>
      </c>
      <c r="K1704" s="78">
        <v>8900</v>
      </c>
      <c r="M1704" s="79" t="str">
        <f t="shared" si="80"/>
        <v>140-7305</v>
      </c>
      <c r="N1704" s="79" t="str">
        <f t="shared" si="78"/>
        <v/>
      </c>
      <c r="O1704" s="79" t="str">
        <f t="shared" si="79"/>
        <v>140</v>
      </c>
      <c r="P1704" s="79" t="str">
        <f>IFERROR(VLOOKUP($M1704,Export!$P:$R,2,FALSE),"-")</f>
        <v>Admin &amp; Other</v>
      </c>
      <c r="Q1704" s="79" t="str">
        <f>IFERROR(VLOOKUP($M1704,Export!$P:$R,3,FALSE),"-")</f>
        <v>Admin &amp; OtherOther Overheads as % of Total Gross Profit</v>
      </c>
      <c r="R1704" s="80" t="e" cm="1">
        <f t="array" ref="R1704">_xlfn.IFS(P1704="Service", _xlfn.IFS(I1704="SALES","GP",I1704="SERVICE SALES","GP",I1704="PARTS SALES","GP",I1704="SERVICE COS","GP",I1704="PARTS COS","GP",I1704="SELLING EXPENSES","Selling Expenses",I1704="EMPLOYMENT EXPENSES","Selling Expenses",I1704="EMPLOYMENT EXPENSES","Selling Expenses",I1704="DIRECT EXPENSES","Selling Expenses",I1704="INDIRECT EXPENSES","Selling Expenses"),P1704="Parts",_xlfn.IFS(I1704="SALES","GP",I1704="SERVICE SALES","GP",I1704="PARTS SALES","GP",I1704="SERVICE COS","GP",I1704="PARTS COS","GP",I1704="SELLING EXPENSES","Selling Expenses",I1704="EMPLOYMENT EXPENSES","Selling Expenses",I1704="EMPLOYMENT EXPENSES","Selling Expenses",I1704="DIRECT EXPENSES","Selling Expenses",I1704="INDIRECT EXPENSES","Selling Expenses"))</f>
        <v>#N/A</v>
      </c>
    </row>
    <row r="1705" spans="1:18" x14ac:dyDescent="0.2">
      <c r="A1705" s="75">
        <v>7305</v>
      </c>
      <c r="B1705" s="76" t="s">
        <v>970</v>
      </c>
      <c r="C1705" s="76">
        <v>142</v>
      </c>
      <c r="D1705" s="76" t="s">
        <v>454</v>
      </c>
      <c r="E1705" s="76" t="s">
        <v>426</v>
      </c>
      <c r="F1705" s="77">
        <v>350</v>
      </c>
      <c r="G1705" s="77">
        <v>50</v>
      </c>
      <c r="H1705" s="77">
        <v>400</v>
      </c>
      <c r="I1705" s="76" t="s">
        <v>968</v>
      </c>
      <c r="J1705" s="77">
        <v>0</v>
      </c>
      <c r="K1705" s="78">
        <v>0</v>
      </c>
      <c r="M1705" s="79" t="str">
        <f t="shared" si="80"/>
        <v>142-7305</v>
      </c>
      <c r="N1705" s="79" t="str">
        <f t="shared" si="78"/>
        <v/>
      </c>
      <c r="O1705" s="79" t="str">
        <f t="shared" si="79"/>
        <v>142</v>
      </c>
      <c r="P1705" s="79" t="str">
        <f>IFERROR(VLOOKUP($M1705,Export!$P:$R,2,FALSE),"-")</f>
        <v>LEX Admin &amp; Other</v>
      </c>
      <c r="Q1705" s="79" t="str">
        <f>IFERROR(VLOOKUP($M1705,Export!$P:$R,3,FALSE),"-")</f>
        <v>LEX Admin &amp; OtherOther Overheads as % of Total Gross Profit</v>
      </c>
      <c r="R1705" s="80" t="e" cm="1">
        <f t="array" ref="R1705">_xlfn.IFS(P1705="Service", _xlfn.IFS(I1705="SALES","GP",I1705="SERVICE SALES","GP",I1705="PARTS SALES","GP",I1705="SERVICE COS","GP",I1705="PARTS COS","GP",I1705="SELLING EXPENSES","Selling Expenses",I1705="EMPLOYMENT EXPENSES","Selling Expenses",I1705="EMPLOYMENT EXPENSES","Selling Expenses",I1705="DIRECT EXPENSES","Selling Expenses",I1705="INDIRECT EXPENSES","Selling Expenses"),P1705="Parts",_xlfn.IFS(I1705="SALES","GP",I1705="SERVICE SALES","GP",I1705="PARTS SALES","GP",I1705="SERVICE COS","GP",I1705="PARTS COS","GP",I1705="SELLING EXPENSES","Selling Expenses",I1705="EMPLOYMENT EXPENSES","Selling Expenses",I1705="EMPLOYMENT EXPENSES","Selling Expenses",I1705="DIRECT EXPENSES","Selling Expenses",I1705="INDIRECT EXPENSES","Selling Expenses"))</f>
        <v>#N/A</v>
      </c>
    </row>
    <row r="1706" spans="1:18" x14ac:dyDescent="0.2">
      <c r="A1706" s="75">
        <v>7305</v>
      </c>
      <c r="B1706" s="76" t="s">
        <v>970</v>
      </c>
      <c r="C1706" s="76">
        <v>147</v>
      </c>
      <c r="D1706" s="76" t="s">
        <v>699</v>
      </c>
      <c r="E1706" s="76" t="s">
        <v>426</v>
      </c>
      <c r="F1706" s="77">
        <v>100</v>
      </c>
      <c r="G1706" s="77">
        <v>0</v>
      </c>
      <c r="H1706" s="77">
        <v>100</v>
      </c>
      <c r="I1706" s="76" t="s">
        <v>968</v>
      </c>
      <c r="J1706" s="77">
        <v>100</v>
      </c>
      <c r="K1706" s="78">
        <v>800</v>
      </c>
      <c r="M1706" s="79" t="str">
        <f t="shared" si="80"/>
        <v>147-7305</v>
      </c>
      <c r="N1706" s="79" t="str">
        <f t="shared" si="78"/>
        <v/>
      </c>
      <c r="O1706" s="79" t="str">
        <f t="shared" si="79"/>
        <v>147</v>
      </c>
      <c r="P1706" s="79" t="str">
        <f>IFERROR(VLOOKUP($M1706,Export!$P:$R,2,FALSE),"-")</f>
        <v>Admin &amp; Other</v>
      </c>
      <c r="Q1706" s="79" t="str">
        <f>IFERROR(VLOOKUP($M1706,Export!$P:$R,3,FALSE),"-")</f>
        <v>Admin &amp; OtherOther Overheads as % of Total Gross Profit</v>
      </c>
      <c r="R1706" s="80" t="e" cm="1">
        <f t="array" ref="R1706">_xlfn.IFS(P1706="Service", _xlfn.IFS(I1706="SALES","GP",I1706="SERVICE SALES","GP",I1706="PARTS SALES","GP",I1706="SERVICE COS","GP",I1706="PARTS COS","GP",I1706="SELLING EXPENSES","Selling Expenses",I1706="EMPLOYMENT EXPENSES","Selling Expenses",I1706="EMPLOYMENT EXPENSES","Selling Expenses",I1706="DIRECT EXPENSES","Selling Expenses",I1706="INDIRECT EXPENSES","Selling Expenses"),P1706="Parts",_xlfn.IFS(I1706="SALES","GP",I1706="SERVICE SALES","GP",I1706="PARTS SALES","GP",I1706="SERVICE COS","GP",I1706="PARTS COS","GP",I1706="SELLING EXPENSES","Selling Expenses",I1706="EMPLOYMENT EXPENSES","Selling Expenses",I1706="EMPLOYMENT EXPENSES","Selling Expenses",I1706="DIRECT EXPENSES","Selling Expenses",I1706="INDIRECT EXPENSES","Selling Expenses"))</f>
        <v>#N/A</v>
      </c>
    </row>
    <row r="1707" spans="1:18" x14ac:dyDescent="0.2">
      <c r="A1707" s="75">
        <v>7305</v>
      </c>
      <c r="B1707" s="76" t="s">
        <v>970</v>
      </c>
      <c r="C1707" s="76">
        <v>230</v>
      </c>
      <c r="D1707" s="76" t="s">
        <v>438</v>
      </c>
      <c r="E1707" s="76" t="s">
        <v>426</v>
      </c>
      <c r="F1707" s="77">
        <v>4500</v>
      </c>
      <c r="G1707" s="77">
        <v>500</v>
      </c>
      <c r="H1707" s="77">
        <v>5000</v>
      </c>
      <c r="I1707" s="76" t="s">
        <v>968</v>
      </c>
      <c r="J1707" s="77">
        <v>800</v>
      </c>
      <c r="K1707" s="78">
        <v>5600</v>
      </c>
      <c r="M1707" s="79" t="str">
        <f t="shared" si="80"/>
        <v>230-7305</v>
      </c>
      <c r="N1707" s="79" t="str">
        <f t="shared" si="78"/>
        <v/>
      </c>
      <c r="O1707" s="79" t="str">
        <f t="shared" si="79"/>
        <v>230</v>
      </c>
      <c r="P1707" s="79" t="str">
        <f>IFERROR(VLOOKUP($M1707,Export!$P:$R,2,FALSE),"-")</f>
        <v>Admin &amp; Other</v>
      </c>
      <c r="Q1707" s="79" t="str">
        <f>IFERROR(VLOOKUP($M1707,Export!$P:$R,3,FALSE),"-")</f>
        <v>Admin &amp; OtherOther Overheads as % of Total Gross Profit</v>
      </c>
      <c r="R1707" s="80" t="e" cm="1">
        <f t="array" ref="R1707">_xlfn.IFS(P1707="Service", _xlfn.IFS(I1707="SALES","GP",I1707="SERVICE SALES","GP",I1707="PARTS SALES","GP",I1707="SERVICE COS","GP",I1707="PARTS COS","GP",I1707="SELLING EXPENSES","Selling Expenses",I1707="EMPLOYMENT EXPENSES","Selling Expenses",I1707="EMPLOYMENT EXPENSES","Selling Expenses",I1707="DIRECT EXPENSES","Selling Expenses",I1707="INDIRECT EXPENSES","Selling Expenses"),P1707="Parts",_xlfn.IFS(I1707="SALES","GP",I1707="SERVICE SALES","GP",I1707="PARTS SALES","GP",I1707="SERVICE COS","GP",I1707="PARTS COS","GP",I1707="SELLING EXPENSES","Selling Expenses",I1707="EMPLOYMENT EXPENSES","Selling Expenses",I1707="EMPLOYMENT EXPENSES","Selling Expenses",I1707="DIRECT EXPENSES","Selling Expenses",I1707="INDIRECT EXPENSES","Selling Expenses"))</f>
        <v>#N/A</v>
      </c>
    </row>
    <row r="1708" spans="1:18" x14ac:dyDescent="0.2">
      <c r="A1708" s="75">
        <v>7305</v>
      </c>
      <c r="B1708" s="76" t="s">
        <v>970</v>
      </c>
      <c r="C1708" s="76">
        <v>240</v>
      </c>
      <c r="D1708" s="76" t="s">
        <v>439</v>
      </c>
      <c r="E1708" s="76" t="s">
        <v>426</v>
      </c>
      <c r="F1708" s="77">
        <v>6400.75</v>
      </c>
      <c r="G1708" s="77">
        <v>700</v>
      </c>
      <c r="H1708" s="77">
        <v>7100.75</v>
      </c>
      <c r="I1708" s="76" t="s">
        <v>968</v>
      </c>
      <c r="J1708" s="77">
        <v>1400</v>
      </c>
      <c r="K1708" s="78">
        <v>9100</v>
      </c>
      <c r="M1708" s="79" t="str">
        <f t="shared" si="80"/>
        <v>240-7305</v>
      </c>
      <c r="N1708" s="79" t="str">
        <f t="shared" si="78"/>
        <v/>
      </c>
      <c r="O1708" s="79" t="str">
        <f t="shared" si="79"/>
        <v>240</v>
      </c>
      <c r="P1708" s="79" t="str">
        <f>IFERROR(VLOOKUP($M1708,Export!$P:$R,2,FALSE),"-")</f>
        <v>Admin &amp; Other</v>
      </c>
      <c r="Q1708" s="79" t="str">
        <f>IFERROR(VLOOKUP($M1708,Export!$P:$R,3,FALSE),"-")</f>
        <v>Admin &amp; OtherOther Overheads as % of Total Gross Profit</v>
      </c>
      <c r="R1708" s="80" t="e" cm="1">
        <f t="array" ref="R1708">_xlfn.IFS(P1708="Service", _xlfn.IFS(I1708="SALES","GP",I1708="SERVICE SALES","GP",I1708="PARTS SALES","GP",I1708="SERVICE COS","GP",I1708="PARTS COS","GP",I1708="SELLING EXPENSES","Selling Expenses",I1708="EMPLOYMENT EXPENSES","Selling Expenses",I1708="EMPLOYMENT EXPENSES","Selling Expenses",I1708="DIRECT EXPENSES","Selling Expenses",I1708="INDIRECT EXPENSES","Selling Expenses"),P1708="Parts",_xlfn.IFS(I1708="SALES","GP",I1708="SERVICE SALES","GP",I1708="PARTS SALES","GP",I1708="SERVICE COS","GP",I1708="PARTS COS","GP",I1708="SELLING EXPENSES","Selling Expenses",I1708="EMPLOYMENT EXPENSES","Selling Expenses",I1708="EMPLOYMENT EXPENSES","Selling Expenses",I1708="DIRECT EXPENSES","Selling Expenses",I1708="INDIRECT EXPENSES","Selling Expenses"))</f>
        <v>#N/A</v>
      </c>
    </row>
    <row r="1709" spans="1:18" x14ac:dyDescent="0.2">
      <c r="A1709" s="75">
        <v>7305</v>
      </c>
      <c r="B1709" s="76" t="s">
        <v>970</v>
      </c>
      <c r="C1709" s="76">
        <v>340</v>
      </c>
      <c r="D1709" s="76" t="s">
        <v>440</v>
      </c>
      <c r="E1709" s="76" t="s">
        <v>426</v>
      </c>
      <c r="F1709" s="77">
        <v>2655.55</v>
      </c>
      <c r="G1709" s="77">
        <v>100</v>
      </c>
      <c r="H1709" s="77">
        <v>2755.55</v>
      </c>
      <c r="I1709" s="76" t="s">
        <v>968</v>
      </c>
      <c r="J1709" s="77">
        <v>200</v>
      </c>
      <c r="K1709" s="78">
        <v>1300</v>
      </c>
      <c r="M1709" s="79" t="str">
        <f t="shared" si="80"/>
        <v>340-7305</v>
      </c>
      <c r="N1709" s="79" t="str">
        <f t="shared" si="78"/>
        <v/>
      </c>
      <c r="O1709" s="79" t="str">
        <f t="shared" si="79"/>
        <v>340</v>
      </c>
      <c r="P1709" s="79" t="str">
        <f>IFERROR(VLOOKUP($M1709,Export!$P:$R,2,FALSE),"-")</f>
        <v>Admin &amp; Other</v>
      </c>
      <c r="Q1709" s="79" t="str">
        <f>IFERROR(VLOOKUP($M1709,Export!$P:$R,3,FALSE),"-")</f>
        <v>Admin &amp; OtherOther Overheads as % of Total Gross Profit</v>
      </c>
      <c r="R1709" s="80" t="e" cm="1">
        <f t="array" ref="R1709">_xlfn.IFS(P1709="Service", _xlfn.IFS(I1709="SALES","GP",I1709="SERVICE SALES","GP",I1709="PARTS SALES","GP",I1709="SERVICE COS","GP",I1709="PARTS COS","GP",I1709="SELLING EXPENSES","Selling Expenses",I1709="EMPLOYMENT EXPENSES","Selling Expenses",I1709="EMPLOYMENT EXPENSES","Selling Expenses",I1709="DIRECT EXPENSES","Selling Expenses",I1709="INDIRECT EXPENSES","Selling Expenses"),P1709="Parts",_xlfn.IFS(I1709="SALES","GP",I1709="SERVICE SALES","GP",I1709="PARTS SALES","GP",I1709="SERVICE COS","GP",I1709="PARTS COS","GP",I1709="SELLING EXPENSES","Selling Expenses",I1709="EMPLOYMENT EXPENSES","Selling Expenses",I1709="EMPLOYMENT EXPENSES","Selling Expenses",I1709="DIRECT EXPENSES","Selling Expenses",I1709="INDIRECT EXPENSES","Selling Expenses"))</f>
        <v>#N/A</v>
      </c>
    </row>
    <row r="1710" spans="1:18" x14ac:dyDescent="0.2">
      <c r="A1710" s="75">
        <v>7305</v>
      </c>
      <c r="B1710" s="76" t="s">
        <v>970</v>
      </c>
      <c r="C1710" s="76">
        <v>935</v>
      </c>
      <c r="D1710" s="76" t="s">
        <v>442</v>
      </c>
      <c r="E1710" s="76" t="s">
        <v>426</v>
      </c>
      <c r="F1710" s="77">
        <v>450</v>
      </c>
      <c r="G1710" s="77">
        <v>50</v>
      </c>
      <c r="H1710" s="77">
        <v>500</v>
      </c>
      <c r="I1710" s="76" t="s">
        <v>968</v>
      </c>
      <c r="J1710" s="77">
        <v>100</v>
      </c>
      <c r="K1710" s="78">
        <v>1000</v>
      </c>
      <c r="M1710" s="79" t="str">
        <f t="shared" si="80"/>
        <v>935-7305</v>
      </c>
      <c r="N1710" s="79" t="str">
        <f t="shared" si="78"/>
        <v/>
      </c>
      <c r="O1710" s="79" t="str">
        <f t="shared" si="79"/>
        <v>935</v>
      </c>
      <c r="P1710" s="79" t="str">
        <f>IFERROR(VLOOKUP($M1710,Export!$P:$R,2,FALSE),"-")</f>
        <v>LEX Admin &amp; Other</v>
      </c>
      <c r="Q1710" s="79" t="str">
        <f>IFERROR(VLOOKUP($M1710,Export!$P:$R,3,FALSE),"-")</f>
        <v>LEX Admin &amp; OtherOther Overheads as % of Total Gross Profit</v>
      </c>
      <c r="R1710" s="80" t="e" cm="1">
        <f t="array" ref="R1710">_xlfn.IFS(P1710="Service", _xlfn.IFS(I1710="SALES","GP",I1710="SERVICE SALES","GP",I1710="PARTS SALES","GP",I1710="SERVICE COS","GP",I1710="PARTS COS","GP",I1710="SELLING EXPENSES","Selling Expenses",I1710="EMPLOYMENT EXPENSES","Selling Expenses",I1710="EMPLOYMENT EXPENSES","Selling Expenses",I1710="DIRECT EXPENSES","Selling Expenses",I1710="INDIRECT EXPENSES","Selling Expenses"),P1710="Parts",_xlfn.IFS(I1710="SALES","GP",I1710="SERVICE SALES","GP",I1710="PARTS SALES","GP",I1710="SERVICE COS","GP",I1710="PARTS COS","GP",I1710="SELLING EXPENSES","Selling Expenses",I1710="EMPLOYMENT EXPENSES","Selling Expenses",I1710="EMPLOYMENT EXPENSES","Selling Expenses",I1710="DIRECT EXPENSES","Selling Expenses",I1710="INDIRECT EXPENSES","Selling Expenses"))</f>
        <v>#N/A</v>
      </c>
    </row>
    <row r="1711" spans="1:18" x14ac:dyDescent="0.2">
      <c r="A1711" s="75">
        <v>7305</v>
      </c>
      <c r="B1711" s="76" t="s">
        <v>970</v>
      </c>
      <c r="C1711" s="76">
        <v>936</v>
      </c>
      <c r="D1711" s="76" t="s">
        <v>443</v>
      </c>
      <c r="E1711" s="76" t="s">
        <v>426</v>
      </c>
      <c r="F1711" s="77">
        <v>450</v>
      </c>
      <c r="G1711" s="77">
        <v>50</v>
      </c>
      <c r="H1711" s="77">
        <v>500</v>
      </c>
      <c r="I1711" s="76" t="s">
        <v>968</v>
      </c>
      <c r="J1711" s="77">
        <v>0</v>
      </c>
      <c r="K1711" s="78">
        <v>0</v>
      </c>
      <c r="M1711" s="79" t="str">
        <f t="shared" si="80"/>
        <v>936-7305</v>
      </c>
      <c r="N1711" s="79" t="str">
        <f t="shared" si="78"/>
        <v/>
      </c>
      <c r="O1711" s="79" t="str">
        <f t="shared" si="79"/>
        <v>936</v>
      </c>
      <c r="P1711" s="79" t="str">
        <f>IFERROR(VLOOKUP($M1711,Export!$P:$R,2,FALSE),"-")</f>
        <v>LEX Admin &amp; Other</v>
      </c>
      <c r="Q1711" s="79" t="str">
        <f>IFERROR(VLOOKUP($M1711,Export!$P:$R,3,FALSE),"-")</f>
        <v>LEX Admin &amp; OtherOther Overheads as % of Total Gross Profit</v>
      </c>
      <c r="R1711" s="80" t="e" cm="1">
        <f t="array" ref="R1711">_xlfn.IFS(P1711="Service", _xlfn.IFS(I1711="SALES","GP",I1711="SERVICE SALES","GP",I1711="PARTS SALES","GP",I1711="SERVICE COS","GP",I1711="PARTS COS","GP",I1711="SELLING EXPENSES","Selling Expenses",I1711="EMPLOYMENT EXPENSES","Selling Expenses",I1711="EMPLOYMENT EXPENSES","Selling Expenses",I1711="DIRECT EXPENSES","Selling Expenses",I1711="INDIRECT EXPENSES","Selling Expenses"),P1711="Parts",_xlfn.IFS(I1711="SALES","GP",I1711="SERVICE SALES","GP",I1711="PARTS SALES","GP",I1711="SERVICE COS","GP",I1711="PARTS COS","GP",I1711="SELLING EXPENSES","Selling Expenses",I1711="EMPLOYMENT EXPENSES","Selling Expenses",I1711="EMPLOYMENT EXPENSES","Selling Expenses",I1711="DIRECT EXPENSES","Selling Expenses",I1711="INDIRECT EXPENSES","Selling Expenses"))</f>
        <v>#N/A</v>
      </c>
    </row>
    <row r="1712" spans="1:18" x14ac:dyDescent="0.2">
      <c r="A1712" s="75">
        <v>7390</v>
      </c>
      <c r="B1712" s="76" t="s">
        <v>971</v>
      </c>
      <c r="C1712" s="76">
        <v>110</v>
      </c>
      <c r="D1712" s="76" t="s">
        <v>430</v>
      </c>
      <c r="E1712" s="76" t="s">
        <v>426</v>
      </c>
      <c r="F1712" s="77">
        <v>88069.2</v>
      </c>
      <c r="G1712" s="77">
        <v>8831.84</v>
      </c>
      <c r="H1712" s="77">
        <v>96901.04</v>
      </c>
      <c r="I1712" s="76" t="s">
        <v>968</v>
      </c>
      <c r="J1712" s="77">
        <v>2308.17</v>
      </c>
      <c r="K1712" s="78">
        <v>22347.99</v>
      </c>
      <c r="M1712" s="79" t="str">
        <f t="shared" si="80"/>
        <v>110-7390</v>
      </c>
      <c r="N1712" s="79" t="str">
        <f t="shared" si="78"/>
        <v/>
      </c>
      <c r="O1712" s="79" t="str">
        <f t="shared" si="79"/>
        <v>110</v>
      </c>
      <c r="P1712" s="79" t="str">
        <f>IFERROR(VLOOKUP($M1712,Export!$P:$R,2,FALSE),"-")</f>
        <v>New Vehicle</v>
      </c>
      <c r="Q1712" s="79" t="str">
        <f>IFERROR(VLOOKUP($M1712,Export!$P:$R,3,FALSE),"-")</f>
        <v>New VehicleAdvertising p.u.</v>
      </c>
      <c r="R1712" s="80" t="e" cm="1">
        <f t="array" ref="R1712">_xlfn.IFS(P1712="Service", _xlfn.IFS(I1712="SALES","GP",I1712="SERVICE SALES","GP",I1712="PARTS SALES","GP",I1712="SERVICE COS","GP",I1712="PARTS COS","GP",I1712="SELLING EXPENSES","Selling Expenses",I1712="EMPLOYMENT EXPENSES","Selling Expenses",I1712="EMPLOYMENT EXPENSES","Selling Expenses",I1712="DIRECT EXPENSES","Selling Expenses",I1712="INDIRECT EXPENSES","Selling Expenses"),P1712="Parts",_xlfn.IFS(I1712="SALES","GP",I1712="SERVICE SALES","GP",I1712="PARTS SALES","GP",I1712="SERVICE COS","GP",I1712="PARTS COS","GP",I1712="SELLING EXPENSES","Selling Expenses",I1712="EMPLOYMENT EXPENSES","Selling Expenses",I1712="EMPLOYMENT EXPENSES","Selling Expenses",I1712="DIRECT EXPENSES","Selling Expenses",I1712="INDIRECT EXPENSES","Selling Expenses"))</f>
        <v>#N/A</v>
      </c>
    </row>
    <row r="1713" spans="1:18" x14ac:dyDescent="0.2">
      <c r="A1713" s="75">
        <v>7390</v>
      </c>
      <c r="B1713" s="76" t="s">
        <v>971</v>
      </c>
      <c r="C1713" s="76">
        <v>112</v>
      </c>
      <c r="D1713" s="76" t="s">
        <v>349</v>
      </c>
      <c r="E1713" s="76" t="s">
        <v>426</v>
      </c>
      <c r="F1713" s="77">
        <v>98657.21</v>
      </c>
      <c r="G1713" s="77">
        <v>7917.74</v>
      </c>
      <c r="H1713" s="77">
        <v>106574.95</v>
      </c>
      <c r="I1713" s="76" t="s">
        <v>968</v>
      </c>
      <c r="J1713" s="77">
        <v>1105.23</v>
      </c>
      <c r="K1713" s="78">
        <v>15111.8</v>
      </c>
      <c r="M1713" s="79" t="str">
        <f t="shared" si="80"/>
        <v>112-7390</v>
      </c>
      <c r="N1713" s="79" t="str">
        <f t="shared" si="78"/>
        <v/>
      </c>
      <c r="O1713" s="79" t="str">
        <f t="shared" si="79"/>
        <v>112</v>
      </c>
      <c r="P1713" s="79" t="str">
        <f>IFERROR(VLOOKUP($M1713,Export!$P:$R,2,FALSE),"-")</f>
        <v>LEX New Vehicle</v>
      </c>
      <c r="Q1713" s="79" t="str">
        <f>IFERROR(VLOOKUP($M1713,Export!$P:$R,3,FALSE),"-")</f>
        <v>LEX New VehicleAdvertising p.u.</v>
      </c>
      <c r="R1713" s="80" t="e" cm="1">
        <f t="array" ref="R1713">_xlfn.IFS(P1713="Service", _xlfn.IFS(I1713="SALES","GP",I1713="SERVICE SALES","GP",I1713="PARTS SALES","GP",I1713="SERVICE COS","GP",I1713="PARTS COS","GP",I1713="SELLING EXPENSES","Selling Expenses",I1713="EMPLOYMENT EXPENSES","Selling Expenses",I1713="EMPLOYMENT EXPENSES","Selling Expenses",I1713="DIRECT EXPENSES","Selling Expenses",I1713="INDIRECT EXPENSES","Selling Expenses"),P1713="Parts",_xlfn.IFS(I1713="SALES","GP",I1713="SERVICE SALES","GP",I1713="PARTS SALES","GP",I1713="SERVICE COS","GP",I1713="PARTS COS","GP",I1713="SELLING EXPENSES","Selling Expenses",I1713="EMPLOYMENT EXPENSES","Selling Expenses",I1713="EMPLOYMENT EXPENSES","Selling Expenses",I1713="DIRECT EXPENSES","Selling Expenses",I1713="INDIRECT EXPENSES","Selling Expenses"))</f>
        <v>#N/A</v>
      </c>
    </row>
    <row r="1714" spans="1:18" x14ac:dyDescent="0.2">
      <c r="A1714" s="75">
        <v>7390</v>
      </c>
      <c r="B1714" s="76" t="s">
        <v>971</v>
      </c>
      <c r="C1714" s="76">
        <v>120</v>
      </c>
      <c r="D1714" s="76" t="s">
        <v>431</v>
      </c>
      <c r="E1714" s="76" t="s">
        <v>426</v>
      </c>
      <c r="F1714" s="77">
        <v>54480.75</v>
      </c>
      <c r="G1714" s="77">
        <v>6849.6</v>
      </c>
      <c r="H1714" s="77">
        <v>61330.35</v>
      </c>
      <c r="I1714" s="76" t="s">
        <v>968</v>
      </c>
      <c r="J1714" s="77">
        <v>684.41</v>
      </c>
      <c r="K1714" s="78">
        <v>6887.28</v>
      </c>
      <c r="M1714" s="79" t="str">
        <f t="shared" si="80"/>
        <v>120-7390</v>
      </c>
      <c r="N1714" s="79" t="str">
        <f t="shared" si="78"/>
        <v/>
      </c>
      <c r="O1714" s="79" t="str">
        <f t="shared" si="79"/>
        <v>120</v>
      </c>
      <c r="P1714" s="79" t="str">
        <f>IFERROR(VLOOKUP($M1714,Export!$P:$R,2,FALSE),"-")</f>
        <v>Used Vehicle</v>
      </c>
      <c r="Q1714" s="79" t="str">
        <f>IFERROR(VLOOKUP($M1714,Export!$P:$R,3,FALSE),"-")</f>
        <v>Used VehicleAdvertising per retail</v>
      </c>
      <c r="R1714" s="80" t="e" cm="1">
        <f t="array" ref="R1714">_xlfn.IFS(P1714="Service", _xlfn.IFS(I1714="SALES","GP",I1714="SERVICE SALES","GP",I1714="PARTS SALES","GP",I1714="SERVICE COS","GP",I1714="PARTS COS","GP",I1714="SELLING EXPENSES","Selling Expenses",I1714="EMPLOYMENT EXPENSES","Selling Expenses",I1714="EMPLOYMENT EXPENSES","Selling Expenses",I1714="DIRECT EXPENSES","Selling Expenses",I1714="INDIRECT EXPENSES","Selling Expenses"),P1714="Parts",_xlfn.IFS(I1714="SALES","GP",I1714="SERVICE SALES","GP",I1714="PARTS SALES","GP",I1714="SERVICE COS","GP",I1714="PARTS COS","GP",I1714="SELLING EXPENSES","Selling Expenses",I1714="EMPLOYMENT EXPENSES","Selling Expenses",I1714="EMPLOYMENT EXPENSES","Selling Expenses",I1714="DIRECT EXPENSES","Selling Expenses",I1714="INDIRECT EXPENSES","Selling Expenses"))</f>
        <v>#N/A</v>
      </c>
    </row>
    <row r="1715" spans="1:18" x14ac:dyDescent="0.2">
      <c r="A1715" s="75">
        <v>7390</v>
      </c>
      <c r="B1715" s="76" t="s">
        <v>971</v>
      </c>
      <c r="C1715" s="76">
        <v>121</v>
      </c>
      <c r="D1715" s="76" t="s">
        <v>449</v>
      </c>
      <c r="E1715" s="76" t="s">
        <v>426</v>
      </c>
      <c r="F1715" s="77">
        <v>454.93</v>
      </c>
      <c r="G1715" s="77">
        <v>0</v>
      </c>
      <c r="H1715" s="77">
        <v>454.93</v>
      </c>
      <c r="I1715" s="76" t="s">
        <v>968</v>
      </c>
      <c r="J1715" s="77">
        <v>525.91</v>
      </c>
      <c r="K1715" s="78">
        <v>5259.09</v>
      </c>
      <c r="M1715" s="79" t="str">
        <f t="shared" si="80"/>
        <v>121-7390</v>
      </c>
      <c r="N1715" s="79" t="str">
        <f t="shared" si="78"/>
        <v/>
      </c>
      <c r="O1715" s="79" t="str">
        <f t="shared" si="79"/>
        <v>121</v>
      </c>
      <c r="P1715" s="79" t="str">
        <f>IFERROR(VLOOKUP($M1715,Export!$P:$R,2,FALSE),"-")</f>
        <v>Used Vehicle</v>
      </c>
      <c r="Q1715" s="79" t="str">
        <f>IFERROR(VLOOKUP($M1715,Export!$P:$R,3,FALSE),"-")</f>
        <v>Used VehicleAdvertising per retail</v>
      </c>
      <c r="R1715" s="80" t="e" cm="1">
        <f t="array" ref="R1715">_xlfn.IFS(P1715="Service", _xlfn.IFS(I1715="SALES","GP",I1715="SERVICE SALES","GP",I1715="PARTS SALES","GP",I1715="SERVICE COS","GP",I1715="PARTS COS","GP",I1715="SELLING EXPENSES","Selling Expenses",I1715="EMPLOYMENT EXPENSES","Selling Expenses",I1715="EMPLOYMENT EXPENSES","Selling Expenses",I1715="DIRECT EXPENSES","Selling Expenses",I1715="INDIRECT EXPENSES","Selling Expenses"),P1715="Parts",_xlfn.IFS(I1715="SALES","GP",I1715="SERVICE SALES","GP",I1715="PARTS SALES","GP",I1715="SERVICE COS","GP",I1715="PARTS COS","GP",I1715="SELLING EXPENSES","Selling Expenses",I1715="EMPLOYMENT EXPENSES","Selling Expenses",I1715="EMPLOYMENT EXPENSES","Selling Expenses",I1715="DIRECT EXPENSES","Selling Expenses",I1715="INDIRECT EXPENSES","Selling Expenses"))</f>
        <v>#N/A</v>
      </c>
    </row>
    <row r="1716" spans="1:18" x14ac:dyDescent="0.2">
      <c r="A1716" s="75">
        <v>7390</v>
      </c>
      <c r="B1716" s="76" t="s">
        <v>971</v>
      </c>
      <c r="C1716" s="76">
        <v>130</v>
      </c>
      <c r="D1716" s="76" t="s">
        <v>432</v>
      </c>
      <c r="E1716" s="76" t="s">
        <v>426</v>
      </c>
      <c r="F1716" s="77">
        <v>30599.41</v>
      </c>
      <c r="G1716" s="77">
        <v>2541.3000000000002</v>
      </c>
      <c r="H1716" s="77">
        <v>33140.71</v>
      </c>
      <c r="I1716" s="76" t="s">
        <v>968</v>
      </c>
      <c r="J1716" s="77">
        <v>786.89</v>
      </c>
      <c r="K1716" s="78">
        <v>7868.91</v>
      </c>
      <c r="M1716" s="79" t="str">
        <f t="shared" si="80"/>
        <v>130-7390</v>
      </c>
      <c r="N1716" s="79" t="str">
        <f t="shared" si="78"/>
        <v/>
      </c>
      <c r="O1716" s="79" t="str">
        <f t="shared" si="79"/>
        <v>130</v>
      </c>
      <c r="P1716" s="79" t="str">
        <f>IFERROR(VLOOKUP($M1716,Export!$P:$R,2,FALSE),"-")</f>
        <v>Parts</v>
      </c>
      <c r="Q1716" s="79" t="str">
        <f>IFERROR(VLOOKUP($M1716,Export!$P:$R,3,FALSE),"-")</f>
        <v>PartsOther Expenses as % of Sales</v>
      </c>
      <c r="R1716" s="80" t="str" cm="1">
        <f t="array" ref="R1716">_xlfn.IFS(P1716="Service", _xlfn.IFS(I1716="SALES","GP",I1716="SERVICE SALES","GP",I1716="PARTS SALES","GP",I1716="SERVICE COS","GP",I1716="PARTS COS","GP",I1716="SELLING EXPENSES","Selling Expenses",I1716="EMPLOYMENT EXPENSES","Selling Expenses",I1716="EMPLOYMENT EXPENSES","Selling Expenses",I1716="DIRECT EXPENSES","Selling Expenses",I1716="INDIRECT EXPENSES","Selling Expenses"),P1716="Parts",_xlfn.IFS(I1716="SALES","GP",I1716="SERVICE SALES","GP",I1716="PARTS SALES","GP",I1716="SERVICE COS","GP",I1716="PARTS COS","GP",I1716="SELLING EXPENSES","Selling Expenses",I1716="EMPLOYMENT EXPENSES","Selling Expenses",I1716="EMPLOYMENT EXPENSES","Selling Expenses",I1716="DIRECT EXPENSES","Selling Expenses",I1716="INDIRECT EXPENSES","Selling Expenses"))</f>
        <v>Selling Expenses</v>
      </c>
    </row>
    <row r="1717" spans="1:18" x14ac:dyDescent="0.2">
      <c r="A1717" s="75">
        <v>7390</v>
      </c>
      <c r="B1717" s="76" t="s">
        <v>971</v>
      </c>
      <c r="C1717" s="76">
        <v>140</v>
      </c>
      <c r="D1717" s="76" t="s">
        <v>433</v>
      </c>
      <c r="E1717" s="76" t="s">
        <v>426</v>
      </c>
      <c r="F1717" s="77">
        <v>8384.34</v>
      </c>
      <c r="G1717" s="77">
        <v>613.16999999999996</v>
      </c>
      <c r="H1717" s="77">
        <v>8997.51</v>
      </c>
      <c r="I1717" s="76" t="s">
        <v>968</v>
      </c>
      <c r="J1717" s="77">
        <v>107.14</v>
      </c>
      <c r="K1717" s="78">
        <v>1071.4000000000001</v>
      </c>
      <c r="M1717" s="79" t="str">
        <f t="shared" si="80"/>
        <v>140-7390</v>
      </c>
      <c r="N1717" s="79" t="str">
        <f t="shared" si="78"/>
        <v/>
      </c>
      <c r="O1717" s="79" t="str">
        <f t="shared" si="79"/>
        <v>140</v>
      </c>
      <c r="P1717" s="79" t="str">
        <f>IFERROR(VLOOKUP($M1717,Export!$P:$R,2,FALSE),"-")</f>
        <v>Service</v>
      </c>
      <c r="Q1717" s="79" t="str">
        <f>IFERROR(VLOOKUP($M1717,Export!$P:$R,3,FALSE),"-")</f>
        <v>ServiceOther Expenses as % of Sales</v>
      </c>
      <c r="R1717" s="80" t="str" cm="1">
        <f t="array" ref="R1717">_xlfn.IFS(P1717="Service", _xlfn.IFS(I1717="SALES","GP",I1717="SERVICE SALES","GP",I1717="PARTS SALES","GP",I1717="SERVICE COS","GP",I1717="PARTS COS","GP",I1717="SELLING EXPENSES","Selling Expenses",I1717="EMPLOYMENT EXPENSES","Selling Expenses",I1717="EMPLOYMENT EXPENSES","Selling Expenses",I1717="DIRECT EXPENSES","Selling Expenses",I1717="INDIRECT EXPENSES","Selling Expenses"),P1717="Parts",_xlfn.IFS(I1717="SALES","GP",I1717="SERVICE SALES","GP",I1717="PARTS SALES","GP",I1717="SERVICE COS","GP",I1717="PARTS COS","GP",I1717="SELLING EXPENSES","Selling Expenses",I1717="EMPLOYMENT EXPENSES","Selling Expenses",I1717="EMPLOYMENT EXPENSES","Selling Expenses",I1717="DIRECT EXPENSES","Selling Expenses",I1717="INDIRECT EXPENSES","Selling Expenses"))</f>
        <v>Selling Expenses</v>
      </c>
    </row>
    <row r="1718" spans="1:18" x14ac:dyDescent="0.2">
      <c r="A1718" s="75">
        <v>7390</v>
      </c>
      <c r="B1718" s="76" t="s">
        <v>971</v>
      </c>
      <c r="C1718" s="76">
        <v>160</v>
      </c>
      <c r="D1718" s="76" t="s">
        <v>434</v>
      </c>
      <c r="E1718" s="76" t="s">
        <v>426</v>
      </c>
      <c r="F1718" s="77">
        <v>2318.67</v>
      </c>
      <c r="G1718" s="77">
        <v>57</v>
      </c>
      <c r="H1718" s="77">
        <v>2375.67</v>
      </c>
      <c r="I1718" s="76" t="s">
        <v>968</v>
      </c>
      <c r="J1718" s="77">
        <v>14.15</v>
      </c>
      <c r="K1718" s="78">
        <v>141.51</v>
      </c>
      <c r="M1718" s="79" t="str">
        <f t="shared" si="80"/>
        <v>160-7390</v>
      </c>
      <c r="N1718" s="79" t="str">
        <f t="shared" si="78"/>
        <v/>
      </c>
      <c r="O1718" s="79" t="str">
        <f t="shared" si="79"/>
        <v>160</v>
      </c>
      <c r="P1718" s="79" t="str">
        <f>IFERROR(VLOOKUP($M1718,Export!$P:$R,2,FALSE),"-")</f>
        <v>F&amp;I</v>
      </c>
      <c r="Q1718" s="79" t="str">
        <f>IFERROR(VLOOKUP($M1718,Export!$P:$R,3,FALSE),"-")</f>
        <v>F&amp;IOther Expenses per vehicle retailed</v>
      </c>
      <c r="R1718" s="80" t="e" cm="1">
        <f t="array" ref="R1718">_xlfn.IFS(P1718="Service", _xlfn.IFS(I1718="SALES","GP",I1718="SERVICE SALES","GP",I1718="PARTS SALES","GP",I1718="SERVICE COS","GP",I1718="PARTS COS","GP",I1718="SELLING EXPENSES","Selling Expenses",I1718="EMPLOYMENT EXPENSES","Selling Expenses",I1718="EMPLOYMENT EXPENSES","Selling Expenses",I1718="DIRECT EXPENSES","Selling Expenses",I1718="INDIRECT EXPENSES","Selling Expenses"),P1718="Parts",_xlfn.IFS(I1718="SALES","GP",I1718="SERVICE SALES","GP",I1718="PARTS SALES","GP",I1718="SERVICE COS","GP",I1718="PARTS COS","GP",I1718="SELLING EXPENSES","Selling Expenses",I1718="EMPLOYMENT EXPENSES","Selling Expenses",I1718="EMPLOYMENT EXPENSES","Selling Expenses",I1718="DIRECT EXPENSES","Selling Expenses",I1718="INDIRECT EXPENSES","Selling Expenses"))</f>
        <v>#N/A</v>
      </c>
    </row>
    <row r="1719" spans="1:18" x14ac:dyDescent="0.2">
      <c r="A1719" s="75">
        <v>7390</v>
      </c>
      <c r="B1719" s="76" t="s">
        <v>971</v>
      </c>
      <c r="C1719" s="76">
        <v>210</v>
      </c>
      <c r="D1719" s="76" t="s">
        <v>436</v>
      </c>
      <c r="E1719" s="76" t="s">
        <v>426</v>
      </c>
      <c r="F1719" s="77">
        <v>76523.899999999994</v>
      </c>
      <c r="G1719" s="77">
        <v>7393.67</v>
      </c>
      <c r="H1719" s="77">
        <v>83917.57</v>
      </c>
      <c r="I1719" s="76" t="s">
        <v>968</v>
      </c>
      <c r="J1719" s="77">
        <v>94.56</v>
      </c>
      <c r="K1719" s="78">
        <v>952.85</v>
      </c>
      <c r="M1719" s="79" t="str">
        <f t="shared" si="80"/>
        <v>210-7390</v>
      </c>
      <c r="N1719" s="79" t="str">
        <f t="shared" si="78"/>
        <v/>
      </c>
      <c r="O1719" s="79" t="str">
        <f t="shared" si="79"/>
        <v>210</v>
      </c>
      <c r="P1719" s="79" t="str">
        <f>IFERROR(VLOOKUP($M1719,Export!$P:$R,2,FALSE),"-")</f>
        <v>New Vehicle</v>
      </c>
      <c r="Q1719" s="79" t="str">
        <f>IFERROR(VLOOKUP($M1719,Export!$P:$R,3,FALSE),"-")</f>
        <v>New VehicleAdvertising p.u.</v>
      </c>
      <c r="R1719" s="80" t="e" cm="1">
        <f t="array" ref="R1719">_xlfn.IFS(P1719="Service", _xlfn.IFS(I1719="SALES","GP",I1719="SERVICE SALES","GP",I1719="PARTS SALES","GP",I1719="SERVICE COS","GP",I1719="PARTS COS","GP",I1719="SELLING EXPENSES","Selling Expenses",I1719="EMPLOYMENT EXPENSES","Selling Expenses",I1719="EMPLOYMENT EXPENSES","Selling Expenses",I1719="DIRECT EXPENSES","Selling Expenses",I1719="INDIRECT EXPENSES","Selling Expenses"),P1719="Parts",_xlfn.IFS(I1719="SALES","GP",I1719="SERVICE SALES","GP",I1719="PARTS SALES","GP",I1719="SERVICE COS","GP",I1719="PARTS COS","GP",I1719="SELLING EXPENSES","Selling Expenses",I1719="EMPLOYMENT EXPENSES","Selling Expenses",I1719="EMPLOYMENT EXPENSES","Selling Expenses",I1719="DIRECT EXPENSES","Selling Expenses",I1719="INDIRECT EXPENSES","Selling Expenses"))</f>
        <v>#N/A</v>
      </c>
    </row>
    <row r="1720" spans="1:18" x14ac:dyDescent="0.2">
      <c r="A1720" s="75">
        <v>7390</v>
      </c>
      <c r="B1720" s="76" t="s">
        <v>971</v>
      </c>
      <c r="C1720" s="76">
        <v>220</v>
      </c>
      <c r="D1720" s="76" t="s">
        <v>437</v>
      </c>
      <c r="E1720" s="76" t="s">
        <v>426</v>
      </c>
      <c r="F1720" s="77">
        <v>46438.31</v>
      </c>
      <c r="G1720" s="77">
        <v>7033.67</v>
      </c>
      <c r="H1720" s="77">
        <v>53471.98</v>
      </c>
      <c r="I1720" s="76" t="s">
        <v>968</v>
      </c>
      <c r="J1720" s="77">
        <v>101.69</v>
      </c>
      <c r="K1720" s="78">
        <v>1024.1500000000001</v>
      </c>
      <c r="M1720" s="79" t="str">
        <f t="shared" si="80"/>
        <v>220-7390</v>
      </c>
      <c r="N1720" s="79" t="str">
        <f t="shared" si="78"/>
        <v/>
      </c>
      <c r="O1720" s="79" t="str">
        <f t="shared" si="79"/>
        <v>220</v>
      </c>
      <c r="P1720" s="79" t="str">
        <f>IFERROR(VLOOKUP($M1720,Export!$P:$R,2,FALSE),"-")</f>
        <v>Used Vehicle</v>
      </c>
      <c r="Q1720" s="79" t="str">
        <f>IFERROR(VLOOKUP($M1720,Export!$P:$R,3,FALSE),"-")</f>
        <v>Used VehicleAdvertising per retail</v>
      </c>
      <c r="R1720" s="80" t="e" cm="1">
        <f t="array" ref="R1720">_xlfn.IFS(P1720="Service", _xlfn.IFS(I1720="SALES","GP",I1720="SERVICE SALES","GP",I1720="PARTS SALES","GP",I1720="SERVICE COS","GP",I1720="PARTS COS","GP",I1720="SELLING EXPENSES","Selling Expenses",I1720="EMPLOYMENT EXPENSES","Selling Expenses",I1720="EMPLOYMENT EXPENSES","Selling Expenses",I1720="DIRECT EXPENSES","Selling Expenses",I1720="INDIRECT EXPENSES","Selling Expenses"),P1720="Parts",_xlfn.IFS(I1720="SALES","GP",I1720="SERVICE SALES","GP",I1720="PARTS SALES","GP",I1720="SERVICE COS","GP",I1720="PARTS COS","GP",I1720="SELLING EXPENSES","Selling Expenses",I1720="EMPLOYMENT EXPENSES","Selling Expenses",I1720="EMPLOYMENT EXPENSES","Selling Expenses",I1720="DIRECT EXPENSES","Selling Expenses",I1720="INDIRECT EXPENSES","Selling Expenses"))</f>
        <v>#N/A</v>
      </c>
    </row>
    <row r="1721" spans="1:18" x14ac:dyDescent="0.2">
      <c r="A1721" s="75">
        <v>7390</v>
      </c>
      <c r="B1721" s="76" t="s">
        <v>971</v>
      </c>
      <c r="C1721" s="76">
        <v>230</v>
      </c>
      <c r="D1721" s="76" t="s">
        <v>438</v>
      </c>
      <c r="E1721" s="76" t="s">
        <v>426</v>
      </c>
      <c r="F1721" s="77">
        <v>8757.99</v>
      </c>
      <c r="G1721" s="77">
        <v>645.33000000000004</v>
      </c>
      <c r="H1721" s="77">
        <v>9403.32</v>
      </c>
      <c r="I1721" s="76" t="s">
        <v>968</v>
      </c>
      <c r="J1721" s="77">
        <v>94.76</v>
      </c>
      <c r="K1721" s="78">
        <v>954.84</v>
      </c>
      <c r="M1721" s="79" t="str">
        <f t="shared" si="80"/>
        <v>230-7390</v>
      </c>
      <c r="N1721" s="79" t="str">
        <f t="shared" si="78"/>
        <v/>
      </c>
      <c r="O1721" s="79" t="str">
        <f t="shared" si="79"/>
        <v>230</v>
      </c>
      <c r="P1721" s="79" t="str">
        <f>IFERROR(VLOOKUP($M1721,Export!$P:$R,2,FALSE),"-")</f>
        <v>Parts</v>
      </c>
      <c r="Q1721" s="79" t="str">
        <f>IFERROR(VLOOKUP($M1721,Export!$P:$R,3,FALSE),"-")</f>
        <v>PartsOther Expenses as % of Sales</v>
      </c>
      <c r="R1721" s="80" t="str" cm="1">
        <f t="array" ref="R1721">_xlfn.IFS(P1721="Service", _xlfn.IFS(I1721="SALES","GP",I1721="SERVICE SALES","GP",I1721="PARTS SALES","GP",I1721="SERVICE COS","GP",I1721="PARTS COS","GP",I1721="SELLING EXPENSES","Selling Expenses",I1721="EMPLOYMENT EXPENSES","Selling Expenses",I1721="EMPLOYMENT EXPENSES","Selling Expenses",I1721="DIRECT EXPENSES","Selling Expenses",I1721="INDIRECT EXPENSES","Selling Expenses"),P1721="Parts",_xlfn.IFS(I1721="SALES","GP",I1721="SERVICE SALES","GP",I1721="PARTS SALES","GP",I1721="SERVICE COS","GP",I1721="PARTS COS","GP",I1721="SELLING EXPENSES","Selling Expenses",I1721="EMPLOYMENT EXPENSES","Selling Expenses",I1721="EMPLOYMENT EXPENSES","Selling Expenses",I1721="DIRECT EXPENSES","Selling Expenses",I1721="INDIRECT EXPENSES","Selling Expenses"))</f>
        <v>Selling Expenses</v>
      </c>
    </row>
    <row r="1722" spans="1:18" x14ac:dyDescent="0.2">
      <c r="A1722" s="75">
        <v>7390</v>
      </c>
      <c r="B1722" s="76" t="s">
        <v>971</v>
      </c>
      <c r="C1722" s="76">
        <v>240</v>
      </c>
      <c r="D1722" s="76" t="s">
        <v>439</v>
      </c>
      <c r="E1722" s="76" t="s">
        <v>426</v>
      </c>
      <c r="F1722" s="77">
        <v>12271.52</v>
      </c>
      <c r="G1722" s="77">
        <v>645.33000000000004</v>
      </c>
      <c r="H1722" s="77">
        <v>12916.85</v>
      </c>
      <c r="I1722" s="76" t="s">
        <v>968</v>
      </c>
      <c r="J1722" s="77">
        <v>218.68</v>
      </c>
      <c r="K1722" s="78">
        <v>2456.31</v>
      </c>
      <c r="M1722" s="79" t="str">
        <f t="shared" si="80"/>
        <v>240-7390</v>
      </c>
      <c r="N1722" s="79" t="str">
        <f t="shared" si="78"/>
        <v/>
      </c>
      <c r="O1722" s="79" t="str">
        <f t="shared" si="79"/>
        <v>240</v>
      </c>
      <c r="P1722" s="79" t="str">
        <f>IFERROR(VLOOKUP($M1722,Export!$P:$R,2,FALSE),"-")</f>
        <v>Service</v>
      </c>
      <c r="Q1722" s="79" t="str">
        <f>IFERROR(VLOOKUP($M1722,Export!$P:$R,3,FALSE),"-")</f>
        <v>ServiceOther Expenses as % of Sales</v>
      </c>
      <c r="R1722" s="80" t="str" cm="1">
        <f t="array" ref="R1722">_xlfn.IFS(P1722="Service", _xlfn.IFS(I1722="SALES","GP",I1722="SERVICE SALES","GP",I1722="PARTS SALES","GP",I1722="SERVICE COS","GP",I1722="PARTS COS","GP",I1722="SELLING EXPENSES","Selling Expenses",I1722="EMPLOYMENT EXPENSES","Selling Expenses",I1722="EMPLOYMENT EXPENSES","Selling Expenses",I1722="DIRECT EXPENSES","Selling Expenses",I1722="INDIRECT EXPENSES","Selling Expenses"),P1722="Parts",_xlfn.IFS(I1722="SALES","GP",I1722="SERVICE SALES","GP",I1722="PARTS SALES","GP",I1722="SERVICE COS","GP",I1722="PARTS COS","GP",I1722="SELLING EXPENSES","Selling Expenses",I1722="EMPLOYMENT EXPENSES","Selling Expenses",I1722="EMPLOYMENT EXPENSES","Selling Expenses",I1722="DIRECT EXPENSES","Selling Expenses",I1722="INDIRECT EXPENSES","Selling Expenses"))</f>
        <v>Selling Expenses</v>
      </c>
    </row>
    <row r="1723" spans="1:18" x14ac:dyDescent="0.2">
      <c r="A1723" s="75">
        <v>7390</v>
      </c>
      <c r="B1723" s="76" t="s">
        <v>971</v>
      </c>
      <c r="C1723" s="76">
        <v>260</v>
      </c>
      <c r="D1723" s="76" t="s">
        <v>456</v>
      </c>
      <c r="E1723" s="76" t="s">
        <v>426</v>
      </c>
      <c r="F1723" s="77">
        <v>1101.8699999999999</v>
      </c>
      <c r="G1723" s="77">
        <v>0</v>
      </c>
      <c r="H1723" s="77">
        <v>1101.8699999999999</v>
      </c>
      <c r="I1723" s="76" t="s">
        <v>968</v>
      </c>
      <c r="J1723" s="77">
        <v>0</v>
      </c>
      <c r="K1723" s="78">
        <v>0</v>
      </c>
      <c r="M1723" s="79" t="str">
        <f t="shared" si="80"/>
        <v>260-7390</v>
      </c>
      <c r="N1723" s="79" t="str">
        <f t="shared" si="78"/>
        <v/>
      </c>
      <c r="O1723" s="79" t="str">
        <f t="shared" si="79"/>
        <v>260</v>
      </c>
      <c r="P1723" s="79" t="str">
        <f>IFERROR(VLOOKUP($M1723,Export!$P:$R,2,FALSE),"-")</f>
        <v>F&amp;I</v>
      </c>
      <c r="Q1723" s="79" t="str">
        <f>IFERROR(VLOOKUP($M1723,Export!$P:$R,3,FALSE),"-")</f>
        <v>F&amp;IOther Expenses per vehicle retailed</v>
      </c>
      <c r="R1723" s="80" t="e" cm="1">
        <f t="array" ref="R1723">_xlfn.IFS(P1723="Service", _xlfn.IFS(I1723="SALES","GP",I1723="SERVICE SALES","GP",I1723="PARTS SALES","GP",I1723="SERVICE COS","GP",I1723="PARTS COS","GP",I1723="SELLING EXPENSES","Selling Expenses",I1723="EMPLOYMENT EXPENSES","Selling Expenses",I1723="EMPLOYMENT EXPENSES","Selling Expenses",I1723="DIRECT EXPENSES","Selling Expenses",I1723="INDIRECT EXPENSES","Selling Expenses"),P1723="Parts",_xlfn.IFS(I1723="SALES","GP",I1723="SERVICE SALES","GP",I1723="PARTS SALES","GP",I1723="SERVICE COS","GP",I1723="PARTS COS","GP",I1723="SELLING EXPENSES","Selling Expenses",I1723="EMPLOYMENT EXPENSES","Selling Expenses",I1723="EMPLOYMENT EXPENSES","Selling Expenses",I1723="DIRECT EXPENSES","Selling Expenses",I1723="INDIRECT EXPENSES","Selling Expenses"))</f>
        <v>#N/A</v>
      </c>
    </row>
    <row r="1724" spans="1:18" x14ac:dyDescent="0.2">
      <c r="A1724" s="75">
        <v>7390</v>
      </c>
      <c r="B1724" s="76" t="s">
        <v>971</v>
      </c>
      <c r="C1724" s="76">
        <v>340</v>
      </c>
      <c r="D1724" s="76" t="s">
        <v>440</v>
      </c>
      <c r="E1724" s="76" t="s">
        <v>426</v>
      </c>
      <c r="F1724" s="77">
        <v>4857.24</v>
      </c>
      <c r="G1724" s="77">
        <v>313.17</v>
      </c>
      <c r="H1724" s="77">
        <v>5170.41</v>
      </c>
      <c r="I1724" s="76" t="s">
        <v>968</v>
      </c>
      <c r="J1724" s="77">
        <v>226.45</v>
      </c>
      <c r="K1724" s="78">
        <v>2264.5100000000002</v>
      </c>
      <c r="M1724" s="79" t="str">
        <f t="shared" si="80"/>
        <v>340-7390</v>
      </c>
      <c r="N1724" s="79" t="str">
        <f t="shared" si="78"/>
        <v/>
      </c>
      <c r="O1724" s="79" t="str">
        <f t="shared" si="79"/>
        <v>340</v>
      </c>
      <c r="P1724" s="79" t="str">
        <f>IFERROR(VLOOKUP($M1724,Export!$P:$R,2,FALSE),"-")</f>
        <v>Service</v>
      </c>
      <c r="Q1724" s="79" t="str">
        <f>IFERROR(VLOOKUP($M1724,Export!$P:$R,3,FALSE),"-")</f>
        <v>ServiceOther Expenses as % of Sales</v>
      </c>
      <c r="R1724" s="80" t="str" cm="1">
        <f t="array" ref="R1724">_xlfn.IFS(P1724="Service", _xlfn.IFS(I1724="SALES","GP",I1724="SERVICE SALES","GP",I1724="PARTS SALES","GP",I1724="SERVICE COS","GP",I1724="PARTS COS","GP",I1724="SELLING EXPENSES","Selling Expenses",I1724="EMPLOYMENT EXPENSES","Selling Expenses",I1724="EMPLOYMENT EXPENSES","Selling Expenses",I1724="DIRECT EXPENSES","Selling Expenses",I1724="INDIRECT EXPENSES","Selling Expenses"),P1724="Parts",_xlfn.IFS(I1724="SALES","GP",I1724="SERVICE SALES","GP",I1724="PARTS SALES","GP",I1724="SERVICE COS","GP",I1724="PARTS COS","GP",I1724="SELLING EXPENSES","Selling Expenses",I1724="EMPLOYMENT EXPENSES","Selling Expenses",I1724="EMPLOYMENT EXPENSES","Selling Expenses",I1724="DIRECT EXPENSES","Selling Expenses",I1724="INDIRECT EXPENSES","Selling Expenses"))</f>
        <v>Selling Expenses</v>
      </c>
    </row>
    <row r="1725" spans="1:18" x14ac:dyDescent="0.2">
      <c r="A1725" s="75">
        <v>7390</v>
      </c>
      <c r="B1725" s="76" t="s">
        <v>971</v>
      </c>
      <c r="C1725" s="76">
        <v>430</v>
      </c>
      <c r="D1725" s="76" t="s">
        <v>458</v>
      </c>
      <c r="E1725" s="76" t="s">
        <v>426</v>
      </c>
      <c r="F1725" s="77">
        <v>1902.55</v>
      </c>
      <c r="G1725" s="77">
        <v>1159.72</v>
      </c>
      <c r="H1725" s="77">
        <v>3062.27</v>
      </c>
      <c r="I1725" s="76" t="s">
        <v>968</v>
      </c>
      <c r="J1725" s="77">
        <v>330.45</v>
      </c>
      <c r="K1725" s="78">
        <v>3094.14</v>
      </c>
      <c r="M1725" s="79" t="str">
        <f t="shared" si="80"/>
        <v>430-7390</v>
      </c>
      <c r="N1725" s="79" t="str">
        <f t="shared" si="78"/>
        <v/>
      </c>
      <c r="O1725" s="79" t="str">
        <f t="shared" si="79"/>
        <v>430</v>
      </c>
      <c r="P1725" s="79" t="str">
        <f>IFERROR(VLOOKUP($M1725,Export!$P:$R,2,FALSE),"-")</f>
        <v>Parts</v>
      </c>
      <c r="Q1725" s="79" t="str">
        <f>IFERROR(VLOOKUP($M1725,Export!$P:$R,3,FALSE),"-")</f>
        <v>PartsOther Expenses as % of Sales</v>
      </c>
      <c r="R1725" s="80" t="str" cm="1">
        <f t="array" ref="R1725">_xlfn.IFS(P1725="Service", _xlfn.IFS(I1725="SALES","GP",I1725="SERVICE SALES","GP",I1725="PARTS SALES","GP",I1725="SERVICE COS","GP",I1725="PARTS COS","GP",I1725="SELLING EXPENSES","Selling Expenses",I1725="EMPLOYMENT EXPENSES","Selling Expenses",I1725="EMPLOYMENT EXPENSES","Selling Expenses",I1725="DIRECT EXPENSES","Selling Expenses",I1725="INDIRECT EXPENSES","Selling Expenses"),P1725="Parts",_xlfn.IFS(I1725="SALES","GP",I1725="SERVICE SALES","GP",I1725="PARTS SALES","GP",I1725="SERVICE COS","GP",I1725="PARTS COS","GP",I1725="SELLING EXPENSES","Selling Expenses",I1725="EMPLOYMENT EXPENSES","Selling Expenses",I1725="EMPLOYMENT EXPENSES","Selling Expenses",I1725="DIRECT EXPENSES","Selling Expenses",I1725="INDIRECT EXPENSES","Selling Expenses"))</f>
        <v>Selling Expenses</v>
      </c>
    </row>
    <row r="1726" spans="1:18" x14ac:dyDescent="0.2">
      <c r="A1726" s="75">
        <v>7390</v>
      </c>
      <c r="B1726" s="76" t="s">
        <v>971</v>
      </c>
      <c r="C1726" s="76">
        <v>440</v>
      </c>
      <c r="D1726" s="76" t="s">
        <v>441</v>
      </c>
      <c r="E1726" s="76" t="s">
        <v>426</v>
      </c>
      <c r="F1726" s="77">
        <v>3281.15</v>
      </c>
      <c r="G1726" s="77">
        <v>1359.71</v>
      </c>
      <c r="H1726" s="77">
        <v>4640.8599999999997</v>
      </c>
      <c r="I1726" s="76" t="s">
        <v>968</v>
      </c>
      <c r="J1726" s="77">
        <v>531.22</v>
      </c>
      <c r="K1726" s="78">
        <v>5312.18</v>
      </c>
      <c r="M1726" s="79" t="str">
        <f t="shared" si="80"/>
        <v>440-7390</v>
      </c>
      <c r="N1726" s="79" t="str">
        <f t="shared" si="78"/>
        <v/>
      </c>
      <c r="O1726" s="79" t="str">
        <f t="shared" si="79"/>
        <v>440</v>
      </c>
      <c r="P1726" s="79" t="str">
        <f>IFERROR(VLOOKUP($M1726,Export!$P:$R,2,FALSE),"-")</f>
        <v>Service</v>
      </c>
      <c r="Q1726" s="79" t="str">
        <f>IFERROR(VLOOKUP($M1726,Export!$P:$R,3,FALSE),"-")</f>
        <v>ServiceOther Expenses as % of Sales</v>
      </c>
      <c r="R1726" s="80" t="str" cm="1">
        <f t="array" ref="R1726">_xlfn.IFS(P1726="Service", _xlfn.IFS(I1726="SALES","GP",I1726="SERVICE SALES","GP",I1726="PARTS SALES","GP",I1726="SERVICE COS","GP",I1726="PARTS COS","GP",I1726="SELLING EXPENSES","Selling Expenses",I1726="EMPLOYMENT EXPENSES","Selling Expenses",I1726="EMPLOYMENT EXPENSES","Selling Expenses",I1726="DIRECT EXPENSES","Selling Expenses",I1726="INDIRECT EXPENSES","Selling Expenses"),P1726="Parts",_xlfn.IFS(I1726="SALES","GP",I1726="SERVICE SALES","GP",I1726="PARTS SALES","GP",I1726="SERVICE COS","GP",I1726="PARTS COS","GP",I1726="SELLING EXPENSES","Selling Expenses",I1726="EMPLOYMENT EXPENSES","Selling Expenses",I1726="EMPLOYMENT EXPENSES","Selling Expenses",I1726="DIRECT EXPENSES","Selling Expenses",I1726="INDIRECT EXPENSES","Selling Expenses"))</f>
        <v>Selling Expenses</v>
      </c>
    </row>
    <row r="1727" spans="1:18" x14ac:dyDescent="0.2">
      <c r="A1727" s="75">
        <v>7390</v>
      </c>
      <c r="B1727" s="76" t="s">
        <v>971</v>
      </c>
      <c r="C1727" s="76">
        <v>935</v>
      </c>
      <c r="D1727" s="76" t="s">
        <v>442</v>
      </c>
      <c r="E1727" s="76" t="s">
        <v>426</v>
      </c>
      <c r="F1727" s="77">
        <v>3761.79</v>
      </c>
      <c r="G1727" s="77">
        <v>75</v>
      </c>
      <c r="H1727" s="77">
        <v>3836.79</v>
      </c>
      <c r="I1727" s="76" t="s">
        <v>968</v>
      </c>
      <c r="J1727" s="77">
        <v>99.67</v>
      </c>
      <c r="K1727" s="78">
        <v>1416.71</v>
      </c>
      <c r="M1727" s="79" t="str">
        <f t="shared" si="80"/>
        <v>935-7390</v>
      </c>
      <c r="N1727" s="79" t="str">
        <f t="shared" si="78"/>
        <v/>
      </c>
      <c r="O1727" s="79" t="str">
        <f t="shared" si="79"/>
        <v>935</v>
      </c>
      <c r="P1727" s="79" t="str">
        <f>IFERROR(VLOOKUP($M1727,Export!$P:$R,2,FALSE),"-")</f>
        <v>Bridgestone</v>
      </c>
      <c r="Q1727" s="79" t="str">
        <f>IFERROR(VLOOKUP($M1727,Export!$P:$R,3,FALSE),"-")</f>
        <v>BridgestoneOther Expenses as % of Sales</v>
      </c>
      <c r="R1727" s="80" t="e" cm="1">
        <f t="array" ref="R1727">_xlfn.IFS(P1727="Service", _xlfn.IFS(I1727="SALES","GP",I1727="SERVICE SALES","GP",I1727="PARTS SALES","GP",I1727="SERVICE COS","GP",I1727="PARTS COS","GP",I1727="SELLING EXPENSES","Selling Expenses",I1727="EMPLOYMENT EXPENSES","Selling Expenses",I1727="EMPLOYMENT EXPENSES","Selling Expenses",I1727="DIRECT EXPENSES","Selling Expenses",I1727="INDIRECT EXPENSES","Selling Expenses"),P1727="Parts",_xlfn.IFS(I1727="SALES","GP",I1727="SERVICE SALES","GP",I1727="PARTS SALES","GP",I1727="SERVICE COS","GP",I1727="PARTS COS","GP",I1727="SELLING EXPENSES","Selling Expenses",I1727="EMPLOYMENT EXPENSES","Selling Expenses",I1727="EMPLOYMENT EXPENSES","Selling Expenses",I1727="DIRECT EXPENSES","Selling Expenses",I1727="INDIRECT EXPENSES","Selling Expenses"))</f>
        <v>#N/A</v>
      </c>
    </row>
    <row r="1728" spans="1:18" x14ac:dyDescent="0.2">
      <c r="A1728" s="75">
        <v>7390</v>
      </c>
      <c r="B1728" s="76" t="s">
        <v>971</v>
      </c>
      <c r="C1728" s="76">
        <v>936</v>
      </c>
      <c r="D1728" s="76" t="s">
        <v>443</v>
      </c>
      <c r="E1728" s="76" t="s">
        <v>426</v>
      </c>
      <c r="F1728" s="77">
        <v>1203.17</v>
      </c>
      <c r="G1728" s="77">
        <v>104.5</v>
      </c>
      <c r="H1728" s="77">
        <v>1307.67</v>
      </c>
      <c r="I1728" s="76" t="s">
        <v>968</v>
      </c>
      <c r="J1728" s="77">
        <v>5.9</v>
      </c>
      <c r="K1728" s="78">
        <v>428.99</v>
      </c>
      <c r="M1728" s="79" t="str">
        <f t="shared" si="80"/>
        <v>936-7390</v>
      </c>
      <c r="N1728" s="79" t="str">
        <f t="shared" si="78"/>
        <v/>
      </c>
      <c r="O1728" s="79" t="str">
        <f t="shared" si="79"/>
        <v>936</v>
      </c>
      <c r="P1728" s="79" t="str">
        <f>IFERROR(VLOOKUP($M1728,Export!$P:$R,2,FALSE),"-")</f>
        <v>Bridgestone</v>
      </c>
      <c r="Q1728" s="79" t="str">
        <f>IFERROR(VLOOKUP($M1728,Export!$P:$R,3,FALSE),"-")</f>
        <v>BridgestoneOther Expenses as % of Sales</v>
      </c>
      <c r="R1728" s="80" t="e" cm="1">
        <f t="array" ref="R1728">_xlfn.IFS(P1728="Service", _xlfn.IFS(I1728="SALES","GP",I1728="SERVICE SALES","GP",I1728="PARTS SALES","GP",I1728="SERVICE COS","GP",I1728="PARTS COS","GP",I1728="SELLING EXPENSES","Selling Expenses",I1728="EMPLOYMENT EXPENSES","Selling Expenses",I1728="EMPLOYMENT EXPENSES","Selling Expenses",I1728="DIRECT EXPENSES","Selling Expenses",I1728="INDIRECT EXPENSES","Selling Expenses"),P1728="Parts",_xlfn.IFS(I1728="SALES","GP",I1728="SERVICE SALES","GP",I1728="PARTS SALES","GP",I1728="SERVICE COS","GP",I1728="PARTS COS","GP",I1728="SELLING EXPENSES","Selling Expenses",I1728="EMPLOYMENT EXPENSES","Selling Expenses",I1728="EMPLOYMENT EXPENSES","Selling Expenses",I1728="DIRECT EXPENSES","Selling Expenses",I1728="INDIRECT EXPENSES","Selling Expenses"))</f>
        <v>#N/A</v>
      </c>
    </row>
    <row r="1729" spans="1:18" x14ac:dyDescent="0.2">
      <c r="A1729" s="75">
        <v>7430</v>
      </c>
      <c r="B1729" s="76" t="s">
        <v>130</v>
      </c>
      <c r="C1729" s="76">
        <v>110</v>
      </c>
      <c r="D1729" s="76" t="s">
        <v>430</v>
      </c>
      <c r="E1729" s="76" t="s">
        <v>426</v>
      </c>
      <c r="F1729" s="77">
        <v>50429.03</v>
      </c>
      <c r="G1729" s="77">
        <v>7845.22</v>
      </c>
      <c r="H1729" s="77">
        <v>58274.25</v>
      </c>
      <c r="I1729" s="76" t="s">
        <v>968</v>
      </c>
      <c r="J1729" s="77">
        <v>6188.86</v>
      </c>
      <c r="K1729" s="78">
        <v>60782.09</v>
      </c>
      <c r="M1729" s="79" t="str">
        <f t="shared" si="80"/>
        <v>110-7430</v>
      </c>
      <c r="N1729" s="79" t="str">
        <f t="shared" si="78"/>
        <v/>
      </c>
      <c r="O1729" s="79" t="str">
        <f t="shared" si="79"/>
        <v>110</v>
      </c>
      <c r="P1729" s="79" t="str">
        <f>IFERROR(VLOOKUP($M1729,Export!$P:$R,2,FALSE),"-")</f>
        <v>Admin &amp; Other</v>
      </c>
      <c r="Q1729" s="79" t="str">
        <f>IFERROR(VLOOKUP($M1729,Export!$P:$R,3,FALSE),"-")</f>
        <v>Admin &amp; OtherData Processing as % of Total Gross Profit</v>
      </c>
      <c r="R1729" s="80" t="e" cm="1">
        <f t="array" ref="R1729">_xlfn.IFS(P1729="Service", _xlfn.IFS(I1729="SALES","GP",I1729="SERVICE SALES","GP",I1729="PARTS SALES","GP",I1729="SERVICE COS","GP",I1729="PARTS COS","GP",I1729="SELLING EXPENSES","Selling Expenses",I1729="EMPLOYMENT EXPENSES","Selling Expenses",I1729="EMPLOYMENT EXPENSES","Selling Expenses",I1729="DIRECT EXPENSES","Selling Expenses",I1729="INDIRECT EXPENSES","Selling Expenses"),P1729="Parts",_xlfn.IFS(I1729="SALES","GP",I1729="SERVICE SALES","GP",I1729="PARTS SALES","GP",I1729="SERVICE COS","GP",I1729="PARTS COS","GP",I1729="SELLING EXPENSES","Selling Expenses",I1729="EMPLOYMENT EXPENSES","Selling Expenses",I1729="EMPLOYMENT EXPENSES","Selling Expenses",I1729="DIRECT EXPENSES","Selling Expenses",I1729="INDIRECT EXPENSES","Selling Expenses"))</f>
        <v>#N/A</v>
      </c>
    </row>
    <row r="1730" spans="1:18" x14ac:dyDescent="0.2">
      <c r="A1730" s="75">
        <v>7430</v>
      </c>
      <c r="B1730" s="76" t="s">
        <v>130</v>
      </c>
      <c r="C1730" s="76">
        <v>112</v>
      </c>
      <c r="D1730" s="76" t="s">
        <v>349</v>
      </c>
      <c r="E1730" s="76" t="s">
        <v>426</v>
      </c>
      <c r="F1730" s="77">
        <v>28158.69</v>
      </c>
      <c r="G1730" s="77">
        <v>5762.62</v>
      </c>
      <c r="H1730" s="77">
        <v>33921.31</v>
      </c>
      <c r="I1730" s="76" t="s">
        <v>968</v>
      </c>
      <c r="J1730" s="77">
        <v>9404.0499999999993</v>
      </c>
      <c r="K1730" s="78">
        <v>95499.19</v>
      </c>
      <c r="M1730" s="79" t="str">
        <f t="shared" si="80"/>
        <v>112-7430</v>
      </c>
      <c r="N1730" s="79" t="str">
        <f t="shared" ref="N1730:N1793" si="81">+IF(RIGHT(A1730,1)="#","#","")</f>
        <v/>
      </c>
      <c r="O1730" s="79" t="str">
        <f t="shared" ref="O1730:O1793" si="82">+C1730&amp;N1730</f>
        <v>112</v>
      </c>
      <c r="P1730" s="79" t="str">
        <f>IFERROR(VLOOKUP($M1730,Export!$P:$R,2,FALSE),"-")</f>
        <v>LEX Admin &amp; Other</v>
      </c>
      <c r="Q1730" s="79" t="str">
        <f>IFERROR(VLOOKUP($M1730,Export!$P:$R,3,FALSE),"-")</f>
        <v>LEX Admin &amp; OtherData Processing as % of Total Gross Profit</v>
      </c>
      <c r="R1730" s="80" t="e" cm="1">
        <f t="array" ref="R1730">_xlfn.IFS(P1730="Service", _xlfn.IFS(I1730="SALES","GP",I1730="SERVICE SALES","GP",I1730="PARTS SALES","GP",I1730="SERVICE COS","GP",I1730="PARTS COS","GP",I1730="SELLING EXPENSES","Selling Expenses",I1730="EMPLOYMENT EXPENSES","Selling Expenses",I1730="EMPLOYMENT EXPENSES","Selling Expenses",I1730="DIRECT EXPENSES","Selling Expenses",I1730="INDIRECT EXPENSES","Selling Expenses"),P1730="Parts",_xlfn.IFS(I1730="SALES","GP",I1730="SERVICE SALES","GP",I1730="PARTS SALES","GP",I1730="SERVICE COS","GP",I1730="PARTS COS","GP",I1730="SELLING EXPENSES","Selling Expenses",I1730="EMPLOYMENT EXPENSES","Selling Expenses",I1730="EMPLOYMENT EXPENSES","Selling Expenses",I1730="DIRECT EXPENSES","Selling Expenses",I1730="INDIRECT EXPENSES","Selling Expenses"))</f>
        <v>#N/A</v>
      </c>
    </row>
    <row r="1731" spans="1:18" x14ac:dyDescent="0.2">
      <c r="A1731" s="75">
        <v>7430</v>
      </c>
      <c r="B1731" s="76" t="s">
        <v>130</v>
      </c>
      <c r="C1731" s="76">
        <v>120</v>
      </c>
      <c r="D1731" s="76" t="s">
        <v>431</v>
      </c>
      <c r="E1731" s="76" t="s">
        <v>426</v>
      </c>
      <c r="F1731" s="77">
        <v>51453.61</v>
      </c>
      <c r="G1731" s="77">
        <v>7653.01</v>
      </c>
      <c r="H1731" s="77">
        <v>59106.62</v>
      </c>
      <c r="I1731" s="76" t="s">
        <v>968</v>
      </c>
      <c r="J1731" s="77">
        <v>8264.83</v>
      </c>
      <c r="K1731" s="78">
        <v>75637.990000000005</v>
      </c>
      <c r="M1731" s="79" t="str">
        <f t="shared" ref="M1731:M1794" si="83">+C1731&amp;"-"&amp;A1731</f>
        <v>120-7430</v>
      </c>
      <c r="N1731" s="79" t="str">
        <f t="shared" si="81"/>
        <v/>
      </c>
      <c r="O1731" s="79" t="str">
        <f t="shared" si="82"/>
        <v>120</v>
      </c>
      <c r="P1731" s="79" t="str">
        <f>IFERROR(VLOOKUP($M1731,Export!$P:$R,2,FALSE),"-")</f>
        <v>Admin &amp; Other</v>
      </c>
      <c r="Q1731" s="79" t="str">
        <f>IFERROR(VLOOKUP($M1731,Export!$P:$R,3,FALSE),"-")</f>
        <v>Admin &amp; OtherData Processing as % of Total Gross Profit</v>
      </c>
      <c r="R1731" s="80" t="e" cm="1">
        <f t="array" ref="R1731">_xlfn.IFS(P1731="Service", _xlfn.IFS(I1731="SALES","GP",I1731="SERVICE SALES","GP",I1731="PARTS SALES","GP",I1731="SERVICE COS","GP",I1731="PARTS COS","GP",I1731="SELLING EXPENSES","Selling Expenses",I1731="EMPLOYMENT EXPENSES","Selling Expenses",I1731="EMPLOYMENT EXPENSES","Selling Expenses",I1731="DIRECT EXPENSES","Selling Expenses",I1731="INDIRECT EXPENSES","Selling Expenses"),P1731="Parts",_xlfn.IFS(I1731="SALES","GP",I1731="SERVICE SALES","GP",I1731="PARTS SALES","GP",I1731="SERVICE COS","GP",I1731="PARTS COS","GP",I1731="SELLING EXPENSES","Selling Expenses",I1731="EMPLOYMENT EXPENSES","Selling Expenses",I1731="EMPLOYMENT EXPENSES","Selling Expenses",I1731="DIRECT EXPENSES","Selling Expenses",I1731="INDIRECT EXPENSES","Selling Expenses"))</f>
        <v>#N/A</v>
      </c>
    </row>
    <row r="1732" spans="1:18" x14ac:dyDescent="0.2">
      <c r="A1732" s="75">
        <v>7430</v>
      </c>
      <c r="B1732" s="76" t="s">
        <v>130</v>
      </c>
      <c r="C1732" s="76">
        <v>121</v>
      </c>
      <c r="D1732" s="76" t="s">
        <v>449</v>
      </c>
      <c r="E1732" s="76" t="s">
        <v>426</v>
      </c>
      <c r="F1732" s="77">
        <v>53.46</v>
      </c>
      <c r="G1732" s="77">
        <v>17.82</v>
      </c>
      <c r="H1732" s="77">
        <v>71.28</v>
      </c>
      <c r="I1732" s="76" t="s">
        <v>968</v>
      </c>
      <c r="J1732" s="77">
        <v>2337.5500000000002</v>
      </c>
      <c r="K1732" s="78">
        <v>29556.45</v>
      </c>
      <c r="M1732" s="79" t="str">
        <f t="shared" si="83"/>
        <v>121-7430</v>
      </c>
      <c r="N1732" s="79" t="str">
        <f t="shared" si="81"/>
        <v/>
      </c>
      <c r="O1732" s="79" t="str">
        <f t="shared" si="82"/>
        <v>121</v>
      </c>
      <c r="P1732" s="79" t="str">
        <f>IFERROR(VLOOKUP($M1732,Export!$P:$R,2,FALSE),"-")</f>
        <v>Admin &amp; Other</v>
      </c>
      <c r="Q1732" s="79" t="str">
        <f>IFERROR(VLOOKUP($M1732,Export!$P:$R,3,FALSE),"-")</f>
        <v>Admin &amp; OtherData Processing as % of Total Gross Profit</v>
      </c>
      <c r="R1732" s="80" t="e" cm="1">
        <f t="array" ref="R1732">_xlfn.IFS(P1732="Service", _xlfn.IFS(I1732="SALES","GP",I1732="SERVICE SALES","GP",I1732="PARTS SALES","GP",I1732="SERVICE COS","GP",I1732="PARTS COS","GP",I1732="SELLING EXPENSES","Selling Expenses",I1732="EMPLOYMENT EXPENSES","Selling Expenses",I1732="EMPLOYMENT EXPENSES","Selling Expenses",I1732="DIRECT EXPENSES","Selling Expenses",I1732="INDIRECT EXPENSES","Selling Expenses"),P1732="Parts",_xlfn.IFS(I1732="SALES","GP",I1732="SERVICE SALES","GP",I1732="PARTS SALES","GP",I1732="SERVICE COS","GP",I1732="PARTS COS","GP",I1732="SELLING EXPENSES","Selling Expenses",I1732="EMPLOYMENT EXPENSES","Selling Expenses",I1732="EMPLOYMENT EXPENSES","Selling Expenses",I1732="DIRECT EXPENSES","Selling Expenses",I1732="INDIRECT EXPENSES","Selling Expenses"))</f>
        <v>#N/A</v>
      </c>
    </row>
    <row r="1733" spans="1:18" x14ac:dyDescent="0.2">
      <c r="A1733" s="75">
        <v>7430</v>
      </c>
      <c r="B1733" s="76" t="s">
        <v>130</v>
      </c>
      <c r="C1733" s="76">
        <v>130</v>
      </c>
      <c r="D1733" s="76" t="s">
        <v>432</v>
      </c>
      <c r="E1733" s="76" t="s">
        <v>426</v>
      </c>
      <c r="F1733" s="77">
        <v>35401.25</v>
      </c>
      <c r="G1733" s="77">
        <v>5864.44</v>
      </c>
      <c r="H1733" s="77">
        <v>41265.69</v>
      </c>
      <c r="I1733" s="76" t="s">
        <v>968</v>
      </c>
      <c r="J1733" s="77">
        <v>5416.31</v>
      </c>
      <c r="K1733" s="78">
        <v>51016.47</v>
      </c>
      <c r="M1733" s="79" t="str">
        <f t="shared" si="83"/>
        <v>130-7430</v>
      </c>
      <c r="N1733" s="79" t="str">
        <f t="shared" si="81"/>
        <v/>
      </c>
      <c r="O1733" s="79" t="str">
        <f t="shared" si="82"/>
        <v>130</v>
      </c>
      <c r="P1733" s="79" t="str">
        <f>IFERROR(VLOOKUP($M1733,Export!$P:$R,2,FALSE),"-")</f>
        <v>Admin &amp; Other</v>
      </c>
      <c r="Q1733" s="79" t="str">
        <f>IFERROR(VLOOKUP($M1733,Export!$P:$R,3,FALSE),"-")</f>
        <v>Admin &amp; OtherData Processing as % of Total Gross Profit</v>
      </c>
      <c r="R1733" s="80" t="e" cm="1">
        <f t="array" ref="R1733">_xlfn.IFS(P1733="Service", _xlfn.IFS(I1733="SALES","GP",I1733="SERVICE SALES","GP",I1733="PARTS SALES","GP",I1733="SERVICE COS","GP",I1733="PARTS COS","GP",I1733="SELLING EXPENSES","Selling Expenses",I1733="EMPLOYMENT EXPENSES","Selling Expenses",I1733="EMPLOYMENT EXPENSES","Selling Expenses",I1733="DIRECT EXPENSES","Selling Expenses",I1733="INDIRECT EXPENSES","Selling Expenses"),P1733="Parts",_xlfn.IFS(I1733="SALES","GP",I1733="SERVICE SALES","GP",I1733="PARTS SALES","GP",I1733="SERVICE COS","GP",I1733="PARTS COS","GP",I1733="SELLING EXPENSES","Selling Expenses",I1733="EMPLOYMENT EXPENSES","Selling Expenses",I1733="EMPLOYMENT EXPENSES","Selling Expenses",I1733="DIRECT EXPENSES","Selling Expenses",I1733="INDIRECT EXPENSES","Selling Expenses"))</f>
        <v>#N/A</v>
      </c>
    </row>
    <row r="1734" spans="1:18" x14ac:dyDescent="0.2">
      <c r="A1734" s="75">
        <v>7430</v>
      </c>
      <c r="B1734" s="76" t="s">
        <v>130</v>
      </c>
      <c r="C1734" s="76">
        <v>140</v>
      </c>
      <c r="D1734" s="76" t="s">
        <v>433</v>
      </c>
      <c r="E1734" s="76" t="s">
        <v>426</v>
      </c>
      <c r="F1734" s="77">
        <v>41409.71</v>
      </c>
      <c r="G1734" s="77">
        <v>6027.06</v>
      </c>
      <c r="H1734" s="77">
        <v>47436.77</v>
      </c>
      <c r="I1734" s="76" t="s">
        <v>968</v>
      </c>
      <c r="J1734" s="77">
        <v>5900</v>
      </c>
      <c r="K1734" s="78">
        <v>57107.4</v>
      </c>
      <c r="M1734" s="79" t="str">
        <f t="shared" si="83"/>
        <v>140-7430</v>
      </c>
      <c r="N1734" s="79" t="str">
        <f t="shared" si="81"/>
        <v/>
      </c>
      <c r="O1734" s="79" t="str">
        <f t="shared" si="82"/>
        <v>140</v>
      </c>
      <c r="P1734" s="79" t="str">
        <f>IFERROR(VLOOKUP($M1734,Export!$P:$R,2,FALSE),"-")</f>
        <v>Admin &amp; Other</v>
      </c>
      <c r="Q1734" s="79" t="str">
        <f>IFERROR(VLOOKUP($M1734,Export!$P:$R,3,FALSE),"-")</f>
        <v>Admin &amp; OtherData Processing as % of Total Gross Profit</v>
      </c>
      <c r="R1734" s="80" t="e" cm="1">
        <f t="array" ref="R1734">_xlfn.IFS(P1734="Service", _xlfn.IFS(I1734="SALES","GP",I1734="SERVICE SALES","GP",I1734="PARTS SALES","GP",I1734="SERVICE COS","GP",I1734="PARTS COS","GP",I1734="SELLING EXPENSES","Selling Expenses",I1734="EMPLOYMENT EXPENSES","Selling Expenses",I1734="EMPLOYMENT EXPENSES","Selling Expenses",I1734="DIRECT EXPENSES","Selling Expenses",I1734="INDIRECT EXPENSES","Selling Expenses"),P1734="Parts",_xlfn.IFS(I1734="SALES","GP",I1734="SERVICE SALES","GP",I1734="PARTS SALES","GP",I1734="SERVICE COS","GP",I1734="PARTS COS","GP",I1734="SELLING EXPENSES","Selling Expenses",I1734="EMPLOYMENT EXPENSES","Selling Expenses",I1734="EMPLOYMENT EXPENSES","Selling Expenses",I1734="DIRECT EXPENSES","Selling Expenses",I1734="INDIRECT EXPENSES","Selling Expenses"))</f>
        <v>#N/A</v>
      </c>
    </row>
    <row r="1735" spans="1:18" x14ac:dyDescent="0.2">
      <c r="A1735" s="75">
        <v>7430</v>
      </c>
      <c r="B1735" s="76" t="s">
        <v>130</v>
      </c>
      <c r="C1735" s="76">
        <v>142</v>
      </c>
      <c r="D1735" s="76" t="s">
        <v>454</v>
      </c>
      <c r="E1735" s="76" t="s">
        <v>426</v>
      </c>
      <c r="F1735" s="77">
        <v>1876.58</v>
      </c>
      <c r="G1735" s="77">
        <v>133.68</v>
      </c>
      <c r="H1735" s="77">
        <v>2010.26</v>
      </c>
      <c r="I1735" s="76" t="s">
        <v>968</v>
      </c>
      <c r="J1735" s="77">
        <v>0</v>
      </c>
      <c r="K1735" s="78">
        <v>0</v>
      </c>
      <c r="M1735" s="79" t="str">
        <f t="shared" si="83"/>
        <v>142-7430</v>
      </c>
      <c r="N1735" s="79" t="str">
        <f t="shared" si="81"/>
        <v/>
      </c>
      <c r="O1735" s="79" t="str">
        <f t="shared" si="82"/>
        <v>142</v>
      </c>
      <c r="P1735" s="79" t="str">
        <f>IFERROR(VLOOKUP($M1735,Export!$P:$R,2,FALSE),"-")</f>
        <v>LEX Admin &amp; Other</v>
      </c>
      <c r="Q1735" s="79" t="str">
        <f>IFERROR(VLOOKUP($M1735,Export!$P:$R,3,FALSE),"-")</f>
        <v>LEX Admin &amp; OtherData Processing as % of Total Gross Profit</v>
      </c>
      <c r="R1735" s="80" t="e" cm="1">
        <f t="array" ref="R1735">_xlfn.IFS(P1735="Service", _xlfn.IFS(I1735="SALES","GP",I1735="SERVICE SALES","GP",I1735="PARTS SALES","GP",I1735="SERVICE COS","GP",I1735="PARTS COS","GP",I1735="SELLING EXPENSES","Selling Expenses",I1735="EMPLOYMENT EXPENSES","Selling Expenses",I1735="EMPLOYMENT EXPENSES","Selling Expenses",I1735="DIRECT EXPENSES","Selling Expenses",I1735="INDIRECT EXPENSES","Selling Expenses"),P1735="Parts",_xlfn.IFS(I1735="SALES","GP",I1735="SERVICE SALES","GP",I1735="PARTS SALES","GP",I1735="SERVICE COS","GP",I1735="PARTS COS","GP",I1735="SELLING EXPENSES","Selling Expenses",I1735="EMPLOYMENT EXPENSES","Selling Expenses",I1735="EMPLOYMENT EXPENSES","Selling Expenses",I1735="DIRECT EXPENSES","Selling Expenses",I1735="INDIRECT EXPENSES","Selling Expenses"))</f>
        <v>#N/A</v>
      </c>
    </row>
    <row r="1736" spans="1:18" x14ac:dyDescent="0.2">
      <c r="A1736" s="75">
        <v>7430</v>
      </c>
      <c r="B1736" s="76" t="s">
        <v>130</v>
      </c>
      <c r="C1736" s="76">
        <v>147</v>
      </c>
      <c r="D1736" s="76" t="s">
        <v>699</v>
      </c>
      <c r="E1736" s="76" t="s">
        <v>426</v>
      </c>
      <c r="F1736" s="77">
        <v>20.48</v>
      </c>
      <c r="G1736" s="77">
        <v>0</v>
      </c>
      <c r="H1736" s="77">
        <v>20.48</v>
      </c>
      <c r="I1736" s="76" t="s">
        <v>968</v>
      </c>
      <c r="J1736" s="77">
        <v>200</v>
      </c>
      <c r="K1736" s="78">
        <v>1589.08</v>
      </c>
      <c r="M1736" s="79" t="str">
        <f t="shared" si="83"/>
        <v>147-7430</v>
      </c>
      <c r="N1736" s="79" t="str">
        <f t="shared" si="81"/>
        <v/>
      </c>
      <c r="O1736" s="79" t="str">
        <f t="shared" si="82"/>
        <v>147</v>
      </c>
      <c r="P1736" s="79" t="str">
        <f>IFERROR(VLOOKUP($M1736,Export!$P:$R,2,FALSE),"-")</f>
        <v>Admin &amp; Other</v>
      </c>
      <c r="Q1736" s="79" t="str">
        <f>IFERROR(VLOOKUP($M1736,Export!$P:$R,3,FALSE),"-")</f>
        <v>Admin &amp; OtherData Processing as % of Total Gross Profit</v>
      </c>
      <c r="R1736" s="80" t="e" cm="1">
        <f t="array" ref="R1736">_xlfn.IFS(P1736="Service", _xlfn.IFS(I1736="SALES","GP",I1736="SERVICE SALES","GP",I1736="PARTS SALES","GP",I1736="SERVICE COS","GP",I1736="PARTS COS","GP",I1736="SELLING EXPENSES","Selling Expenses",I1736="EMPLOYMENT EXPENSES","Selling Expenses",I1736="EMPLOYMENT EXPENSES","Selling Expenses",I1736="DIRECT EXPENSES","Selling Expenses",I1736="INDIRECT EXPENSES","Selling Expenses"),P1736="Parts",_xlfn.IFS(I1736="SALES","GP",I1736="SERVICE SALES","GP",I1736="PARTS SALES","GP",I1736="SERVICE COS","GP",I1736="PARTS COS","GP",I1736="SELLING EXPENSES","Selling Expenses",I1736="EMPLOYMENT EXPENSES","Selling Expenses",I1736="EMPLOYMENT EXPENSES","Selling Expenses",I1736="DIRECT EXPENSES","Selling Expenses",I1736="INDIRECT EXPENSES","Selling Expenses"))</f>
        <v>#N/A</v>
      </c>
    </row>
    <row r="1737" spans="1:18" x14ac:dyDescent="0.2">
      <c r="A1737" s="75">
        <v>7430</v>
      </c>
      <c r="B1737" s="76" t="s">
        <v>130</v>
      </c>
      <c r="C1737" s="76">
        <v>150</v>
      </c>
      <c r="D1737" s="76" t="s">
        <v>700</v>
      </c>
      <c r="E1737" s="76" t="s">
        <v>426</v>
      </c>
      <c r="F1737" s="77">
        <v>213.9</v>
      </c>
      <c r="G1737" s="77">
        <v>71.3</v>
      </c>
      <c r="H1737" s="77">
        <v>285.2</v>
      </c>
      <c r="I1737" s="76" t="s">
        <v>968</v>
      </c>
      <c r="J1737" s="77">
        <v>0</v>
      </c>
      <c r="K1737" s="78">
        <v>0</v>
      </c>
      <c r="M1737" s="79" t="str">
        <f t="shared" si="83"/>
        <v>150-7430</v>
      </c>
      <c r="N1737" s="79" t="str">
        <f t="shared" si="81"/>
        <v/>
      </c>
      <c r="O1737" s="79" t="str">
        <f t="shared" si="82"/>
        <v>150</v>
      </c>
      <c r="P1737" s="79" t="str">
        <f>IFERROR(VLOOKUP($M1737,Export!$P:$R,2,FALSE),"-")</f>
        <v>LEX Admin &amp; Other</v>
      </c>
      <c r="Q1737" s="79" t="str">
        <f>IFERROR(VLOOKUP($M1737,Export!$P:$R,3,FALSE),"-")</f>
        <v>LEX Admin &amp; OtherData Processing as % of Total Gross Profit</v>
      </c>
      <c r="R1737" s="80" t="e" cm="1">
        <f t="array" ref="R1737">_xlfn.IFS(P1737="Service", _xlfn.IFS(I1737="SALES","GP",I1737="SERVICE SALES","GP",I1737="PARTS SALES","GP",I1737="SERVICE COS","GP",I1737="PARTS COS","GP",I1737="SELLING EXPENSES","Selling Expenses",I1737="EMPLOYMENT EXPENSES","Selling Expenses",I1737="EMPLOYMENT EXPENSES","Selling Expenses",I1737="DIRECT EXPENSES","Selling Expenses",I1737="INDIRECT EXPENSES","Selling Expenses"),P1737="Parts",_xlfn.IFS(I1737="SALES","GP",I1737="SERVICE SALES","GP",I1737="PARTS SALES","GP",I1737="SERVICE COS","GP",I1737="PARTS COS","GP",I1737="SELLING EXPENSES","Selling Expenses",I1737="EMPLOYMENT EXPENSES","Selling Expenses",I1737="EMPLOYMENT EXPENSES","Selling Expenses",I1737="DIRECT EXPENSES","Selling Expenses",I1737="INDIRECT EXPENSES","Selling Expenses"))</f>
        <v>#N/A</v>
      </c>
    </row>
    <row r="1738" spans="1:18" x14ac:dyDescent="0.2">
      <c r="A1738" s="75">
        <v>7430</v>
      </c>
      <c r="B1738" s="76" t="s">
        <v>130</v>
      </c>
      <c r="C1738" s="76">
        <v>160</v>
      </c>
      <c r="D1738" s="76" t="s">
        <v>434</v>
      </c>
      <c r="E1738" s="76" t="s">
        <v>426</v>
      </c>
      <c r="F1738" s="77">
        <v>4016.81</v>
      </c>
      <c r="G1738" s="77">
        <v>1715.08</v>
      </c>
      <c r="H1738" s="77">
        <v>5731.89</v>
      </c>
      <c r="I1738" s="76" t="s">
        <v>968</v>
      </c>
      <c r="J1738" s="77">
        <v>2100</v>
      </c>
      <c r="K1738" s="78">
        <v>19649.650000000001</v>
      </c>
      <c r="M1738" s="79" t="str">
        <f t="shared" si="83"/>
        <v>160-7430</v>
      </c>
      <c r="N1738" s="79" t="str">
        <f t="shared" si="81"/>
        <v/>
      </c>
      <c r="O1738" s="79" t="str">
        <f t="shared" si="82"/>
        <v>160</v>
      </c>
      <c r="P1738" s="79" t="str">
        <f>IFERROR(VLOOKUP($M1738,Export!$P:$R,2,FALSE),"-")</f>
        <v>Admin &amp; Other</v>
      </c>
      <c r="Q1738" s="79" t="str">
        <f>IFERROR(VLOOKUP($M1738,Export!$P:$R,3,FALSE),"-")</f>
        <v>Admin &amp; OtherData Processing as % of Total Gross Profit</v>
      </c>
      <c r="R1738" s="80" t="e" cm="1">
        <f t="array" ref="R1738">_xlfn.IFS(P1738="Service", _xlfn.IFS(I1738="SALES","GP",I1738="SERVICE SALES","GP",I1738="PARTS SALES","GP",I1738="SERVICE COS","GP",I1738="PARTS COS","GP",I1738="SELLING EXPENSES","Selling Expenses",I1738="EMPLOYMENT EXPENSES","Selling Expenses",I1738="EMPLOYMENT EXPENSES","Selling Expenses",I1738="DIRECT EXPENSES","Selling Expenses",I1738="INDIRECT EXPENSES","Selling Expenses"),P1738="Parts",_xlfn.IFS(I1738="SALES","GP",I1738="SERVICE SALES","GP",I1738="PARTS SALES","GP",I1738="SERVICE COS","GP",I1738="PARTS COS","GP",I1738="SELLING EXPENSES","Selling Expenses",I1738="EMPLOYMENT EXPENSES","Selling Expenses",I1738="EMPLOYMENT EXPENSES","Selling Expenses",I1738="DIRECT EXPENSES","Selling Expenses",I1738="INDIRECT EXPENSES","Selling Expenses"))</f>
        <v>#N/A</v>
      </c>
    </row>
    <row r="1739" spans="1:18" x14ac:dyDescent="0.2">
      <c r="A1739" s="75">
        <v>7430</v>
      </c>
      <c r="B1739" s="76" t="s">
        <v>130</v>
      </c>
      <c r="C1739" s="76">
        <v>162</v>
      </c>
      <c r="D1739" s="76" t="s">
        <v>455</v>
      </c>
      <c r="E1739" s="76" t="s">
        <v>426</v>
      </c>
      <c r="F1739" s="77">
        <v>9020.3799999999992</v>
      </c>
      <c r="G1739" s="77">
        <v>1304.55</v>
      </c>
      <c r="H1739" s="77">
        <v>10324.93</v>
      </c>
      <c r="I1739" s="76" t="s">
        <v>968</v>
      </c>
      <c r="J1739" s="77">
        <v>0</v>
      </c>
      <c r="K1739" s="78">
        <v>3742.88</v>
      </c>
      <c r="M1739" s="79" t="str">
        <f t="shared" si="83"/>
        <v>162-7430</v>
      </c>
      <c r="N1739" s="79" t="str">
        <f t="shared" si="81"/>
        <v/>
      </c>
      <c r="O1739" s="79" t="str">
        <f t="shared" si="82"/>
        <v>162</v>
      </c>
      <c r="P1739" s="79" t="str">
        <f>IFERROR(VLOOKUP($M1739,Export!$P:$R,2,FALSE),"-")</f>
        <v>LEX Admin &amp; Other</v>
      </c>
      <c r="Q1739" s="79" t="str">
        <f>IFERROR(VLOOKUP($M1739,Export!$P:$R,3,FALSE),"-")</f>
        <v>LEX Admin &amp; OtherData Processing as % of Total Gross Profit</v>
      </c>
      <c r="R1739" s="80" t="e" cm="1">
        <f t="array" ref="R1739">_xlfn.IFS(P1739="Service", _xlfn.IFS(I1739="SALES","GP",I1739="SERVICE SALES","GP",I1739="PARTS SALES","GP",I1739="SERVICE COS","GP",I1739="PARTS COS","GP",I1739="SELLING EXPENSES","Selling Expenses",I1739="EMPLOYMENT EXPENSES","Selling Expenses",I1739="EMPLOYMENT EXPENSES","Selling Expenses",I1739="DIRECT EXPENSES","Selling Expenses",I1739="INDIRECT EXPENSES","Selling Expenses"),P1739="Parts",_xlfn.IFS(I1739="SALES","GP",I1739="SERVICE SALES","GP",I1739="PARTS SALES","GP",I1739="SERVICE COS","GP",I1739="PARTS COS","GP",I1739="SELLING EXPENSES","Selling Expenses",I1739="EMPLOYMENT EXPENSES","Selling Expenses",I1739="EMPLOYMENT EXPENSES","Selling Expenses",I1739="DIRECT EXPENSES","Selling Expenses",I1739="INDIRECT EXPENSES","Selling Expenses"))</f>
        <v>#N/A</v>
      </c>
    </row>
    <row r="1740" spans="1:18" x14ac:dyDescent="0.2">
      <c r="A1740" s="75">
        <v>7430</v>
      </c>
      <c r="B1740" s="76" t="s">
        <v>130</v>
      </c>
      <c r="C1740" s="76">
        <v>190</v>
      </c>
      <c r="D1740" s="76" t="s">
        <v>435</v>
      </c>
      <c r="E1740" s="76" t="s">
        <v>426</v>
      </c>
      <c r="F1740" s="77">
        <v>3374.02</v>
      </c>
      <c r="G1740" s="77">
        <v>1045</v>
      </c>
      <c r="H1740" s="77">
        <v>4419.0200000000004</v>
      </c>
      <c r="I1740" s="76" t="s">
        <v>968</v>
      </c>
      <c r="J1740" s="77">
        <v>0</v>
      </c>
      <c r="K1740" s="78">
        <v>0</v>
      </c>
      <c r="M1740" s="79" t="str">
        <f t="shared" si="83"/>
        <v>190-7430</v>
      </c>
      <c r="N1740" s="79" t="str">
        <f t="shared" si="81"/>
        <v/>
      </c>
      <c r="O1740" s="79" t="str">
        <f t="shared" si="82"/>
        <v>190</v>
      </c>
      <c r="P1740" s="79" t="str">
        <f>IFERROR(VLOOKUP($M1740,Export!$P:$R,2,FALSE),"-")</f>
        <v>Admin &amp; Other</v>
      </c>
      <c r="Q1740" s="79" t="str">
        <f>IFERROR(VLOOKUP($M1740,Export!$P:$R,3,FALSE),"-")</f>
        <v>Admin &amp; OtherData Processing as % of Total Gross Profit</v>
      </c>
      <c r="R1740" s="80" t="e" cm="1">
        <f t="array" ref="R1740">_xlfn.IFS(P1740="Service", _xlfn.IFS(I1740="SALES","GP",I1740="SERVICE SALES","GP",I1740="PARTS SALES","GP",I1740="SERVICE COS","GP",I1740="PARTS COS","GP",I1740="SELLING EXPENSES","Selling Expenses",I1740="EMPLOYMENT EXPENSES","Selling Expenses",I1740="EMPLOYMENT EXPENSES","Selling Expenses",I1740="DIRECT EXPENSES","Selling Expenses",I1740="INDIRECT EXPENSES","Selling Expenses"),P1740="Parts",_xlfn.IFS(I1740="SALES","GP",I1740="SERVICE SALES","GP",I1740="PARTS SALES","GP",I1740="SERVICE COS","GP",I1740="PARTS COS","GP",I1740="SELLING EXPENSES","Selling Expenses",I1740="EMPLOYMENT EXPENSES","Selling Expenses",I1740="EMPLOYMENT EXPENSES","Selling Expenses",I1740="DIRECT EXPENSES","Selling Expenses",I1740="INDIRECT EXPENSES","Selling Expenses"))</f>
        <v>#N/A</v>
      </c>
    </row>
    <row r="1741" spans="1:18" x14ac:dyDescent="0.2">
      <c r="A1741" s="75">
        <v>7430</v>
      </c>
      <c r="B1741" s="76" t="s">
        <v>130</v>
      </c>
      <c r="C1741" s="76">
        <v>210</v>
      </c>
      <c r="D1741" s="76" t="s">
        <v>436</v>
      </c>
      <c r="E1741" s="76" t="s">
        <v>426</v>
      </c>
      <c r="F1741" s="77">
        <v>14866.54</v>
      </c>
      <c r="G1741" s="77">
        <v>1984.94</v>
      </c>
      <c r="H1741" s="77">
        <v>16851.48</v>
      </c>
      <c r="I1741" s="76" t="s">
        <v>968</v>
      </c>
      <c r="J1741" s="77">
        <v>3425</v>
      </c>
      <c r="K1741" s="78">
        <v>31705.65</v>
      </c>
      <c r="M1741" s="79" t="str">
        <f t="shared" si="83"/>
        <v>210-7430</v>
      </c>
      <c r="N1741" s="79" t="str">
        <f t="shared" si="81"/>
        <v/>
      </c>
      <c r="O1741" s="79" t="str">
        <f t="shared" si="82"/>
        <v>210</v>
      </c>
      <c r="P1741" s="79" t="str">
        <f>IFERROR(VLOOKUP($M1741,Export!$P:$R,2,FALSE),"-")</f>
        <v>Admin &amp; Other</v>
      </c>
      <c r="Q1741" s="79" t="str">
        <f>IFERROR(VLOOKUP($M1741,Export!$P:$R,3,FALSE),"-")</f>
        <v>Admin &amp; OtherData Processing as % of Total Gross Profit</v>
      </c>
      <c r="R1741" s="80" t="e" cm="1">
        <f t="array" ref="R1741">_xlfn.IFS(P1741="Service", _xlfn.IFS(I1741="SALES","GP",I1741="SERVICE SALES","GP",I1741="PARTS SALES","GP",I1741="SERVICE COS","GP",I1741="PARTS COS","GP",I1741="SELLING EXPENSES","Selling Expenses",I1741="EMPLOYMENT EXPENSES","Selling Expenses",I1741="EMPLOYMENT EXPENSES","Selling Expenses",I1741="DIRECT EXPENSES","Selling Expenses",I1741="INDIRECT EXPENSES","Selling Expenses"),P1741="Parts",_xlfn.IFS(I1741="SALES","GP",I1741="SERVICE SALES","GP",I1741="PARTS SALES","GP",I1741="SERVICE COS","GP",I1741="PARTS COS","GP",I1741="SELLING EXPENSES","Selling Expenses",I1741="EMPLOYMENT EXPENSES","Selling Expenses",I1741="EMPLOYMENT EXPENSES","Selling Expenses",I1741="DIRECT EXPENSES","Selling Expenses",I1741="INDIRECT EXPENSES","Selling Expenses"))</f>
        <v>#N/A</v>
      </c>
    </row>
    <row r="1742" spans="1:18" x14ac:dyDescent="0.2">
      <c r="A1742" s="75">
        <v>7430</v>
      </c>
      <c r="B1742" s="76" t="s">
        <v>130</v>
      </c>
      <c r="C1742" s="76">
        <v>220</v>
      </c>
      <c r="D1742" s="76" t="s">
        <v>437</v>
      </c>
      <c r="E1742" s="76" t="s">
        <v>426</v>
      </c>
      <c r="F1742" s="77">
        <v>12248.78</v>
      </c>
      <c r="G1742" s="77">
        <v>1619.43</v>
      </c>
      <c r="H1742" s="77">
        <v>13868.21</v>
      </c>
      <c r="I1742" s="76" t="s">
        <v>968</v>
      </c>
      <c r="J1742" s="77">
        <v>2203.4299999999998</v>
      </c>
      <c r="K1742" s="78">
        <v>18300.45</v>
      </c>
      <c r="M1742" s="79" t="str">
        <f t="shared" si="83"/>
        <v>220-7430</v>
      </c>
      <c r="N1742" s="79" t="str">
        <f t="shared" si="81"/>
        <v/>
      </c>
      <c r="O1742" s="79" t="str">
        <f t="shared" si="82"/>
        <v>220</v>
      </c>
      <c r="P1742" s="79" t="str">
        <f>IFERROR(VLOOKUP($M1742,Export!$P:$R,2,FALSE),"-")</f>
        <v>Admin &amp; Other</v>
      </c>
      <c r="Q1742" s="79" t="str">
        <f>IFERROR(VLOOKUP($M1742,Export!$P:$R,3,FALSE),"-")</f>
        <v>Admin &amp; OtherData Processing as % of Total Gross Profit</v>
      </c>
      <c r="R1742" s="80" t="e" cm="1">
        <f t="array" ref="R1742">_xlfn.IFS(P1742="Service", _xlfn.IFS(I1742="SALES","GP",I1742="SERVICE SALES","GP",I1742="PARTS SALES","GP",I1742="SERVICE COS","GP",I1742="PARTS COS","GP",I1742="SELLING EXPENSES","Selling Expenses",I1742="EMPLOYMENT EXPENSES","Selling Expenses",I1742="EMPLOYMENT EXPENSES","Selling Expenses",I1742="DIRECT EXPENSES","Selling Expenses",I1742="INDIRECT EXPENSES","Selling Expenses"),P1742="Parts",_xlfn.IFS(I1742="SALES","GP",I1742="SERVICE SALES","GP",I1742="PARTS SALES","GP",I1742="SERVICE COS","GP",I1742="PARTS COS","GP",I1742="SELLING EXPENSES","Selling Expenses",I1742="EMPLOYMENT EXPENSES","Selling Expenses",I1742="EMPLOYMENT EXPENSES","Selling Expenses",I1742="DIRECT EXPENSES","Selling Expenses",I1742="INDIRECT EXPENSES","Selling Expenses"))</f>
        <v>#N/A</v>
      </c>
    </row>
    <row r="1743" spans="1:18" x14ac:dyDescent="0.2">
      <c r="A1743" s="75">
        <v>7430</v>
      </c>
      <c r="B1743" s="76" t="s">
        <v>130</v>
      </c>
      <c r="C1743" s="76">
        <v>230</v>
      </c>
      <c r="D1743" s="76" t="s">
        <v>438</v>
      </c>
      <c r="E1743" s="76" t="s">
        <v>426</v>
      </c>
      <c r="F1743" s="77">
        <v>8994.6200000000008</v>
      </c>
      <c r="G1743" s="77">
        <v>837.91</v>
      </c>
      <c r="H1743" s="77">
        <v>9832.5300000000007</v>
      </c>
      <c r="I1743" s="76" t="s">
        <v>968</v>
      </c>
      <c r="J1743" s="77">
        <v>2300</v>
      </c>
      <c r="K1743" s="78">
        <v>20013.12</v>
      </c>
      <c r="M1743" s="79" t="str">
        <f t="shared" si="83"/>
        <v>230-7430</v>
      </c>
      <c r="N1743" s="79" t="str">
        <f t="shared" si="81"/>
        <v/>
      </c>
      <c r="O1743" s="79" t="str">
        <f t="shared" si="82"/>
        <v>230</v>
      </c>
      <c r="P1743" s="79" t="str">
        <f>IFERROR(VLOOKUP($M1743,Export!$P:$R,2,FALSE),"-")</f>
        <v>Admin &amp; Other</v>
      </c>
      <c r="Q1743" s="79" t="str">
        <f>IFERROR(VLOOKUP($M1743,Export!$P:$R,3,FALSE),"-")</f>
        <v>Admin &amp; OtherData Processing as % of Total Gross Profit</v>
      </c>
      <c r="R1743" s="80" t="e" cm="1">
        <f t="array" ref="R1743">_xlfn.IFS(P1743="Service", _xlfn.IFS(I1743="SALES","GP",I1743="SERVICE SALES","GP",I1743="PARTS SALES","GP",I1743="SERVICE COS","GP",I1743="PARTS COS","GP",I1743="SELLING EXPENSES","Selling Expenses",I1743="EMPLOYMENT EXPENSES","Selling Expenses",I1743="EMPLOYMENT EXPENSES","Selling Expenses",I1743="DIRECT EXPENSES","Selling Expenses",I1743="INDIRECT EXPENSES","Selling Expenses"),P1743="Parts",_xlfn.IFS(I1743="SALES","GP",I1743="SERVICE SALES","GP",I1743="PARTS SALES","GP",I1743="SERVICE COS","GP",I1743="PARTS COS","GP",I1743="SELLING EXPENSES","Selling Expenses",I1743="EMPLOYMENT EXPENSES","Selling Expenses",I1743="EMPLOYMENT EXPENSES","Selling Expenses",I1743="DIRECT EXPENSES","Selling Expenses",I1743="INDIRECT EXPENSES","Selling Expenses"))</f>
        <v>#N/A</v>
      </c>
    </row>
    <row r="1744" spans="1:18" x14ac:dyDescent="0.2">
      <c r="A1744" s="75">
        <v>7430</v>
      </c>
      <c r="B1744" s="76" t="s">
        <v>130</v>
      </c>
      <c r="C1744" s="76">
        <v>240</v>
      </c>
      <c r="D1744" s="76" t="s">
        <v>439</v>
      </c>
      <c r="E1744" s="76" t="s">
        <v>426</v>
      </c>
      <c r="F1744" s="77">
        <v>10244.709999999999</v>
      </c>
      <c r="G1744" s="77">
        <v>1237.9100000000001</v>
      </c>
      <c r="H1744" s="77">
        <v>11482.62</v>
      </c>
      <c r="I1744" s="76" t="s">
        <v>968</v>
      </c>
      <c r="J1744" s="77">
        <v>2518.8000000000002</v>
      </c>
      <c r="K1744" s="78">
        <v>21112.83</v>
      </c>
      <c r="M1744" s="79" t="str">
        <f t="shared" si="83"/>
        <v>240-7430</v>
      </c>
      <c r="N1744" s="79" t="str">
        <f t="shared" si="81"/>
        <v/>
      </c>
      <c r="O1744" s="79" t="str">
        <f t="shared" si="82"/>
        <v>240</v>
      </c>
      <c r="P1744" s="79" t="str">
        <f>IFERROR(VLOOKUP($M1744,Export!$P:$R,2,FALSE),"-")</f>
        <v>Admin &amp; Other</v>
      </c>
      <c r="Q1744" s="79" t="str">
        <f>IFERROR(VLOOKUP($M1744,Export!$P:$R,3,FALSE),"-")</f>
        <v>Admin &amp; OtherData Processing as % of Total Gross Profit</v>
      </c>
      <c r="R1744" s="80" t="e" cm="1">
        <f t="array" ref="R1744">_xlfn.IFS(P1744="Service", _xlfn.IFS(I1744="SALES","GP",I1744="SERVICE SALES","GP",I1744="PARTS SALES","GP",I1744="SERVICE COS","GP",I1744="PARTS COS","GP",I1744="SELLING EXPENSES","Selling Expenses",I1744="EMPLOYMENT EXPENSES","Selling Expenses",I1744="EMPLOYMENT EXPENSES","Selling Expenses",I1744="DIRECT EXPENSES","Selling Expenses",I1744="INDIRECT EXPENSES","Selling Expenses"),P1744="Parts",_xlfn.IFS(I1744="SALES","GP",I1744="SERVICE SALES","GP",I1744="PARTS SALES","GP",I1744="SERVICE COS","GP",I1744="PARTS COS","GP",I1744="SELLING EXPENSES","Selling Expenses",I1744="EMPLOYMENT EXPENSES","Selling Expenses",I1744="EMPLOYMENT EXPENSES","Selling Expenses",I1744="DIRECT EXPENSES","Selling Expenses",I1744="INDIRECT EXPENSES","Selling Expenses"))</f>
        <v>#N/A</v>
      </c>
    </row>
    <row r="1745" spans="1:18" x14ac:dyDescent="0.2">
      <c r="A1745" s="75">
        <v>7430</v>
      </c>
      <c r="B1745" s="76" t="s">
        <v>130</v>
      </c>
      <c r="C1745" s="76">
        <v>260</v>
      </c>
      <c r="D1745" s="76" t="s">
        <v>456</v>
      </c>
      <c r="E1745" s="76" t="s">
        <v>426</v>
      </c>
      <c r="F1745" s="77">
        <v>3790.96</v>
      </c>
      <c r="G1745" s="77">
        <v>17.82</v>
      </c>
      <c r="H1745" s="77">
        <v>3808.78</v>
      </c>
      <c r="I1745" s="76" t="s">
        <v>968</v>
      </c>
      <c r="J1745" s="77">
        <v>19.38</v>
      </c>
      <c r="K1745" s="78">
        <v>181.28</v>
      </c>
      <c r="M1745" s="79" t="str">
        <f t="shared" si="83"/>
        <v>260-7430</v>
      </c>
      <c r="N1745" s="79" t="str">
        <f t="shared" si="81"/>
        <v/>
      </c>
      <c r="O1745" s="79" t="str">
        <f t="shared" si="82"/>
        <v>260</v>
      </c>
      <c r="P1745" s="79" t="str">
        <f>IFERROR(VLOOKUP($M1745,Export!$P:$R,2,FALSE),"-")</f>
        <v>Admin &amp; Other</v>
      </c>
      <c r="Q1745" s="79" t="str">
        <f>IFERROR(VLOOKUP($M1745,Export!$P:$R,3,FALSE),"-")</f>
        <v>Admin &amp; OtherData Processing as % of Total Gross Profit</v>
      </c>
      <c r="R1745" s="80" t="e" cm="1">
        <f t="array" ref="R1745">_xlfn.IFS(P1745="Service", _xlfn.IFS(I1745="SALES","GP",I1745="SERVICE SALES","GP",I1745="PARTS SALES","GP",I1745="SERVICE COS","GP",I1745="PARTS COS","GP",I1745="SELLING EXPENSES","Selling Expenses",I1745="EMPLOYMENT EXPENSES","Selling Expenses",I1745="EMPLOYMENT EXPENSES","Selling Expenses",I1745="DIRECT EXPENSES","Selling Expenses",I1745="INDIRECT EXPENSES","Selling Expenses"),P1745="Parts",_xlfn.IFS(I1745="SALES","GP",I1745="SERVICE SALES","GP",I1745="PARTS SALES","GP",I1745="SERVICE COS","GP",I1745="PARTS COS","GP",I1745="SELLING EXPENSES","Selling Expenses",I1745="EMPLOYMENT EXPENSES","Selling Expenses",I1745="EMPLOYMENT EXPENSES","Selling Expenses",I1745="DIRECT EXPENSES","Selling Expenses",I1745="INDIRECT EXPENSES","Selling Expenses"))</f>
        <v>#N/A</v>
      </c>
    </row>
    <row r="1746" spans="1:18" x14ac:dyDescent="0.2">
      <c r="A1746" s="75">
        <v>7430</v>
      </c>
      <c r="B1746" s="76" t="s">
        <v>130</v>
      </c>
      <c r="C1746" s="76">
        <v>330</v>
      </c>
      <c r="D1746" s="76" t="s">
        <v>457</v>
      </c>
      <c r="E1746" s="76" t="s">
        <v>426</v>
      </c>
      <c r="F1746" s="77">
        <v>2619.38</v>
      </c>
      <c r="G1746" s="77">
        <v>8.91</v>
      </c>
      <c r="H1746" s="77">
        <v>2628.29</v>
      </c>
      <c r="I1746" s="76" t="s">
        <v>968</v>
      </c>
      <c r="J1746" s="77">
        <v>10.63</v>
      </c>
      <c r="K1746" s="78">
        <v>118.78</v>
      </c>
      <c r="M1746" s="79" t="str">
        <f t="shared" si="83"/>
        <v>330-7430</v>
      </c>
      <c r="N1746" s="79" t="str">
        <f t="shared" si="81"/>
        <v/>
      </c>
      <c r="O1746" s="79" t="str">
        <f t="shared" si="82"/>
        <v>330</v>
      </c>
      <c r="P1746" s="79" t="str">
        <f>IFERROR(VLOOKUP($M1746,Export!$P:$R,2,FALSE),"-")</f>
        <v>Admin &amp; Other</v>
      </c>
      <c r="Q1746" s="79" t="str">
        <f>IFERROR(VLOOKUP($M1746,Export!$P:$R,3,FALSE),"-")</f>
        <v>Admin &amp; OtherData Processing as % of Total Gross Profit</v>
      </c>
      <c r="R1746" s="80" t="e" cm="1">
        <f t="array" ref="R1746">_xlfn.IFS(P1746="Service", _xlfn.IFS(I1746="SALES","GP",I1746="SERVICE SALES","GP",I1746="PARTS SALES","GP",I1746="SERVICE COS","GP",I1746="PARTS COS","GP",I1746="SELLING EXPENSES","Selling Expenses",I1746="EMPLOYMENT EXPENSES","Selling Expenses",I1746="EMPLOYMENT EXPENSES","Selling Expenses",I1746="DIRECT EXPENSES","Selling Expenses",I1746="INDIRECT EXPENSES","Selling Expenses"),P1746="Parts",_xlfn.IFS(I1746="SALES","GP",I1746="SERVICE SALES","GP",I1746="PARTS SALES","GP",I1746="SERVICE COS","GP",I1746="PARTS COS","GP",I1746="SELLING EXPENSES","Selling Expenses",I1746="EMPLOYMENT EXPENSES","Selling Expenses",I1746="EMPLOYMENT EXPENSES","Selling Expenses",I1746="DIRECT EXPENSES","Selling Expenses",I1746="INDIRECT EXPENSES","Selling Expenses"))</f>
        <v>#N/A</v>
      </c>
    </row>
    <row r="1747" spans="1:18" x14ac:dyDescent="0.2">
      <c r="A1747" s="75">
        <v>7430</v>
      </c>
      <c r="B1747" s="76" t="s">
        <v>130</v>
      </c>
      <c r="C1747" s="76">
        <v>340</v>
      </c>
      <c r="D1747" s="76" t="s">
        <v>440</v>
      </c>
      <c r="E1747" s="76" t="s">
        <v>426</v>
      </c>
      <c r="F1747" s="77">
        <v>5198.5200000000004</v>
      </c>
      <c r="G1747" s="77">
        <v>573.91</v>
      </c>
      <c r="H1747" s="77">
        <v>5772.43</v>
      </c>
      <c r="I1747" s="76" t="s">
        <v>968</v>
      </c>
      <c r="J1747" s="77">
        <v>1103.07</v>
      </c>
      <c r="K1747" s="78">
        <v>9016.92</v>
      </c>
      <c r="M1747" s="79" t="str">
        <f t="shared" si="83"/>
        <v>340-7430</v>
      </c>
      <c r="N1747" s="79" t="str">
        <f t="shared" si="81"/>
        <v/>
      </c>
      <c r="O1747" s="79" t="str">
        <f t="shared" si="82"/>
        <v>340</v>
      </c>
      <c r="P1747" s="79" t="str">
        <f>IFERROR(VLOOKUP($M1747,Export!$P:$R,2,FALSE),"-")</f>
        <v>Admin &amp; Other</v>
      </c>
      <c r="Q1747" s="79" t="str">
        <f>IFERROR(VLOOKUP($M1747,Export!$P:$R,3,FALSE),"-")</f>
        <v>Admin &amp; OtherData Processing as % of Total Gross Profit</v>
      </c>
      <c r="R1747" s="80" t="e" cm="1">
        <f t="array" ref="R1747">_xlfn.IFS(P1747="Service", _xlfn.IFS(I1747="SALES","GP",I1747="SERVICE SALES","GP",I1747="PARTS SALES","GP",I1747="SERVICE COS","GP",I1747="PARTS COS","GP",I1747="SELLING EXPENSES","Selling Expenses",I1747="EMPLOYMENT EXPENSES","Selling Expenses",I1747="EMPLOYMENT EXPENSES","Selling Expenses",I1747="DIRECT EXPENSES","Selling Expenses",I1747="INDIRECT EXPENSES","Selling Expenses"),P1747="Parts",_xlfn.IFS(I1747="SALES","GP",I1747="SERVICE SALES","GP",I1747="PARTS SALES","GP",I1747="SERVICE COS","GP",I1747="PARTS COS","GP",I1747="SELLING EXPENSES","Selling Expenses",I1747="EMPLOYMENT EXPENSES","Selling Expenses",I1747="EMPLOYMENT EXPENSES","Selling Expenses",I1747="DIRECT EXPENSES","Selling Expenses",I1747="INDIRECT EXPENSES","Selling Expenses"))</f>
        <v>#N/A</v>
      </c>
    </row>
    <row r="1748" spans="1:18" x14ac:dyDescent="0.2">
      <c r="A1748" s="75">
        <v>7430</v>
      </c>
      <c r="B1748" s="76" t="s">
        <v>130</v>
      </c>
      <c r="C1748" s="76">
        <v>430</v>
      </c>
      <c r="D1748" s="76" t="s">
        <v>458</v>
      </c>
      <c r="E1748" s="76" t="s">
        <v>426</v>
      </c>
      <c r="F1748" s="77">
        <v>1862.8</v>
      </c>
      <c r="G1748" s="77">
        <v>541.24</v>
      </c>
      <c r="H1748" s="77">
        <v>2404.04</v>
      </c>
      <c r="I1748" s="76" t="s">
        <v>968</v>
      </c>
      <c r="J1748" s="77">
        <v>1100</v>
      </c>
      <c r="K1748" s="78">
        <v>10063.84</v>
      </c>
      <c r="M1748" s="79" t="str">
        <f t="shared" si="83"/>
        <v>430-7430</v>
      </c>
      <c r="N1748" s="79" t="str">
        <f t="shared" si="81"/>
        <v/>
      </c>
      <c r="O1748" s="79" t="str">
        <f t="shared" si="82"/>
        <v>430</v>
      </c>
      <c r="P1748" s="79" t="str">
        <f>IFERROR(VLOOKUP($M1748,Export!$P:$R,2,FALSE),"-")</f>
        <v>Admin &amp; Other</v>
      </c>
      <c r="Q1748" s="79" t="str">
        <f>IFERROR(VLOOKUP($M1748,Export!$P:$R,3,FALSE),"-")</f>
        <v>Admin &amp; OtherData Processing as % of Total Gross Profit</v>
      </c>
      <c r="R1748" s="80" t="e" cm="1">
        <f t="array" ref="R1748">_xlfn.IFS(P1748="Service", _xlfn.IFS(I1748="SALES","GP",I1748="SERVICE SALES","GP",I1748="PARTS SALES","GP",I1748="SERVICE COS","GP",I1748="PARTS COS","GP",I1748="SELLING EXPENSES","Selling Expenses",I1748="EMPLOYMENT EXPENSES","Selling Expenses",I1748="EMPLOYMENT EXPENSES","Selling Expenses",I1748="DIRECT EXPENSES","Selling Expenses",I1748="INDIRECT EXPENSES","Selling Expenses"),P1748="Parts",_xlfn.IFS(I1748="SALES","GP",I1748="SERVICE SALES","GP",I1748="PARTS SALES","GP",I1748="SERVICE COS","GP",I1748="PARTS COS","GP",I1748="SELLING EXPENSES","Selling Expenses",I1748="EMPLOYMENT EXPENSES","Selling Expenses",I1748="EMPLOYMENT EXPENSES","Selling Expenses",I1748="DIRECT EXPENSES","Selling Expenses",I1748="INDIRECT EXPENSES","Selling Expenses"))</f>
        <v>#N/A</v>
      </c>
    </row>
    <row r="1749" spans="1:18" x14ac:dyDescent="0.2">
      <c r="A1749" s="75">
        <v>7430</v>
      </c>
      <c r="B1749" s="76" t="s">
        <v>130</v>
      </c>
      <c r="C1749" s="76">
        <v>440</v>
      </c>
      <c r="D1749" s="76" t="s">
        <v>441</v>
      </c>
      <c r="E1749" s="76" t="s">
        <v>426</v>
      </c>
      <c r="F1749" s="77">
        <v>2605.69</v>
      </c>
      <c r="G1749" s="77">
        <v>619.77</v>
      </c>
      <c r="H1749" s="77">
        <v>3225.46</v>
      </c>
      <c r="I1749" s="76" t="s">
        <v>968</v>
      </c>
      <c r="J1749" s="77">
        <v>1400</v>
      </c>
      <c r="K1749" s="78">
        <v>13970.59</v>
      </c>
      <c r="M1749" s="79" t="str">
        <f t="shared" si="83"/>
        <v>440-7430</v>
      </c>
      <c r="N1749" s="79" t="str">
        <f t="shared" si="81"/>
        <v/>
      </c>
      <c r="O1749" s="79" t="str">
        <f t="shared" si="82"/>
        <v>440</v>
      </c>
      <c r="P1749" s="79" t="str">
        <f>IFERROR(VLOOKUP($M1749,Export!$P:$R,2,FALSE),"-")</f>
        <v>Admin &amp; Other</v>
      </c>
      <c r="Q1749" s="79" t="str">
        <f>IFERROR(VLOOKUP($M1749,Export!$P:$R,3,FALSE),"-")</f>
        <v>Admin &amp; OtherData Processing as % of Total Gross Profit</v>
      </c>
      <c r="R1749" s="80" t="e" cm="1">
        <f t="array" ref="R1749">_xlfn.IFS(P1749="Service", _xlfn.IFS(I1749="SALES","GP",I1749="SERVICE SALES","GP",I1749="PARTS SALES","GP",I1749="SERVICE COS","GP",I1749="PARTS COS","GP",I1749="SELLING EXPENSES","Selling Expenses",I1749="EMPLOYMENT EXPENSES","Selling Expenses",I1749="EMPLOYMENT EXPENSES","Selling Expenses",I1749="DIRECT EXPENSES","Selling Expenses",I1749="INDIRECT EXPENSES","Selling Expenses"),P1749="Parts",_xlfn.IFS(I1749="SALES","GP",I1749="SERVICE SALES","GP",I1749="PARTS SALES","GP",I1749="SERVICE COS","GP",I1749="PARTS COS","GP",I1749="SELLING EXPENSES","Selling Expenses",I1749="EMPLOYMENT EXPENSES","Selling Expenses",I1749="EMPLOYMENT EXPENSES","Selling Expenses",I1749="DIRECT EXPENSES","Selling Expenses",I1749="INDIRECT EXPENSES","Selling Expenses"))</f>
        <v>#N/A</v>
      </c>
    </row>
    <row r="1750" spans="1:18" x14ac:dyDescent="0.2">
      <c r="A1750" s="75">
        <v>7430</v>
      </c>
      <c r="B1750" s="76" t="s">
        <v>130</v>
      </c>
      <c r="C1750" s="76">
        <v>935</v>
      </c>
      <c r="D1750" s="76" t="s">
        <v>442</v>
      </c>
      <c r="E1750" s="76" t="s">
        <v>426</v>
      </c>
      <c r="F1750" s="77">
        <v>8669.8799999999992</v>
      </c>
      <c r="G1750" s="77">
        <v>1576.42</v>
      </c>
      <c r="H1750" s="77">
        <v>10246.299999999999</v>
      </c>
      <c r="I1750" s="76" t="s">
        <v>968</v>
      </c>
      <c r="J1750" s="77">
        <v>1300</v>
      </c>
      <c r="K1750" s="78">
        <v>13406.62</v>
      </c>
      <c r="M1750" s="79" t="str">
        <f t="shared" si="83"/>
        <v>935-7430</v>
      </c>
      <c r="N1750" s="79" t="str">
        <f t="shared" si="81"/>
        <v/>
      </c>
      <c r="O1750" s="79" t="str">
        <f t="shared" si="82"/>
        <v>935</v>
      </c>
      <c r="P1750" s="79" t="str">
        <f>IFERROR(VLOOKUP($M1750,Export!$P:$R,2,FALSE),"-")</f>
        <v>LEX Admin &amp; Other</v>
      </c>
      <c r="Q1750" s="79" t="str">
        <f>IFERROR(VLOOKUP($M1750,Export!$P:$R,3,FALSE),"-")</f>
        <v>LEX Admin &amp; OtherData Processing as % of Total Gross Profit</v>
      </c>
      <c r="R1750" s="80" t="e" cm="1">
        <f t="array" ref="R1750">_xlfn.IFS(P1750="Service", _xlfn.IFS(I1750="SALES","GP",I1750="SERVICE SALES","GP",I1750="PARTS SALES","GP",I1750="SERVICE COS","GP",I1750="PARTS COS","GP",I1750="SELLING EXPENSES","Selling Expenses",I1750="EMPLOYMENT EXPENSES","Selling Expenses",I1750="EMPLOYMENT EXPENSES","Selling Expenses",I1750="DIRECT EXPENSES","Selling Expenses",I1750="INDIRECT EXPENSES","Selling Expenses"),P1750="Parts",_xlfn.IFS(I1750="SALES","GP",I1750="SERVICE SALES","GP",I1750="PARTS SALES","GP",I1750="SERVICE COS","GP",I1750="PARTS COS","GP",I1750="SELLING EXPENSES","Selling Expenses",I1750="EMPLOYMENT EXPENSES","Selling Expenses",I1750="EMPLOYMENT EXPENSES","Selling Expenses",I1750="DIRECT EXPENSES","Selling Expenses",I1750="INDIRECT EXPENSES","Selling Expenses"))</f>
        <v>#N/A</v>
      </c>
    </row>
    <row r="1751" spans="1:18" x14ac:dyDescent="0.2">
      <c r="A1751" s="75">
        <v>7430</v>
      </c>
      <c r="B1751" s="76" t="s">
        <v>130</v>
      </c>
      <c r="C1751" s="76">
        <v>936</v>
      </c>
      <c r="D1751" s="76" t="s">
        <v>443</v>
      </c>
      <c r="E1751" s="76" t="s">
        <v>426</v>
      </c>
      <c r="F1751" s="77">
        <v>3749.66</v>
      </c>
      <c r="G1751" s="77">
        <v>475.12</v>
      </c>
      <c r="H1751" s="77">
        <v>4224.78</v>
      </c>
      <c r="I1751" s="76" t="s">
        <v>968</v>
      </c>
      <c r="J1751" s="77">
        <v>1000</v>
      </c>
      <c r="K1751" s="78">
        <v>8114.31</v>
      </c>
      <c r="M1751" s="79" t="str">
        <f t="shared" si="83"/>
        <v>936-7430</v>
      </c>
      <c r="N1751" s="79" t="str">
        <f t="shared" si="81"/>
        <v/>
      </c>
      <c r="O1751" s="79" t="str">
        <f t="shared" si="82"/>
        <v>936</v>
      </c>
      <c r="P1751" s="79" t="str">
        <f>IFERROR(VLOOKUP($M1751,Export!$P:$R,2,FALSE),"-")</f>
        <v>LEX Admin &amp; Other</v>
      </c>
      <c r="Q1751" s="79" t="str">
        <f>IFERROR(VLOOKUP($M1751,Export!$P:$R,3,FALSE),"-")</f>
        <v>LEX Admin &amp; OtherData Processing as % of Total Gross Profit</v>
      </c>
      <c r="R1751" s="80" t="e" cm="1">
        <f t="array" ref="R1751">_xlfn.IFS(P1751="Service", _xlfn.IFS(I1751="SALES","GP",I1751="SERVICE SALES","GP",I1751="PARTS SALES","GP",I1751="SERVICE COS","GP",I1751="PARTS COS","GP",I1751="SELLING EXPENSES","Selling Expenses",I1751="EMPLOYMENT EXPENSES","Selling Expenses",I1751="EMPLOYMENT EXPENSES","Selling Expenses",I1751="DIRECT EXPENSES","Selling Expenses",I1751="INDIRECT EXPENSES","Selling Expenses"),P1751="Parts",_xlfn.IFS(I1751="SALES","GP",I1751="SERVICE SALES","GP",I1751="PARTS SALES","GP",I1751="SERVICE COS","GP",I1751="PARTS COS","GP",I1751="SELLING EXPENSES","Selling Expenses",I1751="EMPLOYMENT EXPENSES","Selling Expenses",I1751="EMPLOYMENT EXPENSES","Selling Expenses",I1751="DIRECT EXPENSES","Selling Expenses",I1751="INDIRECT EXPENSES","Selling Expenses"))</f>
        <v>#N/A</v>
      </c>
    </row>
    <row r="1752" spans="1:18" x14ac:dyDescent="0.2">
      <c r="A1752" s="75">
        <v>7452</v>
      </c>
      <c r="B1752" s="76" t="s">
        <v>132</v>
      </c>
      <c r="C1752" s="76">
        <v>110</v>
      </c>
      <c r="D1752" s="76" t="s">
        <v>430</v>
      </c>
      <c r="E1752" s="76" t="s">
        <v>426</v>
      </c>
      <c r="F1752" s="77">
        <v>12172.94</v>
      </c>
      <c r="G1752" s="77">
        <v>709.55</v>
      </c>
      <c r="H1752" s="77">
        <v>12882.49</v>
      </c>
      <c r="I1752" s="76" t="s">
        <v>968</v>
      </c>
      <c r="J1752" s="77">
        <v>750</v>
      </c>
      <c r="K1752" s="78">
        <v>9292.1</v>
      </c>
      <c r="M1752" s="79" t="str">
        <f t="shared" si="83"/>
        <v>110-7452</v>
      </c>
      <c r="N1752" s="79" t="str">
        <f t="shared" si="81"/>
        <v/>
      </c>
      <c r="O1752" s="79" t="str">
        <f t="shared" si="82"/>
        <v>110</v>
      </c>
      <c r="P1752" s="79" t="str">
        <f>IFERROR(VLOOKUP($M1752,Export!$P:$R,2,FALSE),"-")</f>
        <v>Admin &amp; Other</v>
      </c>
      <c r="Q1752" s="79" t="str">
        <f>IFERROR(VLOOKUP($M1752,Export!$P:$R,3,FALSE),"-")</f>
        <v>Admin &amp; OtherProfessional Fees as % of Total Gross Profit</v>
      </c>
      <c r="R1752" s="80" t="e" cm="1">
        <f t="array" ref="R1752">_xlfn.IFS(P1752="Service", _xlfn.IFS(I1752="SALES","GP",I1752="SERVICE SALES","GP",I1752="PARTS SALES","GP",I1752="SERVICE COS","GP",I1752="PARTS COS","GP",I1752="SELLING EXPENSES","Selling Expenses",I1752="EMPLOYMENT EXPENSES","Selling Expenses",I1752="EMPLOYMENT EXPENSES","Selling Expenses",I1752="DIRECT EXPENSES","Selling Expenses",I1752="INDIRECT EXPENSES","Selling Expenses"),P1752="Parts",_xlfn.IFS(I1752="SALES","GP",I1752="SERVICE SALES","GP",I1752="PARTS SALES","GP",I1752="SERVICE COS","GP",I1752="PARTS COS","GP",I1752="SELLING EXPENSES","Selling Expenses",I1752="EMPLOYMENT EXPENSES","Selling Expenses",I1752="EMPLOYMENT EXPENSES","Selling Expenses",I1752="DIRECT EXPENSES","Selling Expenses",I1752="INDIRECT EXPENSES","Selling Expenses"))</f>
        <v>#N/A</v>
      </c>
    </row>
    <row r="1753" spans="1:18" x14ac:dyDescent="0.2">
      <c r="A1753" s="75">
        <v>7452</v>
      </c>
      <c r="B1753" s="76" t="s">
        <v>132</v>
      </c>
      <c r="C1753" s="76">
        <v>112</v>
      </c>
      <c r="D1753" s="76" t="s">
        <v>349</v>
      </c>
      <c r="E1753" s="76" t="s">
        <v>426</v>
      </c>
      <c r="F1753" s="77">
        <v>4750.88</v>
      </c>
      <c r="G1753" s="77">
        <v>532.29999999999995</v>
      </c>
      <c r="H1753" s="77">
        <v>5283.18</v>
      </c>
      <c r="I1753" s="76" t="s">
        <v>968</v>
      </c>
      <c r="J1753" s="77">
        <v>700</v>
      </c>
      <c r="K1753" s="78">
        <v>7795</v>
      </c>
      <c r="M1753" s="79" t="str">
        <f t="shared" si="83"/>
        <v>112-7452</v>
      </c>
      <c r="N1753" s="79" t="str">
        <f t="shared" si="81"/>
        <v/>
      </c>
      <c r="O1753" s="79" t="str">
        <f t="shared" si="82"/>
        <v>112</v>
      </c>
      <c r="P1753" s="79" t="str">
        <f>IFERROR(VLOOKUP($M1753,Export!$P:$R,2,FALSE),"-")</f>
        <v>LEX Admin &amp; Other</v>
      </c>
      <c r="Q1753" s="79" t="str">
        <f>IFERROR(VLOOKUP($M1753,Export!$P:$R,3,FALSE),"-")</f>
        <v>LEX Admin &amp; OtherProfessional Fees as % of Total Gross Profit</v>
      </c>
      <c r="R1753" s="80" t="e" cm="1">
        <f t="array" ref="R1753">_xlfn.IFS(P1753="Service", _xlfn.IFS(I1753="SALES","GP",I1753="SERVICE SALES","GP",I1753="PARTS SALES","GP",I1753="SERVICE COS","GP",I1753="PARTS COS","GP",I1753="SELLING EXPENSES","Selling Expenses",I1753="EMPLOYMENT EXPENSES","Selling Expenses",I1753="EMPLOYMENT EXPENSES","Selling Expenses",I1753="DIRECT EXPENSES","Selling Expenses",I1753="INDIRECT EXPENSES","Selling Expenses"),P1753="Parts",_xlfn.IFS(I1753="SALES","GP",I1753="SERVICE SALES","GP",I1753="PARTS SALES","GP",I1753="SERVICE COS","GP",I1753="PARTS COS","GP",I1753="SELLING EXPENSES","Selling Expenses",I1753="EMPLOYMENT EXPENSES","Selling Expenses",I1753="EMPLOYMENT EXPENSES","Selling Expenses",I1753="DIRECT EXPENSES","Selling Expenses",I1753="INDIRECT EXPENSES","Selling Expenses"))</f>
        <v>#N/A</v>
      </c>
    </row>
    <row r="1754" spans="1:18" x14ac:dyDescent="0.2">
      <c r="A1754" s="75">
        <v>7452</v>
      </c>
      <c r="B1754" s="76" t="s">
        <v>132</v>
      </c>
      <c r="C1754" s="76">
        <v>120</v>
      </c>
      <c r="D1754" s="76" t="s">
        <v>431</v>
      </c>
      <c r="E1754" s="76" t="s">
        <v>426</v>
      </c>
      <c r="F1754" s="77">
        <v>8551.6200000000008</v>
      </c>
      <c r="G1754" s="77">
        <v>958.13</v>
      </c>
      <c r="H1754" s="77">
        <v>9509.75</v>
      </c>
      <c r="I1754" s="76" t="s">
        <v>968</v>
      </c>
      <c r="J1754" s="77">
        <v>600</v>
      </c>
      <c r="K1754" s="78">
        <v>6476.01</v>
      </c>
      <c r="M1754" s="79" t="str">
        <f t="shared" si="83"/>
        <v>120-7452</v>
      </c>
      <c r="N1754" s="79" t="str">
        <f t="shared" si="81"/>
        <v/>
      </c>
      <c r="O1754" s="79" t="str">
        <f t="shared" si="82"/>
        <v>120</v>
      </c>
      <c r="P1754" s="79" t="str">
        <f>IFERROR(VLOOKUP($M1754,Export!$P:$R,2,FALSE),"-")</f>
        <v>Admin &amp; Other</v>
      </c>
      <c r="Q1754" s="79" t="str">
        <f>IFERROR(VLOOKUP($M1754,Export!$P:$R,3,FALSE),"-")</f>
        <v>Admin &amp; OtherProfessional Fees as % of Total Gross Profit</v>
      </c>
      <c r="R1754" s="80" t="e" cm="1">
        <f t="array" ref="R1754">_xlfn.IFS(P1754="Service", _xlfn.IFS(I1754="SALES","GP",I1754="SERVICE SALES","GP",I1754="PARTS SALES","GP",I1754="SERVICE COS","GP",I1754="PARTS COS","GP",I1754="SELLING EXPENSES","Selling Expenses",I1754="EMPLOYMENT EXPENSES","Selling Expenses",I1754="EMPLOYMENT EXPENSES","Selling Expenses",I1754="DIRECT EXPENSES","Selling Expenses",I1754="INDIRECT EXPENSES","Selling Expenses"),P1754="Parts",_xlfn.IFS(I1754="SALES","GP",I1754="SERVICE SALES","GP",I1754="PARTS SALES","GP",I1754="SERVICE COS","GP",I1754="PARTS COS","GP",I1754="SELLING EXPENSES","Selling Expenses",I1754="EMPLOYMENT EXPENSES","Selling Expenses",I1754="EMPLOYMENT EXPENSES","Selling Expenses",I1754="DIRECT EXPENSES","Selling Expenses",I1754="INDIRECT EXPENSES","Selling Expenses"))</f>
        <v>#N/A</v>
      </c>
    </row>
    <row r="1755" spans="1:18" x14ac:dyDescent="0.2">
      <c r="A1755" s="75">
        <v>7452</v>
      </c>
      <c r="B1755" s="76" t="s">
        <v>132</v>
      </c>
      <c r="C1755" s="76">
        <v>121</v>
      </c>
      <c r="D1755" s="76" t="s">
        <v>449</v>
      </c>
      <c r="E1755" s="76" t="s">
        <v>426</v>
      </c>
      <c r="F1755" s="77">
        <v>0</v>
      </c>
      <c r="G1755" s="77">
        <v>0</v>
      </c>
      <c r="H1755" s="77">
        <v>0</v>
      </c>
      <c r="I1755" s="76" t="s">
        <v>968</v>
      </c>
      <c r="J1755" s="77">
        <v>550</v>
      </c>
      <c r="K1755" s="78">
        <v>6895</v>
      </c>
      <c r="M1755" s="79" t="str">
        <f t="shared" si="83"/>
        <v>121-7452</v>
      </c>
      <c r="N1755" s="79" t="str">
        <f t="shared" si="81"/>
        <v/>
      </c>
      <c r="O1755" s="79" t="str">
        <f t="shared" si="82"/>
        <v>121</v>
      </c>
      <c r="P1755" s="79" t="str">
        <f>IFERROR(VLOOKUP($M1755,Export!$P:$R,2,FALSE),"-")</f>
        <v>Admin &amp; Other</v>
      </c>
      <c r="Q1755" s="79" t="str">
        <f>IFERROR(VLOOKUP($M1755,Export!$P:$R,3,FALSE),"-")</f>
        <v>Admin &amp; OtherProfessional Fees as % of Total Gross Profit</v>
      </c>
      <c r="R1755" s="80" t="e" cm="1">
        <f t="array" ref="R1755">_xlfn.IFS(P1755="Service", _xlfn.IFS(I1755="SALES","GP",I1755="SERVICE SALES","GP",I1755="PARTS SALES","GP",I1755="SERVICE COS","GP",I1755="PARTS COS","GP",I1755="SELLING EXPENSES","Selling Expenses",I1755="EMPLOYMENT EXPENSES","Selling Expenses",I1755="EMPLOYMENT EXPENSES","Selling Expenses",I1755="DIRECT EXPENSES","Selling Expenses",I1755="INDIRECT EXPENSES","Selling Expenses"),P1755="Parts",_xlfn.IFS(I1755="SALES","GP",I1755="SERVICE SALES","GP",I1755="PARTS SALES","GP",I1755="SERVICE COS","GP",I1755="PARTS COS","GP",I1755="SELLING EXPENSES","Selling Expenses",I1755="EMPLOYMENT EXPENSES","Selling Expenses",I1755="EMPLOYMENT EXPENSES","Selling Expenses",I1755="DIRECT EXPENSES","Selling Expenses",I1755="INDIRECT EXPENSES","Selling Expenses"))</f>
        <v>#N/A</v>
      </c>
    </row>
    <row r="1756" spans="1:18" x14ac:dyDescent="0.2">
      <c r="A1756" s="75">
        <v>7452</v>
      </c>
      <c r="B1756" s="76" t="s">
        <v>132</v>
      </c>
      <c r="C1756" s="76">
        <v>130</v>
      </c>
      <c r="D1756" s="76" t="s">
        <v>432</v>
      </c>
      <c r="E1756" s="76" t="s">
        <v>426</v>
      </c>
      <c r="F1756" s="77">
        <v>4845.95</v>
      </c>
      <c r="G1756" s="77">
        <v>542.94000000000005</v>
      </c>
      <c r="H1756" s="77">
        <v>5388.89</v>
      </c>
      <c r="I1756" s="76" t="s">
        <v>968</v>
      </c>
      <c r="J1756" s="77">
        <v>550</v>
      </c>
      <c r="K1756" s="78">
        <v>6966.93</v>
      </c>
      <c r="M1756" s="79" t="str">
        <f t="shared" si="83"/>
        <v>130-7452</v>
      </c>
      <c r="N1756" s="79" t="str">
        <f t="shared" si="81"/>
        <v/>
      </c>
      <c r="O1756" s="79" t="str">
        <f t="shared" si="82"/>
        <v>130</v>
      </c>
      <c r="P1756" s="79" t="str">
        <f>IFERROR(VLOOKUP($M1756,Export!$P:$R,2,FALSE),"-")</f>
        <v>Admin &amp; Other</v>
      </c>
      <c r="Q1756" s="79" t="str">
        <f>IFERROR(VLOOKUP($M1756,Export!$P:$R,3,FALSE),"-")</f>
        <v>Admin &amp; OtherProfessional Fees as % of Total Gross Profit</v>
      </c>
      <c r="R1756" s="80" t="e" cm="1">
        <f t="array" ref="R1756">_xlfn.IFS(P1756="Service", _xlfn.IFS(I1756="SALES","GP",I1756="SERVICE SALES","GP",I1756="PARTS SALES","GP",I1756="SERVICE COS","GP",I1756="PARTS COS","GP",I1756="SELLING EXPENSES","Selling Expenses",I1756="EMPLOYMENT EXPENSES","Selling Expenses",I1756="EMPLOYMENT EXPENSES","Selling Expenses",I1756="DIRECT EXPENSES","Selling Expenses",I1756="INDIRECT EXPENSES","Selling Expenses"),P1756="Parts",_xlfn.IFS(I1756="SALES","GP",I1756="SERVICE SALES","GP",I1756="PARTS SALES","GP",I1756="SERVICE COS","GP",I1756="PARTS COS","GP",I1756="SELLING EXPENSES","Selling Expenses",I1756="EMPLOYMENT EXPENSES","Selling Expenses",I1756="EMPLOYMENT EXPENSES","Selling Expenses",I1756="DIRECT EXPENSES","Selling Expenses",I1756="INDIRECT EXPENSES","Selling Expenses"))</f>
        <v>#N/A</v>
      </c>
    </row>
    <row r="1757" spans="1:18" x14ac:dyDescent="0.2">
      <c r="A1757" s="75">
        <v>7452</v>
      </c>
      <c r="B1757" s="76" t="s">
        <v>132</v>
      </c>
      <c r="C1757" s="76">
        <v>140</v>
      </c>
      <c r="D1757" s="76" t="s">
        <v>433</v>
      </c>
      <c r="E1757" s="76" t="s">
        <v>426</v>
      </c>
      <c r="F1757" s="77">
        <v>5701.07</v>
      </c>
      <c r="G1757" s="77">
        <v>638.76</v>
      </c>
      <c r="H1757" s="77">
        <v>6339.83</v>
      </c>
      <c r="I1757" s="76" t="s">
        <v>968</v>
      </c>
      <c r="J1757" s="77">
        <v>1300</v>
      </c>
      <c r="K1757" s="78">
        <v>12114.01</v>
      </c>
      <c r="M1757" s="79" t="str">
        <f t="shared" si="83"/>
        <v>140-7452</v>
      </c>
      <c r="N1757" s="79" t="str">
        <f t="shared" si="81"/>
        <v/>
      </c>
      <c r="O1757" s="79" t="str">
        <f t="shared" si="82"/>
        <v>140</v>
      </c>
      <c r="P1757" s="79" t="str">
        <f>IFERROR(VLOOKUP($M1757,Export!$P:$R,2,FALSE),"-")</f>
        <v>Admin &amp; Other</v>
      </c>
      <c r="Q1757" s="79" t="str">
        <f>IFERROR(VLOOKUP($M1757,Export!$P:$R,3,FALSE),"-")</f>
        <v>Admin &amp; OtherProfessional Fees as % of Total Gross Profit</v>
      </c>
      <c r="R1757" s="80" t="e" cm="1">
        <f t="array" ref="R1757">_xlfn.IFS(P1757="Service", _xlfn.IFS(I1757="SALES","GP",I1757="SERVICE SALES","GP",I1757="PARTS SALES","GP",I1757="SERVICE COS","GP",I1757="PARTS COS","GP",I1757="SELLING EXPENSES","Selling Expenses",I1757="EMPLOYMENT EXPENSES","Selling Expenses",I1757="EMPLOYMENT EXPENSES","Selling Expenses",I1757="DIRECT EXPENSES","Selling Expenses",I1757="INDIRECT EXPENSES","Selling Expenses"),P1757="Parts",_xlfn.IFS(I1757="SALES","GP",I1757="SERVICE SALES","GP",I1757="PARTS SALES","GP",I1757="SERVICE COS","GP",I1757="PARTS COS","GP",I1757="SELLING EXPENSES","Selling Expenses",I1757="EMPLOYMENT EXPENSES","Selling Expenses",I1757="EMPLOYMENT EXPENSES","Selling Expenses",I1757="DIRECT EXPENSES","Selling Expenses",I1757="INDIRECT EXPENSES","Selling Expenses"))</f>
        <v>#N/A</v>
      </c>
    </row>
    <row r="1758" spans="1:18" x14ac:dyDescent="0.2">
      <c r="A1758" s="75">
        <v>7452</v>
      </c>
      <c r="B1758" s="76" t="s">
        <v>132</v>
      </c>
      <c r="C1758" s="76">
        <v>160</v>
      </c>
      <c r="D1758" s="76" t="s">
        <v>434</v>
      </c>
      <c r="E1758" s="76" t="s">
        <v>426</v>
      </c>
      <c r="F1758" s="77">
        <v>2850.54</v>
      </c>
      <c r="G1758" s="77">
        <v>319.38</v>
      </c>
      <c r="H1758" s="77">
        <v>3169.92</v>
      </c>
      <c r="I1758" s="76" t="s">
        <v>968</v>
      </c>
      <c r="J1758" s="77">
        <v>400</v>
      </c>
      <c r="K1758" s="78">
        <v>4557</v>
      </c>
      <c r="M1758" s="79" t="str">
        <f t="shared" si="83"/>
        <v>160-7452</v>
      </c>
      <c r="N1758" s="79" t="str">
        <f t="shared" si="81"/>
        <v/>
      </c>
      <c r="O1758" s="79" t="str">
        <f t="shared" si="82"/>
        <v>160</v>
      </c>
      <c r="P1758" s="79" t="str">
        <f>IFERROR(VLOOKUP($M1758,Export!$P:$R,2,FALSE),"-")</f>
        <v>Admin &amp; Other</v>
      </c>
      <c r="Q1758" s="79" t="str">
        <f>IFERROR(VLOOKUP($M1758,Export!$P:$R,3,FALSE),"-")</f>
        <v>Admin &amp; OtherProfessional Fees as % of Total Gross Profit</v>
      </c>
      <c r="R1758" s="80" t="e" cm="1">
        <f t="array" ref="R1758">_xlfn.IFS(P1758="Service", _xlfn.IFS(I1758="SALES","GP",I1758="SERVICE SALES","GP",I1758="PARTS SALES","GP",I1758="SERVICE COS","GP",I1758="PARTS COS","GP",I1758="SELLING EXPENSES","Selling Expenses",I1758="EMPLOYMENT EXPENSES","Selling Expenses",I1758="EMPLOYMENT EXPENSES","Selling Expenses",I1758="DIRECT EXPENSES","Selling Expenses",I1758="INDIRECT EXPENSES","Selling Expenses"),P1758="Parts",_xlfn.IFS(I1758="SALES","GP",I1758="SERVICE SALES","GP",I1758="PARTS SALES","GP",I1758="SERVICE COS","GP",I1758="PARTS COS","GP",I1758="SELLING EXPENSES","Selling Expenses",I1758="EMPLOYMENT EXPENSES","Selling Expenses",I1758="EMPLOYMENT EXPENSES","Selling Expenses",I1758="DIRECT EXPENSES","Selling Expenses",I1758="INDIRECT EXPENSES","Selling Expenses"))</f>
        <v>#N/A</v>
      </c>
    </row>
    <row r="1759" spans="1:18" x14ac:dyDescent="0.2">
      <c r="A1759" s="75">
        <v>7452</v>
      </c>
      <c r="B1759" s="76" t="s">
        <v>132</v>
      </c>
      <c r="C1759" s="76">
        <v>190</v>
      </c>
      <c r="D1759" s="76" t="s">
        <v>435</v>
      </c>
      <c r="E1759" s="76" t="s">
        <v>426</v>
      </c>
      <c r="F1759" s="77">
        <v>2945</v>
      </c>
      <c r="G1759" s="77">
        <v>0</v>
      </c>
      <c r="H1759" s="77">
        <v>2945</v>
      </c>
      <c r="I1759" s="76" t="s">
        <v>968</v>
      </c>
      <c r="J1759" s="77">
        <v>0</v>
      </c>
      <c r="K1759" s="78">
        <v>0</v>
      </c>
      <c r="M1759" s="79" t="str">
        <f t="shared" si="83"/>
        <v>190-7452</v>
      </c>
      <c r="N1759" s="79" t="str">
        <f t="shared" si="81"/>
        <v/>
      </c>
      <c r="O1759" s="79" t="str">
        <f t="shared" si="82"/>
        <v>190</v>
      </c>
      <c r="P1759" s="79" t="str">
        <f>IFERROR(VLOOKUP($M1759,Export!$P:$R,2,FALSE),"-")</f>
        <v>Admin &amp; Other</v>
      </c>
      <c r="Q1759" s="79" t="str">
        <f>IFERROR(VLOOKUP($M1759,Export!$P:$R,3,FALSE),"-")</f>
        <v>Admin &amp; OtherProfessional Fees as % of Total Gross Profit</v>
      </c>
      <c r="R1759" s="80" t="e" cm="1">
        <f t="array" ref="R1759">_xlfn.IFS(P1759="Service", _xlfn.IFS(I1759="SALES","GP",I1759="SERVICE SALES","GP",I1759="PARTS SALES","GP",I1759="SERVICE COS","GP",I1759="PARTS COS","GP",I1759="SELLING EXPENSES","Selling Expenses",I1759="EMPLOYMENT EXPENSES","Selling Expenses",I1759="EMPLOYMENT EXPENSES","Selling Expenses",I1759="DIRECT EXPENSES","Selling Expenses",I1759="INDIRECT EXPENSES","Selling Expenses"),P1759="Parts",_xlfn.IFS(I1759="SALES","GP",I1759="SERVICE SALES","GP",I1759="PARTS SALES","GP",I1759="SERVICE COS","GP",I1759="PARTS COS","GP",I1759="SELLING EXPENSES","Selling Expenses",I1759="EMPLOYMENT EXPENSES","Selling Expenses",I1759="EMPLOYMENT EXPENSES","Selling Expenses",I1759="DIRECT EXPENSES","Selling Expenses",I1759="INDIRECT EXPENSES","Selling Expenses"))</f>
        <v>#N/A</v>
      </c>
    </row>
    <row r="1760" spans="1:18" x14ac:dyDescent="0.2">
      <c r="A1760" s="75">
        <v>7452</v>
      </c>
      <c r="B1760" s="76" t="s">
        <v>132</v>
      </c>
      <c r="C1760" s="76">
        <v>210</v>
      </c>
      <c r="D1760" s="76" t="s">
        <v>436</v>
      </c>
      <c r="E1760" s="76" t="s">
        <v>426</v>
      </c>
      <c r="F1760" s="77">
        <v>4575.1000000000004</v>
      </c>
      <c r="G1760" s="77">
        <v>355.05</v>
      </c>
      <c r="H1760" s="77">
        <v>4930.1499999999996</v>
      </c>
      <c r="I1760" s="76" t="s">
        <v>968</v>
      </c>
      <c r="J1760" s="77">
        <v>400</v>
      </c>
      <c r="K1760" s="78">
        <v>4797.8599999999997</v>
      </c>
      <c r="M1760" s="79" t="str">
        <f t="shared" si="83"/>
        <v>210-7452</v>
      </c>
      <c r="N1760" s="79" t="str">
        <f t="shared" si="81"/>
        <v/>
      </c>
      <c r="O1760" s="79" t="str">
        <f t="shared" si="82"/>
        <v>210</v>
      </c>
      <c r="P1760" s="79" t="str">
        <f>IFERROR(VLOOKUP($M1760,Export!$P:$R,2,FALSE),"-")</f>
        <v>Admin &amp; Other</v>
      </c>
      <c r="Q1760" s="79" t="str">
        <f>IFERROR(VLOOKUP($M1760,Export!$P:$R,3,FALSE),"-")</f>
        <v>Admin &amp; OtherProfessional Fees as % of Total Gross Profit</v>
      </c>
      <c r="R1760" s="80" t="e" cm="1">
        <f t="array" ref="R1760">_xlfn.IFS(P1760="Service", _xlfn.IFS(I1760="SALES","GP",I1760="SERVICE SALES","GP",I1760="PARTS SALES","GP",I1760="SERVICE COS","GP",I1760="PARTS COS","GP",I1760="SELLING EXPENSES","Selling Expenses",I1760="EMPLOYMENT EXPENSES","Selling Expenses",I1760="EMPLOYMENT EXPENSES","Selling Expenses",I1760="DIRECT EXPENSES","Selling Expenses",I1760="INDIRECT EXPENSES","Selling Expenses"),P1760="Parts",_xlfn.IFS(I1760="SALES","GP",I1760="SERVICE SALES","GP",I1760="PARTS SALES","GP",I1760="SERVICE COS","GP",I1760="PARTS COS","GP",I1760="SELLING EXPENSES","Selling Expenses",I1760="EMPLOYMENT EXPENSES","Selling Expenses",I1760="EMPLOYMENT EXPENSES","Selling Expenses",I1760="DIRECT EXPENSES","Selling Expenses",I1760="INDIRECT EXPENSES","Selling Expenses"))</f>
        <v>#N/A</v>
      </c>
    </row>
    <row r="1761" spans="1:18" x14ac:dyDescent="0.2">
      <c r="A1761" s="75">
        <v>7452</v>
      </c>
      <c r="B1761" s="76" t="s">
        <v>132</v>
      </c>
      <c r="C1761" s="76">
        <v>220</v>
      </c>
      <c r="D1761" s="76" t="s">
        <v>437</v>
      </c>
      <c r="E1761" s="76" t="s">
        <v>426</v>
      </c>
      <c r="F1761" s="77">
        <v>3306.62</v>
      </c>
      <c r="G1761" s="77">
        <v>212.92</v>
      </c>
      <c r="H1761" s="77">
        <v>3519.54</v>
      </c>
      <c r="I1761" s="76" t="s">
        <v>968</v>
      </c>
      <c r="J1761" s="77">
        <v>300</v>
      </c>
      <c r="K1761" s="78">
        <v>3238</v>
      </c>
      <c r="M1761" s="79" t="str">
        <f t="shared" si="83"/>
        <v>220-7452</v>
      </c>
      <c r="N1761" s="79" t="str">
        <f t="shared" si="81"/>
        <v/>
      </c>
      <c r="O1761" s="79" t="str">
        <f t="shared" si="82"/>
        <v>220</v>
      </c>
      <c r="P1761" s="79" t="str">
        <f>IFERROR(VLOOKUP($M1761,Export!$P:$R,2,FALSE),"-")</f>
        <v>Admin &amp; Other</v>
      </c>
      <c r="Q1761" s="79" t="str">
        <f>IFERROR(VLOOKUP($M1761,Export!$P:$R,3,FALSE),"-")</f>
        <v>Admin &amp; OtherProfessional Fees as % of Total Gross Profit</v>
      </c>
      <c r="R1761" s="80" t="e" cm="1">
        <f t="array" ref="R1761">_xlfn.IFS(P1761="Service", _xlfn.IFS(I1761="SALES","GP",I1761="SERVICE SALES","GP",I1761="PARTS SALES","GP",I1761="SERVICE COS","GP",I1761="PARTS COS","GP",I1761="SELLING EXPENSES","Selling Expenses",I1761="EMPLOYMENT EXPENSES","Selling Expenses",I1761="EMPLOYMENT EXPENSES","Selling Expenses",I1761="DIRECT EXPENSES","Selling Expenses",I1761="INDIRECT EXPENSES","Selling Expenses"),P1761="Parts",_xlfn.IFS(I1761="SALES","GP",I1761="SERVICE SALES","GP",I1761="PARTS SALES","GP",I1761="SERVICE COS","GP",I1761="PARTS COS","GP",I1761="SELLING EXPENSES","Selling Expenses",I1761="EMPLOYMENT EXPENSES","Selling Expenses",I1761="EMPLOYMENT EXPENSES","Selling Expenses",I1761="DIRECT EXPENSES","Selling Expenses",I1761="INDIRECT EXPENSES","Selling Expenses"))</f>
        <v>#N/A</v>
      </c>
    </row>
    <row r="1762" spans="1:18" x14ac:dyDescent="0.2">
      <c r="A1762" s="75">
        <v>7452</v>
      </c>
      <c r="B1762" s="76" t="s">
        <v>132</v>
      </c>
      <c r="C1762" s="76">
        <v>230</v>
      </c>
      <c r="D1762" s="76" t="s">
        <v>438</v>
      </c>
      <c r="E1762" s="76" t="s">
        <v>426</v>
      </c>
      <c r="F1762" s="77">
        <v>4798.8100000000004</v>
      </c>
      <c r="G1762" s="77">
        <v>359.3</v>
      </c>
      <c r="H1762" s="77">
        <v>5158.1099999999997</v>
      </c>
      <c r="I1762" s="76" t="s">
        <v>968</v>
      </c>
      <c r="J1762" s="77">
        <v>500</v>
      </c>
      <c r="K1762" s="78">
        <v>5426.64</v>
      </c>
      <c r="M1762" s="79" t="str">
        <f t="shared" si="83"/>
        <v>230-7452</v>
      </c>
      <c r="N1762" s="79" t="str">
        <f t="shared" si="81"/>
        <v/>
      </c>
      <c r="O1762" s="79" t="str">
        <f t="shared" si="82"/>
        <v>230</v>
      </c>
      <c r="P1762" s="79" t="str">
        <f>IFERROR(VLOOKUP($M1762,Export!$P:$R,2,FALSE),"-")</f>
        <v>Admin &amp; Other</v>
      </c>
      <c r="Q1762" s="79" t="str">
        <f>IFERROR(VLOOKUP($M1762,Export!$P:$R,3,FALSE),"-")</f>
        <v>Admin &amp; OtherProfessional Fees as % of Total Gross Profit</v>
      </c>
      <c r="R1762" s="80" t="e" cm="1">
        <f t="array" ref="R1762">_xlfn.IFS(P1762="Service", _xlfn.IFS(I1762="SALES","GP",I1762="SERVICE SALES","GP",I1762="PARTS SALES","GP",I1762="SERVICE COS","GP",I1762="PARTS COS","GP",I1762="SELLING EXPENSES","Selling Expenses",I1762="EMPLOYMENT EXPENSES","Selling Expenses",I1762="EMPLOYMENT EXPENSES","Selling Expenses",I1762="DIRECT EXPENSES","Selling Expenses",I1762="INDIRECT EXPENSES","Selling Expenses"),P1762="Parts",_xlfn.IFS(I1762="SALES","GP",I1762="SERVICE SALES","GP",I1762="PARTS SALES","GP",I1762="SERVICE COS","GP",I1762="PARTS COS","GP",I1762="SELLING EXPENSES","Selling Expenses",I1762="EMPLOYMENT EXPENSES","Selling Expenses",I1762="EMPLOYMENT EXPENSES","Selling Expenses",I1762="DIRECT EXPENSES","Selling Expenses",I1762="INDIRECT EXPENSES","Selling Expenses"))</f>
        <v>#N/A</v>
      </c>
    </row>
    <row r="1763" spans="1:18" x14ac:dyDescent="0.2">
      <c r="A1763" s="75">
        <v>7452</v>
      </c>
      <c r="B1763" s="76" t="s">
        <v>132</v>
      </c>
      <c r="C1763" s="76">
        <v>240</v>
      </c>
      <c r="D1763" s="76" t="s">
        <v>439</v>
      </c>
      <c r="E1763" s="76" t="s">
        <v>426</v>
      </c>
      <c r="F1763" s="77">
        <v>4124.17</v>
      </c>
      <c r="G1763" s="77">
        <v>283.70999999999998</v>
      </c>
      <c r="H1763" s="77">
        <v>4407.88</v>
      </c>
      <c r="I1763" s="76" t="s">
        <v>968</v>
      </c>
      <c r="J1763" s="77">
        <v>600</v>
      </c>
      <c r="K1763" s="78">
        <v>5516.13</v>
      </c>
      <c r="M1763" s="79" t="str">
        <f t="shared" si="83"/>
        <v>240-7452</v>
      </c>
      <c r="N1763" s="79" t="str">
        <f t="shared" si="81"/>
        <v/>
      </c>
      <c r="O1763" s="79" t="str">
        <f t="shared" si="82"/>
        <v>240</v>
      </c>
      <c r="P1763" s="79" t="str">
        <f>IFERROR(VLOOKUP($M1763,Export!$P:$R,2,FALSE),"-")</f>
        <v>Admin &amp; Other</v>
      </c>
      <c r="Q1763" s="79" t="str">
        <f>IFERROR(VLOOKUP($M1763,Export!$P:$R,3,FALSE),"-")</f>
        <v>Admin &amp; OtherProfessional Fees as % of Total Gross Profit</v>
      </c>
      <c r="R1763" s="80" t="e" cm="1">
        <f t="array" ref="R1763">_xlfn.IFS(P1763="Service", _xlfn.IFS(I1763="SALES","GP",I1763="SERVICE SALES","GP",I1763="PARTS SALES","GP",I1763="SERVICE COS","GP",I1763="PARTS COS","GP",I1763="SELLING EXPENSES","Selling Expenses",I1763="EMPLOYMENT EXPENSES","Selling Expenses",I1763="EMPLOYMENT EXPENSES","Selling Expenses",I1763="DIRECT EXPENSES","Selling Expenses",I1763="INDIRECT EXPENSES","Selling Expenses"),P1763="Parts",_xlfn.IFS(I1763="SALES","GP",I1763="SERVICE SALES","GP",I1763="PARTS SALES","GP",I1763="SERVICE COS","GP",I1763="PARTS COS","GP",I1763="SELLING EXPENSES","Selling Expenses",I1763="EMPLOYMENT EXPENSES","Selling Expenses",I1763="EMPLOYMENT EXPENSES","Selling Expenses",I1763="DIRECT EXPENSES","Selling Expenses",I1763="INDIRECT EXPENSES","Selling Expenses"))</f>
        <v>#N/A</v>
      </c>
    </row>
    <row r="1764" spans="1:18" x14ac:dyDescent="0.2">
      <c r="A1764" s="75">
        <v>7452</v>
      </c>
      <c r="B1764" s="76" t="s">
        <v>132</v>
      </c>
      <c r="C1764" s="76">
        <v>260</v>
      </c>
      <c r="D1764" s="76" t="s">
        <v>456</v>
      </c>
      <c r="E1764" s="76" t="s">
        <v>426</v>
      </c>
      <c r="F1764" s="77">
        <v>1739.12</v>
      </c>
      <c r="G1764" s="77">
        <v>0</v>
      </c>
      <c r="H1764" s="77">
        <v>1739.12</v>
      </c>
      <c r="I1764" s="76" t="s">
        <v>968</v>
      </c>
      <c r="J1764" s="77">
        <v>0</v>
      </c>
      <c r="K1764" s="78">
        <v>0</v>
      </c>
      <c r="M1764" s="79" t="str">
        <f t="shared" si="83"/>
        <v>260-7452</v>
      </c>
      <c r="N1764" s="79" t="str">
        <f t="shared" si="81"/>
        <v/>
      </c>
      <c r="O1764" s="79" t="str">
        <f t="shared" si="82"/>
        <v>260</v>
      </c>
      <c r="P1764" s="79" t="str">
        <f>IFERROR(VLOOKUP($M1764,Export!$P:$R,2,FALSE),"-")</f>
        <v>Admin &amp; Other</v>
      </c>
      <c r="Q1764" s="79" t="str">
        <f>IFERROR(VLOOKUP($M1764,Export!$P:$R,3,FALSE),"-")</f>
        <v>Admin &amp; OtherProfessional Fees as % of Total Gross Profit</v>
      </c>
      <c r="R1764" s="80" t="e" cm="1">
        <f t="array" ref="R1764">_xlfn.IFS(P1764="Service", _xlfn.IFS(I1764="SALES","GP",I1764="SERVICE SALES","GP",I1764="PARTS SALES","GP",I1764="SERVICE COS","GP",I1764="PARTS COS","GP",I1764="SELLING EXPENSES","Selling Expenses",I1764="EMPLOYMENT EXPENSES","Selling Expenses",I1764="EMPLOYMENT EXPENSES","Selling Expenses",I1764="DIRECT EXPENSES","Selling Expenses",I1764="INDIRECT EXPENSES","Selling Expenses"),P1764="Parts",_xlfn.IFS(I1764="SALES","GP",I1764="SERVICE SALES","GP",I1764="PARTS SALES","GP",I1764="SERVICE COS","GP",I1764="PARTS COS","GP",I1764="SELLING EXPENSES","Selling Expenses",I1764="EMPLOYMENT EXPENSES","Selling Expenses",I1764="EMPLOYMENT EXPENSES","Selling Expenses",I1764="DIRECT EXPENSES","Selling Expenses",I1764="INDIRECT EXPENSES","Selling Expenses"))</f>
        <v>#N/A</v>
      </c>
    </row>
    <row r="1765" spans="1:18" x14ac:dyDescent="0.2">
      <c r="A1765" s="75">
        <v>7452</v>
      </c>
      <c r="B1765" s="76" t="s">
        <v>132</v>
      </c>
      <c r="C1765" s="76">
        <v>330</v>
      </c>
      <c r="D1765" s="76" t="s">
        <v>457</v>
      </c>
      <c r="E1765" s="76" t="s">
        <v>426</v>
      </c>
      <c r="F1765" s="77">
        <v>1169.04</v>
      </c>
      <c r="G1765" s="77">
        <v>0</v>
      </c>
      <c r="H1765" s="77">
        <v>1169.04</v>
      </c>
      <c r="I1765" s="76" t="s">
        <v>968</v>
      </c>
      <c r="J1765" s="77">
        <v>0</v>
      </c>
      <c r="K1765" s="78">
        <v>0</v>
      </c>
      <c r="M1765" s="79" t="str">
        <f t="shared" si="83"/>
        <v>330-7452</v>
      </c>
      <c r="N1765" s="79" t="str">
        <f t="shared" si="81"/>
        <v/>
      </c>
      <c r="O1765" s="79" t="str">
        <f t="shared" si="82"/>
        <v>330</v>
      </c>
      <c r="P1765" s="79" t="str">
        <f>IFERROR(VLOOKUP($M1765,Export!$P:$R,2,FALSE),"-")</f>
        <v>Admin &amp; Other</v>
      </c>
      <c r="Q1765" s="79" t="str">
        <f>IFERROR(VLOOKUP($M1765,Export!$P:$R,3,FALSE),"-")</f>
        <v>Admin &amp; OtherProfessional Fees as % of Total Gross Profit</v>
      </c>
      <c r="R1765" s="80" t="e" cm="1">
        <f t="array" ref="R1765">_xlfn.IFS(P1765="Service", _xlfn.IFS(I1765="SALES","GP",I1765="SERVICE SALES","GP",I1765="PARTS SALES","GP",I1765="SERVICE COS","GP",I1765="PARTS COS","GP",I1765="SELLING EXPENSES","Selling Expenses",I1765="EMPLOYMENT EXPENSES","Selling Expenses",I1765="EMPLOYMENT EXPENSES","Selling Expenses",I1765="DIRECT EXPENSES","Selling Expenses",I1765="INDIRECT EXPENSES","Selling Expenses"),P1765="Parts",_xlfn.IFS(I1765="SALES","GP",I1765="SERVICE SALES","GP",I1765="PARTS SALES","GP",I1765="SERVICE COS","GP",I1765="PARTS COS","GP",I1765="SELLING EXPENSES","Selling Expenses",I1765="EMPLOYMENT EXPENSES","Selling Expenses",I1765="EMPLOYMENT EXPENSES","Selling Expenses",I1765="DIRECT EXPENSES","Selling Expenses",I1765="INDIRECT EXPENSES","Selling Expenses"))</f>
        <v>#N/A</v>
      </c>
    </row>
    <row r="1766" spans="1:18" x14ac:dyDescent="0.2">
      <c r="A1766" s="75">
        <v>7452</v>
      </c>
      <c r="B1766" s="76" t="s">
        <v>132</v>
      </c>
      <c r="C1766" s="76">
        <v>340</v>
      </c>
      <c r="D1766" s="76" t="s">
        <v>440</v>
      </c>
      <c r="E1766" s="76" t="s">
        <v>426</v>
      </c>
      <c r="F1766" s="77">
        <v>2461.3000000000002</v>
      </c>
      <c r="G1766" s="77">
        <v>144.79</v>
      </c>
      <c r="H1766" s="77">
        <v>2606.09</v>
      </c>
      <c r="I1766" s="76" t="s">
        <v>968</v>
      </c>
      <c r="J1766" s="77">
        <v>300</v>
      </c>
      <c r="K1766" s="78">
        <v>3143.85</v>
      </c>
      <c r="M1766" s="79" t="str">
        <f t="shared" si="83"/>
        <v>340-7452</v>
      </c>
      <c r="N1766" s="79" t="str">
        <f t="shared" si="81"/>
        <v/>
      </c>
      <c r="O1766" s="79" t="str">
        <f t="shared" si="82"/>
        <v>340</v>
      </c>
      <c r="P1766" s="79" t="str">
        <f>IFERROR(VLOOKUP($M1766,Export!$P:$R,2,FALSE),"-")</f>
        <v>Admin &amp; Other</v>
      </c>
      <c r="Q1766" s="79" t="str">
        <f>IFERROR(VLOOKUP($M1766,Export!$P:$R,3,FALSE),"-")</f>
        <v>Admin &amp; OtherProfessional Fees as % of Total Gross Profit</v>
      </c>
      <c r="R1766" s="80" t="e" cm="1">
        <f t="array" ref="R1766">_xlfn.IFS(P1766="Service", _xlfn.IFS(I1766="SALES","GP",I1766="SERVICE SALES","GP",I1766="PARTS SALES","GP",I1766="SERVICE COS","GP",I1766="PARTS COS","GP",I1766="SELLING EXPENSES","Selling Expenses",I1766="EMPLOYMENT EXPENSES","Selling Expenses",I1766="EMPLOYMENT EXPENSES","Selling Expenses",I1766="DIRECT EXPENSES","Selling Expenses",I1766="INDIRECT EXPENSES","Selling Expenses"),P1766="Parts",_xlfn.IFS(I1766="SALES","GP",I1766="SERVICE SALES","GP",I1766="PARTS SALES","GP",I1766="SERVICE COS","GP",I1766="PARTS COS","GP",I1766="SELLING EXPENSES","Selling Expenses",I1766="EMPLOYMENT EXPENSES","Selling Expenses",I1766="EMPLOYMENT EXPENSES","Selling Expenses",I1766="DIRECT EXPENSES","Selling Expenses",I1766="INDIRECT EXPENSES","Selling Expenses"))</f>
        <v>#N/A</v>
      </c>
    </row>
    <row r="1767" spans="1:18" x14ac:dyDescent="0.2">
      <c r="A1767" s="75">
        <v>7452</v>
      </c>
      <c r="B1767" s="76" t="s">
        <v>132</v>
      </c>
      <c r="C1767" s="76">
        <v>430</v>
      </c>
      <c r="D1767" s="76" t="s">
        <v>458</v>
      </c>
      <c r="E1767" s="76" t="s">
        <v>426</v>
      </c>
      <c r="F1767" s="77">
        <v>185.71</v>
      </c>
      <c r="G1767" s="77">
        <v>0</v>
      </c>
      <c r="H1767" s="77">
        <v>185.71</v>
      </c>
      <c r="I1767" s="76" t="s">
        <v>968</v>
      </c>
      <c r="J1767" s="77">
        <v>0</v>
      </c>
      <c r="K1767" s="78">
        <v>0</v>
      </c>
      <c r="M1767" s="79" t="str">
        <f t="shared" si="83"/>
        <v>430-7452</v>
      </c>
      <c r="N1767" s="79" t="str">
        <f t="shared" si="81"/>
        <v/>
      </c>
      <c r="O1767" s="79" t="str">
        <f t="shared" si="82"/>
        <v>430</v>
      </c>
      <c r="P1767" s="79" t="str">
        <f>IFERROR(VLOOKUP($M1767,Export!$P:$R,2,FALSE),"-")</f>
        <v>Admin &amp; Other</v>
      </c>
      <c r="Q1767" s="79" t="str">
        <f>IFERROR(VLOOKUP($M1767,Export!$P:$R,3,FALSE),"-")</f>
        <v>Admin &amp; OtherProfessional Fees as % of Total Gross Profit</v>
      </c>
      <c r="R1767" s="80" t="e" cm="1">
        <f t="array" ref="R1767">_xlfn.IFS(P1767="Service", _xlfn.IFS(I1767="SALES","GP",I1767="SERVICE SALES","GP",I1767="PARTS SALES","GP",I1767="SERVICE COS","GP",I1767="PARTS COS","GP",I1767="SELLING EXPENSES","Selling Expenses",I1767="EMPLOYMENT EXPENSES","Selling Expenses",I1767="EMPLOYMENT EXPENSES","Selling Expenses",I1767="DIRECT EXPENSES","Selling Expenses",I1767="INDIRECT EXPENSES","Selling Expenses"),P1767="Parts",_xlfn.IFS(I1767="SALES","GP",I1767="SERVICE SALES","GP",I1767="PARTS SALES","GP",I1767="SERVICE COS","GP",I1767="PARTS COS","GP",I1767="SELLING EXPENSES","Selling Expenses",I1767="EMPLOYMENT EXPENSES","Selling Expenses",I1767="EMPLOYMENT EXPENSES","Selling Expenses",I1767="DIRECT EXPENSES","Selling Expenses",I1767="INDIRECT EXPENSES","Selling Expenses"))</f>
        <v>#N/A</v>
      </c>
    </row>
    <row r="1768" spans="1:18" x14ac:dyDescent="0.2">
      <c r="A1768" s="75">
        <v>7452</v>
      </c>
      <c r="B1768" s="76" t="s">
        <v>132</v>
      </c>
      <c r="C1768" s="76">
        <v>440</v>
      </c>
      <c r="D1768" s="76" t="s">
        <v>441</v>
      </c>
      <c r="E1768" s="76" t="s">
        <v>426</v>
      </c>
      <c r="F1768" s="77">
        <v>185.71</v>
      </c>
      <c r="G1768" s="77">
        <v>0</v>
      </c>
      <c r="H1768" s="77">
        <v>185.71</v>
      </c>
      <c r="I1768" s="76" t="s">
        <v>968</v>
      </c>
      <c r="J1768" s="77">
        <v>0</v>
      </c>
      <c r="K1768" s="78">
        <v>0</v>
      </c>
      <c r="M1768" s="79" t="str">
        <f t="shared" si="83"/>
        <v>440-7452</v>
      </c>
      <c r="N1768" s="79" t="str">
        <f t="shared" si="81"/>
        <v/>
      </c>
      <c r="O1768" s="79" t="str">
        <f t="shared" si="82"/>
        <v>440</v>
      </c>
      <c r="P1768" s="79" t="str">
        <f>IFERROR(VLOOKUP($M1768,Export!$P:$R,2,FALSE),"-")</f>
        <v>Admin &amp; Other</v>
      </c>
      <c r="Q1768" s="79" t="str">
        <f>IFERROR(VLOOKUP($M1768,Export!$P:$R,3,FALSE),"-")</f>
        <v>Admin &amp; OtherProfessional Fees as % of Total Gross Profit</v>
      </c>
      <c r="R1768" s="80" t="e" cm="1">
        <f t="array" ref="R1768">_xlfn.IFS(P1768="Service", _xlfn.IFS(I1768="SALES","GP",I1768="SERVICE SALES","GP",I1768="PARTS SALES","GP",I1768="SERVICE COS","GP",I1768="PARTS COS","GP",I1768="SELLING EXPENSES","Selling Expenses",I1768="EMPLOYMENT EXPENSES","Selling Expenses",I1768="EMPLOYMENT EXPENSES","Selling Expenses",I1768="DIRECT EXPENSES","Selling Expenses",I1768="INDIRECT EXPENSES","Selling Expenses"),P1768="Parts",_xlfn.IFS(I1768="SALES","GP",I1768="SERVICE SALES","GP",I1768="PARTS SALES","GP",I1768="SERVICE COS","GP",I1768="PARTS COS","GP",I1768="SELLING EXPENSES","Selling Expenses",I1768="EMPLOYMENT EXPENSES","Selling Expenses",I1768="EMPLOYMENT EXPENSES","Selling Expenses",I1768="DIRECT EXPENSES","Selling Expenses",I1768="INDIRECT EXPENSES","Selling Expenses"))</f>
        <v>#N/A</v>
      </c>
    </row>
    <row r="1769" spans="1:18" x14ac:dyDescent="0.2">
      <c r="A1769" s="75">
        <v>7452</v>
      </c>
      <c r="B1769" s="76" t="s">
        <v>132</v>
      </c>
      <c r="C1769" s="76">
        <v>935</v>
      </c>
      <c r="D1769" s="76" t="s">
        <v>442</v>
      </c>
      <c r="E1769" s="76" t="s">
        <v>426</v>
      </c>
      <c r="F1769" s="77">
        <v>4012.74</v>
      </c>
      <c r="G1769" s="77">
        <v>133.08000000000001</v>
      </c>
      <c r="H1769" s="77">
        <v>4145.82</v>
      </c>
      <c r="I1769" s="76" t="s">
        <v>968</v>
      </c>
      <c r="J1769" s="77">
        <v>0</v>
      </c>
      <c r="K1769" s="78">
        <v>898.77</v>
      </c>
      <c r="M1769" s="79" t="str">
        <f t="shared" si="83"/>
        <v>935-7452</v>
      </c>
      <c r="N1769" s="79" t="str">
        <f t="shared" si="81"/>
        <v/>
      </c>
      <c r="O1769" s="79" t="str">
        <f t="shared" si="82"/>
        <v>935</v>
      </c>
      <c r="P1769" s="79" t="str">
        <f>IFERROR(VLOOKUP($M1769,Export!$P:$R,2,FALSE),"-")</f>
        <v>LEX Admin &amp; Other</v>
      </c>
      <c r="Q1769" s="79" t="str">
        <f>IFERROR(VLOOKUP($M1769,Export!$P:$R,3,FALSE),"-")</f>
        <v>LEX Admin &amp; OtherProfessional Fees as % of Total Gross Profit</v>
      </c>
      <c r="R1769" s="80" t="e" cm="1">
        <f t="array" ref="R1769">_xlfn.IFS(P1769="Service", _xlfn.IFS(I1769="SALES","GP",I1769="SERVICE SALES","GP",I1769="PARTS SALES","GP",I1769="SERVICE COS","GP",I1769="PARTS COS","GP",I1769="SELLING EXPENSES","Selling Expenses",I1769="EMPLOYMENT EXPENSES","Selling Expenses",I1769="EMPLOYMENT EXPENSES","Selling Expenses",I1769="DIRECT EXPENSES","Selling Expenses",I1769="INDIRECT EXPENSES","Selling Expenses"),P1769="Parts",_xlfn.IFS(I1769="SALES","GP",I1769="SERVICE SALES","GP",I1769="PARTS SALES","GP",I1769="SERVICE COS","GP",I1769="PARTS COS","GP",I1769="SELLING EXPENSES","Selling Expenses",I1769="EMPLOYMENT EXPENSES","Selling Expenses",I1769="EMPLOYMENT EXPENSES","Selling Expenses",I1769="DIRECT EXPENSES","Selling Expenses",I1769="INDIRECT EXPENSES","Selling Expenses"))</f>
        <v>#N/A</v>
      </c>
    </row>
    <row r="1770" spans="1:18" x14ac:dyDescent="0.2">
      <c r="A1770" s="75">
        <v>7452</v>
      </c>
      <c r="B1770" s="76" t="s">
        <v>132</v>
      </c>
      <c r="C1770" s="76">
        <v>936</v>
      </c>
      <c r="D1770" s="76" t="s">
        <v>443</v>
      </c>
      <c r="E1770" s="76" t="s">
        <v>426</v>
      </c>
      <c r="F1770" s="77">
        <v>2356.79</v>
      </c>
      <c r="G1770" s="77">
        <v>133.08000000000001</v>
      </c>
      <c r="H1770" s="77">
        <v>2489.87</v>
      </c>
      <c r="I1770" s="76" t="s">
        <v>968</v>
      </c>
      <c r="J1770" s="77">
        <v>0</v>
      </c>
      <c r="K1770" s="78">
        <v>898.77</v>
      </c>
      <c r="M1770" s="79" t="str">
        <f t="shared" si="83"/>
        <v>936-7452</v>
      </c>
      <c r="N1770" s="79" t="str">
        <f t="shared" si="81"/>
        <v/>
      </c>
      <c r="O1770" s="79" t="str">
        <f t="shared" si="82"/>
        <v>936</v>
      </c>
      <c r="P1770" s="79" t="str">
        <f>IFERROR(VLOOKUP($M1770,Export!$P:$R,2,FALSE),"-")</f>
        <v>LEX Admin &amp; Other</v>
      </c>
      <c r="Q1770" s="79" t="str">
        <f>IFERROR(VLOOKUP($M1770,Export!$P:$R,3,FALSE),"-")</f>
        <v>LEX Admin &amp; OtherProfessional Fees as % of Total Gross Profit</v>
      </c>
      <c r="R1770" s="80" t="e" cm="1">
        <f t="array" ref="R1770">_xlfn.IFS(P1770="Service", _xlfn.IFS(I1770="SALES","GP",I1770="SERVICE SALES","GP",I1770="PARTS SALES","GP",I1770="SERVICE COS","GP",I1770="PARTS COS","GP",I1770="SELLING EXPENSES","Selling Expenses",I1770="EMPLOYMENT EXPENSES","Selling Expenses",I1770="EMPLOYMENT EXPENSES","Selling Expenses",I1770="DIRECT EXPENSES","Selling Expenses",I1770="INDIRECT EXPENSES","Selling Expenses"),P1770="Parts",_xlfn.IFS(I1770="SALES","GP",I1770="SERVICE SALES","GP",I1770="PARTS SALES","GP",I1770="SERVICE COS","GP",I1770="PARTS COS","GP",I1770="SELLING EXPENSES","Selling Expenses",I1770="EMPLOYMENT EXPENSES","Selling Expenses",I1770="EMPLOYMENT EXPENSES","Selling Expenses",I1770="DIRECT EXPENSES","Selling Expenses",I1770="INDIRECT EXPENSES","Selling Expenses"))</f>
        <v>#N/A</v>
      </c>
    </row>
    <row r="1771" spans="1:18" x14ac:dyDescent="0.2">
      <c r="A1771" s="75">
        <v>7456</v>
      </c>
      <c r="B1771" s="76" t="s">
        <v>972</v>
      </c>
      <c r="C1771" s="76">
        <v>110</v>
      </c>
      <c r="D1771" s="76" t="s">
        <v>430</v>
      </c>
      <c r="E1771" s="76" t="s">
        <v>426</v>
      </c>
      <c r="F1771" s="77">
        <v>3311.25</v>
      </c>
      <c r="G1771" s="77">
        <v>62.5</v>
      </c>
      <c r="H1771" s="77">
        <v>3373.75</v>
      </c>
      <c r="I1771" s="76" t="s">
        <v>968</v>
      </c>
      <c r="J1771" s="77">
        <v>768.75</v>
      </c>
      <c r="K1771" s="78">
        <v>7412.5</v>
      </c>
      <c r="M1771" s="79" t="str">
        <f t="shared" si="83"/>
        <v>110-7456</v>
      </c>
      <c r="N1771" s="79" t="str">
        <f t="shared" si="81"/>
        <v/>
      </c>
      <c r="O1771" s="79" t="str">
        <f t="shared" si="82"/>
        <v>110</v>
      </c>
      <c r="P1771" s="79" t="str">
        <f>IFERROR(VLOOKUP($M1771,Export!$P:$R,2,FALSE),"-")</f>
        <v>Admin &amp; Other</v>
      </c>
      <c r="Q1771" s="79" t="str">
        <f>IFERROR(VLOOKUP($M1771,Export!$P:$R,3,FALSE),"-")</f>
        <v>Admin &amp; OtherProfessional Fees as % of Total Gross Profit</v>
      </c>
      <c r="R1771" s="80" t="e" cm="1">
        <f t="array" ref="R1771">_xlfn.IFS(P1771="Service", _xlfn.IFS(I1771="SALES","GP",I1771="SERVICE SALES","GP",I1771="PARTS SALES","GP",I1771="SERVICE COS","GP",I1771="PARTS COS","GP",I1771="SELLING EXPENSES","Selling Expenses",I1771="EMPLOYMENT EXPENSES","Selling Expenses",I1771="EMPLOYMENT EXPENSES","Selling Expenses",I1771="DIRECT EXPENSES","Selling Expenses",I1771="INDIRECT EXPENSES","Selling Expenses"),P1771="Parts",_xlfn.IFS(I1771="SALES","GP",I1771="SERVICE SALES","GP",I1771="PARTS SALES","GP",I1771="SERVICE COS","GP",I1771="PARTS COS","GP",I1771="SELLING EXPENSES","Selling Expenses",I1771="EMPLOYMENT EXPENSES","Selling Expenses",I1771="EMPLOYMENT EXPENSES","Selling Expenses",I1771="DIRECT EXPENSES","Selling Expenses",I1771="INDIRECT EXPENSES","Selling Expenses"))</f>
        <v>#N/A</v>
      </c>
    </row>
    <row r="1772" spans="1:18" x14ac:dyDescent="0.2">
      <c r="A1772" s="75">
        <v>7456</v>
      </c>
      <c r="B1772" s="76" t="s">
        <v>972</v>
      </c>
      <c r="C1772" s="76">
        <v>112</v>
      </c>
      <c r="D1772" s="76" t="s">
        <v>349</v>
      </c>
      <c r="E1772" s="76" t="s">
        <v>426</v>
      </c>
      <c r="F1772" s="77">
        <v>1839.56</v>
      </c>
      <c r="G1772" s="77">
        <v>34.72</v>
      </c>
      <c r="H1772" s="77">
        <v>1874.28</v>
      </c>
      <c r="I1772" s="76" t="s">
        <v>968</v>
      </c>
      <c r="J1772" s="77">
        <v>2306.25</v>
      </c>
      <c r="K1772" s="78">
        <v>14237.5</v>
      </c>
      <c r="M1772" s="79" t="str">
        <f t="shared" si="83"/>
        <v>112-7456</v>
      </c>
      <c r="N1772" s="79" t="str">
        <f t="shared" si="81"/>
        <v/>
      </c>
      <c r="O1772" s="79" t="str">
        <f t="shared" si="82"/>
        <v>112</v>
      </c>
      <c r="P1772" s="79" t="str">
        <f>IFERROR(VLOOKUP($M1772,Export!$P:$R,2,FALSE),"-")</f>
        <v>LEX Admin &amp; Other</v>
      </c>
      <c r="Q1772" s="79" t="str">
        <f>IFERROR(VLOOKUP($M1772,Export!$P:$R,3,FALSE),"-")</f>
        <v>LEX Admin &amp; OtherProfessional Fees as % of Total Gross Profit</v>
      </c>
      <c r="R1772" s="80" t="e" cm="1">
        <f t="array" ref="R1772">_xlfn.IFS(P1772="Service", _xlfn.IFS(I1772="SALES","GP",I1772="SERVICE SALES","GP",I1772="PARTS SALES","GP",I1772="SERVICE COS","GP",I1772="PARTS COS","GP",I1772="SELLING EXPENSES","Selling Expenses",I1772="EMPLOYMENT EXPENSES","Selling Expenses",I1772="EMPLOYMENT EXPENSES","Selling Expenses",I1772="DIRECT EXPENSES","Selling Expenses",I1772="INDIRECT EXPENSES","Selling Expenses"),P1772="Parts",_xlfn.IFS(I1772="SALES","GP",I1772="SERVICE SALES","GP",I1772="PARTS SALES","GP",I1772="SERVICE COS","GP",I1772="PARTS COS","GP",I1772="SELLING EXPENSES","Selling Expenses",I1772="EMPLOYMENT EXPENSES","Selling Expenses",I1772="EMPLOYMENT EXPENSES","Selling Expenses",I1772="DIRECT EXPENSES","Selling Expenses",I1772="INDIRECT EXPENSES","Selling Expenses"))</f>
        <v>#N/A</v>
      </c>
    </row>
    <row r="1773" spans="1:18" x14ac:dyDescent="0.2">
      <c r="A1773" s="75">
        <v>7456</v>
      </c>
      <c r="B1773" s="76" t="s">
        <v>972</v>
      </c>
      <c r="C1773" s="76">
        <v>120</v>
      </c>
      <c r="D1773" s="76" t="s">
        <v>431</v>
      </c>
      <c r="E1773" s="76" t="s">
        <v>426</v>
      </c>
      <c r="F1773" s="77">
        <v>1103.73</v>
      </c>
      <c r="G1773" s="77">
        <v>20.83</v>
      </c>
      <c r="H1773" s="77">
        <v>1124.56</v>
      </c>
      <c r="I1773" s="76" t="s">
        <v>968</v>
      </c>
      <c r="J1773" s="77">
        <v>1537.5</v>
      </c>
      <c r="K1773" s="78">
        <v>12025</v>
      </c>
      <c r="M1773" s="79" t="str">
        <f t="shared" si="83"/>
        <v>120-7456</v>
      </c>
      <c r="N1773" s="79" t="str">
        <f t="shared" si="81"/>
        <v/>
      </c>
      <c r="O1773" s="79" t="str">
        <f t="shared" si="82"/>
        <v>120</v>
      </c>
      <c r="P1773" s="79" t="str">
        <f>IFERROR(VLOOKUP($M1773,Export!$P:$R,2,FALSE),"-")</f>
        <v>Admin &amp; Other</v>
      </c>
      <c r="Q1773" s="79" t="str">
        <f>IFERROR(VLOOKUP($M1773,Export!$P:$R,3,FALSE),"-")</f>
        <v>Admin &amp; OtherProfessional Fees as % of Total Gross Profit</v>
      </c>
      <c r="R1773" s="80" t="e" cm="1">
        <f t="array" ref="R1773">_xlfn.IFS(P1773="Service", _xlfn.IFS(I1773="SALES","GP",I1773="SERVICE SALES","GP",I1773="PARTS SALES","GP",I1773="SERVICE COS","GP",I1773="PARTS COS","GP",I1773="SELLING EXPENSES","Selling Expenses",I1773="EMPLOYMENT EXPENSES","Selling Expenses",I1773="EMPLOYMENT EXPENSES","Selling Expenses",I1773="DIRECT EXPENSES","Selling Expenses",I1773="INDIRECT EXPENSES","Selling Expenses"),P1773="Parts",_xlfn.IFS(I1773="SALES","GP",I1773="SERVICE SALES","GP",I1773="PARTS SALES","GP",I1773="SERVICE COS","GP",I1773="PARTS COS","GP",I1773="SELLING EXPENSES","Selling Expenses",I1773="EMPLOYMENT EXPENSES","Selling Expenses",I1773="EMPLOYMENT EXPENSES","Selling Expenses",I1773="DIRECT EXPENSES","Selling Expenses",I1773="INDIRECT EXPENSES","Selling Expenses"))</f>
        <v>#N/A</v>
      </c>
    </row>
    <row r="1774" spans="1:18" x14ac:dyDescent="0.2">
      <c r="A1774" s="75">
        <v>7456</v>
      </c>
      <c r="B1774" s="76" t="s">
        <v>972</v>
      </c>
      <c r="C1774" s="76">
        <v>121</v>
      </c>
      <c r="D1774" s="76" t="s">
        <v>449</v>
      </c>
      <c r="E1774" s="76" t="s">
        <v>426</v>
      </c>
      <c r="F1774" s="77">
        <v>735.83</v>
      </c>
      <c r="G1774" s="77">
        <v>13.89</v>
      </c>
      <c r="H1774" s="77">
        <v>749.72</v>
      </c>
      <c r="I1774" s="76" t="s">
        <v>968</v>
      </c>
      <c r="J1774" s="77">
        <v>0</v>
      </c>
      <c r="K1774" s="78">
        <v>2400</v>
      </c>
      <c r="M1774" s="79" t="str">
        <f t="shared" si="83"/>
        <v>121-7456</v>
      </c>
      <c r="N1774" s="79" t="str">
        <f t="shared" si="81"/>
        <v/>
      </c>
      <c r="O1774" s="79" t="str">
        <f t="shared" si="82"/>
        <v>121</v>
      </c>
      <c r="P1774" s="79" t="str">
        <f>IFERROR(VLOOKUP($M1774,Export!$P:$R,2,FALSE),"-")</f>
        <v>Admin &amp; Other</v>
      </c>
      <c r="Q1774" s="79" t="str">
        <f>IFERROR(VLOOKUP($M1774,Export!$P:$R,3,FALSE),"-")</f>
        <v>Admin &amp; OtherProfessional Fees as % of Total Gross Profit</v>
      </c>
      <c r="R1774" s="80" t="e" cm="1">
        <f t="array" ref="R1774">_xlfn.IFS(P1774="Service", _xlfn.IFS(I1774="SALES","GP",I1774="SERVICE SALES","GP",I1774="PARTS SALES","GP",I1774="SERVICE COS","GP",I1774="PARTS COS","GP",I1774="SELLING EXPENSES","Selling Expenses",I1774="EMPLOYMENT EXPENSES","Selling Expenses",I1774="EMPLOYMENT EXPENSES","Selling Expenses",I1774="DIRECT EXPENSES","Selling Expenses",I1774="INDIRECT EXPENSES","Selling Expenses"),P1774="Parts",_xlfn.IFS(I1774="SALES","GP",I1774="SERVICE SALES","GP",I1774="PARTS SALES","GP",I1774="SERVICE COS","GP",I1774="PARTS COS","GP",I1774="SELLING EXPENSES","Selling Expenses",I1774="EMPLOYMENT EXPENSES","Selling Expenses",I1774="EMPLOYMENT EXPENSES","Selling Expenses",I1774="DIRECT EXPENSES","Selling Expenses",I1774="INDIRECT EXPENSES","Selling Expenses"))</f>
        <v>#N/A</v>
      </c>
    </row>
    <row r="1775" spans="1:18" x14ac:dyDescent="0.2">
      <c r="A1775" s="75">
        <v>7456</v>
      </c>
      <c r="B1775" s="76" t="s">
        <v>972</v>
      </c>
      <c r="C1775" s="76">
        <v>130</v>
      </c>
      <c r="D1775" s="76" t="s">
        <v>432</v>
      </c>
      <c r="E1775" s="76" t="s">
        <v>426</v>
      </c>
      <c r="F1775" s="77">
        <v>4047.05</v>
      </c>
      <c r="G1775" s="77">
        <v>76.39</v>
      </c>
      <c r="H1775" s="77">
        <v>4123.4399999999996</v>
      </c>
      <c r="I1775" s="76" t="s">
        <v>968</v>
      </c>
      <c r="J1775" s="77">
        <v>1537.5</v>
      </c>
      <c r="K1775" s="78">
        <v>11025</v>
      </c>
      <c r="M1775" s="79" t="str">
        <f t="shared" si="83"/>
        <v>130-7456</v>
      </c>
      <c r="N1775" s="79" t="str">
        <f t="shared" si="81"/>
        <v/>
      </c>
      <c r="O1775" s="79" t="str">
        <f t="shared" si="82"/>
        <v>130</v>
      </c>
      <c r="P1775" s="79" t="str">
        <f>IFERROR(VLOOKUP($M1775,Export!$P:$R,2,FALSE),"-")</f>
        <v>Admin &amp; Other</v>
      </c>
      <c r="Q1775" s="79" t="str">
        <f>IFERROR(VLOOKUP($M1775,Export!$P:$R,3,FALSE),"-")</f>
        <v>Admin &amp; OtherProfessional Fees as % of Total Gross Profit</v>
      </c>
      <c r="R1775" s="80" t="e" cm="1">
        <f t="array" ref="R1775">_xlfn.IFS(P1775="Service", _xlfn.IFS(I1775="SALES","GP",I1775="SERVICE SALES","GP",I1775="PARTS SALES","GP",I1775="SERVICE COS","GP",I1775="PARTS COS","GP",I1775="SELLING EXPENSES","Selling Expenses",I1775="EMPLOYMENT EXPENSES","Selling Expenses",I1775="EMPLOYMENT EXPENSES","Selling Expenses",I1775="DIRECT EXPENSES","Selling Expenses",I1775="INDIRECT EXPENSES","Selling Expenses"),P1775="Parts",_xlfn.IFS(I1775="SALES","GP",I1775="SERVICE SALES","GP",I1775="PARTS SALES","GP",I1775="SERVICE COS","GP",I1775="PARTS COS","GP",I1775="SELLING EXPENSES","Selling Expenses",I1775="EMPLOYMENT EXPENSES","Selling Expenses",I1775="EMPLOYMENT EXPENSES","Selling Expenses",I1775="DIRECT EXPENSES","Selling Expenses",I1775="INDIRECT EXPENSES","Selling Expenses"))</f>
        <v>#N/A</v>
      </c>
    </row>
    <row r="1776" spans="1:18" x14ac:dyDescent="0.2">
      <c r="A1776" s="75">
        <v>7456</v>
      </c>
      <c r="B1776" s="76" t="s">
        <v>972</v>
      </c>
      <c r="C1776" s="76">
        <v>140</v>
      </c>
      <c r="D1776" s="76" t="s">
        <v>433</v>
      </c>
      <c r="E1776" s="76" t="s">
        <v>426</v>
      </c>
      <c r="F1776" s="77">
        <v>10301.57</v>
      </c>
      <c r="G1776" s="77">
        <v>194.44</v>
      </c>
      <c r="H1776" s="77">
        <v>10496.01</v>
      </c>
      <c r="I1776" s="76" t="s">
        <v>968</v>
      </c>
      <c r="J1776" s="77">
        <v>1076.25</v>
      </c>
      <c r="K1776" s="78">
        <v>8057.5</v>
      </c>
      <c r="M1776" s="79" t="str">
        <f t="shared" si="83"/>
        <v>140-7456</v>
      </c>
      <c r="N1776" s="79" t="str">
        <f t="shared" si="81"/>
        <v/>
      </c>
      <c r="O1776" s="79" t="str">
        <f t="shared" si="82"/>
        <v>140</v>
      </c>
      <c r="P1776" s="79" t="str">
        <f>IFERROR(VLOOKUP($M1776,Export!$P:$R,2,FALSE),"-")</f>
        <v>Admin &amp; Other</v>
      </c>
      <c r="Q1776" s="79" t="str">
        <f>IFERROR(VLOOKUP($M1776,Export!$P:$R,3,FALSE),"-")</f>
        <v>Admin &amp; OtherProfessional Fees as % of Total Gross Profit</v>
      </c>
      <c r="R1776" s="80" t="e" cm="1">
        <f t="array" ref="R1776">_xlfn.IFS(P1776="Service", _xlfn.IFS(I1776="SALES","GP",I1776="SERVICE SALES","GP",I1776="PARTS SALES","GP",I1776="SERVICE COS","GP",I1776="PARTS COS","GP",I1776="SELLING EXPENSES","Selling Expenses",I1776="EMPLOYMENT EXPENSES","Selling Expenses",I1776="EMPLOYMENT EXPENSES","Selling Expenses",I1776="DIRECT EXPENSES","Selling Expenses",I1776="INDIRECT EXPENSES","Selling Expenses"),P1776="Parts",_xlfn.IFS(I1776="SALES","GP",I1776="SERVICE SALES","GP",I1776="PARTS SALES","GP",I1776="SERVICE COS","GP",I1776="PARTS COS","GP",I1776="SELLING EXPENSES","Selling Expenses",I1776="EMPLOYMENT EXPENSES","Selling Expenses",I1776="EMPLOYMENT EXPENSES","Selling Expenses",I1776="DIRECT EXPENSES","Selling Expenses",I1776="INDIRECT EXPENSES","Selling Expenses"))</f>
        <v>#N/A</v>
      </c>
    </row>
    <row r="1777" spans="1:18" x14ac:dyDescent="0.2">
      <c r="A1777" s="75">
        <v>7456</v>
      </c>
      <c r="B1777" s="76" t="s">
        <v>972</v>
      </c>
      <c r="C1777" s="76">
        <v>142</v>
      </c>
      <c r="D1777" s="76" t="s">
        <v>454</v>
      </c>
      <c r="E1777" s="76" t="s">
        <v>426</v>
      </c>
      <c r="F1777" s="77">
        <v>5012.87</v>
      </c>
      <c r="G1777" s="77">
        <v>104.17</v>
      </c>
      <c r="H1777" s="77">
        <v>5117.04</v>
      </c>
      <c r="I1777" s="76" t="s">
        <v>968</v>
      </c>
      <c r="J1777" s="77">
        <v>0</v>
      </c>
      <c r="K1777" s="78">
        <v>0</v>
      </c>
      <c r="M1777" s="79" t="str">
        <f t="shared" si="83"/>
        <v>142-7456</v>
      </c>
      <c r="N1777" s="79" t="str">
        <f t="shared" si="81"/>
        <v/>
      </c>
      <c r="O1777" s="79" t="str">
        <f t="shared" si="82"/>
        <v>142</v>
      </c>
      <c r="P1777" s="79" t="str">
        <f>IFERROR(VLOOKUP($M1777,Export!$P:$R,2,FALSE),"-")</f>
        <v>LEX Admin &amp; Other</v>
      </c>
      <c r="Q1777" s="79" t="str">
        <f>IFERROR(VLOOKUP($M1777,Export!$P:$R,3,FALSE),"-")</f>
        <v>LEX Admin &amp; OtherProfessional Fees as % of Total Gross Profit</v>
      </c>
      <c r="R1777" s="80" t="e" cm="1">
        <f t="array" ref="R1777">_xlfn.IFS(P1777="Service", _xlfn.IFS(I1777="SALES","GP",I1777="SERVICE SALES","GP",I1777="PARTS SALES","GP",I1777="SERVICE COS","GP",I1777="PARTS COS","GP",I1777="SELLING EXPENSES","Selling Expenses",I1777="EMPLOYMENT EXPENSES","Selling Expenses",I1777="EMPLOYMENT EXPENSES","Selling Expenses",I1777="DIRECT EXPENSES","Selling Expenses",I1777="INDIRECT EXPENSES","Selling Expenses"),P1777="Parts",_xlfn.IFS(I1777="SALES","GP",I1777="SERVICE SALES","GP",I1777="PARTS SALES","GP",I1777="SERVICE COS","GP",I1777="PARTS COS","GP",I1777="SELLING EXPENSES","Selling Expenses",I1777="EMPLOYMENT EXPENSES","Selling Expenses",I1777="EMPLOYMENT EXPENSES","Selling Expenses",I1777="DIRECT EXPENSES","Selling Expenses",I1777="INDIRECT EXPENSES","Selling Expenses"))</f>
        <v>#N/A</v>
      </c>
    </row>
    <row r="1778" spans="1:18" x14ac:dyDescent="0.2">
      <c r="A1778" s="75">
        <v>7456</v>
      </c>
      <c r="B1778" s="76" t="s">
        <v>972</v>
      </c>
      <c r="C1778" s="76">
        <v>147</v>
      </c>
      <c r="D1778" s="76" t="s">
        <v>699</v>
      </c>
      <c r="E1778" s="76" t="s">
        <v>426</v>
      </c>
      <c r="F1778" s="77">
        <v>505.83</v>
      </c>
      <c r="G1778" s="77">
        <v>0</v>
      </c>
      <c r="H1778" s="77">
        <v>505.83</v>
      </c>
      <c r="I1778" s="76" t="s">
        <v>968</v>
      </c>
      <c r="J1778" s="77">
        <v>307.5</v>
      </c>
      <c r="K1778" s="78">
        <v>2045</v>
      </c>
      <c r="M1778" s="79" t="str">
        <f t="shared" si="83"/>
        <v>147-7456</v>
      </c>
      <c r="N1778" s="79" t="str">
        <f t="shared" si="81"/>
        <v/>
      </c>
      <c r="O1778" s="79" t="str">
        <f t="shared" si="82"/>
        <v>147</v>
      </c>
      <c r="P1778" s="79" t="str">
        <f>IFERROR(VLOOKUP($M1778,Export!$P:$R,2,FALSE),"-")</f>
        <v>Admin &amp; Other</v>
      </c>
      <c r="Q1778" s="79" t="str">
        <f>IFERROR(VLOOKUP($M1778,Export!$P:$R,3,FALSE),"-")</f>
        <v>Admin &amp; OtherProfessional Fees as % of Total Gross Profit</v>
      </c>
      <c r="R1778" s="80" t="e" cm="1">
        <f t="array" ref="R1778">_xlfn.IFS(P1778="Service", _xlfn.IFS(I1778="SALES","GP",I1778="SERVICE SALES","GP",I1778="PARTS SALES","GP",I1778="SERVICE COS","GP",I1778="PARTS COS","GP",I1778="SELLING EXPENSES","Selling Expenses",I1778="EMPLOYMENT EXPENSES","Selling Expenses",I1778="EMPLOYMENT EXPENSES","Selling Expenses",I1778="DIRECT EXPENSES","Selling Expenses",I1778="INDIRECT EXPENSES","Selling Expenses"),P1778="Parts",_xlfn.IFS(I1778="SALES","GP",I1778="SERVICE SALES","GP",I1778="PARTS SALES","GP",I1778="SERVICE COS","GP",I1778="PARTS COS","GP",I1778="SELLING EXPENSES","Selling Expenses",I1778="EMPLOYMENT EXPENSES","Selling Expenses",I1778="EMPLOYMENT EXPENSES","Selling Expenses",I1778="DIRECT EXPENSES","Selling Expenses",I1778="INDIRECT EXPENSES","Selling Expenses"))</f>
        <v>#N/A</v>
      </c>
    </row>
    <row r="1779" spans="1:18" x14ac:dyDescent="0.2">
      <c r="A1779" s="75">
        <v>7456</v>
      </c>
      <c r="B1779" s="76" t="s">
        <v>972</v>
      </c>
      <c r="C1779" s="76">
        <v>150</v>
      </c>
      <c r="D1779" s="76" t="s">
        <v>700</v>
      </c>
      <c r="E1779" s="76" t="s">
        <v>426</v>
      </c>
      <c r="F1779" s="77">
        <v>2943.31</v>
      </c>
      <c r="G1779" s="77">
        <v>55.56</v>
      </c>
      <c r="H1779" s="77">
        <v>2998.87</v>
      </c>
      <c r="I1779" s="76" t="s">
        <v>968</v>
      </c>
      <c r="J1779" s="77">
        <v>0</v>
      </c>
      <c r="K1779" s="78">
        <v>0</v>
      </c>
      <c r="M1779" s="79" t="str">
        <f t="shared" si="83"/>
        <v>150-7456</v>
      </c>
      <c r="N1779" s="79" t="str">
        <f t="shared" si="81"/>
        <v/>
      </c>
      <c r="O1779" s="79" t="str">
        <f t="shared" si="82"/>
        <v>150</v>
      </c>
      <c r="P1779" s="79" t="str">
        <f>IFERROR(VLOOKUP($M1779,Export!$P:$R,2,FALSE),"-")</f>
        <v>LEX Admin &amp; Other</v>
      </c>
      <c r="Q1779" s="79" t="str">
        <f>IFERROR(VLOOKUP($M1779,Export!$P:$R,3,FALSE),"-")</f>
        <v>LEX Admin &amp; OtherProfessional Fees as % of Total Gross Profit</v>
      </c>
      <c r="R1779" s="80" t="e" cm="1">
        <f t="array" ref="R1779">_xlfn.IFS(P1779="Service", _xlfn.IFS(I1779="SALES","GP",I1779="SERVICE SALES","GP",I1779="PARTS SALES","GP",I1779="SERVICE COS","GP",I1779="PARTS COS","GP",I1779="SELLING EXPENSES","Selling Expenses",I1779="EMPLOYMENT EXPENSES","Selling Expenses",I1779="EMPLOYMENT EXPENSES","Selling Expenses",I1779="DIRECT EXPENSES","Selling Expenses",I1779="INDIRECT EXPENSES","Selling Expenses"),P1779="Parts",_xlfn.IFS(I1779="SALES","GP",I1779="SERVICE SALES","GP",I1779="PARTS SALES","GP",I1779="SERVICE COS","GP",I1779="PARTS COS","GP",I1779="SELLING EXPENSES","Selling Expenses",I1779="EMPLOYMENT EXPENSES","Selling Expenses",I1779="EMPLOYMENT EXPENSES","Selling Expenses",I1779="DIRECT EXPENSES","Selling Expenses",I1779="INDIRECT EXPENSES","Selling Expenses"))</f>
        <v>#N/A</v>
      </c>
    </row>
    <row r="1780" spans="1:18" x14ac:dyDescent="0.2">
      <c r="A1780" s="75">
        <v>7456</v>
      </c>
      <c r="B1780" s="76" t="s">
        <v>972</v>
      </c>
      <c r="C1780" s="76">
        <v>160</v>
      </c>
      <c r="D1780" s="76" t="s">
        <v>434</v>
      </c>
      <c r="E1780" s="76" t="s">
        <v>426</v>
      </c>
      <c r="F1780" s="77">
        <v>1103.73</v>
      </c>
      <c r="G1780" s="77">
        <v>20.83</v>
      </c>
      <c r="H1780" s="77">
        <v>1124.56</v>
      </c>
      <c r="I1780" s="76" t="s">
        <v>968</v>
      </c>
      <c r="J1780" s="77">
        <v>1383.75</v>
      </c>
      <c r="K1780" s="78">
        <v>8302.5</v>
      </c>
      <c r="M1780" s="79" t="str">
        <f t="shared" si="83"/>
        <v>160-7456</v>
      </c>
      <c r="N1780" s="79" t="str">
        <f t="shared" si="81"/>
        <v/>
      </c>
      <c r="O1780" s="79" t="str">
        <f t="shared" si="82"/>
        <v>160</v>
      </c>
      <c r="P1780" s="79" t="str">
        <f>IFERROR(VLOOKUP($M1780,Export!$P:$R,2,FALSE),"-")</f>
        <v>Admin &amp; Other</v>
      </c>
      <c r="Q1780" s="79" t="str">
        <f>IFERROR(VLOOKUP($M1780,Export!$P:$R,3,FALSE),"-")</f>
        <v>Admin &amp; OtherProfessional Fees as % of Total Gross Profit</v>
      </c>
      <c r="R1780" s="80" t="e" cm="1">
        <f t="array" ref="R1780">_xlfn.IFS(P1780="Service", _xlfn.IFS(I1780="SALES","GP",I1780="SERVICE SALES","GP",I1780="PARTS SALES","GP",I1780="SERVICE COS","GP",I1780="PARTS COS","GP",I1780="SELLING EXPENSES","Selling Expenses",I1780="EMPLOYMENT EXPENSES","Selling Expenses",I1780="EMPLOYMENT EXPENSES","Selling Expenses",I1780="DIRECT EXPENSES","Selling Expenses",I1780="INDIRECT EXPENSES","Selling Expenses"),P1780="Parts",_xlfn.IFS(I1780="SALES","GP",I1780="SERVICE SALES","GP",I1780="PARTS SALES","GP",I1780="SERVICE COS","GP",I1780="PARTS COS","GP",I1780="SELLING EXPENSES","Selling Expenses",I1780="EMPLOYMENT EXPENSES","Selling Expenses",I1780="EMPLOYMENT EXPENSES","Selling Expenses",I1780="DIRECT EXPENSES","Selling Expenses",I1780="INDIRECT EXPENSES","Selling Expenses"))</f>
        <v>#N/A</v>
      </c>
    </row>
    <row r="1781" spans="1:18" x14ac:dyDescent="0.2">
      <c r="A1781" s="75">
        <v>7456</v>
      </c>
      <c r="B1781" s="76" t="s">
        <v>972</v>
      </c>
      <c r="C1781" s="76">
        <v>210</v>
      </c>
      <c r="D1781" s="76" t="s">
        <v>436</v>
      </c>
      <c r="E1781" s="76" t="s">
        <v>426</v>
      </c>
      <c r="F1781" s="77">
        <v>1471.66</v>
      </c>
      <c r="G1781" s="77">
        <v>27.78</v>
      </c>
      <c r="H1781" s="77">
        <v>1499.44</v>
      </c>
      <c r="I1781" s="76" t="s">
        <v>968</v>
      </c>
      <c r="J1781" s="77">
        <v>922.5</v>
      </c>
      <c r="K1781" s="78">
        <v>7535</v>
      </c>
      <c r="M1781" s="79" t="str">
        <f t="shared" si="83"/>
        <v>210-7456</v>
      </c>
      <c r="N1781" s="79" t="str">
        <f t="shared" si="81"/>
        <v/>
      </c>
      <c r="O1781" s="79" t="str">
        <f t="shared" si="82"/>
        <v>210</v>
      </c>
      <c r="P1781" s="79" t="str">
        <f>IFERROR(VLOOKUP($M1781,Export!$P:$R,2,FALSE),"-")</f>
        <v>Admin &amp; Other</v>
      </c>
      <c r="Q1781" s="79" t="str">
        <f>IFERROR(VLOOKUP($M1781,Export!$P:$R,3,FALSE),"-")</f>
        <v>Admin &amp; OtherProfessional Fees as % of Total Gross Profit</v>
      </c>
      <c r="R1781" s="80" t="e" cm="1">
        <f t="array" ref="R1781">_xlfn.IFS(P1781="Service", _xlfn.IFS(I1781="SALES","GP",I1781="SERVICE SALES","GP",I1781="PARTS SALES","GP",I1781="SERVICE COS","GP",I1781="PARTS COS","GP",I1781="SELLING EXPENSES","Selling Expenses",I1781="EMPLOYMENT EXPENSES","Selling Expenses",I1781="EMPLOYMENT EXPENSES","Selling Expenses",I1781="DIRECT EXPENSES","Selling Expenses",I1781="INDIRECT EXPENSES","Selling Expenses"),P1781="Parts",_xlfn.IFS(I1781="SALES","GP",I1781="SERVICE SALES","GP",I1781="PARTS SALES","GP",I1781="SERVICE COS","GP",I1781="PARTS COS","GP",I1781="SELLING EXPENSES","Selling Expenses",I1781="EMPLOYMENT EXPENSES","Selling Expenses",I1781="EMPLOYMENT EXPENSES","Selling Expenses",I1781="DIRECT EXPENSES","Selling Expenses",I1781="INDIRECT EXPENSES","Selling Expenses"))</f>
        <v>#N/A</v>
      </c>
    </row>
    <row r="1782" spans="1:18" x14ac:dyDescent="0.2">
      <c r="A1782" s="75">
        <v>7456</v>
      </c>
      <c r="B1782" s="76" t="s">
        <v>972</v>
      </c>
      <c r="C1782" s="76">
        <v>220</v>
      </c>
      <c r="D1782" s="76" t="s">
        <v>437</v>
      </c>
      <c r="E1782" s="76" t="s">
        <v>426</v>
      </c>
      <c r="F1782" s="77">
        <v>1471.66</v>
      </c>
      <c r="G1782" s="77">
        <v>27.78</v>
      </c>
      <c r="H1782" s="77">
        <v>1499.44</v>
      </c>
      <c r="I1782" s="76" t="s">
        <v>968</v>
      </c>
      <c r="J1782" s="77">
        <v>0</v>
      </c>
      <c r="K1782" s="78">
        <v>2000</v>
      </c>
      <c r="M1782" s="79" t="str">
        <f t="shared" si="83"/>
        <v>220-7456</v>
      </c>
      <c r="N1782" s="79" t="str">
        <f t="shared" si="81"/>
        <v/>
      </c>
      <c r="O1782" s="79" t="str">
        <f t="shared" si="82"/>
        <v>220</v>
      </c>
      <c r="P1782" s="79" t="str">
        <f>IFERROR(VLOOKUP($M1782,Export!$P:$R,2,FALSE),"-")</f>
        <v>Admin &amp; Other</v>
      </c>
      <c r="Q1782" s="79" t="str">
        <f>IFERROR(VLOOKUP($M1782,Export!$P:$R,3,FALSE),"-")</f>
        <v>Admin &amp; OtherProfessional Fees as % of Total Gross Profit</v>
      </c>
      <c r="R1782" s="80" t="e" cm="1">
        <f t="array" ref="R1782">_xlfn.IFS(P1782="Service", _xlfn.IFS(I1782="SALES","GP",I1782="SERVICE SALES","GP",I1782="PARTS SALES","GP",I1782="SERVICE COS","GP",I1782="PARTS COS","GP",I1782="SELLING EXPENSES","Selling Expenses",I1782="EMPLOYMENT EXPENSES","Selling Expenses",I1782="EMPLOYMENT EXPENSES","Selling Expenses",I1782="DIRECT EXPENSES","Selling Expenses",I1782="INDIRECT EXPENSES","Selling Expenses"),P1782="Parts",_xlfn.IFS(I1782="SALES","GP",I1782="SERVICE SALES","GP",I1782="PARTS SALES","GP",I1782="SERVICE COS","GP",I1782="PARTS COS","GP",I1782="SELLING EXPENSES","Selling Expenses",I1782="EMPLOYMENT EXPENSES","Selling Expenses",I1782="EMPLOYMENT EXPENSES","Selling Expenses",I1782="DIRECT EXPENSES","Selling Expenses",I1782="INDIRECT EXPENSES","Selling Expenses"))</f>
        <v>#N/A</v>
      </c>
    </row>
    <row r="1783" spans="1:18" x14ac:dyDescent="0.2">
      <c r="A1783" s="75">
        <v>7456</v>
      </c>
      <c r="B1783" s="76" t="s">
        <v>972</v>
      </c>
      <c r="C1783" s="76">
        <v>230</v>
      </c>
      <c r="D1783" s="76" t="s">
        <v>438</v>
      </c>
      <c r="E1783" s="76" t="s">
        <v>426</v>
      </c>
      <c r="F1783" s="77">
        <v>1103.73</v>
      </c>
      <c r="G1783" s="77">
        <v>20.83</v>
      </c>
      <c r="H1783" s="77">
        <v>1124.56</v>
      </c>
      <c r="I1783" s="76" t="s">
        <v>968</v>
      </c>
      <c r="J1783" s="77">
        <v>922.5</v>
      </c>
      <c r="K1783" s="78">
        <v>7735</v>
      </c>
      <c r="M1783" s="79" t="str">
        <f t="shared" si="83"/>
        <v>230-7456</v>
      </c>
      <c r="N1783" s="79" t="str">
        <f t="shared" si="81"/>
        <v/>
      </c>
      <c r="O1783" s="79" t="str">
        <f t="shared" si="82"/>
        <v>230</v>
      </c>
      <c r="P1783" s="79" t="str">
        <f>IFERROR(VLOOKUP($M1783,Export!$P:$R,2,FALSE),"-")</f>
        <v>Admin &amp; Other</v>
      </c>
      <c r="Q1783" s="79" t="str">
        <f>IFERROR(VLOOKUP($M1783,Export!$P:$R,3,FALSE),"-")</f>
        <v>Admin &amp; OtherProfessional Fees as % of Total Gross Profit</v>
      </c>
      <c r="R1783" s="80" t="e" cm="1">
        <f t="array" ref="R1783">_xlfn.IFS(P1783="Service", _xlfn.IFS(I1783="SALES","GP",I1783="SERVICE SALES","GP",I1783="PARTS SALES","GP",I1783="SERVICE COS","GP",I1783="PARTS COS","GP",I1783="SELLING EXPENSES","Selling Expenses",I1783="EMPLOYMENT EXPENSES","Selling Expenses",I1783="EMPLOYMENT EXPENSES","Selling Expenses",I1783="DIRECT EXPENSES","Selling Expenses",I1783="INDIRECT EXPENSES","Selling Expenses"),P1783="Parts",_xlfn.IFS(I1783="SALES","GP",I1783="SERVICE SALES","GP",I1783="PARTS SALES","GP",I1783="SERVICE COS","GP",I1783="PARTS COS","GP",I1783="SELLING EXPENSES","Selling Expenses",I1783="EMPLOYMENT EXPENSES","Selling Expenses",I1783="EMPLOYMENT EXPENSES","Selling Expenses",I1783="DIRECT EXPENSES","Selling Expenses",I1783="INDIRECT EXPENSES","Selling Expenses"))</f>
        <v>#N/A</v>
      </c>
    </row>
    <row r="1784" spans="1:18" x14ac:dyDescent="0.2">
      <c r="A1784" s="75">
        <v>7456</v>
      </c>
      <c r="B1784" s="76" t="s">
        <v>972</v>
      </c>
      <c r="C1784" s="76">
        <v>240</v>
      </c>
      <c r="D1784" s="76" t="s">
        <v>439</v>
      </c>
      <c r="E1784" s="76" t="s">
        <v>426</v>
      </c>
      <c r="F1784" s="77">
        <v>6254.53</v>
      </c>
      <c r="G1784" s="77">
        <v>118.06</v>
      </c>
      <c r="H1784" s="77">
        <v>6372.59</v>
      </c>
      <c r="I1784" s="76" t="s">
        <v>968</v>
      </c>
      <c r="J1784" s="77">
        <v>922.5</v>
      </c>
      <c r="K1784" s="78">
        <v>7535</v>
      </c>
      <c r="M1784" s="79" t="str">
        <f t="shared" si="83"/>
        <v>240-7456</v>
      </c>
      <c r="N1784" s="79" t="str">
        <f t="shared" si="81"/>
        <v/>
      </c>
      <c r="O1784" s="79" t="str">
        <f t="shared" si="82"/>
        <v>240</v>
      </c>
      <c r="P1784" s="79" t="str">
        <f>IFERROR(VLOOKUP($M1784,Export!$P:$R,2,FALSE),"-")</f>
        <v>Admin &amp; Other</v>
      </c>
      <c r="Q1784" s="79" t="str">
        <f>IFERROR(VLOOKUP($M1784,Export!$P:$R,3,FALSE),"-")</f>
        <v>Admin &amp; OtherProfessional Fees as % of Total Gross Profit</v>
      </c>
      <c r="R1784" s="80" t="e" cm="1">
        <f t="array" ref="R1784">_xlfn.IFS(P1784="Service", _xlfn.IFS(I1784="SALES","GP",I1784="SERVICE SALES","GP",I1784="PARTS SALES","GP",I1784="SERVICE COS","GP",I1784="PARTS COS","GP",I1784="SELLING EXPENSES","Selling Expenses",I1784="EMPLOYMENT EXPENSES","Selling Expenses",I1784="EMPLOYMENT EXPENSES","Selling Expenses",I1784="DIRECT EXPENSES","Selling Expenses",I1784="INDIRECT EXPENSES","Selling Expenses"),P1784="Parts",_xlfn.IFS(I1784="SALES","GP",I1784="SERVICE SALES","GP",I1784="PARTS SALES","GP",I1784="SERVICE COS","GP",I1784="PARTS COS","GP",I1784="SELLING EXPENSES","Selling Expenses",I1784="EMPLOYMENT EXPENSES","Selling Expenses",I1784="EMPLOYMENT EXPENSES","Selling Expenses",I1784="DIRECT EXPENSES","Selling Expenses",I1784="INDIRECT EXPENSES","Selling Expenses"))</f>
        <v>#N/A</v>
      </c>
    </row>
    <row r="1785" spans="1:18" x14ac:dyDescent="0.2">
      <c r="A1785" s="75">
        <v>7456</v>
      </c>
      <c r="B1785" s="76" t="s">
        <v>972</v>
      </c>
      <c r="C1785" s="76">
        <v>260</v>
      </c>
      <c r="D1785" s="76" t="s">
        <v>456</v>
      </c>
      <c r="E1785" s="76" t="s">
        <v>426</v>
      </c>
      <c r="F1785" s="77">
        <v>735.83</v>
      </c>
      <c r="G1785" s="77">
        <v>13.89</v>
      </c>
      <c r="H1785" s="77">
        <v>749.72</v>
      </c>
      <c r="I1785" s="76" t="s">
        <v>968</v>
      </c>
      <c r="J1785" s="77">
        <v>461.25</v>
      </c>
      <c r="K1785" s="78">
        <v>2867.5</v>
      </c>
      <c r="M1785" s="79" t="str">
        <f t="shared" si="83"/>
        <v>260-7456</v>
      </c>
      <c r="N1785" s="79" t="str">
        <f t="shared" si="81"/>
        <v/>
      </c>
      <c r="O1785" s="79" t="str">
        <f t="shared" si="82"/>
        <v>260</v>
      </c>
      <c r="P1785" s="79" t="str">
        <f>IFERROR(VLOOKUP($M1785,Export!$P:$R,2,FALSE),"-")</f>
        <v>Admin &amp; Other</v>
      </c>
      <c r="Q1785" s="79" t="str">
        <f>IFERROR(VLOOKUP($M1785,Export!$P:$R,3,FALSE),"-")</f>
        <v>Admin &amp; OtherProfessional Fees as % of Total Gross Profit</v>
      </c>
      <c r="R1785" s="80" t="e" cm="1">
        <f t="array" ref="R1785">_xlfn.IFS(P1785="Service", _xlfn.IFS(I1785="SALES","GP",I1785="SERVICE SALES","GP",I1785="PARTS SALES","GP",I1785="SERVICE COS","GP",I1785="PARTS COS","GP",I1785="SELLING EXPENSES","Selling Expenses",I1785="EMPLOYMENT EXPENSES","Selling Expenses",I1785="EMPLOYMENT EXPENSES","Selling Expenses",I1785="DIRECT EXPENSES","Selling Expenses",I1785="INDIRECT EXPENSES","Selling Expenses"),P1785="Parts",_xlfn.IFS(I1785="SALES","GP",I1785="SERVICE SALES","GP",I1785="PARTS SALES","GP",I1785="SERVICE COS","GP",I1785="PARTS COS","GP",I1785="SELLING EXPENSES","Selling Expenses",I1785="EMPLOYMENT EXPENSES","Selling Expenses",I1785="EMPLOYMENT EXPENSES","Selling Expenses",I1785="DIRECT EXPENSES","Selling Expenses",I1785="INDIRECT EXPENSES","Selling Expenses"))</f>
        <v>#N/A</v>
      </c>
    </row>
    <row r="1786" spans="1:18" x14ac:dyDescent="0.2">
      <c r="A1786" s="75">
        <v>7456</v>
      </c>
      <c r="B1786" s="76" t="s">
        <v>972</v>
      </c>
      <c r="C1786" s="76">
        <v>330</v>
      </c>
      <c r="D1786" s="76" t="s">
        <v>457</v>
      </c>
      <c r="E1786" s="76" t="s">
        <v>426</v>
      </c>
      <c r="F1786" s="77">
        <v>367.9</v>
      </c>
      <c r="G1786" s="77">
        <v>6.94</v>
      </c>
      <c r="H1786" s="77">
        <v>374.84</v>
      </c>
      <c r="I1786" s="76" t="s">
        <v>968</v>
      </c>
      <c r="J1786" s="77">
        <v>461.25</v>
      </c>
      <c r="K1786" s="78">
        <v>2767.5</v>
      </c>
      <c r="M1786" s="79" t="str">
        <f t="shared" si="83"/>
        <v>330-7456</v>
      </c>
      <c r="N1786" s="79" t="str">
        <f t="shared" si="81"/>
        <v/>
      </c>
      <c r="O1786" s="79" t="str">
        <f t="shared" si="82"/>
        <v>330</v>
      </c>
      <c r="P1786" s="79" t="str">
        <f>IFERROR(VLOOKUP($M1786,Export!$P:$R,2,FALSE),"-")</f>
        <v>Admin &amp; Other</v>
      </c>
      <c r="Q1786" s="79" t="str">
        <f>IFERROR(VLOOKUP($M1786,Export!$P:$R,3,FALSE),"-")</f>
        <v>Admin &amp; OtherProfessional Fees as % of Total Gross Profit</v>
      </c>
      <c r="R1786" s="80" t="e" cm="1">
        <f t="array" ref="R1786">_xlfn.IFS(P1786="Service", _xlfn.IFS(I1786="SALES","GP",I1786="SERVICE SALES","GP",I1786="PARTS SALES","GP",I1786="SERVICE COS","GP",I1786="PARTS COS","GP",I1786="SELLING EXPENSES","Selling Expenses",I1786="EMPLOYMENT EXPENSES","Selling Expenses",I1786="EMPLOYMENT EXPENSES","Selling Expenses",I1786="DIRECT EXPENSES","Selling Expenses",I1786="INDIRECT EXPENSES","Selling Expenses"),P1786="Parts",_xlfn.IFS(I1786="SALES","GP",I1786="SERVICE SALES","GP",I1786="PARTS SALES","GP",I1786="SERVICE COS","GP",I1786="PARTS COS","GP",I1786="SELLING EXPENSES","Selling Expenses",I1786="EMPLOYMENT EXPENSES","Selling Expenses",I1786="EMPLOYMENT EXPENSES","Selling Expenses",I1786="DIRECT EXPENSES","Selling Expenses",I1786="INDIRECT EXPENSES","Selling Expenses"))</f>
        <v>#N/A</v>
      </c>
    </row>
    <row r="1787" spans="1:18" x14ac:dyDescent="0.2">
      <c r="A1787" s="75">
        <v>7456</v>
      </c>
      <c r="B1787" s="76" t="s">
        <v>972</v>
      </c>
      <c r="C1787" s="76">
        <v>340</v>
      </c>
      <c r="D1787" s="76" t="s">
        <v>440</v>
      </c>
      <c r="E1787" s="76" t="s">
        <v>426</v>
      </c>
      <c r="F1787" s="77">
        <v>4047.05</v>
      </c>
      <c r="G1787" s="77">
        <v>76.39</v>
      </c>
      <c r="H1787" s="77">
        <v>4123.4399999999996</v>
      </c>
      <c r="I1787" s="76" t="s">
        <v>968</v>
      </c>
      <c r="J1787" s="77">
        <v>307.5</v>
      </c>
      <c r="K1787" s="78">
        <v>2845</v>
      </c>
      <c r="M1787" s="79" t="str">
        <f t="shared" si="83"/>
        <v>340-7456</v>
      </c>
      <c r="N1787" s="79" t="str">
        <f t="shared" si="81"/>
        <v/>
      </c>
      <c r="O1787" s="79" t="str">
        <f t="shared" si="82"/>
        <v>340</v>
      </c>
      <c r="P1787" s="79" t="str">
        <f>IFERROR(VLOOKUP($M1787,Export!$P:$R,2,FALSE),"-")</f>
        <v>Admin &amp; Other</v>
      </c>
      <c r="Q1787" s="79" t="str">
        <f>IFERROR(VLOOKUP($M1787,Export!$P:$R,3,FALSE),"-")</f>
        <v>Admin &amp; OtherProfessional Fees as % of Total Gross Profit</v>
      </c>
      <c r="R1787" s="80" t="e" cm="1">
        <f t="array" ref="R1787">_xlfn.IFS(P1787="Service", _xlfn.IFS(I1787="SALES","GP",I1787="SERVICE SALES","GP",I1787="PARTS SALES","GP",I1787="SERVICE COS","GP",I1787="PARTS COS","GP",I1787="SELLING EXPENSES","Selling Expenses",I1787="EMPLOYMENT EXPENSES","Selling Expenses",I1787="EMPLOYMENT EXPENSES","Selling Expenses",I1787="DIRECT EXPENSES","Selling Expenses",I1787="INDIRECT EXPENSES","Selling Expenses"),P1787="Parts",_xlfn.IFS(I1787="SALES","GP",I1787="SERVICE SALES","GP",I1787="PARTS SALES","GP",I1787="SERVICE COS","GP",I1787="PARTS COS","GP",I1787="SELLING EXPENSES","Selling Expenses",I1787="EMPLOYMENT EXPENSES","Selling Expenses",I1787="EMPLOYMENT EXPENSES","Selling Expenses",I1787="DIRECT EXPENSES","Selling Expenses",I1787="INDIRECT EXPENSES","Selling Expenses"))</f>
        <v>#N/A</v>
      </c>
    </row>
    <row r="1788" spans="1:18" x14ac:dyDescent="0.2">
      <c r="A1788" s="75">
        <v>7456</v>
      </c>
      <c r="B1788" s="76" t="s">
        <v>972</v>
      </c>
      <c r="C1788" s="76">
        <v>430</v>
      </c>
      <c r="D1788" s="76" t="s">
        <v>458</v>
      </c>
      <c r="E1788" s="76" t="s">
        <v>426</v>
      </c>
      <c r="F1788" s="77">
        <v>367.9</v>
      </c>
      <c r="G1788" s="77">
        <v>6.94</v>
      </c>
      <c r="H1788" s="77">
        <v>374.84</v>
      </c>
      <c r="I1788" s="76" t="s">
        <v>968</v>
      </c>
      <c r="J1788" s="77">
        <v>461.25</v>
      </c>
      <c r="K1788" s="78">
        <v>2767.5</v>
      </c>
      <c r="M1788" s="79" t="str">
        <f t="shared" si="83"/>
        <v>430-7456</v>
      </c>
      <c r="N1788" s="79" t="str">
        <f t="shared" si="81"/>
        <v/>
      </c>
      <c r="O1788" s="79" t="str">
        <f t="shared" si="82"/>
        <v>430</v>
      </c>
      <c r="P1788" s="79" t="str">
        <f>IFERROR(VLOOKUP($M1788,Export!$P:$R,2,FALSE),"-")</f>
        <v>Admin &amp; Other</v>
      </c>
      <c r="Q1788" s="79" t="str">
        <f>IFERROR(VLOOKUP($M1788,Export!$P:$R,3,FALSE),"-")</f>
        <v>Admin &amp; OtherProfessional Fees as % of Total Gross Profit</v>
      </c>
      <c r="R1788" s="80" t="e" cm="1">
        <f t="array" ref="R1788">_xlfn.IFS(P1788="Service", _xlfn.IFS(I1788="SALES","GP",I1788="SERVICE SALES","GP",I1788="PARTS SALES","GP",I1788="SERVICE COS","GP",I1788="PARTS COS","GP",I1788="SELLING EXPENSES","Selling Expenses",I1788="EMPLOYMENT EXPENSES","Selling Expenses",I1788="EMPLOYMENT EXPENSES","Selling Expenses",I1788="DIRECT EXPENSES","Selling Expenses",I1788="INDIRECT EXPENSES","Selling Expenses"),P1788="Parts",_xlfn.IFS(I1788="SALES","GP",I1788="SERVICE SALES","GP",I1788="PARTS SALES","GP",I1788="SERVICE COS","GP",I1788="PARTS COS","GP",I1788="SELLING EXPENSES","Selling Expenses",I1788="EMPLOYMENT EXPENSES","Selling Expenses",I1788="EMPLOYMENT EXPENSES","Selling Expenses",I1788="DIRECT EXPENSES","Selling Expenses",I1788="INDIRECT EXPENSES","Selling Expenses"))</f>
        <v>#N/A</v>
      </c>
    </row>
    <row r="1789" spans="1:18" x14ac:dyDescent="0.2">
      <c r="A1789" s="75">
        <v>7456</v>
      </c>
      <c r="B1789" s="76" t="s">
        <v>972</v>
      </c>
      <c r="C1789" s="76">
        <v>440</v>
      </c>
      <c r="D1789" s="76" t="s">
        <v>441</v>
      </c>
      <c r="E1789" s="76" t="s">
        <v>426</v>
      </c>
      <c r="F1789" s="77">
        <v>4047.05</v>
      </c>
      <c r="G1789" s="77">
        <v>76.39</v>
      </c>
      <c r="H1789" s="77">
        <v>4123.4399999999996</v>
      </c>
      <c r="I1789" s="76" t="s">
        <v>968</v>
      </c>
      <c r="J1789" s="77">
        <v>615</v>
      </c>
      <c r="K1789" s="78">
        <v>3690</v>
      </c>
      <c r="M1789" s="79" t="str">
        <f t="shared" si="83"/>
        <v>440-7456</v>
      </c>
      <c r="N1789" s="79" t="str">
        <f t="shared" si="81"/>
        <v/>
      </c>
      <c r="O1789" s="79" t="str">
        <f t="shared" si="82"/>
        <v>440</v>
      </c>
      <c r="P1789" s="79" t="str">
        <f>IFERROR(VLOOKUP($M1789,Export!$P:$R,2,FALSE),"-")</f>
        <v>Admin &amp; Other</v>
      </c>
      <c r="Q1789" s="79" t="str">
        <f>IFERROR(VLOOKUP($M1789,Export!$P:$R,3,FALSE),"-")</f>
        <v>Admin &amp; OtherProfessional Fees as % of Total Gross Profit</v>
      </c>
      <c r="R1789" s="80" t="e" cm="1">
        <f t="array" ref="R1789">_xlfn.IFS(P1789="Service", _xlfn.IFS(I1789="SALES","GP",I1789="SERVICE SALES","GP",I1789="PARTS SALES","GP",I1789="SERVICE COS","GP",I1789="PARTS COS","GP",I1789="SELLING EXPENSES","Selling Expenses",I1789="EMPLOYMENT EXPENSES","Selling Expenses",I1789="EMPLOYMENT EXPENSES","Selling Expenses",I1789="DIRECT EXPENSES","Selling Expenses",I1789="INDIRECT EXPENSES","Selling Expenses"),P1789="Parts",_xlfn.IFS(I1789="SALES","GP",I1789="SERVICE SALES","GP",I1789="PARTS SALES","GP",I1789="SERVICE COS","GP",I1789="PARTS COS","GP",I1789="SELLING EXPENSES","Selling Expenses",I1789="EMPLOYMENT EXPENSES","Selling Expenses",I1789="EMPLOYMENT EXPENSES","Selling Expenses",I1789="DIRECT EXPENSES","Selling Expenses",I1789="INDIRECT EXPENSES","Selling Expenses"))</f>
        <v>#N/A</v>
      </c>
    </row>
    <row r="1790" spans="1:18" x14ac:dyDescent="0.2">
      <c r="A1790" s="75">
        <v>7456</v>
      </c>
      <c r="B1790" s="76" t="s">
        <v>972</v>
      </c>
      <c r="C1790" s="76">
        <v>935</v>
      </c>
      <c r="D1790" s="76" t="s">
        <v>442</v>
      </c>
      <c r="E1790" s="76" t="s">
        <v>426</v>
      </c>
      <c r="F1790" s="77">
        <v>1839.56</v>
      </c>
      <c r="G1790" s="77">
        <v>34.72</v>
      </c>
      <c r="H1790" s="77">
        <v>1874.28</v>
      </c>
      <c r="I1790" s="76" t="s">
        <v>968</v>
      </c>
      <c r="J1790" s="77">
        <v>461.25</v>
      </c>
      <c r="K1790" s="78">
        <v>2867.5</v>
      </c>
      <c r="M1790" s="79" t="str">
        <f t="shared" si="83"/>
        <v>935-7456</v>
      </c>
      <c r="N1790" s="79" t="str">
        <f t="shared" si="81"/>
        <v/>
      </c>
      <c r="O1790" s="79" t="str">
        <f t="shared" si="82"/>
        <v>935</v>
      </c>
      <c r="P1790" s="79" t="str">
        <f>IFERROR(VLOOKUP($M1790,Export!$P:$R,2,FALSE),"-")</f>
        <v>LEX Admin &amp; Other</v>
      </c>
      <c r="Q1790" s="79" t="str">
        <f>IFERROR(VLOOKUP($M1790,Export!$P:$R,3,FALSE),"-")</f>
        <v>LEX Admin &amp; OtherProfessional Fees as % of Total Gross Profit</v>
      </c>
      <c r="R1790" s="80" t="e" cm="1">
        <f t="array" ref="R1790">_xlfn.IFS(P1790="Service", _xlfn.IFS(I1790="SALES","GP",I1790="SERVICE SALES","GP",I1790="PARTS SALES","GP",I1790="SERVICE COS","GP",I1790="PARTS COS","GP",I1790="SELLING EXPENSES","Selling Expenses",I1790="EMPLOYMENT EXPENSES","Selling Expenses",I1790="EMPLOYMENT EXPENSES","Selling Expenses",I1790="DIRECT EXPENSES","Selling Expenses",I1790="INDIRECT EXPENSES","Selling Expenses"),P1790="Parts",_xlfn.IFS(I1790="SALES","GP",I1790="SERVICE SALES","GP",I1790="PARTS SALES","GP",I1790="SERVICE COS","GP",I1790="PARTS COS","GP",I1790="SELLING EXPENSES","Selling Expenses",I1790="EMPLOYMENT EXPENSES","Selling Expenses",I1790="EMPLOYMENT EXPENSES","Selling Expenses",I1790="DIRECT EXPENSES","Selling Expenses",I1790="INDIRECT EXPENSES","Selling Expenses"))</f>
        <v>#N/A</v>
      </c>
    </row>
    <row r="1791" spans="1:18" x14ac:dyDescent="0.2">
      <c r="A1791" s="75">
        <v>7456</v>
      </c>
      <c r="B1791" s="76" t="s">
        <v>972</v>
      </c>
      <c r="C1791" s="76">
        <v>936</v>
      </c>
      <c r="D1791" s="76" t="s">
        <v>443</v>
      </c>
      <c r="E1791" s="76" t="s">
        <v>426</v>
      </c>
      <c r="F1791" s="77">
        <v>367.9</v>
      </c>
      <c r="G1791" s="77">
        <v>6.95</v>
      </c>
      <c r="H1791" s="77">
        <v>374.85</v>
      </c>
      <c r="I1791" s="76" t="s">
        <v>968</v>
      </c>
      <c r="J1791" s="77">
        <v>307.5</v>
      </c>
      <c r="K1791" s="78">
        <v>2145</v>
      </c>
      <c r="M1791" s="79" t="str">
        <f t="shared" si="83"/>
        <v>936-7456</v>
      </c>
      <c r="N1791" s="79" t="str">
        <f t="shared" si="81"/>
        <v/>
      </c>
      <c r="O1791" s="79" t="str">
        <f t="shared" si="82"/>
        <v>936</v>
      </c>
      <c r="P1791" s="79" t="str">
        <f>IFERROR(VLOOKUP($M1791,Export!$P:$R,2,FALSE),"-")</f>
        <v>LEX Admin &amp; Other</v>
      </c>
      <c r="Q1791" s="79" t="str">
        <f>IFERROR(VLOOKUP($M1791,Export!$P:$R,3,FALSE),"-")</f>
        <v>LEX Admin &amp; OtherProfessional Fees as % of Total Gross Profit</v>
      </c>
      <c r="R1791" s="80" t="e" cm="1">
        <f t="array" ref="R1791">_xlfn.IFS(P1791="Service", _xlfn.IFS(I1791="SALES","GP",I1791="SERVICE SALES","GP",I1791="PARTS SALES","GP",I1791="SERVICE COS","GP",I1791="PARTS COS","GP",I1791="SELLING EXPENSES","Selling Expenses",I1791="EMPLOYMENT EXPENSES","Selling Expenses",I1791="EMPLOYMENT EXPENSES","Selling Expenses",I1791="DIRECT EXPENSES","Selling Expenses",I1791="INDIRECT EXPENSES","Selling Expenses"),P1791="Parts",_xlfn.IFS(I1791="SALES","GP",I1791="SERVICE SALES","GP",I1791="PARTS SALES","GP",I1791="SERVICE COS","GP",I1791="PARTS COS","GP",I1791="SELLING EXPENSES","Selling Expenses",I1791="EMPLOYMENT EXPENSES","Selling Expenses",I1791="EMPLOYMENT EXPENSES","Selling Expenses",I1791="DIRECT EXPENSES","Selling Expenses",I1791="INDIRECT EXPENSES","Selling Expenses"))</f>
        <v>#N/A</v>
      </c>
    </row>
    <row r="1792" spans="1:18" x14ac:dyDescent="0.2">
      <c r="A1792" s="75">
        <v>7458</v>
      </c>
      <c r="B1792" s="76" t="s">
        <v>973</v>
      </c>
      <c r="C1792" s="76">
        <v>140</v>
      </c>
      <c r="D1792" s="76" t="s">
        <v>433</v>
      </c>
      <c r="E1792" s="76" t="s">
        <v>426</v>
      </c>
      <c r="F1792" s="77">
        <v>1161.6300000000001</v>
      </c>
      <c r="G1792" s="77">
        <v>322</v>
      </c>
      <c r="H1792" s="77">
        <v>1483.63</v>
      </c>
      <c r="I1792" s="76" t="s">
        <v>968</v>
      </c>
      <c r="J1792" s="77">
        <v>700</v>
      </c>
      <c r="K1792" s="78">
        <v>7260.99</v>
      </c>
      <c r="M1792" s="79" t="str">
        <f t="shared" si="83"/>
        <v>140-7458</v>
      </c>
      <c r="N1792" s="79" t="str">
        <f t="shared" si="81"/>
        <v/>
      </c>
      <c r="O1792" s="79" t="str">
        <f t="shared" si="82"/>
        <v>140</v>
      </c>
      <c r="P1792" s="79" t="str">
        <f>IFERROR(VLOOKUP($M1792,Export!$P:$R,2,FALSE),"-")</f>
        <v>Service</v>
      </c>
      <c r="Q1792" s="79" t="str">
        <f>IFERROR(VLOOKUP($M1792,Export!$P:$R,3,FALSE),"-")</f>
        <v>ServiceOther Expenses as % of Sales</v>
      </c>
      <c r="R1792" s="80" t="str" cm="1">
        <f t="array" ref="R1792">_xlfn.IFS(P1792="Service", _xlfn.IFS(I1792="SALES","GP",I1792="SERVICE SALES","GP",I1792="PARTS SALES","GP",I1792="SERVICE COS","GP",I1792="PARTS COS","GP",I1792="SELLING EXPENSES","Selling Expenses",I1792="EMPLOYMENT EXPENSES","Selling Expenses",I1792="EMPLOYMENT EXPENSES","Selling Expenses",I1792="DIRECT EXPENSES","Selling Expenses",I1792="INDIRECT EXPENSES","Selling Expenses"),P1792="Parts",_xlfn.IFS(I1792="SALES","GP",I1792="SERVICE SALES","GP",I1792="PARTS SALES","GP",I1792="SERVICE COS","GP",I1792="PARTS COS","GP",I1792="SELLING EXPENSES","Selling Expenses",I1792="EMPLOYMENT EXPENSES","Selling Expenses",I1792="EMPLOYMENT EXPENSES","Selling Expenses",I1792="DIRECT EXPENSES","Selling Expenses",I1792="INDIRECT EXPENSES","Selling Expenses"))</f>
        <v>Selling Expenses</v>
      </c>
    </row>
    <row r="1793" spans="1:18" x14ac:dyDescent="0.2">
      <c r="A1793" s="75">
        <v>7458</v>
      </c>
      <c r="B1793" s="76" t="s">
        <v>973</v>
      </c>
      <c r="C1793" s="76">
        <v>147</v>
      </c>
      <c r="D1793" s="76" t="s">
        <v>699</v>
      </c>
      <c r="E1793" s="76" t="s">
        <v>426</v>
      </c>
      <c r="F1793" s="77">
        <v>0</v>
      </c>
      <c r="G1793" s="77">
        <v>0</v>
      </c>
      <c r="H1793" s="77">
        <v>0</v>
      </c>
      <c r="I1793" s="76" t="s">
        <v>968</v>
      </c>
      <c r="J1793" s="77">
        <v>500</v>
      </c>
      <c r="K1793" s="78">
        <v>3194</v>
      </c>
      <c r="M1793" s="79" t="str">
        <f t="shared" si="83"/>
        <v>147-7458</v>
      </c>
      <c r="N1793" s="79" t="str">
        <f t="shared" si="81"/>
        <v/>
      </c>
      <c r="O1793" s="79" t="str">
        <f t="shared" si="82"/>
        <v>147</v>
      </c>
      <c r="P1793" s="79" t="str">
        <f>IFERROR(VLOOKUP($M1793,Export!$P:$R,2,FALSE),"-")</f>
        <v>Service</v>
      </c>
      <c r="Q1793" s="79" t="str">
        <f>IFERROR(VLOOKUP($M1793,Export!$P:$R,3,FALSE),"-")</f>
        <v>ServiceOther Expenses as % of Sales</v>
      </c>
      <c r="R1793" s="80" t="str" cm="1">
        <f t="array" ref="R1793">_xlfn.IFS(P1793="Service", _xlfn.IFS(I1793="SALES","GP",I1793="SERVICE SALES","GP",I1793="PARTS SALES","GP",I1793="SERVICE COS","GP",I1793="PARTS COS","GP",I1793="SELLING EXPENSES","Selling Expenses",I1793="EMPLOYMENT EXPENSES","Selling Expenses",I1793="EMPLOYMENT EXPENSES","Selling Expenses",I1793="DIRECT EXPENSES","Selling Expenses",I1793="INDIRECT EXPENSES","Selling Expenses"),P1793="Parts",_xlfn.IFS(I1793="SALES","GP",I1793="SERVICE SALES","GP",I1793="PARTS SALES","GP",I1793="SERVICE COS","GP",I1793="PARTS COS","GP",I1793="SELLING EXPENSES","Selling Expenses",I1793="EMPLOYMENT EXPENSES","Selling Expenses",I1793="EMPLOYMENT EXPENSES","Selling Expenses",I1793="DIRECT EXPENSES","Selling Expenses",I1793="INDIRECT EXPENSES","Selling Expenses"))</f>
        <v>Selling Expenses</v>
      </c>
    </row>
    <row r="1794" spans="1:18" x14ac:dyDescent="0.2">
      <c r="A1794" s="75">
        <v>7458</v>
      </c>
      <c r="B1794" s="76" t="s">
        <v>973</v>
      </c>
      <c r="C1794" s="76">
        <v>150</v>
      </c>
      <c r="D1794" s="76" t="s">
        <v>700</v>
      </c>
      <c r="E1794" s="76" t="s">
        <v>426</v>
      </c>
      <c r="F1794" s="77">
        <v>3411.23</v>
      </c>
      <c r="G1794" s="77">
        <v>139.13999999999999</v>
      </c>
      <c r="H1794" s="77">
        <v>3550.37</v>
      </c>
      <c r="I1794" s="76" t="s">
        <v>968</v>
      </c>
      <c r="J1794" s="77">
        <v>0</v>
      </c>
      <c r="K1794" s="78">
        <v>0</v>
      </c>
      <c r="M1794" s="79" t="str">
        <f t="shared" si="83"/>
        <v>150-7458</v>
      </c>
      <c r="N1794" s="79" t="str">
        <f t="shared" ref="N1794:N1857" si="84">+IF(RIGHT(A1794,1)="#","#","")</f>
        <v/>
      </c>
      <c r="O1794" s="79" t="str">
        <f t="shared" ref="O1794:O1857" si="85">+C1794&amp;N1794</f>
        <v>150</v>
      </c>
      <c r="P1794" s="79" t="str">
        <f>IFERROR(VLOOKUP($M1794,Export!$P:$R,2,FALSE),"-")</f>
        <v>Retail Detailing</v>
      </c>
      <c r="Q1794" s="79" t="str">
        <f>IFERROR(VLOOKUP($M1794,Export!$P:$R,3,FALSE),"-")</f>
        <v>Retail DetailingOther Expenses as % of Sales</v>
      </c>
      <c r="R1794" s="80" t="e" cm="1">
        <f t="array" ref="R1794">_xlfn.IFS(P1794="Service", _xlfn.IFS(I1794="SALES","GP",I1794="SERVICE SALES","GP",I1794="PARTS SALES","GP",I1794="SERVICE COS","GP",I1794="PARTS COS","GP",I1794="SELLING EXPENSES","Selling Expenses",I1794="EMPLOYMENT EXPENSES","Selling Expenses",I1794="EMPLOYMENT EXPENSES","Selling Expenses",I1794="DIRECT EXPENSES","Selling Expenses",I1794="INDIRECT EXPENSES","Selling Expenses"),P1794="Parts",_xlfn.IFS(I1794="SALES","GP",I1794="SERVICE SALES","GP",I1794="PARTS SALES","GP",I1794="SERVICE COS","GP",I1794="PARTS COS","GP",I1794="SELLING EXPENSES","Selling Expenses",I1794="EMPLOYMENT EXPENSES","Selling Expenses",I1794="EMPLOYMENT EXPENSES","Selling Expenses",I1794="DIRECT EXPENSES","Selling Expenses",I1794="INDIRECT EXPENSES","Selling Expenses"))</f>
        <v>#N/A</v>
      </c>
    </row>
    <row r="1795" spans="1:18" x14ac:dyDescent="0.2">
      <c r="A1795" s="75">
        <v>7458</v>
      </c>
      <c r="B1795" s="76" t="s">
        <v>973</v>
      </c>
      <c r="C1795" s="76">
        <v>240</v>
      </c>
      <c r="D1795" s="76" t="s">
        <v>439</v>
      </c>
      <c r="E1795" s="76" t="s">
        <v>426</v>
      </c>
      <c r="F1795" s="77">
        <v>0</v>
      </c>
      <c r="G1795" s="77">
        <v>0</v>
      </c>
      <c r="H1795" s="77">
        <v>0</v>
      </c>
      <c r="I1795" s="76" t="s">
        <v>968</v>
      </c>
      <c r="J1795" s="77">
        <v>100</v>
      </c>
      <c r="K1795" s="78">
        <v>600</v>
      </c>
      <c r="M1795" s="79" t="str">
        <f t="shared" ref="M1795:M1858" si="86">+C1795&amp;"-"&amp;A1795</f>
        <v>240-7458</v>
      </c>
      <c r="N1795" s="79" t="str">
        <f t="shared" si="84"/>
        <v/>
      </c>
      <c r="O1795" s="79" t="str">
        <f t="shared" si="85"/>
        <v>240</v>
      </c>
      <c r="P1795" s="79" t="str">
        <f>IFERROR(VLOOKUP($M1795,Export!$P:$R,2,FALSE),"-")</f>
        <v>Service</v>
      </c>
      <c r="Q1795" s="79" t="str">
        <f>IFERROR(VLOOKUP($M1795,Export!$P:$R,3,FALSE),"-")</f>
        <v>ServiceOther Expenses as % of Sales</v>
      </c>
      <c r="R1795" s="80" t="str" cm="1">
        <f t="array" ref="R1795">_xlfn.IFS(P1795="Service", _xlfn.IFS(I1795="SALES","GP",I1795="SERVICE SALES","GP",I1795="PARTS SALES","GP",I1795="SERVICE COS","GP",I1795="PARTS COS","GP",I1795="SELLING EXPENSES","Selling Expenses",I1795="EMPLOYMENT EXPENSES","Selling Expenses",I1795="EMPLOYMENT EXPENSES","Selling Expenses",I1795="DIRECT EXPENSES","Selling Expenses",I1795="INDIRECT EXPENSES","Selling Expenses"),P1795="Parts",_xlfn.IFS(I1795="SALES","GP",I1795="SERVICE SALES","GP",I1795="PARTS SALES","GP",I1795="SERVICE COS","GP",I1795="PARTS COS","GP",I1795="SELLING EXPENSES","Selling Expenses",I1795="EMPLOYMENT EXPENSES","Selling Expenses",I1795="EMPLOYMENT EXPENSES","Selling Expenses",I1795="DIRECT EXPENSES","Selling Expenses",I1795="INDIRECT EXPENSES","Selling Expenses"))</f>
        <v>Selling Expenses</v>
      </c>
    </row>
    <row r="1796" spans="1:18" x14ac:dyDescent="0.2">
      <c r="A1796" s="75">
        <v>7458</v>
      </c>
      <c r="B1796" s="76" t="s">
        <v>973</v>
      </c>
      <c r="C1796" s="76">
        <v>340</v>
      </c>
      <c r="D1796" s="76" t="s">
        <v>440</v>
      </c>
      <c r="E1796" s="76" t="s">
        <v>426</v>
      </c>
      <c r="F1796" s="77">
        <v>4774.6000000000004</v>
      </c>
      <c r="G1796" s="77">
        <v>0</v>
      </c>
      <c r="H1796" s="77">
        <v>4774.6000000000004</v>
      </c>
      <c r="I1796" s="76" t="s">
        <v>968</v>
      </c>
      <c r="J1796" s="77">
        <v>100</v>
      </c>
      <c r="K1796" s="78">
        <v>600</v>
      </c>
      <c r="M1796" s="79" t="str">
        <f t="shared" si="86"/>
        <v>340-7458</v>
      </c>
      <c r="N1796" s="79" t="str">
        <f t="shared" si="84"/>
        <v/>
      </c>
      <c r="O1796" s="79" t="str">
        <f t="shared" si="85"/>
        <v>340</v>
      </c>
      <c r="P1796" s="79" t="str">
        <f>IFERROR(VLOOKUP($M1796,Export!$P:$R,2,FALSE),"-")</f>
        <v>Service</v>
      </c>
      <c r="Q1796" s="79" t="str">
        <f>IFERROR(VLOOKUP($M1796,Export!$P:$R,3,FALSE),"-")</f>
        <v>ServiceOther Expenses as % of Sales</v>
      </c>
      <c r="R1796" s="80" t="str" cm="1">
        <f t="array" ref="R1796">_xlfn.IFS(P1796="Service", _xlfn.IFS(I1796="SALES","GP",I1796="SERVICE SALES","GP",I1796="PARTS SALES","GP",I1796="SERVICE COS","GP",I1796="PARTS COS","GP",I1796="SELLING EXPENSES","Selling Expenses",I1796="EMPLOYMENT EXPENSES","Selling Expenses",I1796="EMPLOYMENT EXPENSES","Selling Expenses",I1796="DIRECT EXPENSES","Selling Expenses",I1796="INDIRECT EXPENSES","Selling Expenses"),P1796="Parts",_xlfn.IFS(I1796="SALES","GP",I1796="SERVICE SALES","GP",I1796="PARTS SALES","GP",I1796="SERVICE COS","GP",I1796="PARTS COS","GP",I1796="SELLING EXPENSES","Selling Expenses",I1796="EMPLOYMENT EXPENSES","Selling Expenses",I1796="EMPLOYMENT EXPENSES","Selling Expenses",I1796="DIRECT EXPENSES","Selling Expenses",I1796="INDIRECT EXPENSES","Selling Expenses"))</f>
        <v>Selling Expenses</v>
      </c>
    </row>
    <row r="1797" spans="1:18" x14ac:dyDescent="0.2">
      <c r="A1797" s="75">
        <v>7458</v>
      </c>
      <c r="B1797" s="76" t="s">
        <v>973</v>
      </c>
      <c r="C1797" s="76">
        <v>440</v>
      </c>
      <c r="D1797" s="76" t="s">
        <v>441</v>
      </c>
      <c r="E1797" s="76" t="s">
        <v>426</v>
      </c>
      <c r="F1797" s="77">
        <v>11105.51</v>
      </c>
      <c r="G1797" s="77">
        <v>0</v>
      </c>
      <c r="H1797" s="77">
        <v>11105.51</v>
      </c>
      <c r="I1797" s="76" t="s">
        <v>968</v>
      </c>
      <c r="J1797" s="77">
        <v>100</v>
      </c>
      <c r="K1797" s="78">
        <v>1026.01</v>
      </c>
      <c r="M1797" s="79" t="str">
        <f t="shared" si="86"/>
        <v>440-7458</v>
      </c>
      <c r="N1797" s="79" t="str">
        <f t="shared" si="84"/>
        <v/>
      </c>
      <c r="O1797" s="79" t="str">
        <f t="shared" si="85"/>
        <v>440</v>
      </c>
      <c r="P1797" s="79" t="str">
        <f>IFERROR(VLOOKUP($M1797,Export!$P:$R,2,FALSE),"-")</f>
        <v>Service</v>
      </c>
      <c r="Q1797" s="79" t="str">
        <f>IFERROR(VLOOKUP($M1797,Export!$P:$R,3,FALSE),"-")</f>
        <v>ServiceOther Expenses as % of Sales</v>
      </c>
      <c r="R1797" s="80" t="str" cm="1">
        <f t="array" ref="R1797">_xlfn.IFS(P1797="Service", _xlfn.IFS(I1797="SALES","GP",I1797="SERVICE SALES","GP",I1797="PARTS SALES","GP",I1797="SERVICE COS","GP",I1797="PARTS COS","GP",I1797="SELLING EXPENSES","Selling Expenses",I1797="EMPLOYMENT EXPENSES","Selling Expenses",I1797="EMPLOYMENT EXPENSES","Selling Expenses",I1797="DIRECT EXPENSES","Selling Expenses",I1797="INDIRECT EXPENSES","Selling Expenses"),P1797="Parts",_xlfn.IFS(I1797="SALES","GP",I1797="SERVICE SALES","GP",I1797="PARTS SALES","GP",I1797="SERVICE COS","GP",I1797="PARTS COS","GP",I1797="SELLING EXPENSES","Selling Expenses",I1797="EMPLOYMENT EXPENSES","Selling Expenses",I1797="EMPLOYMENT EXPENSES","Selling Expenses",I1797="DIRECT EXPENSES","Selling Expenses",I1797="INDIRECT EXPENSES","Selling Expenses"))</f>
        <v>Selling Expenses</v>
      </c>
    </row>
    <row r="1798" spans="1:18" x14ac:dyDescent="0.2">
      <c r="A1798" s="75">
        <v>7458</v>
      </c>
      <c r="B1798" s="76" t="s">
        <v>973</v>
      </c>
      <c r="C1798" s="76">
        <v>935</v>
      </c>
      <c r="D1798" s="76" t="s">
        <v>442</v>
      </c>
      <c r="E1798" s="76" t="s">
        <v>426</v>
      </c>
      <c r="F1798" s="77">
        <v>1743.17</v>
      </c>
      <c r="G1798" s="77">
        <v>355.43</v>
      </c>
      <c r="H1798" s="77">
        <v>2098.6</v>
      </c>
      <c r="I1798" s="76" t="s">
        <v>968</v>
      </c>
      <c r="J1798" s="77">
        <v>0</v>
      </c>
      <c r="K1798" s="78">
        <v>599.55999999999995</v>
      </c>
      <c r="M1798" s="79" t="str">
        <f t="shared" si="86"/>
        <v>935-7458</v>
      </c>
      <c r="N1798" s="79" t="str">
        <f t="shared" si="84"/>
        <v/>
      </c>
      <c r="O1798" s="79" t="str">
        <f t="shared" si="85"/>
        <v>935</v>
      </c>
      <c r="P1798" s="79" t="str">
        <f>IFERROR(VLOOKUP($M1798,Export!$P:$R,2,FALSE),"-")</f>
        <v>Bridgestone</v>
      </c>
      <c r="Q1798" s="79" t="str">
        <f>IFERROR(VLOOKUP($M1798,Export!$P:$R,3,FALSE),"-")</f>
        <v>BridgestoneOther Expenses as % of Sales</v>
      </c>
      <c r="R1798" s="80" t="e" cm="1">
        <f t="array" ref="R1798">_xlfn.IFS(P1798="Service", _xlfn.IFS(I1798="SALES","GP",I1798="SERVICE SALES","GP",I1798="PARTS SALES","GP",I1798="SERVICE COS","GP",I1798="PARTS COS","GP",I1798="SELLING EXPENSES","Selling Expenses",I1798="EMPLOYMENT EXPENSES","Selling Expenses",I1798="EMPLOYMENT EXPENSES","Selling Expenses",I1798="DIRECT EXPENSES","Selling Expenses",I1798="INDIRECT EXPENSES","Selling Expenses"),P1798="Parts",_xlfn.IFS(I1798="SALES","GP",I1798="SERVICE SALES","GP",I1798="PARTS SALES","GP",I1798="SERVICE COS","GP",I1798="PARTS COS","GP",I1798="SELLING EXPENSES","Selling Expenses",I1798="EMPLOYMENT EXPENSES","Selling Expenses",I1798="EMPLOYMENT EXPENSES","Selling Expenses",I1798="DIRECT EXPENSES","Selling Expenses",I1798="INDIRECT EXPENSES","Selling Expenses"))</f>
        <v>#N/A</v>
      </c>
    </row>
    <row r="1799" spans="1:18" x14ac:dyDescent="0.2">
      <c r="A1799" s="75">
        <v>7470</v>
      </c>
      <c r="B1799" s="76" t="s">
        <v>974</v>
      </c>
      <c r="C1799" s="76">
        <v>110</v>
      </c>
      <c r="D1799" s="76" t="s">
        <v>430</v>
      </c>
      <c r="E1799" s="76" t="s">
        <v>426</v>
      </c>
      <c r="F1799" s="77">
        <v>22290.27</v>
      </c>
      <c r="G1799" s="77">
        <v>2086.3200000000002</v>
      </c>
      <c r="H1799" s="77">
        <v>24376.59</v>
      </c>
      <c r="I1799" s="76" t="s">
        <v>968</v>
      </c>
      <c r="J1799" s="77">
        <v>1550</v>
      </c>
      <c r="K1799" s="78">
        <v>15932.23</v>
      </c>
      <c r="M1799" s="79" t="str">
        <f t="shared" si="86"/>
        <v>110-7470</v>
      </c>
      <c r="N1799" s="79" t="str">
        <f t="shared" si="84"/>
        <v/>
      </c>
      <c r="O1799" s="79" t="str">
        <f t="shared" si="85"/>
        <v>110</v>
      </c>
      <c r="P1799" s="79" t="str">
        <f>IFERROR(VLOOKUP($M1799,Export!$P:$R,2,FALSE),"-")</f>
        <v>Admin &amp; Other</v>
      </c>
      <c r="Q1799" s="79" t="str">
        <f>IFERROR(VLOOKUP($M1799,Export!$P:$R,3,FALSE),"-")</f>
        <v>Admin &amp; OtherR&amp;M and Cleaning as % of Total Gross Profit</v>
      </c>
      <c r="R1799" s="80" t="e" cm="1">
        <f t="array" ref="R1799">_xlfn.IFS(P1799="Service", _xlfn.IFS(I1799="SALES","GP",I1799="SERVICE SALES","GP",I1799="PARTS SALES","GP",I1799="SERVICE COS","GP",I1799="PARTS COS","GP",I1799="SELLING EXPENSES","Selling Expenses",I1799="EMPLOYMENT EXPENSES","Selling Expenses",I1799="EMPLOYMENT EXPENSES","Selling Expenses",I1799="DIRECT EXPENSES","Selling Expenses",I1799="INDIRECT EXPENSES","Selling Expenses"),P1799="Parts",_xlfn.IFS(I1799="SALES","GP",I1799="SERVICE SALES","GP",I1799="PARTS SALES","GP",I1799="SERVICE COS","GP",I1799="PARTS COS","GP",I1799="SELLING EXPENSES","Selling Expenses",I1799="EMPLOYMENT EXPENSES","Selling Expenses",I1799="EMPLOYMENT EXPENSES","Selling Expenses",I1799="DIRECT EXPENSES","Selling Expenses",I1799="INDIRECT EXPENSES","Selling Expenses"))</f>
        <v>#N/A</v>
      </c>
    </row>
    <row r="1800" spans="1:18" x14ac:dyDescent="0.2">
      <c r="A1800" s="75">
        <v>7470</v>
      </c>
      <c r="B1800" s="76" t="s">
        <v>974</v>
      </c>
      <c r="C1800" s="76">
        <v>112</v>
      </c>
      <c r="D1800" s="76" t="s">
        <v>349</v>
      </c>
      <c r="E1800" s="76" t="s">
        <v>426</v>
      </c>
      <c r="F1800" s="77">
        <v>13917.25</v>
      </c>
      <c r="G1800" s="77">
        <v>2822.73</v>
      </c>
      <c r="H1800" s="77">
        <v>16739.98</v>
      </c>
      <c r="I1800" s="76" t="s">
        <v>968</v>
      </c>
      <c r="J1800" s="77">
        <v>775</v>
      </c>
      <c r="K1800" s="78">
        <v>7966.13</v>
      </c>
      <c r="M1800" s="79" t="str">
        <f t="shared" si="86"/>
        <v>112-7470</v>
      </c>
      <c r="N1800" s="79" t="str">
        <f t="shared" si="84"/>
        <v/>
      </c>
      <c r="O1800" s="79" t="str">
        <f t="shared" si="85"/>
        <v>112</v>
      </c>
      <c r="P1800" s="79" t="str">
        <f>IFERROR(VLOOKUP($M1800,Export!$P:$R,2,FALSE),"-")</f>
        <v>LEX Admin &amp; Other</v>
      </c>
      <c r="Q1800" s="79" t="str">
        <f>IFERROR(VLOOKUP($M1800,Export!$P:$R,3,FALSE),"-")</f>
        <v>LEX Admin &amp; OtherR&amp;M and Cleaning as % of Total Gross Profit</v>
      </c>
      <c r="R1800" s="80" t="e" cm="1">
        <f t="array" ref="R1800">_xlfn.IFS(P1800="Service", _xlfn.IFS(I1800="SALES","GP",I1800="SERVICE SALES","GP",I1800="PARTS SALES","GP",I1800="SERVICE COS","GP",I1800="PARTS COS","GP",I1800="SELLING EXPENSES","Selling Expenses",I1800="EMPLOYMENT EXPENSES","Selling Expenses",I1800="EMPLOYMENT EXPENSES","Selling Expenses",I1800="DIRECT EXPENSES","Selling Expenses",I1800="INDIRECT EXPENSES","Selling Expenses"),P1800="Parts",_xlfn.IFS(I1800="SALES","GP",I1800="SERVICE SALES","GP",I1800="PARTS SALES","GP",I1800="SERVICE COS","GP",I1800="PARTS COS","GP",I1800="SELLING EXPENSES","Selling Expenses",I1800="EMPLOYMENT EXPENSES","Selling Expenses",I1800="EMPLOYMENT EXPENSES","Selling Expenses",I1800="DIRECT EXPENSES","Selling Expenses",I1800="INDIRECT EXPENSES","Selling Expenses"))</f>
        <v>#N/A</v>
      </c>
    </row>
    <row r="1801" spans="1:18" x14ac:dyDescent="0.2">
      <c r="A1801" s="75">
        <v>7470</v>
      </c>
      <c r="B1801" s="76" t="s">
        <v>974</v>
      </c>
      <c r="C1801" s="76">
        <v>120</v>
      </c>
      <c r="D1801" s="76" t="s">
        <v>431</v>
      </c>
      <c r="E1801" s="76" t="s">
        <v>426</v>
      </c>
      <c r="F1801" s="77">
        <v>23957.759999999998</v>
      </c>
      <c r="G1801" s="77">
        <v>2294.9499999999998</v>
      </c>
      <c r="H1801" s="77">
        <v>26252.71</v>
      </c>
      <c r="I1801" s="76" t="s">
        <v>968</v>
      </c>
      <c r="J1801" s="77">
        <v>950</v>
      </c>
      <c r="K1801" s="78">
        <v>9679.33</v>
      </c>
      <c r="M1801" s="79" t="str">
        <f t="shared" si="86"/>
        <v>120-7470</v>
      </c>
      <c r="N1801" s="79" t="str">
        <f t="shared" si="84"/>
        <v/>
      </c>
      <c r="O1801" s="79" t="str">
        <f t="shared" si="85"/>
        <v>120</v>
      </c>
      <c r="P1801" s="79" t="str">
        <f>IFERROR(VLOOKUP($M1801,Export!$P:$R,2,FALSE),"-")</f>
        <v>Admin &amp; Other</v>
      </c>
      <c r="Q1801" s="79" t="str">
        <f>IFERROR(VLOOKUP($M1801,Export!$P:$R,3,FALSE),"-")</f>
        <v>Admin &amp; OtherR&amp;M and Cleaning as % of Total Gross Profit</v>
      </c>
      <c r="R1801" s="80" t="e" cm="1">
        <f t="array" ref="R1801">_xlfn.IFS(P1801="Service", _xlfn.IFS(I1801="SALES","GP",I1801="SERVICE SALES","GP",I1801="PARTS SALES","GP",I1801="SERVICE COS","GP",I1801="PARTS COS","GP",I1801="SELLING EXPENSES","Selling Expenses",I1801="EMPLOYMENT EXPENSES","Selling Expenses",I1801="EMPLOYMENT EXPENSES","Selling Expenses",I1801="DIRECT EXPENSES","Selling Expenses",I1801="INDIRECT EXPENSES","Selling Expenses"),P1801="Parts",_xlfn.IFS(I1801="SALES","GP",I1801="SERVICE SALES","GP",I1801="PARTS SALES","GP",I1801="SERVICE COS","GP",I1801="PARTS COS","GP",I1801="SELLING EXPENSES","Selling Expenses",I1801="EMPLOYMENT EXPENSES","Selling Expenses",I1801="EMPLOYMENT EXPENSES","Selling Expenses",I1801="DIRECT EXPENSES","Selling Expenses",I1801="INDIRECT EXPENSES","Selling Expenses"))</f>
        <v>#N/A</v>
      </c>
    </row>
    <row r="1802" spans="1:18" x14ac:dyDescent="0.2">
      <c r="A1802" s="75">
        <v>7470</v>
      </c>
      <c r="B1802" s="76" t="s">
        <v>974</v>
      </c>
      <c r="C1802" s="76">
        <v>121</v>
      </c>
      <c r="D1802" s="76" t="s">
        <v>449</v>
      </c>
      <c r="E1802" s="76" t="s">
        <v>426</v>
      </c>
      <c r="F1802" s="77">
        <v>0</v>
      </c>
      <c r="G1802" s="77">
        <v>0</v>
      </c>
      <c r="H1802" s="77">
        <v>0</v>
      </c>
      <c r="I1802" s="76" t="s">
        <v>968</v>
      </c>
      <c r="J1802" s="77">
        <v>750</v>
      </c>
      <c r="K1802" s="78">
        <v>7816.13</v>
      </c>
      <c r="M1802" s="79" t="str">
        <f t="shared" si="86"/>
        <v>121-7470</v>
      </c>
      <c r="N1802" s="79" t="str">
        <f t="shared" si="84"/>
        <v/>
      </c>
      <c r="O1802" s="79" t="str">
        <f t="shared" si="85"/>
        <v>121</v>
      </c>
      <c r="P1802" s="79" t="str">
        <f>IFERROR(VLOOKUP($M1802,Export!$P:$R,2,FALSE),"-")</f>
        <v>Admin &amp; Other</v>
      </c>
      <c r="Q1802" s="79" t="str">
        <f>IFERROR(VLOOKUP($M1802,Export!$P:$R,3,FALSE),"-")</f>
        <v>Admin &amp; OtherR&amp;M and Cleaning as % of Total Gross Profit</v>
      </c>
      <c r="R1802" s="80" t="e" cm="1">
        <f t="array" ref="R1802">_xlfn.IFS(P1802="Service", _xlfn.IFS(I1802="SALES","GP",I1802="SERVICE SALES","GP",I1802="PARTS SALES","GP",I1802="SERVICE COS","GP",I1802="PARTS COS","GP",I1802="SELLING EXPENSES","Selling Expenses",I1802="EMPLOYMENT EXPENSES","Selling Expenses",I1802="EMPLOYMENT EXPENSES","Selling Expenses",I1802="DIRECT EXPENSES","Selling Expenses",I1802="INDIRECT EXPENSES","Selling Expenses"),P1802="Parts",_xlfn.IFS(I1802="SALES","GP",I1802="SERVICE SALES","GP",I1802="PARTS SALES","GP",I1802="SERVICE COS","GP",I1802="PARTS COS","GP",I1802="SELLING EXPENSES","Selling Expenses",I1802="EMPLOYMENT EXPENSES","Selling Expenses",I1802="EMPLOYMENT EXPENSES","Selling Expenses",I1802="DIRECT EXPENSES","Selling Expenses",I1802="INDIRECT EXPENSES","Selling Expenses"))</f>
        <v>#N/A</v>
      </c>
    </row>
    <row r="1803" spans="1:18" x14ac:dyDescent="0.2">
      <c r="A1803" s="75">
        <v>7470</v>
      </c>
      <c r="B1803" s="76" t="s">
        <v>974</v>
      </c>
      <c r="C1803" s="76">
        <v>130</v>
      </c>
      <c r="D1803" s="76" t="s">
        <v>432</v>
      </c>
      <c r="E1803" s="76" t="s">
        <v>426</v>
      </c>
      <c r="F1803" s="77">
        <v>19027.3</v>
      </c>
      <c r="G1803" s="77">
        <v>1773.37</v>
      </c>
      <c r="H1803" s="77">
        <v>20800.669999999998</v>
      </c>
      <c r="I1803" s="76" t="s">
        <v>968</v>
      </c>
      <c r="J1803" s="77">
        <v>1325</v>
      </c>
      <c r="K1803" s="78">
        <v>15024.62</v>
      </c>
      <c r="M1803" s="79" t="str">
        <f t="shared" si="86"/>
        <v>130-7470</v>
      </c>
      <c r="N1803" s="79" t="str">
        <f t="shared" si="84"/>
        <v/>
      </c>
      <c r="O1803" s="79" t="str">
        <f t="shared" si="85"/>
        <v>130</v>
      </c>
      <c r="P1803" s="79" t="str">
        <f>IFERROR(VLOOKUP($M1803,Export!$P:$R,2,FALSE),"-")</f>
        <v>Admin &amp; Other</v>
      </c>
      <c r="Q1803" s="79" t="str">
        <f>IFERROR(VLOOKUP($M1803,Export!$P:$R,3,FALSE),"-")</f>
        <v>Admin &amp; OtherR&amp;M and Cleaning as % of Total Gross Profit</v>
      </c>
      <c r="R1803" s="80" t="e" cm="1">
        <f t="array" ref="R1803">_xlfn.IFS(P1803="Service", _xlfn.IFS(I1803="SALES","GP",I1803="SERVICE SALES","GP",I1803="PARTS SALES","GP",I1803="SERVICE COS","GP",I1803="PARTS COS","GP",I1803="SELLING EXPENSES","Selling Expenses",I1803="EMPLOYMENT EXPENSES","Selling Expenses",I1803="EMPLOYMENT EXPENSES","Selling Expenses",I1803="DIRECT EXPENSES","Selling Expenses",I1803="INDIRECT EXPENSES","Selling Expenses"),P1803="Parts",_xlfn.IFS(I1803="SALES","GP",I1803="SERVICE SALES","GP",I1803="PARTS SALES","GP",I1803="SERVICE COS","GP",I1803="PARTS COS","GP",I1803="SELLING EXPENSES","Selling Expenses",I1803="EMPLOYMENT EXPENSES","Selling Expenses",I1803="EMPLOYMENT EXPENSES","Selling Expenses",I1803="DIRECT EXPENSES","Selling Expenses",I1803="INDIRECT EXPENSES","Selling Expenses"))</f>
        <v>#N/A</v>
      </c>
    </row>
    <row r="1804" spans="1:18" x14ac:dyDescent="0.2">
      <c r="A1804" s="75">
        <v>7470</v>
      </c>
      <c r="B1804" s="76" t="s">
        <v>974</v>
      </c>
      <c r="C1804" s="76">
        <v>140</v>
      </c>
      <c r="D1804" s="76" t="s">
        <v>433</v>
      </c>
      <c r="E1804" s="76" t="s">
        <v>426</v>
      </c>
      <c r="F1804" s="77">
        <v>27633.16</v>
      </c>
      <c r="G1804" s="77">
        <v>2086.3200000000002</v>
      </c>
      <c r="H1804" s="77">
        <v>29719.48</v>
      </c>
      <c r="I1804" s="76" t="s">
        <v>968</v>
      </c>
      <c r="J1804" s="77">
        <v>2300</v>
      </c>
      <c r="K1804" s="78">
        <v>21095.19</v>
      </c>
      <c r="M1804" s="79" t="str">
        <f t="shared" si="86"/>
        <v>140-7470</v>
      </c>
      <c r="N1804" s="79" t="str">
        <f t="shared" si="84"/>
        <v/>
      </c>
      <c r="O1804" s="79" t="str">
        <f t="shared" si="85"/>
        <v>140</v>
      </c>
      <c r="P1804" s="79" t="str">
        <f>IFERROR(VLOOKUP($M1804,Export!$P:$R,2,FALSE),"-")</f>
        <v>Admin &amp; Other</v>
      </c>
      <c r="Q1804" s="79" t="str">
        <f>IFERROR(VLOOKUP($M1804,Export!$P:$R,3,FALSE),"-")</f>
        <v>Admin &amp; OtherR&amp;M and Cleaning as % of Total Gross Profit</v>
      </c>
      <c r="R1804" s="80" t="e" cm="1">
        <f t="array" ref="R1804">_xlfn.IFS(P1804="Service", _xlfn.IFS(I1804="SALES","GP",I1804="SERVICE SALES","GP",I1804="PARTS SALES","GP",I1804="SERVICE COS","GP",I1804="PARTS COS","GP",I1804="SELLING EXPENSES","Selling Expenses",I1804="EMPLOYMENT EXPENSES","Selling Expenses",I1804="EMPLOYMENT EXPENSES","Selling Expenses",I1804="DIRECT EXPENSES","Selling Expenses",I1804="INDIRECT EXPENSES","Selling Expenses"),P1804="Parts",_xlfn.IFS(I1804="SALES","GP",I1804="SERVICE SALES","GP",I1804="PARTS SALES","GP",I1804="SERVICE COS","GP",I1804="PARTS COS","GP",I1804="SELLING EXPENSES","Selling Expenses",I1804="EMPLOYMENT EXPENSES","Selling Expenses",I1804="EMPLOYMENT EXPENSES","Selling Expenses",I1804="DIRECT EXPENSES","Selling Expenses",I1804="INDIRECT EXPENSES","Selling Expenses"))</f>
        <v>#N/A</v>
      </c>
    </row>
    <row r="1805" spans="1:18" x14ac:dyDescent="0.2">
      <c r="A1805" s="75">
        <v>7470</v>
      </c>
      <c r="B1805" s="76" t="s">
        <v>974</v>
      </c>
      <c r="C1805" s="76">
        <v>142</v>
      </c>
      <c r="D1805" s="76" t="s">
        <v>454</v>
      </c>
      <c r="E1805" s="76" t="s">
        <v>426</v>
      </c>
      <c r="F1805" s="77">
        <v>510.49</v>
      </c>
      <c r="G1805" s="77">
        <v>0</v>
      </c>
      <c r="H1805" s="77">
        <v>510.49</v>
      </c>
      <c r="I1805" s="76" t="s">
        <v>968</v>
      </c>
      <c r="J1805" s="77">
        <v>0</v>
      </c>
      <c r="K1805" s="78">
        <v>0</v>
      </c>
      <c r="M1805" s="79" t="str">
        <f t="shared" si="86"/>
        <v>142-7470</v>
      </c>
      <c r="N1805" s="79" t="str">
        <f t="shared" si="84"/>
        <v/>
      </c>
      <c r="O1805" s="79" t="str">
        <f t="shared" si="85"/>
        <v>142</v>
      </c>
      <c r="P1805" s="79" t="str">
        <f>IFERROR(VLOOKUP($M1805,Export!$P:$R,2,FALSE),"-")</f>
        <v>LEX Admin &amp; Other</v>
      </c>
      <c r="Q1805" s="79" t="str">
        <f>IFERROR(VLOOKUP($M1805,Export!$P:$R,3,FALSE),"-")</f>
        <v>LEX Admin &amp; OtherR&amp;M and Cleaning as % of Total Gross Profit</v>
      </c>
      <c r="R1805" s="80" t="e" cm="1">
        <f t="array" ref="R1805">_xlfn.IFS(P1805="Service", _xlfn.IFS(I1805="SALES","GP",I1805="SERVICE SALES","GP",I1805="PARTS SALES","GP",I1805="SERVICE COS","GP",I1805="PARTS COS","GP",I1805="SELLING EXPENSES","Selling Expenses",I1805="EMPLOYMENT EXPENSES","Selling Expenses",I1805="EMPLOYMENT EXPENSES","Selling Expenses",I1805="DIRECT EXPENSES","Selling Expenses",I1805="INDIRECT EXPENSES","Selling Expenses"),P1805="Parts",_xlfn.IFS(I1805="SALES","GP",I1805="SERVICE SALES","GP",I1805="PARTS SALES","GP",I1805="SERVICE COS","GP",I1805="PARTS COS","GP",I1805="SELLING EXPENSES","Selling Expenses",I1805="EMPLOYMENT EXPENSES","Selling Expenses",I1805="EMPLOYMENT EXPENSES","Selling Expenses",I1805="DIRECT EXPENSES","Selling Expenses",I1805="INDIRECT EXPENSES","Selling Expenses"))</f>
        <v>#N/A</v>
      </c>
    </row>
    <row r="1806" spans="1:18" x14ac:dyDescent="0.2">
      <c r="A1806" s="75">
        <v>7470</v>
      </c>
      <c r="B1806" s="76" t="s">
        <v>974</v>
      </c>
      <c r="C1806" s="76">
        <v>150</v>
      </c>
      <c r="D1806" s="76" t="s">
        <v>700</v>
      </c>
      <c r="E1806" s="76" t="s">
        <v>426</v>
      </c>
      <c r="F1806" s="77">
        <v>219.01</v>
      </c>
      <c r="G1806" s="77">
        <v>0</v>
      </c>
      <c r="H1806" s="77">
        <v>219.01</v>
      </c>
      <c r="I1806" s="76" t="s">
        <v>968</v>
      </c>
      <c r="J1806" s="77">
        <v>0</v>
      </c>
      <c r="K1806" s="78">
        <v>0</v>
      </c>
      <c r="M1806" s="79" t="str">
        <f t="shared" si="86"/>
        <v>150-7470</v>
      </c>
      <c r="N1806" s="79" t="str">
        <f t="shared" si="84"/>
        <v/>
      </c>
      <c r="O1806" s="79" t="str">
        <f t="shared" si="85"/>
        <v>150</v>
      </c>
      <c r="P1806" s="79" t="str">
        <f>IFERROR(VLOOKUP($M1806,Export!$P:$R,2,FALSE),"-")</f>
        <v>LEX Admin &amp; Other</v>
      </c>
      <c r="Q1806" s="79" t="str">
        <f>IFERROR(VLOOKUP($M1806,Export!$P:$R,3,FALSE),"-")</f>
        <v>LEX Admin &amp; OtherR&amp;M and Cleaning as % of Total Gross Profit</v>
      </c>
      <c r="R1806" s="80" t="e" cm="1">
        <f t="array" ref="R1806">_xlfn.IFS(P1806="Service", _xlfn.IFS(I1806="SALES","GP",I1806="SERVICE SALES","GP",I1806="PARTS SALES","GP",I1806="SERVICE COS","GP",I1806="PARTS COS","GP",I1806="SELLING EXPENSES","Selling Expenses",I1806="EMPLOYMENT EXPENSES","Selling Expenses",I1806="EMPLOYMENT EXPENSES","Selling Expenses",I1806="DIRECT EXPENSES","Selling Expenses",I1806="INDIRECT EXPENSES","Selling Expenses"),P1806="Parts",_xlfn.IFS(I1806="SALES","GP",I1806="SERVICE SALES","GP",I1806="PARTS SALES","GP",I1806="SERVICE COS","GP",I1806="PARTS COS","GP",I1806="SELLING EXPENSES","Selling Expenses",I1806="EMPLOYMENT EXPENSES","Selling Expenses",I1806="EMPLOYMENT EXPENSES","Selling Expenses",I1806="DIRECT EXPENSES","Selling Expenses",I1806="INDIRECT EXPENSES","Selling Expenses"))</f>
        <v>#N/A</v>
      </c>
    </row>
    <row r="1807" spans="1:18" x14ac:dyDescent="0.2">
      <c r="A1807" s="75">
        <v>7470</v>
      </c>
      <c r="B1807" s="76" t="s">
        <v>974</v>
      </c>
      <c r="C1807" s="76">
        <v>160</v>
      </c>
      <c r="D1807" s="76" t="s">
        <v>434</v>
      </c>
      <c r="E1807" s="76" t="s">
        <v>426</v>
      </c>
      <c r="F1807" s="77">
        <v>6533.89</v>
      </c>
      <c r="G1807" s="77">
        <v>625.9</v>
      </c>
      <c r="H1807" s="77">
        <v>7159.79</v>
      </c>
      <c r="I1807" s="76" t="s">
        <v>968</v>
      </c>
      <c r="J1807" s="77">
        <v>400</v>
      </c>
      <c r="K1807" s="78">
        <v>4389.6499999999996</v>
      </c>
      <c r="M1807" s="79" t="str">
        <f t="shared" si="86"/>
        <v>160-7470</v>
      </c>
      <c r="N1807" s="79" t="str">
        <f t="shared" si="84"/>
        <v/>
      </c>
      <c r="O1807" s="79" t="str">
        <f t="shared" si="85"/>
        <v>160</v>
      </c>
      <c r="P1807" s="79" t="str">
        <f>IFERROR(VLOOKUP($M1807,Export!$P:$R,2,FALSE),"-")</f>
        <v>Admin &amp; Other</v>
      </c>
      <c r="Q1807" s="79" t="str">
        <f>IFERROR(VLOOKUP($M1807,Export!$P:$R,3,FALSE),"-")</f>
        <v>Admin &amp; OtherR&amp;M and Cleaning as % of Total Gross Profit</v>
      </c>
      <c r="R1807" s="80" t="e" cm="1">
        <f t="array" ref="R1807">_xlfn.IFS(P1807="Service", _xlfn.IFS(I1807="SALES","GP",I1807="SERVICE SALES","GP",I1807="PARTS SALES","GP",I1807="SERVICE COS","GP",I1807="PARTS COS","GP",I1807="SELLING EXPENSES","Selling Expenses",I1807="EMPLOYMENT EXPENSES","Selling Expenses",I1807="EMPLOYMENT EXPENSES","Selling Expenses",I1807="DIRECT EXPENSES","Selling Expenses",I1807="INDIRECT EXPENSES","Selling Expenses"),P1807="Parts",_xlfn.IFS(I1807="SALES","GP",I1807="SERVICE SALES","GP",I1807="PARTS SALES","GP",I1807="SERVICE COS","GP",I1807="PARTS COS","GP",I1807="SELLING EXPENSES","Selling Expenses",I1807="EMPLOYMENT EXPENSES","Selling Expenses",I1807="EMPLOYMENT EXPENSES","Selling Expenses",I1807="DIRECT EXPENSES","Selling Expenses",I1807="INDIRECT EXPENSES","Selling Expenses"))</f>
        <v>#N/A</v>
      </c>
    </row>
    <row r="1808" spans="1:18" x14ac:dyDescent="0.2">
      <c r="A1808" s="75">
        <v>7470</v>
      </c>
      <c r="B1808" s="76" t="s">
        <v>974</v>
      </c>
      <c r="C1808" s="76">
        <v>190</v>
      </c>
      <c r="D1808" s="76" t="s">
        <v>435</v>
      </c>
      <c r="E1808" s="76" t="s">
        <v>426</v>
      </c>
      <c r="F1808" s="77">
        <v>320</v>
      </c>
      <c r="G1808" s="77">
        <v>0</v>
      </c>
      <c r="H1808" s="77">
        <v>320</v>
      </c>
      <c r="I1808" s="76" t="s">
        <v>968</v>
      </c>
      <c r="J1808" s="77">
        <v>0</v>
      </c>
      <c r="K1808" s="78">
        <v>0</v>
      </c>
      <c r="M1808" s="79" t="str">
        <f t="shared" si="86"/>
        <v>190-7470</v>
      </c>
      <c r="N1808" s="79" t="str">
        <f t="shared" si="84"/>
        <v/>
      </c>
      <c r="O1808" s="79" t="str">
        <f t="shared" si="85"/>
        <v>190</v>
      </c>
      <c r="P1808" s="79" t="str">
        <f>IFERROR(VLOOKUP($M1808,Export!$P:$R,2,FALSE),"-")</f>
        <v>Admin &amp; Other</v>
      </c>
      <c r="Q1808" s="79" t="str">
        <f>IFERROR(VLOOKUP($M1808,Export!$P:$R,3,FALSE),"-")</f>
        <v>Admin &amp; OtherR&amp;M and Cleaning as % of Total Gross Profit</v>
      </c>
      <c r="R1808" s="80" t="e" cm="1">
        <f t="array" ref="R1808">_xlfn.IFS(P1808="Service", _xlfn.IFS(I1808="SALES","GP",I1808="SERVICE SALES","GP",I1808="PARTS SALES","GP",I1808="SERVICE COS","GP",I1808="PARTS COS","GP",I1808="SELLING EXPENSES","Selling Expenses",I1808="EMPLOYMENT EXPENSES","Selling Expenses",I1808="EMPLOYMENT EXPENSES","Selling Expenses",I1808="DIRECT EXPENSES","Selling Expenses",I1808="INDIRECT EXPENSES","Selling Expenses"),P1808="Parts",_xlfn.IFS(I1808="SALES","GP",I1808="SERVICE SALES","GP",I1808="PARTS SALES","GP",I1808="SERVICE COS","GP",I1808="PARTS COS","GP",I1808="SELLING EXPENSES","Selling Expenses",I1808="EMPLOYMENT EXPENSES","Selling Expenses",I1808="EMPLOYMENT EXPENSES","Selling Expenses",I1808="DIRECT EXPENSES","Selling Expenses",I1808="INDIRECT EXPENSES","Selling Expenses"))</f>
        <v>#N/A</v>
      </c>
    </row>
    <row r="1809" spans="1:18" x14ac:dyDescent="0.2">
      <c r="A1809" s="75">
        <v>7470</v>
      </c>
      <c r="B1809" s="76" t="s">
        <v>974</v>
      </c>
      <c r="C1809" s="76">
        <v>210</v>
      </c>
      <c r="D1809" s="76" t="s">
        <v>436</v>
      </c>
      <c r="E1809" s="76" t="s">
        <v>426</v>
      </c>
      <c r="F1809" s="77">
        <v>7957.45</v>
      </c>
      <c r="G1809" s="77">
        <v>970.81</v>
      </c>
      <c r="H1809" s="77">
        <v>8928.26</v>
      </c>
      <c r="I1809" s="76" t="s">
        <v>968</v>
      </c>
      <c r="J1809" s="77">
        <v>400</v>
      </c>
      <c r="K1809" s="78">
        <v>5414.52</v>
      </c>
      <c r="M1809" s="79" t="str">
        <f t="shared" si="86"/>
        <v>210-7470</v>
      </c>
      <c r="N1809" s="79" t="str">
        <f t="shared" si="84"/>
        <v/>
      </c>
      <c r="O1809" s="79" t="str">
        <f t="shared" si="85"/>
        <v>210</v>
      </c>
      <c r="P1809" s="79" t="str">
        <f>IFERROR(VLOOKUP($M1809,Export!$P:$R,2,FALSE),"-")</f>
        <v>Admin &amp; Other</v>
      </c>
      <c r="Q1809" s="79" t="str">
        <f>IFERROR(VLOOKUP($M1809,Export!$P:$R,3,FALSE),"-")</f>
        <v>Admin &amp; OtherR&amp;M and Cleaning as % of Total Gross Profit</v>
      </c>
      <c r="R1809" s="80" t="e" cm="1">
        <f t="array" ref="R1809">_xlfn.IFS(P1809="Service", _xlfn.IFS(I1809="SALES","GP",I1809="SERVICE SALES","GP",I1809="PARTS SALES","GP",I1809="SERVICE COS","GP",I1809="PARTS COS","GP",I1809="SELLING EXPENSES","Selling Expenses",I1809="EMPLOYMENT EXPENSES","Selling Expenses",I1809="EMPLOYMENT EXPENSES","Selling Expenses",I1809="DIRECT EXPENSES","Selling Expenses",I1809="INDIRECT EXPENSES","Selling Expenses"),P1809="Parts",_xlfn.IFS(I1809="SALES","GP",I1809="SERVICE SALES","GP",I1809="PARTS SALES","GP",I1809="SERVICE COS","GP",I1809="PARTS COS","GP",I1809="SELLING EXPENSES","Selling Expenses",I1809="EMPLOYMENT EXPENSES","Selling Expenses",I1809="EMPLOYMENT EXPENSES","Selling Expenses",I1809="DIRECT EXPENSES","Selling Expenses",I1809="INDIRECT EXPENSES","Selling Expenses"))</f>
        <v>#N/A</v>
      </c>
    </row>
    <row r="1810" spans="1:18" x14ac:dyDescent="0.2">
      <c r="A1810" s="75">
        <v>7470</v>
      </c>
      <c r="B1810" s="76" t="s">
        <v>974</v>
      </c>
      <c r="C1810" s="76">
        <v>220</v>
      </c>
      <c r="D1810" s="76" t="s">
        <v>437</v>
      </c>
      <c r="E1810" s="76" t="s">
        <v>426</v>
      </c>
      <c r="F1810" s="77">
        <v>7847.46</v>
      </c>
      <c r="G1810" s="77">
        <v>970.81</v>
      </c>
      <c r="H1810" s="77">
        <v>8818.27</v>
      </c>
      <c r="I1810" s="76" t="s">
        <v>968</v>
      </c>
      <c r="J1810" s="77">
        <v>600</v>
      </c>
      <c r="K1810" s="78">
        <v>6614.52</v>
      </c>
      <c r="M1810" s="79" t="str">
        <f t="shared" si="86"/>
        <v>220-7470</v>
      </c>
      <c r="N1810" s="79" t="str">
        <f t="shared" si="84"/>
        <v/>
      </c>
      <c r="O1810" s="79" t="str">
        <f t="shared" si="85"/>
        <v>220</v>
      </c>
      <c r="P1810" s="79" t="str">
        <f>IFERROR(VLOOKUP($M1810,Export!$P:$R,2,FALSE),"-")</f>
        <v>Admin &amp; Other</v>
      </c>
      <c r="Q1810" s="79" t="str">
        <f>IFERROR(VLOOKUP($M1810,Export!$P:$R,3,FALSE),"-")</f>
        <v>Admin &amp; OtherR&amp;M and Cleaning as % of Total Gross Profit</v>
      </c>
      <c r="R1810" s="80" t="e" cm="1">
        <f t="array" ref="R1810">_xlfn.IFS(P1810="Service", _xlfn.IFS(I1810="SALES","GP",I1810="SERVICE SALES","GP",I1810="PARTS SALES","GP",I1810="SERVICE COS","GP",I1810="PARTS COS","GP",I1810="SELLING EXPENSES","Selling Expenses",I1810="EMPLOYMENT EXPENSES","Selling Expenses",I1810="EMPLOYMENT EXPENSES","Selling Expenses",I1810="DIRECT EXPENSES","Selling Expenses",I1810="INDIRECT EXPENSES","Selling Expenses"),P1810="Parts",_xlfn.IFS(I1810="SALES","GP",I1810="SERVICE SALES","GP",I1810="PARTS SALES","GP",I1810="SERVICE COS","GP",I1810="PARTS COS","GP",I1810="SELLING EXPENSES","Selling Expenses",I1810="EMPLOYMENT EXPENSES","Selling Expenses",I1810="EMPLOYMENT EXPENSES","Selling Expenses",I1810="DIRECT EXPENSES","Selling Expenses",I1810="INDIRECT EXPENSES","Selling Expenses"))</f>
        <v>#N/A</v>
      </c>
    </row>
    <row r="1811" spans="1:18" x14ac:dyDescent="0.2">
      <c r="A1811" s="75">
        <v>7470</v>
      </c>
      <c r="B1811" s="76" t="s">
        <v>974</v>
      </c>
      <c r="C1811" s="76">
        <v>230</v>
      </c>
      <c r="D1811" s="76" t="s">
        <v>438</v>
      </c>
      <c r="E1811" s="76" t="s">
        <v>426</v>
      </c>
      <c r="F1811" s="77">
        <v>7957.46</v>
      </c>
      <c r="G1811" s="77">
        <v>970.81</v>
      </c>
      <c r="H1811" s="77">
        <v>8928.27</v>
      </c>
      <c r="I1811" s="76" t="s">
        <v>968</v>
      </c>
      <c r="J1811" s="77">
        <v>600</v>
      </c>
      <c r="K1811" s="78">
        <v>6966.73</v>
      </c>
      <c r="M1811" s="79" t="str">
        <f t="shared" si="86"/>
        <v>230-7470</v>
      </c>
      <c r="N1811" s="79" t="str">
        <f t="shared" si="84"/>
        <v/>
      </c>
      <c r="O1811" s="79" t="str">
        <f t="shared" si="85"/>
        <v>230</v>
      </c>
      <c r="P1811" s="79" t="str">
        <f>IFERROR(VLOOKUP($M1811,Export!$P:$R,2,FALSE),"-")</f>
        <v>Admin &amp; Other</v>
      </c>
      <c r="Q1811" s="79" t="str">
        <f>IFERROR(VLOOKUP($M1811,Export!$P:$R,3,FALSE),"-")</f>
        <v>Admin &amp; OtherR&amp;M and Cleaning as % of Total Gross Profit</v>
      </c>
      <c r="R1811" s="80" t="e" cm="1">
        <f t="array" ref="R1811">_xlfn.IFS(P1811="Service", _xlfn.IFS(I1811="SALES","GP",I1811="SERVICE SALES","GP",I1811="PARTS SALES","GP",I1811="SERVICE COS","GP",I1811="PARTS COS","GP",I1811="SELLING EXPENSES","Selling Expenses",I1811="EMPLOYMENT EXPENSES","Selling Expenses",I1811="EMPLOYMENT EXPENSES","Selling Expenses",I1811="DIRECT EXPENSES","Selling Expenses",I1811="INDIRECT EXPENSES","Selling Expenses"),P1811="Parts",_xlfn.IFS(I1811="SALES","GP",I1811="SERVICE SALES","GP",I1811="PARTS SALES","GP",I1811="SERVICE COS","GP",I1811="PARTS COS","GP",I1811="SELLING EXPENSES","Selling Expenses",I1811="EMPLOYMENT EXPENSES","Selling Expenses",I1811="EMPLOYMENT EXPENSES","Selling Expenses",I1811="DIRECT EXPENSES","Selling Expenses",I1811="INDIRECT EXPENSES","Selling Expenses"))</f>
        <v>#N/A</v>
      </c>
    </row>
    <row r="1812" spans="1:18" x14ac:dyDescent="0.2">
      <c r="A1812" s="75">
        <v>7470</v>
      </c>
      <c r="B1812" s="76" t="s">
        <v>974</v>
      </c>
      <c r="C1812" s="76">
        <v>240</v>
      </c>
      <c r="D1812" s="76" t="s">
        <v>439</v>
      </c>
      <c r="E1812" s="76" t="s">
        <v>426</v>
      </c>
      <c r="F1812" s="77">
        <v>12739.59</v>
      </c>
      <c r="G1812" s="77">
        <v>1612.8</v>
      </c>
      <c r="H1812" s="77">
        <v>14352.39</v>
      </c>
      <c r="I1812" s="76" t="s">
        <v>968</v>
      </c>
      <c r="J1812" s="77">
        <v>1400</v>
      </c>
      <c r="K1812" s="78">
        <v>13105.22</v>
      </c>
      <c r="M1812" s="79" t="str">
        <f t="shared" si="86"/>
        <v>240-7470</v>
      </c>
      <c r="N1812" s="79" t="str">
        <f t="shared" si="84"/>
        <v/>
      </c>
      <c r="O1812" s="79" t="str">
        <f t="shared" si="85"/>
        <v>240</v>
      </c>
      <c r="P1812" s="79" t="str">
        <f>IFERROR(VLOOKUP($M1812,Export!$P:$R,2,FALSE),"-")</f>
        <v>Admin &amp; Other</v>
      </c>
      <c r="Q1812" s="79" t="str">
        <f>IFERROR(VLOOKUP($M1812,Export!$P:$R,3,FALSE),"-")</f>
        <v>Admin &amp; OtherR&amp;M and Cleaning as % of Total Gross Profit</v>
      </c>
      <c r="R1812" s="80" t="e" cm="1">
        <f t="array" ref="R1812">_xlfn.IFS(P1812="Service", _xlfn.IFS(I1812="SALES","GP",I1812="SERVICE SALES","GP",I1812="PARTS SALES","GP",I1812="SERVICE COS","GP",I1812="PARTS COS","GP",I1812="SELLING EXPENSES","Selling Expenses",I1812="EMPLOYMENT EXPENSES","Selling Expenses",I1812="EMPLOYMENT EXPENSES","Selling Expenses",I1812="DIRECT EXPENSES","Selling Expenses",I1812="INDIRECT EXPENSES","Selling Expenses"),P1812="Parts",_xlfn.IFS(I1812="SALES","GP",I1812="SERVICE SALES","GP",I1812="PARTS SALES","GP",I1812="SERVICE COS","GP",I1812="PARTS COS","GP",I1812="SELLING EXPENSES","Selling Expenses",I1812="EMPLOYMENT EXPENSES","Selling Expenses",I1812="EMPLOYMENT EXPENSES","Selling Expenses",I1812="DIRECT EXPENSES","Selling Expenses",I1812="INDIRECT EXPENSES","Selling Expenses"))</f>
        <v>#N/A</v>
      </c>
    </row>
    <row r="1813" spans="1:18" x14ac:dyDescent="0.2">
      <c r="A1813" s="75">
        <v>7470</v>
      </c>
      <c r="B1813" s="76" t="s">
        <v>974</v>
      </c>
      <c r="C1813" s="76">
        <v>330</v>
      </c>
      <c r="D1813" s="76" t="s">
        <v>457</v>
      </c>
      <c r="E1813" s="76" t="s">
        <v>426</v>
      </c>
      <c r="F1813" s="77">
        <v>4466.37</v>
      </c>
      <c r="G1813" s="77">
        <v>950.86</v>
      </c>
      <c r="H1813" s="77">
        <v>5417.23</v>
      </c>
      <c r="I1813" s="76" t="s">
        <v>968</v>
      </c>
      <c r="J1813" s="77">
        <v>0</v>
      </c>
      <c r="K1813" s="78">
        <v>0</v>
      </c>
      <c r="M1813" s="79" t="str">
        <f t="shared" si="86"/>
        <v>330-7470</v>
      </c>
      <c r="N1813" s="79" t="str">
        <f t="shared" si="84"/>
        <v/>
      </c>
      <c r="O1813" s="79" t="str">
        <f t="shared" si="85"/>
        <v>330</v>
      </c>
      <c r="P1813" s="79" t="str">
        <f>IFERROR(VLOOKUP($M1813,Export!$P:$R,2,FALSE),"-")</f>
        <v>Admin &amp; Other</v>
      </c>
      <c r="Q1813" s="79" t="str">
        <f>IFERROR(VLOOKUP($M1813,Export!$P:$R,3,FALSE),"-")</f>
        <v>Admin &amp; OtherR&amp;M and Cleaning as % of Total Gross Profit</v>
      </c>
      <c r="R1813" s="80" t="e" cm="1">
        <f t="array" ref="R1813">_xlfn.IFS(P1813="Service", _xlfn.IFS(I1813="SALES","GP",I1813="SERVICE SALES","GP",I1813="PARTS SALES","GP",I1813="SERVICE COS","GP",I1813="PARTS COS","GP",I1813="SELLING EXPENSES","Selling Expenses",I1813="EMPLOYMENT EXPENSES","Selling Expenses",I1813="EMPLOYMENT EXPENSES","Selling Expenses",I1813="DIRECT EXPENSES","Selling Expenses",I1813="INDIRECT EXPENSES","Selling Expenses"),P1813="Parts",_xlfn.IFS(I1813="SALES","GP",I1813="SERVICE SALES","GP",I1813="PARTS SALES","GP",I1813="SERVICE COS","GP",I1813="PARTS COS","GP",I1813="SELLING EXPENSES","Selling Expenses",I1813="EMPLOYMENT EXPENSES","Selling Expenses",I1813="EMPLOYMENT EXPENSES","Selling Expenses",I1813="DIRECT EXPENSES","Selling Expenses",I1813="INDIRECT EXPENSES","Selling Expenses"))</f>
        <v>#N/A</v>
      </c>
    </row>
    <row r="1814" spans="1:18" x14ac:dyDescent="0.2">
      <c r="A1814" s="75">
        <v>7470</v>
      </c>
      <c r="B1814" s="76" t="s">
        <v>974</v>
      </c>
      <c r="C1814" s="76">
        <v>340</v>
      </c>
      <c r="D1814" s="76" t="s">
        <v>440</v>
      </c>
      <c r="E1814" s="76" t="s">
        <v>426</v>
      </c>
      <c r="F1814" s="77">
        <v>6368.09</v>
      </c>
      <c r="G1814" s="77">
        <v>950.84</v>
      </c>
      <c r="H1814" s="77">
        <v>7318.93</v>
      </c>
      <c r="I1814" s="76" t="s">
        <v>968</v>
      </c>
      <c r="J1814" s="77">
        <v>800</v>
      </c>
      <c r="K1814" s="78">
        <v>6872.73</v>
      </c>
      <c r="M1814" s="79" t="str">
        <f t="shared" si="86"/>
        <v>340-7470</v>
      </c>
      <c r="N1814" s="79" t="str">
        <f t="shared" si="84"/>
        <v/>
      </c>
      <c r="O1814" s="79" t="str">
        <f t="shared" si="85"/>
        <v>340</v>
      </c>
      <c r="P1814" s="79" t="str">
        <f>IFERROR(VLOOKUP($M1814,Export!$P:$R,2,FALSE),"-")</f>
        <v>Admin &amp; Other</v>
      </c>
      <c r="Q1814" s="79" t="str">
        <f>IFERROR(VLOOKUP($M1814,Export!$P:$R,3,FALSE),"-")</f>
        <v>Admin &amp; OtherR&amp;M and Cleaning as % of Total Gross Profit</v>
      </c>
      <c r="R1814" s="80" t="e" cm="1">
        <f t="array" ref="R1814">_xlfn.IFS(P1814="Service", _xlfn.IFS(I1814="SALES","GP",I1814="SERVICE SALES","GP",I1814="PARTS SALES","GP",I1814="SERVICE COS","GP",I1814="PARTS COS","GP",I1814="SELLING EXPENSES","Selling Expenses",I1814="EMPLOYMENT EXPENSES","Selling Expenses",I1814="EMPLOYMENT EXPENSES","Selling Expenses",I1814="DIRECT EXPENSES","Selling Expenses",I1814="INDIRECT EXPENSES","Selling Expenses"),P1814="Parts",_xlfn.IFS(I1814="SALES","GP",I1814="SERVICE SALES","GP",I1814="PARTS SALES","GP",I1814="SERVICE COS","GP",I1814="PARTS COS","GP",I1814="SELLING EXPENSES","Selling Expenses",I1814="EMPLOYMENT EXPENSES","Selling Expenses",I1814="EMPLOYMENT EXPENSES","Selling Expenses",I1814="DIRECT EXPENSES","Selling Expenses",I1814="INDIRECT EXPENSES","Selling Expenses"))</f>
        <v>#N/A</v>
      </c>
    </row>
    <row r="1815" spans="1:18" x14ac:dyDescent="0.2">
      <c r="A1815" s="75">
        <v>7470</v>
      </c>
      <c r="B1815" s="76" t="s">
        <v>974</v>
      </c>
      <c r="C1815" s="76">
        <v>400</v>
      </c>
      <c r="D1815" s="76" t="s">
        <v>923</v>
      </c>
      <c r="E1815" s="76" t="s">
        <v>426</v>
      </c>
      <c r="F1815" s="77">
        <v>0</v>
      </c>
      <c r="G1815" s="77">
        <v>0</v>
      </c>
      <c r="H1815" s="77">
        <v>0</v>
      </c>
      <c r="I1815" s="76" t="s">
        <v>968</v>
      </c>
      <c r="J1815" s="77">
        <v>0</v>
      </c>
      <c r="K1815" s="78">
        <v>-131.15</v>
      </c>
      <c r="M1815" s="79" t="str">
        <f t="shared" si="86"/>
        <v>400-7470</v>
      </c>
      <c r="N1815" s="79" t="str">
        <f t="shared" si="84"/>
        <v/>
      </c>
      <c r="O1815" s="79" t="str">
        <f t="shared" si="85"/>
        <v>400</v>
      </c>
      <c r="P1815" s="79" t="str">
        <f>IFERROR(VLOOKUP($M1815,Export!$P:$R,2,FALSE),"-")</f>
        <v>Admin &amp; Other</v>
      </c>
      <c r="Q1815" s="79" t="str">
        <f>IFERROR(VLOOKUP($M1815,Export!$P:$R,3,FALSE),"-")</f>
        <v>Admin &amp; OtherR&amp;M and Cleaning as % of Total Gross Profit</v>
      </c>
      <c r="R1815" s="80" t="e" cm="1">
        <f t="array" ref="R1815">_xlfn.IFS(P1815="Service", _xlfn.IFS(I1815="SALES","GP",I1815="SERVICE SALES","GP",I1815="PARTS SALES","GP",I1815="SERVICE COS","GP",I1815="PARTS COS","GP",I1815="SELLING EXPENSES","Selling Expenses",I1815="EMPLOYMENT EXPENSES","Selling Expenses",I1815="EMPLOYMENT EXPENSES","Selling Expenses",I1815="DIRECT EXPENSES","Selling Expenses",I1815="INDIRECT EXPENSES","Selling Expenses"),P1815="Parts",_xlfn.IFS(I1815="SALES","GP",I1815="SERVICE SALES","GP",I1815="PARTS SALES","GP",I1815="SERVICE COS","GP",I1815="PARTS COS","GP",I1815="SELLING EXPENSES","Selling Expenses",I1815="EMPLOYMENT EXPENSES","Selling Expenses",I1815="EMPLOYMENT EXPENSES","Selling Expenses",I1815="DIRECT EXPENSES","Selling Expenses",I1815="INDIRECT EXPENSES","Selling Expenses"))</f>
        <v>#N/A</v>
      </c>
    </row>
    <row r="1816" spans="1:18" x14ac:dyDescent="0.2">
      <c r="A1816" s="75">
        <v>7470</v>
      </c>
      <c r="B1816" s="76" t="s">
        <v>974</v>
      </c>
      <c r="C1816" s="76">
        <v>430</v>
      </c>
      <c r="D1816" s="76" t="s">
        <v>458</v>
      </c>
      <c r="E1816" s="76" t="s">
        <v>426</v>
      </c>
      <c r="F1816" s="77">
        <v>16185.07</v>
      </c>
      <c r="G1816" s="77">
        <v>1940.06</v>
      </c>
      <c r="H1816" s="77">
        <v>18125.13</v>
      </c>
      <c r="I1816" s="76" t="s">
        <v>968</v>
      </c>
      <c r="J1816" s="77">
        <v>700</v>
      </c>
      <c r="K1816" s="78">
        <v>9305.01</v>
      </c>
      <c r="M1816" s="79" t="str">
        <f t="shared" si="86"/>
        <v>430-7470</v>
      </c>
      <c r="N1816" s="79" t="str">
        <f t="shared" si="84"/>
        <v/>
      </c>
      <c r="O1816" s="79" t="str">
        <f t="shared" si="85"/>
        <v>430</v>
      </c>
      <c r="P1816" s="79" t="str">
        <f>IFERROR(VLOOKUP($M1816,Export!$P:$R,2,FALSE),"-")</f>
        <v>Admin &amp; Other</v>
      </c>
      <c r="Q1816" s="79" t="str">
        <f>IFERROR(VLOOKUP($M1816,Export!$P:$R,3,FALSE),"-")</f>
        <v>Admin &amp; OtherR&amp;M and Cleaning as % of Total Gross Profit</v>
      </c>
      <c r="R1816" s="80" t="e" cm="1">
        <f t="array" ref="R1816">_xlfn.IFS(P1816="Service", _xlfn.IFS(I1816="SALES","GP",I1816="SERVICE SALES","GP",I1816="PARTS SALES","GP",I1816="SERVICE COS","GP",I1816="PARTS COS","GP",I1816="SELLING EXPENSES","Selling Expenses",I1816="EMPLOYMENT EXPENSES","Selling Expenses",I1816="EMPLOYMENT EXPENSES","Selling Expenses",I1816="DIRECT EXPENSES","Selling Expenses",I1816="INDIRECT EXPENSES","Selling Expenses"),P1816="Parts",_xlfn.IFS(I1816="SALES","GP",I1816="SERVICE SALES","GP",I1816="PARTS SALES","GP",I1816="SERVICE COS","GP",I1816="PARTS COS","GP",I1816="SELLING EXPENSES","Selling Expenses",I1816="EMPLOYMENT EXPENSES","Selling Expenses",I1816="EMPLOYMENT EXPENSES","Selling Expenses",I1816="DIRECT EXPENSES","Selling Expenses",I1816="INDIRECT EXPENSES","Selling Expenses"))</f>
        <v>#N/A</v>
      </c>
    </row>
    <row r="1817" spans="1:18" x14ac:dyDescent="0.2">
      <c r="A1817" s="75">
        <v>7470</v>
      </c>
      <c r="B1817" s="76" t="s">
        <v>974</v>
      </c>
      <c r="C1817" s="76">
        <v>440</v>
      </c>
      <c r="D1817" s="76" t="s">
        <v>441</v>
      </c>
      <c r="E1817" s="76" t="s">
        <v>426</v>
      </c>
      <c r="F1817" s="77">
        <v>16500.05</v>
      </c>
      <c r="G1817" s="77">
        <v>1932.22</v>
      </c>
      <c r="H1817" s="77">
        <v>18432.27</v>
      </c>
      <c r="I1817" s="76" t="s">
        <v>968</v>
      </c>
      <c r="J1817" s="77">
        <v>1200</v>
      </c>
      <c r="K1817" s="78">
        <v>13018.77</v>
      </c>
      <c r="M1817" s="79" t="str">
        <f t="shared" si="86"/>
        <v>440-7470</v>
      </c>
      <c r="N1817" s="79" t="str">
        <f t="shared" si="84"/>
        <v/>
      </c>
      <c r="O1817" s="79" t="str">
        <f t="shared" si="85"/>
        <v>440</v>
      </c>
      <c r="P1817" s="79" t="str">
        <f>IFERROR(VLOOKUP($M1817,Export!$P:$R,2,FALSE),"-")</f>
        <v>Admin &amp; Other</v>
      </c>
      <c r="Q1817" s="79" t="str">
        <f>IFERROR(VLOOKUP($M1817,Export!$P:$R,3,FALSE),"-")</f>
        <v>Admin &amp; OtherR&amp;M and Cleaning as % of Total Gross Profit</v>
      </c>
      <c r="R1817" s="80" t="e" cm="1">
        <f t="array" ref="R1817">_xlfn.IFS(P1817="Service", _xlfn.IFS(I1817="SALES","GP",I1817="SERVICE SALES","GP",I1817="PARTS SALES","GP",I1817="SERVICE COS","GP",I1817="PARTS COS","GP",I1817="SELLING EXPENSES","Selling Expenses",I1817="EMPLOYMENT EXPENSES","Selling Expenses",I1817="EMPLOYMENT EXPENSES","Selling Expenses",I1817="DIRECT EXPENSES","Selling Expenses",I1817="INDIRECT EXPENSES","Selling Expenses"),P1817="Parts",_xlfn.IFS(I1817="SALES","GP",I1817="SERVICE SALES","GP",I1817="PARTS SALES","GP",I1817="SERVICE COS","GP",I1817="PARTS COS","GP",I1817="SELLING EXPENSES","Selling Expenses",I1817="EMPLOYMENT EXPENSES","Selling Expenses",I1817="EMPLOYMENT EXPENSES","Selling Expenses",I1817="DIRECT EXPENSES","Selling Expenses",I1817="INDIRECT EXPENSES","Selling Expenses"))</f>
        <v>#N/A</v>
      </c>
    </row>
    <row r="1818" spans="1:18" x14ac:dyDescent="0.2">
      <c r="A1818" s="75">
        <v>7470</v>
      </c>
      <c r="B1818" s="76" t="s">
        <v>974</v>
      </c>
      <c r="C1818" s="76">
        <v>935</v>
      </c>
      <c r="D1818" s="76" t="s">
        <v>442</v>
      </c>
      <c r="E1818" s="76" t="s">
        <v>426</v>
      </c>
      <c r="F1818" s="77">
        <v>12437.11</v>
      </c>
      <c r="G1818" s="77">
        <v>1645.75</v>
      </c>
      <c r="H1818" s="77">
        <v>14082.86</v>
      </c>
      <c r="I1818" s="76" t="s">
        <v>968</v>
      </c>
      <c r="J1818" s="77">
        <v>1500</v>
      </c>
      <c r="K1818" s="78">
        <v>17707.71</v>
      </c>
      <c r="M1818" s="79" t="str">
        <f t="shared" si="86"/>
        <v>935-7470</v>
      </c>
      <c r="N1818" s="79" t="str">
        <f t="shared" si="84"/>
        <v/>
      </c>
      <c r="O1818" s="79" t="str">
        <f t="shared" si="85"/>
        <v>935</v>
      </c>
      <c r="P1818" s="79" t="str">
        <f>IFERROR(VLOOKUP($M1818,Export!$P:$R,2,FALSE),"-")</f>
        <v>LEX Admin &amp; Other</v>
      </c>
      <c r="Q1818" s="79" t="str">
        <f>IFERROR(VLOOKUP($M1818,Export!$P:$R,3,FALSE),"-")</f>
        <v>LEX Admin &amp; OtherR&amp;M and Cleaning as % of Total Gross Profit</v>
      </c>
      <c r="R1818" s="80" t="e" cm="1">
        <f t="array" ref="R1818">_xlfn.IFS(P1818="Service", _xlfn.IFS(I1818="SALES","GP",I1818="SERVICE SALES","GP",I1818="PARTS SALES","GP",I1818="SERVICE COS","GP",I1818="PARTS COS","GP",I1818="SELLING EXPENSES","Selling Expenses",I1818="EMPLOYMENT EXPENSES","Selling Expenses",I1818="EMPLOYMENT EXPENSES","Selling Expenses",I1818="DIRECT EXPENSES","Selling Expenses",I1818="INDIRECT EXPENSES","Selling Expenses"),P1818="Parts",_xlfn.IFS(I1818="SALES","GP",I1818="SERVICE SALES","GP",I1818="PARTS SALES","GP",I1818="SERVICE COS","GP",I1818="PARTS COS","GP",I1818="SELLING EXPENSES","Selling Expenses",I1818="EMPLOYMENT EXPENSES","Selling Expenses",I1818="EMPLOYMENT EXPENSES","Selling Expenses",I1818="DIRECT EXPENSES","Selling Expenses",I1818="INDIRECT EXPENSES","Selling Expenses"))</f>
        <v>#N/A</v>
      </c>
    </row>
    <row r="1819" spans="1:18" x14ac:dyDescent="0.2">
      <c r="A1819" s="75">
        <v>7470</v>
      </c>
      <c r="B1819" s="76" t="s">
        <v>974</v>
      </c>
      <c r="C1819" s="76">
        <v>936</v>
      </c>
      <c r="D1819" s="76" t="s">
        <v>443</v>
      </c>
      <c r="E1819" s="76" t="s">
        <v>426</v>
      </c>
      <c r="F1819" s="77">
        <v>14886.08</v>
      </c>
      <c r="G1819" s="77">
        <v>1331.6</v>
      </c>
      <c r="H1819" s="77">
        <v>16217.68</v>
      </c>
      <c r="I1819" s="76" t="s">
        <v>968</v>
      </c>
      <c r="J1819" s="77">
        <v>800</v>
      </c>
      <c r="K1819" s="78">
        <v>9831.2999999999993</v>
      </c>
      <c r="M1819" s="79" t="str">
        <f t="shared" si="86"/>
        <v>936-7470</v>
      </c>
      <c r="N1819" s="79" t="str">
        <f t="shared" si="84"/>
        <v/>
      </c>
      <c r="O1819" s="79" t="str">
        <f t="shared" si="85"/>
        <v>936</v>
      </c>
      <c r="P1819" s="79" t="str">
        <f>IFERROR(VLOOKUP($M1819,Export!$P:$R,2,FALSE),"-")</f>
        <v>LEX Admin &amp; Other</v>
      </c>
      <c r="Q1819" s="79" t="str">
        <f>IFERROR(VLOOKUP($M1819,Export!$P:$R,3,FALSE),"-")</f>
        <v>LEX Admin &amp; OtherR&amp;M and Cleaning as % of Total Gross Profit</v>
      </c>
      <c r="R1819" s="80" t="e" cm="1">
        <f t="array" ref="R1819">_xlfn.IFS(P1819="Service", _xlfn.IFS(I1819="SALES","GP",I1819="SERVICE SALES","GP",I1819="PARTS SALES","GP",I1819="SERVICE COS","GP",I1819="PARTS COS","GP",I1819="SELLING EXPENSES","Selling Expenses",I1819="EMPLOYMENT EXPENSES","Selling Expenses",I1819="EMPLOYMENT EXPENSES","Selling Expenses",I1819="DIRECT EXPENSES","Selling Expenses",I1819="INDIRECT EXPENSES","Selling Expenses"),P1819="Parts",_xlfn.IFS(I1819="SALES","GP",I1819="SERVICE SALES","GP",I1819="PARTS SALES","GP",I1819="SERVICE COS","GP",I1819="PARTS COS","GP",I1819="SELLING EXPENSES","Selling Expenses",I1819="EMPLOYMENT EXPENSES","Selling Expenses",I1819="EMPLOYMENT EXPENSES","Selling Expenses",I1819="DIRECT EXPENSES","Selling Expenses",I1819="INDIRECT EXPENSES","Selling Expenses"))</f>
        <v>#N/A</v>
      </c>
    </row>
    <row r="1820" spans="1:18" x14ac:dyDescent="0.2">
      <c r="A1820" s="75">
        <v>7475</v>
      </c>
      <c r="B1820" s="76" t="s">
        <v>975</v>
      </c>
      <c r="C1820" s="76">
        <v>110</v>
      </c>
      <c r="D1820" s="76" t="s">
        <v>430</v>
      </c>
      <c r="E1820" s="76" t="s">
        <v>426</v>
      </c>
      <c r="F1820" s="77">
        <v>3491.87</v>
      </c>
      <c r="G1820" s="77">
        <v>298.89999999999998</v>
      </c>
      <c r="H1820" s="77">
        <v>3790.77</v>
      </c>
      <c r="I1820" s="76" t="s">
        <v>968</v>
      </c>
      <c r="J1820" s="77">
        <v>700</v>
      </c>
      <c r="K1820" s="78">
        <v>8228.08</v>
      </c>
      <c r="M1820" s="79" t="str">
        <f t="shared" si="86"/>
        <v>110-7475</v>
      </c>
      <c r="N1820" s="79" t="str">
        <f t="shared" si="84"/>
        <v/>
      </c>
      <c r="O1820" s="79" t="str">
        <f t="shared" si="85"/>
        <v>110</v>
      </c>
      <c r="P1820" s="79" t="str">
        <f>IFERROR(VLOOKUP($M1820,Export!$P:$R,2,FALSE),"-")</f>
        <v>Admin &amp; Other</v>
      </c>
      <c r="Q1820" s="79" t="str">
        <f>IFERROR(VLOOKUP($M1820,Export!$P:$R,3,FALSE),"-")</f>
        <v>Admin &amp; OtherR&amp;M and Cleaning as % of Total Gross Profit</v>
      </c>
      <c r="R1820" s="80" t="e" cm="1">
        <f t="array" ref="R1820">_xlfn.IFS(P1820="Service", _xlfn.IFS(I1820="SALES","GP",I1820="SERVICE SALES","GP",I1820="PARTS SALES","GP",I1820="SERVICE COS","GP",I1820="PARTS COS","GP",I1820="SELLING EXPENSES","Selling Expenses",I1820="EMPLOYMENT EXPENSES","Selling Expenses",I1820="EMPLOYMENT EXPENSES","Selling Expenses",I1820="DIRECT EXPENSES","Selling Expenses",I1820="INDIRECT EXPENSES","Selling Expenses"),P1820="Parts",_xlfn.IFS(I1820="SALES","GP",I1820="SERVICE SALES","GP",I1820="PARTS SALES","GP",I1820="SERVICE COS","GP",I1820="PARTS COS","GP",I1820="SELLING EXPENSES","Selling Expenses",I1820="EMPLOYMENT EXPENSES","Selling Expenses",I1820="EMPLOYMENT EXPENSES","Selling Expenses",I1820="DIRECT EXPENSES","Selling Expenses",I1820="INDIRECT EXPENSES","Selling Expenses"))</f>
        <v>#N/A</v>
      </c>
    </row>
    <row r="1821" spans="1:18" x14ac:dyDescent="0.2">
      <c r="A1821" s="75">
        <v>7475</v>
      </c>
      <c r="B1821" s="76" t="s">
        <v>975</v>
      </c>
      <c r="C1821" s="76">
        <v>112</v>
      </c>
      <c r="D1821" s="76" t="s">
        <v>349</v>
      </c>
      <c r="E1821" s="76" t="s">
        <v>426</v>
      </c>
      <c r="F1821" s="77">
        <v>1935.99</v>
      </c>
      <c r="G1821" s="77">
        <v>149.46</v>
      </c>
      <c r="H1821" s="77">
        <v>2085.4499999999998</v>
      </c>
      <c r="I1821" s="76" t="s">
        <v>968</v>
      </c>
      <c r="J1821" s="77">
        <v>200</v>
      </c>
      <c r="K1821" s="78">
        <v>2249.04</v>
      </c>
      <c r="M1821" s="79" t="str">
        <f t="shared" si="86"/>
        <v>112-7475</v>
      </c>
      <c r="N1821" s="79" t="str">
        <f t="shared" si="84"/>
        <v/>
      </c>
      <c r="O1821" s="79" t="str">
        <f t="shared" si="85"/>
        <v>112</v>
      </c>
      <c r="P1821" s="79" t="str">
        <f>IFERROR(VLOOKUP($M1821,Export!$P:$R,2,FALSE),"-")</f>
        <v>LEX Admin &amp; Other</v>
      </c>
      <c r="Q1821" s="79" t="str">
        <f>IFERROR(VLOOKUP($M1821,Export!$P:$R,3,FALSE),"-")</f>
        <v>LEX Admin &amp; OtherR&amp;M and Cleaning as % of Total Gross Profit</v>
      </c>
      <c r="R1821" s="80" t="e" cm="1">
        <f t="array" ref="R1821">_xlfn.IFS(P1821="Service", _xlfn.IFS(I1821="SALES","GP",I1821="SERVICE SALES","GP",I1821="PARTS SALES","GP",I1821="SERVICE COS","GP",I1821="PARTS COS","GP",I1821="SELLING EXPENSES","Selling Expenses",I1821="EMPLOYMENT EXPENSES","Selling Expenses",I1821="EMPLOYMENT EXPENSES","Selling Expenses",I1821="DIRECT EXPENSES","Selling Expenses",I1821="INDIRECT EXPENSES","Selling Expenses"),P1821="Parts",_xlfn.IFS(I1821="SALES","GP",I1821="SERVICE SALES","GP",I1821="PARTS SALES","GP",I1821="SERVICE COS","GP",I1821="PARTS COS","GP",I1821="SELLING EXPENSES","Selling Expenses",I1821="EMPLOYMENT EXPENSES","Selling Expenses",I1821="EMPLOYMENT EXPENSES","Selling Expenses",I1821="DIRECT EXPENSES","Selling Expenses",I1821="INDIRECT EXPENSES","Selling Expenses"))</f>
        <v>#N/A</v>
      </c>
    </row>
    <row r="1822" spans="1:18" x14ac:dyDescent="0.2">
      <c r="A1822" s="75">
        <v>7475</v>
      </c>
      <c r="B1822" s="76" t="s">
        <v>975</v>
      </c>
      <c r="C1822" s="76">
        <v>120</v>
      </c>
      <c r="D1822" s="76" t="s">
        <v>431</v>
      </c>
      <c r="E1822" s="76" t="s">
        <v>426</v>
      </c>
      <c r="F1822" s="77">
        <v>3841.02</v>
      </c>
      <c r="G1822" s="77">
        <v>328.79</v>
      </c>
      <c r="H1822" s="77">
        <v>4169.8100000000004</v>
      </c>
      <c r="I1822" s="76" t="s">
        <v>968</v>
      </c>
      <c r="J1822" s="77">
        <v>700</v>
      </c>
      <c r="K1822" s="78">
        <v>7864.84</v>
      </c>
      <c r="M1822" s="79" t="str">
        <f t="shared" si="86"/>
        <v>120-7475</v>
      </c>
      <c r="N1822" s="79" t="str">
        <f t="shared" si="84"/>
        <v/>
      </c>
      <c r="O1822" s="79" t="str">
        <f t="shared" si="85"/>
        <v>120</v>
      </c>
      <c r="P1822" s="79" t="str">
        <f>IFERROR(VLOOKUP($M1822,Export!$P:$R,2,FALSE),"-")</f>
        <v>Admin &amp; Other</v>
      </c>
      <c r="Q1822" s="79" t="str">
        <f>IFERROR(VLOOKUP($M1822,Export!$P:$R,3,FALSE),"-")</f>
        <v>Admin &amp; OtherR&amp;M and Cleaning as % of Total Gross Profit</v>
      </c>
      <c r="R1822" s="80" t="e" cm="1">
        <f t="array" ref="R1822">_xlfn.IFS(P1822="Service", _xlfn.IFS(I1822="SALES","GP",I1822="SERVICE SALES","GP",I1822="PARTS SALES","GP",I1822="SERVICE COS","GP",I1822="PARTS COS","GP",I1822="SELLING EXPENSES","Selling Expenses",I1822="EMPLOYMENT EXPENSES","Selling Expenses",I1822="EMPLOYMENT EXPENSES","Selling Expenses",I1822="DIRECT EXPENSES","Selling Expenses",I1822="INDIRECT EXPENSES","Selling Expenses"),P1822="Parts",_xlfn.IFS(I1822="SALES","GP",I1822="SERVICE SALES","GP",I1822="PARTS SALES","GP",I1822="SERVICE COS","GP",I1822="PARTS COS","GP",I1822="SELLING EXPENSES","Selling Expenses",I1822="EMPLOYMENT EXPENSES","Selling Expenses",I1822="EMPLOYMENT EXPENSES","Selling Expenses",I1822="DIRECT EXPENSES","Selling Expenses",I1822="INDIRECT EXPENSES","Selling Expenses"))</f>
        <v>#N/A</v>
      </c>
    </row>
    <row r="1823" spans="1:18" x14ac:dyDescent="0.2">
      <c r="A1823" s="75">
        <v>7475</v>
      </c>
      <c r="B1823" s="76" t="s">
        <v>975</v>
      </c>
      <c r="C1823" s="76">
        <v>121</v>
      </c>
      <c r="D1823" s="76" t="s">
        <v>449</v>
      </c>
      <c r="E1823" s="76" t="s">
        <v>426</v>
      </c>
      <c r="F1823" s="77">
        <v>0</v>
      </c>
      <c r="G1823" s="77">
        <v>0</v>
      </c>
      <c r="H1823" s="77">
        <v>0</v>
      </c>
      <c r="I1823" s="76" t="s">
        <v>968</v>
      </c>
      <c r="J1823" s="77">
        <v>700</v>
      </c>
      <c r="K1823" s="78">
        <v>7833.55</v>
      </c>
      <c r="M1823" s="79" t="str">
        <f t="shared" si="86"/>
        <v>121-7475</v>
      </c>
      <c r="N1823" s="79" t="str">
        <f t="shared" si="84"/>
        <v/>
      </c>
      <c r="O1823" s="79" t="str">
        <f t="shared" si="85"/>
        <v>121</v>
      </c>
      <c r="P1823" s="79" t="str">
        <f>IFERROR(VLOOKUP($M1823,Export!$P:$R,2,FALSE),"-")</f>
        <v>Admin &amp; Other</v>
      </c>
      <c r="Q1823" s="79" t="str">
        <f>IFERROR(VLOOKUP($M1823,Export!$P:$R,3,FALSE),"-")</f>
        <v>Admin &amp; OtherR&amp;M and Cleaning as % of Total Gross Profit</v>
      </c>
      <c r="R1823" s="80" t="e" cm="1">
        <f t="array" ref="R1823">_xlfn.IFS(P1823="Service", _xlfn.IFS(I1823="SALES","GP",I1823="SERVICE SALES","GP",I1823="PARTS SALES","GP",I1823="SERVICE COS","GP",I1823="PARTS COS","GP",I1823="SELLING EXPENSES","Selling Expenses",I1823="EMPLOYMENT EXPENSES","Selling Expenses",I1823="EMPLOYMENT EXPENSES","Selling Expenses",I1823="DIRECT EXPENSES","Selling Expenses",I1823="INDIRECT EXPENSES","Selling Expenses"),P1823="Parts",_xlfn.IFS(I1823="SALES","GP",I1823="SERVICE SALES","GP",I1823="PARTS SALES","GP",I1823="SERVICE COS","GP",I1823="PARTS COS","GP",I1823="SELLING EXPENSES","Selling Expenses",I1823="EMPLOYMENT EXPENSES","Selling Expenses",I1823="EMPLOYMENT EXPENSES","Selling Expenses",I1823="DIRECT EXPENSES","Selling Expenses",I1823="INDIRECT EXPENSES","Selling Expenses"))</f>
        <v>#N/A</v>
      </c>
    </row>
    <row r="1824" spans="1:18" x14ac:dyDescent="0.2">
      <c r="A1824" s="75">
        <v>7475</v>
      </c>
      <c r="B1824" s="76" t="s">
        <v>975</v>
      </c>
      <c r="C1824" s="76">
        <v>130</v>
      </c>
      <c r="D1824" s="76" t="s">
        <v>432</v>
      </c>
      <c r="E1824" s="76" t="s">
        <v>426</v>
      </c>
      <c r="F1824" s="77">
        <v>2968.16</v>
      </c>
      <c r="G1824" s="77">
        <v>254.07</v>
      </c>
      <c r="H1824" s="77">
        <v>3222.23</v>
      </c>
      <c r="I1824" s="76" t="s">
        <v>968</v>
      </c>
      <c r="J1824" s="77">
        <v>200</v>
      </c>
      <c r="K1824" s="78">
        <v>2531.88</v>
      </c>
      <c r="M1824" s="79" t="str">
        <f t="shared" si="86"/>
        <v>130-7475</v>
      </c>
      <c r="N1824" s="79" t="str">
        <f t="shared" si="84"/>
        <v/>
      </c>
      <c r="O1824" s="79" t="str">
        <f t="shared" si="85"/>
        <v>130</v>
      </c>
      <c r="P1824" s="79" t="str">
        <f>IFERROR(VLOOKUP($M1824,Export!$P:$R,2,FALSE),"-")</f>
        <v>Admin &amp; Other</v>
      </c>
      <c r="Q1824" s="79" t="str">
        <f>IFERROR(VLOOKUP($M1824,Export!$P:$R,3,FALSE),"-")</f>
        <v>Admin &amp; OtherR&amp;M and Cleaning as % of Total Gross Profit</v>
      </c>
      <c r="R1824" s="80" t="e" cm="1">
        <f t="array" ref="R1824">_xlfn.IFS(P1824="Service", _xlfn.IFS(I1824="SALES","GP",I1824="SERVICE SALES","GP",I1824="PARTS SALES","GP",I1824="SERVICE COS","GP",I1824="PARTS COS","GP",I1824="SELLING EXPENSES","Selling Expenses",I1824="EMPLOYMENT EXPENSES","Selling Expenses",I1824="EMPLOYMENT EXPENSES","Selling Expenses",I1824="DIRECT EXPENSES","Selling Expenses",I1824="INDIRECT EXPENSES","Selling Expenses"),P1824="Parts",_xlfn.IFS(I1824="SALES","GP",I1824="SERVICE SALES","GP",I1824="PARTS SALES","GP",I1824="SERVICE COS","GP",I1824="PARTS COS","GP",I1824="SELLING EXPENSES","Selling Expenses",I1824="EMPLOYMENT EXPENSES","Selling Expenses",I1824="EMPLOYMENT EXPENSES","Selling Expenses",I1824="DIRECT EXPENSES","Selling Expenses",I1824="INDIRECT EXPENSES","Selling Expenses"))</f>
        <v>#N/A</v>
      </c>
    </row>
    <row r="1825" spans="1:18" x14ac:dyDescent="0.2">
      <c r="A1825" s="75">
        <v>7475</v>
      </c>
      <c r="B1825" s="76" t="s">
        <v>975</v>
      </c>
      <c r="C1825" s="76">
        <v>140</v>
      </c>
      <c r="D1825" s="76" t="s">
        <v>433</v>
      </c>
      <c r="E1825" s="76" t="s">
        <v>426</v>
      </c>
      <c r="F1825" s="77">
        <v>3491.88</v>
      </c>
      <c r="G1825" s="77">
        <v>298.89999999999998</v>
      </c>
      <c r="H1825" s="77">
        <v>3790.78</v>
      </c>
      <c r="I1825" s="76" t="s">
        <v>968</v>
      </c>
      <c r="J1825" s="77">
        <v>500</v>
      </c>
      <c r="K1825" s="78">
        <v>4908.08</v>
      </c>
      <c r="M1825" s="79" t="str">
        <f t="shared" si="86"/>
        <v>140-7475</v>
      </c>
      <c r="N1825" s="79" t="str">
        <f t="shared" si="84"/>
        <v/>
      </c>
      <c r="O1825" s="79" t="str">
        <f t="shared" si="85"/>
        <v>140</v>
      </c>
      <c r="P1825" s="79" t="str">
        <f>IFERROR(VLOOKUP($M1825,Export!$P:$R,2,FALSE),"-")</f>
        <v>Admin &amp; Other</v>
      </c>
      <c r="Q1825" s="79" t="str">
        <f>IFERROR(VLOOKUP($M1825,Export!$P:$R,3,FALSE),"-")</f>
        <v>Admin &amp; OtherR&amp;M and Cleaning as % of Total Gross Profit</v>
      </c>
      <c r="R1825" s="80" t="e" cm="1">
        <f t="array" ref="R1825">_xlfn.IFS(P1825="Service", _xlfn.IFS(I1825="SALES","GP",I1825="SERVICE SALES","GP",I1825="PARTS SALES","GP",I1825="SERVICE COS","GP",I1825="PARTS COS","GP",I1825="SELLING EXPENSES","Selling Expenses",I1825="EMPLOYMENT EXPENSES","Selling Expenses",I1825="EMPLOYMENT EXPENSES","Selling Expenses",I1825="DIRECT EXPENSES","Selling Expenses",I1825="INDIRECT EXPENSES","Selling Expenses"),P1825="Parts",_xlfn.IFS(I1825="SALES","GP",I1825="SERVICE SALES","GP",I1825="PARTS SALES","GP",I1825="SERVICE COS","GP",I1825="PARTS COS","GP",I1825="SELLING EXPENSES","Selling Expenses",I1825="EMPLOYMENT EXPENSES","Selling Expenses",I1825="EMPLOYMENT EXPENSES","Selling Expenses",I1825="DIRECT EXPENSES","Selling Expenses",I1825="INDIRECT EXPENSES","Selling Expenses"))</f>
        <v>#N/A</v>
      </c>
    </row>
    <row r="1826" spans="1:18" x14ac:dyDescent="0.2">
      <c r="A1826" s="75">
        <v>7475</v>
      </c>
      <c r="B1826" s="76" t="s">
        <v>975</v>
      </c>
      <c r="C1826" s="76">
        <v>147</v>
      </c>
      <c r="D1826" s="76" t="s">
        <v>699</v>
      </c>
      <c r="E1826" s="76" t="s">
        <v>426</v>
      </c>
      <c r="F1826" s="77">
        <v>0</v>
      </c>
      <c r="G1826" s="77">
        <v>0</v>
      </c>
      <c r="H1826" s="77">
        <v>0</v>
      </c>
      <c r="I1826" s="76" t="s">
        <v>968</v>
      </c>
      <c r="J1826" s="77">
        <v>100</v>
      </c>
      <c r="K1826" s="78">
        <v>800</v>
      </c>
      <c r="M1826" s="79" t="str">
        <f t="shared" si="86"/>
        <v>147-7475</v>
      </c>
      <c r="N1826" s="79" t="str">
        <f t="shared" si="84"/>
        <v/>
      </c>
      <c r="O1826" s="79" t="str">
        <f t="shared" si="85"/>
        <v>147</v>
      </c>
      <c r="P1826" s="79" t="str">
        <f>IFERROR(VLOOKUP($M1826,Export!$P:$R,2,FALSE),"-")</f>
        <v>Admin &amp; Other</v>
      </c>
      <c r="Q1826" s="79" t="str">
        <f>IFERROR(VLOOKUP($M1826,Export!$P:$R,3,FALSE),"-")</f>
        <v>Admin &amp; OtherR&amp;M and Cleaning as % of Total Gross Profit</v>
      </c>
      <c r="R1826" s="80" t="e" cm="1">
        <f t="array" ref="R1826">_xlfn.IFS(P1826="Service", _xlfn.IFS(I1826="SALES","GP",I1826="SERVICE SALES","GP",I1826="PARTS SALES","GP",I1826="SERVICE COS","GP",I1826="PARTS COS","GP",I1826="SELLING EXPENSES","Selling Expenses",I1826="EMPLOYMENT EXPENSES","Selling Expenses",I1826="EMPLOYMENT EXPENSES","Selling Expenses",I1826="DIRECT EXPENSES","Selling Expenses",I1826="INDIRECT EXPENSES","Selling Expenses"),P1826="Parts",_xlfn.IFS(I1826="SALES","GP",I1826="SERVICE SALES","GP",I1826="PARTS SALES","GP",I1826="SERVICE COS","GP",I1826="PARTS COS","GP",I1826="SELLING EXPENSES","Selling Expenses",I1826="EMPLOYMENT EXPENSES","Selling Expenses",I1826="EMPLOYMENT EXPENSES","Selling Expenses",I1826="DIRECT EXPENSES","Selling Expenses",I1826="INDIRECT EXPENSES","Selling Expenses"))</f>
        <v>#N/A</v>
      </c>
    </row>
    <row r="1827" spans="1:18" x14ac:dyDescent="0.2">
      <c r="A1827" s="75">
        <v>7475</v>
      </c>
      <c r="B1827" s="76" t="s">
        <v>975</v>
      </c>
      <c r="C1827" s="76">
        <v>160</v>
      </c>
      <c r="D1827" s="76" t="s">
        <v>434</v>
      </c>
      <c r="E1827" s="76" t="s">
        <v>426</v>
      </c>
      <c r="F1827" s="77">
        <v>1047.52</v>
      </c>
      <c r="G1827" s="77">
        <v>89.67</v>
      </c>
      <c r="H1827" s="77">
        <v>1137.19</v>
      </c>
      <c r="I1827" s="76" t="s">
        <v>968</v>
      </c>
      <c r="J1827" s="77">
        <v>0</v>
      </c>
      <c r="K1827" s="78">
        <v>272.39999999999998</v>
      </c>
      <c r="M1827" s="79" t="str">
        <f t="shared" si="86"/>
        <v>160-7475</v>
      </c>
      <c r="N1827" s="79" t="str">
        <f t="shared" si="84"/>
        <v/>
      </c>
      <c r="O1827" s="79" t="str">
        <f t="shared" si="85"/>
        <v>160</v>
      </c>
      <c r="P1827" s="79" t="str">
        <f>IFERROR(VLOOKUP($M1827,Export!$P:$R,2,FALSE),"-")</f>
        <v>Admin &amp; Other</v>
      </c>
      <c r="Q1827" s="79" t="str">
        <f>IFERROR(VLOOKUP($M1827,Export!$P:$R,3,FALSE),"-")</f>
        <v>Admin &amp; OtherR&amp;M and Cleaning as % of Total Gross Profit</v>
      </c>
      <c r="R1827" s="80" t="e" cm="1">
        <f t="array" ref="R1827">_xlfn.IFS(P1827="Service", _xlfn.IFS(I1827="SALES","GP",I1827="SERVICE SALES","GP",I1827="PARTS SALES","GP",I1827="SERVICE COS","GP",I1827="PARTS COS","GP",I1827="SELLING EXPENSES","Selling Expenses",I1827="EMPLOYMENT EXPENSES","Selling Expenses",I1827="EMPLOYMENT EXPENSES","Selling Expenses",I1827="DIRECT EXPENSES","Selling Expenses",I1827="INDIRECT EXPENSES","Selling Expenses"),P1827="Parts",_xlfn.IFS(I1827="SALES","GP",I1827="SERVICE SALES","GP",I1827="PARTS SALES","GP",I1827="SERVICE COS","GP",I1827="PARTS COS","GP",I1827="SELLING EXPENSES","Selling Expenses",I1827="EMPLOYMENT EXPENSES","Selling Expenses",I1827="EMPLOYMENT EXPENSES","Selling Expenses",I1827="DIRECT EXPENSES","Selling Expenses",I1827="INDIRECT EXPENSES","Selling Expenses"))</f>
        <v>#N/A</v>
      </c>
    </row>
    <row r="1828" spans="1:18" x14ac:dyDescent="0.2">
      <c r="A1828" s="75">
        <v>7475</v>
      </c>
      <c r="B1828" s="76" t="s">
        <v>975</v>
      </c>
      <c r="C1828" s="76">
        <v>190</v>
      </c>
      <c r="D1828" s="76" t="s">
        <v>435</v>
      </c>
      <c r="E1828" s="76" t="s">
        <v>426</v>
      </c>
      <c r="F1828" s="77">
        <v>225</v>
      </c>
      <c r="G1828" s="77">
        <v>0</v>
      </c>
      <c r="H1828" s="77">
        <v>225</v>
      </c>
      <c r="I1828" s="76" t="s">
        <v>968</v>
      </c>
      <c r="J1828" s="77">
        <v>0</v>
      </c>
      <c r="K1828" s="78">
        <v>0</v>
      </c>
      <c r="M1828" s="79" t="str">
        <f t="shared" si="86"/>
        <v>190-7475</v>
      </c>
      <c r="N1828" s="79" t="str">
        <f t="shared" si="84"/>
        <v/>
      </c>
      <c r="O1828" s="79" t="str">
        <f t="shared" si="85"/>
        <v>190</v>
      </c>
      <c r="P1828" s="79" t="str">
        <f>IFERROR(VLOOKUP($M1828,Export!$P:$R,2,FALSE),"-")</f>
        <v>Admin &amp; Other</v>
      </c>
      <c r="Q1828" s="79" t="str">
        <f>IFERROR(VLOOKUP($M1828,Export!$P:$R,3,FALSE),"-")</f>
        <v>Admin &amp; OtherR&amp;M and Cleaning as % of Total Gross Profit</v>
      </c>
      <c r="R1828" s="80" t="e" cm="1">
        <f t="array" ref="R1828">_xlfn.IFS(P1828="Service", _xlfn.IFS(I1828="SALES","GP",I1828="SERVICE SALES","GP",I1828="PARTS SALES","GP",I1828="SERVICE COS","GP",I1828="PARTS COS","GP",I1828="SELLING EXPENSES","Selling Expenses",I1828="EMPLOYMENT EXPENSES","Selling Expenses",I1828="EMPLOYMENT EXPENSES","Selling Expenses",I1828="DIRECT EXPENSES","Selling Expenses",I1828="INDIRECT EXPENSES","Selling Expenses"),P1828="Parts",_xlfn.IFS(I1828="SALES","GP",I1828="SERVICE SALES","GP",I1828="PARTS SALES","GP",I1828="SERVICE COS","GP",I1828="PARTS COS","GP",I1828="SELLING EXPENSES","Selling Expenses",I1828="EMPLOYMENT EXPENSES","Selling Expenses",I1828="EMPLOYMENT EXPENSES","Selling Expenses",I1828="DIRECT EXPENSES","Selling Expenses",I1828="INDIRECT EXPENSES","Selling Expenses"))</f>
        <v>#N/A</v>
      </c>
    </row>
    <row r="1829" spans="1:18" x14ac:dyDescent="0.2">
      <c r="A1829" s="75">
        <v>7475</v>
      </c>
      <c r="B1829" s="76" t="s">
        <v>975</v>
      </c>
      <c r="C1829" s="76">
        <v>210</v>
      </c>
      <c r="D1829" s="76" t="s">
        <v>436</v>
      </c>
      <c r="E1829" s="76" t="s">
        <v>426</v>
      </c>
      <c r="F1829" s="77">
        <v>5433.1</v>
      </c>
      <c r="G1829" s="77">
        <v>535.08000000000004</v>
      </c>
      <c r="H1829" s="77">
        <v>5968.18</v>
      </c>
      <c r="I1829" s="76" t="s">
        <v>968</v>
      </c>
      <c r="J1829" s="77">
        <v>100</v>
      </c>
      <c r="K1829" s="78">
        <v>1484.39</v>
      </c>
      <c r="M1829" s="79" t="str">
        <f t="shared" si="86"/>
        <v>210-7475</v>
      </c>
      <c r="N1829" s="79" t="str">
        <f t="shared" si="84"/>
        <v/>
      </c>
      <c r="O1829" s="79" t="str">
        <f t="shared" si="85"/>
        <v>210</v>
      </c>
      <c r="P1829" s="79" t="str">
        <f>IFERROR(VLOOKUP($M1829,Export!$P:$R,2,FALSE),"-")</f>
        <v>Admin &amp; Other</v>
      </c>
      <c r="Q1829" s="79" t="str">
        <f>IFERROR(VLOOKUP($M1829,Export!$P:$R,3,FALSE),"-")</f>
        <v>Admin &amp; OtherR&amp;M and Cleaning as % of Total Gross Profit</v>
      </c>
      <c r="R1829" s="80" t="e" cm="1">
        <f t="array" ref="R1829">_xlfn.IFS(P1829="Service", _xlfn.IFS(I1829="SALES","GP",I1829="SERVICE SALES","GP",I1829="PARTS SALES","GP",I1829="SERVICE COS","GP",I1829="PARTS COS","GP",I1829="SELLING EXPENSES","Selling Expenses",I1829="EMPLOYMENT EXPENSES","Selling Expenses",I1829="EMPLOYMENT EXPENSES","Selling Expenses",I1829="DIRECT EXPENSES","Selling Expenses",I1829="INDIRECT EXPENSES","Selling Expenses"),P1829="Parts",_xlfn.IFS(I1829="SALES","GP",I1829="SERVICE SALES","GP",I1829="PARTS SALES","GP",I1829="SERVICE COS","GP",I1829="PARTS COS","GP",I1829="SELLING EXPENSES","Selling Expenses",I1829="EMPLOYMENT EXPENSES","Selling Expenses",I1829="EMPLOYMENT EXPENSES","Selling Expenses",I1829="DIRECT EXPENSES","Selling Expenses",I1829="INDIRECT EXPENSES","Selling Expenses"))</f>
        <v>#N/A</v>
      </c>
    </row>
    <row r="1830" spans="1:18" x14ac:dyDescent="0.2">
      <c r="A1830" s="75">
        <v>7475</v>
      </c>
      <c r="B1830" s="76" t="s">
        <v>975</v>
      </c>
      <c r="C1830" s="76">
        <v>220</v>
      </c>
      <c r="D1830" s="76" t="s">
        <v>437</v>
      </c>
      <c r="E1830" s="76" t="s">
        <v>426</v>
      </c>
      <c r="F1830" s="77">
        <v>5433.1</v>
      </c>
      <c r="G1830" s="77">
        <v>535.08000000000004</v>
      </c>
      <c r="H1830" s="77">
        <v>5968.18</v>
      </c>
      <c r="I1830" s="76" t="s">
        <v>968</v>
      </c>
      <c r="J1830" s="77">
        <v>100</v>
      </c>
      <c r="K1830" s="78">
        <v>1484.39</v>
      </c>
      <c r="M1830" s="79" t="str">
        <f t="shared" si="86"/>
        <v>220-7475</v>
      </c>
      <c r="N1830" s="79" t="str">
        <f t="shared" si="84"/>
        <v/>
      </c>
      <c r="O1830" s="79" t="str">
        <f t="shared" si="85"/>
        <v>220</v>
      </c>
      <c r="P1830" s="79" t="str">
        <f>IFERROR(VLOOKUP($M1830,Export!$P:$R,2,FALSE),"-")</f>
        <v>Admin &amp; Other</v>
      </c>
      <c r="Q1830" s="79" t="str">
        <f>IFERROR(VLOOKUP($M1830,Export!$P:$R,3,FALSE),"-")</f>
        <v>Admin &amp; OtherR&amp;M and Cleaning as % of Total Gross Profit</v>
      </c>
      <c r="R1830" s="80" t="e" cm="1">
        <f t="array" ref="R1830">_xlfn.IFS(P1830="Service", _xlfn.IFS(I1830="SALES","GP",I1830="SERVICE SALES","GP",I1830="PARTS SALES","GP",I1830="SERVICE COS","GP",I1830="PARTS COS","GP",I1830="SELLING EXPENSES","Selling Expenses",I1830="EMPLOYMENT EXPENSES","Selling Expenses",I1830="EMPLOYMENT EXPENSES","Selling Expenses",I1830="DIRECT EXPENSES","Selling Expenses",I1830="INDIRECT EXPENSES","Selling Expenses"),P1830="Parts",_xlfn.IFS(I1830="SALES","GP",I1830="SERVICE SALES","GP",I1830="PARTS SALES","GP",I1830="SERVICE COS","GP",I1830="PARTS COS","GP",I1830="SELLING EXPENSES","Selling Expenses",I1830="EMPLOYMENT EXPENSES","Selling Expenses",I1830="EMPLOYMENT EXPENSES","Selling Expenses",I1830="DIRECT EXPENSES","Selling Expenses",I1830="INDIRECT EXPENSES","Selling Expenses"))</f>
        <v>#N/A</v>
      </c>
    </row>
    <row r="1831" spans="1:18" x14ac:dyDescent="0.2">
      <c r="A1831" s="75">
        <v>7475</v>
      </c>
      <c r="B1831" s="76" t="s">
        <v>975</v>
      </c>
      <c r="C1831" s="76">
        <v>230</v>
      </c>
      <c r="D1831" s="76" t="s">
        <v>438</v>
      </c>
      <c r="E1831" s="76" t="s">
        <v>426</v>
      </c>
      <c r="F1831" s="77">
        <v>5433.1</v>
      </c>
      <c r="G1831" s="77">
        <v>535.08000000000004</v>
      </c>
      <c r="H1831" s="77">
        <v>5968.18</v>
      </c>
      <c r="I1831" s="76" t="s">
        <v>968</v>
      </c>
      <c r="J1831" s="77">
        <v>100</v>
      </c>
      <c r="K1831" s="78">
        <v>1484.39</v>
      </c>
      <c r="M1831" s="79" t="str">
        <f t="shared" si="86"/>
        <v>230-7475</v>
      </c>
      <c r="N1831" s="79" t="str">
        <f t="shared" si="84"/>
        <v/>
      </c>
      <c r="O1831" s="79" t="str">
        <f t="shared" si="85"/>
        <v>230</v>
      </c>
      <c r="P1831" s="79" t="str">
        <f>IFERROR(VLOOKUP($M1831,Export!$P:$R,2,FALSE),"-")</f>
        <v>Admin &amp; Other</v>
      </c>
      <c r="Q1831" s="79" t="str">
        <f>IFERROR(VLOOKUP($M1831,Export!$P:$R,3,FALSE),"-")</f>
        <v>Admin &amp; OtherR&amp;M and Cleaning as % of Total Gross Profit</v>
      </c>
      <c r="R1831" s="80" t="e" cm="1">
        <f t="array" ref="R1831">_xlfn.IFS(P1831="Service", _xlfn.IFS(I1831="SALES","GP",I1831="SERVICE SALES","GP",I1831="PARTS SALES","GP",I1831="SERVICE COS","GP",I1831="PARTS COS","GP",I1831="SELLING EXPENSES","Selling Expenses",I1831="EMPLOYMENT EXPENSES","Selling Expenses",I1831="EMPLOYMENT EXPENSES","Selling Expenses",I1831="DIRECT EXPENSES","Selling Expenses",I1831="INDIRECT EXPENSES","Selling Expenses"),P1831="Parts",_xlfn.IFS(I1831="SALES","GP",I1831="SERVICE SALES","GP",I1831="PARTS SALES","GP",I1831="SERVICE COS","GP",I1831="PARTS COS","GP",I1831="SELLING EXPENSES","Selling Expenses",I1831="EMPLOYMENT EXPENSES","Selling Expenses",I1831="EMPLOYMENT EXPENSES","Selling Expenses",I1831="DIRECT EXPENSES","Selling Expenses",I1831="INDIRECT EXPENSES","Selling Expenses"))</f>
        <v>#N/A</v>
      </c>
    </row>
    <row r="1832" spans="1:18" x14ac:dyDescent="0.2">
      <c r="A1832" s="75">
        <v>7475</v>
      </c>
      <c r="B1832" s="76" t="s">
        <v>975</v>
      </c>
      <c r="C1832" s="76">
        <v>240</v>
      </c>
      <c r="D1832" s="76" t="s">
        <v>439</v>
      </c>
      <c r="E1832" s="76" t="s">
        <v>426</v>
      </c>
      <c r="F1832" s="77">
        <v>5433.1</v>
      </c>
      <c r="G1832" s="77">
        <v>535.08000000000004</v>
      </c>
      <c r="H1832" s="77">
        <v>5968.18</v>
      </c>
      <c r="I1832" s="76" t="s">
        <v>968</v>
      </c>
      <c r="J1832" s="77">
        <v>300</v>
      </c>
      <c r="K1832" s="78">
        <v>2684.39</v>
      </c>
      <c r="M1832" s="79" t="str">
        <f t="shared" si="86"/>
        <v>240-7475</v>
      </c>
      <c r="N1832" s="79" t="str">
        <f t="shared" si="84"/>
        <v/>
      </c>
      <c r="O1832" s="79" t="str">
        <f t="shared" si="85"/>
        <v>240</v>
      </c>
      <c r="P1832" s="79" t="str">
        <f>IFERROR(VLOOKUP($M1832,Export!$P:$R,2,FALSE),"-")</f>
        <v>Admin &amp; Other</v>
      </c>
      <c r="Q1832" s="79" t="str">
        <f>IFERROR(VLOOKUP($M1832,Export!$P:$R,3,FALSE),"-")</f>
        <v>Admin &amp; OtherR&amp;M and Cleaning as % of Total Gross Profit</v>
      </c>
      <c r="R1832" s="80" t="e" cm="1">
        <f t="array" ref="R1832">_xlfn.IFS(P1832="Service", _xlfn.IFS(I1832="SALES","GP",I1832="SERVICE SALES","GP",I1832="PARTS SALES","GP",I1832="SERVICE COS","GP",I1832="PARTS COS","GP",I1832="SELLING EXPENSES","Selling Expenses",I1832="EMPLOYMENT EXPENSES","Selling Expenses",I1832="EMPLOYMENT EXPENSES","Selling Expenses",I1832="DIRECT EXPENSES","Selling Expenses",I1832="INDIRECT EXPENSES","Selling Expenses"),P1832="Parts",_xlfn.IFS(I1832="SALES","GP",I1832="SERVICE SALES","GP",I1832="PARTS SALES","GP",I1832="SERVICE COS","GP",I1832="PARTS COS","GP",I1832="SELLING EXPENSES","Selling Expenses",I1832="EMPLOYMENT EXPENSES","Selling Expenses",I1832="EMPLOYMENT EXPENSES","Selling Expenses",I1832="DIRECT EXPENSES","Selling Expenses",I1832="INDIRECT EXPENSES","Selling Expenses"))</f>
        <v>#N/A</v>
      </c>
    </row>
    <row r="1833" spans="1:18" x14ac:dyDescent="0.2">
      <c r="A1833" s="75">
        <v>7475</v>
      </c>
      <c r="B1833" s="76" t="s">
        <v>975</v>
      </c>
      <c r="C1833" s="76">
        <v>330</v>
      </c>
      <c r="D1833" s="76" t="s">
        <v>457</v>
      </c>
      <c r="E1833" s="76" t="s">
        <v>426</v>
      </c>
      <c r="F1833" s="77">
        <v>63.17</v>
      </c>
      <c r="G1833" s="77">
        <v>0</v>
      </c>
      <c r="H1833" s="77">
        <v>63.17</v>
      </c>
      <c r="I1833" s="76" t="s">
        <v>968</v>
      </c>
      <c r="J1833" s="77">
        <v>0</v>
      </c>
      <c r="K1833" s="78">
        <v>0</v>
      </c>
      <c r="M1833" s="79" t="str">
        <f t="shared" si="86"/>
        <v>330-7475</v>
      </c>
      <c r="N1833" s="79" t="str">
        <f t="shared" si="84"/>
        <v/>
      </c>
      <c r="O1833" s="79" t="str">
        <f t="shared" si="85"/>
        <v>330</v>
      </c>
      <c r="P1833" s="79" t="str">
        <f>IFERROR(VLOOKUP($M1833,Export!$P:$R,2,FALSE),"-")</f>
        <v>Admin &amp; Other</v>
      </c>
      <c r="Q1833" s="79" t="str">
        <f>IFERROR(VLOOKUP($M1833,Export!$P:$R,3,FALSE),"-")</f>
        <v>Admin &amp; OtherR&amp;M and Cleaning as % of Total Gross Profit</v>
      </c>
      <c r="R1833" s="80" t="e" cm="1">
        <f t="array" ref="R1833">_xlfn.IFS(P1833="Service", _xlfn.IFS(I1833="SALES","GP",I1833="SERVICE SALES","GP",I1833="PARTS SALES","GP",I1833="SERVICE COS","GP",I1833="PARTS COS","GP",I1833="SELLING EXPENSES","Selling Expenses",I1833="EMPLOYMENT EXPENSES","Selling Expenses",I1833="EMPLOYMENT EXPENSES","Selling Expenses",I1833="DIRECT EXPENSES","Selling Expenses",I1833="INDIRECT EXPENSES","Selling Expenses"),P1833="Parts",_xlfn.IFS(I1833="SALES","GP",I1833="SERVICE SALES","GP",I1833="PARTS SALES","GP",I1833="SERVICE COS","GP",I1833="PARTS COS","GP",I1833="SELLING EXPENSES","Selling Expenses",I1833="EMPLOYMENT EXPENSES","Selling Expenses",I1833="EMPLOYMENT EXPENSES","Selling Expenses",I1833="DIRECT EXPENSES","Selling Expenses",I1833="INDIRECT EXPENSES","Selling Expenses"))</f>
        <v>#N/A</v>
      </c>
    </row>
    <row r="1834" spans="1:18" x14ac:dyDescent="0.2">
      <c r="A1834" s="75">
        <v>7475</v>
      </c>
      <c r="B1834" s="76" t="s">
        <v>975</v>
      </c>
      <c r="C1834" s="76">
        <v>340</v>
      </c>
      <c r="D1834" s="76" t="s">
        <v>440</v>
      </c>
      <c r="E1834" s="76" t="s">
        <v>426</v>
      </c>
      <c r="F1834" s="77">
        <v>131.38</v>
      </c>
      <c r="G1834" s="77">
        <v>0</v>
      </c>
      <c r="H1834" s="77">
        <v>131.38</v>
      </c>
      <c r="I1834" s="76" t="s">
        <v>968</v>
      </c>
      <c r="J1834" s="77">
        <v>100</v>
      </c>
      <c r="K1834" s="78">
        <v>1016.23</v>
      </c>
      <c r="M1834" s="79" t="str">
        <f t="shared" si="86"/>
        <v>340-7475</v>
      </c>
      <c r="N1834" s="79" t="str">
        <f t="shared" si="84"/>
        <v/>
      </c>
      <c r="O1834" s="79" t="str">
        <f t="shared" si="85"/>
        <v>340</v>
      </c>
      <c r="P1834" s="79" t="str">
        <f>IFERROR(VLOOKUP($M1834,Export!$P:$R,2,FALSE),"-")</f>
        <v>Admin &amp; Other</v>
      </c>
      <c r="Q1834" s="79" t="str">
        <f>IFERROR(VLOOKUP($M1834,Export!$P:$R,3,FALSE),"-")</f>
        <v>Admin &amp; OtherR&amp;M and Cleaning as % of Total Gross Profit</v>
      </c>
      <c r="R1834" s="80" t="e" cm="1">
        <f t="array" ref="R1834">_xlfn.IFS(P1834="Service", _xlfn.IFS(I1834="SALES","GP",I1834="SERVICE SALES","GP",I1834="PARTS SALES","GP",I1834="SERVICE COS","GP",I1834="PARTS COS","GP",I1834="SELLING EXPENSES","Selling Expenses",I1834="EMPLOYMENT EXPENSES","Selling Expenses",I1834="EMPLOYMENT EXPENSES","Selling Expenses",I1834="DIRECT EXPENSES","Selling Expenses",I1834="INDIRECT EXPENSES","Selling Expenses"),P1834="Parts",_xlfn.IFS(I1834="SALES","GP",I1834="SERVICE SALES","GP",I1834="PARTS SALES","GP",I1834="SERVICE COS","GP",I1834="PARTS COS","GP",I1834="SELLING EXPENSES","Selling Expenses",I1834="EMPLOYMENT EXPENSES","Selling Expenses",I1834="EMPLOYMENT EXPENSES","Selling Expenses",I1834="DIRECT EXPENSES","Selling Expenses",I1834="INDIRECT EXPENSES","Selling Expenses"))</f>
        <v>#N/A</v>
      </c>
    </row>
    <row r="1835" spans="1:18" x14ac:dyDescent="0.2">
      <c r="A1835" s="75">
        <v>7475</v>
      </c>
      <c r="B1835" s="76" t="s">
        <v>975</v>
      </c>
      <c r="C1835" s="76">
        <v>430</v>
      </c>
      <c r="D1835" s="76" t="s">
        <v>458</v>
      </c>
      <c r="E1835" s="76" t="s">
        <v>426</v>
      </c>
      <c r="F1835" s="77">
        <v>2716.64</v>
      </c>
      <c r="G1835" s="77">
        <v>359.28</v>
      </c>
      <c r="H1835" s="77">
        <v>3075.92</v>
      </c>
      <c r="I1835" s="76" t="s">
        <v>968</v>
      </c>
      <c r="J1835" s="77">
        <v>200</v>
      </c>
      <c r="K1835" s="78">
        <v>2543.13</v>
      </c>
      <c r="M1835" s="79" t="str">
        <f t="shared" si="86"/>
        <v>430-7475</v>
      </c>
      <c r="N1835" s="79" t="str">
        <f t="shared" si="84"/>
        <v/>
      </c>
      <c r="O1835" s="79" t="str">
        <f t="shared" si="85"/>
        <v>430</v>
      </c>
      <c r="P1835" s="79" t="str">
        <f>IFERROR(VLOOKUP($M1835,Export!$P:$R,2,FALSE),"-")</f>
        <v>Admin &amp; Other</v>
      </c>
      <c r="Q1835" s="79" t="str">
        <f>IFERROR(VLOOKUP($M1835,Export!$P:$R,3,FALSE),"-")</f>
        <v>Admin &amp; OtherR&amp;M and Cleaning as % of Total Gross Profit</v>
      </c>
      <c r="R1835" s="80" t="e" cm="1">
        <f t="array" ref="R1835">_xlfn.IFS(P1835="Service", _xlfn.IFS(I1835="SALES","GP",I1835="SERVICE SALES","GP",I1835="PARTS SALES","GP",I1835="SERVICE COS","GP",I1835="PARTS COS","GP",I1835="SELLING EXPENSES","Selling Expenses",I1835="EMPLOYMENT EXPENSES","Selling Expenses",I1835="EMPLOYMENT EXPENSES","Selling Expenses",I1835="DIRECT EXPENSES","Selling Expenses",I1835="INDIRECT EXPENSES","Selling Expenses"),P1835="Parts",_xlfn.IFS(I1835="SALES","GP",I1835="SERVICE SALES","GP",I1835="PARTS SALES","GP",I1835="SERVICE COS","GP",I1835="PARTS COS","GP",I1835="SELLING EXPENSES","Selling Expenses",I1835="EMPLOYMENT EXPENSES","Selling Expenses",I1835="EMPLOYMENT EXPENSES","Selling Expenses",I1835="DIRECT EXPENSES","Selling Expenses",I1835="INDIRECT EXPENSES","Selling Expenses"))</f>
        <v>#N/A</v>
      </c>
    </row>
    <row r="1836" spans="1:18" x14ac:dyDescent="0.2">
      <c r="A1836" s="75">
        <v>7475</v>
      </c>
      <c r="B1836" s="76" t="s">
        <v>975</v>
      </c>
      <c r="C1836" s="76">
        <v>440</v>
      </c>
      <c r="D1836" s="76" t="s">
        <v>441</v>
      </c>
      <c r="E1836" s="76" t="s">
        <v>426</v>
      </c>
      <c r="F1836" s="77">
        <v>3290.08</v>
      </c>
      <c r="G1836" s="77">
        <v>355.98</v>
      </c>
      <c r="H1836" s="77">
        <v>3646.06</v>
      </c>
      <c r="I1836" s="76" t="s">
        <v>968</v>
      </c>
      <c r="J1836" s="77">
        <v>300</v>
      </c>
      <c r="K1836" s="78">
        <v>3254.1</v>
      </c>
      <c r="M1836" s="79" t="str">
        <f t="shared" si="86"/>
        <v>440-7475</v>
      </c>
      <c r="N1836" s="79" t="str">
        <f t="shared" si="84"/>
        <v/>
      </c>
      <c r="O1836" s="79" t="str">
        <f t="shared" si="85"/>
        <v>440</v>
      </c>
      <c r="P1836" s="79" t="str">
        <f>IFERROR(VLOOKUP($M1836,Export!$P:$R,2,FALSE),"-")</f>
        <v>Admin &amp; Other</v>
      </c>
      <c r="Q1836" s="79" t="str">
        <f>IFERROR(VLOOKUP($M1836,Export!$P:$R,3,FALSE),"-")</f>
        <v>Admin &amp; OtherR&amp;M and Cleaning as % of Total Gross Profit</v>
      </c>
      <c r="R1836" s="80" t="e" cm="1">
        <f t="array" ref="R1836">_xlfn.IFS(P1836="Service", _xlfn.IFS(I1836="SALES","GP",I1836="SERVICE SALES","GP",I1836="PARTS SALES","GP",I1836="SERVICE COS","GP",I1836="PARTS COS","GP",I1836="SELLING EXPENSES","Selling Expenses",I1836="EMPLOYMENT EXPENSES","Selling Expenses",I1836="EMPLOYMENT EXPENSES","Selling Expenses",I1836="DIRECT EXPENSES","Selling Expenses",I1836="INDIRECT EXPENSES","Selling Expenses"),P1836="Parts",_xlfn.IFS(I1836="SALES","GP",I1836="SERVICE SALES","GP",I1836="PARTS SALES","GP",I1836="SERVICE COS","GP",I1836="PARTS COS","GP",I1836="SELLING EXPENSES","Selling Expenses",I1836="EMPLOYMENT EXPENSES","Selling Expenses",I1836="EMPLOYMENT EXPENSES","Selling Expenses",I1836="DIRECT EXPENSES","Selling Expenses",I1836="INDIRECT EXPENSES","Selling Expenses"))</f>
        <v>#N/A</v>
      </c>
    </row>
    <row r="1837" spans="1:18" x14ac:dyDescent="0.2">
      <c r="A1837" s="75">
        <v>7475</v>
      </c>
      <c r="B1837" s="76" t="s">
        <v>975</v>
      </c>
      <c r="C1837" s="76">
        <v>935</v>
      </c>
      <c r="D1837" s="76" t="s">
        <v>442</v>
      </c>
      <c r="E1837" s="76" t="s">
        <v>426</v>
      </c>
      <c r="F1837" s="77">
        <v>997.95</v>
      </c>
      <c r="G1837" s="77">
        <v>74.72</v>
      </c>
      <c r="H1837" s="77">
        <v>1072.67</v>
      </c>
      <c r="I1837" s="76" t="s">
        <v>968</v>
      </c>
      <c r="J1837" s="77">
        <v>100</v>
      </c>
      <c r="K1837" s="78">
        <v>1027.04</v>
      </c>
      <c r="M1837" s="79" t="str">
        <f t="shared" si="86"/>
        <v>935-7475</v>
      </c>
      <c r="N1837" s="79" t="str">
        <f t="shared" si="84"/>
        <v/>
      </c>
      <c r="O1837" s="79" t="str">
        <f t="shared" si="85"/>
        <v>935</v>
      </c>
      <c r="P1837" s="79" t="str">
        <f>IFERROR(VLOOKUP($M1837,Export!$P:$R,2,FALSE),"-")</f>
        <v>LEX Admin &amp; Other</v>
      </c>
      <c r="Q1837" s="79" t="str">
        <f>IFERROR(VLOOKUP($M1837,Export!$P:$R,3,FALSE),"-")</f>
        <v>LEX Admin &amp; OtherR&amp;M and Cleaning as % of Total Gross Profit</v>
      </c>
      <c r="R1837" s="80" t="e" cm="1">
        <f t="array" ref="R1837">_xlfn.IFS(P1837="Service", _xlfn.IFS(I1837="SALES","GP",I1837="SERVICE SALES","GP",I1837="PARTS SALES","GP",I1837="SERVICE COS","GP",I1837="PARTS COS","GP",I1837="SELLING EXPENSES","Selling Expenses",I1837="EMPLOYMENT EXPENSES","Selling Expenses",I1837="EMPLOYMENT EXPENSES","Selling Expenses",I1837="DIRECT EXPENSES","Selling Expenses",I1837="INDIRECT EXPENSES","Selling Expenses"),P1837="Parts",_xlfn.IFS(I1837="SALES","GP",I1837="SERVICE SALES","GP",I1837="PARTS SALES","GP",I1837="SERVICE COS","GP",I1837="PARTS COS","GP",I1837="SELLING EXPENSES","Selling Expenses",I1837="EMPLOYMENT EXPENSES","Selling Expenses",I1837="EMPLOYMENT EXPENSES","Selling Expenses",I1837="DIRECT EXPENSES","Selling Expenses",I1837="INDIRECT EXPENSES","Selling Expenses"))</f>
        <v>#N/A</v>
      </c>
    </row>
    <row r="1838" spans="1:18" x14ac:dyDescent="0.2">
      <c r="A1838" s="75">
        <v>7475</v>
      </c>
      <c r="B1838" s="76" t="s">
        <v>975</v>
      </c>
      <c r="C1838" s="76">
        <v>936</v>
      </c>
      <c r="D1838" s="76" t="s">
        <v>443</v>
      </c>
      <c r="E1838" s="76" t="s">
        <v>426</v>
      </c>
      <c r="F1838" s="77">
        <v>40.06</v>
      </c>
      <c r="G1838" s="77">
        <v>0</v>
      </c>
      <c r="H1838" s="77">
        <v>40.06</v>
      </c>
      <c r="I1838" s="76" t="s">
        <v>968</v>
      </c>
      <c r="J1838" s="77">
        <v>100</v>
      </c>
      <c r="K1838" s="78">
        <v>1089.18</v>
      </c>
      <c r="M1838" s="79" t="str">
        <f t="shared" si="86"/>
        <v>936-7475</v>
      </c>
      <c r="N1838" s="79" t="str">
        <f t="shared" si="84"/>
        <v/>
      </c>
      <c r="O1838" s="79" t="str">
        <f t="shared" si="85"/>
        <v>936</v>
      </c>
      <c r="P1838" s="79" t="str">
        <f>IFERROR(VLOOKUP($M1838,Export!$P:$R,2,FALSE),"-")</f>
        <v>LEX Admin &amp; Other</v>
      </c>
      <c r="Q1838" s="79" t="str">
        <f>IFERROR(VLOOKUP($M1838,Export!$P:$R,3,FALSE),"-")</f>
        <v>LEX Admin &amp; OtherR&amp;M and Cleaning as % of Total Gross Profit</v>
      </c>
      <c r="R1838" s="80" t="e" cm="1">
        <f t="array" ref="R1838">_xlfn.IFS(P1838="Service", _xlfn.IFS(I1838="SALES","GP",I1838="SERVICE SALES","GP",I1838="PARTS SALES","GP",I1838="SERVICE COS","GP",I1838="PARTS COS","GP",I1838="SELLING EXPENSES","Selling Expenses",I1838="EMPLOYMENT EXPENSES","Selling Expenses",I1838="EMPLOYMENT EXPENSES","Selling Expenses",I1838="DIRECT EXPENSES","Selling Expenses",I1838="INDIRECT EXPENSES","Selling Expenses"),P1838="Parts",_xlfn.IFS(I1838="SALES","GP",I1838="SERVICE SALES","GP",I1838="PARTS SALES","GP",I1838="SERVICE COS","GP",I1838="PARTS COS","GP",I1838="SELLING EXPENSES","Selling Expenses",I1838="EMPLOYMENT EXPENSES","Selling Expenses",I1838="EMPLOYMENT EXPENSES","Selling Expenses",I1838="DIRECT EXPENSES","Selling Expenses",I1838="INDIRECT EXPENSES","Selling Expenses"))</f>
        <v>#N/A</v>
      </c>
    </row>
    <row r="1839" spans="1:18" x14ac:dyDescent="0.2">
      <c r="A1839" s="75">
        <v>7520</v>
      </c>
      <c r="B1839" s="76" t="s">
        <v>133</v>
      </c>
      <c r="C1839" s="76">
        <v>110</v>
      </c>
      <c r="D1839" s="76" t="s">
        <v>430</v>
      </c>
      <c r="E1839" s="76" t="s">
        <v>426</v>
      </c>
      <c r="F1839" s="77">
        <v>2321.75</v>
      </c>
      <c r="G1839" s="77">
        <v>248.58</v>
      </c>
      <c r="H1839" s="77">
        <v>2570.33</v>
      </c>
      <c r="I1839" s="76" t="s">
        <v>968</v>
      </c>
      <c r="J1839" s="77">
        <v>1250</v>
      </c>
      <c r="K1839" s="78">
        <v>10529.75</v>
      </c>
      <c r="M1839" s="79" t="str">
        <f t="shared" si="86"/>
        <v>110-7520</v>
      </c>
      <c r="N1839" s="79" t="str">
        <f t="shared" si="84"/>
        <v/>
      </c>
      <c r="O1839" s="79" t="str">
        <f t="shared" si="85"/>
        <v>110</v>
      </c>
      <c r="P1839" s="79" t="str">
        <f>IFERROR(VLOOKUP($M1839,Export!$P:$R,2,FALSE),"-")</f>
        <v>Admin &amp; Other</v>
      </c>
      <c r="Q1839" s="79" t="str">
        <f>IFERROR(VLOOKUP($M1839,Export!$P:$R,3,FALSE),"-")</f>
        <v>Admin &amp; OtherOther Overheads as % of Total Gross Profit</v>
      </c>
      <c r="R1839" s="80" t="e" cm="1">
        <f t="array" ref="R1839">_xlfn.IFS(P1839="Service", _xlfn.IFS(I1839="SALES","GP",I1839="SERVICE SALES","GP",I1839="PARTS SALES","GP",I1839="SERVICE COS","GP",I1839="PARTS COS","GP",I1839="SELLING EXPENSES","Selling Expenses",I1839="EMPLOYMENT EXPENSES","Selling Expenses",I1839="EMPLOYMENT EXPENSES","Selling Expenses",I1839="DIRECT EXPENSES","Selling Expenses",I1839="INDIRECT EXPENSES","Selling Expenses"),P1839="Parts",_xlfn.IFS(I1839="SALES","GP",I1839="SERVICE SALES","GP",I1839="PARTS SALES","GP",I1839="SERVICE COS","GP",I1839="PARTS COS","GP",I1839="SELLING EXPENSES","Selling Expenses",I1839="EMPLOYMENT EXPENSES","Selling Expenses",I1839="EMPLOYMENT EXPENSES","Selling Expenses",I1839="DIRECT EXPENSES","Selling Expenses",I1839="INDIRECT EXPENSES","Selling Expenses"))</f>
        <v>#N/A</v>
      </c>
    </row>
    <row r="1840" spans="1:18" x14ac:dyDescent="0.2">
      <c r="A1840" s="75">
        <v>7520</v>
      </c>
      <c r="B1840" s="76" t="s">
        <v>133</v>
      </c>
      <c r="C1840" s="76">
        <v>112</v>
      </c>
      <c r="D1840" s="76" t="s">
        <v>349</v>
      </c>
      <c r="E1840" s="76" t="s">
        <v>426</v>
      </c>
      <c r="F1840" s="77">
        <v>2973.42</v>
      </c>
      <c r="G1840" s="77">
        <v>3758.69</v>
      </c>
      <c r="H1840" s="77">
        <v>6732.11</v>
      </c>
      <c r="I1840" s="76" t="s">
        <v>968</v>
      </c>
      <c r="J1840" s="77">
        <v>750</v>
      </c>
      <c r="K1840" s="78">
        <v>6117.85</v>
      </c>
      <c r="M1840" s="79" t="str">
        <f t="shared" si="86"/>
        <v>112-7520</v>
      </c>
      <c r="N1840" s="79" t="str">
        <f t="shared" si="84"/>
        <v/>
      </c>
      <c r="O1840" s="79" t="str">
        <f t="shared" si="85"/>
        <v>112</v>
      </c>
      <c r="P1840" s="79" t="str">
        <f>IFERROR(VLOOKUP($M1840,Export!$P:$R,2,FALSE),"-")</f>
        <v>LEX Admin &amp; Other</v>
      </c>
      <c r="Q1840" s="79" t="str">
        <f>IFERROR(VLOOKUP($M1840,Export!$P:$R,3,FALSE),"-")</f>
        <v>LEX Admin &amp; OtherOther Overheads as % of Total Gross Profit</v>
      </c>
      <c r="R1840" s="80" t="e" cm="1">
        <f t="array" ref="R1840">_xlfn.IFS(P1840="Service", _xlfn.IFS(I1840="SALES","GP",I1840="SERVICE SALES","GP",I1840="PARTS SALES","GP",I1840="SERVICE COS","GP",I1840="PARTS COS","GP",I1840="SELLING EXPENSES","Selling Expenses",I1840="EMPLOYMENT EXPENSES","Selling Expenses",I1840="EMPLOYMENT EXPENSES","Selling Expenses",I1840="DIRECT EXPENSES","Selling Expenses",I1840="INDIRECT EXPENSES","Selling Expenses"),P1840="Parts",_xlfn.IFS(I1840="SALES","GP",I1840="SERVICE SALES","GP",I1840="PARTS SALES","GP",I1840="SERVICE COS","GP",I1840="PARTS COS","GP",I1840="SELLING EXPENSES","Selling Expenses",I1840="EMPLOYMENT EXPENSES","Selling Expenses",I1840="EMPLOYMENT EXPENSES","Selling Expenses",I1840="DIRECT EXPENSES","Selling Expenses",I1840="INDIRECT EXPENSES","Selling Expenses"))</f>
        <v>#N/A</v>
      </c>
    </row>
    <row r="1841" spans="1:18" x14ac:dyDescent="0.2">
      <c r="A1841" s="75">
        <v>7520</v>
      </c>
      <c r="B1841" s="76" t="s">
        <v>133</v>
      </c>
      <c r="C1841" s="76">
        <v>120</v>
      </c>
      <c r="D1841" s="76" t="s">
        <v>431</v>
      </c>
      <c r="E1841" s="76" t="s">
        <v>426</v>
      </c>
      <c r="F1841" s="77">
        <v>2654.18</v>
      </c>
      <c r="G1841" s="77">
        <v>298.38</v>
      </c>
      <c r="H1841" s="77">
        <v>2952.56</v>
      </c>
      <c r="I1841" s="76" t="s">
        <v>968</v>
      </c>
      <c r="J1841" s="77">
        <v>875</v>
      </c>
      <c r="K1841" s="78">
        <v>7414.93</v>
      </c>
      <c r="M1841" s="79" t="str">
        <f t="shared" si="86"/>
        <v>120-7520</v>
      </c>
      <c r="N1841" s="79" t="str">
        <f t="shared" si="84"/>
        <v/>
      </c>
      <c r="O1841" s="79" t="str">
        <f t="shared" si="85"/>
        <v>120</v>
      </c>
      <c r="P1841" s="79" t="str">
        <f>IFERROR(VLOOKUP($M1841,Export!$P:$R,2,FALSE),"-")</f>
        <v>Admin &amp; Other</v>
      </c>
      <c r="Q1841" s="79" t="str">
        <f>IFERROR(VLOOKUP($M1841,Export!$P:$R,3,FALSE),"-")</f>
        <v>Admin &amp; OtherOther Overheads as % of Total Gross Profit</v>
      </c>
      <c r="R1841" s="80" t="e" cm="1">
        <f t="array" ref="R1841">_xlfn.IFS(P1841="Service", _xlfn.IFS(I1841="SALES","GP",I1841="SERVICE SALES","GP",I1841="PARTS SALES","GP",I1841="SERVICE COS","GP",I1841="PARTS COS","GP",I1841="SELLING EXPENSES","Selling Expenses",I1841="EMPLOYMENT EXPENSES","Selling Expenses",I1841="EMPLOYMENT EXPENSES","Selling Expenses",I1841="DIRECT EXPENSES","Selling Expenses",I1841="INDIRECT EXPENSES","Selling Expenses"),P1841="Parts",_xlfn.IFS(I1841="SALES","GP",I1841="SERVICE SALES","GP",I1841="PARTS SALES","GP",I1841="SERVICE COS","GP",I1841="PARTS COS","GP",I1841="SELLING EXPENSES","Selling Expenses",I1841="EMPLOYMENT EXPENSES","Selling Expenses",I1841="EMPLOYMENT EXPENSES","Selling Expenses",I1841="DIRECT EXPENSES","Selling Expenses",I1841="INDIRECT EXPENSES","Selling Expenses"))</f>
        <v>#N/A</v>
      </c>
    </row>
    <row r="1842" spans="1:18" x14ac:dyDescent="0.2">
      <c r="A1842" s="75">
        <v>7520</v>
      </c>
      <c r="B1842" s="76" t="s">
        <v>133</v>
      </c>
      <c r="C1842" s="76">
        <v>121</v>
      </c>
      <c r="D1842" s="76" t="s">
        <v>449</v>
      </c>
      <c r="E1842" s="76" t="s">
        <v>426</v>
      </c>
      <c r="F1842" s="77">
        <v>303.39</v>
      </c>
      <c r="G1842" s="77">
        <v>0</v>
      </c>
      <c r="H1842" s="77">
        <v>303.39</v>
      </c>
      <c r="I1842" s="76" t="s">
        <v>968</v>
      </c>
      <c r="J1842" s="77">
        <v>1000</v>
      </c>
      <c r="K1842" s="78">
        <v>8255.01</v>
      </c>
      <c r="M1842" s="79" t="str">
        <f t="shared" si="86"/>
        <v>121-7520</v>
      </c>
      <c r="N1842" s="79" t="str">
        <f t="shared" si="84"/>
        <v/>
      </c>
      <c r="O1842" s="79" t="str">
        <f t="shared" si="85"/>
        <v>121</v>
      </c>
      <c r="P1842" s="79" t="str">
        <f>IFERROR(VLOOKUP($M1842,Export!$P:$R,2,FALSE),"-")</f>
        <v>Admin &amp; Other</v>
      </c>
      <c r="Q1842" s="79" t="str">
        <f>IFERROR(VLOOKUP($M1842,Export!$P:$R,3,FALSE),"-")</f>
        <v>Admin &amp; OtherOther Overheads as % of Total Gross Profit</v>
      </c>
      <c r="R1842" s="80" t="e" cm="1">
        <f t="array" ref="R1842">_xlfn.IFS(P1842="Service", _xlfn.IFS(I1842="SALES","GP",I1842="SERVICE SALES","GP",I1842="PARTS SALES","GP",I1842="SERVICE COS","GP",I1842="PARTS COS","GP",I1842="SELLING EXPENSES","Selling Expenses",I1842="EMPLOYMENT EXPENSES","Selling Expenses",I1842="EMPLOYMENT EXPENSES","Selling Expenses",I1842="DIRECT EXPENSES","Selling Expenses",I1842="INDIRECT EXPENSES","Selling Expenses"),P1842="Parts",_xlfn.IFS(I1842="SALES","GP",I1842="SERVICE SALES","GP",I1842="PARTS SALES","GP",I1842="SERVICE COS","GP",I1842="PARTS COS","GP",I1842="SELLING EXPENSES","Selling Expenses",I1842="EMPLOYMENT EXPENSES","Selling Expenses",I1842="EMPLOYMENT EXPENSES","Selling Expenses",I1842="DIRECT EXPENSES","Selling Expenses",I1842="INDIRECT EXPENSES","Selling Expenses"))</f>
        <v>#N/A</v>
      </c>
    </row>
    <row r="1843" spans="1:18" x14ac:dyDescent="0.2">
      <c r="A1843" s="75">
        <v>7520</v>
      </c>
      <c r="B1843" s="76" t="s">
        <v>133</v>
      </c>
      <c r="C1843" s="76">
        <v>130</v>
      </c>
      <c r="D1843" s="76" t="s">
        <v>432</v>
      </c>
      <c r="E1843" s="76" t="s">
        <v>426</v>
      </c>
      <c r="F1843" s="77">
        <v>2766.57</v>
      </c>
      <c r="G1843" s="77">
        <v>664.24</v>
      </c>
      <c r="H1843" s="77">
        <v>3430.81</v>
      </c>
      <c r="I1843" s="76" t="s">
        <v>968</v>
      </c>
      <c r="J1843" s="77">
        <v>800</v>
      </c>
      <c r="K1843" s="78">
        <v>8197.4599999999991</v>
      </c>
      <c r="M1843" s="79" t="str">
        <f t="shared" si="86"/>
        <v>130-7520</v>
      </c>
      <c r="N1843" s="79" t="str">
        <f t="shared" si="84"/>
        <v/>
      </c>
      <c r="O1843" s="79" t="str">
        <f t="shared" si="85"/>
        <v>130</v>
      </c>
      <c r="P1843" s="79" t="str">
        <f>IFERROR(VLOOKUP($M1843,Export!$P:$R,2,FALSE),"-")</f>
        <v>Admin &amp; Other</v>
      </c>
      <c r="Q1843" s="79" t="str">
        <f>IFERROR(VLOOKUP($M1843,Export!$P:$R,3,FALSE),"-")</f>
        <v>Admin &amp; OtherOther Overheads as % of Total Gross Profit</v>
      </c>
      <c r="R1843" s="80" t="e" cm="1">
        <f t="array" ref="R1843">_xlfn.IFS(P1843="Service", _xlfn.IFS(I1843="SALES","GP",I1843="SERVICE SALES","GP",I1843="PARTS SALES","GP",I1843="SERVICE COS","GP",I1843="PARTS COS","GP",I1843="SELLING EXPENSES","Selling Expenses",I1843="EMPLOYMENT EXPENSES","Selling Expenses",I1843="EMPLOYMENT EXPENSES","Selling Expenses",I1843="DIRECT EXPENSES","Selling Expenses",I1843="INDIRECT EXPENSES","Selling Expenses"),P1843="Parts",_xlfn.IFS(I1843="SALES","GP",I1843="SERVICE SALES","GP",I1843="PARTS SALES","GP",I1843="SERVICE COS","GP",I1843="PARTS COS","GP",I1843="SELLING EXPENSES","Selling Expenses",I1843="EMPLOYMENT EXPENSES","Selling Expenses",I1843="EMPLOYMENT EXPENSES","Selling Expenses",I1843="DIRECT EXPENSES","Selling Expenses",I1843="INDIRECT EXPENSES","Selling Expenses"))</f>
        <v>#N/A</v>
      </c>
    </row>
    <row r="1844" spans="1:18" x14ac:dyDescent="0.2">
      <c r="A1844" s="75">
        <v>7520</v>
      </c>
      <c r="B1844" s="76" t="s">
        <v>133</v>
      </c>
      <c r="C1844" s="76">
        <v>140</v>
      </c>
      <c r="D1844" s="76" t="s">
        <v>433</v>
      </c>
      <c r="E1844" s="76" t="s">
        <v>426</v>
      </c>
      <c r="F1844" s="77">
        <v>1819.27</v>
      </c>
      <c r="G1844" s="77">
        <v>248.58</v>
      </c>
      <c r="H1844" s="77">
        <v>2067.85</v>
      </c>
      <c r="I1844" s="76" t="s">
        <v>968</v>
      </c>
      <c r="J1844" s="77">
        <v>800</v>
      </c>
      <c r="K1844" s="78">
        <v>8251.6200000000008</v>
      </c>
      <c r="M1844" s="79" t="str">
        <f t="shared" si="86"/>
        <v>140-7520</v>
      </c>
      <c r="N1844" s="79" t="str">
        <f t="shared" si="84"/>
        <v/>
      </c>
      <c r="O1844" s="79" t="str">
        <f t="shared" si="85"/>
        <v>140</v>
      </c>
      <c r="P1844" s="79" t="str">
        <f>IFERROR(VLOOKUP($M1844,Export!$P:$R,2,FALSE),"-")</f>
        <v>Admin &amp; Other</v>
      </c>
      <c r="Q1844" s="79" t="str">
        <f>IFERROR(VLOOKUP($M1844,Export!$P:$R,3,FALSE),"-")</f>
        <v>Admin &amp; OtherOther Overheads as % of Total Gross Profit</v>
      </c>
      <c r="R1844" s="80" t="e" cm="1">
        <f t="array" ref="R1844">_xlfn.IFS(P1844="Service", _xlfn.IFS(I1844="SALES","GP",I1844="SERVICE SALES","GP",I1844="PARTS SALES","GP",I1844="SERVICE COS","GP",I1844="PARTS COS","GP",I1844="SELLING EXPENSES","Selling Expenses",I1844="EMPLOYMENT EXPENSES","Selling Expenses",I1844="EMPLOYMENT EXPENSES","Selling Expenses",I1844="DIRECT EXPENSES","Selling Expenses",I1844="INDIRECT EXPENSES","Selling Expenses"),P1844="Parts",_xlfn.IFS(I1844="SALES","GP",I1844="SERVICE SALES","GP",I1844="PARTS SALES","GP",I1844="SERVICE COS","GP",I1844="PARTS COS","GP",I1844="SELLING EXPENSES","Selling Expenses",I1844="EMPLOYMENT EXPENSES","Selling Expenses",I1844="EMPLOYMENT EXPENSES","Selling Expenses",I1844="DIRECT EXPENSES","Selling Expenses",I1844="INDIRECT EXPENSES","Selling Expenses"))</f>
        <v>#N/A</v>
      </c>
    </row>
    <row r="1845" spans="1:18" x14ac:dyDescent="0.2">
      <c r="A1845" s="75">
        <v>7520</v>
      </c>
      <c r="B1845" s="76" t="s">
        <v>133</v>
      </c>
      <c r="C1845" s="76">
        <v>147</v>
      </c>
      <c r="D1845" s="76" t="s">
        <v>699</v>
      </c>
      <c r="E1845" s="76" t="s">
        <v>426</v>
      </c>
      <c r="F1845" s="77">
        <v>0</v>
      </c>
      <c r="G1845" s="77">
        <v>0</v>
      </c>
      <c r="H1845" s="77">
        <v>0</v>
      </c>
      <c r="I1845" s="76" t="s">
        <v>968</v>
      </c>
      <c r="J1845" s="77">
        <v>300</v>
      </c>
      <c r="K1845" s="78">
        <v>3180.05</v>
      </c>
      <c r="M1845" s="79" t="str">
        <f t="shared" si="86"/>
        <v>147-7520</v>
      </c>
      <c r="N1845" s="79" t="str">
        <f t="shared" si="84"/>
        <v/>
      </c>
      <c r="O1845" s="79" t="str">
        <f t="shared" si="85"/>
        <v>147</v>
      </c>
      <c r="P1845" s="79" t="str">
        <f>IFERROR(VLOOKUP($M1845,Export!$P:$R,2,FALSE),"-")</f>
        <v>Admin &amp; Other</v>
      </c>
      <c r="Q1845" s="79" t="str">
        <f>IFERROR(VLOOKUP($M1845,Export!$P:$R,3,FALSE),"-")</f>
        <v>Admin &amp; OtherOther Overheads as % of Total Gross Profit</v>
      </c>
      <c r="R1845" s="80" t="e" cm="1">
        <f t="array" ref="R1845">_xlfn.IFS(P1845="Service", _xlfn.IFS(I1845="SALES","GP",I1845="SERVICE SALES","GP",I1845="PARTS SALES","GP",I1845="SERVICE COS","GP",I1845="PARTS COS","GP",I1845="SELLING EXPENSES","Selling Expenses",I1845="EMPLOYMENT EXPENSES","Selling Expenses",I1845="EMPLOYMENT EXPENSES","Selling Expenses",I1845="DIRECT EXPENSES","Selling Expenses",I1845="INDIRECT EXPENSES","Selling Expenses"),P1845="Parts",_xlfn.IFS(I1845="SALES","GP",I1845="SERVICE SALES","GP",I1845="PARTS SALES","GP",I1845="SERVICE COS","GP",I1845="PARTS COS","GP",I1845="SELLING EXPENSES","Selling Expenses",I1845="EMPLOYMENT EXPENSES","Selling Expenses",I1845="EMPLOYMENT EXPENSES","Selling Expenses",I1845="DIRECT EXPENSES","Selling Expenses",I1845="INDIRECT EXPENSES","Selling Expenses"))</f>
        <v>#N/A</v>
      </c>
    </row>
    <row r="1846" spans="1:18" x14ac:dyDescent="0.2">
      <c r="A1846" s="75">
        <v>7520</v>
      </c>
      <c r="B1846" s="76" t="s">
        <v>133</v>
      </c>
      <c r="C1846" s="76">
        <v>150</v>
      </c>
      <c r="D1846" s="76" t="s">
        <v>700</v>
      </c>
      <c r="E1846" s="76" t="s">
        <v>426</v>
      </c>
      <c r="F1846" s="77">
        <v>93</v>
      </c>
      <c r="G1846" s="77">
        <v>0</v>
      </c>
      <c r="H1846" s="77">
        <v>93</v>
      </c>
      <c r="I1846" s="76" t="s">
        <v>968</v>
      </c>
      <c r="J1846" s="77">
        <v>0</v>
      </c>
      <c r="K1846" s="78">
        <v>0</v>
      </c>
      <c r="M1846" s="79" t="str">
        <f t="shared" si="86"/>
        <v>150-7520</v>
      </c>
      <c r="N1846" s="79" t="str">
        <f t="shared" si="84"/>
        <v/>
      </c>
      <c r="O1846" s="79" t="str">
        <f t="shared" si="85"/>
        <v>150</v>
      </c>
      <c r="P1846" s="79" t="str">
        <f>IFERROR(VLOOKUP($M1846,Export!$P:$R,2,FALSE),"-")</f>
        <v>LEX Admin &amp; Other</v>
      </c>
      <c r="Q1846" s="79" t="str">
        <f>IFERROR(VLOOKUP($M1846,Export!$P:$R,3,FALSE),"-")</f>
        <v>LEX Admin &amp; OtherOther Overheads as % of Total Gross Profit</v>
      </c>
      <c r="R1846" s="80" t="e" cm="1">
        <f t="array" ref="R1846">_xlfn.IFS(P1846="Service", _xlfn.IFS(I1846="SALES","GP",I1846="SERVICE SALES","GP",I1846="PARTS SALES","GP",I1846="SERVICE COS","GP",I1846="PARTS COS","GP",I1846="SELLING EXPENSES","Selling Expenses",I1846="EMPLOYMENT EXPENSES","Selling Expenses",I1846="EMPLOYMENT EXPENSES","Selling Expenses",I1846="DIRECT EXPENSES","Selling Expenses",I1846="INDIRECT EXPENSES","Selling Expenses"),P1846="Parts",_xlfn.IFS(I1846="SALES","GP",I1846="SERVICE SALES","GP",I1846="PARTS SALES","GP",I1846="SERVICE COS","GP",I1846="PARTS COS","GP",I1846="SELLING EXPENSES","Selling Expenses",I1846="EMPLOYMENT EXPENSES","Selling Expenses",I1846="EMPLOYMENT EXPENSES","Selling Expenses",I1846="DIRECT EXPENSES","Selling Expenses",I1846="INDIRECT EXPENSES","Selling Expenses"))</f>
        <v>#N/A</v>
      </c>
    </row>
    <row r="1847" spans="1:18" x14ac:dyDescent="0.2">
      <c r="A1847" s="75">
        <v>7520</v>
      </c>
      <c r="B1847" s="76" t="s">
        <v>133</v>
      </c>
      <c r="C1847" s="76">
        <v>160</v>
      </c>
      <c r="D1847" s="76" t="s">
        <v>434</v>
      </c>
      <c r="E1847" s="76" t="s">
        <v>426</v>
      </c>
      <c r="F1847" s="77">
        <v>197.01</v>
      </c>
      <c r="G1847" s="77">
        <v>86.96</v>
      </c>
      <c r="H1847" s="77">
        <v>283.97000000000003</v>
      </c>
      <c r="I1847" s="76" t="s">
        <v>968</v>
      </c>
      <c r="J1847" s="77">
        <v>200</v>
      </c>
      <c r="K1847" s="78">
        <v>1998.63</v>
      </c>
      <c r="M1847" s="79" t="str">
        <f t="shared" si="86"/>
        <v>160-7520</v>
      </c>
      <c r="N1847" s="79" t="str">
        <f t="shared" si="84"/>
        <v/>
      </c>
      <c r="O1847" s="79" t="str">
        <f t="shared" si="85"/>
        <v>160</v>
      </c>
      <c r="P1847" s="79" t="str">
        <f>IFERROR(VLOOKUP($M1847,Export!$P:$R,2,FALSE),"-")</f>
        <v>Admin &amp; Other</v>
      </c>
      <c r="Q1847" s="79" t="str">
        <f>IFERROR(VLOOKUP($M1847,Export!$P:$R,3,FALSE),"-")</f>
        <v>Admin &amp; OtherOther Overheads as % of Total Gross Profit</v>
      </c>
      <c r="R1847" s="80" t="e" cm="1">
        <f t="array" ref="R1847">_xlfn.IFS(P1847="Service", _xlfn.IFS(I1847="SALES","GP",I1847="SERVICE SALES","GP",I1847="PARTS SALES","GP",I1847="SERVICE COS","GP",I1847="PARTS COS","GP",I1847="SELLING EXPENSES","Selling Expenses",I1847="EMPLOYMENT EXPENSES","Selling Expenses",I1847="EMPLOYMENT EXPENSES","Selling Expenses",I1847="DIRECT EXPENSES","Selling Expenses",I1847="INDIRECT EXPENSES","Selling Expenses"),P1847="Parts",_xlfn.IFS(I1847="SALES","GP",I1847="SERVICE SALES","GP",I1847="PARTS SALES","GP",I1847="SERVICE COS","GP",I1847="PARTS COS","GP",I1847="SELLING EXPENSES","Selling Expenses",I1847="EMPLOYMENT EXPENSES","Selling Expenses",I1847="EMPLOYMENT EXPENSES","Selling Expenses",I1847="DIRECT EXPENSES","Selling Expenses",I1847="INDIRECT EXPENSES","Selling Expenses"))</f>
        <v>#N/A</v>
      </c>
    </row>
    <row r="1848" spans="1:18" x14ac:dyDescent="0.2">
      <c r="A1848" s="75">
        <v>7520</v>
      </c>
      <c r="B1848" s="76" t="s">
        <v>133</v>
      </c>
      <c r="C1848" s="76">
        <v>190</v>
      </c>
      <c r="D1848" s="76" t="s">
        <v>435</v>
      </c>
      <c r="E1848" s="76" t="s">
        <v>426</v>
      </c>
      <c r="F1848" s="77">
        <v>801.74</v>
      </c>
      <c r="G1848" s="77">
        <v>207.83</v>
      </c>
      <c r="H1848" s="77">
        <v>1009.57</v>
      </c>
      <c r="I1848" s="76" t="s">
        <v>968</v>
      </c>
      <c r="J1848" s="77">
        <v>0</v>
      </c>
      <c r="K1848" s="78">
        <v>0</v>
      </c>
      <c r="M1848" s="79" t="str">
        <f t="shared" si="86"/>
        <v>190-7520</v>
      </c>
      <c r="N1848" s="79" t="str">
        <f t="shared" si="84"/>
        <v/>
      </c>
      <c r="O1848" s="79" t="str">
        <f t="shared" si="85"/>
        <v>190</v>
      </c>
      <c r="P1848" s="79" t="str">
        <f>IFERROR(VLOOKUP($M1848,Export!$P:$R,2,FALSE),"-")</f>
        <v>Admin &amp; Other</v>
      </c>
      <c r="Q1848" s="79" t="str">
        <f>IFERROR(VLOOKUP($M1848,Export!$P:$R,3,FALSE),"-")</f>
        <v>Admin &amp; OtherOther Overheads as % of Total Gross Profit</v>
      </c>
      <c r="R1848" s="80" t="e" cm="1">
        <f t="array" ref="R1848">_xlfn.IFS(P1848="Service", _xlfn.IFS(I1848="SALES","GP",I1848="SERVICE SALES","GP",I1848="PARTS SALES","GP",I1848="SERVICE COS","GP",I1848="PARTS COS","GP",I1848="SELLING EXPENSES","Selling Expenses",I1848="EMPLOYMENT EXPENSES","Selling Expenses",I1848="EMPLOYMENT EXPENSES","Selling Expenses",I1848="DIRECT EXPENSES","Selling Expenses",I1848="INDIRECT EXPENSES","Selling Expenses"),P1848="Parts",_xlfn.IFS(I1848="SALES","GP",I1848="SERVICE SALES","GP",I1848="PARTS SALES","GP",I1848="SERVICE COS","GP",I1848="PARTS COS","GP",I1848="SELLING EXPENSES","Selling Expenses",I1848="EMPLOYMENT EXPENSES","Selling Expenses",I1848="EMPLOYMENT EXPENSES","Selling Expenses",I1848="DIRECT EXPENSES","Selling Expenses",I1848="INDIRECT EXPENSES","Selling Expenses"))</f>
        <v>#N/A</v>
      </c>
    </row>
    <row r="1849" spans="1:18" x14ac:dyDescent="0.2">
      <c r="A1849" s="75">
        <v>7520</v>
      </c>
      <c r="B1849" s="76" t="s">
        <v>133</v>
      </c>
      <c r="C1849" s="76">
        <v>210</v>
      </c>
      <c r="D1849" s="76" t="s">
        <v>436</v>
      </c>
      <c r="E1849" s="76" t="s">
        <v>426</v>
      </c>
      <c r="F1849" s="77">
        <v>3031.49</v>
      </c>
      <c r="G1849" s="77">
        <v>248.58</v>
      </c>
      <c r="H1849" s="77">
        <v>3280.07</v>
      </c>
      <c r="I1849" s="76" t="s">
        <v>968</v>
      </c>
      <c r="J1849" s="77">
        <v>875</v>
      </c>
      <c r="K1849" s="78">
        <v>7195.32</v>
      </c>
      <c r="M1849" s="79" t="str">
        <f t="shared" si="86"/>
        <v>210-7520</v>
      </c>
      <c r="N1849" s="79" t="str">
        <f t="shared" si="84"/>
        <v/>
      </c>
      <c r="O1849" s="79" t="str">
        <f t="shared" si="85"/>
        <v>210</v>
      </c>
      <c r="P1849" s="79" t="str">
        <f>IFERROR(VLOOKUP($M1849,Export!$P:$R,2,FALSE),"-")</f>
        <v>Admin &amp; Other</v>
      </c>
      <c r="Q1849" s="79" t="str">
        <f>IFERROR(VLOOKUP($M1849,Export!$P:$R,3,FALSE),"-")</f>
        <v>Admin &amp; OtherOther Overheads as % of Total Gross Profit</v>
      </c>
      <c r="R1849" s="80" t="e" cm="1">
        <f t="array" ref="R1849">_xlfn.IFS(P1849="Service", _xlfn.IFS(I1849="SALES","GP",I1849="SERVICE SALES","GP",I1849="PARTS SALES","GP",I1849="SERVICE COS","GP",I1849="PARTS COS","GP",I1849="SELLING EXPENSES","Selling Expenses",I1849="EMPLOYMENT EXPENSES","Selling Expenses",I1849="EMPLOYMENT EXPENSES","Selling Expenses",I1849="DIRECT EXPENSES","Selling Expenses",I1849="INDIRECT EXPENSES","Selling Expenses"),P1849="Parts",_xlfn.IFS(I1849="SALES","GP",I1849="SERVICE SALES","GP",I1849="PARTS SALES","GP",I1849="SERVICE COS","GP",I1849="PARTS COS","GP",I1849="SELLING EXPENSES","Selling Expenses",I1849="EMPLOYMENT EXPENSES","Selling Expenses",I1849="EMPLOYMENT EXPENSES","Selling Expenses",I1849="DIRECT EXPENSES","Selling Expenses",I1849="INDIRECT EXPENSES","Selling Expenses"))</f>
        <v>#N/A</v>
      </c>
    </row>
    <row r="1850" spans="1:18" x14ac:dyDescent="0.2">
      <c r="A1850" s="75">
        <v>7520</v>
      </c>
      <c r="B1850" s="76" t="s">
        <v>133</v>
      </c>
      <c r="C1850" s="76">
        <v>220</v>
      </c>
      <c r="D1850" s="76" t="s">
        <v>437</v>
      </c>
      <c r="E1850" s="76" t="s">
        <v>426</v>
      </c>
      <c r="F1850" s="77">
        <v>2312.86</v>
      </c>
      <c r="G1850" s="77">
        <v>1994.23</v>
      </c>
      <c r="H1850" s="77">
        <v>4307.09</v>
      </c>
      <c r="I1850" s="76" t="s">
        <v>968</v>
      </c>
      <c r="J1850" s="77">
        <v>300</v>
      </c>
      <c r="K1850" s="78">
        <v>3449.06</v>
      </c>
      <c r="M1850" s="79" t="str">
        <f t="shared" si="86"/>
        <v>220-7520</v>
      </c>
      <c r="N1850" s="79" t="str">
        <f t="shared" si="84"/>
        <v/>
      </c>
      <c r="O1850" s="79" t="str">
        <f t="shared" si="85"/>
        <v>220</v>
      </c>
      <c r="P1850" s="79" t="str">
        <f>IFERROR(VLOOKUP($M1850,Export!$P:$R,2,FALSE),"-")</f>
        <v>Admin &amp; Other</v>
      </c>
      <c r="Q1850" s="79" t="str">
        <f>IFERROR(VLOOKUP($M1850,Export!$P:$R,3,FALSE),"-")</f>
        <v>Admin &amp; OtherOther Overheads as % of Total Gross Profit</v>
      </c>
      <c r="R1850" s="80" t="e" cm="1">
        <f t="array" ref="R1850">_xlfn.IFS(P1850="Service", _xlfn.IFS(I1850="SALES","GP",I1850="SERVICE SALES","GP",I1850="PARTS SALES","GP",I1850="SERVICE COS","GP",I1850="PARTS COS","GP",I1850="SELLING EXPENSES","Selling Expenses",I1850="EMPLOYMENT EXPENSES","Selling Expenses",I1850="EMPLOYMENT EXPENSES","Selling Expenses",I1850="DIRECT EXPENSES","Selling Expenses",I1850="INDIRECT EXPENSES","Selling Expenses"),P1850="Parts",_xlfn.IFS(I1850="SALES","GP",I1850="SERVICE SALES","GP",I1850="PARTS SALES","GP",I1850="SERVICE COS","GP",I1850="PARTS COS","GP",I1850="SELLING EXPENSES","Selling Expenses",I1850="EMPLOYMENT EXPENSES","Selling Expenses",I1850="EMPLOYMENT EXPENSES","Selling Expenses",I1850="DIRECT EXPENSES","Selling Expenses",I1850="INDIRECT EXPENSES","Selling Expenses"))</f>
        <v>#N/A</v>
      </c>
    </row>
    <row r="1851" spans="1:18" x14ac:dyDescent="0.2">
      <c r="A1851" s="75">
        <v>7520</v>
      </c>
      <c r="B1851" s="76" t="s">
        <v>133</v>
      </c>
      <c r="C1851" s="76">
        <v>230</v>
      </c>
      <c r="D1851" s="76" t="s">
        <v>438</v>
      </c>
      <c r="E1851" s="76" t="s">
        <v>426</v>
      </c>
      <c r="F1851" s="77">
        <v>2735.05</v>
      </c>
      <c r="G1851" s="77">
        <v>880.07</v>
      </c>
      <c r="H1851" s="77">
        <v>3615.12</v>
      </c>
      <c r="I1851" s="76" t="s">
        <v>968</v>
      </c>
      <c r="J1851" s="77">
        <v>300</v>
      </c>
      <c r="K1851" s="78">
        <v>3027.32</v>
      </c>
      <c r="M1851" s="79" t="str">
        <f t="shared" si="86"/>
        <v>230-7520</v>
      </c>
      <c r="N1851" s="79" t="str">
        <f t="shared" si="84"/>
        <v/>
      </c>
      <c r="O1851" s="79" t="str">
        <f t="shared" si="85"/>
        <v>230</v>
      </c>
      <c r="P1851" s="79" t="str">
        <f>IFERROR(VLOOKUP($M1851,Export!$P:$R,2,FALSE),"-")</f>
        <v>Admin &amp; Other</v>
      </c>
      <c r="Q1851" s="79" t="str">
        <f>IFERROR(VLOOKUP($M1851,Export!$P:$R,3,FALSE),"-")</f>
        <v>Admin &amp; OtherOther Overheads as % of Total Gross Profit</v>
      </c>
      <c r="R1851" s="80" t="e" cm="1">
        <f t="array" ref="R1851">_xlfn.IFS(P1851="Service", _xlfn.IFS(I1851="SALES","GP",I1851="SERVICE SALES","GP",I1851="PARTS SALES","GP",I1851="SERVICE COS","GP",I1851="PARTS COS","GP",I1851="SELLING EXPENSES","Selling Expenses",I1851="EMPLOYMENT EXPENSES","Selling Expenses",I1851="EMPLOYMENT EXPENSES","Selling Expenses",I1851="DIRECT EXPENSES","Selling Expenses",I1851="INDIRECT EXPENSES","Selling Expenses"),P1851="Parts",_xlfn.IFS(I1851="SALES","GP",I1851="SERVICE SALES","GP",I1851="PARTS SALES","GP",I1851="SERVICE COS","GP",I1851="PARTS COS","GP",I1851="SELLING EXPENSES","Selling Expenses",I1851="EMPLOYMENT EXPENSES","Selling Expenses",I1851="EMPLOYMENT EXPENSES","Selling Expenses",I1851="DIRECT EXPENSES","Selling Expenses",I1851="INDIRECT EXPENSES","Selling Expenses"))</f>
        <v>#N/A</v>
      </c>
    </row>
    <row r="1852" spans="1:18" x14ac:dyDescent="0.2">
      <c r="A1852" s="75">
        <v>7520</v>
      </c>
      <c r="B1852" s="76" t="s">
        <v>133</v>
      </c>
      <c r="C1852" s="76">
        <v>240</v>
      </c>
      <c r="D1852" s="76" t="s">
        <v>439</v>
      </c>
      <c r="E1852" s="76" t="s">
        <v>426</v>
      </c>
      <c r="F1852" s="77">
        <v>3883.32</v>
      </c>
      <c r="G1852" s="77">
        <v>248.58</v>
      </c>
      <c r="H1852" s="77">
        <v>4131.8999999999996</v>
      </c>
      <c r="I1852" s="76" t="s">
        <v>968</v>
      </c>
      <c r="J1852" s="77">
        <v>500</v>
      </c>
      <c r="K1852" s="78">
        <v>5048.43</v>
      </c>
      <c r="M1852" s="79" t="str">
        <f t="shared" si="86"/>
        <v>240-7520</v>
      </c>
      <c r="N1852" s="79" t="str">
        <f t="shared" si="84"/>
        <v/>
      </c>
      <c r="O1852" s="79" t="str">
        <f t="shared" si="85"/>
        <v>240</v>
      </c>
      <c r="P1852" s="79" t="str">
        <f>IFERROR(VLOOKUP($M1852,Export!$P:$R,2,FALSE),"-")</f>
        <v>Admin &amp; Other</v>
      </c>
      <c r="Q1852" s="79" t="str">
        <f>IFERROR(VLOOKUP($M1852,Export!$P:$R,3,FALSE),"-")</f>
        <v>Admin &amp; OtherOther Overheads as % of Total Gross Profit</v>
      </c>
      <c r="R1852" s="80" t="e" cm="1">
        <f t="array" ref="R1852">_xlfn.IFS(P1852="Service", _xlfn.IFS(I1852="SALES","GP",I1852="SERVICE SALES","GP",I1852="PARTS SALES","GP",I1852="SERVICE COS","GP",I1852="PARTS COS","GP",I1852="SELLING EXPENSES","Selling Expenses",I1852="EMPLOYMENT EXPENSES","Selling Expenses",I1852="EMPLOYMENT EXPENSES","Selling Expenses",I1852="DIRECT EXPENSES","Selling Expenses",I1852="INDIRECT EXPENSES","Selling Expenses"),P1852="Parts",_xlfn.IFS(I1852="SALES","GP",I1852="SERVICE SALES","GP",I1852="PARTS SALES","GP",I1852="SERVICE COS","GP",I1852="PARTS COS","GP",I1852="SELLING EXPENSES","Selling Expenses",I1852="EMPLOYMENT EXPENSES","Selling Expenses",I1852="EMPLOYMENT EXPENSES","Selling Expenses",I1852="DIRECT EXPENSES","Selling Expenses",I1852="INDIRECT EXPENSES","Selling Expenses"))</f>
        <v>#N/A</v>
      </c>
    </row>
    <row r="1853" spans="1:18" x14ac:dyDescent="0.2">
      <c r="A1853" s="75">
        <v>7520</v>
      </c>
      <c r="B1853" s="76" t="s">
        <v>133</v>
      </c>
      <c r="C1853" s="76">
        <v>260</v>
      </c>
      <c r="D1853" s="76" t="s">
        <v>456</v>
      </c>
      <c r="E1853" s="76" t="s">
        <v>426</v>
      </c>
      <c r="F1853" s="77">
        <v>0</v>
      </c>
      <c r="G1853" s="77">
        <v>0</v>
      </c>
      <c r="H1853" s="77">
        <v>0</v>
      </c>
      <c r="I1853" s="76" t="s">
        <v>968</v>
      </c>
      <c r="J1853" s="77">
        <v>0</v>
      </c>
      <c r="K1853" s="78">
        <v>40</v>
      </c>
      <c r="M1853" s="79" t="str">
        <f t="shared" si="86"/>
        <v>260-7520</v>
      </c>
      <c r="N1853" s="79" t="str">
        <f t="shared" si="84"/>
        <v/>
      </c>
      <c r="O1853" s="79" t="str">
        <f t="shared" si="85"/>
        <v>260</v>
      </c>
      <c r="P1853" s="79" t="str">
        <f>IFERROR(VLOOKUP($M1853,Export!$P:$R,2,FALSE),"-")</f>
        <v>Admin &amp; Other</v>
      </c>
      <c r="Q1853" s="79" t="str">
        <f>IFERROR(VLOOKUP($M1853,Export!$P:$R,3,FALSE),"-")</f>
        <v>Admin &amp; OtherOther Overheads as % of Total Gross Profit</v>
      </c>
      <c r="R1853" s="80" t="e" cm="1">
        <f t="array" ref="R1853">_xlfn.IFS(P1853="Service", _xlfn.IFS(I1853="SALES","GP",I1853="SERVICE SALES","GP",I1853="PARTS SALES","GP",I1853="SERVICE COS","GP",I1853="PARTS COS","GP",I1853="SELLING EXPENSES","Selling Expenses",I1853="EMPLOYMENT EXPENSES","Selling Expenses",I1853="EMPLOYMENT EXPENSES","Selling Expenses",I1853="DIRECT EXPENSES","Selling Expenses",I1853="INDIRECT EXPENSES","Selling Expenses"),P1853="Parts",_xlfn.IFS(I1853="SALES","GP",I1853="SERVICE SALES","GP",I1853="PARTS SALES","GP",I1853="SERVICE COS","GP",I1853="PARTS COS","GP",I1853="SELLING EXPENSES","Selling Expenses",I1853="EMPLOYMENT EXPENSES","Selling Expenses",I1853="EMPLOYMENT EXPENSES","Selling Expenses",I1853="DIRECT EXPENSES","Selling Expenses",I1853="INDIRECT EXPENSES","Selling Expenses"))</f>
        <v>#N/A</v>
      </c>
    </row>
    <row r="1854" spans="1:18" x14ac:dyDescent="0.2">
      <c r="A1854" s="75">
        <v>7520</v>
      </c>
      <c r="B1854" s="76" t="s">
        <v>133</v>
      </c>
      <c r="C1854" s="76">
        <v>330</v>
      </c>
      <c r="D1854" s="76" t="s">
        <v>457</v>
      </c>
      <c r="E1854" s="76" t="s">
        <v>426</v>
      </c>
      <c r="F1854" s="77">
        <v>0</v>
      </c>
      <c r="G1854" s="77">
        <v>161.68</v>
      </c>
      <c r="H1854" s="77">
        <v>161.68</v>
      </c>
      <c r="I1854" s="76" t="s">
        <v>968</v>
      </c>
      <c r="J1854" s="77">
        <v>0</v>
      </c>
      <c r="K1854" s="78">
        <v>210.53</v>
      </c>
      <c r="M1854" s="79" t="str">
        <f t="shared" si="86"/>
        <v>330-7520</v>
      </c>
      <c r="N1854" s="79" t="str">
        <f t="shared" si="84"/>
        <v/>
      </c>
      <c r="O1854" s="79" t="str">
        <f t="shared" si="85"/>
        <v>330</v>
      </c>
      <c r="P1854" s="79" t="str">
        <f>IFERROR(VLOOKUP($M1854,Export!$P:$R,2,FALSE),"-")</f>
        <v>Admin &amp; Other</v>
      </c>
      <c r="Q1854" s="79" t="str">
        <f>IFERROR(VLOOKUP($M1854,Export!$P:$R,3,FALSE),"-")</f>
        <v>Admin &amp; OtherOther Overheads as % of Total Gross Profit</v>
      </c>
      <c r="R1854" s="80" t="e" cm="1">
        <f t="array" ref="R1854">_xlfn.IFS(P1854="Service", _xlfn.IFS(I1854="SALES","GP",I1854="SERVICE SALES","GP",I1854="PARTS SALES","GP",I1854="SERVICE COS","GP",I1854="PARTS COS","GP",I1854="SELLING EXPENSES","Selling Expenses",I1854="EMPLOYMENT EXPENSES","Selling Expenses",I1854="EMPLOYMENT EXPENSES","Selling Expenses",I1854="DIRECT EXPENSES","Selling Expenses",I1854="INDIRECT EXPENSES","Selling Expenses"),P1854="Parts",_xlfn.IFS(I1854="SALES","GP",I1854="SERVICE SALES","GP",I1854="PARTS SALES","GP",I1854="SERVICE COS","GP",I1854="PARTS COS","GP",I1854="SELLING EXPENSES","Selling Expenses",I1854="EMPLOYMENT EXPENSES","Selling Expenses",I1854="EMPLOYMENT EXPENSES","Selling Expenses",I1854="DIRECT EXPENSES","Selling Expenses",I1854="INDIRECT EXPENSES","Selling Expenses"))</f>
        <v>#N/A</v>
      </c>
    </row>
    <row r="1855" spans="1:18" x14ac:dyDescent="0.2">
      <c r="A1855" s="75">
        <v>7520</v>
      </c>
      <c r="B1855" s="76" t="s">
        <v>133</v>
      </c>
      <c r="C1855" s="76">
        <v>340</v>
      </c>
      <c r="D1855" s="76" t="s">
        <v>440</v>
      </c>
      <c r="E1855" s="76" t="s">
        <v>426</v>
      </c>
      <c r="F1855" s="77">
        <v>111.03</v>
      </c>
      <c r="G1855" s="77">
        <v>161.62</v>
      </c>
      <c r="H1855" s="77">
        <v>272.64999999999998</v>
      </c>
      <c r="I1855" s="76" t="s">
        <v>968</v>
      </c>
      <c r="J1855" s="77">
        <v>400</v>
      </c>
      <c r="K1855" s="78">
        <v>3810.94</v>
      </c>
      <c r="M1855" s="79" t="str">
        <f t="shared" si="86"/>
        <v>340-7520</v>
      </c>
      <c r="N1855" s="79" t="str">
        <f t="shared" si="84"/>
        <v/>
      </c>
      <c r="O1855" s="79" t="str">
        <f t="shared" si="85"/>
        <v>340</v>
      </c>
      <c r="P1855" s="79" t="str">
        <f>IFERROR(VLOOKUP($M1855,Export!$P:$R,2,FALSE),"-")</f>
        <v>Admin &amp; Other</v>
      </c>
      <c r="Q1855" s="79" t="str">
        <f>IFERROR(VLOOKUP($M1855,Export!$P:$R,3,FALSE),"-")</f>
        <v>Admin &amp; OtherOther Overheads as % of Total Gross Profit</v>
      </c>
      <c r="R1855" s="80" t="e" cm="1">
        <f t="array" ref="R1855">_xlfn.IFS(P1855="Service", _xlfn.IFS(I1855="SALES","GP",I1855="SERVICE SALES","GP",I1855="PARTS SALES","GP",I1855="SERVICE COS","GP",I1855="PARTS COS","GP",I1855="SELLING EXPENSES","Selling Expenses",I1855="EMPLOYMENT EXPENSES","Selling Expenses",I1855="EMPLOYMENT EXPENSES","Selling Expenses",I1855="DIRECT EXPENSES","Selling Expenses",I1855="INDIRECT EXPENSES","Selling Expenses"),P1855="Parts",_xlfn.IFS(I1855="SALES","GP",I1855="SERVICE SALES","GP",I1855="PARTS SALES","GP",I1855="SERVICE COS","GP",I1855="PARTS COS","GP",I1855="SELLING EXPENSES","Selling Expenses",I1855="EMPLOYMENT EXPENSES","Selling Expenses",I1855="EMPLOYMENT EXPENSES","Selling Expenses",I1855="DIRECT EXPENSES","Selling Expenses",I1855="INDIRECT EXPENSES","Selling Expenses"))</f>
        <v>#N/A</v>
      </c>
    </row>
    <row r="1856" spans="1:18" x14ac:dyDescent="0.2">
      <c r="A1856" s="75">
        <v>7520</v>
      </c>
      <c r="B1856" s="76" t="s">
        <v>133</v>
      </c>
      <c r="C1856" s="76">
        <v>430</v>
      </c>
      <c r="D1856" s="76" t="s">
        <v>458</v>
      </c>
      <c r="E1856" s="76" t="s">
        <v>426</v>
      </c>
      <c r="F1856" s="77">
        <v>0</v>
      </c>
      <c r="G1856" s="77">
        <v>0</v>
      </c>
      <c r="H1856" s="77">
        <v>0</v>
      </c>
      <c r="I1856" s="76" t="s">
        <v>968</v>
      </c>
      <c r="J1856" s="77">
        <v>100</v>
      </c>
      <c r="K1856" s="78">
        <v>889.63</v>
      </c>
      <c r="M1856" s="79" t="str">
        <f t="shared" si="86"/>
        <v>430-7520</v>
      </c>
      <c r="N1856" s="79" t="str">
        <f t="shared" si="84"/>
        <v/>
      </c>
      <c r="O1856" s="79" t="str">
        <f t="shared" si="85"/>
        <v>430</v>
      </c>
      <c r="P1856" s="79" t="str">
        <f>IFERROR(VLOOKUP($M1856,Export!$P:$R,2,FALSE),"-")</f>
        <v>Admin &amp; Other</v>
      </c>
      <c r="Q1856" s="79" t="str">
        <f>IFERROR(VLOOKUP($M1856,Export!$P:$R,3,FALSE),"-")</f>
        <v>Admin &amp; OtherOther Overheads as % of Total Gross Profit</v>
      </c>
      <c r="R1856" s="80" t="e" cm="1">
        <f t="array" ref="R1856">_xlfn.IFS(P1856="Service", _xlfn.IFS(I1856="SALES","GP",I1856="SERVICE SALES","GP",I1856="PARTS SALES","GP",I1856="SERVICE COS","GP",I1856="PARTS COS","GP",I1856="SELLING EXPENSES","Selling Expenses",I1856="EMPLOYMENT EXPENSES","Selling Expenses",I1856="EMPLOYMENT EXPENSES","Selling Expenses",I1856="DIRECT EXPENSES","Selling Expenses",I1856="INDIRECT EXPENSES","Selling Expenses"),P1856="Parts",_xlfn.IFS(I1856="SALES","GP",I1856="SERVICE SALES","GP",I1856="PARTS SALES","GP",I1856="SERVICE COS","GP",I1856="PARTS COS","GP",I1856="SELLING EXPENSES","Selling Expenses",I1856="EMPLOYMENT EXPENSES","Selling Expenses",I1856="EMPLOYMENT EXPENSES","Selling Expenses",I1856="DIRECT EXPENSES","Selling Expenses",I1856="INDIRECT EXPENSES","Selling Expenses"))</f>
        <v>#N/A</v>
      </c>
    </row>
    <row r="1857" spans="1:18" x14ac:dyDescent="0.2">
      <c r="A1857" s="75">
        <v>7520</v>
      </c>
      <c r="B1857" s="76" t="s">
        <v>133</v>
      </c>
      <c r="C1857" s="76">
        <v>440</v>
      </c>
      <c r="D1857" s="76" t="s">
        <v>441</v>
      </c>
      <c r="E1857" s="76" t="s">
        <v>426</v>
      </c>
      <c r="F1857" s="77">
        <v>30.43</v>
      </c>
      <c r="G1857" s="77">
        <v>0</v>
      </c>
      <c r="H1857" s="77">
        <v>30.43</v>
      </c>
      <c r="I1857" s="76" t="s">
        <v>968</v>
      </c>
      <c r="J1857" s="77">
        <v>200</v>
      </c>
      <c r="K1857" s="78">
        <v>1542.64</v>
      </c>
      <c r="M1857" s="79" t="str">
        <f t="shared" si="86"/>
        <v>440-7520</v>
      </c>
      <c r="N1857" s="79" t="str">
        <f t="shared" si="84"/>
        <v/>
      </c>
      <c r="O1857" s="79" t="str">
        <f t="shared" si="85"/>
        <v>440</v>
      </c>
      <c r="P1857" s="79" t="str">
        <f>IFERROR(VLOOKUP($M1857,Export!$P:$R,2,FALSE),"-")</f>
        <v>Admin &amp; Other</v>
      </c>
      <c r="Q1857" s="79" t="str">
        <f>IFERROR(VLOOKUP($M1857,Export!$P:$R,3,FALSE),"-")</f>
        <v>Admin &amp; OtherOther Overheads as % of Total Gross Profit</v>
      </c>
      <c r="R1857" s="80" t="e" cm="1">
        <f t="array" ref="R1857">_xlfn.IFS(P1857="Service", _xlfn.IFS(I1857="SALES","GP",I1857="SERVICE SALES","GP",I1857="PARTS SALES","GP",I1857="SERVICE COS","GP",I1857="PARTS COS","GP",I1857="SELLING EXPENSES","Selling Expenses",I1857="EMPLOYMENT EXPENSES","Selling Expenses",I1857="EMPLOYMENT EXPENSES","Selling Expenses",I1857="DIRECT EXPENSES","Selling Expenses",I1857="INDIRECT EXPENSES","Selling Expenses"),P1857="Parts",_xlfn.IFS(I1857="SALES","GP",I1857="SERVICE SALES","GP",I1857="PARTS SALES","GP",I1857="SERVICE COS","GP",I1857="PARTS COS","GP",I1857="SELLING EXPENSES","Selling Expenses",I1857="EMPLOYMENT EXPENSES","Selling Expenses",I1857="EMPLOYMENT EXPENSES","Selling Expenses",I1857="DIRECT EXPENSES","Selling Expenses",I1857="INDIRECT EXPENSES","Selling Expenses"))</f>
        <v>#N/A</v>
      </c>
    </row>
    <row r="1858" spans="1:18" x14ac:dyDescent="0.2">
      <c r="A1858" s="75">
        <v>7520</v>
      </c>
      <c r="B1858" s="76" t="s">
        <v>133</v>
      </c>
      <c r="C1858" s="76">
        <v>935</v>
      </c>
      <c r="D1858" s="76" t="s">
        <v>442</v>
      </c>
      <c r="E1858" s="76" t="s">
        <v>426</v>
      </c>
      <c r="F1858" s="77">
        <v>2192.29</v>
      </c>
      <c r="G1858" s="77">
        <v>0</v>
      </c>
      <c r="H1858" s="77">
        <v>2192.29</v>
      </c>
      <c r="I1858" s="76" t="s">
        <v>968</v>
      </c>
      <c r="J1858" s="77">
        <v>400</v>
      </c>
      <c r="K1858" s="78">
        <v>4332.22</v>
      </c>
      <c r="M1858" s="79" t="str">
        <f t="shared" si="86"/>
        <v>935-7520</v>
      </c>
      <c r="N1858" s="79" t="str">
        <f t="shared" ref="N1858:N1921" si="87">+IF(RIGHT(A1858,1)="#","#","")</f>
        <v/>
      </c>
      <c r="O1858" s="79" t="str">
        <f t="shared" ref="O1858:O1921" si="88">+C1858&amp;N1858</f>
        <v>935</v>
      </c>
      <c r="P1858" s="79" t="str">
        <f>IFERROR(VLOOKUP($M1858,Export!$P:$R,2,FALSE),"-")</f>
        <v>LEX Admin &amp; Other</v>
      </c>
      <c r="Q1858" s="79" t="str">
        <f>IFERROR(VLOOKUP($M1858,Export!$P:$R,3,FALSE),"-")</f>
        <v>LEX Admin &amp; OtherOther Overheads as % of Total Gross Profit</v>
      </c>
      <c r="R1858" s="80" t="e" cm="1">
        <f t="array" ref="R1858">_xlfn.IFS(P1858="Service", _xlfn.IFS(I1858="SALES","GP",I1858="SERVICE SALES","GP",I1858="PARTS SALES","GP",I1858="SERVICE COS","GP",I1858="PARTS COS","GP",I1858="SELLING EXPENSES","Selling Expenses",I1858="EMPLOYMENT EXPENSES","Selling Expenses",I1858="EMPLOYMENT EXPENSES","Selling Expenses",I1858="DIRECT EXPENSES","Selling Expenses",I1858="INDIRECT EXPENSES","Selling Expenses"),P1858="Parts",_xlfn.IFS(I1858="SALES","GP",I1858="SERVICE SALES","GP",I1858="PARTS SALES","GP",I1858="SERVICE COS","GP",I1858="PARTS COS","GP",I1858="SELLING EXPENSES","Selling Expenses",I1858="EMPLOYMENT EXPENSES","Selling Expenses",I1858="EMPLOYMENT EXPENSES","Selling Expenses",I1858="DIRECT EXPENSES","Selling Expenses",I1858="INDIRECT EXPENSES","Selling Expenses"))</f>
        <v>#N/A</v>
      </c>
    </row>
    <row r="1859" spans="1:18" x14ac:dyDescent="0.2">
      <c r="A1859" s="75">
        <v>7520</v>
      </c>
      <c r="B1859" s="76" t="s">
        <v>133</v>
      </c>
      <c r="C1859" s="76">
        <v>936</v>
      </c>
      <c r="D1859" s="76" t="s">
        <v>443</v>
      </c>
      <c r="E1859" s="76" t="s">
        <v>426</v>
      </c>
      <c r="F1859" s="77">
        <v>1474.53</v>
      </c>
      <c r="G1859" s="77">
        <v>0</v>
      </c>
      <c r="H1859" s="77">
        <v>1474.53</v>
      </c>
      <c r="I1859" s="76" t="s">
        <v>968</v>
      </c>
      <c r="J1859" s="77">
        <v>200</v>
      </c>
      <c r="K1859" s="78">
        <v>2120.38</v>
      </c>
      <c r="M1859" s="79" t="str">
        <f t="shared" ref="M1859:M1922" si="89">+C1859&amp;"-"&amp;A1859</f>
        <v>936-7520</v>
      </c>
      <c r="N1859" s="79" t="str">
        <f t="shared" si="87"/>
        <v/>
      </c>
      <c r="O1859" s="79" t="str">
        <f t="shared" si="88"/>
        <v>936</v>
      </c>
      <c r="P1859" s="79" t="str">
        <f>IFERROR(VLOOKUP($M1859,Export!$P:$R,2,FALSE),"-")</f>
        <v>LEX Admin &amp; Other</v>
      </c>
      <c r="Q1859" s="79" t="str">
        <f>IFERROR(VLOOKUP($M1859,Export!$P:$R,3,FALSE),"-")</f>
        <v>LEX Admin &amp; OtherOther Overheads as % of Total Gross Profit</v>
      </c>
      <c r="R1859" s="80" t="e" cm="1">
        <f t="array" ref="R1859">_xlfn.IFS(P1859="Service", _xlfn.IFS(I1859="SALES","GP",I1859="SERVICE SALES","GP",I1859="PARTS SALES","GP",I1859="SERVICE COS","GP",I1859="PARTS COS","GP",I1859="SELLING EXPENSES","Selling Expenses",I1859="EMPLOYMENT EXPENSES","Selling Expenses",I1859="EMPLOYMENT EXPENSES","Selling Expenses",I1859="DIRECT EXPENSES","Selling Expenses",I1859="INDIRECT EXPENSES","Selling Expenses"),P1859="Parts",_xlfn.IFS(I1859="SALES","GP",I1859="SERVICE SALES","GP",I1859="PARTS SALES","GP",I1859="SERVICE COS","GP",I1859="PARTS COS","GP",I1859="SELLING EXPENSES","Selling Expenses",I1859="EMPLOYMENT EXPENSES","Selling Expenses",I1859="EMPLOYMENT EXPENSES","Selling Expenses",I1859="DIRECT EXPENSES","Selling Expenses",I1859="INDIRECT EXPENSES","Selling Expenses"))</f>
        <v>#N/A</v>
      </c>
    </row>
    <row r="1860" spans="1:18" x14ac:dyDescent="0.2">
      <c r="A1860" s="75">
        <v>7540</v>
      </c>
      <c r="B1860" s="76" t="s">
        <v>976</v>
      </c>
      <c r="C1860" s="76">
        <v>110</v>
      </c>
      <c r="D1860" s="76" t="s">
        <v>430</v>
      </c>
      <c r="E1860" s="76" t="s">
        <v>426</v>
      </c>
      <c r="F1860" s="77">
        <v>40</v>
      </c>
      <c r="G1860" s="77">
        <v>0</v>
      </c>
      <c r="H1860" s="77">
        <v>40</v>
      </c>
      <c r="I1860" s="76" t="s">
        <v>968</v>
      </c>
      <c r="J1860" s="77">
        <v>0</v>
      </c>
      <c r="K1860" s="78">
        <v>2.19</v>
      </c>
      <c r="M1860" s="79" t="str">
        <f t="shared" si="89"/>
        <v>110-7540</v>
      </c>
      <c r="N1860" s="79" t="str">
        <f t="shared" si="87"/>
        <v/>
      </c>
      <c r="O1860" s="79" t="str">
        <f t="shared" si="88"/>
        <v>110</v>
      </c>
      <c r="P1860" s="79" t="str">
        <f>IFERROR(VLOOKUP($M1860,Export!$P:$R,2,FALSE),"-")</f>
        <v>Admin &amp; Other</v>
      </c>
      <c r="Q1860" s="79" t="str">
        <f>IFERROR(VLOOKUP($M1860,Export!$P:$R,3,FALSE),"-")</f>
        <v>Admin &amp; OtherOther Overheads as % of Total Gross Profit</v>
      </c>
      <c r="R1860" s="80" t="e" cm="1">
        <f t="array" ref="R1860">_xlfn.IFS(P1860="Service", _xlfn.IFS(I1860="SALES","GP",I1860="SERVICE SALES","GP",I1860="PARTS SALES","GP",I1860="SERVICE COS","GP",I1860="PARTS COS","GP",I1860="SELLING EXPENSES","Selling Expenses",I1860="EMPLOYMENT EXPENSES","Selling Expenses",I1860="EMPLOYMENT EXPENSES","Selling Expenses",I1860="DIRECT EXPENSES","Selling Expenses",I1860="INDIRECT EXPENSES","Selling Expenses"),P1860="Parts",_xlfn.IFS(I1860="SALES","GP",I1860="SERVICE SALES","GP",I1860="PARTS SALES","GP",I1860="SERVICE COS","GP",I1860="PARTS COS","GP",I1860="SELLING EXPENSES","Selling Expenses",I1860="EMPLOYMENT EXPENSES","Selling Expenses",I1860="EMPLOYMENT EXPENSES","Selling Expenses",I1860="DIRECT EXPENSES","Selling Expenses",I1860="INDIRECT EXPENSES","Selling Expenses"))</f>
        <v>#N/A</v>
      </c>
    </row>
    <row r="1861" spans="1:18" x14ac:dyDescent="0.2">
      <c r="A1861" s="75">
        <v>7540</v>
      </c>
      <c r="B1861" s="76" t="s">
        <v>976</v>
      </c>
      <c r="C1861" s="76">
        <v>112</v>
      </c>
      <c r="D1861" s="76" t="s">
        <v>349</v>
      </c>
      <c r="E1861" s="76" t="s">
        <v>426</v>
      </c>
      <c r="F1861" s="77">
        <v>20</v>
      </c>
      <c r="G1861" s="77">
        <v>0</v>
      </c>
      <c r="H1861" s="77">
        <v>20</v>
      </c>
      <c r="I1861" s="76" t="s">
        <v>968</v>
      </c>
      <c r="J1861" s="77">
        <v>0</v>
      </c>
      <c r="K1861" s="78">
        <v>0</v>
      </c>
      <c r="M1861" s="79" t="str">
        <f t="shared" si="89"/>
        <v>112-7540</v>
      </c>
      <c r="N1861" s="79" t="str">
        <f t="shared" si="87"/>
        <v/>
      </c>
      <c r="O1861" s="79" t="str">
        <f t="shared" si="88"/>
        <v>112</v>
      </c>
      <c r="P1861" s="79" t="str">
        <f>IFERROR(VLOOKUP($M1861,Export!$P:$R,2,FALSE),"-")</f>
        <v>LEX Admin &amp; Other</v>
      </c>
      <c r="Q1861" s="79" t="str">
        <f>IFERROR(VLOOKUP($M1861,Export!$P:$R,3,FALSE),"-")</f>
        <v>LEX Admin &amp; OtherOther Overheads as % of Total Gross Profit</v>
      </c>
      <c r="R1861" s="80" t="e" cm="1">
        <f t="array" ref="R1861">_xlfn.IFS(P1861="Service", _xlfn.IFS(I1861="SALES","GP",I1861="SERVICE SALES","GP",I1861="PARTS SALES","GP",I1861="SERVICE COS","GP",I1861="PARTS COS","GP",I1861="SELLING EXPENSES","Selling Expenses",I1861="EMPLOYMENT EXPENSES","Selling Expenses",I1861="EMPLOYMENT EXPENSES","Selling Expenses",I1861="DIRECT EXPENSES","Selling Expenses",I1861="INDIRECT EXPENSES","Selling Expenses"),P1861="Parts",_xlfn.IFS(I1861="SALES","GP",I1861="SERVICE SALES","GP",I1861="PARTS SALES","GP",I1861="SERVICE COS","GP",I1861="PARTS COS","GP",I1861="SELLING EXPENSES","Selling Expenses",I1861="EMPLOYMENT EXPENSES","Selling Expenses",I1861="EMPLOYMENT EXPENSES","Selling Expenses",I1861="DIRECT EXPENSES","Selling Expenses",I1861="INDIRECT EXPENSES","Selling Expenses"))</f>
        <v>#N/A</v>
      </c>
    </row>
    <row r="1862" spans="1:18" x14ac:dyDescent="0.2">
      <c r="A1862" s="75">
        <v>7540</v>
      </c>
      <c r="B1862" s="76" t="s">
        <v>976</v>
      </c>
      <c r="C1862" s="76">
        <v>120</v>
      </c>
      <c r="D1862" s="76" t="s">
        <v>431</v>
      </c>
      <c r="E1862" s="76" t="s">
        <v>426</v>
      </c>
      <c r="F1862" s="77">
        <v>44</v>
      </c>
      <c r="G1862" s="77">
        <v>0</v>
      </c>
      <c r="H1862" s="77">
        <v>44</v>
      </c>
      <c r="I1862" s="76" t="s">
        <v>968</v>
      </c>
      <c r="J1862" s="77">
        <v>0</v>
      </c>
      <c r="K1862" s="78">
        <v>0</v>
      </c>
      <c r="M1862" s="79" t="str">
        <f t="shared" si="89"/>
        <v>120-7540</v>
      </c>
      <c r="N1862" s="79" t="str">
        <f t="shared" si="87"/>
        <v/>
      </c>
      <c r="O1862" s="79" t="str">
        <f t="shared" si="88"/>
        <v>120</v>
      </c>
      <c r="P1862" s="79" t="str">
        <f>IFERROR(VLOOKUP($M1862,Export!$P:$R,2,FALSE),"-")</f>
        <v>Admin &amp; Other</v>
      </c>
      <c r="Q1862" s="79" t="str">
        <f>IFERROR(VLOOKUP($M1862,Export!$P:$R,3,FALSE),"-")</f>
        <v>Admin &amp; OtherOther Overheads as % of Total Gross Profit</v>
      </c>
      <c r="R1862" s="80" t="e" cm="1">
        <f t="array" ref="R1862">_xlfn.IFS(P1862="Service", _xlfn.IFS(I1862="SALES","GP",I1862="SERVICE SALES","GP",I1862="PARTS SALES","GP",I1862="SERVICE COS","GP",I1862="PARTS COS","GP",I1862="SELLING EXPENSES","Selling Expenses",I1862="EMPLOYMENT EXPENSES","Selling Expenses",I1862="EMPLOYMENT EXPENSES","Selling Expenses",I1862="DIRECT EXPENSES","Selling Expenses",I1862="INDIRECT EXPENSES","Selling Expenses"),P1862="Parts",_xlfn.IFS(I1862="SALES","GP",I1862="SERVICE SALES","GP",I1862="PARTS SALES","GP",I1862="SERVICE COS","GP",I1862="PARTS COS","GP",I1862="SELLING EXPENSES","Selling Expenses",I1862="EMPLOYMENT EXPENSES","Selling Expenses",I1862="EMPLOYMENT EXPENSES","Selling Expenses",I1862="DIRECT EXPENSES","Selling Expenses",I1862="INDIRECT EXPENSES","Selling Expenses"))</f>
        <v>#N/A</v>
      </c>
    </row>
    <row r="1863" spans="1:18" x14ac:dyDescent="0.2">
      <c r="A1863" s="75">
        <v>7540</v>
      </c>
      <c r="B1863" s="76" t="s">
        <v>976</v>
      </c>
      <c r="C1863" s="76">
        <v>130</v>
      </c>
      <c r="D1863" s="76" t="s">
        <v>432</v>
      </c>
      <c r="E1863" s="76" t="s">
        <v>426</v>
      </c>
      <c r="F1863" s="77">
        <v>34</v>
      </c>
      <c r="G1863" s="77">
        <v>0</v>
      </c>
      <c r="H1863" s="77">
        <v>34</v>
      </c>
      <c r="I1863" s="76" t="s">
        <v>968</v>
      </c>
      <c r="J1863" s="77">
        <v>0</v>
      </c>
      <c r="K1863" s="78">
        <v>0</v>
      </c>
      <c r="M1863" s="79" t="str">
        <f t="shared" si="89"/>
        <v>130-7540</v>
      </c>
      <c r="N1863" s="79" t="str">
        <f t="shared" si="87"/>
        <v/>
      </c>
      <c r="O1863" s="79" t="str">
        <f t="shared" si="88"/>
        <v>130</v>
      </c>
      <c r="P1863" s="79" t="str">
        <f>IFERROR(VLOOKUP($M1863,Export!$P:$R,2,FALSE),"-")</f>
        <v>Admin &amp; Other</v>
      </c>
      <c r="Q1863" s="79" t="str">
        <f>IFERROR(VLOOKUP($M1863,Export!$P:$R,3,FALSE),"-")</f>
        <v>Admin &amp; OtherOther Overheads as % of Total Gross Profit</v>
      </c>
      <c r="R1863" s="80" t="e" cm="1">
        <f t="array" ref="R1863">_xlfn.IFS(P1863="Service", _xlfn.IFS(I1863="SALES","GP",I1863="SERVICE SALES","GP",I1863="PARTS SALES","GP",I1863="SERVICE COS","GP",I1863="PARTS COS","GP",I1863="SELLING EXPENSES","Selling Expenses",I1863="EMPLOYMENT EXPENSES","Selling Expenses",I1863="EMPLOYMENT EXPENSES","Selling Expenses",I1863="DIRECT EXPENSES","Selling Expenses",I1863="INDIRECT EXPENSES","Selling Expenses"),P1863="Parts",_xlfn.IFS(I1863="SALES","GP",I1863="SERVICE SALES","GP",I1863="PARTS SALES","GP",I1863="SERVICE COS","GP",I1863="PARTS COS","GP",I1863="SELLING EXPENSES","Selling Expenses",I1863="EMPLOYMENT EXPENSES","Selling Expenses",I1863="EMPLOYMENT EXPENSES","Selling Expenses",I1863="DIRECT EXPENSES","Selling Expenses",I1863="INDIRECT EXPENSES","Selling Expenses"))</f>
        <v>#N/A</v>
      </c>
    </row>
    <row r="1864" spans="1:18" x14ac:dyDescent="0.2">
      <c r="A1864" s="75">
        <v>7540</v>
      </c>
      <c r="B1864" s="76" t="s">
        <v>976</v>
      </c>
      <c r="C1864" s="76">
        <v>140</v>
      </c>
      <c r="D1864" s="76" t="s">
        <v>433</v>
      </c>
      <c r="E1864" s="76" t="s">
        <v>426</v>
      </c>
      <c r="F1864" s="77">
        <v>40</v>
      </c>
      <c r="G1864" s="77">
        <v>0</v>
      </c>
      <c r="H1864" s="77">
        <v>40</v>
      </c>
      <c r="I1864" s="76" t="s">
        <v>968</v>
      </c>
      <c r="J1864" s="77">
        <v>0</v>
      </c>
      <c r="K1864" s="78">
        <v>0</v>
      </c>
      <c r="M1864" s="79" t="str">
        <f t="shared" si="89"/>
        <v>140-7540</v>
      </c>
      <c r="N1864" s="79" t="str">
        <f t="shared" si="87"/>
        <v/>
      </c>
      <c r="O1864" s="79" t="str">
        <f t="shared" si="88"/>
        <v>140</v>
      </c>
      <c r="P1864" s="79" t="str">
        <f>IFERROR(VLOOKUP($M1864,Export!$P:$R,2,FALSE),"-")</f>
        <v>Admin &amp; Other</v>
      </c>
      <c r="Q1864" s="79" t="str">
        <f>IFERROR(VLOOKUP($M1864,Export!$P:$R,3,FALSE),"-")</f>
        <v>Admin &amp; OtherOther Overheads as % of Total Gross Profit</v>
      </c>
      <c r="R1864" s="80" t="e" cm="1">
        <f t="array" ref="R1864">_xlfn.IFS(P1864="Service", _xlfn.IFS(I1864="SALES","GP",I1864="SERVICE SALES","GP",I1864="PARTS SALES","GP",I1864="SERVICE COS","GP",I1864="PARTS COS","GP",I1864="SELLING EXPENSES","Selling Expenses",I1864="EMPLOYMENT EXPENSES","Selling Expenses",I1864="EMPLOYMENT EXPENSES","Selling Expenses",I1864="DIRECT EXPENSES","Selling Expenses",I1864="INDIRECT EXPENSES","Selling Expenses"),P1864="Parts",_xlfn.IFS(I1864="SALES","GP",I1864="SERVICE SALES","GP",I1864="PARTS SALES","GP",I1864="SERVICE COS","GP",I1864="PARTS COS","GP",I1864="SELLING EXPENSES","Selling Expenses",I1864="EMPLOYMENT EXPENSES","Selling Expenses",I1864="EMPLOYMENT EXPENSES","Selling Expenses",I1864="DIRECT EXPENSES","Selling Expenses",I1864="INDIRECT EXPENSES","Selling Expenses"))</f>
        <v>#N/A</v>
      </c>
    </row>
    <row r="1865" spans="1:18" x14ac:dyDescent="0.2">
      <c r="A1865" s="75">
        <v>7540</v>
      </c>
      <c r="B1865" s="76" t="s">
        <v>976</v>
      </c>
      <c r="C1865" s="76">
        <v>160</v>
      </c>
      <c r="D1865" s="76" t="s">
        <v>434</v>
      </c>
      <c r="E1865" s="76" t="s">
        <v>426</v>
      </c>
      <c r="F1865" s="77">
        <v>12</v>
      </c>
      <c r="G1865" s="77">
        <v>0</v>
      </c>
      <c r="H1865" s="77">
        <v>12</v>
      </c>
      <c r="I1865" s="76" t="s">
        <v>968</v>
      </c>
      <c r="J1865" s="77">
        <v>0</v>
      </c>
      <c r="K1865" s="78">
        <v>0</v>
      </c>
      <c r="M1865" s="79" t="str">
        <f t="shared" si="89"/>
        <v>160-7540</v>
      </c>
      <c r="N1865" s="79" t="str">
        <f t="shared" si="87"/>
        <v/>
      </c>
      <c r="O1865" s="79" t="str">
        <f t="shared" si="88"/>
        <v>160</v>
      </c>
      <c r="P1865" s="79" t="str">
        <f>IFERROR(VLOOKUP($M1865,Export!$P:$R,2,FALSE),"-")</f>
        <v>Admin &amp; Other</v>
      </c>
      <c r="Q1865" s="79" t="str">
        <f>IFERROR(VLOOKUP($M1865,Export!$P:$R,3,FALSE),"-")</f>
        <v>Admin &amp; OtherOther Overheads as % of Total Gross Profit</v>
      </c>
      <c r="R1865" s="80" t="e" cm="1">
        <f t="array" ref="R1865">_xlfn.IFS(P1865="Service", _xlfn.IFS(I1865="SALES","GP",I1865="SERVICE SALES","GP",I1865="PARTS SALES","GP",I1865="SERVICE COS","GP",I1865="PARTS COS","GP",I1865="SELLING EXPENSES","Selling Expenses",I1865="EMPLOYMENT EXPENSES","Selling Expenses",I1865="EMPLOYMENT EXPENSES","Selling Expenses",I1865="DIRECT EXPENSES","Selling Expenses",I1865="INDIRECT EXPENSES","Selling Expenses"),P1865="Parts",_xlfn.IFS(I1865="SALES","GP",I1865="SERVICE SALES","GP",I1865="PARTS SALES","GP",I1865="SERVICE COS","GP",I1865="PARTS COS","GP",I1865="SELLING EXPENSES","Selling Expenses",I1865="EMPLOYMENT EXPENSES","Selling Expenses",I1865="EMPLOYMENT EXPENSES","Selling Expenses",I1865="DIRECT EXPENSES","Selling Expenses",I1865="INDIRECT EXPENSES","Selling Expenses"))</f>
        <v>#N/A</v>
      </c>
    </row>
    <row r="1866" spans="1:18" x14ac:dyDescent="0.2">
      <c r="A1866" s="75">
        <v>7540</v>
      </c>
      <c r="B1866" s="76" t="s">
        <v>976</v>
      </c>
      <c r="C1866" s="76">
        <v>935</v>
      </c>
      <c r="D1866" s="76" t="s">
        <v>442</v>
      </c>
      <c r="E1866" s="76" t="s">
        <v>426</v>
      </c>
      <c r="F1866" s="77">
        <v>10</v>
      </c>
      <c r="G1866" s="77">
        <v>0</v>
      </c>
      <c r="H1866" s="77">
        <v>10</v>
      </c>
      <c r="I1866" s="76" t="s">
        <v>968</v>
      </c>
      <c r="J1866" s="77">
        <v>0</v>
      </c>
      <c r="K1866" s="78">
        <v>0</v>
      </c>
      <c r="M1866" s="79" t="str">
        <f t="shared" si="89"/>
        <v>935-7540</v>
      </c>
      <c r="N1866" s="79" t="str">
        <f t="shared" si="87"/>
        <v/>
      </c>
      <c r="O1866" s="79" t="str">
        <f t="shared" si="88"/>
        <v>935</v>
      </c>
      <c r="P1866" s="79" t="str">
        <f>IFERROR(VLOOKUP($M1866,Export!$P:$R,2,FALSE),"-")</f>
        <v>LEX Admin &amp; Other</v>
      </c>
      <c r="Q1866" s="79" t="str">
        <f>IFERROR(VLOOKUP($M1866,Export!$P:$R,3,FALSE),"-")</f>
        <v>LEX Admin &amp; OtherOther Overheads as % of Total Gross Profit</v>
      </c>
      <c r="R1866" s="80" t="e" cm="1">
        <f t="array" ref="R1866">_xlfn.IFS(P1866="Service", _xlfn.IFS(I1866="SALES","GP",I1866="SERVICE SALES","GP",I1866="PARTS SALES","GP",I1866="SERVICE COS","GP",I1866="PARTS COS","GP",I1866="SELLING EXPENSES","Selling Expenses",I1866="EMPLOYMENT EXPENSES","Selling Expenses",I1866="EMPLOYMENT EXPENSES","Selling Expenses",I1866="DIRECT EXPENSES","Selling Expenses",I1866="INDIRECT EXPENSES","Selling Expenses"),P1866="Parts",_xlfn.IFS(I1866="SALES","GP",I1866="SERVICE SALES","GP",I1866="PARTS SALES","GP",I1866="SERVICE COS","GP",I1866="PARTS COS","GP",I1866="SELLING EXPENSES","Selling Expenses",I1866="EMPLOYMENT EXPENSES","Selling Expenses",I1866="EMPLOYMENT EXPENSES","Selling Expenses",I1866="DIRECT EXPENSES","Selling Expenses",I1866="INDIRECT EXPENSES","Selling Expenses"))</f>
        <v>#N/A</v>
      </c>
    </row>
    <row r="1867" spans="1:18" x14ac:dyDescent="0.2">
      <c r="A1867" s="75">
        <v>7690</v>
      </c>
      <c r="B1867" s="76" t="s">
        <v>126</v>
      </c>
      <c r="C1867" s="76">
        <v>110</v>
      </c>
      <c r="D1867" s="76" t="s">
        <v>430</v>
      </c>
      <c r="E1867" s="76" t="s">
        <v>426</v>
      </c>
      <c r="F1867" s="77">
        <v>182770.2</v>
      </c>
      <c r="G1867" s="77">
        <v>22418.68</v>
      </c>
      <c r="H1867" s="77">
        <v>205188.88</v>
      </c>
      <c r="I1867" s="76" t="s">
        <v>968</v>
      </c>
      <c r="J1867" s="77">
        <v>17500</v>
      </c>
      <c r="K1867" s="78">
        <v>228637.18</v>
      </c>
      <c r="M1867" s="79" t="str">
        <f t="shared" si="89"/>
        <v>110-7690</v>
      </c>
      <c r="N1867" s="79" t="str">
        <f t="shared" si="87"/>
        <v/>
      </c>
      <c r="O1867" s="79" t="str">
        <f t="shared" si="88"/>
        <v>110</v>
      </c>
      <c r="P1867" s="79" t="str">
        <f>IFERROR(VLOOKUP($M1867,Export!$P:$R,2,FALSE),"-")</f>
        <v>Admin &amp; Other</v>
      </c>
      <c r="Q1867" s="79" t="str">
        <f>IFERROR(VLOOKUP($M1867,Export!$P:$R,3,FALSE),"-")</f>
        <v>Admin &amp; OtherRent &amp; Rates as % of Total Gross Profit</v>
      </c>
      <c r="R1867" s="80" t="e" cm="1">
        <f t="array" ref="R1867">_xlfn.IFS(P1867="Service", _xlfn.IFS(I1867="SALES","GP",I1867="SERVICE SALES","GP",I1867="PARTS SALES","GP",I1867="SERVICE COS","GP",I1867="PARTS COS","GP",I1867="SELLING EXPENSES","Selling Expenses",I1867="EMPLOYMENT EXPENSES","Selling Expenses",I1867="EMPLOYMENT EXPENSES","Selling Expenses",I1867="DIRECT EXPENSES","Selling Expenses",I1867="INDIRECT EXPENSES","Selling Expenses"),P1867="Parts",_xlfn.IFS(I1867="SALES","GP",I1867="SERVICE SALES","GP",I1867="PARTS SALES","GP",I1867="SERVICE COS","GP",I1867="PARTS COS","GP",I1867="SELLING EXPENSES","Selling Expenses",I1867="EMPLOYMENT EXPENSES","Selling Expenses",I1867="EMPLOYMENT EXPENSES","Selling Expenses",I1867="DIRECT EXPENSES","Selling Expenses",I1867="INDIRECT EXPENSES","Selling Expenses"))</f>
        <v>#N/A</v>
      </c>
    </row>
    <row r="1868" spans="1:18" x14ac:dyDescent="0.2">
      <c r="A1868" s="75">
        <v>7690</v>
      </c>
      <c r="B1868" s="76" t="s">
        <v>126</v>
      </c>
      <c r="C1868" s="76">
        <v>112</v>
      </c>
      <c r="D1868" s="76" t="s">
        <v>349</v>
      </c>
      <c r="E1868" s="76" t="s">
        <v>426</v>
      </c>
      <c r="F1868" s="77">
        <v>172841.34</v>
      </c>
      <c r="G1868" s="77">
        <v>19483.59</v>
      </c>
      <c r="H1868" s="77">
        <v>192324.93</v>
      </c>
      <c r="I1868" s="76" t="s">
        <v>968</v>
      </c>
      <c r="J1868" s="77">
        <v>26531.25</v>
      </c>
      <c r="K1868" s="78">
        <v>206795.38</v>
      </c>
      <c r="M1868" s="79" t="str">
        <f t="shared" si="89"/>
        <v>112-7690</v>
      </c>
      <c r="N1868" s="79" t="str">
        <f t="shared" si="87"/>
        <v/>
      </c>
      <c r="O1868" s="79" t="str">
        <f t="shared" si="88"/>
        <v>112</v>
      </c>
      <c r="P1868" s="79" t="str">
        <f>IFERROR(VLOOKUP($M1868,Export!$P:$R,2,FALSE),"-")</f>
        <v>LEX Admin &amp; Other</v>
      </c>
      <c r="Q1868" s="79" t="str">
        <f>IFERROR(VLOOKUP($M1868,Export!$P:$R,3,FALSE),"-")</f>
        <v>LEX Admin &amp; OtherRent &amp; Rates as % of Total Gross Profit</v>
      </c>
      <c r="R1868" s="80" t="e" cm="1">
        <f t="array" ref="R1868">_xlfn.IFS(P1868="Service", _xlfn.IFS(I1868="SALES","GP",I1868="SERVICE SALES","GP",I1868="PARTS SALES","GP",I1868="SERVICE COS","GP",I1868="PARTS COS","GP",I1868="SELLING EXPENSES","Selling Expenses",I1868="EMPLOYMENT EXPENSES","Selling Expenses",I1868="EMPLOYMENT EXPENSES","Selling Expenses",I1868="DIRECT EXPENSES","Selling Expenses",I1868="INDIRECT EXPENSES","Selling Expenses"),P1868="Parts",_xlfn.IFS(I1868="SALES","GP",I1868="SERVICE SALES","GP",I1868="PARTS SALES","GP",I1868="SERVICE COS","GP",I1868="PARTS COS","GP",I1868="SELLING EXPENSES","Selling Expenses",I1868="EMPLOYMENT EXPENSES","Selling Expenses",I1868="EMPLOYMENT EXPENSES","Selling Expenses",I1868="DIRECT EXPENSES","Selling Expenses",I1868="INDIRECT EXPENSES","Selling Expenses"))</f>
        <v>#N/A</v>
      </c>
    </row>
    <row r="1869" spans="1:18" x14ac:dyDescent="0.2">
      <c r="A1869" s="75">
        <v>7690</v>
      </c>
      <c r="B1869" s="76" t="s">
        <v>126</v>
      </c>
      <c r="C1869" s="76">
        <v>120</v>
      </c>
      <c r="D1869" s="76" t="s">
        <v>431</v>
      </c>
      <c r="E1869" s="76" t="s">
        <v>426</v>
      </c>
      <c r="F1869" s="77">
        <v>178246.43</v>
      </c>
      <c r="G1869" s="77">
        <v>20858.82</v>
      </c>
      <c r="H1869" s="77">
        <v>199105.25</v>
      </c>
      <c r="I1869" s="76" t="s">
        <v>968</v>
      </c>
      <c r="J1869" s="77">
        <v>18501.25</v>
      </c>
      <c r="K1869" s="78">
        <v>221213.86</v>
      </c>
      <c r="M1869" s="79" t="str">
        <f t="shared" si="89"/>
        <v>120-7690</v>
      </c>
      <c r="N1869" s="79" t="str">
        <f t="shared" si="87"/>
        <v/>
      </c>
      <c r="O1869" s="79" t="str">
        <f t="shared" si="88"/>
        <v>120</v>
      </c>
      <c r="P1869" s="79" t="str">
        <f>IFERROR(VLOOKUP($M1869,Export!$P:$R,2,FALSE),"-")</f>
        <v>Admin &amp; Other</v>
      </c>
      <c r="Q1869" s="79" t="str">
        <f>IFERROR(VLOOKUP($M1869,Export!$P:$R,3,FALSE),"-")</f>
        <v>Admin &amp; OtherRent &amp; Rates as % of Total Gross Profit</v>
      </c>
      <c r="R1869" s="80" t="e" cm="1">
        <f t="array" ref="R1869">_xlfn.IFS(P1869="Service", _xlfn.IFS(I1869="SALES","GP",I1869="SERVICE SALES","GP",I1869="PARTS SALES","GP",I1869="SERVICE COS","GP",I1869="PARTS COS","GP",I1869="SELLING EXPENSES","Selling Expenses",I1869="EMPLOYMENT EXPENSES","Selling Expenses",I1869="EMPLOYMENT EXPENSES","Selling Expenses",I1869="DIRECT EXPENSES","Selling Expenses",I1869="INDIRECT EXPENSES","Selling Expenses"),P1869="Parts",_xlfn.IFS(I1869="SALES","GP",I1869="SERVICE SALES","GP",I1869="PARTS SALES","GP",I1869="SERVICE COS","GP",I1869="PARTS COS","GP",I1869="SELLING EXPENSES","Selling Expenses",I1869="EMPLOYMENT EXPENSES","Selling Expenses",I1869="EMPLOYMENT EXPENSES","Selling Expenses",I1869="DIRECT EXPENSES","Selling Expenses",I1869="INDIRECT EXPENSES","Selling Expenses"))</f>
        <v>#N/A</v>
      </c>
    </row>
    <row r="1870" spans="1:18" x14ac:dyDescent="0.2">
      <c r="A1870" s="75">
        <v>7690</v>
      </c>
      <c r="B1870" s="76" t="s">
        <v>126</v>
      </c>
      <c r="C1870" s="76">
        <v>121</v>
      </c>
      <c r="D1870" s="76" t="s">
        <v>449</v>
      </c>
      <c r="E1870" s="76" t="s">
        <v>426</v>
      </c>
      <c r="F1870" s="77">
        <v>0</v>
      </c>
      <c r="G1870" s="77">
        <v>0</v>
      </c>
      <c r="H1870" s="77">
        <v>0</v>
      </c>
      <c r="I1870" s="76" t="s">
        <v>968</v>
      </c>
      <c r="J1870" s="77">
        <v>0</v>
      </c>
      <c r="K1870" s="78">
        <v>45468</v>
      </c>
      <c r="M1870" s="79" t="str">
        <f t="shared" si="89"/>
        <v>121-7690</v>
      </c>
      <c r="N1870" s="79" t="str">
        <f t="shared" si="87"/>
        <v/>
      </c>
      <c r="O1870" s="79" t="str">
        <f t="shared" si="88"/>
        <v>121</v>
      </c>
      <c r="P1870" s="79" t="str">
        <f>IFERROR(VLOOKUP($M1870,Export!$P:$R,2,FALSE),"-")</f>
        <v>Admin &amp; Other</v>
      </c>
      <c r="Q1870" s="79" t="str">
        <f>IFERROR(VLOOKUP($M1870,Export!$P:$R,3,FALSE),"-")</f>
        <v>Admin &amp; OtherRent &amp; Rates as % of Total Gross Profit</v>
      </c>
      <c r="R1870" s="80" t="e" cm="1">
        <f t="array" ref="R1870">_xlfn.IFS(P1870="Service", _xlfn.IFS(I1870="SALES","GP",I1870="SERVICE SALES","GP",I1870="PARTS SALES","GP",I1870="SERVICE COS","GP",I1870="PARTS COS","GP",I1870="SELLING EXPENSES","Selling Expenses",I1870="EMPLOYMENT EXPENSES","Selling Expenses",I1870="EMPLOYMENT EXPENSES","Selling Expenses",I1870="DIRECT EXPENSES","Selling Expenses",I1870="INDIRECT EXPENSES","Selling Expenses"),P1870="Parts",_xlfn.IFS(I1870="SALES","GP",I1870="SERVICE SALES","GP",I1870="PARTS SALES","GP",I1870="SERVICE COS","GP",I1870="PARTS COS","GP",I1870="SELLING EXPENSES","Selling Expenses",I1870="EMPLOYMENT EXPENSES","Selling Expenses",I1870="EMPLOYMENT EXPENSES","Selling Expenses",I1870="DIRECT EXPENSES","Selling Expenses",I1870="INDIRECT EXPENSES","Selling Expenses"))</f>
        <v>#N/A</v>
      </c>
    </row>
    <row r="1871" spans="1:18" x14ac:dyDescent="0.2">
      <c r="A1871" s="75">
        <v>7690</v>
      </c>
      <c r="B1871" s="76" t="s">
        <v>126</v>
      </c>
      <c r="C1871" s="76">
        <v>122</v>
      </c>
      <c r="D1871" s="76" t="s">
        <v>452</v>
      </c>
      <c r="E1871" s="76" t="s">
        <v>426</v>
      </c>
      <c r="F1871" s="77">
        <v>70653</v>
      </c>
      <c r="G1871" s="77">
        <v>8350</v>
      </c>
      <c r="H1871" s="77">
        <v>79003</v>
      </c>
      <c r="I1871" s="76" t="s">
        <v>968</v>
      </c>
      <c r="J1871" s="77">
        <v>0</v>
      </c>
      <c r="K1871" s="78">
        <v>0</v>
      </c>
      <c r="M1871" s="79" t="str">
        <f t="shared" si="89"/>
        <v>122-7690</v>
      </c>
      <c r="N1871" s="79" t="str">
        <f t="shared" si="87"/>
        <v/>
      </c>
      <c r="O1871" s="79" t="str">
        <f t="shared" si="88"/>
        <v>122</v>
      </c>
      <c r="P1871" s="79" t="str">
        <f>IFERROR(VLOOKUP($M1871,Export!$P:$R,2,FALSE),"-")</f>
        <v>LEX Admin &amp; Other</v>
      </c>
      <c r="Q1871" s="79" t="str">
        <f>IFERROR(VLOOKUP($M1871,Export!$P:$R,3,FALSE),"-")</f>
        <v>LEX Admin &amp; OtherRent &amp; Rates as % of Total Gross Profit</v>
      </c>
      <c r="R1871" s="80" t="e" cm="1">
        <f t="array" ref="R1871">_xlfn.IFS(P1871="Service", _xlfn.IFS(I1871="SALES","GP",I1871="SERVICE SALES","GP",I1871="PARTS SALES","GP",I1871="SERVICE COS","GP",I1871="PARTS COS","GP",I1871="SELLING EXPENSES","Selling Expenses",I1871="EMPLOYMENT EXPENSES","Selling Expenses",I1871="EMPLOYMENT EXPENSES","Selling Expenses",I1871="DIRECT EXPENSES","Selling Expenses",I1871="INDIRECT EXPENSES","Selling Expenses"),P1871="Parts",_xlfn.IFS(I1871="SALES","GP",I1871="SERVICE SALES","GP",I1871="PARTS SALES","GP",I1871="SERVICE COS","GP",I1871="PARTS COS","GP",I1871="SELLING EXPENSES","Selling Expenses",I1871="EMPLOYMENT EXPENSES","Selling Expenses",I1871="EMPLOYMENT EXPENSES","Selling Expenses",I1871="DIRECT EXPENSES","Selling Expenses",I1871="INDIRECT EXPENSES","Selling Expenses"))</f>
        <v>#N/A</v>
      </c>
    </row>
    <row r="1872" spans="1:18" x14ac:dyDescent="0.2">
      <c r="A1872" s="75">
        <v>7690</v>
      </c>
      <c r="B1872" s="76" t="s">
        <v>126</v>
      </c>
      <c r="C1872" s="76">
        <v>130</v>
      </c>
      <c r="D1872" s="76" t="s">
        <v>432</v>
      </c>
      <c r="E1872" s="76" t="s">
        <v>426</v>
      </c>
      <c r="F1872" s="77">
        <v>56057.53</v>
      </c>
      <c r="G1872" s="77">
        <v>6370.5</v>
      </c>
      <c r="H1872" s="77">
        <v>62428.03</v>
      </c>
      <c r="I1872" s="76" t="s">
        <v>968</v>
      </c>
      <c r="J1872" s="77">
        <v>5781.26</v>
      </c>
      <c r="K1872" s="78">
        <v>73347.039999999994</v>
      </c>
      <c r="M1872" s="79" t="str">
        <f t="shared" si="89"/>
        <v>130-7690</v>
      </c>
      <c r="N1872" s="79" t="str">
        <f t="shared" si="87"/>
        <v/>
      </c>
      <c r="O1872" s="79" t="str">
        <f t="shared" si="88"/>
        <v>130</v>
      </c>
      <c r="P1872" s="79" t="str">
        <f>IFERROR(VLOOKUP($M1872,Export!$P:$R,2,FALSE),"-")</f>
        <v>Admin &amp; Other</v>
      </c>
      <c r="Q1872" s="79" t="str">
        <f>IFERROR(VLOOKUP($M1872,Export!$P:$R,3,FALSE),"-")</f>
        <v>Admin &amp; OtherRent &amp; Rates as % of Total Gross Profit</v>
      </c>
      <c r="R1872" s="80" t="e" cm="1">
        <f t="array" ref="R1872">_xlfn.IFS(P1872="Service", _xlfn.IFS(I1872="SALES","GP",I1872="SERVICE SALES","GP",I1872="PARTS SALES","GP",I1872="SERVICE COS","GP",I1872="PARTS COS","GP",I1872="SELLING EXPENSES","Selling Expenses",I1872="EMPLOYMENT EXPENSES","Selling Expenses",I1872="EMPLOYMENT EXPENSES","Selling Expenses",I1872="DIRECT EXPENSES","Selling Expenses",I1872="INDIRECT EXPENSES","Selling Expenses"),P1872="Parts",_xlfn.IFS(I1872="SALES","GP",I1872="SERVICE SALES","GP",I1872="PARTS SALES","GP",I1872="SERVICE COS","GP",I1872="PARTS COS","GP",I1872="SELLING EXPENSES","Selling Expenses",I1872="EMPLOYMENT EXPENSES","Selling Expenses",I1872="EMPLOYMENT EXPENSES","Selling Expenses",I1872="DIRECT EXPENSES","Selling Expenses",I1872="INDIRECT EXPENSES","Selling Expenses"))</f>
        <v>#N/A</v>
      </c>
    </row>
    <row r="1873" spans="1:18" x14ac:dyDescent="0.2">
      <c r="A1873" s="75">
        <v>7690</v>
      </c>
      <c r="B1873" s="76" t="s">
        <v>126</v>
      </c>
      <c r="C1873" s="76">
        <v>140</v>
      </c>
      <c r="D1873" s="76" t="s">
        <v>433</v>
      </c>
      <c r="E1873" s="76" t="s">
        <v>426</v>
      </c>
      <c r="F1873" s="77">
        <v>77342.58</v>
      </c>
      <c r="G1873" s="77">
        <v>5328.2</v>
      </c>
      <c r="H1873" s="77">
        <v>82670.78</v>
      </c>
      <c r="I1873" s="76" t="s">
        <v>968</v>
      </c>
      <c r="J1873" s="77">
        <v>8844.06</v>
      </c>
      <c r="K1873" s="78">
        <v>155689.85999999999</v>
      </c>
      <c r="M1873" s="79" t="str">
        <f t="shared" si="89"/>
        <v>140-7690</v>
      </c>
      <c r="N1873" s="79" t="str">
        <f t="shared" si="87"/>
        <v/>
      </c>
      <c r="O1873" s="79" t="str">
        <f t="shared" si="88"/>
        <v>140</v>
      </c>
      <c r="P1873" s="79" t="str">
        <f>IFERROR(VLOOKUP($M1873,Export!$P:$R,2,FALSE),"-")</f>
        <v>Admin &amp; Other</v>
      </c>
      <c r="Q1873" s="79" t="str">
        <f>IFERROR(VLOOKUP($M1873,Export!$P:$R,3,FALSE),"-")</f>
        <v>Admin &amp; OtherRent &amp; Rates as % of Total Gross Profit</v>
      </c>
      <c r="R1873" s="80" t="e" cm="1">
        <f t="array" ref="R1873">_xlfn.IFS(P1873="Service", _xlfn.IFS(I1873="SALES","GP",I1873="SERVICE SALES","GP",I1873="PARTS SALES","GP",I1873="SERVICE COS","GP",I1873="PARTS COS","GP",I1873="SELLING EXPENSES","Selling Expenses",I1873="EMPLOYMENT EXPENSES","Selling Expenses",I1873="EMPLOYMENT EXPENSES","Selling Expenses",I1873="DIRECT EXPENSES","Selling Expenses",I1873="INDIRECT EXPENSES","Selling Expenses"),P1873="Parts",_xlfn.IFS(I1873="SALES","GP",I1873="SERVICE SALES","GP",I1873="PARTS SALES","GP",I1873="SERVICE COS","GP",I1873="PARTS COS","GP",I1873="SELLING EXPENSES","Selling Expenses",I1873="EMPLOYMENT EXPENSES","Selling Expenses",I1873="EMPLOYMENT EXPENSES","Selling Expenses",I1873="DIRECT EXPENSES","Selling Expenses",I1873="INDIRECT EXPENSES","Selling Expenses"))</f>
        <v>#N/A</v>
      </c>
    </row>
    <row r="1874" spans="1:18" x14ac:dyDescent="0.2">
      <c r="A1874" s="75">
        <v>7690</v>
      </c>
      <c r="B1874" s="76" t="s">
        <v>126</v>
      </c>
      <c r="C1874" s="76">
        <v>142</v>
      </c>
      <c r="D1874" s="76" t="s">
        <v>454</v>
      </c>
      <c r="E1874" s="76" t="s">
        <v>426</v>
      </c>
      <c r="F1874" s="77">
        <v>96844.43</v>
      </c>
      <c r="G1874" s="77">
        <v>15921.48</v>
      </c>
      <c r="H1874" s="77">
        <v>112765.91</v>
      </c>
      <c r="I1874" s="76" t="s">
        <v>968</v>
      </c>
      <c r="J1874" s="77">
        <v>8355.4699999999993</v>
      </c>
      <c r="K1874" s="78">
        <v>54076.25</v>
      </c>
      <c r="M1874" s="79" t="str">
        <f t="shared" si="89"/>
        <v>142-7690</v>
      </c>
      <c r="N1874" s="79" t="str">
        <f t="shared" si="87"/>
        <v/>
      </c>
      <c r="O1874" s="79" t="str">
        <f t="shared" si="88"/>
        <v>142</v>
      </c>
      <c r="P1874" s="79" t="str">
        <f>IFERROR(VLOOKUP($M1874,Export!$P:$R,2,FALSE),"-")</f>
        <v>LEX Admin &amp; Other</v>
      </c>
      <c r="Q1874" s="79" t="str">
        <f>IFERROR(VLOOKUP($M1874,Export!$P:$R,3,FALSE),"-")</f>
        <v>LEX Admin &amp; OtherRent &amp; Rates as % of Total Gross Profit</v>
      </c>
      <c r="R1874" s="80" t="e" cm="1">
        <f t="array" ref="R1874">_xlfn.IFS(P1874="Service", _xlfn.IFS(I1874="SALES","GP",I1874="SERVICE SALES","GP",I1874="PARTS SALES","GP",I1874="SERVICE COS","GP",I1874="PARTS COS","GP",I1874="SELLING EXPENSES","Selling Expenses",I1874="EMPLOYMENT EXPENSES","Selling Expenses",I1874="EMPLOYMENT EXPENSES","Selling Expenses",I1874="DIRECT EXPENSES","Selling Expenses",I1874="INDIRECT EXPENSES","Selling Expenses"),P1874="Parts",_xlfn.IFS(I1874="SALES","GP",I1874="SERVICE SALES","GP",I1874="PARTS SALES","GP",I1874="SERVICE COS","GP",I1874="PARTS COS","GP",I1874="SELLING EXPENSES","Selling Expenses",I1874="EMPLOYMENT EXPENSES","Selling Expenses",I1874="EMPLOYMENT EXPENSES","Selling Expenses",I1874="DIRECT EXPENSES","Selling Expenses",I1874="INDIRECT EXPENSES","Selling Expenses"))</f>
        <v>#N/A</v>
      </c>
    </row>
    <row r="1875" spans="1:18" x14ac:dyDescent="0.2">
      <c r="A1875" s="75">
        <v>7690</v>
      </c>
      <c r="B1875" s="76" t="s">
        <v>126</v>
      </c>
      <c r="C1875" s="76">
        <v>147</v>
      </c>
      <c r="D1875" s="76" t="s">
        <v>699</v>
      </c>
      <c r="E1875" s="76" t="s">
        <v>426</v>
      </c>
      <c r="F1875" s="77">
        <v>13757.08</v>
      </c>
      <c r="G1875" s="77">
        <v>0</v>
      </c>
      <c r="H1875" s="77">
        <v>13757.08</v>
      </c>
      <c r="I1875" s="76" t="s">
        <v>968</v>
      </c>
      <c r="J1875" s="77">
        <v>6873.96</v>
      </c>
      <c r="K1875" s="78">
        <v>52843.76</v>
      </c>
      <c r="M1875" s="79" t="str">
        <f t="shared" si="89"/>
        <v>147-7690</v>
      </c>
      <c r="N1875" s="79" t="str">
        <f t="shared" si="87"/>
        <v/>
      </c>
      <c r="O1875" s="79" t="str">
        <f t="shared" si="88"/>
        <v>147</v>
      </c>
      <c r="P1875" s="79" t="str">
        <f>IFERROR(VLOOKUP($M1875,Export!$P:$R,2,FALSE),"-")</f>
        <v>Admin &amp; Other</v>
      </c>
      <c r="Q1875" s="79" t="str">
        <f>IFERROR(VLOOKUP($M1875,Export!$P:$R,3,FALSE),"-")</f>
        <v>Admin &amp; OtherRent &amp; Rates as % of Total Gross Profit</v>
      </c>
      <c r="R1875" s="80" t="e" cm="1">
        <f t="array" ref="R1875">_xlfn.IFS(P1875="Service", _xlfn.IFS(I1875="SALES","GP",I1875="SERVICE SALES","GP",I1875="PARTS SALES","GP",I1875="SERVICE COS","GP",I1875="PARTS COS","GP",I1875="SELLING EXPENSES","Selling Expenses",I1875="EMPLOYMENT EXPENSES","Selling Expenses",I1875="EMPLOYMENT EXPENSES","Selling Expenses",I1875="DIRECT EXPENSES","Selling Expenses",I1875="INDIRECT EXPENSES","Selling Expenses"),P1875="Parts",_xlfn.IFS(I1875="SALES","GP",I1875="SERVICE SALES","GP",I1875="PARTS SALES","GP",I1875="SERVICE COS","GP",I1875="PARTS COS","GP",I1875="SELLING EXPENSES","Selling Expenses",I1875="EMPLOYMENT EXPENSES","Selling Expenses",I1875="EMPLOYMENT EXPENSES","Selling Expenses",I1875="DIRECT EXPENSES","Selling Expenses",I1875="INDIRECT EXPENSES","Selling Expenses"))</f>
        <v>#N/A</v>
      </c>
    </row>
    <row r="1876" spans="1:18" x14ac:dyDescent="0.2">
      <c r="A1876" s="75">
        <v>7690</v>
      </c>
      <c r="B1876" s="76" t="s">
        <v>126</v>
      </c>
      <c r="C1876" s="76">
        <v>150</v>
      </c>
      <c r="D1876" s="76" t="s">
        <v>700</v>
      </c>
      <c r="E1876" s="76" t="s">
        <v>426</v>
      </c>
      <c r="F1876" s="77">
        <v>46507.53</v>
      </c>
      <c r="G1876" s="77">
        <v>5305.45</v>
      </c>
      <c r="H1876" s="77">
        <v>51812.98</v>
      </c>
      <c r="I1876" s="76" t="s">
        <v>968</v>
      </c>
      <c r="J1876" s="77">
        <v>0</v>
      </c>
      <c r="K1876" s="78">
        <v>0</v>
      </c>
      <c r="M1876" s="79" t="str">
        <f t="shared" si="89"/>
        <v>150-7690</v>
      </c>
      <c r="N1876" s="79" t="str">
        <f t="shared" si="87"/>
        <v/>
      </c>
      <c r="O1876" s="79" t="str">
        <f t="shared" si="88"/>
        <v>150</v>
      </c>
      <c r="P1876" s="79" t="str">
        <f>IFERROR(VLOOKUP($M1876,Export!$P:$R,2,FALSE),"-")</f>
        <v>LEX Admin &amp; Other</v>
      </c>
      <c r="Q1876" s="79" t="str">
        <f>IFERROR(VLOOKUP($M1876,Export!$P:$R,3,FALSE),"-")</f>
        <v>LEX Admin &amp; OtherRent &amp; Rates as % of Total Gross Profit</v>
      </c>
      <c r="R1876" s="80" t="e" cm="1">
        <f t="array" ref="R1876">_xlfn.IFS(P1876="Service", _xlfn.IFS(I1876="SALES","GP",I1876="SERVICE SALES","GP",I1876="PARTS SALES","GP",I1876="SERVICE COS","GP",I1876="PARTS COS","GP",I1876="SELLING EXPENSES","Selling Expenses",I1876="EMPLOYMENT EXPENSES","Selling Expenses",I1876="EMPLOYMENT EXPENSES","Selling Expenses",I1876="DIRECT EXPENSES","Selling Expenses",I1876="INDIRECT EXPENSES","Selling Expenses"),P1876="Parts",_xlfn.IFS(I1876="SALES","GP",I1876="SERVICE SALES","GP",I1876="PARTS SALES","GP",I1876="SERVICE COS","GP",I1876="PARTS COS","GP",I1876="SELLING EXPENSES","Selling Expenses",I1876="EMPLOYMENT EXPENSES","Selling Expenses",I1876="EMPLOYMENT EXPENSES","Selling Expenses",I1876="DIRECT EXPENSES","Selling Expenses",I1876="INDIRECT EXPENSES","Selling Expenses"))</f>
        <v>#N/A</v>
      </c>
    </row>
    <row r="1877" spans="1:18" x14ac:dyDescent="0.2">
      <c r="A1877" s="75">
        <v>7690</v>
      </c>
      <c r="B1877" s="76" t="s">
        <v>126</v>
      </c>
      <c r="C1877" s="76">
        <v>210</v>
      </c>
      <c r="D1877" s="76" t="s">
        <v>436</v>
      </c>
      <c r="E1877" s="76" t="s">
        <v>426</v>
      </c>
      <c r="F1877" s="77">
        <v>172466.34</v>
      </c>
      <c r="G1877" s="77">
        <v>19457.05</v>
      </c>
      <c r="H1877" s="77">
        <v>191923.39</v>
      </c>
      <c r="I1877" s="76" t="s">
        <v>968</v>
      </c>
      <c r="J1877" s="77">
        <v>17883.37</v>
      </c>
      <c r="K1877" s="78">
        <v>180550.65</v>
      </c>
      <c r="M1877" s="79" t="str">
        <f t="shared" si="89"/>
        <v>210-7690</v>
      </c>
      <c r="N1877" s="79" t="str">
        <f t="shared" si="87"/>
        <v/>
      </c>
      <c r="O1877" s="79" t="str">
        <f t="shared" si="88"/>
        <v>210</v>
      </c>
      <c r="P1877" s="79" t="str">
        <f>IFERROR(VLOOKUP($M1877,Export!$P:$R,2,FALSE),"-")</f>
        <v>Admin &amp; Other</v>
      </c>
      <c r="Q1877" s="79" t="str">
        <f>IFERROR(VLOOKUP($M1877,Export!$P:$R,3,FALSE),"-")</f>
        <v>Admin &amp; OtherRent &amp; Rates as % of Total Gross Profit</v>
      </c>
      <c r="R1877" s="80" t="e" cm="1">
        <f t="array" ref="R1877">_xlfn.IFS(P1877="Service", _xlfn.IFS(I1877="SALES","GP",I1877="SERVICE SALES","GP",I1877="PARTS SALES","GP",I1877="SERVICE COS","GP",I1877="PARTS COS","GP",I1877="SELLING EXPENSES","Selling Expenses",I1877="EMPLOYMENT EXPENSES","Selling Expenses",I1877="EMPLOYMENT EXPENSES","Selling Expenses",I1877="DIRECT EXPENSES","Selling Expenses",I1877="INDIRECT EXPENSES","Selling Expenses"),P1877="Parts",_xlfn.IFS(I1877="SALES","GP",I1877="SERVICE SALES","GP",I1877="PARTS SALES","GP",I1877="SERVICE COS","GP",I1877="PARTS COS","GP",I1877="SELLING EXPENSES","Selling Expenses",I1877="EMPLOYMENT EXPENSES","Selling Expenses",I1877="EMPLOYMENT EXPENSES","Selling Expenses",I1877="DIRECT EXPENSES","Selling Expenses",I1877="INDIRECT EXPENSES","Selling Expenses"))</f>
        <v>#N/A</v>
      </c>
    </row>
    <row r="1878" spans="1:18" x14ac:dyDescent="0.2">
      <c r="A1878" s="75">
        <v>7690</v>
      </c>
      <c r="B1878" s="76" t="s">
        <v>126</v>
      </c>
      <c r="C1878" s="76">
        <v>220</v>
      </c>
      <c r="D1878" s="76" t="s">
        <v>437</v>
      </c>
      <c r="E1878" s="76" t="s">
        <v>426</v>
      </c>
      <c r="F1878" s="77">
        <v>125636.1</v>
      </c>
      <c r="G1878" s="77">
        <v>14371.85</v>
      </c>
      <c r="H1878" s="77">
        <v>140007.95000000001</v>
      </c>
      <c r="I1878" s="76" t="s">
        <v>968</v>
      </c>
      <c r="J1878" s="77">
        <v>13071.54</v>
      </c>
      <c r="K1878" s="78">
        <v>129793.27</v>
      </c>
      <c r="M1878" s="79" t="str">
        <f t="shared" si="89"/>
        <v>220-7690</v>
      </c>
      <c r="N1878" s="79" t="str">
        <f t="shared" si="87"/>
        <v/>
      </c>
      <c r="O1878" s="79" t="str">
        <f t="shared" si="88"/>
        <v>220</v>
      </c>
      <c r="P1878" s="79" t="str">
        <f>IFERROR(VLOOKUP($M1878,Export!$P:$R,2,FALSE),"-")</f>
        <v>Admin &amp; Other</v>
      </c>
      <c r="Q1878" s="79" t="str">
        <f>IFERROR(VLOOKUP($M1878,Export!$P:$R,3,FALSE),"-")</f>
        <v>Admin &amp; OtherRent &amp; Rates as % of Total Gross Profit</v>
      </c>
      <c r="R1878" s="80" t="e" cm="1">
        <f t="array" ref="R1878">_xlfn.IFS(P1878="Service", _xlfn.IFS(I1878="SALES","GP",I1878="SERVICE SALES","GP",I1878="PARTS SALES","GP",I1878="SERVICE COS","GP",I1878="PARTS COS","GP",I1878="SELLING EXPENSES","Selling Expenses",I1878="EMPLOYMENT EXPENSES","Selling Expenses",I1878="EMPLOYMENT EXPENSES","Selling Expenses",I1878="DIRECT EXPENSES","Selling Expenses",I1878="INDIRECT EXPENSES","Selling Expenses"),P1878="Parts",_xlfn.IFS(I1878="SALES","GP",I1878="SERVICE SALES","GP",I1878="PARTS SALES","GP",I1878="SERVICE COS","GP",I1878="PARTS COS","GP",I1878="SELLING EXPENSES","Selling Expenses",I1878="EMPLOYMENT EXPENSES","Selling Expenses",I1878="EMPLOYMENT EXPENSES","Selling Expenses",I1878="DIRECT EXPENSES","Selling Expenses",I1878="INDIRECT EXPENSES","Selling Expenses"))</f>
        <v>#N/A</v>
      </c>
    </row>
    <row r="1879" spans="1:18" x14ac:dyDescent="0.2">
      <c r="A1879" s="75">
        <v>7690</v>
      </c>
      <c r="B1879" s="76" t="s">
        <v>126</v>
      </c>
      <c r="C1879" s="76">
        <v>230</v>
      </c>
      <c r="D1879" s="76" t="s">
        <v>438</v>
      </c>
      <c r="E1879" s="76" t="s">
        <v>426</v>
      </c>
      <c r="F1879" s="77">
        <v>30566.79</v>
      </c>
      <c r="G1879" s="77">
        <v>3509.05</v>
      </c>
      <c r="H1879" s="77">
        <v>34075.839999999997</v>
      </c>
      <c r="I1879" s="76" t="s">
        <v>968</v>
      </c>
      <c r="J1879" s="77">
        <v>3170.83</v>
      </c>
      <c r="K1879" s="78">
        <v>31708.98</v>
      </c>
      <c r="M1879" s="79" t="str">
        <f t="shared" si="89"/>
        <v>230-7690</v>
      </c>
      <c r="N1879" s="79" t="str">
        <f t="shared" si="87"/>
        <v/>
      </c>
      <c r="O1879" s="79" t="str">
        <f t="shared" si="88"/>
        <v>230</v>
      </c>
      <c r="P1879" s="79" t="str">
        <f>IFERROR(VLOOKUP($M1879,Export!$P:$R,2,FALSE),"-")</f>
        <v>Admin &amp; Other</v>
      </c>
      <c r="Q1879" s="79" t="str">
        <f>IFERROR(VLOOKUP($M1879,Export!$P:$R,3,FALSE),"-")</f>
        <v>Admin &amp; OtherRent &amp; Rates as % of Total Gross Profit</v>
      </c>
      <c r="R1879" s="80" t="e" cm="1">
        <f t="array" ref="R1879">_xlfn.IFS(P1879="Service", _xlfn.IFS(I1879="SALES","GP",I1879="SERVICE SALES","GP",I1879="PARTS SALES","GP",I1879="SERVICE COS","GP",I1879="PARTS COS","GP",I1879="SELLING EXPENSES","Selling Expenses",I1879="EMPLOYMENT EXPENSES","Selling Expenses",I1879="EMPLOYMENT EXPENSES","Selling Expenses",I1879="DIRECT EXPENSES","Selling Expenses",I1879="INDIRECT EXPENSES","Selling Expenses"),P1879="Parts",_xlfn.IFS(I1879="SALES","GP",I1879="SERVICE SALES","GP",I1879="PARTS SALES","GP",I1879="SERVICE COS","GP",I1879="PARTS COS","GP",I1879="SELLING EXPENSES","Selling Expenses",I1879="EMPLOYMENT EXPENSES","Selling Expenses",I1879="EMPLOYMENT EXPENSES","Selling Expenses",I1879="DIRECT EXPENSES","Selling Expenses",I1879="INDIRECT EXPENSES","Selling Expenses"))</f>
        <v>#N/A</v>
      </c>
    </row>
    <row r="1880" spans="1:18" x14ac:dyDescent="0.2">
      <c r="A1880" s="75">
        <v>7690</v>
      </c>
      <c r="B1880" s="76" t="s">
        <v>126</v>
      </c>
      <c r="C1880" s="76">
        <v>240</v>
      </c>
      <c r="D1880" s="76" t="s">
        <v>439</v>
      </c>
      <c r="E1880" s="76" t="s">
        <v>426</v>
      </c>
      <c r="F1880" s="77">
        <v>50452.86</v>
      </c>
      <c r="G1880" s="77">
        <v>4967.84</v>
      </c>
      <c r="H1880" s="77">
        <v>55420.7</v>
      </c>
      <c r="I1880" s="76" t="s">
        <v>968</v>
      </c>
      <c r="J1880" s="77">
        <v>4538.0200000000004</v>
      </c>
      <c r="K1880" s="78">
        <v>39912.120000000003</v>
      </c>
      <c r="M1880" s="79" t="str">
        <f t="shared" si="89"/>
        <v>240-7690</v>
      </c>
      <c r="N1880" s="79" t="str">
        <f t="shared" si="87"/>
        <v/>
      </c>
      <c r="O1880" s="79" t="str">
        <f t="shared" si="88"/>
        <v>240</v>
      </c>
      <c r="P1880" s="79" t="str">
        <f>IFERROR(VLOOKUP($M1880,Export!$P:$R,2,FALSE),"-")</f>
        <v>Admin &amp; Other</v>
      </c>
      <c r="Q1880" s="79" t="str">
        <f>IFERROR(VLOOKUP($M1880,Export!$P:$R,3,FALSE),"-")</f>
        <v>Admin &amp; OtherRent &amp; Rates as % of Total Gross Profit</v>
      </c>
      <c r="R1880" s="80" t="e" cm="1">
        <f t="array" ref="R1880">_xlfn.IFS(P1880="Service", _xlfn.IFS(I1880="SALES","GP",I1880="SERVICE SALES","GP",I1880="PARTS SALES","GP",I1880="SERVICE COS","GP",I1880="PARTS COS","GP",I1880="SELLING EXPENSES","Selling Expenses",I1880="EMPLOYMENT EXPENSES","Selling Expenses",I1880="EMPLOYMENT EXPENSES","Selling Expenses",I1880="DIRECT EXPENSES","Selling Expenses",I1880="INDIRECT EXPENSES","Selling Expenses"),P1880="Parts",_xlfn.IFS(I1880="SALES","GP",I1880="SERVICE SALES","GP",I1880="PARTS SALES","GP",I1880="SERVICE COS","GP",I1880="PARTS COS","GP",I1880="SELLING EXPENSES","Selling Expenses",I1880="EMPLOYMENT EXPENSES","Selling Expenses",I1880="EMPLOYMENT EXPENSES","Selling Expenses",I1880="DIRECT EXPENSES","Selling Expenses",I1880="INDIRECT EXPENSES","Selling Expenses"))</f>
        <v>#N/A</v>
      </c>
    </row>
    <row r="1881" spans="1:18" x14ac:dyDescent="0.2">
      <c r="A1881" s="75">
        <v>7690</v>
      </c>
      <c r="B1881" s="76" t="s">
        <v>126</v>
      </c>
      <c r="C1881" s="76">
        <v>260</v>
      </c>
      <c r="D1881" s="76" t="s">
        <v>456</v>
      </c>
      <c r="E1881" s="76" t="s">
        <v>426</v>
      </c>
      <c r="F1881" s="77">
        <v>8434.85</v>
      </c>
      <c r="G1881" s="77">
        <v>1754.53</v>
      </c>
      <c r="H1881" s="77">
        <v>10189.379999999999</v>
      </c>
      <c r="I1881" s="76" t="s">
        <v>968</v>
      </c>
      <c r="J1881" s="77">
        <v>1585.42</v>
      </c>
      <c r="K1881" s="78">
        <v>15852.52</v>
      </c>
      <c r="M1881" s="79" t="str">
        <f t="shared" si="89"/>
        <v>260-7690</v>
      </c>
      <c r="N1881" s="79" t="str">
        <f t="shared" si="87"/>
        <v/>
      </c>
      <c r="O1881" s="79" t="str">
        <f t="shared" si="88"/>
        <v>260</v>
      </c>
      <c r="P1881" s="79" t="str">
        <f>IFERROR(VLOOKUP($M1881,Export!$P:$R,2,FALSE),"-")</f>
        <v>Admin &amp; Other</v>
      </c>
      <c r="Q1881" s="79" t="str">
        <f>IFERROR(VLOOKUP($M1881,Export!$P:$R,3,FALSE),"-")</f>
        <v>Admin &amp; OtherRent &amp; Rates as % of Total Gross Profit</v>
      </c>
      <c r="R1881" s="80" t="e" cm="1">
        <f t="array" ref="R1881">_xlfn.IFS(P1881="Service", _xlfn.IFS(I1881="SALES","GP",I1881="SERVICE SALES","GP",I1881="PARTS SALES","GP",I1881="SERVICE COS","GP",I1881="PARTS COS","GP",I1881="SELLING EXPENSES","Selling Expenses",I1881="EMPLOYMENT EXPENSES","Selling Expenses",I1881="EMPLOYMENT EXPENSES","Selling Expenses",I1881="DIRECT EXPENSES","Selling Expenses",I1881="INDIRECT EXPENSES","Selling Expenses"),P1881="Parts",_xlfn.IFS(I1881="SALES","GP",I1881="SERVICE SALES","GP",I1881="PARTS SALES","GP",I1881="SERVICE COS","GP",I1881="PARTS COS","GP",I1881="SELLING EXPENSES","Selling Expenses",I1881="EMPLOYMENT EXPENSES","Selling Expenses",I1881="EMPLOYMENT EXPENSES","Selling Expenses",I1881="DIRECT EXPENSES","Selling Expenses",I1881="INDIRECT EXPENSES","Selling Expenses"))</f>
        <v>#N/A</v>
      </c>
    </row>
    <row r="1882" spans="1:18" x14ac:dyDescent="0.2">
      <c r="A1882" s="75">
        <v>7690</v>
      </c>
      <c r="B1882" s="76" t="s">
        <v>126</v>
      </c>
      <c r="C1882" s="76">
        <v>330</v>
      </c>
      <c r="D1882" s="76" t="s">
        <v>457</v>
      </c>
      <c r="E1882" s="76" t="s">
        <v>426</v>
      </c>
      <c r="F1882" s="77">
        <v>11919.66</v>
      </c>
      <c r="G1882" s="77">
        <v>1355.36</v>
      </c>
      <c r="H1882" s="77">
        <v>13275.02</v>
      </c>
      <c r="I1882" s="76" t="s">
        <v>968</v>
      </c>
      <c r="J1882" s="77">
        <v>1262.5</v>
      </c>
      <c r="K1882" s="78">
        <v>7575</v>
      </c>
      <c r="M1882" s="79" t="str">
        <f t="shared" si="89"/>
        <v>330-7690</v>
      </c>
      <c r="N1882" s="79" t="str">
        <f t="shared" si="87"/>
        <v/>
      </c>
      <c r="O1882" s="79" t="str">
        <f t="shared" si="88"/>
        <v>330</v>
      </c>
      <c r="P1882" s="79" t="str">
        <f>IFERROR(VLOOKUP($M1882,Export!$P:$R,2,FALSE),"-")</f>
        <v>Admin &amp; Other</v>
      </c>
      <c r="Q1882" s="79" t="str">
        <f>IFERROR(VLOOKUP($M1882,Export!$P:$R,3,FALSE),"-")</f>
        <v>Admin &amp; OtherRent &amp; Rates as % of Total Gross Profit</v>
      </c>
      <c r="R1882" s="80" t="e" cm="1">
        <f t="array" ref="R1882">_xlfn.IFS(P1882="Service", _xlfn.IFS(I1882="SALES","GP",I1882="SERVICE SALES","GP",I1882="PARTS SALES","GP",I1882="SERVICE COS","GP",I1882="PARTS COS","GP",I1882="SELLING EXPENSES","Selling Expenses",I1882="EMPLOYMENT EXPENSES","Selling Expenses",I1882="EMPLOYMENT EXPENSES","Selling Expenses",I1882="DIRECT EXPENSES","Selling Expenses",I1882="INDIRECT EXPENSES","Selling Expenses"),P1882="Parts",_xlfn.IFS(I1882="SALES","GP",I1882="SERVICE SALES","GP",I1882="PARTS SALES","GP",I1882="SERVICE COS","GP",I1882="PARTS COS","GP",I1882="SELLING EXPENSES","Selling Expenses",I1882="EMPLOYMENT EXPENSES","Selling Expenses",I1882="EMPLOYMENT EXPENSES","Selling Expenses",I1882="DIRECT EXPENSES","Selling Expenses",I1882="INDIRECT EXPENSES","Selling Expenses"))</f>
        <v>#N/A</v>
      </c>
    </row>
    <row r="1883" spans="1:18" x14ac:dyDescent="0.2">
      <c r="A1883" s="75">
        <v>7690</v>
      </c>
      <c r="B1883" s="76" t="s">
        <v>126</v>
      </c>
      <c r="C1883" s="76">
        <v>340</v>
      </c>
      <c r="D1883" s="76" t="s">
        <v>440</v>
      </c>
      <c r="E1883" s="76" t="s">
        <v>426</v>
      </c>
      <c r="F1883" s="77">
        <v>78595.58</v>
      </c>
      <c r="G1883" s="77">
        <v>8913.26</v>
      </c>
      <c r="H1883" s="77">
        <v>87508.84</v>
      </c>
      <c r="I1883" s="76" t="s">
        <v>968</v>
      </c>
      <c r="J1883" s="77">
        <v>8310.94</v>
      </c>
      <c r="K1883" s="78">
        <v>77641.64</v>
      </c>
      <c r="M1883" s="79" t="str">
        <f t="shared" si="89"/>
        <v>340-7690</v>
      </c>
      <c r="N1883" s="79" t="str">
        <f t="shared" si="87"/>
        <v/>
      </c>
      <c r="O1883" s="79" t="str">
        <f t="shared" si="88"/>
        <v>340</v>
      </c>
      <c r="P1883" s="79" t="str">
        <f>IFERROR(VLOOKUP($M1883,Export!$P:$R,2,FALSE),"-")</f>
        <v>Admin &amp; Other</v>
      </c>
      <c r="Q1883" s="79" t="str">
        <f>IFERROR(VLOOKUP($M1883,Export!$P:$R,3,FALSE),"-")</f>
        <v>Admin &amp; OtherRent &amp; Rates as % of Total Gross Profit</v>
      </c>
      <c r="R1883" s="80" t="e" cm="1">
        <f t="array" ref="R1883">_xlfn.IFS(P1883="Service", _xlfn.IFS(I1883="SALES","GP",I1883="SERVICE SALES","GP",I1883="PARTS SALES","GP",I1883="SERVICE COS","GP",I1883="PARTS COS","GP",I1883="SELLING EXPENSES","Selling Expenses",I1883="EMPLOYMENT EXPENSES","Selling Expenses",I1883="EMPLOYMENT EXPENSES","Selling Expenses",I1883="DIRECT EXPENSES","Selling Expenses",I1883="INDIRECT EXPENSES","Selling Expenses"),P1883="Parts",_xlfn.IFS(I1883="SALES","GP",I1883="SERVICE SALES","GP",I1883="PARTS SALES","GP",I1883="SERVICE COS","GP",I1883="PARTS COS","GP",I1883="SELLING EXPENSES","Selling Expenses",I1883="EMPLOYMENT EXPENSES","Selling Expenses",I1883="EMPLOYMENT EXPENSES","Selling Expenses",I1883="DIRECT EXPENSES","Selling Expenses",I1883="INDIRECT EXPENSES","Selling Expenses"))</f>
        <v>#N/A</v>
      </c>
    </row>
    <row r="1884" spans="1:18" x14ac:dyDescent="0.2">
      <c r="A1884" s="75">
        <v>7690</v>
      </c>
      <c r="B1884" s="76" t="s">
        <v>126</v>
      </c>
      <c r="C1884" s="76">
        <v>430</v>
      </c>
      <c r="D1884" s="76" t="s">
        <v>458</v>
      </c>
      <c r="E1884" s="76" t="s">
        <v>426</v>
      </c>
      <c r="F1884" s="77">
        <v>29977.360000000001</v>
      </c>
      <c r="G1884" s="77">
        <v>3334.38</v>
      </c>
      <c r="H1884" s="77">
        <v>33311.74</v>
      </c>
      <c r="I1884" s="76" t="s">
        <v>968</v>
      </c>
      <c r="J1884" s="77">
        <v>3125</v>
      </c>
      <c r="K1884" s="78">
        <v>18750</v>
      </c>
      <c r="M1884" s="79" t="str">
        <f t="shared" si="89"/>
        <v>430-7690</v>
      </c>
      <c r="N1884" s="79" t="str">
        <f t="shared" si="87"/>
        <v/>
      </c>
      <c r="O1884" s="79" t="str">
        <f t="shared" si="88"/>
        <v>430</v>
      </c>
      <c r="P1884" s="79" t="str">
        <f>IFERROR(VLOOKUP($M1884,Export!$P:$R,2,FALSE),"-")</f>
        <v>Admin &amp; Other</v>
      </c>
      <c r="Q1884" s="79" t="str">
        <f>IFERROR(VLOOKUP($M1884,Export!$P:$R,3,FALSE),"-")</f>
        <v>Admin &amp; OtherRent &amp; Rates as % of Total Gross Profit</v>
      </c>
      <c r="R1884" s="80" t="e" cm="1">
        <f t="array" ref="R1884">_xlfn.IFS(P1884="Service", _xlfn.IFS(I1884="SALES","GP",I1884="SERVICE SALES","GP",I1884="PARTS SALES","GP",I1884="SERVICE COS","GP",I1884="PARTS COS","GP",I1884="SELLING EXPENSES","Selling Expenses",I1884="EMPLOYMENT EXPENSES","Selling Expenses",I1884="EMPLOYMENT EXPENSES","Selling Expenses",I1884="DIRECT EXPENSES","Selling Expenses",I1884="INDIRECT EXPENSES","Selling Expenses"),P1884="Parts",_xlfn.IFS(I1884="SALES","GP",I1884="SERVICE SALES","GP",I1884="PARTS SALES","GP",I1884="SERVICE COS","GP",I1884="PARTS COS","GP",I1884="SELLING EXPENSES","Selling Expenses",I1884="EMPLOYMENT EXPENSES","Selling Expenses",I1884="EMPLOYMENT EXPENSES","Selling Expenses",I1884="DIRECT EXPENSES","Selling Expenses",I1884="INDIRECT EXPENSES","Selling Expenses"))</f>
        <v>#N/A</v>
      </c>
    </row>
    <row r="1885" spans="1:18" x14ac:dyDescent="0.2">
      <c r="A1885" s="75">
        <v>7690</v>
      </c>
      <c r="B1885" s="76" t="s">
        <v>126</v>
      </c>
      <c r="C1885" s="76">
        <v>440</v>
      </c>
      <c r="D1885" s="76" t="s">
        <v>441</v>
      </c>
      <c r="E1885" s="76" t="s">
        <v>426</v>
      </c>
      <c r="F1885" s="77">
        <v>155800.51999999999</v>
      </c>
      <c r="G1885" s="77">
        <v>17255.39</v>
      </c>
      <c r="H1885" s="77">
        <v>173055.91</v>
      </c>
      <c r="I1885" s="76" t="s">
        <v>968</v>
      </c>
      <c r="J1885" s="77">
        <v>16171.88</v>
      </c>
      <c r="K1885" s="78">
        <v>97031.28</v>
      </c>
      <c r="M1885" s="79" t="str">
        <f t="shared" si="89"/>
        <v>440-7690</v>
      </c>
      <c r="N1885" s="79" t="str">
        <f t="shared" si="87"/>
        <v/>
      </c>
      <c r="O1885" s="79" t="str">
        <f t="shared" si="88"/>
        <v>440</v>
      </c>
      <c r="P1885" s="79" t="str">
        <f>IFERROR(VLOOKUP($M1885,Export!$P:$R,2,FALSE),"-")</f>
        <v>Admin &amp; Other</v>
      </c>
      <c r="Q1885" s="79" t="str">
        <f>IFERROR(VLOOKUP($M1885,Export!$P:$R,3,FALSE),"-")</f>
        <v>Admin &amp; OtherRent &amp; Rates as % of Total Gross Profit</v>
      </c>
      <c r="R1885" s="80" t="e" cm="1">
        <f t="array" ref="R1885">_xlfn.IFS(P1885="Service", _xlfn.IFS(I1885="SALES","GP",I1885="SERVICE SALES","GP",I1885="PARTS SALES","GP",I1885="SERVICE COS","GP",I1885="PARTS COS","GP",I1885="SELLING EXPENSES","Selling Expenses",I1885="EMPLOYMENT EXPENSES","Selling Expenses",I1885="EMPLOYMENT EXPENSES","Selling Expenses",I1885="DIRECT EXPENSES","Selling Expenses",I1885="INDIRECT EXPENSES","Selling Expenses"),P1885="Parts",_xlfn.IFS(I1885="SALES","GP",I1885="SERVICE SALES","GP",I1885="PARTS SALES","GP",I1885="SERVICE COS","GP",I1885="PARTS COS","GP",I1885="SELLING EXPENSES","Selling Expenses",I1885="EMPLOYMENT EXPENSES","Selling Expenses",I1885="EMPLOYMENT EXPENSES","Selling Expenses",I1885="DIRECT EXPENSES","Selling Expenses",I1885="INDIRECT EXPENSES","Selling Expenses"))</f>
        <v>#N/A</v>
      </c>
    </row>
    <row r="1886" spans="1:18" x14ac:dyDescent="0.2">
      <c r="A1886" s="75">
        <v>7690</v>
      </c>
      <c r="B1886" s="76" t="s">
        <v>126</v>
      </c>
      <c r="C1886" s="76">
        <v>935</v>
      </c>
      <c r="D1886" s="76" t="s">
        <v>442</v>
      </c>
      <c r="E1886" s="76" t="s">
        <v>426</v>
      </c>
      <c r="F1886" s="77">
        <v>45562.5</v>
      </c>
      <c r="G1886" s="77">
        <v>5062.5</v>
      </c>
      <c r="H1886" s="77">
        <v>50625</v>
      </c>
      <c r="I1886" s="76" t="s">
        <v>968</v>
      </c>
      <c r="J1886" s="77">
        <v>5062.5</v>
      </c>
      <c r="K1886" s="78">
        <v>43039</v>
      </c>
      <c r="M1886" s="79" t="str">
        <f t="shared" si="89"/>
        <v>935-7690</v>
      </c>
      <c r="N1886" s="79" t="str">
        <f t="shared" si="87"/>
        <v/>
      </c>
      <c r="O1886" s="79" t="str">
        <f t="shared" si="88"/>
        <v>935</v>
      </c>
      <c r="P1886" s="79" t="str">
        <f>IFERROR(VLOOKUP($M1886,Export!$P:$R,2,FALSE),"-")</f>
        <v>LEX Admin &amp; Other</v>
      </c>
      <c r="Q1886" s="79" t="str">
        <f>IFERROR(VLOOKUP($M1886,Export!$P:$R,3,FALSE),"-")</f>
        <v>LEX Admin &amp; OtherRent &amp; Rates as % of Total Gross Profit</v>
      </c>
      <c r="R1886" s="80" t="e" cm="1">
        <f t="array" ref="R1886">_xlfn.IFS(P1886="Service", _xlfn.IFS(I1886="SALES","GP",I1886="SERVICE SALES","GP",I1886="PARTS SALES","GP",I1886="SERVICE COS","GP",I1886="PARTS COS","GP",I1886="SELLING EXPENSES","Selling Expenses",I1886="EMPLOYMENT EXPENSES","Selling Expenses",I1886="EMPLOYMENT EXPENSES","Selling Expenses",I1886="DIRECT EXPENSES","Selling Expenses",I1886="INDIRECT EXPENSES","Selling Expenses"),P1886="Parts",_xlfn.IFS(I1886="SALES","GP",I1886="SERVICE SALES","GP",I1886="PARTS SALES","GP",I1886="SERVICE COS","GP",I1886="PARTS COS","GP",I1886="SELLING EXPENSES","Selling Expenses",I1886="EMPLOYMENT EXPENSES","Selling Expenses",I1886="EMPLOYMENT EXPENSES","Selling Expenses",I1886="DIRECT EXPENSES","Selling Expenses",I1886="INDIRECT EXPENSES","Selling Expenses"))</f>
        <v>#N/A</v>
      </c>
    </row>
    <row r="1887" spans="1:18" x14ac:dyDescent="0.2">
      <c r="A1887" s="75">
        <v>7690</v>
      </c>
      <c r="B1887" s="76" t="s">
        <v>126</v>
      </c>
      <c r="C1887" s="76">
        <v>936</v>
      </c>
      <c r="D1887" s="76" t="s">
        <v>443</v>
      </c>
      <c r="E1887" s="76" t="s">
        <v>426</v>
      </c>
      <c r="F1887" s="77">
        <v>41718.75</v>
      </c>
      <c r="G1887" s="77">
        <v>4743.75</v>
      </c>
      <c r="H1887" s="77">
        <v>46462.5</v>
      </c>
      <c r="I1887" s="76" t="s">
        <v>968</v>
      </c>
      <c r="J1887" s="77">
        <v>4418.75</v>
      </c>
      <c r="K1887" s="78">
        <v>49232.5</v>
      </c>
      <c r="M1887" s="79" t="str">
        <f t="shared" si="89"/>
        <v>936-7690</v>
      </c>
      <c r="N1887" s="79" t="str">
        <f t="shared" si="87"/>
        <v/>
      </c>
      <c r="O1887" s="79" t="str">
        <f t="shared" si="88"/>
        <v>936</v>
      </c>
      <c r="P1887" s="79" t="str">
        <f>IFERROR(VLOOKUP($M1887,Export!$P:$R,2,FALSE),"-")</f>
        <v>LEX Admin &amp; Other</v>
      </c>
      <c r="Q1887" s="79" t="str">
        <f>IFERROR(VLOOKUP($M1887,Export!$P:$R,3,FALSE),"-")</f>
        <v>LEX Admin &amp; OtherRent &amp; Rates as % of Total Gross Profit</v>
      </c>
      <c r="R1887" s="80" t="e" cm="1">
        <f t="array" ref="R1887">_xlfn.IFS(P1887="Service", _xlfn.IFS(I1887="SALES","GP",I1887="SERVICE SALES","GP",I1887="PARTS SALES","GP",I1887="SERVICE COS","GP",I1887="PARTS COS","GP",I1887="SELLING EXPENSES","Selling Expenses",I1887="EMPLOYMENT EXPENSES","Selling Expenses",I1887="EMPLOYMENT EXPENSES","Selling Expenses",I1887="DIRECT EXPENSES","Selling Expenses",I1887="INDIRECT EXPENSES","Selling Expenses"),P1887="Parts",_xlfn.IFS(I1887="SALES","GP",I1887="SERVICE SALES","GP",I1887="PARTS SALES","GP",I1887="SERVICE COS","GP",I1887="PARTS COS","GP",I1887="SELLING EXPENSES","Selling Expenses",I1887="EMPLOYMENT EXPENSES","Selling Expenses",I1887="EMPLOYMENT EXPENSES","Selling Expenses",I1887="DIRECT EXPENSES","Selling Expenses",I1887="INDIRECT EXPENSES","Selling Expenses"))</f>
        <v>#N/A</v>
      </c>
    </row>
    <row r="1888" spans="1:18" x14ac:dyDescent="0.2">
      <c r="A1888" s="75">
        <v>7750</v>
      </c>
      <c r="B1888" s="76" t="s">
        <v>977</v>
      </c>
      <c r="C1888" s="76">
        <v>110</v>
      </c>
      <c r="D1888" s="76" t="s">
        <v>430</v>
      </c>
      <c r="E1888" s="76" t="s">
        <v>426</v>
      </c>
      <c r="F1888" s="77">
        <v>14708.03</v>
      </c>
      <c r="G1888" s="77">
        <v>463.95</v>
      </c>
      <c r="H1888" s="77">
        <v>15171.98</v>
      </c>
      <c r="I1888" s="76" t="s">
        <v>968</v>
      </c>
      <c r="J1888" s="77">
        <v>1591.04</v>
      </c>
      <c r="K1888" s="78">
        <v>18387.419999999998</v>
      </c>
      <c r="M1888" s="79" t="str">
        <f t="shared" si="89"/>
        <v>110-7750</v>
      </c>
      <c r="N1888" s="79" t="str">
        <f t="shared" si="87"/>
        <v/>
      </c>
      <c r="O1888" s="79" t="str">
        <f t="shared" si="88"/>
        <v>110</v>
      </c>
      <c r="P1888" s="79" t="str">
        <f>IFERROR(VLOOKUP($M1888,Export!$P:$R,2,FALSE),"-")</f>
        <v>Admin &amp; Other</v>
      </c>
      <c r="Q1888" s="79" t="str">
        <f>IFERROR(VLOOKUP($M1888,Export!$P:$R,3,FALSE),"-")</f>
        <v>Admin &amp; OtherR&amp;M and Cleaning as % of Total Gross Profit</v>
      </c>
      <c r="R1888" s="80" t="e" cm="1">
        <f t="array" ref="R1888">_xlfn.IFS(P1888="Service", _xlfn.IFS(I1888="SALES","GP",I1888="SERVICE SALES","GP",I1888="PARTS SALES","GP",I1888="SERVICE COS","GP",I1888="PARTS COS","GP",I1888="SELLING EXPENSES","Selling Expenses",I1888="EMPLOYMENT EXPENSES","Selling Expenses",I1888="EMPLOYMENT EXPENSES","Selling Expenses",I1888="DIRECT EXPENSES","Selling Expenses",I1888="INDIRECT EXPENSES","Selling Expenses"),P1888="Parts",_xlfn.IFS(I1888="SALES","GP",I1888="SERVICE SALES","GP",I1888="PARTS SALES","GP",I1888="SERVICE COS","GP",I1888="PARTS COS","GP",I1888="SELLING EXPENSES","Selling Expenses",I1888="EMPLOYMENT EXPENSES","Selling Expenses",I1888="EMPLOYMENT EXPENSES","Selling Expenses",I1888="DIRECT EXPENSES","Selling Expenses",I1888="INDIRECT EXPENSES","Selling Expenses"))</f>
        <v>#N/A</v>
      </c>
    </row>
    <row r="1889" spans="1:18" x14ac:dyDescent="0.2">
      <c r="A1889" s="75">
        <v>7750</v>
      </c>
      <c r="B1889" s="76" t="s">
        <v>977</v>
      </c>
      <c r="C1889" s="76">
        <v>112</v>
      </c>
      <c r="D1889" s="76" t="s">
        <v>349</v>
      </c>
      <c r="E1889" s="76" t="s">
        <v>426</v>
      </c>
      <c r="F1889" s="77">
        <v>23503.5</v>
      </c>
      <c r="G1889" s="77">
        <v>910</v>
      </c>
      <c r="H1889" s="77">
        <v>24413.5</v>
      </c>
      <c r="I1889" s="76" t="s">
        <v>968</v>
      </c>
      <c r="J1889" s="77">
        <v>505.47</v>
      </c>
      <c r="K1889" s="78">
        <v>5380.05</v>
      </c>
      <c r="M1889" s="79" t="str">
        <f t="shared" si="89"/>
        <v>112-7750</v>
      </c>
      <c r="N1889" s="79" t="str">
        <f t="shared" si="87"/>
        <v/>
      </c>
      <c r="O1889" s="79" t="str">
        <f t="shared" si="88"/>
        <v>112</v>
      </c>
      <c r="P1889" s="79" t="str">
        <f>IFERROR(VLOOKUP($M1889,Export!$P:$R,2,FALSE),"-")</f>
        <v>LEX Admin &amp; Other</v>
      </c>
      <c r="Q1889" s="79" t="str">
        <f>IFERROR(VLOOKUP($M1889,Export!$P:$R,3,FALSE),"-")</f>
        <v>LEX Admin &amp; OtherR&amp;M and Cleaning as % of Total Gross Profit</v>
      </c>
      <c r="R1889" s="80" t="e" cm="1">
        <f t="array" ref="R1889">_xlfn.IFS(P1889="Service", _xlfn.IFS(I1889="SALES","GP",I1889="SERVICE SALES","GP",I1889="PARTS SALES","GP",I1889="SERVICE COS","GP",I1889="PARTS COS","GP",I1889="SELLING EXPENSES","Selling Expenses",I1889="EMPLOYMENT EXPENSES","Selling Expenses",I1889="EMPLOYMENT EXPENSES","Selling Expenses",I1889="DIRECT EXPENSES","Selling Expenses",I1889="INDIRECT EXPENSES","Selling Expenses"),P1889="Parts",_xlfn.IFS(I1889="SALES","GP",I1889="SERVICE SALES","GP",I1889="PARTS SALES","GP",I1889="SERVICE COS","GP",I1889="PARTS COS","GP",I1889="SELLING EXPENSES","Selling Expenses",I1889="EMPLOYMENT EXPENSES","Selling Expenses",I1889="EMPLOYMENT EXPENSES","Selling Expenses",I1889="DIRECT EXPENSES","Selling Expenses",I1889="INDIRECT EXPENSES","Selling Expenses"))</f>
        <v>#N/A</v>
      </c>
    </row>
    <row r="1890" spans="1:18" x14ac:dyDescent="0.2">
      <c r="A1890" s="75">
        <v>7750</v>
      </c>
      <c r="B1890" s="76" t="s">
        <v>977</v>
      </c>
      <c r="C1890" s="76">
        <v>120</v>
      </c>
      <c r="D1890" s="76" t="s">
        <v>431</v>
      </c>
      <c r="E1890" s="76" t="s">
        <v>426</v>
      </c>
      <c r="F1890" s="77">
        <v>8931.2800000000007</v>
      </c>
      <c r="G1890" s="77">
        <v>66</v>
      </c>
      <c r="H1890" s="77">
        <v>8997.2800000000007</v>
      </c>
      <c r="I1890" s="76" t="s">
        <v>968</v>
      </c>
      <c r="J1890" s="77">
        <v>153.62</v>
      </c>
      <c r="K1890" s="78">
        <v>3589.46</v>
      </c>
      <c r="M1890" s="79" t="str">
        <f t="shared" si="89"/>
        <v>120-7750</v>
      </c>
      <c r="N1890" s="79" t="str">
        <f t="shared" si="87"/>
        <v/>
      </c>
      <c r="O1890" s="79" t="str">
        <f t="shared" si="88"/>
        <v>120</v>
      </c>
      <c r="P1890" s="79" t="str">
        <f>IFERROR(VLOOKUP($M1890,Export!$P:$R,2,FALSE),"-")</f>
        <v>Admin &amp; Other</v>
      </c>
      <c r="Q1890" s="79" t="str">
        <f>IFERROR(VLOOKUP($M1890,Export!$P:$R,3,FALSE),"-")</f>
        <v>Admin &amp; OtherR&amp;M and Cleaning as % of Total Gross Profit</v>
      </c>
      <c r="R1890" s="80" t="e" cm="1">
        <f t="array" ref="R1890">_xlfn.IFS(P1890="Service", _xlfn.IFS(I1890="SALES","GP",I1890="SERVICE SALES","GP",I1890="PARTS SALES","GP",I1890="SERVICE COS","GP",I1890="PARTS COS","GP",I1890="SELLING EXPENSES","Selling Expenses",I1890="EMPLOYMENT EXPENSES","Selling Expenses",I1890="EMPLOYMENT EXPENSES","Selling Expenses",I1890="DIRECT EXPENSES","Selling Expenses",I1890="INDIRECT EXPENSES","Selling Expenses"),P1890="Parts",_xlfn.IFS(I1890="SALES","GP",I1890="SERVICE SALES","GP",I1890="PARTS SALES","GP",I1890="SERVICE COS","GP",I1890="PARTS COS","GP",I1890="SELLING EXPENSES","Selling Expenses",I1890="EMPLOYMENT EXPENSES","Selling Expenses",I1890="EMPLOYMENT EXPENSES","Selling Expenses",I1890="DIRECT EXPENSES","Selling Expenses",I1890="INDIRECT EXPENSES","Selling Expenses"))</f>
        <v>#N/A</v>
      </c>
    </row>
    <row r="1891" spans="1:18" x14ac:dyDescent="0.2">
      <c r="A1891" s="75">
        <v>7750</v>
      </c>
      <c r="B1891" s="76" t="s">
        <v>977</v>
      </c>
      <c r="C1891" s="76">
        <v>121</v>
      </c>
      <c r="D1891" s="76" t="s">
        <v>449</v>
      </c>
      <c r="E1891" s="76" t="s">
        <v>426</v>
      </c>
      <c r="F1891" s="77">
        <v>0</v>
      </c>
      <c r="G1891" s="77">
        <v>0</v>
      </c>
      <c r="H1891" s="77">
        <v>0</v>
      </c>
      <c r="I1891" s="76" t="s">
        <v>968</v>
      </c>
      <c r="J1891" s="77">
        <v>128.02000000000001</v>
      </c>
      <c r="K1891" s="78">
        <v>1788.71</v>
      </c>
      <c r="M1891" s="79" t="str">
        <f t="shared" si="89"/>
        <v>121-7750</v>
      </c>
      <c r="N1891" s="79" t="str">
        <f t="shared" si="87"/>
        <v/>
      </c>
      <c r="O1891" s="79" t="str">
        <f t="shared" si="88"/>
        <v>121</v>
      </c>
      <c r="P1891" s="79" t="str">
        <f>IFERROR(VLOOKUP($M1891,Export!$P:$R,2,FALSE),"-")</f>
        <v>Admin &amp; Other</v>
      </c>
      <c r="Q1891" s="79" t="str">
        <f>IFERROR(VLOOKUP($M1891,Export!$P:$R,3,FALSE),"-")</f>
        <v>Admin &amp; OtherR&amp;M and Cleaning as % of Total Gross Profit</v>
      </c>
      <c r="R1891" s="80" t="e" cm="1">
        <f t="array" ref="R1891">_xlfn.IFS(P1891="Service", _xlfn.IFS(I1891="SALES","GP",I1891="SERVICE SALES","GP",I1891="PARTS SALES","GP",I1891="SERVICE COS","GP",I1891="PARTS COS","GP",I1891="SELLING EXPENSES","Selling Expenses",I1891="EMPLOYMENT EXPENSES","Selling Expenses",I1891="EMPLOYMENT EXPENSES","Selling Expenses",I1891="DIRECT EXPENSES","Selling Expenses",I1891="INDIRECT EXPENSES","Selling Expenses"),P1891="Parts",_xlfn.IFS(I1891="SALES","GP",I1891="SERVICE SALES","GP",I1891="PARTS SALES","GP",I1891="SERVICE COS","GP",I1891="PARTS COS","GP",I1891="SELLING EXPENSES","Selling Expenses",I1891="EMPLOYMENT EXPENSES","Selling Expenses",I1891="EMPLOYMENT EXPENSES","Selling Expenses",I1891="DIRECT EXPENSES","Selling Expenses",I1891="INDIRECT EXPENSES","Selling Expenses"))</f>
        <v>#N/A</v>
      </c>
    </row>
    <row r="1892" spans="1:18" x14ac:dyDescent="0.2">
      <c r="A1892" s="75">
        <v>7750</v>
      </c>
      <c r="B1892" s="76" t="s">
        <v>977</v>
      </c>
      <c r="C1892" s="76">
        <v>130</v>
      </c>
      <c r="D1892" s="76" t="s">
        <v>432</v>
      </c>
      <c r="E1892" s="76" t="s">
        <v>426</v>
      </c>
      <c r="F1892" s="77">
        <v>8246.92</v>
      </c>
      <c r="G1892" s="77">
        <v>51</v>
      </c>
      <c r="H1892" s="77">
        <v>8297.92</v>
      </c>
      <c r="I1892" s="76" t="s">
        <v>968</v>
      </c>
      <c r="J1892" s="77">
        <v>217.64</v>
      </c>
      <c r="K1892" s="78">
        <v>3084.48</v>
      </c>
      <c r="M1892" s="79" t="str">
        <f t="shared" si="89"/>
        <v>130-7750</v>
      </c>
      <c r="N1892" s="79" t="str">
        <f t="shared" si="87"/>
        <v/>
      </c>
      <c r="O1892" s="79" t="str">
        <f t="shared" si="88"/>
        <v>130</v>
      </c>
      <c r="P1892" s="79" t="str">
        <f>IFERROR(VLOOKUP($M1892,Export!$P:$R,2,FALSE),"-")</f>
        <v>Admin &amp; Other</v>
      </c>
      <c r="Q1892" s="79" t="str">
        <f>IFERROR(VLOOKUP($M1892,Export!$P:$R,3,FALSE),"-")</f>
        <v>Admin &amp; OtherR&amp;M and Cleaning as % of Total Gross Profit</v>
      </c>
      <c r="R1892" s="80" t="e" cm="1">
        <f t="array" ref="R1892">_xlfn.IFS(P1892="Service", _xlfn.IFS(I1892="SALES","GP",I1892="SERVICE SALES","GP",I1892="PARTS SALES","GP",I1892="SERVICE COS","GP",I1892="PARTS COS","GP",I1892="SELLING EXPENSES","Selling Expenses",I1892="EMPLOYMENT EXPENSES","Selling Expenses",I1892="EMPLOYMENT EXPENSES","Selling Expenses",I1892="DIRECT EXPENSES","Selling Expenses",I1892="INDIRECT EXPENSES","Selling Expenses"),P1892="Parts",_xlfn.IFS(I1892="SALES","GP",I1892="SERVICE SALES","GP",I1892="PARTS SALES","GP",I1892="SERVICE COS","GP",I1892="PARTS COS","GP",I1892="SELLING EXPENSES","Selling Expenses",I1892="EMPLOYMENT EXPENSES","Selling Expenses",I1892="EMPLOYMENT EXPENSES","Selling Expenses",I1892="DIRECT EXPENSES","Selling Expenses",I1892="INDIRECT EXPENSES","Selling Expenses"))</f>
        <v>#N/A</v>
      </c>
    </row>
    <row r="1893" spans="1:18" x14ac:dyDescent="0.2">
      <c r="A1893" s="75">
        <v>7750</v>
      </c>
      <c r="B1893" s="76" t="s">
        <v>977</v>
      </c>
      <c r="C1893" s="76">
        <v>140</v>
      </c>
      <c r="D1893" s="76" t="s">
        <v>433</v>
      </c>
      <c r="E1893" s="76" t="s">
        <v>426</v>
      </c>
      <c r="F1893" s="77">
        <v>10962.29</v>
      </c>
      <c r="G1893" s="77">
        <v>5668.18</v>
      </c>
      <c r="H1893" s="77">
        <v>16630.47</v>
      </c>
      <c r="I1893" s="76" t="s">
        <v>968</v>
      </c>
      <c r="J1893" s="77">
        <v>633.91</v>
      </c>
      <c r="K1893" s="78">
        <v>9367.36</v>
      </c>
      <c r="M1893" s="79" t="str">
        <f t="shared" si="89"/>
        <v>140-7750</v>
      </c>
      <c r="N1893" s="79" t="str">
        <f t="shared" si="87"/>
        <v/>
      </c>
      <c r="O1893" s="79" t="str">
        <f t="shared" si="88"/>
        <v>140</v>
      </c>
      <c r="P1893" s="79" t="str">
        <f>IFERROR(VLOOKUP($M1893,Export!$P:$R,2,FALSE),"-")</f>
        <v>Admin &amp; Other</v>
      </c>
      <c r="Q1893" s="79" t="str">
        <f>IFERROR(VLOOKUP($M1893,Export!$P:$R,3,FALSE),"-")</f>
        <v>Admin &amp; OtherR&amp;M and Cleaning as % of Total Gross Profit</v>
      </c>
      <c r="R1893" s="80" t="e" cm="1">
        <f t="array" ref="R1893">_xlfn.IFS(P1893="Service", _xlfn.IFS(I1893="SALES","GP",I1893="SERVICE SALES","GP",I1893="PARTS SALES","GP",I1893="SERVICE COS","GP",I1893="PARTS COS","GP",I1893="SELLING EXPENSES","Selling Expenses",I1893="EMPLOYMENT EXPENSES","Selling Expenses",I1893="EMPLOYMENT EXPENSES","Selling Expenses",I1893="DIRECT EXPENSES","Selling Expenses",I1893="INDIRECT EXPENSES","Selling Expenses"),P1893="Parts",_xlfn.IFS(I1893="SALES","GP",I1893="SERVICE SALES","GP",I1893="PARTS SALES","GP",I1893="SERVICE COS","GP",I1893="PARTS COS","GP",I1893="SELLING EXPENSES","Selling Expenses",I1893="EMPLOYMENT EXPENSES","Selling Expenses",I1893="EMPLOYMENT EXPENSES","Selling Expenses",I1893="DIRECT EXPENSES","Selling Expenses",I1893="INDIRECT EXPENSES","Selling Expenses"))</f>
        <v>#N/A</v>
      </c>
    </row>
    <row r="1894" spans="1:18" x14ac:dyDescent="0.2">
      <c r="A1894" s="75">
        <v>7750</v>
      </c>
      <c r="B1894" s="76" t="s">
        <v>977</v>
      </c>
      <c r="C1894" s="76">
        <v>142</v>
      </c>
      <c r="D1894" s="76" t="s">
        <v>454</v>
      </c>
      <c r="E1894" s="76" t="s">
        <v>426</v>
      </c>
      <c r="F1894" s="77">
        <v>1900.96</v>
      </c>
      <c r="G1894" s="77">
        <v>0</v>
      </c>
      <c r="H1894" s="77">
        <v>1900.96</v>
      </c>
      <c r="I1894" s="76" t="s">
        <v>968</v>
      </c>
      <c r="J1894" s="77">
        <v>0</v>
      </c>
      <c r="K1894" s="78">
        <v>0</v>
      </c>
      <c r="M1894" s="79" t="str">
        <f t="shared" si="89"/>
        <v>142-7750</v>
      </c>
      <c r="N1894" s="79" t="str">
        <f t="shared" si="87"/>
        <v/>
      </c>
      <c r="O1894" s="79" t="str">
        <f t="shared" si="88"/>
        <v>142</v>
      </c>
      <c r="P1894" s="79" t="str">
        <f>IFERROR(VLOOKUP($M1894,Export!$P:$R,2,FALSE),"-")</f>
        <v>LEX Admin &amp; Other</v>
      </c>
      <c r="Q1894" s="79" t="str">
        <f>IFERROR(VLOOKUP($M1894,Export!$P:$R,3,FALSE),"-")</f>
        <v>LEX Admin &amp; OtherR&amp;M and Cleaning as % of Total Gross Profit</v>
      </c>
      <c r="R1894" s="80" t="e" cm="1">
        <f t="array" ref="R1894">_xlfn.IFS(P1894="Service", _xlfn.IFS(I1894="SALES","GP",I1894="SERVICE SALES","GP",I1894="PARTS SALES","GP",I1894="SERVICE COS","GP",I1894="PARTS COS","GP",I1894="SELLING EXPENSES","Selling Expenses",I1894="EMPLOYMENT EXPENSES","Selling Expenses",I1894="EMPLOYMENT EXPENSES","Selling Expenses",I1894="DIRECT EXPENSES","Selling Expenses",I1894="INDIRECT EXPENSES","Selling Expenses"),P1894="Parts",_xlfn.IFS(I1894="SALES","GP",I1894="SERVICE SALES","GP",I1894="PARTS SALES","GP",I1894="SERVICE COS","GP",I1894="PARTS COS","GP",I1894="SELLING EXPENSES","Selling Expenses",I1894="EMPLOYMENT EXPENSES","Selling Expenses",I1894="EMPLOYMENT EXPENSES","Selling Expenses",I1894="DIRECT EXPENSES","Selling Expenses",I1894="INDIRECT EXPENSES","Selling Expenses"))</f>
        <v>#N/A</v>
      </c>
    </row>
    <row r="1895" spans="1:18" x14ac:dyDescent="0.2">
      <c r="A1895" s="75">
        <v>7750</v>
      </c>
      <c r="B1895" s="76" t="s">
        <v>977</v>
      </c>
      <c r="C1895" s="76">
        <v>150</v>
      </c>
      <c r="D1895" s="76" t="s">
        <v>700</v>
      </c>
      <c r="E1895" s="76" t="s">
        <v>426</v>
      </c>
      <c r="F1895" s="77">
        <v>971.6</v>
      </c>
      <c r="G1895" s="77">
        <v>215.66</v>
      </c>
      <c r="H1895" s="77">
        <v>1187.26</v>
      </c>
      <c r="I1895" s="76" t="s">
        <v>968</v>
      </c>
      <c r="J1895" s="77">
        <v>0</v>
      </c>
      <c r="K1895" s="78">
        <v>0</v>
      </c>
      <c r="M1895" s="79" t="str">
        <f t="shared" si="89"/>
        <v>150-7750</v>
      </c>
      <c r="N1895" s="79" t="str">
        <f t="shared" si="87"/>
        <v/>
      </c>
      <c r="O1895" s="79" t="str">
        <f t="shared" si="88"/>
        <v>150</v>
      </c>
      <c r="P1895" s="79" t="str">
        <f>IFERROR(VLOOKUP($M1895,Export!$P:$R,2,FALSE),"-")</f>
        <v>LEX Admin &amp; Other</v>
      </c>
      <c r="Q1895" s="79" t="str">
        <f>IFERROR(VLOOKUP($M1895,Export!$P:$R,3,FALSE),"-")</f>
        <v>LEX Admin &amp; OtherR&amp;M and Cleaning as % of Total Gross Profit</v>
      </c>
      <c r="R1895" s="80" t="e" cm="1">
        <f t="array" ref="R1895">_xlfn.IFS(P1895="Service", _xlfn.IFS(I1895="SALES","GP",I1895="SERVICE SALES","GP",I1895="PARTS SALES","GP",I1895="SERVICE COS","GP",I1895="PARTS COS","GP",I1895="SELLING EXPENSES","Selling Expenses",I1895="EMPLOYMENT EXPENSES","Selling Expenses",I1895="EMPLOYMENT EXPENSES","Selling Expenses",I1895="DIRECT EXPENSES","Selling Expenses",I1895="INDIRECT EXPENSES","Selling Expenses"),P1895="Parts",_xlfn.IFS(I1895="SALES","GP",I1895="SERVICE SALES","GP",I1895="PARTS SALES","GP",I1895="SERVICE COS","GP",I1895="PARTS COS","GP",I1895="SELLING EXPENSES","Selling Expenses",I1895="EMPLOYMENT EXPENSES","Selling Expenses",I1895="EMPLOYMENT EXPENSES","Selling Expenses",I1895="DIRECT EXPENSES","Selling Expenses",I1895="INDIRECT EXPENSES","Selling Expenses"))</f>
        <v>#N/A</v>
      </c>
    </row>
    <row r="1896" spans="1:18" x14ac:dyDescent="0.2">
      <c r="A1896" s="75">
        <v>7750</v>
      </c>
      <c r="B1896" s="76" t="s">
        <v>977</v>
      </c>
      <c r="C1896" s="76">
        <v>160</v>
      </c>
      <c r="D1896" s="76" t="s">
        <v>434</v>
      </c>
      <c r="E1896" s="76" t="s">
        <v>426</v>
      </c>
      <c r="F1896" s="77">
        <v>2353.06</v>
      </c>
      <c r="G1896" s="77">
        <v>18</v>
      </c>
      <c r="H1896" s="77">
        <v>2371.06</v>
      </c>
      <c r="I1896" s="76" t="s">
        <v>968</v>
      </c>
      <c r="J1896" s="77">
        <v>76.81</v>
      </c>
      <c r="K1896" s="78">
        <v>963.32</v>
      </c>
      <c r="M1896" s="79" t="str">
        <f t="shared" si="89"/>
        <v>160-7750</v>
      </c>
      <c r="N1896" s="79" t="str">
        <f t="shared" si="87"/>
        <v/>
      </c>
      <c r="O1896" s="79" t="str">
        <f t="shared" si="88"/>
        <v>160</v>
      </c>
      <c r="P1896" s="79" t="str">
        <f>IFERROR(VLOOKUP($M1896,Export!$P:$R,2,FALSE),"-")</f>
        <v>Admin &amp; Other</v>
      </c>
      <c r="Q1896" s="79" t="str">
        <f>IFERROR(VLOOKUP($M1896,Export!$P:$R,3,FALSE),"-")</f>
        <v>Admin &amp; OtherR&amp;M and Cleaning as % of Total Gross Profit</v>
      </c>
      <c r="R1896" s="80" t="e" cm="1">
        <f t="array" ref="R1896">_xlfn.IFS(P1896="Service", _xlfn.IFS(I1896="SALES","GP",I1896="SERVICE SALES","GP",I1896="PARTS SALES","GP",I1896="SERVICE COS","GP",I1896="PARTS COS","GP",I1896="SELLING EXPENSES","Selling Expenses",I1896="EMPLOYMENT EXPENSES","Selling Expenses",I1896="EMPLOYMENT EXPENSES","Selling Expenses",I1896="DIRECT EXPENSES","Selling Expenses",I1896="INDIRECT EXPENSES","Selling Expenses"),P1896="Parts",_xlfn.IFS(I1896="SALES","GP",I1896="SERVICE SALES","GP",I1896="PARTS SALES","GP",I1896="SERVICE COS","GP",I1896="PARTS COS","GP",I1896="SELLING EXPENSES","Selling Expenses",I1896="EMPLOYMENT EXPENSES","Selling Expenses",I1896="EMPLOYMENT EXPENSES","Selling Expenses",I1896="DIRECT EXPENSES","Selling Expenses",I1896="INDIRECT EXPENSES","Selling Expenses"))</f>
        <v>#N/A</v>
      </c>
    </row>
    <row r="1897" spans="1:18" x14ac:dyDescent="0.2">
      <c r="A1897" s="75">
        <v>7750</v>
      </c>
      <c r="B1897" s="76" t="s">
        <v>977</v>
      </c>
      <c r="C1897" s="76">
        <v>190</v>
      </c>
      <c r="D1897" s="76" t="s">
        <v>435</v>
      </c>
      <c r="E1897" s="76" t="s">
        <v>426</v>
      </c>
      <c r="F1897" s="77">
        <v>2008.5</v>
      </c>
      <c r="G1897" s="77">
        <v>203.79</v>
      </c>
      <c r="H1897" s="77">
        <v>2212.29</v>
      </c>
      <c r="I1897" s="76" t="s">
        <v>968</v>
      </c>
      <c r="J1897" s="77">
        <v>0</v>
      </c>
      <c r="K1897" s="78">
        <v>0</v>
      </c>
      <c r="M1897" s="79" t="str">
        <f t="shared" si="89"/>
        <v>190-7750</v>
      </c>
      <c r="N1897" s="79" t="str">
        <f t="shared" si="87"/>
        <v/>
      </c>
      <c r="O1897" s="79" t="str">
        <f t="shared" si="88"/>
        <v>190</v>
      </c>
      <c r="P1897" s="79" t="str">
        <f>IFERROR(VLOOKUP($M1897,Export!$P:$R,2,FALSE),"-")</f>
        <v>Admin &amp; Other</v>
      </c>
      <c r="Q1897" s="79" t="str">
        <f>IFERROR(VLOOKUP($M1897,Export!$P:$R,3,FALSE),"-")</f>
        <v>Admin &amp; OtherR&amp;M and Cleaning as % of Total Gross Profit</v>
      </c>
      <c r="R1897" s="80" t="e" cm="1">
        <f t="array" ref="R1897">_xlfn.IFS(P1897="Service", _xlfn.IFS(I1897="SALES","GP",I1897="SERVICE SALES","GP",I1897="PARTS SALES","GP",I1897="SERVICE COS","GP",I1897="PARTS COS","GP",I1897="SELLING EXPENSES","Selling Expenses",I1897="EMPLOYMENT EXPENSES","Selling Expenses",I1897="EMPLOYMENT EXPENSES","Selling Expenses",I1897="DIRECT EXPENSES","Selling Expenses",I1897="INDIRECT EXPENSES","Selling Expenses"),P1897="Parts",_xlfn.IFS(I1897="SALES","GP",I1897="SERVICE SALES","GP",I1897="PARTS SALES","GP",I1897="SERVICE COS","GP",I1897="PARTS COS","GP",I1897="SELLING EXPENSES","Selling Expenses",I1897="EMPLOYMENT EXPENSES","Selling Expenses",I1897="EMPLOYMENT EXPENSES","Selling Expenses",I1897="DIRECT EXPENSES","Selling Expenses",I1897="INDIRECT EXPENSES","Selling Expenses"))</f>
        <v>#N/A</v>
      </c>
    </row>
    <row r="1898" spans="1:18" x14ac:dyDescent="0.2">
      <c r="A1898" s="75">
        <v>7750</v>
      </c>
      <c r="B1898" s="76" t="s">
        <v>977</v>
      </c>
      <c r="C1898" s="76">
        <v>210</v>
      </c>
      <c r="D1898" s="76" t="s">
        <v>436</v>
      </c>
      <c r="E1898" s="76" t="s">
        <v>426</v>
      </c>
      <c r="F1898" s="77">
        <v>3498</v>
      </c>
      <c r="G1898" s="77">
        <v>500.87</v>
      </c>
      <c r="H1898" s="77">
        <v>3998.87</v>
      </c>
      <c r="I1898" s="76" t="s">
        <v>968</v>
      </c>
      <c r="J1898" s="77">
        <v>176.95</v>
      </c>
      <c r="K1898" s="78">
        <v>2132.77</v>
      </c>
      <c r="M1898" s="79" t="str">
        <f t="shared" si="89"/>
        <v>210-7750</v>
      </c>
      <c r="N1898" s="79" t="str">
        <f t="shared" si="87"/>
        <v/>
      </c>
      <c r="O1898" s="79" t="str">
        <f t="shared" si="88"/>
        <v>210</v>
      </c>
      <c r="P1898" s="79" t="str">
        <f>IFERROR(VLOOKUP($M1898,Export!$P:$R,2,FALSE),"-")</f>
        <v>Admin &amp; Other</v>
      </c>
      <c r="Q1898" s="79" t="str">
        <f>IFERROR(VLOOKUP($M1898,Export!$P:$R,3,FALSE),"-")</f>
        <v>Admin &amp; OtherR&amp;M and Cleaning as % of Total Gross Profit</v>
      </c>
      <c r="R1898" s="80" t="e" cm="1">
        <f t="array" ref="R1898">_xlfn.IFS(P1898="Service", _xlfn.IFS(I1898="SALES","GP",I1898="SERVICE SALES","GP",I1898="PARTS SALES","GP",I1898="SERVICE COS","GP",I1898="PARTS COS","GP",I1898="SELLING EXPENSES","Selling Expenses",I1898="EMPLOYMENT EXPENSES","Selling Expenses",I1898="EMPLOYMENT EXPENSES","Selling Expenses",I1898="DIRECT EXPENSES","Selling Expenses",I1898="INDIRECT EXPENSES","Selling Expenses"),P1898="Parts",_xlfn.IFS(I1898="SALES","GP",I1898="SERVICE SALES","GP",I1898="PARTS SALES","GP",I1898="SERVICE COS","GP",I1898="PARTS COS","GP",I1898="SELLING EXPENSES","Selling Expenses",I1898="EMPLOYMENT EXPENSES","Selling Expenses",I1898="EMPLOYMENT EXPENSES","Selling Expenses",I1898="DIRECT EXPENSES","Selling Expenses",I1898="INDIRECT EXPENSES","Selling Expenses"))</f>
        <v>#N/A</v>
      </c>
    </row>
    <row r="1899" spans="1:18" x14ac:dyDescent="0.2">
      <c r="A1899" s="75">
        <v>7750</v>
      </c>
      <c r="B1899" s="76" t="s">
        <v>977</v>
      </c>
      <c r="C1899" s="76">
        <v>220</v>
      </c>
      <c r="D1899" s="76" t="s">
        <v>437</v>
      </c>
      <c r="E1899" s="76" t="s">
        <v>426</v>
      </c>
      <c r="F1899" s="77">
        <v>3505.83</v>
      </c>
      <c r="G1899" s="77">
        <v>500.87</v>
      </c>
      <c r="H1899" s="77">
        <v>4006.7</v>
      </c>
      <c r="I1899" s="76" t="s">
        <v>968</v>
      </c>
      <c r="J1899" s="77">
        <v>176.95</v>
      </c>
      <c r="K1899" s="78">
        <v>2132.77</v>
      </c>
      <c r="M1899" s="79" t="str">
        <f t="shared" si="89"/>
        <v>220-7750</v>
      </c>
      <c r="N1899" s="79" t="str">
        <f t="shared" si="87"/>
        <v/>
      </c>
      <c r="O1899" s="79" t="str">
        <f t="shared" si="88"/>
        <v>220</v>
      </c>
      <c r="P1899" s="79" t="str">
        <f>IFERROR(VLOOKUP($M1899,Export!$P:$R,2,FALSE),"-")</f>
        <v>Admin &amp; Other</v>
      </c>
      <c r="Q1899" s="79" t="str">
        <f>IFERROR(VLOOKUP($M1899,Export!$P:$R,3,FALSE),"-")</f>
        <v>Admin &amp; OtherR&amp;M and Cleaning as % of Total Gross Profit</v>
      </c>
      <c r="R1899" s="80" t="e" cm="1">
        <f t="array" ref="R1899">_xlfn.IFS(P1899="Service", _xlfn.IFS(I1899="SALES","GP",I1899="SERVICE SALES","GP",I1899="PARTS SALES","GP",I1899="SERVICE COS","GP",I1899="PARTS COS","GP",I1899="SELLING EXPENSES","Selling Expenses",I1899="EMPLOYMENT EXPENSES","Selling Expenses",I1899="EMPLOYMENT EXPENSES","Selling Expenses",I1899="DIRECT EXPENSES","Selling Expenses",I1899="INDIRECT EXPENSES","Selling Expenses"),P1899="Parts",_xlfn.IFS(I1899="SALES","GP",I1899="SERVICE SALES","GP",I1899="PARTS SALES","GP",I1899="SERVICE COS","GP",I1899="PARTS COS","GP",I1899="SELLING EXPENSES","Selling Expenses",I1899="EMPLOYMENT EXPENSES","Selling Expenses",I1899="EMPLOYMENT EXPENSES","Selling Expenses",I1899="DIRECT EXPENSES","Selling Expenses",I1899="INDIRECT EXPENSES","Selling Expenses"))</f>
        <v>#N/A</v>
      </c>
    </row>
    <row r="1900" spans="1:18" x14ac:dyDescent="0.2">
      <c r="A1900" s="75">
        <v>7750</v>
      </c>
      <c r="B1900" s="76" t="s">
        <v>977</v>
      </c>
      <c r="C1900" s="76">
        <v>230</v>
      </c>
      <c r="D1900" s="76" t="s">
        <v>438</v>
      </c>
      <c r="E1900" s="76" t="s">
        <v>426</v>
      </c>
      <c r="F1900" s="77">
        <v>2573</v>
      </c>
      <c r="G1900" s="77">
        <v>500.87</v>
      </c>
      <c r="H1900" s="77">
        <v>3073.87</v>
      </c>
      <c r="I1900" s="76" t="s">
        <v>968</v>
      </c>
      <c r="J1900" s="77">
        <v>275.72000000000003</v>
      </c>
      <c r="K1900" s="78">
        <v>3120.45</v>
      </c>
      <c r="M1900" s="79" t="str">
        <f t="shared" si="89"/>
        <v>230-7750</v>
      </c>
      <c r="N1900" s="79" t="str">
        <f t="shared" si="87"/>
        <v/>
      </c>
      <c r="O1900" s="79" t="str">
        <f t="shared" si="88"/>
        <v>230</v>
      </c>
      <c r="P1900" s="79" t="str">
        <f>IFERROR(VLOOKUP($M1900,Export!$P:$R,2,FALSE),"-")</f>
        <v>Admin &amp; Other</v>
      </c>
      <c r="Q1900" s="79" t="str">
        <f>IFERROR(VLOOKUP($M1900,Export!$P:$R,3,FALSE),"-")</f>
        <v>Admin &amp; OtherR&amp;M and Cleaning as % of Total Gross Profit</v>
      </c>
      <c r="R1900" s="80" t="e" cm="1">
        <f t="array" ref="R1900">_xlfn.IFS(P1900="Service", _xlfn.IFS(I1900="SALES","GP",I1900="SERVICE SALES","GP",I1900="PARTS SALES","GP",I1900="SERVICE COS","GP",I1900="PARTS COS","GP",I1900="SELLING EXPENSES","Selling Expenses",I1900="EMPLOYMENT EXPENSES","Selling Expenses",I1900="EMPLOYMENT EXPENSES","Selling Expenses",I1900="DIRECT EXPENSES","Selling Expenses",I1900="INDIRECT EXPENSES","Selling Expenses"),P1900="Parts",_xlfn.IFS(I1900="SALES","GP",I1900="SERVICE SALES","GP",I1900="PARTS SALES","GP",I1900="SERVICE COS","GP",I1900="PARTS COS","GP",I1900="SELLING EXPENSES","Selling Expenses",I1900="EMPLOYMENT EXPENSES","Selling Expenses",I1900="EMPLOYMENT EXPENSES","Selling Expenses",I1900="DIRECT EXPENSES","Selling Expenses",I1900="INDIRECT EXPENSES","Selling Expenses"))</f>
        <v>#N/A</v>
      </c>
    </row>
    <row r="1901" spans="1:18" x14ac:dyDescent="0.2">
      <c r="A1901" s="75">
        <v>7750</v>
      </c>
      <c r="B1901" s="76" t="s">
        <v>977</v>
      </c>
      <c r="C1901" s="76">
        <v>240</v>
      </c>
      <c r="D1901" s="76" t="s">
        <v>439</v>
      </c>
      <c r="E1901" s="76" t="s">
        <v>426</v>
      </c>
      <c r="F1901" s="77">
        <v>4694.97</v>
      </c>
      <c r="G1901" s="77">
        <v>629.5</v>
      </c>
      <c r="H1901" s="77">
        <v>5324.47</v>
      </c>
      <c r="I1901" s="76" t="s">
        <v>968</v>
      </c>
      <c r="J1901" s="77">
        <v>176.96</v>
      </c>
      <c r="K1901" s="78">
        <v>2132.84</v>
      </c>
      <c r="M1901" s="79" t="str">
        <f t="shared" si="89"/>
        <v>240-7750</v>
      </c>
      <c r="N1901" s="79" t="str">
        <f t="shared" si="87"/>
        <v/>
      </c>
      <c r="O1901" s="79" t="str">
        <f t="shared" si="88"/>
        <v>240</v>
      </c>
      <c r="P1901" s="79" t="str">
        <f>IFERROR(VLOOKUP($M1901,Export!$P:$R,2,FALSE),"-")</f>
        <v>Admin &amp; Other</v>
      </c>
      <c r="Q1901" s="79" t="str">
        <f>IFERROR(VLOOKUP($M1901,Export!$P:$R,3,FALSE),"-")</f>
        <v>Admin &amp; OtherR&amp;M and Cleaning as % of Total Gross Profit</v>
      </c>
      <c r="R1901" s="80" t="e" cm="1">
        <f t="array" ref="R1901">_xlfn.IFS(P1901="Service", _xlfn.IFS(I1901="SALES","GP",I1901="SERVICE SALES","GP",I1901="PARTS SALES","GP",I1901="SERVICE COS","GP",I1901="PARTS COS","GP",I1901="SELLING EXPENSES","Selling Expenses",I1901="EMPLOYMENT EXPENSES","Selling Expenses",I1901="EMPLOYMENT EXPENSES","Selling Expenses",I1901="DIRECT EXPENSES","Selling Expenses",I1901="INDIRECT EXPENSES","Selling Expenses"),P1901="Parts",_xlfn.IFS(I1901="SALES","GP",I1901="SERVICE SALES","GP",I1901="PARTS SALES","GP",I1901="SERVICE COS","GP",I1901="PARTS COS","GP",I1901="SELLING EXPENSES","Selling Expenses",I1901="EMPLOYMENT EXPENSES","Selling Expenses",I1901="EMPLOYMENT EXPENSES","Selling Expenses",I1901="DIRECT EXPENSES","Selling Expenses",I1901="INDIRECT EXPENSES","Selling Expenses"))</f>
        <v>#N/A</v>
      </c>
    </row>
    <row r="1902" spans="1:18" x14ac:dyDescent="0.2">
      <c r="A1902" s="75">
        <v>7750</v>
      </c>
      <c r="B1902" s="76" t="s">
        <v>977</v>
      </c>
      <c r="C1902" s="76">
        <v>260</v>
      </c>
      <c r="D1902" s="76" t="s">
        <v>456</v>
      </c>
      <c r="E1902" s="76" t="s">
        <v>426</v>
      </c>
      <c r="F1902" s="77">
        <v>2811.83</v>
      </c>
      <c r="G1902" s="77">
        <v>0</v>
      </c>
      <c r="H1902" s="77">
        <v>2811.83</v>
      </c>
      <c r="I1902" s="76" t="s">
        <v>968</v>
      </c>
      <c r="J1902" s="77">
        <v>0</v>
      </c>
      <c r="K1902" s="78">
        <v>0</v>
      </c>
      <c r="M1902" s="79" t="str">
        <f t="shared" si="89"/>
        <v>260-7750</v>
      </c>
      <c r="N1902" s="79" t="str">
        <f t="shared" si="87"/>
        <v/>
      </c>
      <c r="O1902" s="79" t="str">
        <f t="shared" si="88"/>
        <v>260</v>
      </c>
      <c r="P1902" s="79" t="str">
        <f>IFERROR(VLOOKUP($M1902,Export!$P:$R,2,FALSE),"-")</f>
        <v>Admin &amp; Other</v>
      </c>
      <c r="Q1902" s="79" t="str">
        <f>IFERROR(VLOOKUP($M1902,Export!$P:$R,3,FALSE),"-")</f>
        <v>Admin &amp; OtherR&amp;M and Cleaning as % of Total Gross Profit</v>
      </c>
      <c r="R1902" s="80" t="e" cm="1">
        <f t="array" ref="R1902">_xlfn.IFS(P1902="Service", _xlfn.IFS(I1902="SALES","GP",I1902="SERVICE SALES","GP",I1902="PARTS SALES","GP",I1902="SERVICE COS","GP",I1902="PARTS COS","GP",I1902="SELLING EXPENSES","Selling Expenses",I1902="EMPLOYMENT EXPENSES","Selling Expenses",I1902="EMPLOYMENT EXPENSES","Selling Expenses",I1902="DIRECT EXPENSES","Selling Expenses",I1902="INDIRECT EXPENSES","Selling Expenses"),P1902="Parts",_xlfn.IFS(I1902="SALES","GP",I1902="SERVICE SALES","GP",I1902="PARTS SALES","GP",I1902="SERVICE COS","GP",I1902="PARTS COS","GP",I1902="SELLING EXPENSES","Selling Expenses",I1902="EMPLOYMENT EXPENSES","Selling Expenses",I1902="EMPLOYMENT EXPENSES","Selling Expenses",I1902="DIRECT EXPENSES","Selling Expenses",I1902="INDIRECT EXPENSES","Selling Expenses"))</f>
        <v>#N/A</v>
      </c>
    </row>
    <row r="1903" spans="1:18" x14ac:dyDescent="0.2">
      <c r="A1903" s="75">
        <v>7750</v>
      </c>
      <c r="B1903" s="76" t="s">
        <v>977</v>
      </c>
      <c r="C1903" s="76">
        <v>330</v>
      </c>
      <c r="D1903" s="76" t="s">
        <v>457</v>
      </c>
      <c r="E1903" s="76" t="s">
        <v>426</v>
      </c>
      <c r="F1903" s="77">
        <v>3062.18</v>
      </c>
      <c r="G1903" s="77">
        <v>212.66</v>
      </c>
      <c r="H1903" s="77">
        <v>3274.84</v>
      </c>
      <c r="I1903" s="76" t="s">
        <v>968</v>
      </c>
      <c r="J1903" s="77">
        <v>287.47000000000003</v>
      </c>
      <c r="K1903" s="78">
        <v>3109.7</v>
      </c>
      <c r="M1903" s="79" t="str">
        <f t="shared" si="89"/>
        <v>330-7750</v>
      </c>
      <c r="N1903" s="79" t="str">
        <f t="shared" si="87"/>
        <v/>
      </c>
      <c r="O1903" s="79" t="str">
        <f t="shared" si="88"/>
        <v>330</v>
      </c>
      <c r="P1903" s="79" t="str">
        <f>IFERROR(VLOOKUP($M1903,Export!$P:$R,2,FALSE),"-")</f>
        <v>Admin &amp; Other</v>
      </c>
      <c r="Q1903" s="79" t="str">
        <f>IFERROR(VLOOKUP($M1903,Export!$P:$R,3,FALSE),"-")</f>
        <v>Admin &amp; OtherR&amp;M and Cleaning as % of Total Gross Profit</v>
      </c>
      <c r="R1903" s="80" t="e" cm="1">
        <f t="array" ref="R1903">_xlfn.IFS(P1903="Service", _xlfn.IFS(I1903="SALES","GP",I1903="SERVICE SALES","GP",I1903="PARTS SALES","GP",I1903="SERVICE COS","GP",I1903="PARTS COS","GP",I1903="SELLING EXPENSES","Selling Expenses",I1903="EMPLOYMENT EXPENSES","Selling Expenses",I1903="EMPLOYMENT EXPENSES","Selling Expenses",I1903="DIRECT EXPENSES","Selling Expenses",I1903="INDIRECT EXPENSES","Selling Expenses"),P1903="Parts",_xlfn.IFS(I1903="SALES","GP",I1903="SERVICE SALES","GP",I1903="PARTS SALES","GP",I1903="SERVICE COS","GP",I1903="PARTS COS","GP",I1903="SELLING EXPENSES","Selling Expenses",I1903="EMPLOYMENT EXPENSES","Selling Expenses",I1903="EMPLOYMENT EXPENSES","Selling Expenses",I1903="DIRECT EXPENSES","Selling Expenses",I1903="INDIRECT EXPENSES","Selling Expenses"))</f>
        <v>#N/A</v>
      </c>
    </row>
    <row r="1904" spans="1:18" x14ac:dyDescent="0.2">
      <c r="A1904" s="75">
        <v>7750</v>
      </c>
      <c r="B1904" s="76" t="s">
        <v>977</v>
      </c>
      <c r="C1904" s="76">
        <v>340</v>
      </c>
      <c r="D1904" s="76" t="s">
        <v>440</v>
      </c>
      <c r="E1904" s="76" t="s">
        <v>426</v>
      </c>
      <c r="F1904" s="77">
        <v>3480.86</v>
      </c>
      <c r="G1904" s="77">
        <v>212.64</v>
      </c>
      <c r="H1904" s="77">
        <v>3693.5</v>
      </c>
      <c r="I1904" s="76" t="s">
        <v>968</v>
      </c>
      <c r="J1904" s="77">
        <v>309.5</v>
      </c>
      <c r="K1904" s="78">
        <v>3402.01</v>
      </c>
      <c r="M1904" s="79" t="str">
        <f t="shared" si="89"/>
        <v>340-7750</v>
      </c>
      <c r="N1904" s="79" t="str">
        <f t="shared" si="87"/>
        <v/>
      </c>
      <c r="O1904" s="79" t="str">
        <f t="shared" si="88"/>
        <v>340</v>
      </c>
      <c r="P1904" s="79" t="str">
        <f>IFERROR(VLOOKUP($M1904,Export!$P:$R,2,FALSE),"-")</f>
        <v>Admin &amp; Other</v>
      </c>
      <c r="Q1904" s="79" t="str">
        <f>IFERROR(VLOOKUP($M1904,Export!$P:$R,3,FALSE),"-")</f>
        <v>Admin &amp; OtherR&amp;M and Cleaning as % of Total Gross Profit</v>
      </c>
      <c r="R1904" s="80" t="e" cm="1">
        <f t="array" ref="R1904">_xlfn.IFS(P1904="Service", _xlfn.IFS(I1904="SALES","GP",I1904="SERVICE SALES","GP",I1904="PARTS SALES","GP",I1904="SERVICE COS","GP",I1904="PARTS COS","GP",I1904="SELLING EXPENSES","Selling Expenses",I1904="EMPLOYMENT EXPENSES","Selling Expenses",I1904="EMPLOYMENT EXPENSES","Selling Expenses",I1904="DIRECT EXPENSES","Selling Expenses",I1904="INDIRECT EXPENSES","Selling Expenses"),P1904="Parts",_xlfn.IFS(I1904="SALES","GP",I1904="SERVICE SALES","GP",I1904="PARTS SALES","GP",I1904="SERVICE COS","GP",I1904="PARTS COS","GP",I1904="SELLING EXPENSES","Selling Expenses",I1904="EMPLOYMENT EXPENSES","Selling Expenses",I1904="EMPLOYMENT EXPENSES","Selling Expenses",I1904="DIRECT EXPENSES","Selling Expenses",I1904="INDIRECT EXPENSES","Selling Expenses"))</f>
        <v>#N/A</v>
      </c>
    </row>
    <row r="1905" spans="1:18" x14ac:dyDescent="0.2">
      <c r="A1905" s="75">
        <v>7750</v>
      </c>
      <c r="B1905" s="76" t="s">
        <v>977</v>
      </c>
      <c r="C1905" s="76">
        <v>430</v>
      </c>
      <c r="D1905" s="76" t="s">
        <v>458</v>
      </c>
      <c r="E1905" s="76" t="s">
        <v>426</v>
      </c>
      <c r="F1905" s="77">
        <v>1930.54</v>
      </c>
      <c r="G1905" s="77">
        <v>70.05</v>
      </c>
      <c r="H1905" s="77">
        <v>2000.59</v>
      </c>
      <c r="I1905" s="76" t="s">
        <v>968</v>
      </c>
      <c r="J1905" s="77">
        <v>390.44</v>
      </c>
      <c r="K1905" s="78">
        <v>4089.16</v>
      </c>
      <c r="M1905" s="79" t="str">
        <f t="shared" si="89"/>
        <v>430-7750</v>
      </c>
      <c r="N1905" s="79" t="str">
        <f t="shared" si="87"/>
        <v/>
      </c>
      <c r="O1905" s="79" t="str">
        <f t="shared" si="88"/>
        <v>430</v>
      </c>
      <c r="P1905" s="79" t="str">
        <f>IFERROR(VLOOKUP($M1905,Export!$P:$R,2,FALSE),"-")</f>
        <v>Admin &amp; Other</v>
      </c>
      <c r="Q1905" s="79" t="str">
        <f>IFERROR(VLOOKUP($M1905,Export!$P:$R,3,FALSE),"-")</f>
        <v>Admin &amp; OtherR&amp;M and Cleaning as % of Total Gross Profit</v>
      </c>
      <c r="R1905" s="80" t="e" cm="1">
        <f t="array" ref="R1905">_xlfn.IFS(P1905="Service", _xlfn.IFS(I1905="SALES","GP",I1905="SERVICE SALES","GP",I1905="PARTS SALES","GP",I1905="SERVICE COS","GP",I1905="PARTS COS","GP",I1905="SELLING EXPENSES","Selling Expenses",I1905="EMPLOYMENT EXPENSES","Selling Expenses",I1905="EMPLOYMENT EXPENSES","Selling Expenses",I1905="DIRECT EXPENSES","Selling Expenses",I1905="INDIRECT EXPENSES","Selling Expenses"),P1905="Parts",_xlfn.IFS(I1905="SALES","GP",I1905="SERVICE SALES","GP",I1905="PARTS SALES","GP",I1905="SERVICE COS","GP",I1905="PARTS COS","GP",I1905="SELLING EXPENSES","Selling Expenses",I1905="EMPLOYMENT EXPENSES","Selling Expenses",I1905="EMPLOYMENT EXPENSES","Selling Expenses",I1905="DIRECT EXPENSES","Selling Expenses",I1905="INDIRECT EXPENSES","Selling Expenses"))</f>
        <v>#N/A</v>
      </c>
    </row>
    <row r="1906" spans="1:18" x14ac:dyDescent="0.2">
      <c r="A1906" s="75">
        <v>7750</v>
      </c>
      <c r="B1906" s="76" t="s">
        <v>977</v>
      </c>
      <c r="C1906" s="76">
        <v>440</v>
      </c>
      <c r="D1906" s="76" t="s">
        <v>441</v>
      </c>
      <c r="E1906" s="76" t="s">
        <v>426</v>
      </c>
      <c r="F1906" s="77">
        <v>9566.18</v>
      </c>
      <c r="G1906" s="77">
        <v>70.05</v>
      </c>
      <c r="H1906" s="77">
        <v>9636.23</v>
      </c>
      <c r="I1906" s="76" t="s">
        <v>968</v>
      </c>
      <c r="J1906" s="77">
        <v>569.45000000000005</v>
      </c>
      <c r="K1906" s="78">
        <v>5879.24</v>
      </c>
      <c r="M1906" s="79" t="str">
        <f t="shared" si="89"/>
        <v>440-7750</v>
      </c>
      <c r="N1906" s="79" t="str">
        <f t="shared" si="87"/>
        <v/>
      </c>
      <c r="O1906" s="79" t="str">
        <f t="shared" si="88"/>
        <v>440</v>
      </c>
      <c r="P1906" s="79" t="str">
        <f>IFERROR(VLOOKUP($M1906,Export!$P:$R,2,FALSE),"-")</f>
        <v>Admin &amp; Other</v>
      </c>
      <c r="Q1906" s="79" t="str">
        <f>IFERROR(VLOOKUP($M1906,Export!$P:$R,3,FALSE),"-")</f>
        <v>Admin &amp; OtherR&amp;M and Cleaning as % of Total Gross Profit</v>
      </c>
      <c r="R1906" s="80" t="e" cm="1">
        <f t="array" ref="R1906">_xlfn.IFS(P1906="Service", _xlfn.IFS(I1906="SALES","GP",I1906="SERVICE SALES","GP",I1906="PARTS SALES","GP",I1906="SERVICE COS","GP",I1906="PARTS COS","GP",I1906="SELLING EXPENSES","Selling Expenses",I1906="EMPLOYMENT EXPENSES","Selling Expenses",I1906="EMPLOYMENT EXPENSES","Selling Expenses",I1906="DIRECT EXPENSES","Selling Expenses",I1906="INDIRECT EXPENSES","Selling Expenses"),P1906="Parts",_xlfn.IFS(I1906="SALES","GP",I1906="SERVICE SALES","GP",I1906="PARTS SALES","GP",I1906="SERVICE COS","GP",I1906="PARTS COS","GP",I1906="SELLING EXPENSES","Selling Expenses",I1906="EMPLOYMENT EXPENSES","Selling Expenses",I1906="EMPLOYMENT EXPENSES","Selling Expenses",I1906="DIRECT EXPENSES","Selling Expenses",I1906="INDIRECT EXPENSES","Selling Expenses"))</f>
        <v>#N/A</v>
      </c>
    </row>
    <row r="1907" spans="1:18" x14ac:dyDescent="0.2">
      <c r="A1907" s="75">
        <v>7750</v>
      </c>
      <c r="B1907" s="76" t="s">
        <v>977</v>
      </c>
      <c r="C1907" s="76">
        <v>935</v>
      </c>
      <c r="D1907" s="76" t="s">
        <v>442</v>
      </c>
      <c r="E1907" s="76" t="s">
        <v>426</v>
      </c>
      <c r="F1907" s="77">
        <v>18864.919999999998</v>
      </c>
      <c r="G1907" s="77">
        <v>55.42</v>
      </c>
      <c r="H1907" s="77">
        <v>18920.34</v>
      </c>
      <c r="I1907" s="76" t="s">
        <v>968</v>
      </c>
      <c r="J1907" s="77">
        <v>718.43</v>
      </c>
      <c r="K1907" s="78">
        <v>7996.37</v>
      </c>
      <c r="M1907" s="79" t="str">
        <f t="shared" si="89"/>
        <v>935-7750</v>
      </c>
      <c r="N1907" s="79" t="str">
        <f t="shared" si="87"/>
        <v/>
      </c>
      <c r="O1907" s="79" t="str">
        <f t="shared" si="88"/>
        <v>935</v>
      </c>
      <c r="P1907" s="79" t="str">
        <f>IFERROR(VLOOKUP($M1907,Export!$P:$R,2,FALSE),"-")</f>
        <v>LEX Admin &amp; Other</v>
      </c>
      <c r="Q1907" s="79" t="str">
        <f>IFERROR(VLOOKUP($M1907,Export!$P:$R,3,FALSE),"-")</f>
        <v>LEX Admin &amp; OtherR&amp;M and Cleaning as % of Total Gross Profit</v>
      </c>
      <c r="R1907" s="80" t="e" cm="1">
        <f t="array" ref="R1907">_xlfn.IFS(P1907="Service", _xlfn.IFS(I1907="SALES","GP",I1907="SERVICE SALES","GP",I1907="PARTS SALES","GP",I1907="SERVICE COS","GP",I1907="PARTS COS","GP",I1907="SELLING EXPENSES","Selling Expenses",I1907="EMPLOYMENT EXPENSES","Selling Expenses",I1907="EMPLOYMENT EXPENSES","Selling Expenses",I1907="DIRECT EXPENSES","Selling Expenses",I1907="INDIRECT EXPENSES","Selling Expenses"),P1907="Parts",_xlfn.IFS(I1907="SALES","GP",I1907="SERVICE SALES","GP",I1907="PARTS SALES","GP",I1907="SERVICE COS","GP",I1907="PARTS COS","GP",I1907="SELLING EXPENSES","Selling Expenses",I1907="EMPLOYMENT EXPENSES","Selling Expenses",I1907="EMPLOYMENT EXPENSES","Selling Expenses",I1907="DIRECT EXPENSES","Selling Expenses",I1907="INDIRECT EXPENSES","Selling Expenses"))</f>
        <v>#N/A</v>
      </c>
    </row>
    <row r="1908" spans="1:18" x14ac:dyDescent="0.2">
      <c r="A1908" s="75">
        <v>7750</v>
      </c>
      <c r="B1908" s="76" t="s">
        <v>977</v>
      </c>
      <c r="C1908" s="76">
        <v>936</v>
      </c>
      <c r="D1908" s="76" t="s">
        <v>443</v>
      </c>
      <c r="E1908" s="76" t="s">
        <v>426</v>
      </c>
      <c r="F1908" s="77">
        <v>789.17</v>
      </c>
      <c r="G1908" s="77">
        <v>0</v>
      </c>
      <c r="H1908" s="77">
        <v>789.17</v>
      </c>
      <c r="I1908" s="76" t="s">
        <v>968</v>
      </c>
      <c r="J1908" s="77">
        <v>95.09</v>
      </c>
      <c r="K1908" s="78">
        <v>1028.9100000000001</v>
      </c>
      <c r="M1908" s="79" t="str">
        <f t="shared" si="89"/>
        <v>936-7750</v>
      </c>
      <c r="N1908" s="79" t="str">
        <f t="shared" si="87"/>
        <v/>
      </c>
      <c r="O1908" s="79" t="str">
        <f t="shared" si="88"/>
        <v>936</v>
      </c>
      <c r="P1908" s="79" t="str">
        <f>IFERROR(VLOOKUP($M1908,Export!$P:$R,2,FALSE),"-")</f>
        <v>LEX Admin &amp; Other</v>
      </c>
      <c r="Q1908" s="79" t="str">
        <f>IFERROR(VLOOKUP($M1908,Export!$P:$R,3,FALSE),"-")</f>
        <v>LEX Admin &amp; OtherR&amp;M and Cleaning as % of Total Gross Profit</v>
      </c>
      <c r="R1908" s="80" t="e" cm="1">
        <f t="array" ref="R1908">_xlfn.IFS(P1908="Service", _xlfn.IFS(I1908="SALES","GP",I1908="SERVICE SALES","GP",I1908="PARTS SALES","GP",I1908="SERVICE COS","GP",I1908="PARTS COS","GP",I1908="SELLING EXPENSES","Selling Expenses",I1908="EMPLOYMENT EXPENSES","Selling Expenses",I1908="EMPLOYMENT EXPENSES","Selling Expenses",I1908="DIRECT EXPENSES","Selling Expenses",I1908="INDIRECT EXPENSES","Selling Expenses"),P1908="Parts",_xlfn.IFS(I1908="SALES","GP",I1908="SERVICE SALES","GP",I1908="PARTS SALES","GP",I1908="SERVICE COS","GP",I1908="PARTS COS","GP",I1908="SELLING EXPENSES","Selling Expenses",I1908="EMPLOYMENT EXPENSES","Selling Expenses",I1908="EMPLOYMENT EXPENSES","Selling Expenses",I1908="DIRECT EXPENSES","Selling Expenses",I1908="INDIRECT EXPENSES","Selling Expenses"))</f>
        <v>#N/A</v>
      </c>
    </row>
    <row r="1909" spans="1:18" x14ac:dyDescent="0.2">
      <c r="A1909" s="75">
        <v>7760</v>
      </c>
      <c r="B1909" s="76" t="s">
        <v>978</v>
      </c>
      <c r="C1909" s="76">
        <v>110</v>
      </c>
      <c r="D1909" s="76" t="s">
        <v>430</v>
      </c>
      <c r="E1909" s="76" t="s">
        <v>426</v>
      </c>
      <c r="F1909" s="77">
        <v>15089.13</v>
      </c>
      <c r="G1909" s="77">
        <v>1676.57</v>
      </c>
      <c r="H1909" s="77">
        <v>16765.7</v>
      </c>
      <c r="I1909" s="76" t="s">
        <v>968</v>
      </c>
      <c r="J1909" s="77">
        <v>810.56</v>
      </c>
      <c r="K1909" s="78">
        <v>10143.36</v>
      </c>
      <c r="M1909" s="79" t="str">
        <f t="shared" si="89"/>
        <v>110-7760</v>
      </c>
      <c r="N1909" s="79" t="str">
        <f t="shared" si="87"/>
        <v/>
      </c>
      <c r="O1909" s="79" t="str">
        <f t="shared" si="88"/>
        <v>110</v>
      </c>
      <c r="P1909" s="79" t="str">
        <f>IFERROR(VLOOKUP($M1909,Export!$P:$R,2,FALSE),"-")</f>
        <v>Admin &amp; Other</v>
      </c>
      <c r="Q1909" s="79" t="str">
        <f>IFERROR(VLOOKUP($M1909,Export!$P:$R,3,FALSE),"-")</f>
        <v>Admin &amp; OtherRent &amp; Rates as % of Total Gross Profit</v>
      </c>
      <c r="R1909" s="80" t="e" cm="1">
        <f t="array" ref="R1909">_xlfn.IFS(P1909="Service", _xlfn.IFS(I1909="SALES","GP",I1909="SERVICE SALES","GP",I1909="PARTS SALES","GP",I1909="SERVICE COS","GP",I1909="PARTS COS","GP",I1909="SELLING EXPENSES","Selling Expenses",I1909="EMPLOYMENT EXPENSES","Selling Expenses",I1909="EMPLOYMENT EXPENSES","Selling Expenses",I1909="DIRECT EXPENSES","Selling Expenses",I1909="INDIRECT EXPENSES","Selling Expenses"),P1909="Parts",_xlfn.IFS(I1909="SALES","GP",I1909="SERVICE SALES","GP",I1909="PARTS SALES","GP",I1909="SERVICE COS","GP",I1909="PARTS COS","GP",I1909="SELLING EXPENSES","Selling Expenses",I1909="EMPLOYMENT EXPENSES","Selling Expenses",I1909="EMPLOYMENT EXPENSES","Selling Expenses",I1909="DIRECT EXPENSES","Selling Expenses",I1909="INDIRECT EXPENSES","Selling Expenses"))</f>
        <v>#N/A</v>
      </c>
    </row>
    <row r="1910" spans="1:18" x14ac:dyDescent="0.2">
      <c r="A1910" s="75">
        <v>7760</v>
      </c>
      <c r="B1910" s="76" t="s">
        <v>978</v>
      </c>
      <c r="C1910" s="76">
        <v>112</v>
      </c>
      <c r="D1910" s="76" t="s">
        <v>349</v>
      </c>
      <c r="E1910" s="76" t="s">
        <v>426</v>
      </c>
      <c r="F1910" s="77">
        <v>37800</v>
      </c>
      <c r="G1910" s="77">
        <v>4200</v>
      </c>
      <c r="H1910" s="77">
        <v>42000</v>
      </c>
      <c r="I1910" s="76" t="s">
        <v>968</v>
      </c>
      <c r="J1910" s="77">
        <v>2535.0500000000002</v>
      </c>
      <c r="K1910" s="78">
        <v>18350.3</v>
      </c>
      <c r="M1910" s="79" t="str">
        <f t="shared" si="89"/>
        <v>112-7760</v>
      </c>
      <c r="N1910" s="79" t="str">
        <f t="shared" si="87"/>
        <v/>
      </c>
      <c r="O1910" s="79" t="str">
        <f t="shared" si="88"/>
        <v>112</v>
      </c>
      <c r="P1910" s="79" t="str">
        <f>IFERROR(VLOOKUP($M1910,Export!$P:$R,2,FALSE),"-")</f>
        <v>LEX Admin &amp; Other</v>
      </c>
      <c r="Q1910" s="79" t="str">
        <f>IFERROR(VLOOKUP($M1910,Export!$P:$R,3,FALSE),"-")</f>
        <v>LEX Admin &amp; OtherRent &amp; Rates as % of Total Gross Profit</v>
      </c>
      <c r="R1910" s="80" t="e" cm="1">
        <f t="array" ref="R1910">_xlfn.IFS(P1910="Service", _xlfn.IFS(I1910="SALES","GP",I1910="SERVICE SALES","GP",I1910="PARTS SALES","GP",I1910="SERVICE COS","GP",I1910="PARTS COS","GP",I1910="SELLING EXPENSES","Selling Expenses",I1910="EMPLOYMENT EXPENSES","Selling Expenses",I1910="EMPLOYMENT EXPENSES","Selling Expenses",I1910="DIRECT EXPENSES","Selling Expenses",I1910="INDIRECT EXPENSES","Selling Expenses"),P1910="Parts",_xlfn.IFS(I1910="SALES","GP",I1910="SERVICE SALES","GP",I1910="PARTS SALES","GP",I1910="SERVICE COS","GP",I1910="PARTS COS","GP",I1910="SELLING EXPENSES","Selling Expenses",I1910="EMPLOYMENT EXPENSES","Selling Expenses",I1910="EMPLOYMENT EXPENSES","Selling Expenses",I1910="DIRECT EXPENSES","Selling Expenses",I1910="INDIRECT EXPENSES","Selling Expenses"))</f>
        <v>#N/A</v>
      </c>
    </row>
    <row r="1911" spans="1:18" x14ac:dyDescent="0.2">
      <c r="A1911" s="75">
        <v>7760</v>
      </c>
      <c r="B1911" s="76" t="s">
        <v>978</v>
      </c>
      <c r="C1911" s="76">
        <v>120</v>
      </c>
      <c r="D1911" s="76" t="s">
        <v>431</v>
      </c>
      <c r="E1911" s="76" t="s">
        <v>426</v>
      </c>
      <c r="F1911" s="77">
        <v>17152.740000000002</v>
      </c>
      <c r="G1911" s="77">
        <v>1905.86</v>
      </c>
      <c r="H1911" s="77">
        <v>19058.599999999999</v>
      </c>
      <c r="I1911" s="76" t="s">
        <v>968</v>
      </c>
      <c r="J1911" s="77">
        <v>1174.8599999999999</v>
      </c>
      <c r="K1911" s="78">
        <v>13569.16</v>
      </c>
      <c r="M1911" s="79" t="str">
        <f t="shared" si="89"/>
        <v>120-7760</v>
      </c>
      <c r="N1911" s="79" t="str">
        <f t="shared" si="87"/>
        <v/>
      </c>
      <c r="O1911" s="79" t="str">
        <f t="shared" si="88"/>
        <v>120</v>
      </c>
      <c r="P1911" s="79" t="str">
        <f>IFERROR(VLOOKUP($M1911,Export!$P:$R,2,FALSE),"-")</f>
        <v>Admin &amp; Other</v>
      </c>
      <c r="Q1911" s="79" t="str">
        <f>IFERROR(VLOOKUP($M1911,Export!$P:$R,3,FALSE),"-")</f>
        <v>Admin &amp; OtherRent &amp; Rates as % of Total Gross Profit</v>
      </c>
      <c r="R1911" s="80" t="e" cm="1">
        <f t="array" ref="R1911">_xlfn.IFS(P1911="Service", _xlfn.IFS(I1911="SALES","GP",I1911="SERVICE SALES","GP",I1911="PARTS SALES","GP",I1911="SERVICE COS","GP",I1911="PARTS COS","GP",I1911="SELLING EXPENSES","Selling Expenses",I1911="EMPLOYMENT EXPENSES","Selling Expenses",I1911="EMPLOYMENT EXPENSES","Selling Expenses",I1911="DIRECT EXPENSES","Selling Expenses",I1911="INDIRECT EXPENSES","Selling Expenses"),P1911="Parts",_xlfn.IFS(I1911="SALES","GP",I1911="SERVICE SALES","GP",I1911="PARTS SALES","GP",I1911="SERVICE COS","GP",I1911="PARTS COS","GP",I1911="SELLING EXPENSES","Selling Expenses",I1911="EMPLOYMENT EXPENSES","Selling Expenses",I1911="EMPLOYMENT EXPENSES","Selling Expenses",I1911="DIRECT EXPENSES","Selling Expenses",I1911="INDIRECT EXPENSES","Selling Expenses"))</f>
        <v>#N/A</v>
      </c>
    </row>
    <row r="1912" spans="1:18" x14ac:dyDescent="0.2">
      <c r="A1912" s="75">
        <v>7760</v>
      </c>
      <c r="B1912" s="76" t="s">
        <v>978</v>
      </c>
      <c r="C1912" s="76">
        <v>121</v>
      </c>
      <c r="D1912" s="76" t="s">
        <v>449</v>
      </c>
      <c r="E1912" s="76" t="s">
        <v>426</v>
      </c>
      <c r="F1912" s="77">
        <v>0</v>
      </c>
      <c r="G1912" s="77">
        <v>0</v>
      </c>
      <c r="H1912" s="77">
        <v>0</v>
      </c>
      <c r="I1912" s="76" t="s">
        <v>968</v>
      </c>
      <c r="J1912" s="77">
        <v>0</v>
      </c>
      <c r="K1912" s="78">
        <v>5040</v>
      </c>
      <c r="M1912" s="79" t="str">
        <f t="shared" si="89"/>
        <v>121-7760</v>
      </c>
      <c r="N1912" s="79" t="str">
        <f t="shared" si="87"/>
        <v/>
      </c>
      <c r="O1912" s="79" t="str">
        <f t="shared" si="88"/>
        <v>121</v>
      </c>
      <c r="P1912" s="79" t="str">
        <f>IFERROR(VLOOKUP($M1912,Export!$P:$R,2,FALSE),"-")</f>
        <v>Admin &amp; Other</v>
      </c>
      <c r="Q1912" s="79" t="str">
        <f>IFERROR(VLOOKUP($M1912,Export!$P:$R,3,FALSE),"-")</f>
        <v>Admin &amp; OtherRent &amp; Rates as % of Total Gross Profit</v>
      </c>
      <c r="R1912" s="80" t="e" cm="1">
        <f t="array" ref="R1912">_xlfn.IFS(P1912="Service", _xlfn.IFS(I1912="SALES","GP",I1912="SERVICE SALES","GP",I1912="PARTS SALES","GP",I1912="SERVICE COS","GP",I1912="PARTS COS","GP",I1912="SELLING EXPENSES","Selling Expenses",I1912="EMPLOYMENT EXPENSES","Selling Expenses",I1912="EMPLOYMENT EXPENSES","Selling Expenses",I1912="DIRECT EXPENSES","Selling Expenses",I1912="INDIRECT EXPENSES","Selling Expenses"),P1912="Parts",_xlfn.IFS(I1912="SALES","GP",I1912="SERVICE SALES","GP",I1912="PARTS SALES","GP",I1912="SERVICE COS","GP",I1912="PARTS COS","GP",I1912="SELLING EXPENSES","Selling Expenses",I1912="EMPLOYMENT EXPENSES","Selling Expenses",I1912="EMPLOYMENT EXPENSES","Selling Expenses",I1912="DIRECT EXPENSES","Selling Expenses",I1912="INDIRECT EXPENSES","Selling Expenses"))</f>
        <v>#N/A</v>
      </c>
    </row>
    <row r="1913" spans="1:18" x14ac:dyDescent="0.2">
      <c r="A1913" s="75">
        <v>7760</v>
      </c>
      <c r="B1913" s="76" t="s">
        <v>978</v>
      </c>
      <c r="C1913" s="76">
        <v>130</v>
      </c>
      <c r="D1913" s="76" t="s">
        <v>432</v>
      </c>
      <c r="E1913" s="76" t="s">
        <v>426</v>
      </c>
      <c r="F1913" s="77">
        <v>6366.24</v>
      </c>
      <c r="G1913" s="77">
        <v>707.36</v>
      </c>
      <c r="H1913" s="77">
        <v>7073.6</v>
      </c>
      <c r="I1913" s="76" t="s">
        <v>968</v>
      </c>
      <c r="J1913" s="77">
        <v>436.36</v>
      </c>
      <c r="K1913" s="78">
        <v>4378.16</v>
      </c>
      <c r="M1913" s="79" t="str">
        <f t="shared" si="89"/>
        <v>130-7760</v>
      </c>
      <c r="N1913" s="79" t="str">
        <f t="shared" si="87"/>
        <v/>
      </c>
      <c r="O1913" s="79" t="str">
        <f t="shared" si="88"/>
        <v>130</v>
      </c>
      <c r="P1913" s="79" t="str">
        <f>IFERROR(VLOOKUP($M1913,Export!$P:$R,2,FALSE),"-")</f>
        <v>Admin &amp; Other</v>
      </c>
      <c r="Q1913" s="79" t="str">
        <f>IFERROR(VLOOKUP($M1913,Export!$P:$R,3,FALSE),"-")</f>
        <v>Admin &amp; OtherRent &amp; Rates as % of Total Gross Profit</v>
      </c>
      <c r="R1913" s="80" t="e" cm="1">
        <f t="array" ref="R1913">_xlfn.IFS(P1913="Service", _xlfn.IFS(I1913="SALES","GP",I1913="SERVICE SALES","GP",I1913="PARTS SALES","GP",I1913="SERVICE COS","GP",I1913="PARTS COS","GP",I1913="SELLING EXPENSES","Selling Expenses",I1913="EMPLOYMENT EXPENSES","Selling Expenses",I1913="EMPLOYMENT EXPENSES","Selling Expenses",I1913="DIRECT EXPENSES","Selling Expenses",I1913="INDIRECT EXPENSES","Selling Expenses"),P1913="Parts",_xlfn.IFS(I1913="SALES","GP",I1913="SERVICE SALES","GP",I1913="PARTS SALES","GP",I1913="SERVICE COS","GP",I1913="PARTS COS","GP",I1913="SELLING EXPENSES","Selling Expenses",I1913="EMPLOYMENT EXPENSES","Selling Expenses",I1913="EMPLOYMENT EXPENSES","Selling Expenses",I1913="DIRECT EXPENSES","Selling Expenses",I1913="INDIRECT EXPENSES","Selling Expenses"))</f>
        <v>#N/A</v>
      </c>
    </row>
    <row r="1914" spans="1:18" x14ac:dyDescent="0.2">
      <c r="A1914" s="75">
        <v>7760</v>
      </c>
      <c r="B1914" s="76" t="s">
        <v>978</v>
      </c>
      <c r="C1914" s="76">
        <v>140</v>
      </c>
      <c r="D1914" s="76" t="s">
        <v>433</v>
      </c>
      <c r="E1914" s="76" t="s">
        <v>426</v>
      </c>
      <c r="F1914" s="77">
        <v>1683.72</v>
      </c>
      <c r="G1914" s="77">
        <v>187.08</v>
      </c>
      <c r="H1914" s="77">
        <v>1870.8</v>
      </c>
      <c r="I1914" s="76" t="s">
        <v>968</v>
      </c>
      <c r="J1914" s="77">
        <v>349.87</v>
      </c>
      <c r="K1914" s="78">
        <v>7259.22</v>
      </c>
      <c r="M1914" s="79" t="str">
        <f t="shared" si="89"/>
        <v>140-7760</v>
      </c>
      <c r="N1914" s="79" t="str">
        <f t="shared" si="87"/>
        <v/>
      </c>
      <c r="O1914" s="79" t="str">
        <f t="shared" si="88"/>
        <v>140</v>
      </c>
      <c r="P1914" s="79" t="str">
        <f>IFERROR(VLOOKUP($M1914,Export!$P:$R,2,FALSE),"-")</f>
        <v>Admin &amp; Other</v>
      </c>
      <c r="Q1914" s="79" t="str">
        <f>IFERROR(VLOOKUP($M1914,Export!$P:$R,3,FALSE),"-")</f>
        <v>Admin &amp; OtherRent &amp; Rates as % of Total Gross Profit</v>
      </c>
      <c r="R1914" s="80" t="e" cm="1">
        <f t="array" ref="R1914">_xlfn.IFS(P1914="Service", _xlfn.IFS(I1914="SALES","GP",I1914="SERVICE SALES","GP",I1914="PARTS SALES","GP",I1914="SERVICE COS","GP",I1914="PARTS COS","GP",I1914="SELLING EXPENSES","Selling Expenses",I1914="EMPLOYMENT EXPENSES","Selling Expenses",I1914="EMPLOYMENT EXPENSES","Selling Expenses",I1914="DIRECT EXPENSES","Selling Expenses",I1914="INDIRECT EXPENSES","Selling Expenses"),P1914="Parts",_xlfn.IFS(I1914="SALES","GP",I1914="SERVICE SALES","GP",I1914="PARTS SALES","GP",I1914="SERVICE COS","GP",I1914="PARTS COS","GP",I1914="SELLING EXPENSES","Selling Expenses",I1914="EMPLOYMENT EXPENSES","Selling Expenses",I1914="EMPLOYMENT EXPENSES","Selling Expenses",I1914="DIRECT EXPENSES","Selling Expenses",I1914="INDIRECT EXPENSES","Selling Expenses"))</f>
        <v>#N/A</v>
      </c>
    </row>
    <row r="1915" spans="1:18" x14ac:dyDescent="0.2">
      <c r="A1915" s="75">
        <v>7760</v>
      </c>
      <c r="B1915" s="76" t="s">
        <v>978</v>
      </c>
      <c r="C1915" s="76">
        <v>142</v>
      </c>
      <c r="D1915" s="76" t="s">
        <v>454</v>
      </c>
      <c r="E1915" s="76" t="s">
        <v>426</v>
      </c>
      <c r="F1915" s="77">
        <v>15666.61</v>
      </c>
      <c r="G1915" s="77">
        <v>1944.65</v>
      </c>
      <c r="H1915" s="77">
        <v>17611.259999999998</v>
      </c>
      <c r="I1915" s="76" t="s">
        <v>968</v>
      </c>
      <c r="J1915" s="77">
        <v>0</v>
      </c>
      <c r="K1915" s="78">
        <v>0</v>
      </c>
      <c r="M1915" s="79" t="str">
        <f t="shared" si="89"/>
        <v>142-7760</v>
      </c>
      <c r="N1915" s="79" t="str">
        <f t="shared" si="87"/>
        <v/>
      </c>
      <c r="O1915" s="79" t="str">
        <f t="shared" si="88"/>
        <v>142</v>
      </c>
      <c r="P1915" s="79" t="str">
        <f>IFERROR(VLOOKUP($M1915,Export!$P:$R,2,FALSE),"-")</f>
        <v>LEX Admin &amp; Other</v>
      </c>
      <c r="Q1915" s="79" t="str">
        <f>IFERROR(VLOOKUP($M1915,Export!$P:$R,3,FALSE),"-")</f>
        <v>LEX Admin &amp; OtherRent &amp; Rates as % of Total Gross Profit</v>
      </c>
      <c r="R1915" s="80" t="e" cm="1">
        <f t="array" ref="R1915">_xlfn.IFS(P1915="Service", _xlfn.IFS(I1915="SALES","GP",I1915="SERVICE SALES","GP",I1915="PARTS SALES","GP",I1915="SERVICE COS","GP",I1915="PARTS COS","GP",I1915="SELLING EXPENSES","Selling Expenses",I1915="EMPLOYMENT EXPENSES","Selling Expenses",I1915="EMPLOYMENT EXPENSES","Selling Expenses",I1915="DIRECT EXPENSES","Selling Expenses",I1915="INDIRECT EXPENSES","Selling Expenses"),P1915="Parts",_xlfn.IFS(I1915="SALES","GP",I1915="SERVICE SALES","GP",I1915="PARTS SALES","GP",I1915="SERVICE COS","GP",I1915="PARTS COS","GP",I1915="SELLING EXPENSES","Selling Expenses",I1915="EMPLOYMENT EXPENSES","Selling Expenses",I1915="EMPLOYMENT EXPENSES","Selling Expenses",I1915="DIRECT EXPENSES","Selling Expenses",I1915="INDIRECT EXPENSES","Selling Expenses"))</f>
        <v>#N/A</v>
      </c>
    </row>
    <row r="1916" spans="1:18" x14ac:dyDescent="0.2">
      <c r="A1916" s="75">
        <v>7760</v>
      </c>
      <c r="B1916" s="76" t="s">
        <v>978</v>
      </c>
      <c r="C1916" s="76">
        <v>147</v>
      </c>
      <c r="D1916" s="76" t="s">
        <v>699</v>
      </c>
      <c r="E1916" s="76" t="s">
        <v>426</v>
      </c>
      <c r="F1916" s="77">
        <v>1835.24</v>
      </c>
      <c r="G1916" s="77">
        <v>0</v>
      </c>
      <c r="H1916" s="77">
        <v>1835.24</v>
      </c>
      <c r="I1916" s="76" t="s">
        <v>968</v>
      </c>
      <c r="J1916" s="77">
        <v>555.86</v>
      </c>
      <c r="K1916" s="78">
        <v>4335.16</v>
      </c>
      <c r="M1916" s="79" t="str">
        <f t="shared" si="89"/>
        <v>147-7760</v>
      </c>
      <c r="N1916" s="79" t="str">
        <f t="shared" si="87"/>
        <v/>
      </c>
      <c r="O1916" s="79" t="str">
        <f t="shared" si="88"/>
        <v>147</v>
      </c>
      <c r="P1916" s="79" t="str">
        <f>IFERROR(VLOOKUP($M1916,Export!$P:$R,2,FALSE),"-")</f>
        <v>Admin &amp; Other</v>
      </c>
      <c r="Q1916" s="79" t="str">
        <f>IFERROR(VLOOKUP($M1916,Export!$P:$R,3,FALSE),"-")</f>
        <v>Admin &amp; OtherRent &amp; Rates as % of Total Gross Profit</v>
      </c>
      <c r="R1916" s="80" t="e" cm="1">
        <f t="array" ref="R1916">_xlfn.IFS(P1916="Service", _xlfn.IFS(I1916="SALES","GP",I1916="SERVICE SALES","GP",I1916="PARTS SALES","GP",I1916="SERVICE COS","GP",I1916="PARTS COS","GP",I1916="SELLING EXPENSES","Selling Expenses",I1916="EMPLOYMENT EXPENSES","Selling Expenses",I1916="EMPLOYMENT EXPENSES","Selling Expenses",I1916="DIRECT EXPENSES","Selling Expenses",I1916="INDIRECT EXPENSES","Selling Expenses"),P1916="Parts",_xlfn.IFS(I1916="SALES","GP",I1916="SERVICE SALES","GP",I1916="PARTS SALES","GP",I1916="SERVICE COS","GP",I1916="PARTS COS","GP",I1916="SELLING EXPENSES","Selling Expenses",I1916="EMPLOYMENT EXPENSES","Selling Expenses",I1916="EMPLOYMENT EXPENSES","Selling Expenses",I1916="DIRECT EXPENSES","Selling Expenses",I1916="INDIRECT EXPENSES","Selling Expenses"))</f>
        <v>#N/A</v>
      </c>
    </row>
    <row r="1917" spans="1:18" x14ac:dyDescent="0.2">
      <c r="A1917" s="75">
        <v>7760</v>
      </c>
      <c r="B1917" s="76" t="s">
        <v>978</v>
      </c>
      <c r="C1917" s="76">
        <v>150</v>
      </c>
      <c r="D1917" s="76" t="s">
        <v>700</v>
      </c>
      <c r="E1917" s="76" t="s">
        <v>426</v>
      </c>
      <c r="F1917" s="77">
        <v>5421.42</v>
      </c>
      <c r="G1917" s="77">
        <v>602.38</v>
      </c>
      <c r="H1917" s="77">
        <v>6023.8</v>
      </c>
      <c r="I1917" s="76" t="s">
        <v>968</v>
      </c>
      <c r="J1917" s="77">
        <v>0</v>
      </c>
      <c r="K1917" s="78">
        <v>0</v>
      </c>
      <c r="M1917" s="79" t="str">
        <f t="shared" si="89"/>
        <v>150-7760</v>
      </c>
      <c r="N1917" s="79" t="str">
        <f t="shared" si="87"/>
        <v/>
      </c>
      <c r="O1917" s="79" t="str">
        <f t="shared" si="88"/>
        <v>150</v>
      </c>
      <c r="P1917" s="79" t="str">
        <f>IFERROR(VLOOKUP($M1917,Export!$P:$R,2,FALSE),"-")</f>
        <v>LEX Admin &amp; Other</v>
      </c>
      <c r="Q1917" s="79" t="str">
        <f>IFERROR(VLOOKUP($M1917,Export!$P:$R,3,FALSE),"-")</f>
        <v>LEX Admin &amp; OtherRent &amp; Rates as % of Total Gross Profit</v>
      </c>
      <c r="R1917" s="80" t="e" cm="1">
        <f t="array" ref="R1917">_xlfn.IFS(P1917="Service", _xlfn.IFS(I1917="SALES","GP",I1917="SERVICE SALES","GP",I1917="PARTS SALES","GP",I1917="SERVICE COS","GP",I1917="PARTS COS","GP",I1917="SELLING EXPENSES","Selling Expenses",I1917="EMPLOYMENT EXPENSES","Selling Expenses",I1917="EMPLOYMENT EXPENSES","Selling Expenses",I1917="DIRECT EXPENSES","Selling Expenses",I1917="INDIRECT EXPENSES","Selling Expenses"),P1917="Parts",_xlfn.IFS(I1917="SALES","GP",I1917="SERVICE SALES","GP",I1917="PARTS SALES","GP",I1917="SERVICE COS","GP",I1917="PARTS COS","GP",I1917="SELLING EXPENSES","Selling Expenses",I1917="EMPLOYMENT EXPENSES","Selling Expenses",I1917="EMPLOYMENT EXPENSES","Selling Expenses",I1917="DIRECT EXPENSES","Selling Expenses",I1917="INDIRECT EXPENSES","Selling Expenses"))</f>
        <v>#N/A</v>
      </c>
    </row>
    <row r="1918" spans="1:18" x14ac:dyDescent="0.2">
      <c r="A1918" s="75">
        <v>7760</v>
      </c>
      <c r="B1918" s="76" t="s">
        <v>978</v>
      </c>
      <c r="C1918" s="76">
        <v>160</v>
      </c>
      <c r="D1918" s="76" t="s">
        <v>434</v>
      </c>
      <c r="E1918" s="76" t="s">
        <v>426</v>
      </c>
      <c r="F1918" s="77">
        <v>0</v>
      </c>
      <c r="G1918" s="77">
        <v>0</v>
      </c>
      <c r="H1918" s="77">
        <v>0</v>
      </c>
      <c r="I1918" s="76" t="s">
        <v>968</v>
      </c>
      <c r="J1918" s="77">
        <v>0</v>
      </c>
      <c r="K1918" s="78">
        <v>700</v>
      </c>
      <c r="M1918" s="79" t="str">
        <f t="shared" si="89"/>
        <v>160-7760</v>
      </c>
      <c r="N1918" s="79" t="str">
        <f t="shared" si="87"/>
        <v/>
      </c>
      <c r="O1918" s="79" t="str">
        <f t="shared" si="88"/>
        <v>160</v>
      </c>
      <c r="P1918" s="79" t="str">
        <f>IFERROR(VLOOKUP($M1918,Export!$P:$R,2,FALSE),"-")</f>
        <v>Admin &amp; Other</v>
      </c>
      <c r="Q1918" s="79" t="str">
        <f>IFERROR(VLOOKUP($M1918,Export!$P:$R,3,FALSE),"-")</f>
        <v>Admin &amp; OtherRent &amp; Rates as % of Total Gross Profit</v>
      </c>
      <c r="R1918" s="80" t="e" cm="1">
        <f t="array" ref="R1918">_xlfn.IFS(P1918="Service", _xlfn.IFS(I1918="SALES","GP",I1918="SERVICE SALES","GP",I1918="PARTS SALES","GP",I1918="SERVICE COS","GP",I1918="PARTS COS","GP",I1918="SELLING EXPENSES","Selling Expenses",I1918="EMPLOYMENT EXPENSES","Selling Expenses",I1918="EMPLOYMENT EXPENSES","Selling Expenses",I1918="DIRECT EXPENSES","Selling Expenses",I1918="INDIRECT EXPENSES","Selling Expenses"),P1918="Parts",_xlfn.IFS(I1918="SALES","GP",I1918="SERVICE SALES","GP",I1918="PARTS SALES","GP",I1918="SERVICE COS","GP",I1918="PARTS COS","GP",I1918="SELLING EXPENSES","Selling Expenses",I1918="EMPLOYMENT EXPENSES","Selling Expenses",I1918="EMPLOYMENT EXPENSES","Selling Expenses",I1918="DIRECT EXPENSES","Selling Expenses",I1918="INDIRECT EXPENSES","Selling Expenses"))</f>
        <v>#N/A</v>
      </c>
    </row>
    <row r="1919" spans="1:18" x14ac:dyDescent="0.2">
      <c r="A1919" s="75">
        <v>7760</v>
      </c>
      <c r="B1919" s="76" t="s">
        <v>978</v>
      </c>
      <c r="C1919" s="76">
        <v>210</v>
      </c>
      <c r="D1919" s="76" t="s">
        <v>436</v>
      </c>
      <c r="E1919" s="76" t="s">
        <v>426</v>
      </c>
      <c r="F1919" s="77">
        <v>17154.990000000002</v>
      </c>
      <c r="G1919" s="77">
        <v>1906.11</v>
      </c>
      <c r="H1919" s="77">
        <v>19061.099999999999</v>
      </c>
      <c r="I1919" s="76" t="s">
        <v>968</v>
      </c>
      <c r="J1919" s="77">
        <v>952.1</v>
      </c>
      <c r="K1919" s="78">
        <v>13212.6</v>
      </c>
      <c r="M1919" s="79" t="str">
        <f t="shared" si="89"/>
        <v>210-7760</v>
      </c>
      <c r="N1919" s="79" t="str">
        <f t="shared" si="87"/>
        <v/>
      </c>
      <c r="O1919" s="79" t="str">
        <f t="shared" si="88"/>
        <v>210</v>
      </c>
      <c r="P1919" s="79" t="str">
        <f>IFERROR(VLOOKUP($M1919,Export!$P:$R,2,FALSE),"-")</f>
        <v>Admin &amp; Other</v>
      </c>
      <c r="Q1919" s="79" t="str">
        <f>IFERROR(VLOOKUP($M1919,Export!$P:$R,3,FALSE),"-")</f>
        <v>Admin &amp; OtherRent &amp; Rates as % of Total Gross Profit</v>
      </c>
      <c r="R1919" s="80" t="e" cm="1">
        <f t="array" ref="R1919">_xlfn.IFS(P1919="Service", _xlfn.IFS(I1919="SALES","GP",I1919="SERVICE SALES","GP",I1919="PARTS SALES","GP",I1919="SERVICE COS","GP",I1919="PARTS COS","GP",I1919="SELLING EXPENSES","Selling Expenses",I1919="EMPLOYMENT EXPENSES","Selling Expenses",I1919="EMPLOYMENT EXPENSES","Selling Expenses",I1919="DIRECT EXPENSES","Selling Expenses",I1919="INDIRECT EXPENSES","Selling Expenses"),P1919="Parts",_xlfn.IFS(I1919="SALES","GP",I1919="SERVICE SALES","GP",I1919="PARTS SALES","GP",I1919="SERVICE COS","GP",I1919="PARTS COS","GP",I1919="SELLING EXPENSES","Selling Expenses",I1919="EMPLOYMENT EXPENSES","Selling Expenses",I1919="EMPLOYMENT EXPENSES","Selling Expenses",I1919="DIRECT EXPENSES","Selling Expenses",I1919="INDIRECT EXPENSES","Selling Expenses"))</f>
        <v>#N/A</v>
      </c>
    </row>
    <row r="1920" spans="1:18" x14ac:dyDescent="0.2">
      <c r="A1920" s="75">
        <v>7760</v>
      </c>
      <c r="B1920" s="76" t="s">
        <v>978</v>
      </c>
      <c r="C1920" s="76">
        <v>220</v>
      </c>
      <c r="D1920" s="76" t="s">
        <v>437</v>
      </c>
      <c r="E1920" s="76" t="s">
        <v>426</v>
      </c>
      <c r="F1920" s="77">
        <v>13896.9</v>
      </c>
      <c r="G1920" s="77">
        <v>1544.1</v>
      </c>
      <c r="H1920" s="77">
        <v>15441</v>
      </c>
      <c r="I1920" s="76" t="s">
        <v>968</v>
      </c>
      <c r="J1920" s="77">
        <v>952.1</v>
      </c>
      <c r="K1920" s="78">
        <v>13212.6</v>
      </c>
      <c r="M1920" s="79" t="str">
        <f t="shared" si="89"/>
        <v>220-7760</v>
      </c>
      <c r="N1920" s="79" t="str">
        <f t="shared" si="87"/>
        <v/>
      </c>
      <c r="O1920" s="79" t="str">
        <f t="shared" si="88"/>
        <v>220</v>
      </c>
      <c r="P1920" s="79" t="str">
        <f>IFERROR(VLOOKUP($M1920,Export!$P:$R,2,FALSE),"-")</f>
        <v>Admin &amp; Other</v>
      </c>
      <c r="Q1920" s="79" t="str">
        <f>IFERROR(VLOOKUP($M1920,Export!$P:$R,3,FALSE),"-")</f>
        <v>Admin &amp; OtherRent &amp; Rates as % of Total Gross Profit</v>
      </c>
      <c r="R1920" s="80" t="e" cm="1">
        <f t="array" ref="R1920">_xlfn.IFS(P1920="Service", _xlfn.IFS(I1920="SALES","GP",I1920="SERVICE SALES","GP",I1920="PARTS SALES","GP",I1920="SERVICE COS","GP",I1920="PARTS COS","GP",I1920="SELLING EXPENSES","Selling Expenses",I1920="EMPLOYMENT EXPENSES","Selling Expenses",I1920="EMPLOYMENT EXPENSES","Selling Expenses",I1920="DIRECT EXPENSES","Selling Expenses",I1920="INDIRECT EXPENSES","Selling Expenses"),P1920="Parts",_xlfn.IFS(I1920="SALES","GP",I1920="SERVICE SALES","GP",I1920="PARTS SALES","GP",I1920="SERVICE COS","GP",I1920="PARTS COS","GP",I1920="SELLING EXPENSES","Selling Expenses",I1920="EMPLOYMENT EXPENSES","Selling Expenses",I1920="EMPLOYMENT EXPENSES","Selling Expenses",I1920="DIRECT EXPENSES","Selling Expenses",I1920="INDIRECT EXPENSES","Selling Expenses"))</f>
        <v>#N/A</v>
      </c>
    </row>
    <row r="1921" spans="1:18" x14ac:dyDescent="0.2">
      <c r="A1921" s="75">
        <v>7760</v>
      </c>
      <c r="B1921" s="76" t="s">
        <v>978</v>
      </c>
      <c r="C1921" s="76">
        <v>230</v>
      </c>
      <c r="D1921" s="76" t="s">
        <v>438</v>
      </c>
      <c r="E1921" s="76" t="s">
        <v>426</v>
      </c>
      <c r="F1921" s="77">
        <v>3637.17</v>
      </c>
      <c r="G1921" s="77">
        <v>404.13</v>
      </c>
      <c r="H1921" s="77">
        <v>4041.3</v>
      </c>
      <c r="I1921" s="76" t="s">
        <v>968</v>
      </c>
      <c r="J1921" s="77">
        <v>249.13</v>
      </c>
      <c r="K1921" s="78">
        <v>3494.78</v>
      </c>
      <c r="M1921" s="79" t="str">
        <f t="shared" si="89"/>
        <v>230-7760</v>
      </c>
      <c r="N1921" s="79" t="str">
        <f t="shared" si="87"/>
        <v/>
      </c>
      <c r="O1921" s="79" t="str">
        <f t="shared" si="88"/>
        <v>230</v>
      </c>
      <c r="P1921" s="79" t="str">
        <f>IFERROR(VLOOKUP($M1921,Export!$P:$R,2,FALSE),"-")</f>
        <v>Admin &amp; Other</v>
      </c>
      <c r="Q1921" s="79" t="str">
        <f>IFERROR(VLOOKUP($M1921,Export!$P:$R,3,FALSE),"-")</f>
        <v>Admin &amp; OtherRent &amp; Rates as % of Total Gross Profit</v>
      </c>
      <c r="R1921" s="80" t="e" cm="1">
        <f t="array" ref="R1921">_xlfn.IFS(P1921="Service", _xlfn.IFS(I1921="SALES","GP",I1921="SERVICE SALES","GP",I1921="PARTS SALES","GP",I1921="SERVICE COS","GP",I1921="PARTS COS","GP",I1921="SELLING EXPENSES","Selling Expenses",I1921="EMPLOYMENT EXPENSES","Selling Expenses",I1921="EMPLOYMENT EXPENSES","Selling Expenses",I1921="DIRECT EXPENSES","Selling Expenses",I1921="INDIRECT EXPENSES","Selling Expenses"),P1921="Parts",_xlfn.IFS(I1921="SALES","GP",I1921="SERVICE SALES","GP",I1921="PARTS SALES","GP",I1921="SERVICE COS","GP",I1921="PARTS COS","GP",I1921="SELLING EXPENSES","Selling Expenses",I1921="EMPLOYMENT EXPENSES","Selling Expenses",I1921="EMPLOYMENT EXPENSES","Selling Expenses",I1921="DIRECT EXPENSES","Selling Expenses",I1921="INDIRECT EXPENSES","Selling Expenses"))</f>
        <v>#N/A</v>
      </c>
    </row>
    <row r="1922" spans="1:18" x14ac:dyDescent="0.2">
      <c r="A1922" s="75">
        <v>7760</v>
      </c>
      <c r="B1922" s="76" t="s">
        <v>978</v>
      </c>
      <c r="C1922" s="76">
        <v>240</v>
      </c>
      <c r="D1922" s="76" t="s">
        <v>439</v>
      </c>
      <c r="E1922" s="76" t="s">
        <v>426</v>
      </c>
      <c r="F1922" s="77">
        <v>5064.3</v>
      </c>
      <c r="G1922" s="77">
        <v>562.70000000000005</v>
      </c>
      <c r="H1922" s="77">
        <v>5627</v>
      </c>
      <c r="I1922" s="76" t="s">
        <v>968</v>
      </c>
      <c r="J1922" s="77">
        <v>249.13</v>
      </c>
      <c r="K1922" s="78">
        <v>3494.78</v>
      </c>
      <c r="M1922" s="79" t="str">
        <f t="shared" si="89"/>
        <v>240-7760</v>
      </c>
      <c r="N1922" s="79" t="str">
        <f t="shared" ref="N1922:N1985" si="90">+IF(RIGHT(A1922,1)="#","#","")</f>
        <v/>
      </c>
      <c r="O1922" s="79" t="str">
        <f t="shared" ref="O1922:O1981" si="91">+C1922&amp;N1922</f>
        <v>240</v>
      </c>
      <c r="P1922" s="79" t="str">
        <f>IFERROR(VLOOKUP($M1922,Export!$P:$R,2,FALSE),"-")</f>
        <v>Admin &amp; Other</v>
      </c>
      <c r="Q1922" s="79" t="str">
        <f>IFERROR(VLOOKUP($M1922,Export!$P:$R,3,FALSE),"-")</f>
        <v>Admin &amp; OtherRent &amp; Rates as % of Total Gross Profit</v>
      </c>
      <c r="R1922" s="80" t="e" cm="1">
        <f t="array" ref="R1922">_xlfn.IFS(P1922="Service", _xlfn.IFS(I1922="SALES","GP",I1922="SERVICE SALES","GP",I1922="PARTS SALES","GP",I1922="SERVICE COS","GP",I1922="PARTS COS","GP",I1922="SELLING EXPENSES","Selling Expenses",I1922="EMPLOYMENT EXPENSES","Selling Expenses",I1922="EMPLOYMENT EXPENSES","Selling Expenses",I1922="DIRECT EXPENSES","Selling Expenses",I1922="INDIRECT EXPENSES","Selling Expenses"),P1922="Parts",_xlfn.IFS(I1922="SALES","GP",I1922="SERVICE SALES","GP",I1922="PARTS SALES","GP",I1922="SERVICE COS","GP",I1922="PARTS COS","GP",I1922="SELLING EXPENSES","Selling Expenses",I1922="EMPLOYMENT EXPENSES","Selling Expenses",I1922="EMPLOYMENT EXPENSES","Selling Expenses",I1922="DIRECT EXPENSES","Selling Expenses",I1922="INDIRECT EXPENSES","Selling Expenses"))</f>
        <v>#N/A</v>
      </c>
    </row>
    <row r="1923" spans="1:18" x14ac:dyDescent="0.2">
      <c r="A1923" s="75">
        <v>7760</v>
      </c>
      <c r="B1923" s="76" t="s">
        <v>978</v>
      </c>
      <c r="C1923" s="76">
        <v>260</v>
      </c>
      <c r="D1923" s="76" t="s">
        <v>456</v>
      </c>
      <c r="E1923" s="76" t="s">
        <v>426</v>
      </c>
      <c r="F1923" s="77">
        <v>1814.13</v>
      </c>
      <c r="G1923" s="77">
        <v>201.57</v>
      </c>
      <c r="H1923" s="77">
        <v>2015.7</v>
      </c>
      <c r="I1923" s="76" t="s">
        <v>968</v>
      </c>
      <c r="J1923" s="77">
        <v>124.57</v>
      </c>
      <c r="K1923" s="78">
        <v>1747.42</v>
      </c>
      <c r="M1923" s="79" t="str">
        <f t="shared" ref="M1923:M1981" si="92">+C1923&amp;"-"&amp;A1923</f>
        <v>260-7760</v>
      </c>
      <c r="N1923" s="79" t="str">
        <f t="shared" si="90"/>
        <v/>
      </c>
      <c r="O1923" s="79" t="str">
        <f t="shared" si="91"/>
        <v>260</v>
      </c>
      <c r="P1923" s="79" t="str">
        <f>IFERROR(VLOOKUP($M1923,Export!$P:$R,2,FALSE),"-")</f>
        <v>Admin &amp; Other</v>
      </c>
      <c r="Q1923" s="79" t="str">
        <f>IFERROR(VLOOKUP($M1923,Export!$P:$R,3,FALSE),"-")</f>
        <v>Admin &amp; OtherRent &amp; Rates as % of Total Gross Profit</v>
      </c>
      <c r="R1923" s="80" t="e" cm="1">
        <f t="array" ref="R1923">_xlfn.IFS(P1923="Service", _xlfn.IFS(I1923="SALES","GP",I1923="SERVICE SALES","GP",I1923="PARTS SALES","GP",I1923="SERVICE COS","GP",I1923="PARTS COS","GP",I1923="SELLING EXPENSES","Selling Expenses",I1923="EMPLOYMENT EXPENSES","Selling Expenses",I1923="EMPLOYMENT EXPENSES","Selling Expenses",I1923="DIRECT EXPENSES","Selling Expenses",I1923="INDIRECT EXPENSES","Selling Expenses"),P1923="Parts",_xlfn.IFS(I1923="SALES","GP",I1923="SERVICE SALES","GP",I1923="PARTS SALES","GP",I1923="SERVICE COS","GP",I1923="PARTS COS","GP",I1923="SELLING EXPENSES","Selling Expenses",I1923="EMPLOYMENT EXPENSES","Selling Expenses",I1923="EMPLOYMENT EXPENSES","Selling Expenses",I1923="DIRECT EXPENSES","Selling Expenses",I1923="INDIRECT EXPENSES","Selling Expenses"))</f>
        <v>#N/A</v>
      </c>
    </row>
    <row r="1924" spans="1:18" x14ac:dyDescent="0.2">
      <c r="A1924" s="75">
        <v>7760</v>
      </c>
      <c r="B1924" s="76" t="s">
        <v>978</v>
      </c>
      <c r="C1924" s="76">
        <v>330</v>
      </c>
      <c r="D1924" s="76" t="s">
        <v>457</v>
      </c>
      <c r="E1924" s="76" t="s">
        <v>426</v>
      </c>
      <c r="F1924" s="77">
        <v>1196.9100000000001</v>
      </c>
      <c r="G1924" s="77">
        <v>132.99</v>
      </c>
      <c r="H1924" s="77">
        <v>1329.9</v>
      </c>
      <c r="I1924" s="76" t="s">
        <v>968</v>
      </c>
      <c r="J1924" s="77">
        <v>81.99</v>
      </c>
      <c r="K1924" s="78">
        <v>491.94</v>
      </c>
      <c r="M1924" s="79" t="str">
        <f t="shared" si="92"/>
        <v>330-7760</v>
      </c>
      <c r="N1924" s="79" t="str">
        <f t="shared" si="90"/>
        <v/>
      </c>
      <c r="O1924" s="79" t="str">
        <f t="shared" si="91"/>
        <v>330</v>
      </c>
      <c r="P1924" s="79" t="str">
        <f>IFERROR(VLOOKUP($M1924,Export!$P:$R,2,FALSE),"-")</f>
        <v>Admin &amp; Other</v>
      </c>
      <c r="Q1924" s="79" t="str">
        <f>IFERROR(VLOOKUP($M1924,Export!$P:$R,3,FALSE),"-")</f>
        <v>Admin &amp; OtherRent &amp; Rates as % of Total Gross Profit</v>
      </c>
      <c r="R1924" s="80" t="e" cm="1">
        <f t="array" ref="R1924">_xlfn.IFS(P1924="Service", _xlfn.IFS(I1924="SALES","GP",I1924="SERVICE SALES","GP",I1924="PARTS SALES","GP",I1924="SERVICE COS","GP",I1924="PARTS COS","GP",I1924="SELLING EXPENSES","Selling Expenses",I1924="EMPLOYMENT EXPENSES","Selling Expenses",I1924="EMPLOYMENT EXPENSES","Selling Expenses",I1924="DIRECT EXPENSES","Selling Expenses",I1924="INDIRECT EXPENSES","Selling Expenses"),P1924="Parts",_xlfn.IFS(I1924="SALES","GP",I1924="SERVICE SALES","GP",I1924="PARTS SALES","GP",I1924="SERVICE COS","GP",I1924="PARTS COS","GP",I1924="SELLING EXPENSES","Selling Expenses",I1924="EMPLOYMENT EXPENSES","Selling Expenses",I1924="EMPLOYMENT EXPENSES","Selling Expenses",I1924="DIRECT EXPENSES","Selling Expenses",I1924="INDIRECT EXPENSES","Selling Expenses"))</f>
        <v>#N/A</v>
      </c>
    </row>
    <row r="1925" spans="1:18" x14ac:dyDescent="0.2">
      <c r="A1925" s="75">
        <v>7760</v>
      </c>
      <c r="B1925" s="76" t="s">
        <v>978</v>
      </c>
      <c r="C1925" s="76">
        <v>340</v>
      </c>
      <c r="D1925" s="76" t="s">
        <v>440</v>
      </c>
      <c r="E1925" s="76" t="s">
        <v>426</v>
      </c>
      <c r="F1925" s="77">
        <v>8005.77</v>
      </c>
      <c r="G1925" s="77">
        <v>889.53</v>
      </c>
      <c r="H1925" s="77">
        <v>8895.2999999999993</v>
      </c>
      <c r="I1925" s="76" t="s">
        <v>968</v>
      </c>
      <c r="J1925" s="77">
        <v>450.96</v>
      </c>
      <c r="K1925" s="78">
        <v>4705.76</v>
      </c>
      <c r="M1925" s="79" t="str">
        <f t="shared" si="92"/>
        <v>340-7760</v>
      </c>
      <c r="N1925" s="79" t="str">
        <f t="shared" si="90"/>
        <v/>
      </c>
      <c r="O1925" s="79" t="str">
        <f t="shared" si="91"/>
        <v>340</v>
      </c>
      <c r="P1925" s="79" t="str">
        <f>IFERROR(VLOOKUP($M1925,Export!$P:$R,2,FALSE),"-")</f>
        <v>Admin &amp; Other</v>
      </c>
      <c r="Q1925" s="79" t="str">
        <f>IFERROR(VLOOKUP($M1925,Export!$P:$R,3,FALSE),"-")</f>
        <v>Admin &amp; OtherRent &amp; Rates as % of Total Gross Profit</v>
      </c>
      <c r="R1925" s="80" t="e" cm="1">
        <f t="array" ref="R1925">_xlfn.IFS(P1925="Service", _xlfn.IFS(I1925="SALES","GP",I1925="SERVICE SALES","GP",I1925="PARTS SALES","GP",I1925="SERVICE COS","GP",I1925="PARTS COS","GP",I1925="SELLING EXPENSES","Selling Expenses",I1925="EMPLOYMENT EXPENSES","Selling Expenses",I1925="EMPLOYMENT EXPENSES","Selling Expenses",I1925="DIRECT EXPENSES","Selling Expenses",I1925="INDIRECT EXPENSES","Selling Expenses"),P1925="Parts",_xlfn.IFS(I1925="SALES","GP",I1925="SERVICE SALES","GP",I1925="PARTS SALES","GP",I1925="SERVICE COS","GP",I1925="PARTS COS","GP",I1925="SELLING EXPENSES","Selling Expenses",I1925="EMPLOYMENT EXPENSES","Selling Expenses",I1925="EMPLOYMENT EXPENSES","Selling Expenses",I1925="DIRECT EXPENSES","Selling Expenses",I1925="INDIRECT EXPENSES","Selling Expenses"))</f>
        <v>#N/A</v>
      </c>
    </row>
    <row r="1926" spans="1:18" x14ac:dyDescent="0.2">
      <c r="A1926" s="75">
        <v>7760</v>
      </c>
      <c r="B1926" s="76" t="s">
        <v>978</v>
      </c>
      <c r="C1926" s="76">
        <v>430</v>
      </c>
      <c r="D1926" s="76" t="s">
        <v>458</v>
      </c>
      <c r="E1926" s="76" t="s">
        <v>426</v>
      </c>
      <c r="F1926" s="77">
        <v>3274.29</v>
      </c>
      <c r="G1926" s="77">
        <v>363.81</v>
      </c>
      <c r="H1926" s="77">
        <v>3638.1</v>
      </c>
      <c r="I1926" s="76" t="s">
        <v>968</v>
      </c>
      <c r="J1926" s="77">
        <v>0</v>
      </c>
      <c r="K1926" s="78">
        <v>0</v>
      </c>
      <c r="M1926" s="79" t="str">
        <f t="shared" si="92"/>
        <v>430-7760</v>
      </c>
      <c r="N1926" s="79" t="str">
        <f t="shared" si="90"/>
        <v/>
      </c>
      <c r="O1926" s="79" t="str">
        <f t="shared" si="91"/>
        <v>430</v>
      </c>
      <c r="P1926" s="79" t="str">
        <f>IFERROR(VLOOKUP($M1926,Export!$P:$R,2,FALSE),"-")</f>
        <v>Admin &amp; Other</v>
      </c>
      <c r="Q1926" s="79" t="str">
        <f>IFERROR(VLOOKUP($M1926,Export!$P:$R,3,FALSE),"-")</f>
        <v>Admin &amp; OtherRent &amp; Rates as % of Total Gross Profit</v>
      </c>
      <c r="R1926" s="80" t="e" cm="1">
        <f t="array" ref="R1926">_xlfn.IFS(P1926="Service", _xlfn.IFS(I1926="SALES","GP",I1926="SERVICE SALES","GP",I1926="PARTS SALES","GP",I1926="SERVICE COS","GP",I1926="PARTS COS","GP",I1926="SELLING EXPENSES","Selling Expenses",I1926="EMPLOYMENT EXPENSES","Selling Expenses",I1926="EMPLOYMENT EXPENSES","Selling Expenses",I1926="DIRECT EXPENSES","Selling Expenses",I1926="INDIRECT EXPENSES","Selling Expenses"),P1926="Parts",_xlfn.IFS(I1926="SALES","GP",I1926="SERVICE SALES","GP",I1926="PARTS SALES","GP",I1926="SERVICE COS","GP",I1926="PARTS COS","GP",I1926="SELLING EXPENSES","Selling Expenses",I1926="EMPLOYMENT EXPENSES","Selling Expenses",I1926="EMPLOYMENT EXPENSES","Selling Expenses",I1926="DIRECT EXPENSES","Selling Expenses",I1926="INDIRECT EXPENSES","Selling Expenses"))</f>
        <v>#N/A</v>
      </c>
    </row>
    <row r="1927" spans="1:18" x14ac:dyDescent="0.2">
      <c r="A1927" s="75">
        <v>7760</v>
      </c>
      <c r="B1927" s="76" t="s">
        <v>978</v>
      </c>
      <c r="C1927" s="76">
        <v>440</v>
      </c>
      <c r="D1927" s="76" t="s">
        <v>441</v>
      </c>
      <c r="E1927" s="76" t="s">
        <v>426</v>
      </c>
      <c r="F1927" s="77">
        <v>16841.25</v>
      </c>
      <c r="G1927" s="77">
        <v>1871.25</v>
      </c>
      <c r="H1927" s="77">
        <v>18712.5</v>
      </c>
      <c r="I1927" s="76" t="s">
        <v>968</v>
      </c>
      <c r="J1927" s="77">
        <v>0</v>
      </c>
      <c r="K1927" s="78">
        <v>0</v>
      </c>
      <c r="M1927" s="79" t="str">
        <f t="shared" si="92"/>
        <v>440-7760</v>
      </c>
      <c r="N1927" s="79" t="str">
        <f t="shared" si="90"/>
        <v/>
      </c>
      <c r="O1927" s="79" t="str">
        <f t="shared" si="91"/>
        <v>440</v>
      </c>
      <c r="P1927" s="79" t="str">
        <f>IFERROR(VLOOKUP($M1927,Export!$P:$R,2,FALSE),"-")</f>
        <v>Admin &amp; Other</v>
      </c>
      <c r="Q1927" s="79" t="str">
        <f>IFERROR(VLOOKUP($M1927,Export!$P:$R,3,FALSE),"-")</f>
        <v>Admin &amp; OtherRent &amp; Rates as % of Total Gross Profit</v>
      </c>
      <c r="R1927" s="80" t="e" cm="1">
        <f t="array" ref="R1927">_xlfn.IFS(P1927="Service", _xlfn.IFS(I1927="SALES","GP",I1927="SERVICE SALES","GP",I1927="PARTS SALES","GP",I1927="SERVICE COS","GP",I1927="PARTS COS","GP",I1927="SELLING EXPENSES","Selling Expenses",I1927="EMPLOYMENT EXPENSES","Selling Expenses",I1927="EMPLOYMENT EXPENSES","Selling Expenses",I1927="DIRECT EXPENSES","Selling Expenses",I1927="INDIRECT EXPENSES","Selling Expenses"),P1927="Parts",_xlfn.IFS(I1927="SALES","GP",I1927="SERVICE SALES","GP",I1927="PARTS SALES","GP",I1927="SERVICE COS","GP",I1927="PARTS COS","GP",I1927="SELLING EXPENSES","Selling Expenses",I1927="EMPLOYMENT EXPENSES","Selling Expenses",I1927="EMPLOYMENT EXPENSES","Selling Expenses",I1927="DIRECT EXPENSES","Selling Expenses",I1927="INDIRECT EXPENSES","Selling Expenses"))</f>
        <v>#N/A</v>
      </c>
    </row>
    <row r="1928" spans="1:18" x14ac:dyDescent="0.2">
      <c r="A1928" s="75">
        <v>7760</v>
      </c>
      <c r="B1928" s="76" t="s">
        <v>978</v>
      </c>
      <c r="C1928" s="76">
        <v>935</v>
      </c>
      <c r="D1928" s="76" t="s">
        <v>442</v>
      </c>
      <c r="E1928" s="76" t="s">
        <v>426</v>
      </c>
      <c r="F1928" s="77">
        <v>3914.37</v>
      </c>
      <c r="G1928" s="77">
        <v>434.93</v>
      </c>
      <c r="H1928" s="77">
        <v>4349.3</v>
      </c>
      <c r="I1928" s="76" t="s">
        <v>968</v>
      </c>
      <c r="J1928" s="77">
        <v>267.93</v>
      </c>
      <c r="K1928" s="78">
        <v>3207.58</v>
      </c>
      <c r="M1928" s="79" t="str">
        <f t="shared" si="92"/>
        <v>935-7760</v>
      </c>
      <c r="N1928" s="79" t="str">
        <f t="shared" si="90"/>
        <v/>
      </c>
      <c r="O1928" s="79" t="str">
        <f t="shared" si="91"/>
        <v>935</v>
      </c>
      <c r="P1928" s="79" t="str">
        <f>IFERROR(VLOOKUP($M1928,Export!$P:$R,2,FALSE),"-")</f>
        <v>LEX Admin &amp; Other</v>
      </c>
      <c r="Q1928" s="79" t="str">
        <f>IFERROR(VLOOKUP($M1928,Export!$P:$R,3,FALSE),"-")</f>
        <v>LEX Admin &amp; OtherRent &amp; Rates as % of Total Gross Profit</v>
      </c>
      <c r="R1928" s="80" t="e" cm="1">
        <f t="array" ref="R1928">_xlfn.IFS(P1928="Service", _xlfn.IFS(I1928="SALES","GP",I1928="SERVICE SALES","GP",I1928="PARTS SALES","GP",I1928="SERVICE COS","GP",I1928="PARTS COS","GP",I1928="SELLING EXPENSES","Selling Expenses",I1928="EMPLOYMENT EXPENSES","Selling Expenses",I1928="EMPLOYMENT EXPENSES","Selling Expenses",I1928="DIRECT EXPENSES","Selling Expenses",I1928="INDIRECT EXPENSES","Selling Expenses"),P1928="Parts",_xlfn.IFS(I1928="SALES","GP",I1928="SERVICE SALES","GP",I1928="PARTS SALES","GP",I1928="SERVICE COS","GP",I1928="PARTS COS","GP",I1928="SELLING EXPENSES","Selling Expenses",I1928="EMPLOYMENT EXPENSES","Selling Expenses",I1928="EMPLOYMENT EXPENSES","Selling Expenses",I1928="DIRECT EXPENSES","Selling Expenses",I1928="INDIRECT EXPENSES","Selling Expenses"))</f>
        <v>#N/A</v>
      </c>
    </row>
    <row r="1929" spans="1:18" x14ac:dyDescent="0.2">
      <c r="A1929" s="75">
        <v>7760</v>
      </c>
      <c r="B1929" s="76" t="s">
        <v>978</v>
      </c>
      <c r="C1929" s="76">
        <v>936</v>
      </c>
      <c r="D1929" s="76" t="s">
        <v>443</v>
      </c>
      <c r="E1929" s="76" t="s">
        <v>426</v>
      </c>
      <c r="F1929" s="77">
        <v>4184.82</v>
      </c>
      <c r="G1929" s="77">
        <v>464.98</v>
      </c>
      <c r="H1929" s="77">
        <v>4649.8</v>
      </c>
      <c r="I1929" s="76" t="s">
        <v>968</v>
      </c>
      <c r="J1929" s="77">
        <v>286.98</v>
      </c>
      <c r="K1929" s="78">
        <v>3881.88</v>
      </c>
      <c r="M1929" s="79" t="str">
        <f t="shared" si="92"/>
        <v>936-7760</v>
      </c>
      <c r="N1929" s="79" t="str">
        <f t="shared" si="90"/>
        <v/>
      </c>
      <c r="O1929" s="79" t="str">
        <f t="shared" si="91"/>
        <v>936</v>
      </c>
      <c r="P1929" s="79" t="str">
        <f>IFERROR(VLOOKUP($M1929,Export!$P:$R,2,FALSE),"-")</f>
        <v>LEX Admin &amp; Other</v>
      </c>
      <c r="Q1929" s="79" t="str">
        <f>IFERROR(VLOOKUP($M1929,Export!$P:$R,3,FALSE),"-")</f>
        <v>LEX Admin &amp; OtherRent &amp; Rates as % of Total Gross Profit</v>
      </c>
      <c r="R1929" s="80" t="e" cm="1">
        <f t="array" ref="R1929">_xlfn.IFS(P1929="Service", _xlfn.IFS(I1929="SALES","GP",I1929="SERVICE SALES","GP",I1929="PARTS SALES","GP",I1929="SERVICE COS","GP",I1929="PARTS COS","GP",I1929="SELLING EXPENSES","Selling Expenses",I1929="EMPLOYMENT EXPENSES","Selling Expenses",I1929="EMPLOYMENT EXPENSES","Selling Expenses",I1929="DIRECT EXPENSES","Selling Expenses",I1929="INDIRECT EXPENSES","Selling Expenses"),P1929="Parts",_xlfn.IFS(I1929="SALES","GP",I1929="SERVICE SALES","GP",I1929="PARTS SALES","GP",I1929="SERVICE COS","GP",I1929="PARTS COS","GP",I1929="SELLING EXPENSES","Selling Expenses",I1929="EMPLOYMENT EXPENSES","Selling Expenses",I1929="EMPLOYMENT EXPENSES","Selling Expenses",I1929="DIRECT EXPENSES","Selling Expenses",I1929="INDIRECT EXPENSES","Selling Expenses"))</f>
        <v>#N/A</v>
      </c>
    </row>
    <row r="1930" spans="1:18" x14ac:dyDescent="0.2">
      <c r="A1930" s="75">
        <v>7790</v>
      </c>
      <c r="B1930" s="76" t="s">
        <v>127</v>
      </c>
      <c r="C1930" s="76">
        <v>110</v>
      </c>
      <c r="D1930" s="76" t="s">
        <v>430</v>
      </c>
      <c r="E1930" s="76" t="s">
        <v>426</v>
      </c>
      <c r="F1930" s="77">
        <v>36725</v>
      </c>
      <c r="G1930" s="77">
        <v>4290</v>
      </c>
      <c r="H1930" s="77">
        <v>41015</v>
      </c>
      <c r="I1930" s="76" t="s">
        <v>968</v>
      </c>
      <c r="J1930" s="77">
        <v>5300.82</v>
      </c>
      <c r="K1930" s="78">
        <v>43994.22</v>
      </c>
      <c r="M1930" s="79" t="str">
        <f t="shared" si="92"/>
        <v>110-7790</v>
      </c>
      <c r="N1930" s="79" t="str">
        <f t="shared" si="90"/>
        <v/>
      </c>
      <c r="O1930" s="79" t="str">
        <f t="shared" si="91"/>
        <v>110</v>
      </c>
      <c r="P1930" s="79" t="str">
        <f>IFERROR(VLOOKUP($M1930,Export!$P:$R,2,FALSE),"-")</f>
        <v>Admin &amp; Other</v>
      </c>
      <c r="Q1930" s="79" t="str">
        <f>IFERROR(VLOOKUP($M1930,Export!$P:$R,3,FALSE),"-")</f>
        <v>Admin &amp; OtherDepreciation as % of Total Gross Profit</v>
      </c>
      <c r="R1930" s="80" t="e" cm="1">
        <f t="array" ref="R1930">_xlfn.IFS(P1930="Service", _xlfn.IFS(I1930="SALES","GP",I1930="SERVICE SALES","GP",I1930="PARTS SALES","GP",I1930="SERVICE COS","GP",I1930="PARTS COS","GP",I1930="SELLING EXPENSES","Selling Expenses",I1930="EMPLOYMENT EXPENSES","Selling Expenses",I1930="EMPLOYMENT EXPENSES","Selling Expenses",I1930="DIRECT EXPENSES","Selling Expenses",I1930="INDIRECT EXPENSES","Selling Expenses"),P1930="Parts",_xlfn.IFS(I1930="SALES","GP",I1930="SERVICE SALES","GP",I1930="PARTS SALES","GP",I1930="SERVICE COS","GP",I1930="PARTS COS","GP",I1930="SELLING EXPENSES","Selling Expenses",I1930="EMPLOYMENT EXPENSES","Selling Expenses",I1930="EMPLOYMENT EXPENSES","Selling Expenses",I1930="DIRECT EXPENSES","Selling Expenses",I1930="INDIRECT EXPENSES","Selling Expenses"))</f>
        <v>#N/A</v>
      </c>
    </row>
    <row r="1931" spans="1:18" x14ac:dyDescent="0.2">
      <c r="A1931" s="75">
        <v>7790</v>
      </c>
      <c r="B1931" s="76" t="s">
        <v>127</v>
      </c>
      <c r="C1931" s="76">
        <v>112</v>
      </c>
      <c r="D1931" s="76" t="s">
        <v>349</v>
      </c>
      <c r="E1931" s="76" t="s">
        <v>426</v>
      </c>
      <c r="F1931" s="77">
        <v>125556</v>
      </c>
      <c r="G1931" s="77">
        <v>16183</v>
      </c>
      <c r="H1931" s="77">
        <v>141739</v>
      </c>
      <c r="I1931" s="76" t="s">
        <v>968</v>
      </c>
      <c r="J1931" s="77">
        <v>12578.28</v>
      </c>
      <c r="K1931" s="78">
        <v>114653.12</v>
      </c>
      <c r="M1931" s="79" t="str">
        <f t="shared" si="92"/>
        <v>112-7790</v>
      </c>
      <c r="N1931" s="79" t="str">
        <f t="shared" si="90"/>
        <v/>
      </c>
      <c r="O1931" s="79" t="str">
        <f t="shared" si="91"/>
        <v>112</v>
      </c>
      <c r="P1931" s="79" t="str">
        <f>IFERROR(VLOOKUP($M1931,Export!$P:$R,2,FALSE),"-")</f>
        <v>LEX Admin &amp; Other</v>
      </c>
      <c r="Q1931" s="79" t="str">
        <f>IFERROR(VLOOKUP($M1931,Export!$P:$R,3,FALSE),"-")</f>
        <v>LEX Admin &amp; OtherDepreciation as % of Total Gross Profit</v>
      </c>
      <c r="R1931" s="80" t="e" cm="1">
        <f t="array" ref="R1931">_xlfn.IFS(P1931="Service", _xlfn.IFS(I1931="SALES","GP",I1931="SERVICE SALES","GP",I1931="PARTS SALES","GP",I1931="SERVICE COS","GP",I1931="PARTS COS","GP",I1931="SELLING EXPENSES","Selling Expenses",I1931="EMPLOYMENT EXPENSES","Selling Expenses",I1931="EMPLOYMENT EXPENSES","Selling Expenses",I1931="DIRECT EXPENSES","Selling Expenses",I1931="INDIRECT EXPENSES","Selling Expenses"),P1931="Parts",_xlfn.IFS(I1931="SALES","GP",I1931="SERVICE SALES","GP",I1931="PARTS SALES","GP",I1931="SERVICE COS","GP",I1931="PARTS COS","GP",I1931="SELLING EXPENSES","Selling Expenses",I1931="EMPLOYMENT EXPENSES","Selling Expenses",I1931="EMPLOYMENT EXPENSES","Selling Expenses",I1931="DIRECT EXPENSES","Selling Expenses",I1931="INDIRECT EXPENSES","Selling Expenses"))</f>
        <v>#N/A</v>
      </c>
    </row>
    <row r="1932" spans="1:18" x14ac:dyDescent="0.2">
      <c r="A1932" s="75">
        <v>7790</v>
      </c>
      <c r="B1932" s="76" t="s">
        <v>127</v>
      </c>
      <c r="C1932" s="76">
        <v>120</v>
      </c>
      <c r="D1932" s="76" t="s">
        <v>431</v>
      </c>
      <c r="E1932" s="76" t="s">
        <v>426</v>
      </c>
      <c r="F1932" s="77">
        <v>34116</v>
      </c>
      <c r="G1932" s="77">
        <v>4113</v>
      </c>
      <c r="H1932" s="77">
        <v>38229</v>
      </c>
      <c r="I1932" s="76" t="s">
        <v>968</v>
      </c>
      <c r="J1932" s="77">
        <v>3396.14</v>
      </c>
      <c r="K1932" s="78">
        <v>31136.59</v>
      </c>
      <c r="M1932" s="79" t="str">
        <f t="shared" si="92"/>
        <v>120-7790</v>
      </c>
      <c r="N1932" s="79" t="str">
        <f t="shared" si="90"/>
        <v/>
      </c>
      <c r="O1932" s="79" t="str">
        <f t="shared" si="91"/>
        <v>120</v>
      </c>
      <c r="P1932" s="79" t="str">
        <f>IFERROR(VLOOKUP($M1932,Export!$P:$R,2,FALSE),"-")</f>
        <v>Admin &amp; Other</v>
      </c>
      <c r="Q1932" s="79" t="str">
        <f>IFERROR(VLOOKUP($M1932,Export!$P:$R,3,FALSE),"-")</f>
        <v>Admin &amp; OtherDepreciation as % of Total Gross Profit</v>
      </c>
      <c r="R1932" s="80" t="e" cm="1">
        <f t="array" ref="R1932">_xlfn.IFS(P1932="Service", _xlfn.IFS(I1932="SALES","GP",I1932="SERVICE SALES","GP",I1932="PARTS SALES","GP",I1932="SERVICE COS","GP",I1932="PARTS COS","GP",I1932="SELLING EXPENSES","Selling Expenses",I1932="EMPLOYMENT EXPENSES","Selling Expenses",I1932="EMPLOYMENT EXPENSES","Selling Expenses",I1932="DIRECT EXPENSES","Selling Expenses",I1932="INDIRECT EXPENSES","Selling Expenses"),P1932="Parts",_xlfn.IFS(I1932="SALES","GP",I1932="SERVICE SALES","GP",I1932="PARTS SALES","GP",I1932="SERVICE COS","GP",I1932="PARTS COS","GP",I1932="SELLING EXPENSES","Selling Expenses",I1932="EMPLOYMENT EXPENSES","Selling Expenses",I1932="EMPLOYMENT EXPENSES","Selling Expenses",I1932="DIRECT EXPENSES","Selling Expenses",I1932="INDIRECT EXPENSES","Selling Expenses"))</f>
        <v>#N/A</v>
      </c>
    </row>
    <row r="1933" spans="1:18" x14ac:dyDescent="0.2">
      <c r="A1933" s="75">
        <v>7790</v>
      </c>
      <c r="B1933" s="76" t="s">
        <v>127</v>
      </c>
      <c r="C1933" s="76">
        <v>121</v>
      </c>
      <c r="D1933" s="76" t="s">
        <v>449</v>
      </c>
      <c r="E1933" s="76" t="s">
        <v>426</v>
      </c>
      <c r="F1933" s="77">
        <v>24840</v>
      </c>
      <c r="G1933" s="77">
        <v>3072</v>
      </c>
      <c r="H1933" s="77">
        <v>27912</v>
      </c>
      <c r="I1933" s="76" t="s">
        <v>968</v>
      </c>
      <c r="J1933" s="77">
        <v>2473.6</v>
      </c>
      <c r="K1933" s="78">
        <v>20021.93</v>
      </c>
      <c r="M1933" s="79" t="str">
        <f t="shared" si="92"/>
        <v>121-7790</v>
      </c>
      <c r="N1933" s="79" t="str">
        <f t="shared" si="90"/>
        <v/>
      </c>
      <c r="O1933" s="79" t="str">
        <f t="shared" si="91"/>
        <v>121</v>
      </c>
      <c r="P1933" s="79" t="str">
        <f>IFERROR(VLOOKUP($M1933,Export!$P:$R,2,FALSE),"-")</f>
        <v>Admin &amp; Other</v>
      </c>
      <c r="Q1933" s="79" t="str">
        <f>IFERROR(VLOOKUP($M1933,Export!$P:$R,3,FALSE),"-")</f>
        <v>Admin &amp; OtherDepreciation as % of Total Gross Profit</v>
      </c>
      <c r="R1933" s="80" t="e" cm="1">
        <f t="array" ref="R1933">_xlfn.IFS(P1933="Service", _xlfn.IFS(I1933="SALES","GP",I1933="SERVICE SALES","GP",I1933="PARTS SALES","GP",I1933="SERVICE COS","GP",I1933="PARTS COS","GP",I1933="SELLING EXPENSES","Selling Expenses",I1933="EMPLOYMENT EXPENSES","Selling Expenses",I1933="EMPLOYMENT EXPENSES","Selling Expenses",I1933="DIRECT EXPENSES","Selling Expenses",I1933="INDIRECT EXPENSES","Selling Expenses"),P1933="Parts",_xlfn.IFS(I1933="SALES","GP",I1933="SERVICE SALES","GP",I1933="PARTS SALES","GP",I1933="SERVICE COS","GP",I1933="PARTS COS","GP",I1933="SELLING EXPENSES","Selling Expenses",I1933="EMPLOYMENT EXPENSES","Selling Expenses",I1933="EMPLOYMENT EXPENSES","Selling Expenses",I1933="DIRECT EXPENSES","Selling Expenses",I1933="INDIRECT EXPENSES","Selling Expenses"))</f>
        <v>#N/A</v>
      </c>
    </row>
    <row r="1934" spans="1:18" x14ac:dyDescent="0.2">
      <c r="A1934" s="75">
        <v>7790</v>
      </c>
      <c r="B1934" s="76" t="s">
        <v>127</v>
      </c>
      <c r="C1934" s="76">
        <v>130</v>
      </c>
      <c r="D1934" s="76" t="s">
        <v>432</v>
      </c>
      <c r="E1934" s="76" t="s">
        <v>426</v>
      </c>
      <c r="F1934" s="77">
        <v>54331</v>
      </c>
      <c r="G1934" s="77">
        <v>6356</v>
      </c>
      <c r="H1934" s="77">
        <v>60687</v>
      </c>
      <c r="I1934" s="76" t="s">
        <v>968</v>
      </c>
      <c r="J1934" s="77">
        <v>5741.27</v>
      </c>
      <c r="K1934" s="78">
        <v>48650.15</v>
      </c>
      <c r="M1934" s="79" t="str">
        <f t="shared" si="92"/>
        <v>130-7790</v>
      </c>
      <c r="N1934" s="79" t="str">
        <f t="shared" si="90"/>
        <v/>
      </c>
      <c r="O1934" s="79" t="str">
        <f t="shared" si="91"/>
        <v>130</v>
      </c>
      <c r="P1934" s="79" t="str">
        <f>IFERROR(VLOOKUP($M1934,Export!$P:$R,2,FALSE),"-")</f>
        <v>Admin &amp; Other</v>
      </c>
      <c r="Q1934" s="79" t="str">
        <f>IFERROR(VLOOKUP($M1934,Export!$P:$R,3,FALSE),"-")</f>
        <v>Admin &amp; OtherDepreciation as % of Total Gross Profit</v>
      </c>
      <c r="R1934" s="80" t="e" cm="1">
        <f t="array" ref="R1934">_xlfn.IFS(P1934="Service", _xlfn.IFS(I1934="SALES","GP",I1934="SERVICE SALES","GP",I1934="PARTS SALES","GP",I1934="SERVICE COS","GP",I1934="PARTS COS","GP",I1934="SELLING EXPENSES","Selling Expenses",I1934="EMPLOYMENT EXPENSES","Selling Expenses",I1934="EMPLOYMENT EXPENSES","Selling Expenses",I1934="DIRECT EXPENSES","Selling Expenses",I1934="INDIRECT EXPENSES","Selling Expenses"),P1934="Parts",_xlfn.IFS(I1934="SALES","GP",I1934="SERVICE SALES","GP",I1934="PARTS SALES","GP",I1934="SERVICE COS","GP",I1934="PARTS COS","GP",I1934="SELLING EXPENSES","Selling Expenses",I1934="EMPLOYMENT EXPENSES","Selling Expenses",I1934="EMPLOYMENT EXPENSES","Selling Expenses",I1934="DIRECT EXPENSES","Selling Expenses",I1934="INDIRECT EXPENSES","Selling Expenses"))</f>
        <v>#N/A</v>
      </c>
    </row>
    <row r="1935" spans="1:18" x14ac:dyDescent="0.2">
      <c r="A1935" s="75">
        <v>7790</v>
      </c>
      <c r="B1935" s="76" t="s">
        <v>127</v>
      </c>
      <c r="C1935" s="76">
        <v>140</v>
      </c>
      <c r="D1935" s="76" t="s">
        <v>433</v>
      </c>
      <c r="E1935" s="76" t="s">
        <v>426</v>
      </c>
      <c r="F1935" s="77">
        <v>137757</v>
      </c>
      <c r="G1935" s="77">
        <v>14705</v>
      </c>
      <c r="H1935" s="77">
        <v>152462</v>
      </c>
      <c r="I1935" s="76" t="s">
        <v>968</v>
      </c>
      <c r="J1935" s="77">
        <v>17529.75</v>
      </c>
      <c r="K1935" s="78">
        <v>157145.75</v>
      </c>
      <c r="M1935" s="79" t="str">
        <f t="shared" si="92"/>
        <v>140-7790</v>
      </c>
      <c r="N1935" s="79" t="str">
        <f t="shared" si="90"/>
        <v/>
      </c>
      <c r="O1935" s="79" t="str">
        <f t="shared" si="91"/>
        <v>140</v>
      </c>
      <c r="P1935" s="79" t="str">
        <f>IFERROR(VLOOKUP($M1935,Export!$P:$R,2,FALSE),"-")</f>
        <v>Admin &amp; Other</v>
      </c>
      <c r="Q1935" s="79" t="str">
        <f>IFERROR(VLOOKUP($M1935,Export!$P:$R,3,FALSE),"-")</f>
        <v>Admin &amp; OtherDepreciation as % of Total Gross Profit</v>
      </c>
      <c r="R1935" s="80" t="e" cm="1">
        <f t="array" ref="R1935">_xlfn.IFS(P1935="Service", _xlfn.IFS(I1935="SALES","GP",I1935="SERVICE SALES","GP",I1935="PARTS SALES","GP",I1935="SERVICE COS","GP",I1935="PARTS COS","GP",I1935="SELLING EXPENSES","Selling Expenses",I1935="EMPLOYMENT EXPENSES","Selling Expenses",I1935="EMPLOYMENT EXPENSES","Selling Expenses",I1935="DIRECT EXPENSES","Selling Expenses",I1935="INDIRECT EXPENSES","Selling Expenses"),P1935="Parts",_xlfn.IFS(I1935="SALES","GP",I1935="SERVICE SALES","GP",I1935="PARTS SALES","GP",I1935="SERVICE COS","GP",I1935="PARTS COS","GP",I1935="SELLING EXPENSES","Selling Expenses",I1935="EMPLOYMENT EXPENSES","Selling Expenses",I1935="EMPLOYMENT EXPENSES","Selling Expenses",I1935="DIRECT EXPENSES","Selling Expenses",I1935="INDIRECT EXPENSES","Selling Expenses"))</f>
        <v>#N/A</v>
      </c>
    </row>
    <row r="1936" spans="1:18" x14ac:dyDescent="0.2">
      <c r="A1936" s="75">
        <v>7790</v>
      </c>
      <c r="B1936" s="76" t="s">
        <v>127</v>
      </c>
      <c r="C1936" s="76">
        <v>142</v>
      </c>
      <c r="D1936" s="76" t="s">
        <v>454</v>
      </c>
      <c r="E1936" s="76" t="s">
        <v>426</v>
      </c>
      <c r="F1936" s="77">
        <v>18028</v>
      </c>
      <c r="G1936" s="77">
        <v>6302</v>
      </c>
      <c r="H1936" s="77">
        <v>24330</v>
      </c>
      <c r="I1936" s="76" t="s">
        <v>968</v>
      </c>
      <c r="J1936" s="77">
        <v>0</v>
      </c>
      <c r="K1936" s="78">
        <v>0</v>
      </c>
      <c r="M1936" s="79" t="str">
        <f t="shared" si="92"/>
        <v>142-7790</v>
      </c>
      <c r="N1936" s="79" t="str">
        <f t="shared" si="90"/>
        <v/>
      </c>
      <c r="O1936" s="79" t="str">
        <f t="shared" si="91"/>
        <v>142</v>
      </c>
      <c r="P1936" s="79" t="str">
        <f>IFERROR(VLOOKUP($M1936,Export!$P:$R,2,FALSE),"-")</f>
        <v>LEX Admin &amp; Other</v>
      </c>
      <c r="Q1936" s="79" t="str">
        <f>IFERROR(VLOOKUP($M1936,Export!$P:$R,3,FALSE),"-")</f>
        <v>LEX Admin &amp; OtherDepreciation as % of Total Gross Profit</v>
      </c>
      <c r="R1936" s="80" t="e" cm="1">
        <f t="array" ref="R1936">_xlfn.IFS(P1936="Service", _xlfn.IFS(I1936="SALES","GP",I1936="SERVICE SALES","GP",I1936="PARTS SALES","GP",I1936="SERVICE COS","GP",I1936="PARTS COS","GP",I1936="SELLING EXPENSES","Selling Expenses",I1936="EMPLOYMENT EXPENSES","Selling Expenses",I1936="EMPLOYMENT EXPENSES","Selling Expenses",I1936="DIRECT EXPENSES","Selling Expenses",I1936="INDIRECT EXPENSES","Selling Expenses"),P1936="Parts",_xlfn.IFS(I1936="SALES","GP",I1936="SERVICE SALES","GP",I1936="PARTS SALES","GP",I1936="SERVICE COS","GP",I1936="PARTS COS","GP",I1936="SELLING EXPENSES","Selling Expenses",I1936="EMPLOYMENT EXPENSES","Selling Expenses",I1936="EMPLOYMENT EXPENSES","Selling Expenses",I1936="DIRECT EXPENSES","Selling Expenses",I1936="INDIRECT EXPENSES","Selling Expenses"))</f>
        <v>#N/A</v>
      </c>
    </row>
    <row r="1937" spans="1:18" x14ac:dyDescent="0.2">
      <c r="A1937" s="75">
        <v>7790</v>
      </c>
      <c r="B1937" s="76" t="s">
        <v>127</v>
      </c>
      <c r="C1937" s="76">
        <v>147</v>
      </c>
      <c r="D1937" s="76" t="s">
        <v>699</v>
      </c>
      <c r="E1937" s="76" t="s">
        <v>426</v>
      </c>
      <c r="F1937" s="77">
        <v>4292</v>
      </c>
      <c r="G1937" s="77">
        <v>0</v>
      </c>
      <c r="H1937" s="77">
        <v>4292</v>
      </c>
      <c r="I1937" s="76" t="s">
        <v>968</v>
      </c>
      <c r="J1937" s="77">
        <v>551.25</v>
      </c>
      <c r="K1937" s="78">
        <v>4675.25</v>
      </c>
      <c r="M1937" s="79" t="str">
        <f t="shared" si="92"/>
        <v>147-7790</v>
      </c>
      <c r="N1937" s="79" t="str">
        <f t="shared" si="90"/>
        <v/>
      </c>
      <c r="O1937" s="79" t="str">
        <f t="shared" si="91"/>
        <v>147</v>
      </c>
      <c r="P1937" s="79" t="str">
        <f>IFERROR(VLOOKUP($M1937,Export!$P:$R,2,FALSE),"-")</f>
        <v>Admin &amp; Other</v>
      </c>
      <c r="Q1937" s="79" t="str">
        <f>IFERROR(VLOOKUP($M1937,Export!$P:$R,3,FALSE),"-")</f>
        <v>Admin &amp; OtherDepreciation as % of Total Gross Profit</v>
      </c>
      <c r="R1937" s="80" t="e" cm="1">
        <f t="array" ref="R1937">_xlfn.IFS(P1937="Service", _xlfn.IFS(I1937="SALES","GP",I1937="SERVICE SALES","GP",I1937="PARTS SALES","GP",I1937="SERVICE COS","GP",I1937="PARTS COS","GP",I1937="SELLING EXPENSES","Selling Expenses",I1937="EMPLOYMENT EXPENSES","Selling Expenses",I1937="EMPLOYMENT EXPENSES","Selling Expenses",I1937="DIRECT EXPENSES","Selling Expenses",I1937="INDIRECT EXPENSES","Selling Expenses"),P1937="Parts",_xlfn.IFS(I1937="SALES","GP",I1937="SERVICE SALES","GP",I1937="PARTS SALES","GP",I1937="SERVICE COS","GP",I1937="PARTS COS","GP",I1937="SELLING EXPENSES","Selling Expenses",I1937="EMPLOYMENT EXPENSES","Selling Expenses",I1937="EMPLOYMENT EXPENSES","Selling Expenses",I1937="DIRECT EXPENSES","Selling Expenses",I1937="INDIRECT EXPENSES","Selling Expenses"))</f>
        <v>#N/A</v>
      </c>
    </row>
    <row r="1938" spans="1:18" x14ac:dyDescent="0.2">
      <c r="A1938" s="75">
        <v>7790</v>
      </c>
      <c r="B1938" s="76" t="s">
        <v>127</v>
      </c>
      <c r="C1938" s="76">
        <v>210</v>
      </c>
      <c r="D1938" s="76" t="s">
        <v>436</v>
      </c>
      <c r="E1938" s="76" t="s">
        <v>426</v>
      </c>
      <c r="F1938" s="77">
        <v>18259</v>
      </c>
      <c r="G1938" s="77">
        <v>2386</v>
      </c>
      <c r="H1938" s="77">
        <v>20645</v>
      </c>
      <c r="I1938" s="76" t="s">
        <v>968</v>
      </c>
      <c r="J1938" s="77">
        <v>1941.36</v>
      </c>
      <c r="K1938" s="78">
        <v>16764.8</v>
      </c>
      <c r="M1938" s="79" t="str">
        <f t="shared" si="92"/>
        <v>210-7790</v>
      </c>
      <c r="N1938" s="79" t="str">
        <f t="shared" si="90"/>
        <v/>
      </c>
      <c r="O1938" s="79" t="str">
        <f t="shared" si="91"/>
        <v>210</v>
      </c>
      <c r="P1938" s="79" t="str">
        <f>IFERROR(VLOOKUP($M1938,Export!$P:$R,2,FALSE),"-")</f>
        <v>Admin &amp; Other</v>
      </c>
      <c r="Q1938" s="79" t="str">
        <f>IFERROR(VLOOKUP($M1938,Export!$P:$R,3,FALSE),"-")</f>
        <v>Admin &amp; OtherDepreciation as % of Total Gross Profit</v>
      </c>
      <c r="R1938" s="80" t="e" cm="1">
        <f t="array" ref="R1938">_xlfn.IFS(P1938="Service", _xlfn.IFS(I1938="SALES","GP",I1938="SERVICE SALES","GP",I1938="PARTS SALES","GP",I1938="SERVICE COS","GP",I1938="PARTS COS","GP",I1938="SELLING EXPENSES","Selling Expenses",I1938="EMPLOYMENT EXPENSES","Selling Expenses",I1938="EMPLOYMENT EXPENSES","Selling Expenses",I1938="DIRECT EXPENSES","Selling Expenses",I1938="INDIRECT EXPENSES","Selling Expenses"),P1938="Parts",_xlfn.IFS(I1938="SALES","GP",I1938="SERVICE SALES","GP",I1938="PARTS SALES","GP",I1938="SERVICE COS","GP",I1938="PARTS COS","GP",I1938="SELLING EXPENSES","Selling Expenses",I1938="EMPLOYMENT EXPENSES","Selling Expenses",I1938="EMPLOYMENT EXPENSES","Selling Expenses",I1938="DIRECT EXPENSES","Selling Expenses",I1938="INDIRECT EXPENSES","Selling Expenses"))</f>
        <v>#N/A</v>
      </c>
    </row>
    <row r="1939" spans="1:18" x14ac:dyDescent="0.2">
      <c r="A1939" s="75">
        <v>7790</v>
      </c>
      <c r="B1939" s="76" t="s">
        <v>127</v>
      </c>
      <c r="C1939" s="76">
        <v>220</v>
      </c>
      <c r="D1939" s="76" t="s">
        <v>437</v>
      </c>
      <c r="E1939" s="76" t="s">
        <v>426</v>
      </c>
      <c r="F1939" s="77">
        <v>18123</v>
      </c>
      <c r="G1939" s="77">
        <v>2364</v>
      </c>
      <c r="H1939" s="77">
        <v>20487</v>
      </c>
      <c r="I1939" s="76" t="s">
        <v>968</v>
      </c>
      <c r="J1939" s="77">
        <v>1874.25</v>
      </c>
      <c r="K1939" s="78">
        <v>16308.25</v>
      </c>
      <c r="M1939" s="79" t="str">
        <f t="shared" si="92"/>
        <v>220-7790</v>
      </c>
      <c r="N1939" s="79" t="str">
        <f t="shared" si="90"/>
        <v/>
      </c>
      <c r="O1939" s="79" t="str">
        <f t="shared" si="91"/>
        <v>220</v>
      </c>
      <c r="P1939" s="79" t="str">
        <f>IFERROR(VLOOKUP($M1939,Export!$P:$R,2,FALSE),"-")</f>
        <v>Admin &amp; Other</v>
      </c>
      <c r="Q1939" s="79" t="str">
        <f>IFERROR(VLOOKUP($M1939,Export!$P:$R,3,FALSE),"-")</f>
        <v>Admin &amp; OtherDepreciation as % of Total Gross Profit</v>
      </c>
      <c r="R1939" s="80" t="e" cm="1">
        <f t="array" ref="R1939">_xlfn.IFS(P1939="Service", _xlfn.IFS(I1939="SALES","GP",I1939="SERVICE SALES","GP",I1939="PARTS SALES","GP",I1939="SERVICE COS","GP",I1939="PARTS COS","GP",I1939="SELLING EXPENSES","Selling Expenses",I1939="EMPLOYMENT EXPENSES","Selling Expenses",I1939="EMPLOYMENT EXPENSES","Selling Expenses",I1939="DIRECT EXPENSES","Selling Expenses",I1939="INDIRECT EXPENSES","Selling Expenses"),P1939="Parts",_xlfn.IFS(I1939="SALES","GP",I1939="SERVICE SALES","GP",I1939="PARTS SALES","GP",I1939="SERVICE COS","GP",I1939="PARTS COS","GP",I1939="SELLING EXPENSES","Selling Expenses",I1939="EMPLOYMENT EXPENSES","Selling Expenses",I1939="EMPLOYMENT EXPENSES","Selling Expenses",I1939="DIRECT EXPENSES","Selling Expenses",I1939="INDIRECT EXPENSES","Selling Expenses"))</f>
        <v>#N/A</v>
      </c>
    </row>
    <row r="1940" spans="1:18" x14ac:dyDescent="0.2">
      <c r="A1940" s="75">
        <v>7790</v>
      </c>
      <c r="B1940" s="76" t="s">
        <v>127</v>
      </c>
      <c r="C1940" s="76">
        <v>230</v>
      </c>
      <c r="D1940" s="76" t="s">
        <v>438</v>
      </c>
      <c r="E1940" s="76" t="s">
        <v>426</v>
      </c>
      <c r="F1940" s="77">
        <v>13529</v>
      </c>
      <c r="G1940" s="77">
        <v>1500</v>
      </c>
      <c r="H1940" s="77">
        <v>15029</v>
      </c>
      <c r="I1940" s="76" t="s">
        <v>968</v>
      </c>
      <c r="J1940" s="77">
        <v>1984.5</v>
      </c>
      <c r="K1940" s="78">
        <v>20902.5</v>
      </c>
      <c r="M1940" s="79" t="str">
        <f t="shared" si="92"/>
        <v>230-7790</v>
      </c>
      <c r="N1940" s="79" t="str">
        <f t="shared" si="90"/>
        <v/>
      </c>
      <c r="O1940" s="79" t="str">
        <f t="shared" si="91"/>
        <v>230</v>
      </c>
      <c r="P1940" s="79" t="str">
        <f>IFERROR(VLOOKUP($M1940,Export!$P:$R,2,FALSE),"-")</f>
        <v>Admin &amp; Other</v>
      </c>
      <c r="Q1940" s="79" t="str">
        <f>IFERROR(VLOOKUP($M1940,Export!$P:$R,3,FALSE),"-")</f>
        <v>Admin &amp; OtherDepreciation as % of Total Gross Profit</v>
      </c>
      <c r="R1940" s="80" t="e" cm="1">
        <f t="array" ref="R1940">_xlfn.IFS(P1940="Service", _xlfn.IFS(I1940="SALES","GP",I1940="SERVICE SALES","GP",I1940="PARTS SALES","GP",I1940="SERVICE COS","GP",I1940="PARTS COS","GP",I1940="SELLING EXPENSES","Selling Expenses",I1940="EMPLOYMENT EXPENSES","Selling Expenses",I1940="EMPLOYMENT EXPENSES","Selling Expenses",I1940="DIRECT EXPENSES","Selling Expenses",I1940="INDIRECT EXPENSES","Selling Expenses"),P1940="Parts",_xlfn.IFS(I1940="SALES","GP",I1940="SERVICE SALES","GP",I1940="PARTS SALES","GP",I1940="SERVICE COS","GP",I1940="PARTS COS","GP",I1940="SELLING EXPENSES","Selling Expenses",I1940="EMPLOYMENT EXPENSES","Selling Expenses",I1940="EMPLOYMENT EXPENSES","Selling Expenses",I1940="DIRECT EXPENSES","Selling Expenses",I1940="INDIRECT EXPENSES","Selling Expenses"))</f>
        <v>#N/A</v>
      </c>
    </row>
    <row r="1941" spans="1:18" x14ac:dyDescent="0.2">
      <c r="A1941" s="75">
        <v>7790</v>
      </c>
      <c r="B1941" s="76" t="s">
        <v>127</v>
      </c>
      <c r="C1941" s="76">
        <v>240</v>
      </c>
      <c r="D1941" s="76" t="s">
        <v>439</v>
      </c>
      <c r="E1941" s="76" t="s">
        <v>426</v>
      </c>
      <c r="F1941" s="77">
        <v>34321</v>
      </c>
      <c r="G1941" s="77">
        <v>3779</v>
      </c>
      <c r="H1941" s="77">
        <v>38100</v>
      </c>
      <c r="I1941" s="76" t="s">
        <v>968</v>
      </c>
      <c r="J1941" s="77">
        <v>3072.94</v>
      </c>
      <c r="K1941" s="78">
        <v>26638.55</v>
      </c>
      <c r="M1941" s="79" t="str">
        <f t="shared" si="92"/>
        <v>240-7790</v>
      </c>
      <c r="N1941" s="79" t="str">
        <f t="shared" si="90"/>
        <v/>
      </c>
      <c r="O1941" s="79" t="str">
        <f t="shared" si="91"/>
        <v>240</v>
      </c>
      <c r="P1941" s="79" t="str">
        <f>IFERROR(VLOOKUP($M1941,Export!$P:$R,2,FALSE),"-")</f>
        <v>Admin &amp; Other</v>
      </c>
      <c r="Q1941" s="79" t="str">
        <f>IFERROR(VLOOKUP($M1941,Export!$P:$R,3,FALSE),"-")</f>
        <v>Admin &amp; OtherDepreciation as % of Total Gross Profit</v>
      </c>
      <c r="R1941" s="80" t="e" cm="1">
        <f t="array" ref="R1941">_xlfn.IFS(P1941="Service", _xlfn.IFS(I1941="SALES","GP",I1941="SERVICE SALES","GP",I1941="PARTS SALES","GP",I1941="SERVICE COS","GP",I1941="PARTS COS","GP",I1941="SELLING EXPENSES","Selling Expenses",I1941="EMPLOYMENT EXPENSES","Selling Expenses",I1941="EMPLOYMENT EXPENSES","Selling Expenses",I1941="DIRECT EXPENSES","Selling Expenses",I1941="INDIRECT EXPENSES","Selling Expenses"),P1941="Parts",_xlfn.IFS(I1941="SALES","GP",I1941="SERVICE SALES","GP",I1941="PARTS SALES","GP",I1941="SERVICE COS","GP",I1941="PARTS COS","GP",I1941="SELLING EXPENSES","Selling Expenses",I1941="EMPLOYMENT EXPENSES","Selling Expenses",I1941="EMPLOYMENT EXPENSES","Selling Expenses",I1941="DIRECT EXPENSES","Selling Expenses",I1941="INDIRECT EXPENSES","Selling Expenses"))</f>
        <v>#N/A</v>
      </c>
    </row>
    <row r="1942" spans="1:18" x14ac:dyDescent="0.2">
      <c r="A1942" s="75">
        <v>7790</v>
      </c>
      <c r="B1942" s="76" t="s">
        <v>127</v>
      </c>
      <c r="C1942" s="76">
        <v>330</v>
      </c>
      <c r="D1942" s="76" t="s">
        <v>457</v>
      </c>
      <c r="E1942" s="76" t="s">
        <v>426</v>
      </c>
      <c r="F1942" s="77">
        <v>6984</v>
      </c>
      <c r="G1942" s="77">
        <v>829</v>
      </c>
      <c r="H1942" s="77">
        <v>7813</v>
      </c>
      <c r="I1942" s="76" t="s">
        <v>968</v>
      </c>
      <c r="J1942" s="77">
        <v>0</v>
      </c>
      <c r="K1942" s="78">
        <v>0</v>
      </c>
      <c r="M1942" s="79" t="str">
        <f t="shared" si="92"/>
        <v>330-7790</v>
      </c>
      <c r="N1942" s="79" t="str">
        <f t="shared" si="90"/>
        <v/>
      </c>
      <c r="O1942" s="79" t="str">
        <f t="shared" si="91"/>
        <v>330</v>
      </c>
      <c r="P1942" s="79" t="str">
        <f>IFERROR(VLOOKUP($M1942,Export!$P:$R,2,FALSE),"-")</f>
        <v>Admin &amp; Other</v>
      </c>
      <c r="Q1942" s="79" t="str">
        <f>IFERROR(VLOOKUP($M1942,Export!$P:$R,3,FALSE),"-")</f>
        <v>Admin &amp; OtherDepreciation as % of Total Gross Profit</v>
      </c>
      <c r="R1942" s="80" t="e" cm="1">
        <f t="array" ref="R1942">_xlfn.IFS(P1942="Service", _xlfn.IFS(I1942="SALES","GP",I1942="SERVICE SALES","GP",I1942="PARTS SALES","GP",I1942="SERVICE COS","GP",I1942="PARTS COS","GP",I1942="SELLING EXPENSES","Selling Expenses",I1942="EMPLOYMENT EXPENSES","Selling Expenses",I1942="EMPLOYMENT EXPENSES","Selling Expenses",I1942="DIRECT EXPENSES","Selling Expenses",I1942="INDIRECT EXPENSES","Selling Expenses"),P1942="Parts",_xlfn.IFS(I1942="SALES","GP",I1942="SERVICE SALES","GP",I1942="PARTS SALES","GP",I1942="SERVICE COS","GP",I1942="PARTS COS","GP",I1942="SELLING EXPENSES","Selling Expenses",I1942="EMPLOYMENT EXPENSES","Selling Expenses",I1942="EMPLOYMENT EXPENSES","Selling Expenses",I1942="DIRECT EXPENSES","Selling Expenses",I1942="INDIRECT EXPENSES","Selling Expenses"))</f>
        <v>#N/A</v>
      </c>
    </row>
    <row r="1943" spans="1:18" x14ac:dyDescent="0.2">
      <c r="A1943" s="75">
        <v>7790</v>
      </c>
      <c r="B1943" s="76" t="s">
        <v>127</v>
      </c>
      <c r="C1943" s="76">
        <v>340</v>
      </c>
      <c r="D1943" s="76" t="s">
        <v>440</v>
      </c>
      <c r="E1943" s="76" t="s">
        <v>426</v>
      </c>
      <c r="F1943" s="77">
        <v>32609</v>
      </c>
      <c r="G1943" s="77">
        <v>3705</v>
      </c>
      <c r="H1943" s="77">
        <v>36314</v>
      </c>
      <c r="I1943" s="76" t="s">
        <v>968</v>
      </c>
      <c r="J1943" s="77">
        <v>4983.71</v>
      </c>
      <c r="K1943" s="78">
        <v>44115.62</v>
      </c>
      <c r="M1943" s="79" t="str">
        <f t="shared" si="92"/>
        <v>340-7790</v>
      </c>
      <c r="N1943" s="79" t="str">
        <f t="shared" si="90"/>
        <v/>
      </c>
      <c r="O1943" s="79" t="str">
        <f t="shared" si="91"/>
        <v>340</v>
      </c>
      <c r="P1943" s="79" t="str">
        <f>IFERROR(VLOOKUP($M1943,Export!$P:$R,2,FALSE),"-")</f>
        <v>Admin &amp; Other</v>
      </c>
      <c r="Q1943" s="79" t="str">
        <f>IFERROR(VLOOKUP($M1943,Export!$P:$R,3,FALSE),"-")</f>
        <v>Admin &amp; OtherDepreciation as % of Total Gross Profit</v>
      </c>
      <c r="R1943" s="80" t="e" cm="1">
        <f t="array" ref="R1943">_xlfn.IFS(P1943="Service", _xlfn.IFS(I1943="SALES","GP",I1943="SERVICE SALES","GP",I1943="PARTS SALES","GP",I1943="SERVICE COS","GP",I1943="PARTS COS","GP",I1943="SELLING EXPENSES","Selling Expenses",I1943="EMPLOYMENT EXPENSES","Selling Expenses",I1943="EMPLOYMENT EXPENSES","Selling Expenses",I1943="DIRECT EXPENSES","Selling Expenses",I1943="INDIRECT EXPENSES","Selling Expenses"),P1943="Parts",_xlfn.IFS(I1943="SALES","GP",I1943="SERVICE SALES","GP",I1943="PARTS SALES","GP",I1943="SERVICE COS","GP",I1943="PARTS COS","GP",I1943="SELLING EXPENSES","Selling Expenses",I1943="EMPLOYMENT EXPENSES","Selling Expenses",I1943="EMPLOYMENT EXPENSES","Selling Expenses",I1943="DIRECT EXPENSES","Selling Expenses",I1943="INDIRECT EXPENSES","Selling Expenses"))</f>
        <v>#N/A</v>
      </c>
    </row>
    <row r="1944" spans="1:18" x14ac:dyDescent="0.2">
      <c r="A1944" s="75">
        <v>7790</v>
      </c>
      <c r="B1944" s="76" t="s">
        <v>127</v>
      </c>
      <c r="C1944" s="76">
        <v>430</v>
      </c>
      <c r="D1944" s="76" t="s">
        <v>458</v>
      </c>
      <c r="E1944" s="76" t="s">
        <v>426</v>
      </c>
      <c r="F1944" s="77">
        <v>25344</v>
      </c>
      <c r="G1944" s="77">
        <v>2815</v>
      </c>
      <c r="H1944" s="77">
        <v>28159</v>
      </c>
      <c r="I1944" s="76" t="s">
        <v>968</v>
      </c>
      <c r="J1944" s="77">
        <v>1874.25</v>
      </c>
      <c r="K1944" s="78">
        <v>18158.25</v>
      </c>
      <c r="M1944" s="79" t="str">
        <f t="shared" si="92"/>
        <v>430-7790</v>
      </c>
      <c r="N1944" s="79" t="str">
        <f t="shared" si="90"/>
        <v/>
      </c>
      <c r="O1944" s="79" t="str">
        <f t="shared" si="91"/>
        <v>430</v>
      </c>
      <c r="P1944" s="79" t="str">
        <f>IFERROR(VLOOKUP($M1944,Export!$P:$R,2,FALSE),"-")</f>
        <v>Admin &amp; Other</v>
      </c>
      <c r="Q1944" s="79" t="str">
        <f>IFERROR(VLOOKUP($M1944,Export!$P:$R,3,FALSE),"-")</f>
        <v>Admin &amp; OtherDepreciation as % of Total Gross Profit</v>
      </c>
      <c r="R1944" s="80" t="e" cm="1">
        <f t="array" ref="R1944">_xlfn.IFS(P1944="Service", _xlfn.IFS(I1944="SALES","GP",I1944="SERVICE SALES","GP",I1944="PARTS SALES","GP",I1944="SERVICE COS","GP",I1944="PARTS COS","GP",I1944="SELLING EXPENSES","Selling Expenses",I1944="EMPLOYMENT EXPENSES","Selling Expenses",I1944="EMPLOYMENT EXPENSES","Selling Expenses",I1944="DIRECT EXPENSES","Selling Expenses",I1944="INDIRECT EXPENSES","Selling Expenses"),P1944="Parts",_xlfn.IFS(I1944="SALES","GP",I1944="SERVICE SALES","GP",I1944="PARTS SALES","GP",I1944="SERVICE COS","GP",I1944="PARTS COS","GP",I1944="SELLING EXPENSES","Selling Expenses",I1944="EMPLOYMENT EXPENSES","Selling Expenses",I1944="EMPLOYMENT EXPENSES","Selling Expenses",I1944="DIRECT EXPENSES","Selling Expenses",I1944="INDIRECT EXPENSES","Selling Expenses"))</f>
        <v>#N/A</v>
      </c>
    </row>
    <row r="1945" spans="1:18" x14ac:dyDescent="0.2">
      <c r="A1945" s="75">
        <v>7790</v>
      </c>
      <c r="B1945" s="76" t="s">
        <v>127</v>
      </c>
      <c r="C1945" s="76">
        <v>440</v>
      </c>
      <c r="D1945" s="76" t="s">
        <v>441</v>
      </c>
      <c r="E1945" s="76" t="s">
        <v>426</v>
      </c>
      <c r="F1945" s="77">
        <v>41473</v>
      </c>
      <c r="G1945" s="77">
        <v>4288</v>
      </c>
      <c r="H1945" s="77">
        <v>45761</v>
      </c>
      <c r="I1945" s="76" t="s">
        <v>968</v>
      </c>
      <c r="J1945" s="77">
        <v>3417.75</v>
      </c>
      <c r="K1945" s="78">
        <v>24854.75</v>
      </c>
      <c r="M1945" s="79" t="str">
        <f t="shared" si="92"/>
        <v>440-7790</v>
      </c>
      <c r="N1945" s="79" t="str">
        <f t="shared" si="90"/>
        <v/>
      </c>
      <c r="O1945" s="79" t="str">
        <f t="shared" si="91"/>
        <v>440</v>
      </c>
      <c r="P1945" s="79" t="str">
        <f>IFERROR(VLOOKUP($M1945,Export!$P:$R,2,FALSE),"-")</f>
        <v>Admin &amp; Other</v>
      </c>
      <c r="Q1945" s="79" t="str">
        <f>IFERROR(VLOOKUP($M1945,Export!$P:$R,3,FALSE),"-")</f>
        <v>Admin &amp; OtherDepreciation as % of Total Gross Profit</v>
      </c>
      <c r="R1945" s="80" t="e" cm="1">
        <f t="array" ref="R1945">_xlfn.IFS(P1945="Service", _xlfn.IFS(I1945="SALES","GP",I1945="SERVICE SALES","GP",I1945="PARTS SALES","GP",I1945="SERVICE COS","GP",I1945="PARTS COS","GP",I1945="SELLING EXPENSES","Selling Expenses",I1945="EMPLOYMENT EXPENSES","Selling Expenses",I1945="EMPLOYMENT EXPENSES","Selling Expenses",I1945="DIRECT EXPENSES","Selling Expenses",I1945="INDIRECT EXPENSES","Selling Expenses"),P1945="Parts",_xlfn.IFS(I1945="SALES","GP",I1945="SERVICE SALES","GP",I1945="PARTS SALES","GP",I1945="SERVICE COS","GP",I1945="PARTS COS","GP",I1945="SELLING EXPENSES","Selling Expenses",I1945="EMPLOYMENT EXPENSES","Selling Expenses",I1945="EMPLOYMENT EXPENSES","Selling Expenses",I1945="DIRECT EXPENSES","Selling Expenses",I1945="INDIRECT EXPENSES","Selling Expenses"))</f>
        <v>#N/A</v>
      </c>
    </row>
    <row r="1946" spans="1:18" x14ac:dyDescent="0.2">
      <c r="A1946" s="75">
        <v>7790</v>
      </c>
      <c r="B1946" s="76" t="s">
        <v>127</v>
      </c>
      <c r="C1946" s="76">
        <v>935</v>
      </c>
      <c r="D1946" s="76" t="s">
        <v>442</v>
      </c>
      <c r="E1946" s="76" t="s">
        <v>426</v>
      </c>
      <c r="F1946" s="77">
        <v>32659</v>
      </c>
      <c r="G1946" s="77">
        <v>3357</v>
      </c>
      <c r="H1946" s="77">
        <v>36016</v>
      </c>
      <c r="I1946" s="76" t="s">
        <v>968</v>
      </c>
      <c r="J1946" s="77">
        <v>3969</v>
      </c>
      <c r="K1946" s="78">
        <v>35255</v>
      </c>
      <c r="M1946" s="79" t="str">
        <f t="shared" si="92"/>
        <v>935-7790</v>
      </c>
      <c r="N1946" s="79" t="str">
        <f t="shared" si="90"/>
        <v/>
      </c>
      <c r="O1946" s="79" t="str">
        <f t="shared" si="91"/>
        <v>935</v>
      </c>
      <c r="P1946" s="79" t="str">
        <f>IFERROR(VLOOKUP($M1946,Export!$P:$R,2,FALSE),"-")</f>
        <v>LEX Admin &amp; Other</v>
      </c>
      <c r="Q1946" s="79" t="str">
        <f>IFERROR(VLOOKUP($M1946,Export!$P:$R,3,FALSE),"-")</f>
        <v>LEX Admin &amp; OtherDepreciation as % of Total Gross Profit</v>
      </c>
      <c r="R1946" s="80" t="e" cm="1">
        <f t="array" ref="R1946">_xlfn.IFS(P1946="Service", _xlfn.IFS(I1946="SALES","GP",I1946="SERVICE SALES","GP",I1946="PARTS SALES","GP",I1946="SERVICE COS","GP",I1946="PARTS COS","GP",I1946="SELLING EXPENSES","Selling Expenses",I1946="EMPLOYMENT EXPENSES","Selling Expenses",I1946="EMPLOYMENT EXPENSES","Selling Expenses",I1946="DIRECT EXPENSES","Selling Expenses",I1946="INDIRECT EXPENSES","Selling Expenses"),P1946="Parts",_xlfn.IFS(I1946="SALES","GP",I1946="SERVICE SALES","GP",I1946="PARTS SALES","GP",I1946="SERVICE COS","GP",I1946="PARTS COS","GP",I1946="SELLING EXPENSES","Selling Expenses",I1946="EMPLOYMENT EXPENSES","Selling Expenses",I1946="EMPLOYMENT EXPENSES","Selling Expenses",I1946="DIRECT EXPENSES","Selling Expenses",I1946="INDIRECT EXPENSES","Selling Expenses"))</f>
        <v>#N/A</v>
      </c>
    </row>
    <row r="1947" spans="1:18" x14ac:dyDescent="0.2">
      <c r="A1947" s="75">
        <v>7790</v>
      </c>
      <c r="B1947" s="76" t="s">
        <v>127</v>
      </c>
      <c r="C1947" s="76">
        <v>936</v>
      </c>
      <c r="D1947" s="76" t="s">
        <v>443</v>
      </c>
      <c r="E1947" s="76" t="s">
        <v>426</v>
      </c>
      <c r="F1947" s="77">
        <v>8882</v>
      </c>
      <c r="G1947" s="77">
        <v>988</v>
      </c>
      <c r="H1947" s="77">
        <v>9870</v>
      </c>
      <c r="I1947" s="76" t="s">
        <v>968</v>
      </c>
      <c r="J1947" s="77">
        <v>771.75</v>
      </c>
      <c r="K1947" s="78">
        <v>8118.75</v>
      </c>
      <c r="M1947" s="79" t="str">
        <f t="shared" si="92"/>
        <v>936-7790</v>
      </c>
      <c r="N1947" s="79" t="str">
        <f t="shared" si="90"/>
        <v/>
      </c>
      <c r="O1947" s="79" t="str">
        <f t="shared" si="91"/>
        <v>936</v>
      </c>
      <c r="P1947" s="79" t="str">
        <f>IFERROR(VLOOKUP($M1947,Export!$P:$R,2,FALSE),"-")</f>
        <v>LEX Admin &amp; Other</v>
      </c>
      <c r="Q1947" s="79" t="str">
        <f>IFERROR(VLOOKUP($M1947,Export!$P:$R,3,FALSE),"-")</f>
        <v>LEX Admin &amp; OtherDepreciation as % of Total Gross Profit</v>
      </c>
      <c r="R1947" s="80" t="e" cm="1">
        <f t="array" ref="R1947">_xlfn.IFS(P1947="Service", _xlfn.IFS(I1947="SALES","GP",I1947="SERVICE SALES","GP",I1947="PARTS SALES","GP",I1947="SERVICE COS","GP",I1947="PARTS COS","GP",I1947="SELLING EXPENSES","Selling Expenses",I1947="EMPLOYMENT EXPENSES","Selling Expenses",I1947="EMPLOYMENT EXPENSES","Selling Expenses",I1947="DIRECT EXPENSES","Selling Expenses",I1947="INDIRECT EXPENSES","Selling Expenses"),P1947="Parts",_xlfn.IFS(I1947="SALES","GP",I1947="SERVICE SALES","GP",I1947="PARTS SALES","GP",I1947="SERVICE COS","GP",I1947="PARTS COS","GP",I1947="SELLING EXPENSES","Selling Expenses",I1947="EMPLOYMENT EXPENSES","Selling Expenses",I1947="EMPLOYMENT EXPENSES","Selling Expenses",I1947="DIRECT EXPENSES","Selling Expenses",I1947="INDIRECT EXPENSES","Selling Expenses"))</f>
        <v>#N/A</v>
      </c>
    </row>
    <row r="1948" spans="1:18" x14ac:dyDescent="0.2">
      <c r="A1948" s="75">
        <v>7795</v>
      </c>
      <c r="B1948" s="76" t="s">
        <v>979</v>
      </c>
      <c r="C1948" s="76">
        <v>110</v>
      </c>
      <c r="D1948" s="76" t="s">
        <v>430</v>
      </c>
      <c r="E1948" s="76" t="s">
        <v>426</v>
      </c>
      <c r="F1948" s="77">
        <v>2828.04</v>
      </c>
      <c r="G1948" s="77">
        <v>0</v>
      </c>
      <c r="H1948" s="77">
        <v>2828.04</v>
      </c>
      <c r="I1948" s="76" t="s">
        <v>968</v>
      </c>
      <c r="J1948" s="77">
        <v>100</v>
      </c>
      <c r="K1948" s="78">
        <v>1068.5</v>
      </c>
      <c r="M1948" s="79" t="str">
        <f t="shared" si="92"/>
        <v>110-7795</v>
      </c>
      <c r="N1948" s="79" t="str">
        <f t="shared" si="90"/>
        <v/>
      </c>
      <c r="O1948" s="79" t="str">
        <f t="shared" si="91"/>
        <v>110</v>
      </c>
      <c r="P1948" s="79" t="str">
        <f>IFERROR(VLOOKUP($M1948,Export!$P:$R,2,FALSE),"-")</f>
        <v>Admin &amp; Other</v>
      </c>
      <c r="Q1948" s="79" t="str">
        <f>IFERROR(VLOOKUP($M1948,Export!$P:$R,3,FALSE),"-")</f>
        <v>Admin &amp; OtherDepreciation as % of Total Gross Profit</v>
      </c>
      <c r="R1948" s="80" t="e" cm="1">
        <f t="array" ref="R1948">_xlfn.IFS(P1948="Service", _xlfn.IFS(I1948="SALES","GP",I1948="SERVICE SALES","GP",I1948="PARTS SALES","GP",I1948="SERVICE COS","GP",I1948="PARTS COS","GP",I1948="SELLING EXPENSES","Selling Expenses",I1948="EMPLOYMENT EXPENSES","Selling Expenses",I1948="EMPLOYMENT EXPENSES","Selling Expenses",I1948="DIRECT EXPENSES","Selling Expenses",I1948="INDIRECT EXPENSES","Selling Expenses"),P1948="Parts",_xlfn.IFS(I1948="SALES","GP",I1948="SERVICE SALES","GP",I1948="PARTS SALES","GP",I1948="SERVICE COS","GP",I1948="PARTS COS","GP",I1948="SELLING EXPENSES","Selling Expenses",I1948="EMPLOYMENT EXPENSES","Selling Expenses",I1948="EMPLOYMENT EXPENSES","Selling Expenses",I1948="DIRECT EXPENSES","Selling Expenses",I1948="INDIRECT EXPENSES","Selling Expenses"))</f>
        <v>#N/A</v>
      </c>
    </row>
    <row r="1949" spans="1:18" x14ac:dyDescent="0.2">
      <c r="A1949" s="75">
        <v>7795</v>
      </c>
      <c r="B1949" s="76" t="s">
        <v>979</v>
      </c>
      <c r="C1949" s="76">
        <v>112</v>
      </c>
      <c r="D1949" s="76" t="s">
        <v>349</v>
      </c>
      <c r="E1949" s="76" t="s">
        <v>426</v>
      </c>
      <c r="F1949" s="77">
        <v>2867.82</v>
      </c>
      <c r="G1949" s="77">
        <v>0</v>
      </c>
      <c r="H1949" s="77">
        <v>2867.82</v>
      </c>
      <c r="I1949" s="76" t="s">
        <v>968</v>
      </c>
      <c r="J1949" s="77">
        <v>0</v>
      </c>
      <c r="K1949" s="78">
        <v>0</v>
      </c>
      <c r="M1949" s="79" t="str">
        <f t="shared" si="92"/>
        <v>112-7795</v>
      </c>
      <c r="N1949" s="79" t="str">
        <f t="shared" si="90"/>
        <v/>
      </c>
      <c r="O1949" s="79" t="str">
        <f t="shared" si="91"/>
        <v>112</v>
      </c>
      <c r="P1949" s="79" t="str">
        <f>IFERROR(VLOOKUP($M1949,Export!$P:$R,2,FALSE),"-")</f>
        <v>LEX Admin &amp; Other</v>
      </c>
      <c r="Q1949" s="79" t="str">
        <f>IFERROR(VLOOKUP($M1949,Export!$P:$R,3,FALSE),"-")</f>
        <v>LEX Admin &amp; OtherDepreciation as % of Total Gross Profit</v>
      </c>
      <c r="R1949" s="80" t="e" cm="1">
        <f t="array" ref="R1949">_xlfn.IFS(P1949="Service", _xlfn.IFS(I1949="SALES","GP",I1949="SERVICE SALES","GP",I1949="PARTS SALES","GP",I1949="SERVICE COS","GP",I1949="PARTS COS","GP",I1949="SELLING EXPENSES","Selling Expenses",I1949="EMPLOYMENT EXPENSES","Selling Expenses",I1949="EMPLOYMENT EXPENSES","Selling Expenses",I1949="DIRECT EXPENSES","Selling Expenses",I1949="INDIRECT EXPENSES","Selling Expenses"),P1949="Parts",_xlfn.IFS(I1949="SALES","GP",I1949="SERVICE SALES","GP",I1949="PARTS SALES","GP",I1949="SERVICE COS","GP",I1949="PARTS COS","GP",I1949="SELLING EXPENSES","Selling Expenses",I1949="EMPLOYMENT EXPENSES","Selling Expenses",I1949="EMPLOYMENT EXPENSES","Selling Expenses",I1949="DIRECT EXPENSES","Selling Expenses",I1949="INDIRECT EXPENSES","Selling Expenses"))</f>
        <v>#N/A</v>
      </c>
    </row>
    <row r="1950" spans="1:18" x14ac:dyDescent="0.2">
      <c r="A1950" s="75">
        <v>7795</v>
      </c>
      <c r="B1950" s="76" t="s">
        <v>979</v>
      </c>
      <c r="C1950" s="76">
        <v>130</v>
      </c>
      <c r="D1950" s="76" t="s">
        <v>432</v>
      </c>
      <c r="E1950" s="76" t="s">
        <v>426</v>
      </c>
      <c r="F1950" s="77">
        <v>0</v>
      </c>
      <c r="G1950" s="77">
        <v>0</v>
      </c>
      <c r="H1950" s="77">
        <v>0</v>
      </c>
      <c r="I1950" s="76" t="s">
        <v>968</v>
      </c>
      <c r="J1950" s="77">
        <v>0</v>
      </c>
      <c r="K1950" s="78">
        <v>47.74</v>
      </c>
      <c r="M1950" s="79" t="str">
        <f t="shared" si="92"/>
        <v>130-7795</v>
      </c>
      <c r="N1950" s="79" t="str">
        <f t="shared" si="90"/>
        <v/>
      </c>
      <c r="O1950" s="79" t="str">
        <f t="shared" si="91"/>
        <v>130</v>
      </c>
      <c r="P1950" s="79" t="str">
        <f>IFERROR(VLOOKUP($M1950,Export!$P:$R,2,FALSE),"-")</f>
        <v>Admin &amp; Other</v>
      </c>
      <c r="Q1950" s="79" t="str">
        <f>IFERROR(VLOOKUP($M1950,Export!$P:$R,3,FALSE),"-")</f>
        <v>Admin &amp; OtherDepreciation as % of Total Gross Profit</v>
      </c>
      <c r="R1950" s="80" t="e" cm="1">
        <f t="array" ref="R1950">_xlfn.IFS(P1950="Service", _xlfn.IFS(I1950="SALES","GP",I1950="SERVICE SALES","GP",I1950="PARTS SALES","GP",I1950="SERVICE COS","GP",I1950="PARTS COS","GP",I1950="SELLING EXPENSES","Selling Expenses",I1950="EMPLOYMENT EXPENSES","Selling Expenses",I1950="EMPLOYMENT EXPENSES","Selling Expenses",I1950="DIRECT EXPENSES","Selling Expenses",I1950="INDIRECT EXPENSES","Selling Expenses"),P1950="Parts",_xlfn.IFS(I1950="SALES","GP",I1950="SERVICE SALES","GP",I1950="PARTS SALES","GP",I1950="SERVICE COS","GP",I1950="PARTS COS","GP",I1950="SELLING EXPENSES","Selling Expenses",I1950="EMPLOYMENT EXPENSES","Selling Expenses",I1950="EMPLOYMENT EXPENSES","Selling Expenses",I1950="DIRECT EXPENSES","Selling Expenses",I1950="INDIRECT EXPENSES","Selling Expenses"))</f>
        <v>#N/A</v>
      </c>
    </row>
    <row r="1951" spans="1:18" x14ac:dyDescent="0.2">
      <c r="A1951" s="75">
        <v>7795</v>
      </c>
      <c r="B1951" s="76" t="s">
        <v>979</v>
      </c>
      <c r="C1951" s="76">
        <v>140</v>
      </c>
      <c r="D1951" s="76" t="s">
        <v>433</v>
      </c>
      <c r="E1951" s="76" t="s">
        <v>426</v>
      </c>
      <c r="F1951" s="77">
        <v>906.78</v>
      </c>
      <c r="G1951" s="77">
        <v>0</v>
      </c>
      <c r="H1951" s="77">
        <v>906.78</v>
      </c>
      <c r="I1951" s="76" t="s">
        <v>968</v>
      </c>
      <c r="J1951" s="77">
        <v>100</v>
      </c>
      <c r="K1951" s="78">
        <v>965</v>
      </c>
      <c r="M1951" s="79" t="str">
        <f t="shared" si="92"/>
        <v>140-7795</v>
      </c>
      <c r="N1951" s="79" t="str">
        <f t="shared" si="90"/>
        <v/>
      </c>
      <c r="O1951" s="79" t="str">
        <f t="shared" si="91"/>
        <v>140</v>
      </c>
      <c r="P1951" s="79" t="str">
        <f>IFERROR(VLOOKUP($M1951,Export!$P:$R,2,FALSE),"-")</f>
        <v>Admin &amp; Other</v>
      </c>
      <c r="Q1951" s="79" t="str">
        <f>IFERROR(VLOOKUP($M1951,Export!$P:$R,3,FALSE),"-")</f>
        <v>Admin &amp; OtherDepreciation as % of Total Gross Profit</v>
      </c>
      <c r="R1951" s="80" t="e" cm="1">
        <f t="array" ref="R1951">_xlfn.IFS(P1951="Service", _xlfn.IFS(I1951="SALES","GP",I1951="SERVICE SALES","GP",I1951="PARTS SALES","GP",I1951="SERVICE COS","GP",I1951="PARTS COS","GP",I1951="SELLING EXPENSES","Selling Expenses",I1951="EMPLOYMENT EXPENSES","Selling Expenses",I1951="EMPLOYMENT EXPENSES","Selling Expenses",I1951="DIRECT EXPENSES","Selling Expenses",I1951="INDIRECT EXPENSES","Selling Expenses"),P1951="Parts",_xlfn.IFS(I1951="SALES","GP",I1951="SERVICE SALES","GP",I1951="PARTS SALES","GP",I1951="SERVICE COS","GP",I1951="PARTS COS","GP",I1951="SELLING EXPENSES","Selling Expenses",I1951="EMPLOYMENT EXPENSES","Selling Expenses",I1951="EMPLOYMENT EXPENSES","Selling Expenses",I1951="DIRECT EXPENSES","Selling Expenses",I1951="INDIRECT EXPENSES","Selling Expenses"))</f>
        <v>#N/A</v>
      </c>
    </row>
    <row r="1952" spans="1:18" x14ac:dyDescent="0.2">
      <c r="A1952" s="75">
        <v>7795</v>
      </c>
      <c r="B1952" s="76" t="s">
        <v>979</v>
      </c>
      <c r="C1952" s="76">
        <v>142</v>
      </c>
      <c r="D1952" s="76" t="s">
        <v>454</v>
      </c>
      <c r="E1952" s="76" t="s">
        <v>426</v>
      </c>
      <c r="F1952" s="77">
        <v>2858.93</v>
      </c>
      <c r="G1952" s="77">
        <v>0</v>
      </c>
      <c r="H1952" s="77">
        <v>2858.93</v>
      </c>
      <c r="I1952" s="76" t="s">
        <v>968</v>
      </c>
      <c r="J1952" s="77">
        <v>0</v>
      </c>
      <c r="K1952" s="78">
        <v>0</v>
      </c>
      <c r="M1952" s="79" t="str">
        <f t="shared" si="92"/>
        <v>142-7795</v>
      </c>
      <c r="N1952" s="79" t="str">
        <f t="shared" si="90"/>
        <v/>
      </c>
      <c r="O1952" s="79" t="str">
        <f t="shared" si="91"/>
        <v>142</v>
      </c>
      <c r="P1952" s="79" t="str">
        <f>IFERROR(VLOOKUP($M1952,Export!$P:$R,2,FALSE),"-")</f>
        <v>LEX Admin &amp; Other</v>
      </c>
      <c r="Q1952" s="79" t="str">
        <f>IFERROR(VLOOKUP($M1952,Export!$P:$R,3,FALSE),"-")</f>
        <v>LEX Admin &amp; OtherDepreciation as % of Total Gross Profit</v>
      </c>
      <c r="R1952" s="80" t="e" cm="1">
        <f t="array" ref="R1952">_xlfn.IFS(P1952="Service", _xlfn.IFS(I1952="SALES","GP",I1952="SERVICE SALES","GP",I1952="PARTS SALES","GP",I1952="SERVICE COS","GP",I1952="PARTS COS","GP",I1952="SELLING EXPENSES","Selling Expenses",I1952="EMPLOYMENT EXPENSES","Selling Expenses",I1952="EMPLOYMENT EXPENSES","Selling Expenses",I1952="DIRECT EXPENSES","Selling Expenses",I1952="INDIRECT EXPENSES","Selling Expenses"),P1952="Parts",_xlfn.IFS(I1952="SALES","GP",I1952="SERVICE SALES","GP",I1952="PARTS SALES","GP",I1952="SERVICE COS","GP",I1952="PARTS COS","GP",I1952="SELLING EXPENSES","Selling Expenses",I1952="EMPLOYMENT EXPENSES","Selling Expenses",I1952="EMPLOYMENT EXPENSES","Selling Expenses",I1952="DIRECT EXPENSES","Selling Expenses",I1952="INDIRECT EXPENSES","Selling Expenses"))</f>
        <v>#N/A</v>
      </c>
    </row>
    <row r="1953" spans="1:18" x14ac:dyDescent="0.2">
      <c r="A1953" s="75">
        <v>7795</v>
      </c>
      <c r="B1953" s="76" t="s">
        <v>979</v>
      </c>
      <c r="C1953" s="76">
        <v>150</v>
      </c>
      <c r="D1953" s="76" t="s">
        <v>700</v>
      </c>
      <c r="E1953" s="76" t="s">
        <v>426</v>
      </c>
      <c r="F1953" s="77">
        <v>1389.41</v>
      </c>
      <c r="G1953" s="77">
        <v>0</v>
      </c>
      <c r="H1953" s="77">
        <v>1389.41</v>
      </c>
      <c r="I1953" s="76" t="s">
        <v>968</v>
      </c>
      <c r="J1953" s="77">
        <v>0</v>
      </c>
      <c r="K1953" s="78">
        <v>0</v>
      </c>
      <c r="M1953" s="79" t="str">
        <f t="shared" si="92"/>
        <v>150-7795</v>
      </c>
      <c r="N1953" s="79" t="str">
        <f t="shared" si="90"/>
        <v/>
      </c>
      <c r="O1953" s="79" t="str">
        <f t="shared" si="91"/>
        <v>150</v>
      </c>
      <c r="P1953" s="79" t="str">
        <f>IFERROR(VLOOKUP($M1953,Export!$P:$R,2,FALSE),"-")</f>
        <v>LEX Admin &amp; Other</v>
      </c>
      <c r="Q1953" s="79" t="str">
        <f>IFERROR(VLOOKUP($M1953,Export!$P:$R,3,FALSE),"-")</f>
        <v>LEX Admin &amp; OtherDepreciation as % of Total Gross Profit</v>
      </c>
      <c r="R1953" s="80" t="e" cm="1">
        <f t="array" ref="R1953">_xlfn.IFS(P1953="Service", _xlfn.IFS(I1953="SALES","GP",I1953="SERVICE SALES","GP",I1953="PARTS SALES","GP",I1953="SERVICE COS","GP",I1953="PARTS COS","GP",I1953="SELLING EXPENSES","Selling Expenses",I1953="EMPLOYMENT EXPENSES","Selling Expenses",I1953="EMPLOYMENT EXPENSES","Selling Expenses",I1953="DIRECT EXPENSES","Selling Expenses",I1953="INDIRECT EXPENSES","Selling Expenses"),P1953="Parts",_xlfn.IFS(I1953="SALES","GP",I1953="SERVICE SALES","GP",I1953="PARTS SALES","GP",I1953="SERVICE COS","GP",I1953="PARTS COS","GP",I1953="SELLING EXPENSES","Selling Expenses",I1953="EMPLOYMENT EXPENSES","Selling Expenses",I1953="EMPLOYMENT EXPENSES","Selling Expenses",I1953="DIRECT EXPENSES","Selling Expenses",I1953="INDIRECT EXPENSES","Selling Expenses"))</f>
        <v>#N/A</v>
      </c>
    </row>
    <row r="1954" spans="1:18" x14ac:dyDescent="0.2">
      <c r="A1954" s="75">
        <v>7795</v>
      </c>
      <c r="B1954" s="76" t="s">
        <v>979</v>
      </c>
      <c r="C1954" s="76">
        <v>190</v>
      </c>
      <c r="D1954" s="76" t="s">
        <v>435</v>
      </c>
      <c r="E1954" s="76" t="s">
        <v>426</v>
      </c>
      <c r="F1954" s="77">
        <v>3421</v>
      </c>
      <c r="G1954" s="77">
        <v>0</v>
      </c>
      <c r="H1954" s="77">
        <v>3421</v>
      </c>
      <c r="I1954" s="76" t="s">
        <v>968</v>
      </c>
      <c r="J1954" s="77">
        <v>0</v>
      </c>
      <c r="K1954" s="78">
        <v>0</v>
      </c>
      <c r="M1954" s="79" t="str">
        <f t="shared" si="92"/>
        <v>190-7795</v>
      </c>
      <c r="N1954" s="79" t="str">
        <f t="shared" si="90"/>
        <v/>
      </c>
      <c r="O1954" s="79" t="str">
        <f t="shared" si="91"/>
        <v>190</v>
      </c>
      <c r="P1954" s="79" t="str">
        <f>IFERROR(VLOOKUP($M1954,Export!$P:$R,2,FALSE),"-")</f>
        <v>Admin &amp; Other</v>
      </c>
      <c r="Q1954" s="79" t="str">
        <f>IFERROR(VLOOKUP($M1954,Export!$P:$R,3,FALSE),"-")</f>
        <v>Admin &amp; OtherDepreciation as % of Total Gross Profit</v>
      </c>
      <c r="R1954" s="80" t="e" cm="1">
        <f t="array" ref="R1954">_xlfn.IFS(P1954="Service", _xlfn.IFS(I1954="SALES","GP",I1954="SERVICE SALES","GP",I1954="PARTS SALES","GP",I1954="SERVICE COS","GP",I1954="PARTS COS","GP",I1954="SELLING EXPENSES","Selling Expenses",I1954="EMPLOYMENT EXPENSES","Selling Expenses",I1954="EMPLOYMENT EXPENSES","Selling Expenses",I1954="DIRECT EXPENSES","Selling Expenses",I1954="INDIRECT EXPENSES","Selling Expenses"),P1954="Parts",_xlfn.IFS(I1954="SALES","GP",I1954="SERVICE SALES","GP",I1954="PARTS SALES","GP",I1954="SERVICE COS","GP",I1954="PARTS COS","GP",I1954="SELLING EXPENSES","Selling Expenses",I1954="EMPLOYMENT EXPENSES","Selling Expenses",I1954="EMPLOYMENT EXPENSES","Selling Expenses",I1954="DIRECT EXPENSES","Selling Expenses",I1954="INDIRECT EXPENSES","Selling Expenses"))</f>
        <v>#N/A</v>
      </c>
    </row>
    <row r="1955" spans="1:18" x14ac:dyDescent="0.2">
      <c r="A1955" s="75">
        <v>7795</v>
      </c>
      <c r="B1955" s="76" t="s">
        <v>979</v>
      </c>
      <c r="C1955" s="76">
        <v>340</v>
      </c>
      <c r="D1955" s="76" t="s">
        <v>440</v>
      </c>
      <c r="E1955" s="76" t="s">
        <v>426</v>
      </c>
      <c r="F1955" s="77">
        <v>2127.2399999999998</v>
      </c>
      <c r="G1955" s="77">
        <v>0</v>
      </c>
      <c r="H1955" s="77">
        <v>2127.2399999999998</v>
      </c>
      <c r="I1955" s="76" t="s">
        <v>968</v>
      </c>
      <c r="J1955" s="77">
        <v>0</v>
      </c>
      <c r="K1955" s="78">
        <v>0</v>
      </c>
      <c r="M1955" s="79" t="str">
        <f t="shared" si="92"/>
        <v>340-7795</v>
      </c>
      <c r="N1955" s="79" t="str">
        <f t="shared" si="90"/>
        <v/>
      </c>
      <c r="O1955" s="79" t="str">
        <f t="shared" si="91"/>
        <v>340</v>
      </c>
      <c r="P1955" s="79" t="str">
        <f>IFERROR(VLOOKUP($M1955,Export!$P:$R,2,FALSE),"-")</f>
        <v>Admin &amp; Other</v>
      </c>
      <c r="Q1955" s="79" t="str">
        <f>IFERROR(VLOOKUP($M1955,Export!$P:$R,3,FALSE),"-")</f>
        <v>Admin &amp; OtherDepreciation as % of Total Gross Profit</v>
      </c>
      <c r="R1955" s="80" t="e" cm="1">
        <f t="array" ref="R1955">_xlfn.IFS(P1955="Service", _xlfn.IFS(I1955="SALES","GP",I1955="SERVICE SALES","GP",I1955="PARTS SALES","GP",I1955="SERVICE COS","GP",I1955="PARTS COS","GP",I1955="SELLING EXPENSES","Selling Expenses",I1955="EMPLOYMENT EXPENSES","Selling Expenses",I1955="EMPLOYMENT EXPENSES","Selling Expenses",I1955="DIRECT EXPENSES","Selling Expenses",I1955="INDIRECT EXPENSES","Selling Expenses"),P1955="Parts",_xlfn.IFS(I1955="SALES","GP",I1955="SERVICE SALES","GP",I1955="PARTS SALES","GP",I1955="SERVICE COS","GP",I1955="PARTS COS","GP",I1955="SELLING EXPENSES","Selling Expenses",I1955="EMPLOYMENT EXPENSES","Selling Expenses",I1955="EMPLOYMENT EXPENSES","Selling Expenses",I1955="DIRECT EXPENSES","Selling Expenses",I1955="INDIRECT EXPENSES","Selling Expenses"))</f>
        <v>#N/A</v>
      </c>
    </row>
    <row r="1956" spans="1:18" x14ac:dyDescent="0.2">
      <c r="A1956" s="75">
        <v>7795</v>
      </c>
      <c r="B1956" s="76" t="s">
        <v>979</v>
      </c>
      <c r="C1956" s="76">
        <v>440</v>
      </c>
      <c r="D1956" s="76" t="s">
        <v>441</v>
      </c>
      <c r="E1956" s="76" t="s">
        <v>426</v>
      </c>
      <c r="F1956" s="77">
        <v>0</v>
      </c>
      <c r="G1956" s="77">
        <v>0</v>
      </c>
      <c r="H1956" s="77">
        <v>0</v>
      </c>
      <c r="I1956" s="76" t="s">
        <v>968</v>
      </c>
      <c r="J1956" s="77">
        <v>200</v>
      </c>
      <c r="K1956" s="78">
        <v>2411.67</v>
      </c>
      <c r="M1956" s="79" t="str">
        <f t="shared" si="92"/>
        <v>440-7795</v>
      </c>
      <c r="N1956" s="79" t="str">
        <f t="shared" si="90"/>
        <v/>
      </c>
      <c r="O1956" s="79" t="str">
        <f t="shared" si="91"/>
        <v>440</v>
      </c>
      <c r="P1956" s="79" t="str">
        <f>IFERROR(VLOOKUP($M1956,Export!$P:$R,2,FALSE),"-")</f>
        <v>Admin &amp; Other</v>
      </c>
      <c r="Q1956" s="79" t="str">
        <f>IFERROR(VLOOKUP($M1956,Export!$P:$R,3,FALSE),"-")</f>
        <v>Admin &amp; OtherDepreciation as % of Total Gross Profit</v>
      </c>
      <c r="R1956" s="80" t="e" cm="1">
        <f t="array" ref="R1956">_xlfn.IFS(P1956="Service", _xlfn.IFS(I1956="SALES","GP",I1956="SERVICE SALES","GP",I1956="PARTS SALES","GP",I1956="SERVICE COS","GP",I1956="PARTS COS","GP",I1956="SELLING EXPENSES","Selling Expenses",I1956="EMPLOYMENT EXPENSES","Selling Expenses",I1956="EMPLOYMENT EXPENSES","Selling Expenses",I1956="DIRECT EXPENSES","Selling Expenses",I1956="INDIRECT EXPENSES","Selling Expenses"),P1956="Parts",_xlfn.IFS(I1956="SALES","GP",I1956="SERVICE SALES","GP",I1956="PARTS SALES","GP",I1956="SERVICE COS","GP",I1956="PARTS COS","GP",I1956="SELLING EXPENSES","Selling Expenses",I1956="EMPLOYMENT EXPENSES","Selling Expenses",I1956="EMPLOYMENT EXPENSES","Selling Expenses",I1956="DIRECT EXPENSES","Selling Expenses",I1956="INDIRECT EXPENSES","Selling Expenses"))</f>
        <v>#N/A</v>
      </c>
    </row>
    <row r="1957" spans="1:18" x14ac:dyDescent="0.2">
      <c r="A1957" s="75">
        <v>7840</v>
      </c>
      <c r="B1957" s="76" t="s">
        <v>129</v>
      </c>
      <c r="C1957" s="76">
        <v>110</v>
      </c>
      <c r="D1957" s="76" t="s">
        <v>430</v>
      </c>
      <c r="E1957" s="76" t="s">
        <v>426</v>
      </c>
      <c r="F1957" s="77">
        <v>70391.98</v>
      </c>
      <c r="G1957" s="77">
        <v>7853.17</v>
      </c>
      <c r="H1957" s="77">
        <v>78245.149999999994</v>
      </c>
      <c r="I1957" s="76" t="s">
        <v>968</v>
      </c>
      <c r="J1957" s="77">
        <v>6429.3</v>
      </c>
      <c r="K1957" s="78">
        <v>58867.79</v>
      </c>
      <c r="M1957" s="79" t="str">
        <f t="shared" si="92"/>
        <v>110-7840</v>
      </c>
      <c r="N1957" s="79" t="str">
        <f t="shared" si="90"/>
        <v/>
      </c>
      <c r="O1957" s="79" t="str">
        <f t="shared" si="91"/>
        <v>110</v>
      </c>
      <c r="P1957" s="79" t="str">
        <f>IFERROR(VLOOKUP($M1957,Export!$P:$R,2,FALSE),"-")</f>
        <v>Admin &amp; Other</v>
      </c>
      <c r="Q1957" s="79" t="str">
        <f>IFERROR(VLOOKUP($M1957,Export!$P:$R,3,FALSE),"-")</f>
        <v>Admin &amp; OtherInsurance as % of Total Gross Profit</v>
      </c>
      <c r="R1957" s="80" t="e" cm="1">
        <f t="array" ref="R1957">_xlfn.IFS(P1957="Service", _xlfn.IFS(I1957="SALES","GP",I1957="SERVICE SALES","GP",I1957="PARTS SALES","GP",I1957="SERVICE COS","GP",I1957="PARTS COS","GP",I1957="SELLING EXPENSES","Selling Expenses",I1957="EMPLOYMENT EXPENSES","Selling Expenses",I1957="EMPLOYMENT EXPENSES","Selling Expenses",I1957="DIRECT EXPENSES","Selling Expenses",I1957="INDIRECT EXPENSES","Selling Expenses"),P1957="Parts",_xlfn.IFS(I1957="SALES","GP",I1957="SERVICE SALES","GP",I1957="PARTS SALES","GP",I1957="SERVICE COS","GP",I1957="PARTS COS","GP",I1957="SELLING EXPENSES","Selling Expenses",I1957="EMPLOYMENT EXPENSES","Selling Expenses",I1957="EMPLOYMENT EXPENSES","Selling Expenses",I1957="DIRECT EXPENSES","Selling Expenses",I1957="INDIRECT EXPENSES","Selling Expenses"))</f>
        <v>#N/A</v>
      </c>
    </row>
    <row r="1958" spans="1:18" x14ac:dyDescent="0.2">
      <c r="A1958" s="75">
        <v>7840</v>
      </c>
      <c r="B1958" s="76" t="s">
        <v>129</v>
      </c>
      <c r="C1958" s="76">
        <v>112</v>
      </c>
      <c r="D1958" s="76" t="s">
        <v>349</v>
      </c>
      <c r="E1958" s="76" t="s">
        <v>426</v>
      </c>
      <c r="F1958" s="77">
        <v>21910.81</v>
      </c>
      <c r="G1958" s="77">
        <v>2289.35</v>
      </c>
      <c r="H1958" s="77">
        <v>24200.16</v>
      </c>
      <c r="I1958" s="76" t="s">
        <v>968</v>
      </c>
      <c r="J1958" s="77">
        <v>2398.14</v>
      </c>
      <c r="K1958" s="78">
        <v>22979.15</v>
      </c>
      <c r="M1958" s="79" t="str">
        <f t="shared" si="92"/>
        <v>112-7840</v>
      </c>
      <c r="N1958" s="79" t="str">
        <f t="shared" si="90"/>
        <v/>
      </c>
      <c r="O1958" s="79" t="str">
        <f t="shared" si="91"/>
        <v>112</v>
      </c>
      <c r="P1958" s="79" t="str">
        <f>IFERROR(VLOOKUP($M1958,Export!$P:$R,2,FALSE),"-")</f>
        <v>LEX Admin &amp; Other</v>
      </c>
      <c r="Q1958" s="79" t="str">
        <f>IFERROR(VLOOKUP($M1958,Export!$P:$R,3,FALSE),"-")</f>
        <v>LEX Admin &amp; OtherInsurance as % of Total Gross Profit</v>
      </c>
      <c r="R1958" s="80" t="e" cm="1">
        <f t="array" ref="R1958">_xlfn.IFS(P1958="Service", _xlfn.IFS(I1958="SALES","GP",I1958="SERVICE SALES","GP",I1958="PARTS SALES","GP",I1958="SERVICE COS","GP",I1958="PARTS COS","GP",I1958="SELLING EXPENSES","Selling Expenses",I1958="EMPLOYMENT EXPENSES","Selling Expenses",I1958="EMPLOYMENT EXPENSES","Selling Expenses",I1958="DIRECT EXPENSES","Selling Expenses",I1958="INDIRECT EXPENSES","Selling Expenses"),P1958="Parts",_xlfn.IFS(I1958="SALES","GP",I1958="SERVICE SALES","GP",I1958="PARTS SALES","GP",I1958="SERVICE COS","GP",I1958="PARTS COS","GP",I1958="SELLING EXPENSES","Selling Expenses",I1958="EMPLOYMENT EXPENSES","Selling Expenses",I1958="EMPLOYMENT EXPENSES","Selling Expenses",I1958="DIRECT EXPENSES","Selling Expenses",I1958="INDIRECT EXPENSES","Selling Expenses"))</f>
        <v>#N/A</v>
      </c>
    </row>
    <row r="1959" spans="1:18" x14ac:dyDescent="0.2">
      <c r="A1959" s="75">
        <v>7840</v>
      </c>
      <c r="B1959" s="76" t="s">
        <v>129</v>
      </c>
      <c r="C1959" s="76">
        <v>120</v>
      </c>
      <c r="D1959" s="76" t="s">
        <v>431</v>
      </c>
      <c r="E1959" s="76" t="s">
        <v>426</v>
      </c>
      <c r="F1959" s="77">
        <v>50363.14</v>
      </c>
      <c r="G1959" s="77">
        <v>5765.66</v>
      </c>
      <c r="H1959" s="77">
        <v>56128.800000000003</v>
      </c>
      <c r="I1959" s="76" t="s">
        <v>968</v>
      </c>
      <c r="J1959" s="77">
        <v>4391.1400000000003</v>
      </c>
      <c r="K1959" s="78">
        <v>40625.120000000003</v>
      </c>
      <c r="M1959" s="79" t="str">
        <f t="shared" si="92"/>
        <v>120-7840</v>
      </c>
      <c r="N1959" s="79" t="str">
        <f t="shared" si="90"/>
        <v/>
      </c>
      <c r="O1959" s="79" t="str">
        <f t="shared" si="91"/>
        <v>120</v>
      </c>
      <c r="P1959" s="79" t="str">
        <f>IFERROR(VLOOKUP($M1959,Export!$P:$R,2,FALSE),"-")</f>
        <v>Admin &amp; Other</v>
      </c>
      <c r="Q1959" s="79" t="str">
        <f>IFERROR(VLOOKUP($M1959,Export!$P:$R,3,FALSE),"-")</f>
        <v>Admin &amp; OtherInsurance as % of Total Gross Profit</v>
      </c>
      <c r="R1959" s="80" t="e" cm="1">
        <f t="array" ref="R1959">_xlfn.IFS(P1959="Service", _xlfn.IFS(I1959="SALES","GP",I1959="SERVICE SALES","GP",I1959="PARTS SALES","GP",I1959="SERVICE COS","GP",I1959="PARTS COS","GP",I1959="SELLING EXPENSES","Selling Expenses",I1959="EMPLOYMENT EXPENSES","Selling Expenses",I1959="EMPLOYMENT EXPENSES","Selling Expenses",I1959="DIRECT EXPENSES","Selling Expenses",I1959="INDIRECT EXPENSES","Selling Expenses"),P1959="Parts",_xlfn.IFS(I1959="SALES","GP",I1959="SERVICE SALES","GP",I1959="PARTS SALES","GP",I1959="SERVICE COS","GP",I1959="PARTS COS","GP",I1959="SELLING EXPENSES","Selling Expenses",I1959="EMPLOYMENT EXPENSES","Selling Expenses",I1959="EMPLOYMENT EXPENSES","Selling Expenses",I1959="DIRECT EXPENSES","Selling Expenses",I1959="INDIRECT EXPENSES","Selling Expenses"))</f>
        <v>#N/A</v>
      </c>
    </row>
    <row r="1960" spans="1:18" x14ac:dyDescent="0.2">
      <c r="A1960" s="75">
        <v>7840</v>
      </c>
      <c r="B1960" s="76" t="s">
        <v>129</v>
      </c>
      <c r="C1960" s="76">
        <v>121</v>
      </c>
      <c r="D1960" s="76" t="s">
        <v>449</v>
      </c>
      <c r="E1960" s="76" t="s">
        <v>426</v>
      </c>
      <c r="F1960" s="77">
        <v>16921.59</v>
      </c>
      <c r="G1960" s="77">
        <v>1773.11</v>
      </c>
      <c r="H1960" s="77">
        <v>18694.7</v>
      </c>
      <c r="I1960" s="76" t="s">
        <v>968</v>
      </c>
      <c r="J1960" s="77">
        <v>1828.71</v>
      </c>
      <c r="K1960" s="78">
        <v>16322.58</v>
      </c>
      <c r="M1960" s="79" t="str">
        <f t="shared" si="92"/>
        <v>121-7840</v>
      </c>
      <c r="N1960" s="79" t="str">
        <f t="shared" si="90"/>
        <v/>
      </c>
      <c r="O1960" s="79" t="str">
        <f t="shared" si="91"/>
        <v>121</v>
      </c>
      <c r="P1960" s="79" t="str">
        <f>IFERROR(VLOOKUP($M1960,Export!$P:$R,2,FALSE),"-")</f>
        <v>Admin &amp; Other</v>
      </c>
      <c r="Q1960" s="79" t="str">
        <f>IFERROR(VLOOKUP($M1960,Export!$P:$R,3,FALSE),"-")</f>
        <v>Admin &amp; OtherInsurance as % of Total Gross Profit</v>
      </c>
      <c r="R1960" s="80" t="e" cm="1">
        <f t="array" ref="R1960">_xlfn.IFS(P1960="Service", _xlfn.IFS(I1960="SALES","GP",I1960="SERVICE SALES","GP",I1960="PARTS SALES","GP",I1960="SERVICE COS","GP",I1960="PARTS COS","GP",I1960="SELLING EXPENSES","Selling Expenses",I1960="EMPLOYMENT EXPENSES","Selling Expenses",I1960="EMPLOYMENT EXPENSES","Selling Expenses",I1960="DIRECT EXPENSES","Selling Expenses",I1960="INDIRECT EXPENSES","Selling Expenses"),P1960="Parts",_xlfn.IFS(I1960="SALES","GP",I1960="SERVICE SALES","GP",I1960="PARTS SALES","GP",I1960="SERVICE COS","GP",I1960="PARTS COS","GP",I1960="SELLING EXPENSES","Selling Expenses",I1960="EMPLOYMENT EXPENSES","Selling Expenses",I1960="EMPLOYMENT EXPENSES","Selling Expenses",I1960="DIRECT EXPENSES","Selling Expenses",I1960="INDIRECT EXPENSES","Selling Expenses"))</f>
        <v>#N/A</v>
      </c>
    </row>
    <row r="1961" spans="1:18" x14ac:dyDescent="0.2">
      <c r="A1961" s="75">
        <v>7840</v>
      </c>
      <c r="B1961" s="76" t="s">
        <v>129</v>
      </c>
      <c r="C1961" s="76">
        <v>130</v>
      </c>
      <c r="D1961" s="76" t="s">
        <v>432</v>
      </c>
      <c r="E1961" s="76" t="s">
        <v>426</v>
      </c>
      <c r="F1961" s="77">
        <v>20162.14</v>
      </c>
      <c r="G1961" s="77">
        <v>2307.8000000000002</v>
      </c>
      <c r="H1961" s="77">
        <v>22469.94</v>
      </c>
      <c r="I1961" s="76" t="s">
        <v>968</v>
      </c>
      <c r="J1961" s="77">
        <v>1828.71</v>
      </c>
      <c r="K1961" s="78">
        <v>16408.84</v>
      </c>
      <c r="M1961" s="79" t="str">
        <f t="shared" si="92"/>
        <v>130-7840</v>
      </c>
      <c r="N1961" s="79" t="str">
        <f t="shared" si="90"/>
        <v/>
      </c>
      <c r="O1961" s="79" t="str">
        <f t="shared" si="91"/>
        <v>130</v>
      </c>
      <c r="P1961" s="79" t="str">
        <f>IFERROR(VLOOKUP($M1961,Export!$P:$R,2,FALSE),"-")</f>
        <v>Admin &amp; Other</v>
      </c>
      <c r="Q1961" s="79" t="str">
        <f>IFERROR(VLOOKUP($M1961,Export!$P:$R,3,FALSE),"-")</f>
        <v>Admin &amp; OtherInsurance as % of Total Gross Profit</v>
      </c>
      <c r="R1961" s="80" t="e" cm="1">
        <f t="array" ref="R1961">_xlfn.IFS(P1961="Service", _xlfn.IFS(I1961="SALES","GP",I1961="SERVICE SALES","GP",I1961="PARTS SALES","GP",I1961="SERVICE COS","GP",I1961="PARTS COS","GP",I1961="SELLING EXPENSES","Selling Expenses",I1961="EMPLOYMENT EXPENSES","Selling Expenses",I1961="EMPLOYMENT EXPENSES","Selling Expenses",I1961="DIRECT EXPENSES","Selling Expenses",I1961="INDIRECT EXPENSES","Selling Expenses"),P1961="Parts",_xlfn.IFS(I1961="SALES","GP",I1961="SERVICE SALES","GP",I1961="PARTS SALES","GP",I1961="SERVICE COS","GP",I1961="PARTS COS","GP",I1961="SELLING EXPENSES","Selling Expenses",I1961="EMPLOYMENT EXPENSES","Selling Expenses",I1961="EMPLOYMENT EXPENSES","Selling Expenses",I1961="DIRECT EXPENSES","Selling Expenses",I1961="INDIRECT EXPENSES","Selling Expenses"))</f>
        <v>#N/A</v>
      </c>
    </row>
    <row r="1962" spans="1:18" x14ac:dyDescent="0.2">
      <c r="A1962" s="75">
        <v>7840</v>
      </c>
      <c r="B1962" s="76" t="s">
        <v>129</v>
      </c>
      <c r="C1962" s="76">
        <v>140</v>
      </c>
      <c r="D1962" s="76" t="s">
        <v>433</v>
      </c>
      <c r="E1962" s="76" t="s">
        <v>426</v>
      </c>
      <c r="F1962" s="77">
        <v>25906.14</v>
      </c>
      <c r="G1962" s="77">
        <v>3132.12</v>
      </c>
      <c r="H1962" s="77">
        <v>29038.26</v>
      </c>
      <c r="I1962" s="76" t="s">
        <v>968</v>
      </c>
      <c r="J1962" s="77">
        <v>1843.76</v>
      </c>
      <c r="K1962" s="78">
        <v>17611.580000000002</v>
      </c>
      <c r="M1962" s="79" t="str">
        <f t="shared" si="92"/>
        <v>140-7840</v>
      </c>
      <c r="N1962" s="79" t="str">
        <f t="shared" si="90"/>
        <v/>
      </c>
      <c r="O1962" s="79" t="str">
        <f t="shared" si="91"/>
        <v>140</v>
      </c>
      <c r="P1962" s="79" t="str">
        <f>IFERROR(VLOOKUP($M1962,Export!$P:$R,2,FALSE),"-")</f>
        <v>Admin &amp; Other</v>
      </c>
      <c r="Q1962" s="79" t="str">
        <f>IFERROR(VLOOKUP($M1962,Export!$P:$R,3,FALSE),"-")</f>
        <v>Admin &amp; OtherInsurance as % of Total Gross Profit</v>
      </c>
      <c r="R1962" s="80" t="e" cm="1">
        <f t="array" ref="R1962">_xlfn.IFS(P1962="Service", _xlfn.IFS(I1962="SALES","GP",I1962="SERVICE SALES","GP",I1962="PARTS SALES","GP",I1962="SERVICE COS","GP",I1962="PARTS COS","GP",I1962="SELLING EXPENSES","Selling Expenses",I1962="EMPLOYMENT EXPENSES","Selling Expenses",I1962="EMPLOYMENT EXPENSES","Selling Expenses",I1962="DIRECT EXPENSES","Selling Expenses",I1962="INDIRECT EXPENSES","Selling Expenses"),P1962="Parts",_xlfn.IFS(I1962="SALES","GP",I1962="SERVICE SALES","GP",I1962="PARTS SALES","GP",I1962="SERVICE COS","GP",I1962="PARTS COS","GP",I1962="SELLING EXPENSES","Selling Expenses",I1962="EMPLOYMENT EXPENSES","Selling Expenses",I1962="EMPLOYMENT EXPENSES","Selling Expenses",I1962="DIRECT EXPENSES","Selling Expenses",I1962="INDIRECT EXPENSES","Selling Expenses"))</f>
        <v>#N/A</v>
      </c>
    </row>
    <row r="1963" spans="1:18" x14ac:dyDescent="0.2">
      <c r="A1963" s="75">
        <v>7840</v>
      </c>
      <c r="B1963" s="76" t="s">
        <v>129</v>
      </c>
      <c r="C1963" s="76">
        <v>142</v>
      </c>
      <c r="D1963" s="76" t="s">
        <v>454</v>
      </c>
      <c r="E1963" s="76" t="s">
        <v>426</v>
      </c>
      <c r="F1963" s="77">
        <v>9660.77</v>
      </c>
      <c r="G1963" s="77">
        <v>1088.33</v>
      </c>
      <c r="H1963" s="77">
        <v>10749.1</v>
      </c>
      <c r="I1963" s="76" t="s">
        <v>968</v>
      </c>
      <c r="J1963" s="77">
        <v>0</v>
      </c>
      <c r="K1963" s="78">
        <v>0</v>
      </c>
      <c r="M1963" s="79" t="str">
        <f t="shared" si="92"/>
        <v>142-7840</v>
      </c>
      <c r="N1963" s="79" t="str">
        <f t="shared" si="90"/>
        <v/>
      </c>
      <c r="O1963" s="79" t="str">
        <f t="shared" si="91"/>
        <v>142</v>
      </c>
      <c r="P1963" s="79" t="str">
        <f>IFERROR(VLOOKUP($M1963,Export!$P:$R,2,FALSE),"-")</f>
        <v>LEX Admin &amp; Other</v>
      </c>
      <c r="Q1963" s="79" t="str">
        <f>IFERROR(VLOOKUP($M1963,Export!$P:$R,3,FALSE),"-")</f>
        <v>LEX Admin &amp; OtherInsurance as % of Total Gross Profit</v>
      </c>
      <c r="R1963" s="80" t="e" cm="1">
        <f t="array" ref="R1963">_xlfn.IFS(P1963="Service", _xlfn.IFS(I1963="SALES","GP",I1963="SERVICE SALES","GP",I1963="PARTS SALES","GP",I1963="SERVICE COS","GP",I1963="PARTS COS","GP",I1963="SELLING EXPENSES","Selling Expenses",I1963="EMPLOYMENT EXPENSES","Selling Expenses",I1963="EMPLOYMENT EXPENSES","Selling Expenses",I1963="DIRECT EXPENSES","Selling Expenses",I1963="INDIRECT EXPENSES","Selling Expenses"),P1963="Parts",_xlfn.IFS(I1963="SALES","GP",I1963="SERVICE SALES","GP",I1963="PARTS SALES","GP",I1963="SERVICE COS","GP",I1963="PARTS COS","GP",I1963="SELLING EXPENSES","Selling Expenses",I1963="EMPLOYMENT EXPENSES","Selling Expenses",I1963="EMPLOYMENT EXPENSES","Selling Expenses",I1963="DIRECT EXPENSES","Selling Expenses",I1963="INDIRECT EXPENSES","Selling Expenses"))</f>
        <v>#N/A</v>
      </c>
    </row>
    <row r="1964" spans="1:18" x14ac:dyDescent="0.2">
      <c r="A1964" s="75">
        <v>7840</v>
      </c>
      <c r="B1964" s="76" t="s">
        <v>129</v>
      </c>
      <c r="C1964" s="76">
        <v>147</v>
      </c>
      <c r="D1964" s="76" t="s">
        <v>699</v>
      </c>
      <c r="E1964" s="76" t="s">
        <v>426</v>
      </c>
      <c r="F1964" s="77">
        <v>559.88</v>
      </c>
      <c r="G1964" s="77">
        <v>0</v>
      </c>
      <c r="H1964" s="77">
        <v>559.88</v>
      </c>
      <c r="I1964" s="76" t="s">
        <v>968</v>
      </c>
      <c r="J1964" s="77">
        <v>286</v>
      </c>
      <c r="K1964" s="78">
        <v>2716</v>
      </c>
      <c r="M1964" s="79" t="str">
        <f t="shared" si="92"/>
        <v>147-7840</v>
      </c>
      <c r="N1964" s="79" t="str">
        <f t="shared" si="90"/>
        <v/>
      </c>
      <c r="O1964" s="79" t="str">
        <f t="shared" si="91"/>
        <v>147</v>
      </c>
      <c r="P1964" s="79" t="str">
        <f>IFERROR(VLOOKUP($M1964,Export!$P:$R,2,FALSE),"-")</f>
        <v>Admin &amp; Other</v>
      </c>
      <c r="Q1964" s="79" t="str">
        <f>IFERROR(VLOOKUP($M1964,Export!$P:$R,3,FALSE),"-")</f>
        <v>Admin &amp; OtherInsurance as % of Total Gross Profit</v>
      </c>
      <c r="R1964" s="80" t="e" cm="1">
        <f t="array" ref="R1964">_xlfn.IFS(P1964="Service", _xlfn.IFS(I1964="SALES","GP",I1964="SERVICE SALES","GP",I1964="PARTS SALES","GP",I1964="SERVICE COS","GP",I1964="PARTS COS","GP",I1964="SELLING EXPENSES","Selling Expenses",I1964="EMPLOYMENT EXPENSES","Selling Expenses",I1964="EMPLOYMENT EXPENSES","Selling Expenses",I1964="DIRECT EXPENSES","Selling Expenses",I1964="INDIRECT EXPENSES","Selling Expenses"),P1964="Parts",_xlfn.IFS(I1964="SALES","GP",I1964="SERVICE SALES","GP",I1964="PARTS SALES","GP",I1964="SERVICE COS","GP",I1964="PARTS COS","GP",I1964="SELLING EXPENSES","Selling Expenses",I1964="EMPLOYMENT EXPENSES","Selling Expenses",I1964="EMPLOYMENT EXPENSES","Selling Expenses",I1964="DIRECT EXPENSES","Selling Expenses",I1964="INDIRECT EXPENSES","Selling Expenses"))</f>
        <v>#N/A</v>
      </c>
    </row>
    <row r="1965" spans="1:18" x14ac:dyDescent="0.2">
      <c r="A1965" s="75">
        <v>7840</v>
      </c>
      <c r="B1965" s="76" t="s">
        <v>129</v>
      </c>
      <c r="C1965" s="76">
        <v>150</v>
      </c>
      <c r="D1965" s="76" t="s">
        <v>700</v>
      </c>
      <c r="E1965" s="76" t="s">
        <v>426</v>
      </c>
      <c r="F1965" s="77">
        <v>778.4</v>
      </c>
      <c r="G1965" s="77">
        <v>82.11</v>
      </c>
      <c r="H1965" s="77">
        <v>860.51</v>
      </c>
      <c r="I1965" s="76" t="s">
        <v>968</v>
      </c>
      <c r="J1965" s="77">
        <v>0</v>
      </c>
      <c r="K1965" s="78">
        <v>0</v>
      </c>
      <c r="M1965" s="79" t="str">
        <f t="shared" si="92"/>
        <v>150-7840</v>
      </c>
      <c r="N1965" s="79" t="str">
        <f t="shared" si="90"/>
        <v/>
      </c>
      <c r="O1965" s="79" t="str">
        <f t="shared" si="91"/>
        <v>150</v>
      </c>
      <c r="P1965" s="79" t="str">
        <f>IFERROR(VLOOKUP($M1965,Export!$P:$R,2,FALSE),"-")</f>
        <v>LEX Admin &amp; Other</v>
      </c>
      <c r="Q1965" s="79" t="str">
        <f>IFERROR(VLOOKUP($M1965,Export!$P:$R,3,FALSE),"-")</f>
        <v>LEX Admin &amp; OtherInsurance as % of Total Gross Profit</v>
      </c>
      <c r="R1965" s="80" t="e" cm="1">
        <f t="array" ref="R1965">_xlfn.IFS(P1965="Service", _xlfn.IFS(I1965="SALES","GP",I1965="SERVICE SALES","GP",I1965="PARTS SALES","GP",I1965="SERVICE COS","GP",I1965="PARTS COS","GP",I1965="SELLING EXPENSES","Selling Expenses",I1965="EMPLOYMENT EXPENSES","Selling Expenses",I1965="EMPLOYMENT EXPENSES","Selling Expenses",I1965="DIRECT EXPENSES","Selling Expenses",I1965="INDIRECT EXPENSES","Selling Expenses"),P1965="Parts",_xlfn.IFS(I1965="SALES","GP",I1965="SERVICE SALES","GP",I1965="PARTS SALES","GP",I1965="SERVICE COS","GP",I1965="PARTS COS","GP",I1965="SELLING EXPENSES","Selling Expenses",I1965="EMPLOYMENT EXPENSES","Selling Expenses",I1965="EMPLOYMENT EXPENSES","Selling Expenses",I1965="DIRECT EXPENSES","Selling Expenses",I1965="INDIRECT EXPENSES","Selling Expenses"))</f>
        <v>#N/A</v>
      </c>
    </row>
    <row r="1966" spans="1:18" x14ac:dyDescent="0.2">
      <c r="A1966" s="75">
        <v>7840</v>
      </c>
      <c r="B1966" s="76" t="s">
        <v>129</v>
      </c>
      <c r="C1966" s="76">
        <v>160</v>
      </c>
      <c r="D1966" s="76" t="s">
        <v>434</v>
      </c>
      <c r="E1966" s="76" t="s">
        <v>426</v>
      </c>
      <c r="F1966" s="77">
        <v>661.9</v>
      </c>
      <c r="G1966" s="77">
        <v>75.739999999999995</v>
      </c>
      <c r="H1966" s="77">
        <v>737.64</v>
      </c>
      <c r="I1966" s="76" t="s">
        <v>968</v>
      </c>
      <c r="J1966" s="77">
        <v>45.16</v>
      </c>
      <c r="K1966" s="78">
        <v>270.95999999999998</v>
      </c>
      <c r="M1966" s="79" t="str">
        <f t="shared" si="92"/>
        <v>160-7840</v>
      </c>
      <c r="N1966" s="79" t="str">
        <f t="shared" si="90"/>
        <v/>
      </c>
      <c r="O1966" s="79" t="str">
        <f t="shared" si="91"/>
        <v>160</v>
      </c>
      <c r="P1966" s="79" t="str">
        <f>IFERROR(VLOOKUP($M1966,Export!$P:$R,2,FALSE),"-")</f>
        <v>Admin &amp; Other</v>
      </c>
      <c r="Q1966" s="79" t="str">
        <f>IFERROR(VLOOKUP($M1966,Export!$P:$R,3,FALSE),"-")</f>
        <v>Admin &amp; OtherInsurance as % of Total Gross Profit</v>
      </c>
      <c r="R1966" s="80" t="e" cm="1">
        <f t="array" ref="R1966">_xlfn.IFS(P1966="Service", _xlfn.IFS(I1966="SALES","GP",I1966="SERVICE SALES","GP",I1966="PARTS SALES","GP",I1966="SERVICE COS","GP",I1966="PARTS COS","GP",I1966="SELLING EXPENSES","Selling Expenses",I1966="EMPLOYMENT EXPENSES","Selling Expenses",I1966="EMPLOYMENT EXPENSES","Selling Expenses",I1966="DIRECT EXPENSES","Selling Expenses",I1966="INDIRECT EXPENSES","Selling Expenses"),P1966="Parts",_xlfn.IFS(I1966="SALES","GP",I1966="SERVICE SALES","GP",I1966="PARTS SALES","GP",I1966="SERVICE COS","GP",I1966="PARTS COS","GP",I1966="SELLING EXPENSES","Selling Expenses",I1966="EMPLOYMENT EXPENSES","Selling Expenses",I1966="EMPLOYMENT EXPENSES","Selling Expenses",I1966="DIRECT EXPENSES","Selling Expenses",I1966="INDIRECT EXPENSES","Selling Expenses"))</f>
        <v>#N/A</v>
      </c>
    </row>
    <row r="1967" spans="1:18" x14ac:dyDescent="0.2">
      <c r="A1967" s="75">
        <v>7840</v>
      </c>
      <c r="B1967" s="76" t="s">
        <v>129</v>
      </c>
      <c r="C1967" s="76">
        <v>210</v>
      </c>
      <c r="D1967" s="76" t="s">
        <v>436</v>
      </c>
      <c r="E1967" s="76" t="s">
        <v>426</v>
      </c>
      <c r="F1967" s="77">
        <v>33395.14</v>
      </c>
      <c r="G1967" s="77">
        <v>3841.7</v>
      </c>
      <c r="H1967" s="77">
        <v>37236.839999999997</v>
      </c>
      <c r="I1967" s="76" t="s">
        <v>968</v>
      </c>
      <c r="J1967" s="77">
        <v>2652.75</v>
      </c>
      <c r="K1967" s="78">
        <v>24693.16</v>
      </c>
      <c r="M1967" s="79" t="str">
        <f t="shared" si="92"/>
        <v>210-7840</v>
      </c>
      <c r="N1967" s="79" t="str">
        <f t="shared" si="90"/>
        <v/>
      </c>
      <c r="O1967" s="79" t="str">
        <f t="shared" si="91"/>
        <v>210</v>
      </c>
      <c r="P1967" s="79" t="str">
        <f>IFERROR(VLOOKUP($M1967,Export!$P:$R,2,FALSE),"-")</f>
        <v>Admin &amp; Other</v>
      </c>
      <c r="Q1967" s="79" t="str">
        <f>IFERROR(VLOOKUP($M1967,Export!$P:$R,3,FALSE),"-")</f>
        <v>Admin &amp; OtherInsurance as % of Total Gross Profit</v>
      </c>
      <c r="R1967" s="80" t="e" cm="1">
        <f t="array" ref="R1967">_xlfn.IFS(P1967="Service", _xlfn.IFS(I1967="SALES","GP",I1967="SERVICE SALES","GP",I1967="PARTS SALES","GP",I1967="SERVICE COS","GP",I1967="PARTS COS","GP",I1967="SELLING EXPENSES","Selling Expenses",I1967="EMPLOYMENT EXPENSES","Selling Expenses",I1967="EMPLOYMENT EXPENSES","Selling Expenses",I1967="DIRECT EXPENSES","Selling Expenses",I1967="INDIRECT EXPENSES","Selling Expenses"),P1967="Parts",_xlfn.IFS(I1967="SALES","GP",I1967="SERVICE SALES","GP",I1967="PARTS SALES","GP",I1967="SERVICE COS","GP",I1967="PARTS COS","GP",I1967="SELLING EXPENSES","Selling Expenses",I1967="EMPLOYMENT EXPENSES","Selling Expenses",I1967="EMPLOYMENT EXPENSES","Selling Expenses",I1967="DIRECT EXPENSES","Selling Expenses",I1967="INDIRECT EXPENSES","Selling Expenses"))</f>
        <v>#N/A</v>
      </c>
    </row>
    <row r="1968" spans="1:18" x14ac:dyDescent="0.2">
      <c r="A1968" s="75">
        <v>7840</v>
      </c>
      <c r="B1968" s="76" t="s">
        <v>129</v>
      </c>
      <c r="C1968" s="76">
        <v>220</v>
      </c>
      <c r="D1968" s="76" t="s">
        <v>437</v>
      </c>
      <c r="E1968" s="76" t="s">
        <v>426</v>
      </c>
      <c r="F1968" s="77">
        <v>32743.78</v>
      </c>
      <c r="G1968" s="77">
        <v>3803.83</v>
      </c>
      <c r="H1968" s="77">
        <v>36547.61</v>
      </c>
      <c r="I1968" s="76" t="s">
        <v>968</v>
      </c>
      <c r="J1968" s="77">
        <v>2622.64</v>
      </c>
      <c r="K1968" s="78">
        <v>24512.48</v>
      </c>
      <c r="M1968" s="79" t="str">
        <f t="shared" si="92"/>
        <v>220-7840</v>
      </c>
      <c r="N1968" s="79" t="str">
        <f t="shared" si="90"/>
        <v/>
      </c>
      <c r="O1968" s="79" t="str">
        <f t="shared" si="91"/>
        <v>220</v>
      </c>
      <c r="P1968" s="79" t="str">
        <f>IFERROR(VLOOKUP($M1968,Export!$P:$R,2,FALSE),"-")</f>
        <v>Admin &amp; Other</v>
      </c>
      <c r="Q1968" s="79" t="str">
        <f>IFERROR(VLOOKUP($M1968,Export!$P:$R,3,FALSE),"-")</f>
        <v>Admin &amp; OtherInsurance as % of Total Gross Profit</v>
      </c>
      <c r="R1968" s="80" t="e" cm="1">
        <f t="array" ref="R1968">_xlfn.IFS(P1968="Service", _xlfn.IFS(I1968="SALES","GP",I1968="SERVICE SALES","GP",I1968="PARTS SALES","GP",I1968="SERVICE COS","GP",I1968="PARTS COS","GP",I1968="SELLING EXPENSES","Selling Expenses",I1968="EMPLOYMENT EXPENSES","Selling Expenses",I1968="EMPLOYMENT EXPENSES","Selling Expenses",I1968="DIRECT EXPENSES","Selling Expenses",I1968="INDIRECT EXPENSES","Selling Expenses"),P1968="Parts",_xlfn.IFS(I1968="SALES","GP",I1968="SERVICE SALES","GP",I1968="PARTS SALES","GP",I1968="SERVICE COS","GP",I1968="PARTS COS","GP",I1968="SELLING EXPENSES","Selling Expenses",I1968="EMPLOYMENT EXPENSES","Selling Expenses",I1968="EMPLOYMENT EXPENSES","Selling Expenses",I1968="DIRECT EXPENSES","Selling Expenses",I1968="INDIRECT EXPENSES","Selling Expenses"))</f>
        <v>#N/A</v>
      </c>
    </row>
    <row r="1969" spans="1:18" x14ac:dyDescent="0.2">
      <c r="A1969" s="75">
        <v>7840</v>
      </c>
      <c r="B1969" s="76" t="s">
        <v>129</v>
      </c>
      <c r="C1969" s="76">
        <v>230</v>
      </c>
      <c r="D1969" s="76" t="s">
        <v>438</v>
      </c>
      <c r="E1969" s="76" t="s">
        <v>426</v>
      </c>
      <c r="F1969" s="77">
        <v>8175.07</v>
      </c>
      <c r="G1969" s="77">
        <v>956.51</v>
      </c>
      <c r="H1969" s="77">
        <v>9131.58</v>
      </c>
      <c r="I1969" s="76" t="s">
        <v>968</v>
      </c>
      <c r="J1969" s="77">
        <v>629.64</v>
      </c>
      <c r="K1969" s="78">
        <v>5552.4</v>
      </c>
      <c r="M1969" s="79" t="str">
        <f t="shared" si="92"/>
        <v>230-7840</v>
      </c>
      <c r="N1969" s="79" t="str">
        <f t="shared" si="90"/>
        <v/>
      </c>
      <c r="O1969" s="79" t="str">
        <f t="shared" si="91"/>
        <v>230</v>
      </c>
      <c r="P1969" s="79" t="str">
        <f>IFERROR(VLOOKUP($M1969,Export!$P:$R,2,FALSE),"-")</f>
        <v>Admin &amp; Other</v>
      </c>
      <c r="Q1969" s="79" t="str">
        <f>IFERROR(VLOOKUP($M1969,Export!$P:$R,3,FALSE),"-")</f>
        <v>Admin &amp; OtherInsurance as % of Total Gross Profit</v>
      </c>
      <c r="R1969" s="80" t="e" cm="1">
        <f t="array" ref="R1969">_xlfn.IFS(P1969="Service", _xlfn.IFS(I1969="SALES","GP",I1969="SERVICE SALES","GP",I1969="PARTS SALES","GP",I1969="SERVICE COS","GP",I1969="PARTS COS","GP",I1969="SELLING EXPENSES","Selling Expenses",I1969="EMPLOYMENT EXPENSES","Selling Expenses",I1969="EMPLOYMENT EXPENSES","Selling Expenses",I1969="DIRECT EXPENSES","Selling Expenses",I1969="INDIRECT EXPENSES","Selling Expenses"),P1969="Parts",_xlfn.IFS(I1969="SALES","GP",I1969="SERVICE SALES","GP",I1969="PARTS SALES","GP",I1969="SERVICE COS","GP",I1969="PARTS COS","GP",I1969="SELLING EXPENSES","Selling Expenses",I1969="EMPLOYMENT EXPENSES","Selling Expenses",I1969="EMPLOYMENT EXPENSES","Selling Expenses",I1969="DIRECT EXPENSES","Selling Expenses",I1969="INDIRECT EXPENSES","Selling Expenses"))</f>
        <v>#N/A</v>
      </c>
    </row>
    <row r="1970" spans="1:18" x14ac:dyDescent="0.2">
      <c r="A1970" s="75">
        <v>7840</v>
      </c>
      <c r="B1970" s="76" t="s">
        <v>129</v>
      </c>
      <c r="C1970" s="76">
        <v>240</v>
      </c>
      <c r="D1970" s="76" t="s">
        <v>439</v>
      </c>
      <c r="E1970" s="76" t="s">
        <v>426</v>
      </c>
      <c r="F1970" s="77">
        <v>25626.49</v>
      </c>
      <c r="G1970" s="77">
        <v>2801.21</v>
      </c>
      <c r="H1970" s="77">
        <v>28427.7</v>
      </c>
      <c r="I1970" s="76" t="s">
        <v>968</v>
      </c>
      <c r="J1970" s="77">
        <v>2622.64</v>
      </c>
      <c r="K1970" s="78">
        <v>23884.26</v>
      </c>
      <c r="M1970" s="79" t="str">
        <f t="shared" si="92"/>
        <v>240-7840</v>
      </c>
      <c r="N1970" s="79" t="str">
        <f t="shared" si="90"/>
        <v/>
      </c>
      <c r="O1970" s="79" t="str">
        <f t="shared" si="91"/>
        <v>240</v>
      </c>
      <c r="P1970" s="79" t="str">
        <f>IFERROR(VLOOKUP($M1970,Export!$P:$R,2,FALSE),"-")</f>
        <v>Admin &amp; Other</v>
      </c>
      <c r="Q1970" s="79" t="str">
        <f>IFERROR(VLOOKUP($M1970,Export!$P:$R,3,FALSE),"-")</f>
        <v>Admin &amp; OtherInsurance as % of Total Gross Profit</v>
      </c>
      <c r="R1970" s="80" t="e" cm="1">
        <f t="array" ref="R1970">_xlfn.IFS(P1970="Service", _xlfn.IFS(I1970="SALES","GP",I1970="SERVICE SALES","GP",I1970="PARTS SALES","GP",I1970="SERVICE COS","GP",I1970="PARTS COS","GP",I1970="SELLING EXPENSES","Selling Expenses",I1970="EMPLOYMENT EXPENSES","Selling Expenses",I1970="EMPLOYMENT EXPENSES","Selling Expenses",I1970="DIRECT EXPENSES","Selling Expenses",I1970="INDIRECT EXPENSES","Selling Expenses"),P1970="Parts",_xlfn.IFS(I1970="SALES","GP",I1970="SERVICE SALES","GP",I1970="PARTS SALES","GP",I1970="SERVICE COS","GP",I1970="PARTS COS","GP",I1970="SELLING EXPENSES","Selling Expenses",I1970="EMPLOYMENT EXPENSES","Selling Expenses",I1970="EMPLOYMENT EXPENSES","Selling Expenses",I1970="DIRECT EXPENSES","Selling Expenses",I1970="INDIRECT EXPENSES","Selling Expenses"))</f>
        <v>#N/A</v>
      </c>
    </row>
    <row r="1971" spans="1:18" x14ac:dyDescent="0.2">
      <c r="A1971" s="75">
        <v>7840</v>
      </c>
      <c r="B1971" s="76" t="s">
        <v>129</v>
      </c>
      <c r="C1971" s="76">
        <v>260</v>
      </c>
      <c r="D1971" s="76" t="s">
        <v>456</v>
      </c>
      <c r="E1971" s="76" t="s">
        <v>426</v>
      </c>
      <c r="F1971" s="77">
        <v>330.95</v>
      </c>
      <c r="G1971" s="77">
        <v>37.869999999999997</v>
      </c>
      <c r="H1971" s="77">
        <v>368.82</v>
      </c>
      <c r="I1971" s="76" t="s">
        <v>968</v>
      </c>
      <c r="J1971" s="77">
        <v>30.1</v>
      </c>
      <c r="K1971" s="78">
        <v>180.6</v>
      </c>
      <c r="M1971" s="79" t="str">
        <f t="shared" si="92"/>
        <v>260-7840</v>
      </c>
      <c r="N1971" s="79" t="str">
        <f t="shared" si="90"/>
        <v/>
      </c>
      <c r="O1971" s="79" t="str">
        <f t="shared" si="91"/>
        <v>260</v>
      </c>
      <c r="P1971" s="79" t="str">
        <f>IFERROR(VLOOKUP($M1971,Export!$P:$R,2,FALSE),"-")</f>
        <v>Admin &amp; Other</v>
      </c>
      <c r="Q1971" s="79" t="str">
        <f>IFERROR(VLOOKUP($M1971,Export!$P:$R,3,FALSE),"-")</f>
        <v>Admin &amp; OtherInsurance as % of Total Gross Profit</v>
      </c>
      <c r="R1971" s="80" t="e" cm="1">
        <f t="array" ref="R1971">_xlfn.IFS(P1971="Service", _xlfn.IFS(I1971="SALES","GP",I1971="SERVICE SALES","GP",I1971="PARTS SALES","GP",I1971="SERVICE COS","GP",I1971="PARTS COS","GP",I1971="SELLING EXPENSES","Selling Expenses",I1971="EMPLOYMENT EXPENSES","Selling Expenses",I1971="EMPLOYMENT EXPENSES","Selling Expenses",I1971="DIRECT EXPENSES","Selling Expenses",I1971="INDIRECT EXPENSES","Selling Expenses"),P1971="Parts",_xlfn.IFS(I1971="SALES","GP",I1971="SERVICE SALES","GP",I1971="PARTS SALES","GP",I1971="SERVICE COS","GP",I1971="PARTS COS","GP",I1971="SELLING EXPENSES","Selling Expenses",I1971="EMPLOYMENT EXPENSES","Selling Expenses",I1971="EMPLOYMENT EXPENSES","Selling Expenses",I1971="DIRECT EXPENSES","Selling Expenses",I1971="INDIRECT EXPENSES","Selling Expenses"))</f>
        <v>#N/A</v>
      </c>
    </row>
    <row r="1972" spans="1:18" x14ac:dyDescent="0.2">
      <c r="A1972" s="75">
        <v>7840</v>
      </c>
      <c r="B1972" s="76" t="s">
        <v>129</v>
      </c>
      <c r="C1972" s="76">
        <v>330</v>
      </c>
      <c r="D1972" s="76" t="s">
        <v>457</v>
      </c>
      <c r="E1972" s="76" t="s">
        <v>426</v>
      </c>
      <c r="F1972" s="77">
        <v>521.96</v>
      </c>
      <c r="G1972" s="77">
        <v>36</v>
      </c>
      <c r="H1972" s="77">
        <v>557.96</v>
      </c>
      <c r="I1972" s="76" t="s">
        <v>968</v>
      </c>
      <c r="J1972" s="77">
        <v>0</v>
      </c>
      <c r="K1972" s="78">
        <v>0</v>
      </c>
      <c r="M1972" s="79" t="str">
        <f t="shared" si="92"/>
        <v>330-7840</v>
      </c>
      <c r="N1972" s="79" t="str">
        <f t="shared" si="90"/>
        <v/>
      </c>
      <c r="O1972" s="79" t="str">
        <f t="shared" si="91"/>
        <v>330</v>
      </c>
      <c r="P1972" s="79" t="str">
        <f>IFERROR(VLOOKUP($M1972,Export!$P:$R,2,FALSE),"-")</f>
        <v>Admin &amp; Other</v>
      </c>
      <c r="Q1972" s="79" t="str">
        <f>IFERROR(VLOOKUP($M1972,Export!$P:$R,3,FALSE),"-")</f>
        <v>Admin &amp; OtherInsurance as % of Total Gross Profit</v>
      </c>
      <c r="R1972" s="80" t="e" cm="1">
        <f t="array" ref="R1972">_xlfn.IFS(P1972="Service", _xlfn.IFS(I1972="SALES","GP",I1972="SERVICE SALES","GP",I1972="PARTS SALES","GP",I1972="SERVICE COS","GP",I1972="PARTS COS","GP",I1972="SELLING EXPENSES","Selling Expenses",I1972="EMPLOYMENT EXPENSES","Selling Expenses",I1972="EMPLOYMENT EXPENSES","Selling Expenses",I1972="DIRECT EXPENSES","Selling Expenses",I1972="INDIRECT EXPENSES","Selling Expenses"),P1972="Parts",_xlfn.IFS(I1972="SALES","GP",I1972="SERVICE SALES","GP",I1972="PARTS SALES","GP",I1972="SERVICE COS","GP",I1972="PARTS COS","GP",I1972="SELLING EXPENSES","Selling Expenses",I1972="EMPLOYMENT EXPENSES","Selling Expenses",I1972="EMPLOYMENT EXPENSES","Selling Expenses",I1972="DIRECT EXPENSES","Selling Expenses",I1972="INDIRECT EXPENSES","Selling Expenses"))</f>
        <v>#N/A</v>
      </c>
    </row>
    <row r="1973" spans="1:18" x14ac:dyDescent="0.2">
      <c r="A1973" s="75">
        <v>7840</v>
      </c>
      <c r="B1973" s="76" t="s">
        <v>129</v>
      </c>
      <c r="C1973" s="76">
        <v>340</v>
      </c>
      <c r="D1973" s="76" t="s">
        <v>440</v>
      </c>
      <c r="E1973" s="76" t="s">
        <v>426</v>
      </c>
      <c r="F1973" s="77">
        <v>12744.98</v>
      </c>
      <c r="G1973" s="77">
        <v>1628.47</v>
      </c>
      <c r="H1973" s="77">
        <v>14373.45</v>
      </c>
      <c r="I1973" s="76" t="s">
        <v>968</v>
      </c>
      <c r="J1973" s="77">
        <v>314.82</v>
      </c>
      <c r="K1973" s="78">
        <v>4572.43</v>
      </c>
      <c r="M1973" s="79" t="str">
        <f t="shared" si="92"/>
        <v>340-7840</v>
      </c>
      <c r="N1973" s="79" t="str">
        <f t="shared" si="90"/>
        <v/>
      </c>
      <c r="O1973" s="79" t="str">
        <f t="shared" si="91"/>
        <v>340</v>
      </c>
      <c r="P1973" s="79" t="str">
        <f>IFERROR(VLOOKUP($M1973,Export!$P:$R,2,FALSE),"-")</f>
        <v>Admin &amp; Other</v>
      </c>
      <c r="Q1973" s="79" t="str">
        <f>IFERROR(VLOOKUP($M1973,Export!$P:$R,3,FALSE),"-")</f>
        <v>Admin &amp; OtherInsurance as % of Total Gross Profit</v>
      </c>
      <c r="R1973" s="80" t="e" cm="1">
        <f t="array" ref="R1973">_xlfn.IFS(P1973="Service", _xlfn.IFS(I1973="SALES","GP",I1973="SERVICE SALES","GP",I1973="PARTS SALES","GP",I1973="SERVICE COS","GP",I1973="PARTS COS","GP",I1973="SELLING EXPENSES","Selling Expenses",I1973="EMPLOYMENT EXPENSES","Selling Expenses",I1973="EMPLOYMENT EXPENSES","Selling Expenses",I1973="DIRECT EXPENSES","Selling Expenses",I1973="INDIRECT EXPENSES","Selling Expenses"),P1973="Parts",_xlfn.IFS(I1973="SALES","GP",I1973="SERVICE SALES","GP",I1973="PARTS SALES","GP",I1973="SERVICE COS","GP",I1973="PARTS COS","GP",I1973="SELLING EXPENSES","Selling Expenses",I1973="EMPLOYMENT EXPENSES","Selling Expenses",I1973="EMPLOYMENT EXPENSES","Selling Expenses",I1973="DIRECT EXPENSES","Selling Expenses",I1973="INDIRECT EXPENSES","Selling Expenses"))</f>
        <v>#N/A</v>
      </c>
    </row>
    <row r="1974" spans="1:18" x14ac:dyDescent="0.2">
      <c r="A1974" s="75">
        <v>7840</v>
      </c>
      <c r="B1974" s="76" t="s">
        <v>129</v>
      </c>
      <c r="C1974" s="76">
        <v>430</v>
      </c>
      <c r="D1974" s="76" t="s">
        <v>458</v>
      </c>
      <c r="E1974" s="76" t="s">
        <v>426</v>
      </c>
      <c r="F1974" s="77">
        <v>174.82</v>
      </c>
      <c r="G1974" s="77">
        <v>0.93</v>
      </c>
      <c r="H1974" s="77">
        <v>175.75</v>
      </c>
      <c r="I1974" s="76" t="s">
        <v>968</v>
      </c>
      <c r="J1974" s="77">
        <v>0</v>
      </c>
      <c r="K1974" s="78">
        <v>0</v>
      </c>
      <c r="M1974" s="79" t="str">
        <f t="shared" si="92"/>
        <v>430-7840</v>
      </c>
      <c r="N1974" s="79" t="str">
        <f t="shared" si="90"/>
        <v/>
      </c>
      <c r="O1974" s="79" t="str">
        <f t="shared" si="91"/>
        <v>430</v>
      </c>
      <c r="P1974" s="79" t="str">
        <f>IFERROR(VLOOKUP($M1974,Export!$P:$R,2,FALSE),"-")</f>
        <v>Admin &amp; Other</v>
      </c>
      <c r="Q1974" s="79" t="str">
        <f>IFERROR(VLOOKUP($M1974,Export!$P:$R,3,FALSE),"-")</f>
        <v>Admin &amp; OtherInsurance as % of Total Gross Profit</v>
      </c>
      <c r="R1974" s="80" t="e" cm="1">
        <f t="array" ref="R1974">_xlfn.IFS(P1974="Service", _xlfn.IFS(I1974="SALES","GP",I1974="SERVICE SALES","GP",I1974="PARTS SALES","GP",I1974="SERVICE COS","GP",I1974="PARTS COS","GP",I1974="SELLING EXPENSES","Selling Expenses",I1974="EMPLOYMENT EXPENSES","Selling Expenses",I1974="EMPLOYMENT EXPENSES","Selling Expenses",I1974="DIRECT EXPENSES","Selling Expenses",I1974="INDIRECT EXPENSES","Selling Expenses"),P1974="Parts",_xlfn.IFS(I1974="SALES","GP",I1974="SERVICE SALES","GP",I1974="PARTS SALES","GP",I1974="SERVICE COS","GP",I1974="PARTS COS","GP",I1974="SELLING EXPENSES","Selling Expenses",I1974="EMPLOYMENT EXPENSES","Selling Expenses",I1974="EMPLOYMENT EXPENSES","Selling Expenses",I1974="DIRECT EXPENSES","Selling Expenses",I1974="INDIRECT EXPENSES","Selling Expenses"))</f>
        <v>#N/A</v>
      </c>
    </row>
    <row r="1975" spans="1:18" x14ac:dyDescent="0.2">
      <c r="A1975" s="75">
        <v>7840</v>
      </c>
      <c r="B1975" s="76" t="s">
        <v>129</v>
      </c>
      <c r="C1975" s="76">
        <v>440</v>
      </c>
      <c r="D1975" s="76" t="s">
        <v>441</v>
      </c>
      <c r="E1975" s="76" t="s">
        <v>426</v>
      </c>
      <c r="F1975" s="77">
        <v>349.68</v>
      </c>
      <c r="G1975" s="77">
        <v>1.85</v>
      </c>
      <c r="H1975" s="77">
        <v>351.53</v>
      </c>
      <c r="I1975" s="76" t="s">
        <v>968</v>
      </c>
      <c r="J1975" s="77">
        <v>0</v>
      </c>
      <c r="K1975" s="78">
        <v>0</v>
      </c>
      <c r="M1975" s="79" t="str">
        <f t="shared" si="92"/>
        <v>440-7840</v>
      </c>
      <c r="N1975" s="79" t="str">
        <f t="shared" si="90"/>
        <v/>
      </c>
      <c r="O1975" s="79" t="str">
        <f t="shared" si="91"/>
        <v>440</v>
      </c>
      <c r="P1975" s="79" t="str">
        <f>IFERROR(VLOOKUP($M1975,Export!$P:$R,2,FALSE),"-")</f>
        <v>Admin &amp; Other</v>
      </c>
      <c r="Q1975" s="79" t="str">
        <f>IFERROR(VLOOKUP($M1975,Export!$P:$R,3,FALSE),"-")</f>
        <v>Admin &amp; OtherInsurance as % of Total Gross Profit</v>
      </c>
      <c r="R1975" s="80" t="e" cm="1">
        <f t="array" ref="R1975">_xlfn.IFS(P1975="Service", _xlfn.IFS(I1975="SALES","GP",I1975="SERVICE SALES","GP",I1975="PARTS SALES","GP",I1975="SERVICE COS","GP",I1975="PARTS COS","GP",I1975="SELLING EXPENSES","Selling Expenses",I1975="EMPLOYMENT EXPENSES","Selling Expenses",I1975="EMPLOYMENT EXPENSES","Selling Expenses",I1975="DIRECT EXPENSES","Selling Expenses",I1975="INDIRECT EXPENSES","Selling Expenses"),P1975="Parts",_xlfn.IFS(I1975="SALES","GP",I1975="SERVICE SALES","GP",I1975="PARTS SALES","GP",I1975="SERVICE COS","GP",I1975="PARTS COS","GP",I1975="SELLING EXPENSES","Selling Expenses",I1975="EMPLOYMENT EXPENSES","Selling Expenses",I1975="EMPLOYMENT EXPENSES","Selling Expenses",I1975="DIRECT EXPENSES","Selling Expenses",I1975="INDIRECT EXPENSES","Selling Expenses"))</f>
        <v>#N/A</v>
      </c>
    </row>
    <row r="1976" spans="1:18" x14ac:dyDescent="0.2">
      <c r="A1976" s="75">
        <v>7840</v>
      </c>
      <c r="B1976" s="76" t="s">
        <v>129</v>
      </c>
      <c r="C1976" s="76">
        <v>935</v>
      </c>
      <c r="D1976" s="76" t="s">
        <v>442</v>
      </c>
      <c r="E1976" s="76" t="s">
        <v>426</v>
      </c>
      <c r="F1976" s="77">
        <v>2956.92</v>
      </c>
      <c r="G1976" s="77">
        <v>311.13</v>
      </c>
      <c r="H1976" s="77">
        <v>3268.05</v>
      </c>
      <c r="I1976" s="76" t="s">
        <v>968</v>
      </c>
      <c r="J1976" s="77">
        <v>314.82</v>
      </c>
      <c r="K1976" s="78">
        <v>2747.97</v>
      </c>
      <c r="M1976" s="79" t="str">
        <f t="shared" si="92"/>
        <v>935-7840</v>
      </c>
      <c r="N1976" s="79" t="str">
        <f t="shared" si="90"/>
        <v/>
      </c>
      <c r="O1976" s="79" t="str">
        <f t="shared" si="91"/>
        <v>935</v>
      </c>
      <c r="P1976" s="79" t="str">
        <f>IFERROR(VLOOKUP($M1976,Export!$P:$R,2,FALSE),"-")</f>
        <v>LEX Admin &amp; Other</v>
      </c>
      <c r="Q1976" s="79" t="str">
        <f>IFERROR(VLOOKUP($M1976,Export!$P:$R,3,FALSE),"-")</f>
        <v>LEX Admin &amp; OtherInsurance as % of Total Gross Profit</v>
      </c>
      <c r="R1976" s="80" t="e" cm="1">
        <f t="array" ref="R1976">_xlfn.IFS(P1976="Service", _xlfn.IFS(I1976="SALES","GP",I1976="SERVICE SALES","GP",I1976="PARTS SALES","GP",I1976="SERVICE COS","GP",I1976="PARTS COS","GP",I1976="SELLING EXPENSES","Selling Expenses",I1976="EMPLOYMENT EXPENSES","Selling Expenses",I1976="EMPLOYMENT EXPENSES","Selling Expenses",I1976="DIRECT EXPENSES","Selling Expenses",I1976="INDIRECT EXPENSES","Selling Expenses"),P1976="Parts",_xlfn.IFS(I1976="SALES","GP",I1976="SERVICE SALES","GP",I1976="PARTS SALES","GP",I1976="SERVICE COS","GP",I1976="PARTS COS","GP",I1976="SELLING EXPENSES","Selling Expenses",I1976="EMPLOYMENT EXPENSES","Selling Expenses",I1976="EMPLOYMENT EXPENSES","Selling Expenses",I1976="DIRECT EXPENSES","Selling Expenses",I1976="INDIRECT EXPENSES","Selling Expenses"))</f>
        <v>#N/A</v>
      </c>
    </row>
    <row r="1977" spans="1:18" x14ac:dyDescent="0.2">
      <c r="A1977" s="75">
        <v>7840</v>
      </c>
      <c r="B1977" s="76" t="s">
        <v>129</v>
      </c>
      <c r="C1977" s="76">
        <v>936</v>
      </c>
      <c r="D1977" s="76" t="s">
        <v>443</v>
      </c>
      <c r="E1977" s="76" t="s">
        <v>426</v>
      </c>
      <c r="F1977" s="77">
        <v>13181.01</v>
      </c>
      <c r="G1977" s="77">
        <v>1729.3</v>
      </c>
      <c r="H1977" s="77">
        <v>14910.31</v>
      </c>
      <c r="I1977" s="76" t="s">
        <v>968</v>
      </c>
      <c r="J1977" s="77">
        <v>884.25</v>
      </c>
      <c r="K1977" s="78">
        <v>8039.96</v>
      </c>
      <c r="M1977" s="79" t="str">
        <f t="shared" si="92"/>
        <v>936-7840</v>
      </c>
      <c r="N1977" s="79" t="str">
        <f t="shared" si="90"/>
        <v/>
      </c>
      <c r="O1977" s="79" t="str">
        <f t="shared" si="91"/>
        <v>936</v>
      </c>
      <c r="P1977" s="79" t="str">
        <f>IFERROR(VLOOKUP($M1977,Export!$P:$R,2,FALSE),"-")</f>
        <v>LEX Admin &amp; Other</v>
      </c>
      <c r="Q1977" s="79" t="str">
        <f>IFERROR(VLOOKUP($M1977,Export!$P:$R,3,FALSE),"-")</f>
        <v>LEX Admin &amp; OtherInsurance as % of Total Gross Profit</v>
      </c>
      <c r="R1977" s="80" t="e" cm="1">
        <f t="array" ref="R1977">_xlfn.IFS(P1977="Service", _xlfn.IFS(I1977="SALES","GP",I1977="SERVICE SALES","GP",I1977="PARTS SALES","GP",I1977="SERVICE COS","GP",I1977="PARTS COS","GP",I1977="SELLING EXPENSES","Selling Expenses",I1977="EMPLOYMENT EXPENSES","Selling Expenses",I1977="EMPLOYMENT EXPENSES","Selling Expenses",I1977="DIRECT EXPENSES","Selling Expenses",I1977="INDIRECT EXPENSES","Selling Expenses"),P1977="Parts",_xlfn.IFS(I1977="SALES","GP",I1977="SERVICE SALES","GP",I1977="PARTS SALES","GP",I1977="SERVICE COS","GP",I1977="PARTS COS","GP",I1977="SELLING EXPENSES","Selling Expenses",I1977="EMPLOYMENT EXPENSES","Selling Expenses",I1977="EMPLOYMENT EXPENSES","Selling Expenses",I1977="DIRECT EXPENSES","Selling Expenses",I1977="INDIRECT EXPENSES","Selling Expenses"))</f>
        <v>#N/A</v>
      </c>
    </row>
    <row r="1978" spans="1:18" x14ac:dyDescent="0.2">
      <c r="A1978" s="75">
        <v>7845</v>
      </c>
      <c r="B1978" s="76" t="s">
        <v>980</v>
      </c>
      <c r="C1978" s="76">
        <v>110</v>
      </c>
      <c r="D1978" s="76" t="s">
        <v>430</v>
      </c>
      <c r="E1978" s="76" t="s">
        <v>426</v>
      </c>
      <c r="F1978" s="77">
        <v>0</v>
      </c>
      <c r="G1978" s="77">
        <v>0</v>
      </c>
      <c r="H1978" s="77">
        <v>0</v>
      </c>
      <c r="I1978" s="76" t="s">
        <v>968</v>
      </c>
      <c r="J1978" s="77">
        <v>500</v>
      </c>
      <c r="K1978" s="78">
        <v>5400</v>
      </c>
      <c r="M1978" s="79" t="str">
        <f t="shared" si="92"/>
        <v>110-7845</v>
      </c>
      <c r="N1978" s="79" t="str">
        <f t="shared" si="90"/>
        <v/>
      </c>
      <c r="O1978" s="79" t="str">
        <f t="shared" si="91"/>
        <v>110</v>
      </c>
      <c r="P1978" s="79" t="str">
        <f>IFERROR(VLOOKUP($M1978,Export!$P:$R,2,FALSE),"-")</f>
        <v>Admin &amp; Other</v>
      </c>
      <c r="Q1978" s="79" t="str">
        <f>IFERROR(VLOOKUP($M1978,Export!$P:$R,3,FALSE),"-")</f>
        <v>Admin &amp; OtherInsurance as % of Total Gross Profit</v>
      </c>
      <c r="R1978" s="80" t="e" cm="1">
        <f t="array" ref="R1978">_xlfn.IFS(P1978="Service", _xlfn.IFS(I1978="SALES","GP",I1978="SERVICE SALES","GP",I1978="PARTS SALES","GP",I1978="SERVICE COS","GP",I1978="PARTS COS","GP",I1978="SELLING EXPENSES","Selling Expenses",I1978="EMPLOYMENT EXPENSES","Selling Expenses",I1978="EMPLOYMENT EXPENSES","Selling Expenses",I1978="DIRECT EXPENSES","Selling Expenses",I1978="INDIRECT EXPENSES","Selling Expenses"),P1978="Parts",_xlfn.IFS(I1978="SALES","GP",I1978="SERVICE SALES","GP",I1978="PARTS SALES","GP",I1978="SERVICE COS","GP",I1978="PARTS COS","GP",I1978="SELLING EXPENSES","Selling Expenses",I1978="EMPLOYMENT EXPENSES","Selling Expenses",I1978="EMPLOYMENT EXPENSES","Selling Expenses",I1978="DIRECT EXPENSES","Selling Expenses",I1978="INDIRECT EXPENSES","Selling Expenses"))</f>
        <v>#N/A</v>
      </c>
    </row>
    <row r="1979" spans="1:18" x14ac:dyDescent="0.2">
      <c r="A1979" s="75">
        <v>7845</v>
      </c>
      <c r="B1979" s="76" t="s">
        <v>980</v>
      </c>
      <c r="C1979" s="76">
        <v>112</v>
      </c>
      <c r="D1979" s="76" t="s">
        <v>349</v>
      </c>
      <c r="E1979" s="76" t="s">
        <v>426</v>
      </c>
      <c r="F1979" s="77">
        <v>0</v>
      </c>
      <c r="G1979" s="77">
        <v>0</v>
      </c>
      <c r="H1979" s="77">
        <v>0</v>
      </c>
      <c r="I1979" s="76" t="s">
        <v>968</v>
      </c>
      <c r="J1979" s="77">
        <v>300</v>
      </c>
      <c r="K1979" s="78">
        <v>3400</v>
      </c>
      <c r="M1979" s="79" t="str">
        <f t="shared" si="92"/>
        <v>112-7845</v>
      </c>
      <c r="N1979" s="79" t="str">
        <f t="shared" si="90"/>
        <v/>
      </c>
      <c r="O1979" s="79" t="str">
        <f t="shared" si="91"/>
        <v>112</v>
      </c>
      <c r="P1979" s="79" t="str">
        <f>IFERROR(VLOOKUP($M1979,Export!$P:$R,2,FALSE),"-")</f>
        <v>LEX Admin &amp; Other</v>
      </c>
      <c r="Q1979" s="79" t="str">
        <f>IFERROR(VLOOKUP($M1979,Export!$P:$R,3,FALSE),"-")</f>
        <v>LEX Admin &amp; OtherInsurance as % of Total Gross Profit</v>
      </c>
      <c r="R1979" s="80" t="e" cm="1">
        <f t="array" ref="R1979">_xlfn.IFS(P1979="Service", _xlfn.IFS(I1979="SALES","GP",I1979="SERVICE SALES","GP",I1979="PARTS SALES","GP",I1979="SERVICE COS","GP",I1979="PARTS COS","GP",I1979="SELLING EXPENSES","Selling Expenses",I1979="EMPLOYMENT EXPENSES","Selling Expenses",I1979="EMPLOYMENT EXPENSES","Selling Expenses",I1979="DIRECT EXPENSES","Selling Expenses",I1979="INDIRECT EXPENSES","Selling Expenses"),P1979="Parts",_xlfn.IFS(I1979="SALES","GP",I1979="SERVICE SALES","GP",I1979="PARTS SALES","GP",I1979="SERVICE COS","GP",I1979="PARTS COS","GP",I1979="SELLING EXPENSES","Selling Expenses",I1979="EMPLOYMENT EXPENSES","Selling Expenses",I1979="EMPLOYMENT EXPENSES","Selling Expenses",I1979="DIRECT EXPENSES","Selling Expenses",I1979="INDIRECT EXPENSES","Selling Expenses"))</f>
        <v>#N/A</v>
      </c>
    </row>
    <row r="1980" spans="1:18" x14ac:dyDescent="0.2">
      <c r="A1980" s="75">
        <v>7845</v>
      </c>
      <c r="B1980" s="76" t="s">
        <v>980</v>
      </c>
      <c r="C1980" s="76">
        <v>120</v>
      </c>
      <c r="D1980" s="76" t="s">
        <v>431</v>
      </c>
      <c r="E1980" s="76" t="s">
        <v>426</v>
      </c>
      <c r="F1980" s="77">
        <v>0</v>
      </c>
      <c r="G1980" s="77">
        <v>0</v>
      </c>
      <c r="H1980" s="77">
        <v>0</v>
      </c>
      <c r="I1980" s="76" t="s">
        <v>968</v>
      </c>
      <c r="J1980" s="77">
        <v>375</v>
      </c>
      <c r="K1980" s="78">
        <v>3650</v>
      </c>
      <c r="M1980" s="79" t="str">
        <f t="shared" si="92"/>
        <v>120-7845</v>
      </c>
      <c r="N1980" s="79" t="str">
        <f t="shared" si="90"/>
        <v/>
      </c>
      <c r="O1980" s="79" t="str">
        <f t="shared" si="91"/>
        <v>120</v>
      </c>
      <c r="P1980" s="79" t="str">
        <f>IFERROR(VLOOKUP($M1980,Export!$P:$R,2,FALSE),"-")</f>
        <v>Admin &amp; Other</v>
      </c>
      <c r="Q1980" s="79" t="str">
        <f>IFERROR(VLOOKUP($M1980,Export!$P:$R,3,FALSE),"-")</f>
        <v>Admin &amp; OtherInsurance as % of Total Gross Profit</v>
      </c>
      <c r="R1980" s="80" t="e" cm="1">
        <f t="array" ref="R1980">_xlfn.IFS(P1980="Service", _xlfn.IFS(I1980="SALES","GP",I1980="SERVICE SALES","GP",I1980="PARTS SALES","GP",I1980="SERVICE COS","GP",I1980="PARTS COS","GP",I1980="SELLING EXPENSES","Selling Expenses",I1980="EMPLOYMENT EXPENSES","Selling Expenses",I1980="EMPLOYMENT EXPENSES","Selling Expenses",I1980="DIRECT EXPENSES","Selling Expenses",I1980="INDIRECT EXPENSES","Selling Expenses"),P1980="Parts",_xlfn.IFS(I1980="SALES","GP",I1980="SERVICE SALES","GP",I1980="PARTS SALES","GP",I1980="SERVICE COS","GP",I1980="PARTS COS","GP",I1980="SELLING EXPENSES","Selling Expenses",I1980="EMPLOYMENT EXPENSES","Selling Expenses",I1980="EMPLOYMENT EXPENSES","Selling Expenses",I1980="DIRECT EXPENSES","Selling Expenses",I1980="INDIRECT EXPENSES","Selling Expenses"))</f>
        <v>#N/A</v>
      </c>
    </row>
    <row r="1981" spans="1:18" x14ac:dyDescent="0.2">
      <c r="A1981" s="75">
        <v>7845</v>
      </c>
      <c r="B1981" s="76" t="s">
        <v>980</v>
      </c>
      <c r="C1981" s="76">
        <v>121</v>
      </c>
      <c r="D1981" s="76" t="s">
        <v>449</v>
      </c>
      <c r="E1981" s="76" t="s">
        <v>426</v>
      </c>
      <c r="F1981" s="77">
        <v>0</v>
      </c>
      <c r="G1981" s="77">
        <v>0</v>
      </c>
      <c r="H1981" s="77">
        <v>0</v>
      </c>
      <c r="I1981" s="76" t="s">
        <v>968</v>
      </c>
      <c r="J1981" s="77">
        <v>200</v>
      </c>
      <c r="K1981" s="78">
        <v>2400</v>
      </c>
      <c r="M1981" s="79" t="str">
        <f t="shared" si="92"/>
        <v>121-7845</v>
      </c>
      <c r="N1981" s="79" t="str">
        <f t="shared" si="90"/>
        <v/>
      </c>
      <c r="O1981" s="79" t="str">
        <f t="shared" si="91"/>
        <v>121</v>
      </c>
      <c r="P1981" s="79" t="str">
        <f>IFERROR(VLOOKUP($M1981,Export!$P:$R,2,FALSE),"-")</f>
        <v>Admin &amp; Other</v>
      </c>
      <c r="Q1981" s="79" t="str">
        <f>IFERROR(VLOOKUP($M1981,Export!$P:$R,3,FALSE),"-")</f>
        <v>Admin &amp; OtherInsurance as % of Total Gross Profit</v>
      </c>
      <c r="R1981" s="80" t="e" cm="1">
        <f t="array" ref="R1981">_xlfn.IFS(P1981="Service", _xlfn.IFS(I1981="SALES","GP",I1981="SERVICE SALES","GP",I1981="PARTS SALES","GP",I1981="SERVICE COS","GP",I1981="PARTS COS","GP",I1981="SELLING EXPENSES","Selling Expenses",I1981="EMPLOYMENT EXPENSES","Selling Expenses",I1981="EMPLOYMENT EXPENSES","Selling Expenses",I1981="DIRECT EXPENSES","Selling Expenses",I1981="INDIRECT EXPENSES","Selling Expenses"),P1981="Parts",_xlfn.IFS(I1981="SALES","GP",I1981="SERVICE SALES","GP",I1981="PARTS SALES","GP",I1981="SERVICE COS","GP",I1981="PARTS COS","GP",I1981="SELLING EXPENSES","Selling Expenses",I1981="EMPLOYMENT EXPENSES","Selling Expenses",I1981="EMPLOYMENT EXPENSES","Selling Expenses",I1981="DIRECT EXPENSES","Selling Expenses",I1981="INDIRECT EXPENSES","Selling Expenses"))</f>
        <v>#N/A</v>
      </c>
    </row>
    <row r="1982" spans="1:18" x14ac:dyDescent="0.2">
      <c r="A1982" s="75">
        <v>7845</v>
      </c>
      <c r="B1982" s="76" t="s">
        <v>980</v>
      </c>
      <c r="C1982" s="76">
        <v>130</v>
      </c>
      <c r="D1982" s="76" t="s">
        <v>432</v>
      </c>
      <c r="E1982" s="76" t="s">
        <v>426</v>
      </c>
      <c r="F1982" s="77">
        <v>0</v>
      </c>
      <c r="G1982" s="77">
        <v>0</v>
      </c>
      <c r="H1982" s="77">
        <v>0</v>
      </c>
      <c r="I1982" s="76" t="s">
        <v>968</v>
      </c>
      <c r="J1982" s="77">
        <v>300</v>
      </c>
      <c r="K1982" s="78">
        <v>3000</v>
      </c>
      <c r="M1982" s="79" t="str">
        <f>+C1982&amp;"-"&amp;A1982</f>
        <v>130-7845</v>
      </c>
      <c r="N1982" s="79" t="str">
        <f t="shared" si="90"/>
        <v/>
      </c>
      <c r="O1982" s="79" t="str">
        <f t="shared" ref="O1982:O2025" si="93">+C1982&amp;N1982</f>
        <v>130</v>
      </c>
      <c r="P1982" s="79" t="str">
        <f>IFERROR(VLOOKUP($M1982,Export!$P:$R,2,FALSE),"-")</f>
        <v>Admin &amp; Other</v>
      </c>
      <c r="Q1982" s="79" t="str">
        <f>IFERROR(VLOOKUP($M1982,Export!$P:$R,3,FALSE),"-")</f>
        <v>Admin &amp; OtherInsurance as % of Total Gross Profit</v>
      </c>
      <c r="R1982" s="80" t="e" cm="1">
        <f t="array" ref="R1982">_xlfn.IFS(P1982="Service", _xlfn.IFS(I1982="SALES","GP",I1982="SERVICE SALES","GP",I1982="PARTS SALES","GP",I1982="SERVICE COS","GP",I1982="PARTS COS","GP",I1982="SELLING EXPENSES","Selling Expenses",I1982="EMPLOYMENT EXPENSES","Selling Expenses",I1982="EMPLOYMENT EXPENSES","Selling Expenses",I1982="DIRECT EXPENSES","Selling Expenses",I1982="INDIRECT EXPENSES","Selling Expenses"),P1982="Parts",_xlfn.IFS(I1982="SALES","GP",I1982="SERVICE SALES","GP",I1982="PARTS SALES","GP",I1982="SERVICE COS","GP",I1982="PARTS COS","GP",I1982="SELLING EXPENSES","Selling Expenses",I1982="EMPLOYMENT EXPENSES","Selling Expenses",I1982="EMPLOYMENT EXPENSES","Selling Expenses",I1982="DIRECT EXPENSES","Selling Expenses",I1982="INDIRECT EXPENSES","Selling Expenses"))</f>
        <v>#N/A</v>
      </c>
    </row>
    <row r="1983" spans="1:18" x14ac:dyDescent="0.2">
      <c r="A1983" s="75">
        <v>7845</v>
      </c>
      <c r="B1983" s="76" t="s">
        <v>980</v>
      </c>
      <c r="C1983" s="76">
        <v>140</v>
      </c>
      <c r="D1983" s="76" t="s">
        <v>433</v>
      </c>
      <c r="E1983" s="76" t="s">
        <v>426</v>
      </c>
      <c r="F1983" s="77">
        <v>0</v>
      </c>
      <c r="G1983" s="77">
        <v>0</v>
      </c>
      <c r="H1983" s="77">
        <v>0</v>
      </c>
      <c r="I1983" s="76" t="s">
        <v>968</v>
      </c>
      <c r="J1983" s="77">
        <v>900</v>
      </c>
      <c r="K1983" s="78">
        <v>9800</v>
      </c>
      <c r="M1983" s="79" t="str">
        <f t="shared" ref="M1983:M2025" si="94">+C1983&amp;"-"&amp;A1983</f>
        <v>140-7845</v>
      </c>
      <c r="N1983" s="79" t="str">
        <f t="shared" si="90"/>
        <v/>
      </c>
      <c r="O1983" s="79" t="str">
        <f t="shared" si="93"/>
        <v>140</v>
      </c>
      <c r="P1983" s="79" t="str">
        <f>IFERROR(VLOOKUP($M1983,Export!$P:$R,2,FALSE),"-")</f>
        <v>Admin &amp; Other</v>
      </c>
      <c r="Q1983" s="79" t="str">
        <f>IFERROR(VLOOKUP($M1983,Export!$P:$R,3,FALSE),"-")</f>
        <v>Admin &amp; OtherInsurance as % of Total Gross Profit</v>
      </c>
      <c r="R1983" s="80" t="e" cm="1">
        <f t="array" ref="R1983">_xlfn.IFS(P1983="Service", _xlfn.IFS(I1983="SALES","GP",I1983="SERVICE SALES","GP",I1983="PARTS SALES","GP",I1983="SERVICE COS","GP",I1983="PARTS COS","GP",I1983="SELLING EXPENSES","Selling Expenses",I1983="EMPLOYMENT EXPENSES","Selling Expenses",I1983="EMPLOYMENT EXPENSES","Selling Expenses",I1983="DIRECT EXPENSES","Selling Expenses",I1983="INDIRECT EXPENSES","Selling Expenses"),P1983="Parts",_xlfn.IFS(I1983="SALES","GP",I1983="SERVICE SALES","GP",I1983="PARTS SALES","GP",I1983="SERVICE COS","GP",I1983="PARTS COS","GP",I1983="SELLING EXPENSES","Selling Expenses",I1983="EMPLOYMENT EXPENSES","Selling Expenses",I1983="EMPLOYMENT EXPENSES","Selling Expenses",I1983="DIRECT EXPENSES","Selling Expenses",I1983="INDIRECT EXPENSES","Selling Expenses"))</f>
        <v>#N/A</v>
      </c>
    </row>
    <row r="1984" spans="1:18" x14ac:dyDescent="0.2">
      <c r="A1984" s="75">
        <v>7845</v>
      </c>
      <c r="B1984" s="76" t="s">
        <v>980</v>
      </c>
      <c r="C1984" s="76">
        <v>147</v>
      </c>
      <c r="D1984" s="76" t="s">
        <v>699</v>
      </c>
      <c r="E1984" s="76" t="s">
        <v>426</v>
      </c>
      <c r="F1984" s="77">
        <v>0</v>
      </c>
      <c r="G1984" s="77">
        <v>0</v>
      </c>
      <c r="H1984" s="77">
        <v>0</v>
      </c>
      <c r="I1984" s="76" t="s">
        <v>968</v>
      </c>
      <c r="J1984" s="77">
        <v>100</v>
      </c>
      <c r="K1984" s="78">
        <v>1000</v>
      </c>
      <c r="M1984" s="79" t="str">
        <f t="shared" si="94"/>
        <v>147-7845</v>
      </c>
      <c r="N1984" s="79" t="str">
        <f t="shared" si="90"/>
        <v/>
      </c>
      <c r="O1984" s="79" t="str">
        <f t="shared" si="93"/>
        <v>147</v>
      </c>
      <c r="P1984" s="79" t="str">
        <f>IFERROR(VLOOKUP($M1984,Export!$P:$R,2,FALSE),"-")</f>
        <v>Admin &amp; Other</v>
      </c>
      <c r="Q1984" s="79" t="str">
        <f>IFERROR(VLOOKUP($M1984,Export!$P:$R,3,FALSE),"-")</f>
        <v>Admin &amp; OtherInsurance as % of Total Gross Profit</v>
      </c>
      <c r="R1984" s="80" t="e" cm="1">
        <f t="array" ref="R1984">_xlfn.IFS(P1984="Service", _xlfn.IFS(I1984="SALES","GP",I1984="SERVICE SALES","GP",I1984="PARTS SALES","GP",I1984="SERVICE COS","GP",I1984="PARTS COS","GP",I1984="SELLING EXPENSES","Selling Expenses",I1984="EMPLOYMENT EXPENSES","Selling Expenses",I1984="EMPLOYMENT EXPENSES","Selling Expenses",I1984="DIRECT EXPENSES","Selling Expenses",I1984="INDIRECT EXPENSES","Selling Expenses"),P1984="Parts",_xlfn.IFS(I1984="SALES","GP",I1984="SERVICE SALES","GP",I1984="PARTS SALES","GP",I1984="SERVICE COS","GP",I1984="PARTS COS","GP",I1984="SELLING EXPENSES","Selling Expenses",I1984="EMPLOYMENT EXPENSES","Selling Expenses",I1984="EMPLOYMENT EXPENSES","Selling Expenses",I1984="DIRECT EXPENSES","Selling Expenses",I1984="INDIRECT EXPENSES","Selling Expenses"))</f>
        <v>#N/A</v>
      </c>
    </row>
    <row r="1985" spans="1:18" x14ac:dyDescent="0.2">
      <c r="A1985" s="75">
        <v>7845</v>
      </c>
      <c r="B1985" s="76" t="s">
        <v>980</v>
      </c>
      <c r="C1985" s="76">
        <v>190</v>
      </c>
      <c r="D1985" s="76" t="s">
        <v>435</v>
      </c>
      <c r="E1985" s="76" t="s">
        <v>426</v>
      </c>
      <c r="F1985" s="77">
        <v>2920.93</v>
      </c>
      <c r="G1985" s="77">
        <v>0</v>
      </c>
      <c r="H1985" s="77">
        <v>2920.93</v>
      </c>
      <c r="I1985" s="76" t="s">
        <v>968</v>
      </c>
      <c r="J1985" s="77">
        <v>0</v>
      </c>
      <c r="K1985" s="78">
        <v>0</v>
      </c>
      <c r="M1985" s="79" t="str">
        <f t="shared" si="94"/>
        <v>190-7845</v>
      </c>
      <c r="N1985" s="79" t="str">
        <f t="shared" si="90"/>
        <v/>
      </c>
      <c r="O1985" s="79" t="str">
        <f t="shared" si="93"/>
        <v>190</v>
      </c>
      <c r="P1985" s="79" t="str">
        <f>IFERROR(VLOOKUP($M1985,Export!$P:$R,2,FALSE),"-")</f>
        <v>Admin &amp; Other</v>
      </c>
      <c r="Q1985" s="79" t="str">
        <f>IFERROR(VLOOKUP($M1985,Export!$P:$R,3,FALSE),"-")</f>
        <v>Admin &amp; OtherInsurance as % of Total Gross Profit</v>
      </c>
      <c r="R1985" s="80" t="e" cm="1">
        <f t="array" ref="R1985">_xlfn.IFS(P1985="Service", _xlfn.IFS(I1985="SALES","GP",I1985="SERVICE SALES","GP",I1985="PARTS SALES","GP",I1985="SERVICE COS","GP",I1985="PARTS COS","GP",I1985="SELLING EXPENSES","Selling Expenses",I1985="EMPLOYMENT EXPENSES","Selling Expenses",I1985="EMPLOYMENT EXPENSES","Selling Expenses",I1985="DIRECT EXPENSES","Selling Expenses",I1985="INDIRECT EXPENSES","Selling Expenses"),P1985="Parts",_xlfn.IFS(I1985="SALES","GP",I1985="SERVICE SALES","GP",I1985="PARTS SALES","GP",I1985="SERVICE COS","GP",I1985="PARTS COS","GP",I1985="SELLING EXPENSES","Selling Expenses",I1985="EMPLOYMENT EXPENSES","Selling Expenses",I1985="EMPLOYMENT EXPENSES","Selling Expenses",I1985="DIRECT EXPENSES","Selling Expenses",I1985="INDIRECT EXPENSES","Selling Expenses"))</f>
        <v>#N/A</v>
      </c>
    </row>
    <row r="1986" spans="1:18" x14ac:dyDescent="0.2">
      <c r="A1986" s="75">
        <v>7845</v>
      </c>
      <c r="B1986" s="76" t="s">
        <v>980</v>
      </c>
      <c r="C1986" s="76">
        <v>210</v>
      </c>
      <c r="D1986" s="76" t="s">
        <v>436</v>
      </c>
      <c r="E1986" s="76" t="s">
        <v>426</v>
      </c>
      <c r="F1986" s="77">
        <v>0</v>
      </c>
      <c r="G1986" s="77">
        <v>0</v>
      </c>
      <c r="H1986" s="77">
        <v>0</v>
      </c>
      <c r="I1986" s="76" t="s">
        <v>968</v>
      </c>
      <c r="J1986" s="77">
        <v>400</v>
      </c>
      <c r="K1986" s="78">
        <v>4800</v>
      </c>
      <c r="M1986" s="79" t="str">
        <f t="shared" si="94"/>
        <v>210-7845</v>
      </c>
      <c r="N1986" s="79" t="str">
        <f t="shared" ref="N1986:N1996" si="95">+IF(RIGHT(A1986,1)="#","#","")</f>
        <v/>
      </c>
      <c r="O1986" s="79" t="str">
        <f t="shared" si="93"/>
        <v>210</v>
      </c>
      <c r="P1986" s="79" t="str">
        <f>IFERROR(VLOOKUP($M1986,Export!$P:$R,2,FALSE),"-")</f>
        <v>Admin &amp; Other</v>
      </c>
      <c r="Q1986" s="79" t="str">
        <f>IFERROR(VLOOKUP($M1986,Export!$P:$R,3,FALSE),"-")</f>
        <v>Admin &amp; OtherInsurance as % of Total Gross Profit</v>
      </c>
      <c r="R1986" s="80" t="e" cm="1">
        <f t="array" ref="R1986">_xlfn.IFS(P1986="Service", _xlfn.IFS(I1986="SALES","GP",I1986="SERVICE SALES","GP",I1986="PARTS SALES","GP",I1986="SERVICE COS","GP",I1986="PARTS COS","GP",I1986="SELLING EXPENSES","Selling Expenses",I1986="EMPLOYMENT EXPENSES","Selling Expenses",I1986="EMPLOYMENT EXPENSES","Selling Expenses",I1986="DIRECT EXPENSES","Selling Expenses",I1986="INDIRECT EXPENSES","Selling Expenses"),P1986="Parts",_xlfn.IFS(I1986="SALES","GP",I1986="SERVICE SALES","GP",I1986="PARTS SALES","GP",I1986="SERVICE COS","GP",I1986="PARTS COS","GP",I1986="SELLING EXPENSES","Selling Expenses",I1986="EMPLOYMENT EXPENSES","Selling Expenses",I1986="EMPLOYMENT EXPENSES","Selling Expenses",I1986="DIRECT EXPENSES","Selling Expenses",I1986="INDIRECT EXPENSES","Selling Expenses"))</f>
        <v>#N/A</v>
      </c>
    </row>
    <row r="1987" spans="1:18" x14ac:dyDescent="0.2">
      <c r="A1987" s="75">
        <v>7845</v>
      </c>
      <c r="B1987" s="76" t="s">
        <v>980</v>
      </c>
      <c r="C1987" s="76">
        <v>220</v>
      </c>
      <c r="D1987" s="76" t="s">
        <v>437</v>
      </c>
      <c r="E1987" s="76" t="s">
        <v>426</v>
      </c>
      <c r="F1987" s="77">
        <v>0</v>
      </c>
      <c r="G1987" s="77">
        <v>0</v>
      </c>
      <c r="H1987" s="77">
        <v>0</v>
      </c>
      <c r="I1987" s="76" t="s">
        <v>968</v>
      </c>
      <c r="J1987" s="77">
        <v>200</v>
      </c>
      <c r="K1987" s="78">
        <v>2500</v>
      </c>
      <c r="M1987" s="79" t="str">
        <f t="shared" si="94"/>
        <v>220-7845</v>
      </c>
      <c r="N1987" s="79" t="str">
        <f t="shared" si="95"/>
        <v/>
      </c>
      <c r="O1987" s="79" t="str">
        <f t="shared" si="93"/>
        <v>220</v>
      </c>
      <c r="P1987" s="79" t="str">
        <f>IFERROR(VLOOKUP($M1987,Export!$P:$R,2,FALSE),"-")</f>
        <v>Admin &amp; Other</v>
      </c>
      <c r="Q1987" s="79" t="str">
        <f>IFERROR(VLOOKUP($M1987,Export!$P:$R,3,FALSE),"-")</f>
        <v>Admin &amp; OtherInsurance as % of Total Gross Profit</v>
      </c>
      <c r="R1987" s="80" t="e" cm="1">
        <f t="array" ref="R1987">_xlfn.IFS(P1987="Service", _xlfn.IFS(I1987="SALES","GP",I1987="SERVICE SALES","GP",I1987="PARTS SALES","GP",I1987="SERVICE COS","GP",I1987="PARTS COS","GP",I1987="SELLING EXPENSES","Selling Expenses",I1987="EMPLOYMENT EXPENSES","Selling Expenses",I1987="EMPLOYMENT EXPENSES","Selling Expenses",I1987="DIRECT EXPENSES","Selling Expenses",I1987="INDIRECT EXPENSES","Selling Expenses"),P1987="Parts",_xlfn.IFS(I1987="SALES","GP",I1987="SERVICE SALES","GP",I1987="PARTS SALES","GP",I1987="SERVICE COS","GP",I1987="PARTS COS","GP",I1987="SELLING EXPENSES","Selling Expenses",I1987="EMPLOYMENT EXPENSES","Selling Expenses",I1987="EMPLOYMENT EXPENSES","Selling Expenses",I1987="DIRECT EXPENSES","Selling Expenses",I1987="INDIRECT EXPENSES","Selling Expenses"))</f>
        <v>#N/A</v>
      </c>
    </row>
    <row r="1988" spans="1:18" x14ac:dyDescent="0.2">
      <c r="A1988" s="75">
        <v>7845</v>
      </c>
      <c r="B1988" s="76" t="s">
        <v>980</v>
      </c>
      <c r="C1988" s="76">
        <v>230</v>
      </c>
      <c r="D1988" s="76" t="s">
        <v>438</v>
      </c>
      <c r="E1988" s="76" t="s">
        <v>426</v>
      </c>
      <c r="F1988" s="77">
        <v>0</v>
      </c>
      <c r="G1988" s="77">
        <v>0</v>
      </c>
      <c r="H1988" s="77">
        <v>0</v>
      </c>
      <c r="I1988" s="76" t="s">
        <v>968</v>
      </c>
      <c r="J1988" s="77">
        <v>200</v>
      </c>
      <c r="K1988" s="78">
        <v>2400</v>
      </c>
      <c r="M1988" s="79" t="str">
        <f t="shared" si="94"/>
        <v>230-7845</v>
      </c>
      <c r="N1988" s="79" t="str">
        <f t="shared" si="95"/>
        <v/>
      </c>
      <c r="O1988" s="79" t="str">
        <f t="shared" si="93"/>
        <v>230</v>
      </c>
      <c r="P1988" s="79" t="str">
        <f>IFERROR(VLOOKUP($M1988,Export!$P:$R,2,FALSE),"-")</f>
        <v>Admin &amp; Other</v>
      </c>
      <c r="Q1988" s="79" t="str">
        <f>IFERROR(VLOOKUP($M1988,Export!$P:$R,3,FALSE),"-")</f>
        <v>Admin &amp; OtherInsurance as % of Total Gross Profit</v>
      </c>
      <c r="R1988" s="80" t="e" cm="1">
        <f t="array" ref="R1988">_xlfn.IFS(P1988="Service", _xlfn.IFS(I1988="SALES","GP",I1988="SERVICE SALES","GP",I1988="PARTS SALES","GP",I1988="SERVICE COS","GP",I1988="PARTS COS","GP",I1988="SELLING EXPENSES","Selling Expenses",I1988="EMPLOYMENT EXPENSES","Selling Expenses",I1988="EMPLOYMENT EXPENSES","Selling Expenses",I1988="DIRECT EXPENSES","Selling Expenses",I1988="INDIRECT EXPENSES","Selling Expenses"),P1988="Parts",_xlfn.IFS(I1988="SALES","GP",I1988="SERVICE SALES","GP",I1988="PARTS SALES","GP",I1988="SERVICE COS","GP",I1988="PARTS COS","GP",I1988="SELLING EXPENSES","Selling Expenses",I1988="EMPLOYMENT EXPENSES","Selling Expenses",I1988="EMPLOYMENT EXPENSES","Selling Expenses",I1988="DIRECT EXPENSES","Selling Expenses",I1988="INDIRECT EXPENSES","Selling Expenses"))</f>
        <v>#N/A</v>
      </c>
    </row>
    <row r="1989" spans="1:18" x14ac:dyDescent="0.2">
      <c r="A1989" s="75">
        <v>7845</v>
      </c>
      <c r="B1989" s="76" t="s">
        <v>980</v>
      </c>
      <c r="C1989" s="76">
        <v>240</v>
      </c>
      <c r="D1989" s="76" t="s">
        <v>439</v>
      </c>
      <c r="E1989" s="76" t="s">
        <v>426</v>
      </c>
      <c r="F1989" s="77">
        <v>80.87</v>
      </c>
      <c r="G1989" s="77">
        <v>0</v>
      </c>
      <c r="H1989" s="77">
        <v>80.87</v>
      </c>
      <c r="I1989" s="76" t="s">
        <v>968</v>
      </c>
      <c r="J1989" s="77">
        <v>1000</v>
      </c>
      <c r="K1989" s="78">
        <v>8050</v>
      </c>
      <c r="M1989" s="79" t="str">
        <f t="shared" si="94"/>
        <v>240-7845</v>
      </c>
      <c r="N1989" s="79" t="str">
        <f t="shared" si="95"/>
        <v/>
      </c>
      <c r="O1989" s="79" t="str">
        <f t="shared" si="93"/>
        <v>240</v>
      </c>
      <c r="P1989" s="79" t="str">
        <f>IFERROR(VLOOKUP($M1989,Export!$P:$R,2,FALSE),"-")</f>
        <v>Admin &amp; Other</v>
      </c>
      <c r="Q1989" s="79" t="str">
        <f>IFERROR(VLOOKUP($M1989,Export!$P:$R,3,FALSE),"-")</f>
        <v>Admin &amp; OtherInsurance as % of Total Gross Profit</v>
      </c>
      <c r="R1989" s="80" t="e" cm="1">
        <f t="array" ref="R1989">_xlfn.IFS(P1989="Service", _xlfn.IFS(I1989="SALES","GP",I1989="SERVICE SALES","GP",I1989="PARTS SALES","GP",I1989="SERVICE COS","GP",I1989="PARTS COS","GP",I1989="SELLING EXPENSES","Selling Expenses",I1989="EMPLOYMENT EXPENSES","Selling Expenses",I1989="EMPLOYMENT EXPENSES","Selling Expenses",I1989="DIRECT EXPENSES","Selling Expenses",I1989="INDIRECT EXPENSES","Selling Expenses"),P1989="Parts",_xlfn.IFS(I1989="SALES","GP",I1989="SERVICE SALES","GP",I1989="PARTS SALES","GP",I1989="SERVICE COS","GP",I1989="PARTS COS","GP",I1989="SELLING EXPENSES","Selling Expenses",I1989="EMPLOYMENT EXPENSES","Selling Expenses",I1989="EMPLOYMENT EXPENSES","Selling Expenses",I1989="DIRECT EXPENSES","Selling Expenses",I1989="INDIRECT EXPENSES","Selling Expenses"))</f>
        <v>#N/A</v>
      </c>
    </row>
    <row r="1990" spans="1:18" x14ac:dyDescent="0.2">
      <c r="A1990" s="75">
        <v>7845</v>
      </c>
      <c r="B1990" s="76" t="s">
        <v>980</v>
      </c>
      <c r="C1990" s="76">
        <v>340</v>
      </c>
      <c r="D1990" s="76" t="s">
        <v>440</v>
      </c>
      <c r="E1990" s="76" t="s">
        <v>426</v>
      </c>
      <c r="F1990" s="77">
        <v>0</v>
      </c>
      <c r="G1990" s="77">
        <v>0</v>
      </c>
      <c r="H1990" s="77">
        <v>0</v>
      </c>
      <c r="I1990" s="76" t="s">
        <v>968</v>
      </c>
      <c r="J1990" s="77">
        <v>100</v>
      </c>
      <c r="K1990" s="78">
        <v>600</v>
      </c>
      <c r="M1990" s="79" t="str">
        <f t="shared" si="94"/>
        <v>340-7845</v>
      </c>
      <c r="N1990" s="79" t="str">
        <f t="shared" si="95"/>
        <v/>
      </c>
      <c r="O1990" s="79" t="str">
        <f t="shared" si="93"/>
        <v>340</v>
      </c>
      <c r="P1990" s="79" t="str">
        <f>IFERROR(VLOOKUP($M1990,Export!$P:$R,2,FALSE),"-")</f>
        <v>Admin &amp; Other</v>
      </c>
      <c r="Q1990" s="79" t="str">
        <f>IFERROR(VLOOKUP($M1990,Export!$P:$R,3,FALSE),"-")</f>
        <v>Admin &amp; OtherInsurance as % of Total Gross Profit</v>
      </c>
      <c r="R1990" s="80" t="e" cm="1">
        <f t="array" ref="R1990">_xlfn.IFS(P1990="Service", _xlfn.IFS(I1990="SALES","GP",I1990="SERVICE SALES","GP",I1990="PARTS SALES","GP",I1990="SERVICE COS","GP",I1990="PARTS COS","GP",I1990="SELLING EXPENSES","Selling Expenses",I1990="EMPLOYMENT EXPENSES","Selling Expenses",I1990="EMPLOYMENT EXPENSES","Selling Expenses",I1990="DIRECT EXPENSES","Selling Expenses",I1990="INDIRECT EXPENSES","Selling Expenses"),P1990="Parts",_xlfn.IFS(I1990="SALES","GP",I1990="SERVICE SALES","GP",I1990="PARTS SALES","GP",I1990="SERVICE COS","GP",I1990="PARTS COS","GP",I1990="SELLING EXPENSES","Selling Expenses",I1990="EMPLOYMENT EXPENSES","Selling Expenses",I1990="EMPLOYMENT EXPENSES","Selling Expenses",I1990="DIRECT EXPENSES","Selling Expenses",I1990="INDIRECT EXPENSES","Selling Expenses"))</f>
        <v>#N/A</v>
      </c>
    </row>
    <row r="1991" spans="1:18" x14ac:dyDescent="0.2">
      <c r="A1991" s="75">
        <v>7900</v>
      </c>
      <c r="B1991" s="76" t="s">
        <v>981</v>
      </c>
      <c r="C1991" s="76">
        <v>110</v>
      </c>
      <c r="D1991" s="76" t="s">
        <v>430</v>
      </c>
      <c r="E1991" s="76" t="s">
        <v>426</v>
      </c>
      <c r="F1991" s="77">
        <v>319.2</v>
      </c>
      <c r="G1991" s="77">
        <v>0</v>
      </c>
      <c r="H1991" s="77">
        <v>319.2</v>
      </c>
      <c r="I1991" s="76" t="s">
        <v>968</v>
      </c>
      <c r="J1991" s="77">
        <v>0</v>
      </c>
      <c r="K1991" s="78">
        <v>0</v>
      </c>
      <c r="M1991" s="79" t="str">
        <f t="shared" si="94"/>
        <v>110-7900</v>
      </c>
      <c r="N1991" s="79" t="str">
        <f t="shared" si="95"/>
        <v/>
      </c>
      <c r="O1991" s="79" t="str">
        <f t="shared" si="93"/>
        <v>110</v>
      </c>
      <c r="P1991" s="79" t="str">
        <f>IFERROR(VLOOKUP($M1991,Export!$P:$R,2,FALSE),"-")</f>
        <v>Admin &amp; Other</v>
      </c>
      <c r="Q1991" s="79" t="str">
        <f>IFERROR(VLOOKUP($M1991,Export!$P:$R,3,FALSE),"-")</f>
        <v>Admin &amp; OtherProfessional Fees as % of Total Gross Profit</v>
      </c>
      <c r="R1991" s="80" t="e" cm="1">
        <f t="array" ref="R1991">_xlfn.IFS(P1991="Service", _xlfn.IFS(I1991="SALES","GP",I1991="SERVICE SALES","GP",I1991="PARTS SALES","GP",I1991="SERVICE COS","GP",I1991="PARTS COS","GP",I1991="SELLING EXPENSES","Selling Expenses",I1991="EMPLOYMENT EXPENSES","Selling Expenses",I1991="EMPLOYMENT EXPENSES","Selling Expenses",I1991="DIRECT EXPENSES","Selling Expenses",I1991="INDIRECT EXPENSES","Selling Expenses"),P1991="Parts",_xlfn.IFS(I1991="SALES","GP",I1991="SERVICE SALES","GP",I1991="PARTS SALES","GP",I1991="SERVICE COS","GP",I1991="PARTS COS","GP",I1991="SELLING EXPENSES","Selling Expenses",I1991="EMPLOYMENT EXPENSES","Selling Expenses",I1991="EMPLOYMENT EXPENSES","Selling Expenses",I1991="DIRECT EXPENSES","Selling Expenses",I1991="INDIRECT EXPENSES","Selling Expenses"))</f>
        <v>#N/A</v>
      </c>
    </row>
    <row r="1992" spans="1:18" x14ac:dyDescent="0.2">
      <c r="A1992" s="75">
        <v>7900</v>
      </c>
      <c r="B1992" s="76" t="s">
        <v>981</v>
      </c>
      <c r="C1992" s="76">
        <v>112</v>
      </c>
      <c r="D1992" s="76" t="s">
        <v>349</v>
      </c>
      <c r="E1992" s="76" t="s">
        <v>426</v>
      </c>
      <c r="F1992" s="77">
        <v>159.6</v>
      </c>
      <c r="G1992" s="77">
        <v>0</v>
      </c>
      <c r="H1992" s="77">
        <v>159.6</v>
      </c>
      <c r="I1992" s="76" t="s">
        <v>968</v>
      </c>
      <c r="J1992" s="77">
        <v>0</v>
      </c>
      <c r="K1992" s="78">
        <v>0</v>
      </c>
      <c r="M1992" s="79" t="str">
        <f t="shared" si="94"/>
        <v>112-7900</v>
      </c>
      <c r="N1992" s="79" t="str">
        <f t="shared" si="95"/>
        <v/>
      </c>
      <c r="O1992" s="79" t="str">
        <f t="shared" si="93"/>
        <v>112</v>
      </c>
      <c r="P1992" s="79" t="str">
        <f>IFERROR(VLOOKUP($M1992,Export!$P:$R,2,FALSE),"-")</f>
        <v>LEX Admin &amp; Other</v>
      </c>
      <c r="Q1992" s="79" t="str">
        <f>IFERROR(VLOOKUP($M1992,Export!$P:$R,3,FALSE),"-")</f>
        <v>LEX Admin &amp; OtherProfessional Fees as % of Total Gross Profit</v>
      </c>
      <c r="R1992" s="80" t="e" cm="1">
        <f t="array" ref="R1992">_xlfn.IFS(P1992="Service", _xlfn.IFS(I1992="SALES","GP",I1992="SERVICE SALES","GP",I1992="PARTS SALES","GP",I1992="SERVICE COS","GP",I1992="PARTS COS","GP",I1992="SELLING EXPENSES","Selling Expenses",I1992="EMPLOYMENT EXPENSES","Selling Expenses",I1992="EMPLOYMENT EXPENSES","Selling Expenses",I1992="DIRECT EXPENSES","Selling Expenses",I1992="INDIRECT EXPENSES","Selling Expenses"),P1992="Parts",_xlfn.IFS(I1992="SALES","GP",I1992="SERVICE SALES","GP",I1992="PARTS SALES","GP",I1992="SERVICE COS","GP",I1992="PARTS COS","GP",I1992="SELLING EXPENSES","Selling Expenses",I1992="EMPLOYMENT EXPENSES","Selling Expenses",I1992="EMPLOYMENT EXPENSES","Selling Expenses",I1992="DIRECT EXPENSES","Selling Expenses",I1992="INDIRECT EXPENSES","Selling Expenses"))</f>
        <v>#N/A</v>
      </c>
    </row>
    <row r="1993" spans="1:18" x14ac:dyDescent="0.2">
      <c r="A1993" s="75">
        <v>7900</v>
      </c>
      <c r="B1993" s="76" t="s">
        <v>981</v>
      </c>
      <c r="C1993" s="76">
        <v>120</v>
      </c>
      <c r="D1993" s="76" t="s">
        <v>431</v>
      </c>
      <c r="E1993" s="76" t="s">
        <v>426</v>
      </c>
      <c r="F1993" s="77">
        <v>106.4</v>
      </c>
      <c r="G1993" s="77">
        <v>0</v>
      </c>
      <c r="H1993" s="77">
        <v>106.4</v>
      </c>
      <c r="I1993" s="76" t="s">
        <v>968</v>
      </c>
      <c r="J1993" s="77">
        <v>0</v>
      </c>
      <c r="K1993" s="78">
        <v>0</v>
      </c>
      <c r="M1993" s="79" t="str">
        <f t="shared" si="94"/>
        <v>120-7900</v>
      </c>
      <c r="N1993" s="79" t="str">
        <f t="shared" si="95"/>
        <v/>
      </c>
      <c r="O1993" s="79" t="str">
        <f t="shared" si="93"/>
        <v>120</v>
      </c>
      <c r="P1993" s="79" t="str">
        <f>IFERROR(VLOOKUP($M1993,Export!$P:$R,2,FALSE),"-")</f>
        <v>Admin &amp; Other</v>
      </c>
      <c r="Q1993" s="79" t="str">
        <f>IFERROR(VLOOKUP($M1993,Export!$P:$R,3,FALSE),"-")</f>
        <v>Admin &amp; OtherProfessional Fees as % of Total Gross Profit</v>
      </c>
      <c r="R1993" s="80" t="e" cm="1">
        <f t="array" ref="R1993">_xlfn.IFS(P1993="Service", _xlfn.IFS(I1993="SALES","GP",I1993="SERVICE SALES","GP",I1993="PARTS SALES","GP",I1993="SERVICE COS","GP",I1993="PARTS COS","GP",I1993="SELLING EXPENSES","Selling Expenses",I1993="EMPLOYMENT EXPENSES","Selling Expenses",I1993="EMPLOYMENT EXPENSES","Selling Expenses",I1993="DIRECT EXPENSES","Selling Expenses",I1993="INDIRECT EXPENSES","Selling Expenses"),P1993="Parts",_xlfn.IFS(I1993="SALES","GP",I1993="SERVICE SALES","GP",I1993="PARTS SALES","GP",I1993="SERVICE COS","GP",I1993="PARTS COS","GP",I1993="SELLING EXPENSES","Selling Expenses",I1993="EMPLOYMENT EXPENSES","Selling Expenses",I1993="EMPLOYMENT EXPENSES","Selling Expenses",I1993="DIRECT EXPENSES","Selling Expenses",I1993="INDIRECT EXPENSES","Selling Expenses"))</f>
        <v>#N/A</v>
      </c>
    </row>
    <row r="1994" spans="1:18" x14ac:dyDescent="0.2">
      <c r="A1994" s="75">
        <v>7900</v>
      </c>
      <c r="B1994" s="76" t="s">
        <v>981</v>
      </c>
      <c r="C1994" s="76">
        <v>121</v>
      </c>
      <c r="D1994" s="76" t="s">
        <v>449</v>
      </c>
      <c r="E1994" s="76" t="s">
        <v>426</v>
      </c>
      <c r="F1994" s="77">
        <v>53.2</v>
      </c>
      <c r="G1994" s="77">
        <v>0</v>
      </c>
      <c r="H1994" s="77">
        <v>53.2</v>
      </c>
      <c r="I1994" s="76" t="s">
        <v>968</v>
      </c>
      <c r="J1994" s="77">
        <v>0</v>
      </c>
      <c r="K1994" s="78">
        <v>0</v>
      </c>
      <c r="M1994" s="79" t="str">
        <f t="shared" si="94"/>
        <v>121-7900</v>
      </c>
      <c r="N1994" s="79" t="str">
        <f t="shared" si="95"/>
        <v/>
      </c>
      <c r="O1994" s="79" t="str">
        <f t="shared" si="93"/>
        <v>121</v>
      </c>
      <c r="P1994" s="79" t="str">
        <f>IFERROR(VLOOKUP($M1994,Export!$P:$R,2,FALSE),"-")</f>
        <v>Admin &amp; Other</v>
      </c>
      <c r="Q1994" s="79" t="str">
        <f>IFERROR(VLOOKUP($M1994,Export!$P:$R,3,FALSE),"-")</f>
        <v>Admin &amp; OtherProfessional Fees as % of Total Gross Profit</v>
      </c>
      <c r="R1994" s="80" t="e" cm="1">
        <f t="array" ref="R1994">_xlfn.IFS(P1994="Service", _xlfn.IFS(I1994="SALES","GP",I1994="SERVICE SALES","GP",I1994="PARTS SALES","GP",I1994="SERVICE COS","GP",I1994="PARTS COS","GP",I1994="SELLING EXPENSES","Selling Expenses",I1994="EMPLOYMENT EXPENSES","Selling Expenses",I1994="EMPLOYMENT EXPENSES","Selling Expenses",I1994="DIRECT EXPENSES","Selling Expenses",I1994="INDIRECT EXPENSES","Selling Expenses"),P1994="Parts",_xlfn.IFS(I1994="SALES","GP",I1994="SERVICE SALES","GP",I1994="PARTS SALES","GP",I1994="SERVICE COS","GP",I1994="PARTS COS","GP",I1994="SELLING EXPENSES","Selling Expenses",I1994="EMPLOYMENT EXPENSES","Selling Expenses",I1994="EMPLOYMENT EXPENSES","Selling Expenses",I1994="DIRECT EXPENSES","Selling Expenses",I1994="INDIRECT EXPENSES","Selling Expenses"))</f>
        <v>#N/A</v>
      </c>
    </row>
    <row r="1995" spans="1:18" x14ac:dyDescent="0.2">
      <c r="A1995" s="75">
        <v>7900</v>
      </c>
      <c r="B1995" s="76" t="s">
        <v>981</v>
      </c>
      <c r="C1995" s="76">
        <v>130</v>
      </c>
      <c r="D1995" s="76" t="s">
        <v>432</v>
      </c>
      <c r="E1995" s="76" t="s">
        <v>426</v>
      </c>
      <c r="F1995" s="77">
        <v>425.6</v>
      </c>
      <c r="G1995" s="77">
        <v>0</v>
      </c>
      <c r="H1995" s="77">
        <v>425.6</v>
      </c>
      <c r="I1995" s="76" t="s">
        <v>968</v>
      </c>
      <c r="J1995" s="77">
        <v>0</v>
      </c>
      <c r="K1995" s="78">
        <v>0</v>
      </c>
      <c r="M1995" s="79" t="str">
        <f t="shared" si="94"/>
        <v>130-7900</v>
      </c>
      <c r="N1995" s="79" t="str">
        <f t="shared" si="95"/>
        <v/>
      </c>
      <c r="O1995" s="79" t="str">
        <f t="shared" si="93"/>
        <v>130</v>
      </c>
      <c r="P1995" s="79" t="str">
        <f>IFERROR(VLOOKUP($M1995,Export!$P:$R,2,FALSE),"-")</f>
        <v>Admin &amp; Other</v>
      </c>
      <c r="Q1995" s="79" t="str">
        <f>IFERROR(VLOOKUP($M1995,Export!$P:$R,3,FALSE),"-")</f>
        <v>Admin &amp; OtherProfessional Fees as % of Total Gross Profit</v>
      </c>
      <c r="R1995" s="80" t="e" cm="1">
        <f t="array" ref="R1995">_xlfn.IFS(P1995="Service", _xlfn.IFS(I1995="SALES","GP",I1995="SERVICE SALES","GP",I1995="PARTS SALES","GP",I1995="SERVICE COS","GP",I1995="PARTS COS","GP",I1995="SELLING EXPENSES","Selling Expenses",I1995="EMPLOYMENT EXPENSES","Selling Expenses",I1995="EMPLOYMENT EXPENSES","Selling Expenses",I1995="DIRECT EXPENSES","Selling Expenses",I1995="INDIRECT EXPENSES","Selling Expenses"),P1995="Parts",_xlfn.IFS(I1995="SALES","GP",I1995="SERVICE SALES","GP",I1995="PARTS SALES","GP",I1995="SERVICE COS","GP",I1995="PARTS COS","GP",I1995="SELLING EXPENSES","Selling Expenses",I1995="EMPLOYMENT EXPENSES","Selling Expenses",I1995="EMPLOYMENT EXPENSES","Selling Expenses",I1995="DIRECT EXPENSES","Selling Expenses",I1995="INDIRECT EXPENSES","Selling Expenses"))</f>
        <v>#N/A</v>
      </c>
    </row>
    <row r="1996" spans="1:18" x14ac:dyDescent="0.2">
      <c r="A1996" s="75">
        <v>7900</v>
      </c>
      <c r="B1996" s="76" t="s">
        <v>981</v>
      </c>
      <c r="C1996" s="76">
        <v>140</v>
      </c>
      <c r="D1996" s="76" t="s">
        <v>433</v>
      </c>
      <c r="E1996" s="76" t="s">
        <v>426</v>
      </c>
      <c r="F1996" s="77">
        <v>1010.8</v>
      </c>
      <c r="G1996" s="77">
        <v>0</v>
      </c>
      <c r="H1996" s="77">
        <v>1010.8</v>
      </c>
      <c r="I1996" s="76" t="s">
        <v>968</v>
      </c>
      <c r="J1996" s="77">
        <v>0</v>
      </c>
      <c r="K1996" s="78">
        <v>0</v>
      </c>
      <c r="M1996" s="79" t="str">
        <f t="shared" si="94"/>
        <v>140-7900</v>
      </c>
      <c r="N1996" s="79" t="str">
        <f t="shared" si="95"/>
        <v/>
      </c>
      <c r="O1996" s="79" t="str">
        <f t="shared" si="93"/>
        <v>140</v>
      </c>
      <c r="P1996" s="79" t="str">
        <f>IFERROR(VLOOKUP($M1996,Export!$P:$R,2,FALSE),"-")</f>
        <v>Admin &amp; Other</v>
      </c>
      <c r="Q1996" s="79" t="str">
        <f>IFERROR(VLOOKUP($M1996,Export!$P:$R,3,FALSE),"-")</f>
        <v>Admin &amp; OtherProfessional Fees as % of Total Gross Profit</v>
      </c>
      <c r="R1996" s="80" t="e" cm="1">
        <f t="array" ref="R1996">_xlfn.IFS(P1996="Service", _xlfn.IFS(I1996="SALES","GP",I1996="SERVICE SALES","GP",I1996="PARTS SALES","GP",I1996="SERVICE COS","GP",I1996="PARTS COS","GP",I1996="SELLING EXPENSES","Selling Expenses",I1996="EMPLOYMENT EXPENSES","Selling Expenses",I1996="EMPLOYMENT EXPENSES","Selling Expenses",I1996="DIRECT EXPENSES","Selling Expenses",I1996="INDIRECT EXPENSES","Selling Expenses"),P1996="Parts",_xlfn.IFS(I1996="SALES","GP",I1996="SERVICE SALES","GP",I1996="PARTS SALES","GP",I1996="SERVICE COS","GP",I1996="PARTS COS","GP",I1996="SELLING EXPENSES","Selling Expenses",I1996="EMPLOYMENT EXPENSES","Selling Expenses",I1996="EMPLOYMENT EXPENSES","Selling Expenses",I1996="DIRECT EXPENSES","Selling Expenses",I1996="INDIRECT EXPENSES","Selling Expenses"))</f>
        <v>#N/A</v>
      </c>
    </row>
    <row r="1997" spans="1:18" x14ac:dyDescent="0.2">
      <c r="A1997" s="75">
        <v>7900</v>
      </c>
      <c r="B1997" s="76" t="s">
        <v>981</v>
      </c>
      <c r="C1997" s="76">
        <v>142</v>
      </c>
      <c r="D1997" s="76" t="s">
        <v>454</v>
      </c>
      <c r="E1997" s="76" t="s">
        <v>426</v>
      </c>
      <c r="F1997" s="77">
        <v>483.25</v>
      </c>
      <c r="G1997" s="77">
        <v>0</v>
      </c>
      <c r="H1997" s="77">
        <v>483.25</v>
      </c>
      <c r="I1997" s="76" t="s">
        <v>968</v>
      </c>
      <c r="J1997" s="77">
        <v>0</v>
      </c>
      <c r="K1997" s="78">
        <v>0</v>
      </c>
      <c r="M1997" s="79" t="str">
        <f t="shared" si="94"/>
        <v>142-7900</v>
      </c>
      <c r="O1997" s="79" t="str">
        <f t="shared" si="93"/>
        <v>142</v>
      </c>
      <c r="P1997" s="79" t="str">
        <f>IFERROR(VLOOKUP($M1997,Export!$P:$R,2,FALSE),"-")</f>
        <v>LEX Admin &amp; Other</v>
      </c>
      <c r="Q1997" s="79" t="str">
        <f>IFERROR(VLOOKUP($M1997,Export!$P:$R,3,FALSE),"-")</f>
        <v>LEX Admin &amp; OtherProfessional Fees as % of Total Gross Profit</v>
      </c>
      <c r="R1997" s="80" t="e" cm="1">
        <f t="array" ref="R1997">_xlfn.IFS(P1997="Service", _xlfn.IFS(I1997="SALES","GP",I1997="SERVICE SALES","GP",I1997="PARTS SALES","GP",I1997="SERVICE COS","GP",I1997="PARTS COS","GP",I1997="SELLING EXPENSES","Selling Expenses",I1997="EMPLOYMENT EXPENSES","Selling Expenses",I1997="EMPLOYMENT EXPENSES","Selling Expenses",I1997="DIRECT EXPENSES","Selling Expenses",I1997="INDIRECT EXPENSES","Selling Expenses"),P1997="Parts",_xlfn.IFS(I1997="SALES","GP",I1997="SERVICE SALES","GP",I1997="PARTS SALES","GP",I1997="SERVICE COS","GP",I1997="PARTS COS","GP",I1997="SELLING EXPENSES","Selling Expenses",I1997="EMPLOYMENT EXPENSES","Selling Expenses",I1997="EMPLOYMENT EXPENSES","Selling Expenses",I1997="DIRECT EXPENSES","Selling Expenses",I1997="INDIRECT EXPENSES","Selling Expenses"))</f>
        <v>#N/A</v>
      </c>
    </row>
    <row r="1998" spans="1:18" x14ac:dyDescent="0.2">
      <c r="A1998" s="75">
        <v>7900</v>
      </c>
      <c r="B1998" s="76" t="s">
        <v>981</v>
      </c>
      <c r="C1998" s="76">
        <v>150</v>
      </c>
      <c r="D1998" s="76" t="s">
        <v>700</v>
      </c>
      <c r="E1998" s="76" t="s">
        <v>426</v>
      </c>
      <c r="F1998" s="77">
        <v>367.95</v>
      </c>
      <c r="G1998" s="77">
        <v>0</v>
      </c>
      <c r="H1998" s="77">
        <v>367.95</v>
      </c>
      <c r="I1998" s="76" t="s">
        <v>968</v>
      </c>
      <c r="J1998" s="77">
        <v>0</v>
      </c>
      <c r="K1998" s="78">
        <v>0</v>
      </c>
      <c r="M1998" s="79" t="str">
        <f t="shared" si="94"/>
        <v>150-7900</v>
      </c>
      <c r="O1998" s="79" t="str">
        <f t="shared" si="93"/>
        <v>150</v>
      </c>
      <c r="P1998" s="79" t="str">
        <f>IFERROR(VLOOKUP($M1998,Export!$P:$R,2,FALSE),"-")</f>
        <v>LEX Admin &amp; Other</v>
      </c>
      <c r="Q1998" s="79" t="str">
        <f>IFERROR(VLOOKUP($M1998,Export!$P:$R,3,FALSE),"-")</f>
        <v>LEX Admin &amp; OtherProfessional Fees as % of Total Gross Profit</v>
      </c>
      <c r="R1998" s="80" t="e" cm="1">
        <f t="array" ref="R1998">_xlfn.IFS(P1998="Service", _xlfn.IFS(I1998="SALES","GP",I1998="SERVICE SALES","GP",I1998="PARTS SALES","GP",I1998="SERVICE COS","GP",I1998="PARTS COS","GP",I1998="SELLING EXPENSES","Selling Expenses",I1998="EMPLOYMENT EXPENSES","Selling Expenses",I1998="EMPLOYMENT EXPENSES","Selling Expenses",I1998="DIRECT EXPENSES","Selling Expenses",I1998="INDIRECT EXPENSES","Selling Expenses"),P1998="Parts",_xlfn.IFS(I1998="SALES","GP",I1998="SERVICE SALES","GP",I1998="PARTS SALES","GP",I1998="SERVICE COS","GP",I1998="PARTS COS","GP",I1998="SELLING EXPENSES","Selling Expenses",I1998="EMPLOYMENT EXPENSES","Selling Expenses",I1998="EMPLOYMENT EXPENSES","Selling Expenses",I1998="DIRECT EXPENSES","Selling Expenses",I1998="INDIRECT EXPENSES","Selling Expenses"))</f>
        <v>#N/A</v>
      </c>
    </row>
    <row r="1999" spans="1:18" x14ac:dyDescent="0.2">
      <c r="A1999" s="75">
        <v>7900</v>
      </c>
      <c r="B1999" s="76" t="s">
        <v>981</v>
      </c>
      <c r="C1999" s="76">
        <v>160</v>
      </c>
      <c r="D1999" s="76" t="s">
        <v>434</v>
      </c>
      <c r="E1999" s="76" t="s">
        <v>426</v>
      </c>
      <c r="F1999" s="77">
        <v>106.4</v>
      </c>
      <c r="G1999" s="77">
        <v>0</v>
      </c>
      <c r="H1999" s="77">
        <v>106.4</v>
      </c>
      <c r="I1999" s="76" t="s">
        <v>968</v>
      </c>
      <c r="J1999" s="77">
        <v>0</v>
      </c>
      <c r="K1999" s="78">
        <v>0</v>
      </c>
      <c r="M1999" s="79" t="str">
        <f t="shared" si="94"/>
        <v>160-7900</v>
      </c>
      <c r="O1999" s="79" t="str">
        <f t="shared" si="93"/>
        <v>160</v>
      </c>
      <c r="P1999" s="79" t="str">
        <f>IFERROR(VLOOKUP($M1999,Export!$P:$R,2,FALSE),"-")</f>
        <v>Admin &amp; Other</v>
      </c>
      <c r="Q1999" s="79" t="str">
        <f>IFERROR(VLOOKUP($M1999,Export!$P:$R,3,FALSE),"-")</f>
        <v>Admin &amp; OtherProfessional Fees as % of Total Gross Profit</v>
      </c>
      <c r="R1999" s="80" t="e" cm="1">
        <f t="array" ref="R1999">_xlfn.IFS(P1999="Service", _xlfn.IFS(I1999="SALES","GP",I1999="SERVICE SALES","GP",I1999="PARTS SALES","GP",I1999="SERVICE COS","GP",I1999="PARTS COS","GP",I1999="SELLING EXPENSES","Selling Expenses",I1999="EMPLOYMENT EXPENSES","Selling Expenses",I1999="EMPLOYMENT EXPENSES","Selling Expenses",I1999="DIRECT EXPENSES","Selling Expenses",I1999="INDIRECT EXPENSES","Selling Expenses"),P1999="Parts",_xlfn.IFS(I1999="SALES","GP",I1999="SERVICE SALES","GP",I1999="PARTS SALES","GP",I1999="SERVICE COS","GP",I1999="PARTS COS","GP",I1999="SELLING EXPENSES","Selling Expenses",I1999="EMPLOYMENT EXPENSES","Selling Expenses",I1999="EMPLOYMENT EXPENSES","Selling Expenses",I1999="DIRECT EXPENSES","Selling Expenses",I1999="INDIRECT EXPENSES","Selling Expenses"))</f>
        <v>#N/A</v>
      </c>
    </row>
    <row r="2000" spans="1:18" x14ac:dyDescent="0.2">
      <c r="A2000" s="75">
        <v>7900</v>
      </c>
      <c r="B2000" s="76" t="s">
        <v>981</v>
      </c>
      <c r="C2000" s="76">
        <v>210</v>
      </c>
      <c r="D2000" s="76" t="s">
        <v>436</v>
      </c>
      <c r="E2000" s="76" t="s">
        <v>426</v>
      </c>
      <c r="F2000" s="77">
        <v>159.6</v>
      </c>
      <c r="G2000" s="77">
        <v>0</v>
      </c>
      <c r="H2000" s="77">
        <v>159.6</v>
      </c>
      <c r="I2000" s="76" t="s">
        <v>968</v>
      </c>
      <c r="J2000" s="77">
        <v>0</v>
      </c>
      <c r="K2000" s="78">
        <v>0</v>
      </c>
      <c r="M2000" s="79" t="str">
        <f t="shared" si="94"/>
        <v>210-7900</v>
      </c>
      <c r="O2000" s="79" t="str">
        <f t="shared" si="93"/>
        <v>210</v>
      </c>
      <c r="P2000" s="79" t="str">
        <f>IFERROR(VLOOKUP($M2000,Export!$P:$R,2,FALSE),"-")</f>
        <v>Admin &amp; Other</v>
      </c>
      <c r="Q2000" s="79" t="str">
        <f>IFERROR(VLOOKUP($M2000,Export!$P:$R,3,FALSE),"-")</f>
        <v>Admin &amp; OtherProfessional Fees as % of Total Gross Profit</v>
      </c>
      <c r="R2000" s="80" t="e" cm="1">
        <f t="array" ref="R2000">_xlfn.IFS(P2000="Service", _xlfn.IFS(I2000="SALES","GP",I2000="SERVICE SALES","GP",I2000="PARTS SALES","GP",I2000="SERVICE COS","GP",I2000="PARTS COS","GP",I2000="SELLING EXPENSES","Selling Expenses",I2000="EMPLOYMENT EXPENSES","Selling Expenses",I2000="EMPLOYMENT EXPENSES","Selling Expenses",I2000="DIRECT EXPENSES","Selling Expenses",I2000="INDIRECT EXPENSES","Selling Expenses"),P2000="Parts",_xlfn.IFS(I2000="SALES","GP",I2000="SERVICE SALES","GP",I2000="PARTS SALES","GP",I2000="SERVICE COS","GP",I2000="PARTS COS","GP",I2000="SELLING EXPENSES","Selling Expenses",I2000="EMPLOYMENT EXPENSES","Selling Expenses",I2000="EMPLOYMENT EXPENSES","Selling Expenses",I2000="DIRECT EXPENSES","Selling Expenses",I2000="INDIRECT EXPENSES","Selling Expenses"))</f>
        <v>#N/A</v>
      </c>
    </row>
    <row r="2001" spans="1:18" x14ac:dyDescent="0.2">
      <c r="A2001" s="76">
        <v>7900</v>
      </c>
      <c r="B2001" s="76" t="s">
        <v>981</v>
      </c>
      <c r="C2001" s="76">
        <v>220</v>
      </c>
      <c r="D2001" s="76" t="s">
        <v>437</v>
      </c>
      <c r="E2001" s="76" t="s">
        <v>426</v>
      </c>
      <c r="F2001" s="77">
        <v>159.6</v>
      </c>
      <c r="G2001" s="77">
        <v>0</v>
      </c>
      <c r="H2001" s="77">
        <v>159.6</v>
      </c>
      <c r="I2001" s="76" t="s">
        <v>968</v>
      </c>
      <c r="J2001" s="77">
        <v>0</v>
      </c>
      <c r="K2001" s="77">
        <v>0</v>
      </c>
      <c r="M2001" s="79" t="str">
        <f t="shared" si="94"/>
        <v>220-7900</v>
      </c>
      <c r="O2001" s="79" t="str">
        <f t="shared" si="93"/>
        <v>220</v>
      </c>
      <c r="P2001" s="79" t="str">
        <f>IFERROR(VLOOKUP($M2001,Export!$P:$R,2,FALSE),"-")</f>
        <v>Admin &amp; Other</v>
      </c>
      <c r="Q2001" s="79" t="str">
        <f>IFERROR(VLOOKUP($M2001,Export!$P:$R,3,FALSE),"-")</f>
        <v>Admin &amp; OtherProfessional Fees as % of Total Gross Profit</v>
      </c>
      <c r="R2001" s="80" t="e" cm="1">
        <f t="array" ref="R2001">_xlfn.IFS(P2001="Service", _xlfn.IFS(I2001="SALES","GP",I2001="SERVICE SALES","GP",I2001="PARTS SALES","GP",I2001="SERVICE COS","GP",I2001="PARTS COS","GP",I2001="SELLING EXPENSES","Selling Expenses",I2001="EMPLOYMENT EXPENSES","Selling Expenses",I2001="EMPLOYMENT EXPENSES","Selling Expenses",I2001="DIRECT EXPENSES","Selling Expenses",I2001="INDIRECT EXPENSES","Selling Expenses"),P2001="Parts",_xlfn.IFS(I2001="SALES","GP",I2001="SERVICE SALES","GP",I2001="PARTS SALES","GP",I2001="SERVICE COS","GP",I2001="PARTS COS","GP",I2001="SELLING EXPENSES","Selling Expenses",I2001="EMPLOYMENT EXPENSES","Selling Expenses",I2001="EMPLOYMENT EXPENSES","Selling Expenses",I2001="DIRECT EXPENSES","Selling Expenses",I2001="INDIRECT EXPENSES","Selling Expenses"))</f>
        <v>#N/A</v>
      </c>
    </row>
    <row r="2002" spans="1:18" x14ac:dyDescent="0.2">
      <c r="A2002" s="76">
        <v>7900</v>
      </c>
      <c r="B2002" s="76" t="s">
        <v>981</v>
      </c>
      <c r="C2002" s="76">
        <v>230</v>
      </c>
      <c r="D2002" s="76" t="s">
        <v>438</v>
      </c>
      <c r="E2002" s="76" t="s">
        <v>426</v>
      </c>
      <c r="F2002" s="77">
        <v>106.4</v>
      </c>
      <c r="G2002" s="77">
        <v>0</v>
      </c>
      <c r="H2002" s="77">
        <v>106.4</v>
      </c>
      <c r="I2002" s="76" t="s">
        <v>968</v>
      </c>
      <c r="J2002" s="77">
        <v>0</v>
      </c>
      <c r="K2002" s="77">
        <v>0</v>
      </c>
      <c r="M2002" s="79" t="str">
        <f t="shared" si="94"/>
        <v>230-7900</v>
      </c>
      <c r="O2002" s="79" t="str">
        <f t="shared" si="93"/>
        <v>230</v>
      </c>
      <c r="P2002" s="79" t="str">
        <f>IFERROR(VLOOKUP($M2002,Export!$P:$R,2,FALSE),"-")</f>
        <v>Admin &amp; Other</v>
      </c>
      <c r="Q2002" s="79" t="str">
        <f>IFERROR(VLOOKUP($M2002,Export!$P:$R,3,FALSE),"-")</f>
        <v>Admin &amp; OtherProfessional Fees as % of Total Gross Profit</v>
      </c>
      <c r="R2002" s="80" t="e" cm="1">
        <f t="array" ref="R2002">_xlfn.IFS(P2002="Service", _xlfn.IFS(I2002="SALES","GP",I2002="SERVICE SALES","GP",I2002="PARTS SALES","GP",I2002="SERVICE COS","GP",I2002="PARTS COS","GP",I2002="SELLING EXPENSES","Selling Expenses",I2002="EMPLOYMENT EXPENSES","Selling Expenses",I2002="EMPLOYMENT EXPENSES","Selling Expenses",I2002="DIRECT EXPENSES","Selling Expenses",I2002="INDIRECT EXPENSES","Selling Expenses"),P2002="Parts",_xlfn.IFS(I2002="SALES","GP",I2002="SERVICE SALES","GP",I2002="PARTS SALES","GP",I2002="SERVICE COS","GP",I2002="PARTS COS","GP",I2002="SELLING EXPENSES","Selling Expenses",I2002="EMPLOYMENT EXPENSES","Selling Expenses",I2002="EMPLOYMENT EXPENSES","Selling Expenses",I2002="DIRECT EXPENSES","Selling Expenses",I2002="INDIRECT EXPENSES","Selling Expenses"))</f>
        <v>#N/A</v>
      </c>
    </row>
    <row r="2003" spans="1:18" x14ac:dyDescent="0.2">
      <c r="A2003" s="76">
        <v>7900</v>
      </c>
      <c r="B2003" s="76" t="s">
        <v>981</v>
      </c>
      <c r="C2003" s="76">
        <v>240</v>
      </c>
      <c r="D2003" s="76" t="s">
        <v>439</v>
      </c>
      <c r="E2003" s="76" t="s">
        <v>426</v>
      </c>
      <c r="F2003" s="77">
        <v>638.4</v>
      </c>
      <c r="G2003" s="77">
        <v>0</v>
      </c>
      <c r="H2003" s="77">
        <v>638.4</v>
      </c>
      <c r="I2003" s="76" t="s">
        <v>968</v>
      </c>
      <c r="J2003" s="77">
        <v>0</v>
      </c>
      <c r="K2003" s="77">
        <v>0</v>
      </c>
      <c r="M2003" s="79" t="str">
        <f t="shared" si="94"/>
        <v>240-7900</v>
      </c>
      <c r="O2003" s="79" t="str">
        <f t="shared" si="93"/>
        <v>240</v>
      </c>
      <c r="P2003" s="79" t="str">
        <f>IFERROR(VLOOKUP($M2003,Export!$P:$R,2,FALSE),"-")</f>
        <v>Admin &amp; Other</v>
      </c>
      <c r="Q2003" s="79" t="str">
        <f>IFERROR(VLOOKUP($M2003,Export!$P:$R,3,FALSE),"-")</f>
        <v>Admin &amp; OtherProfessional Fees as % of Total Gross Profit</v>
      </c>
      <c r="R2003" s="80" t="e" cm="1">
        <f t="array" ref="R2003">_xlfn.IFS(P2003="Service", _xlfn.IFS(I2003="SALES","GP",I2003="SERVICE SALES","GP",I2003="PARTS SALES","GP",I2003="SERVICE COS","GP",I2003="PARTS COS","GP",I2003="SELLING EXPENSES","Selling Expenses",I2003="EMPLOYMENT EXPENSES","Selling Expenses",I2003="EMPLOYMENT EXPENSES","Selling Expenses",I2003="DIRECT EXPENSES","Selling Expenses",I2003="INDIRECT EXPENSES","Selling Expenses"),P2003="Parts",_xlfn.IFS(I2003="SALES","GP",I2003="SERVICE SALES","GP",I2003="PARTS SALES","GP",I2003="SERVICE COS","GP",I2003="PARTS COS","GP",I2003="SELLING EXPENSES","Selling Expenses",I2003="EMPLOYMENT EXPENSES","Selling Expenses",I2003="EMPLOYMENT EXPENSES","Selling Expenses",I2003="DIRECT EXPENSES","Selling Expenses",I2003="INDIRECT EXPENSES","Selling Expenses"))</f>
        <v>#N/A</v>
      </c>
    </row>
    <row r="2004" spans="1:18" x14ac:dyDescent="0.2">
      <c r="A2004" s="76">
        <v>7900</v>
      </c>
      <c r="B2004" s="76" t="s">
        <v>981</v>
      </c>
      <c r="C2004" s="76">
        <v>260</v>
      </c>
      <c r="D2004" s="76" t="s">
        <v>456</v>
      </c>
      <c r="E2004" s="76" t="s">
        <v>426</v>
      </c>
      <c r="F2004" s="77">
        <v>53.2</v>
      </c>
      <c r="G2004" s="77">
        <v>0</v>
      </c>
      <c r="H2004" s="77">
        <v>53.2</v>
      </c>
      <c r="I2004" s="76" t="s">
        <v>968</v>
      </c>
      <c r="J2004" s="77">
        <v>0</v>
      </c>
      <c r="K2004" s="77">
        <v>0</v>
      </c>
      <c r="M2004" s="79" t="str">
        <f t="shared" si="94"/>
        <v>260-7900</v>
      </c>
      <c r="O2004" s="79" t="str">
        <f t="shared" si="93"/>
        <v>260</v>
      </c>
      <c r="P2004" s="79" t="str">
        <f>IFERROR(VLOOKUP($M2004,Export!$P:$R,2,FALSE),"-")</f>
        <v>Admin &amp; Other</v>
      </c>
      <c r="Q2004" s="79" t="str">
        <f>IFERROR(VLOOKUP($M2004,Export!$P:$R,3,FALSE),"-")</f>
        <v>Admin &amp; OtherProfessional Fees as % of Total Gross Profit</v>
      </c>
      <c r="R2004" s="80" t="e" cm="1">
        <f t="array" ref="R2004">_xlfn.IFS(P2004="Service", _xlfn.IFS(I2004="SALES","GP",I2004="SERVICE SALES","GP",I2004="PARTS SALES","GP",I2004="SERVICE COS","GP",I2004="PARTS COS","GP",I2004="SELLING EXPENSES","Selling Expenses",I2004="EMPLOYMENT EXPENSES","Selling Expenses",I2004="EMPLOYMENT EXPENSES","Selling Expenses",I2004="DIRECT EXPENSES","Selling Expenses",I2004="INDIRECT EXPENSES","Selling Expenses"),P2004="Parts",_xlfn.IFS(I2004="SALES","GP",I2004="SERVICE SALES","GP",I2004="PARTS SALES","GP",I2004="SERVICE COS","GP",I2004="PARTS COS","GP",I2004="SELLING EXPENSES","Selling Expenses",I2004="EMPLOYMENT EXPENSES","Selling Expenses",I2004="EMPLOYMENT EXPENSES","Selling Expenses",I2004="DIRECT EXPENSES","Selling Expenses",I2004="INDIRECT EXPENSES","Selling Expenses"))</f>
        <v>#N/A</v>
      </c>
    </row>
    <row r="2005" spans="1:18" x14ac:dyDescent="0.2">
      <c r="A2005" s="76">
        <v>7900</v>
      </c>
      <c r="B2005" s="76" t="s">
        <v>981</v>
      </c>
      <c r="C2005" s="76">
        <v>330</v>
      </c>
      <c r="D2005" s="76" t="s">
        <v>457</v>
      </c>
      <c r="E2005" s="76" t="s">
        <v>426</v>
      </c>
      <c r="F2005" s="77">
        <v>53.2</v>
      </c>
      <c r="G2005" s="77">
        <v>0</v>
      </c>
      <c r="H2005" s="77">
        <v>53.2</v>
      </c>
      <c r="I2005" s="76" t="s">
        <v>968</v>
      </c>
      <c r="J2005" s="77">
        <v>0</v>
      </c>
      <c r="K2005" s="77">
        <v>0</v>
      </c>
      <c r="M2005" s="79" t="str">
        <f t="shared" si="94"/>
        <v>330-7900</v>
      </c>
      <c r="O2005" s="79" t="str">
        <f t="shared" si="93"/>
        <v>330</v>
      </c>
      <c r="P2005" s="79" t="str">
        <f>IFERROR(VLOOKUP($M2005,Export!$P:$R,2,FALSE),"-")</f>
        <v>Admin &amp; Other</v>
      </c>
      <c r="Q2005" s="79" t="str">
        <f>IFERROR(VLOOKUP($M2005,Export!$P:$R,3,FALSE),"-")</f>
        <v>Admin &amp; OtherProfessional Fees as % of Total Gross Profit</v>
      </c>
      <c r="R2005" s="80" t="e" cm="1">
        <f t="array" ref="R2005">_xlfn.IFS(P2005="Service", _xlfn.IFS(I2005="SALES","GP",I2005="SERVICE SALES","GP",I2005="PARTS SALES","GP",I2005="SERVICE COS","GP",I2005="PARTS COS","GP",I2005="SELLING EXPENSES","Selling Expenses",I2005="EMPLOYMENT EXPENSES","Selling Expenses",I2005="EMPLOYMENT EXPENSES","Selling Expenses",I2005="DIRECT EXPENSES","Selling Expenses",I2005="INDIRECT EXPENSES","Selling Expenses"),P2005="Parts",_xlfn.IFS(I2005="SALES","GP",I2005="SERVICE SALES","GP",I2005="PARTS SALES","GP",I2005="SERVICE COS","GP",I2005="PARTS COS","GP",I2005="SELLING EXPENSES","Selling Expenses",I2005="EMPLOYMENT EXPENSES","Selling Expenses",I2005="EMPLOYMENT EXPENSES","Selling Expenses",I2005="DIRECT EXPENSES","Selling Expenses",I2005="INDIRECT EXPENSES","Selling Expenses"))</f>
        <v>#N/A</v>
      </c>
    </row>
    <row r="2006" spans="1:18" x14ac:dyDescent="0.2">
      <c r="A2006" s="76">
        <v>7900</v>
      </c>
      <c r="B2006" s="76" t="s">
        <v>981</v>
      </c>
      <c r="C2006" s="76">
        <v>340</v>
      </c>
      <c r="D2006" s="76" t="s">
        <v>440</v>
      </c>
      <c r="E2006" s="76" t="s">
        <v>426</v>
      </c>
      <c r="F2006" s="77">
        <v>425.6</v>
      </c>
      <c r="G2006" s="77">
        <v>0</v>
      </c>
      <c r="H2006" s="77">
        <v>425.6</v>
      </c>
      <c r="I2006" s="76" t="s">
        <v>968</v>
      </c>
      <c r="J2006" s="77">
        <v>0</v>
      </c>
      <c r="K2006" s="77">
        <v>0</v>
      </c>
      <c r="M2006" s="79" t="str">
        <f t="shared" si="94"/>
        <v>340-7900</v>
      </c>
      <c r="O2006" s="79" t="str">
        <f t="shared" si="93"/>
        <v>340</v>
      </c>
      <c r="P2006" s="79" t="str">
        <f>IFERROR(VLOOKUP($M2006,Export!$P:$R,2,FALSE),"-")</f>
        <v>Admin &amp; Other</v>
      </c>
      <c r="Q2006" s="79" t="str">
        <f>IFERROR(VLOOKUP($M2006,Export!$P:$R,3,FALSE),"-")</f>
        <v>Admin &amp; OtherProfessional Fees as % of Total Gross Profit</v>
      </c>
      <c r="R2006" s="80" t="e" cm="1">
        <f t="array" ref="R2006">_xlfn.IFS(P2006="Service", _xlfn.IFS(I2006="SALES","GP",I2006="SERVICE SALES","GP",I2006="PARTS SALES","GP",I2006="SERVICE COS","GP",I2006="PARTS COS","GP",I2006="SELLING EXPENSES","Selling Expenses",I2006="EMPLOYMENT EXPENSES","Selling Expenses",I2006="EMPLOYMENT EXPENSES","Selling Expenses",I2006="DIRECT EXPENSES","Selling Expenses",I2006="INDIRECT EXPENSES","Selling Expenses"),P2006="Parts",_xlfn.IFS(I2006="SALES","GP",I2006="SERVICE SALES","GP",I2006="PARTS SALES","GP",I2006="SERVICE COS","GP",I2006="PARTS COS","GP",I2006="SELLING EXPENSES","Selling Expenses",I2006="EMPLOYMENT EXPENSES","Selling Expenses",I2006="EMPLOYMENT EXPENSES","Selling Expenses",I2006="DIRECT EXPENSES","Selling Expenses",I2006="INDIRECT EXPENSES","Selling Expenses"))</f>
        <v>#N/A</v>
      </c>
    </row>
    <row r="2007" spans="1:18" x14ac:dyDescent="0.2">
      <c r="A2007" s="76">
        <v>7900</v>
      </c>
      <c r="B2007" s="76" t="s">
        <v>981</v>
      </c>
      <c r="C2007" s="76">
        <v>430</v>
      </c>
      <c r="D2007" s="76" t="s">
        <v>458</v>
      </c>
      <c r="E2007" s="76" t="s">
        <v>426</v>
      </c>
      <c r="F2007" s="77">
        <v>53.2</v>
      </c>
      <c r="G2007" s="77">
        <v>0</v>
      </c>
      <c r="H2007" s="77">
        <v>53.2</v>
      </c>
      <c r="I2007" s="76" t="s">
        <v>968</v>
      </c>
      <c r="J2007" s="77">
        <v>0</v>
      </c>
      <c r="K2007" s="77">
        <v>0</v>
      </c>
      <c r="M2007" s="79" t="str">
        <f t="shared" si="94"/>
        <v>430-7900</v>
      </c>
      <c r="O2007" s="79" t="str">
        <f t="shared" si="93"/>
        <v>430</v>
      </c>
      <c r="P2007" s="79" t="str">
        <f>IFERROR(VLOOKUP($M2007,Export!$P:$R,2,FALSE),"-")</f>
        <v>Admin &amp; Other</v>
      </c>
      <c r="Q2007" s="79" t="str">
        <f>IFERROR(VLOOKUP($M2007,Export!$P:$R,3,FALSE),"-")</f>
        <v>Admin &amp; OtherProfessional Fees as % of Total Gross Profit</v>
      </c>
      <c r="R2007" s="80" t="e" cm="1">
        <f t="array" ref="R2007">_xlfn.IFS(P2007="Service", _xlfn.IFS(I2007="SALES","GP",I2007="SERVICE SALES","GP",I2007="PARTS SALES","GP",I2007="SERVICE COS","GP",I2007="PARTS COS","GP",I2007="SELLING EXPENSES","Selling Expenses",I2007="EMPLOYMENT EXPENSES","Selling Expenses",I2007="EMPLOYMENT EXPENSES","Selling Expenses",I2007="DIRECT EXPENSES","Selling Expenses",I2007="INDIRECT EXPENSES","Selling Expenses"),P2007="Parts",_xlfn.IFS(I2007="SALES","GP",I2007="SERVICE SALES","GP",I2007="PARTS SALES","GP",I2007="SERVICE COS","GP",I2007="PARTS COS","GP",I2007="SELLING EXPENSES","Selling Expenses",I2007="EMPLOYMENT EXPENSES","Selling Expenses",I2007="EMPLOYMENT EXPENSES","Selling Expenses",I2007="DIRECT EXPENSES","Selling Expenses",I2007="INDIRECT EXPENSES","Selling Expenses"))</f>
        <v>#N/A</v>
      </c>
    </row>
    <row r="2008" spans="1:18" x14ac:dyDescent="0.2">
      <c r="A2008" s="76">
        <v>7900</v>
      </c>
      <c r="B2008" s="76" t="s">
        <v>981</v>
      </c>
      <c r="C2008" s="76">
        <v>440</v>
      </c>
      <c r="D2008" s="76" t="s">
        <v>441</v>
      </c>
      <c r="E2008" s="76" t="s">
        <v>426</v>
      </c>
      <c r="F2008" s="77">
        <v>425.6</v>
      </c>
      <c r="G2008" s="77">
        <v>0</v>
      </c>
      <c r="H2008" s="77">
        <v>425.6</v>
      </c>
      <c r="I2008" s="76" t="s">
        <v>968</v>
      </c>
      <c r="J2008" s="77">
        <v>0</v>
      </c>
      <c r="K2008" s="77">
        <v>0</v>
      </c>
      <c r="M2008" s="79" t="str">
        <f t="shared" si="94"/>
        <v>440-7900</v>
      </c>
      <c r="O2008" s="79" t="str">
        <f t="shared" si="93"/>
        <v>440</v>
      </c>
      <c r="P2008" s="79" t="str">
        <f>IFERROR(VLOOKUP($M2008,Export!$P:$R,2,FALSE),"-")</f>
        <v>Admin &amp; Other</v>
      </c>
      <c r="Q2008" s="79" t="str">
        <f>IFERROR(VLOOKUP($M2008,Export!$P:$R,3,FALSE),"-")</f>
        <v>Admin &amp; OtherProfessional Fees as % of Total Gross Profit</v>
      </c>
      <c r="R2008" s="80" t="e" cm="1">
        <f t="array" ref="R2008">_xlfn.IFS(P2008="Service", _xlfn.IFS(I2008="SALES","GP",I2008="SERVICE SALES","GP",I2008="PARTS SALES","GP",I2008="SERVICE COS","GP",I2008="PARTS COS","GP",I2008="SELLING EXPENSES","Selling Expenses",I2008="EMPLOYMENT EXPENSES","Selling Expenses",I2008="EMPLOYMENT EXPENSES","Selling Expenses",I2008="DIRECT EXPENSES","Selling Expenses",I2008="INDIRECT EXPENSES","Selling Expenses"),P2008="Parts",_xlfn.IFS(I2008="SALES","GP",I2008="SERVICE SALES","GP",I2008="PARTS SALES","GP",I2008="SERVICE COS","GP",I2008="PARTS COS","GP",I2008="SELLING EXPENSES","Selling Expenses",I2008="EMPLOYMENT EXPENSES","Selling Expenses",I2008="EMPLOYMENT EXPENSES","Selling Expenses",I2008="DIRECT EXPENSES","Selling Expenses",I2008="INDIRECT EXPENSES","Selling Expenses"))</f>
        <v>#N/A</v>
      </c>
    </row>
    <row r="2009" spans="1:18" x14ac:dyDescent="0.2">
      <c r="A2009" s="76">
        <v>7900</v>
      </c>
      <c r="B2009" s="76" t="s">
        <v>981</v>
      </c>
      <c r="C2009" s="76">
        <v>935</v>
      </c>
      <c r="D2009" s="76" t="s">
        <v>442</v>
      </c>
      <c r="E2009" s="76" t="s">
        <v>426</v>
      </c>
      <c r="F2009" s="77">
        <v>159.6</v>
      </c>
      <c r="G2009" s="77">
        <v>0</v>
      </c>
      <c r="H2009" s="77">
        <v>159.6</v>
      </c>
      <c r="I2009" s="76" t="s">
        <v>968</v>
      </c>
      <c r="J2009" s="77">
        <v>0</v>
      </c>
      <c r="K2009" s="77">
        <v>0</v>
      </c>
      <c r="M2009" s="79" t="str">
        <f t="shared" si="94"/>
        <v>935-7900</v>
      </c>
      <c r="O2009" s="79" t="str">
        <f t="shared" si="93"/>
        <v>935</v>
      </c>
      <c r="P2009" s="79" t="str">
        <f>IFERROR(VLOOKUP($M2009,Export!$P:$R,2,FALSE),"-")</f>
        <v>LEX Admin &amp; Other</v>
      </c>
      <c r="Q2009" s="79" t="str">
        <f>IFERROR(VLOOKUP($M2009,Export!$P:$R,3,FALSE),"-")</f>
        <v>LEX Admin &amp; OtherProfessional Fees as % of Total Gross Profit</v>
      </c>
      <c r="R2009" s="80" t="e" cm="1">
        <f t="array" ref="R2009">_xlfn.IFS(P2009="Service", _xlfn.IFS(I2009="SALES","GP",I2009="SERVICE SALES","GP",I2009="PARTS SALES","GP",I2009="SERVICE COS","GP",I2009="PARTS COS","GP",I2009="SELLING EXPENSES","Selling Expenses",I2009="EMPLOYMENT EXPENSES","Selling Expenses",I2009="EMPLOYMENT EXPENSES","Selling Expenses",I2009="DIRECT EXPENSES","Selling Expenses",I2009="INDIRECT EXPENSES","Selling Expenses"),P2009="Parts",_xlfn.IFS(I2009="SALES","GP",I2009="SERVICE SALES","GP",I2009="PARTS SALES","GP",I2009="SERVICE COS","GP",I2009="PARTS COS","GP",I2009="SELLING EXPENSES","Selling Expenses",I2009="EMPLOYMENT EXPENSES","Selling Expenses",I2009="EMPLOYMENT EXPENSES","Selling Expenses",I2009="DIRECT EXPENSES","Selling Expenses",I2009="INDIRECT EXPENSES","Selling Expenses"))</f>
        <v>#N/A</v>
      </c>
    </row>
    <row r="2010" spans="1:18" x14ac:dyDescent="0.2">
      <c r="A2010" s="76">
        <v>7900</v>
      </c>
      <c r="B2010" s="76" t="s">
        <v>981</v>
      </c>
      <c r="C2010" s="76">
        <v>936</v>
      </c>
      <c r="D2010" s="76" t="s">
        <v>443</v>
      </c>
      <c r="E2010" s="76" t="s">
        <v>426</v>
      </c>
      <c r="F2010" s="77">
        <v>53.2</v>
      </c>
      <c r="G2010" s="77">
        <v>0</v>
      </c>
      <c r="H2010" s="77">
        <v>53.2</v>
      </c>
      <c r="I2010" s="76" t="s">
        <v>968</v>
      </c>
      <c r="J2010" s="77">
        <v>0</v>
      </c>
      <c r="K2010" s="77">
        <v>0</v>
      </c>
      <c r="M2010" s="79" t="str">
        <f t="shared" si="94"/>
        <v>936-7900</v>
      </c>
      <c r="O2010" s="79" t="str">
        <f t="shared" si="93"/>
        <v>936</v>
      </c>
      <c r="P2010" s="79" t="str">
        <f>IFERROR(VLOOKUP($M2010,Export!$P:$R,2,FALSE),"-")</f>
        <v>LEX Admin &amp; Other</v>
      </c>
      <c r="Q2010" s="79" t="str">
        <f>IFERROR(VLOOKUP($M2010,Export!$P:$R,3,FALSE),"-")</f>
        <v>LEX Admin &amp; OtherProfessional Fees as % of Total Gross Profit</v>
      </c>
      <c r="R2010" s="80" t="e" cm="1">
        <f t="array" ref="R2010">_xlfn.IFS(P2010="Service", _xlfn.IFS(I2010="SALES","GP",I2010="SERVICE SALES","GP",I2010="PARTS SALES","GP",I2010="SERVICE COS","GP",I2010="PARTS COS","GP",I2010="SELLING EXPENSES","Selling Expenses",I2010="EMPLOYMENT EXPENSES","Selling Expenses",I2010="EMPLOYMENT EXPENSES","Selling Expenses",I2010="DIRECT EXPENSES","Selling Expenses",I2010="INDIRECT EXPENSES","Selling Expenses"),P2010="Parts",_xlfn.IFS(I2010="SALES","GP",I2010="SERVICE SALES","GP",I2010="PARTS SALES","GP",I2010="SERVICE COS","GP",I2010="PARTS COS","GP",I2010="SELLING EXPENSES","Selling Expenses",I2010="EMPLOYMENT EXPENSES","Selling Expenses",I2010="EMPLOYMENT EXPENSES","Selling Expenses",I2010="DIRECT EXPENSES","Selling Expenses",I2010="INDIRECT EXPENSES","Selling Expenses"))</f>
        <v>#N/A</v>
      </c>
    </row>
    <row r="2011" spans="1:18" x14ac:dyDescent="0.2">
      <c r="A2011" s="76">
        <v>7905</v>
      </c>
      <c r="B2011" s="76" t="s">
        <v>982</v>
      </c>
      <c r="C2011" s="76">
        <v>110</v>
      </c>
      <c r="D2011" s="76" t="s">
        <v>430</v>
      </c>
      <c r="E2011" s="76" t="s">
        <v>426</v>
      </c>
      <c r="F2011" s="77">
        <v>1442.24</v>
      </c>
      <c r="G2011" s="77">
        <v>18</v>
      </c>
      <c r="H2011" s="77">
        <v>1460.24</v>
      </c>
      <c r="I2011" s="76" t="s">
        <v>968</v>
      </c>
      <c r="J2011" s="77">
        <v>687.5</v>
      </c>
      <c r="K2011" s="77">
        <v>12627</v>
      </c>
      <c r="M2011" s="79" t="str">
        <f t="shared" si="94"/>
        <v>110-7905</v>
      </c>
      <c r="O2011" s="79" t="str">
        <f t="shared" si="93"/>
        <v>110</v>
      </c>
      <c r="P2011" s="79" t="str">
        <f>IFERROR(VLOOKUP($M2011,Export!$P:$R,2,FALSE),"-")</f>
        <v>Admin &amp; Other</v>
      </c>
      <c r="Q2011" s="79" t="str">
        <f>IFERROR(VLOOKUP($M2011,Export!$P:$R,3,FALSE),"-")</f>
        <v>Admin &amp; OtherProfessional Fees as % of Total Gross Profit</v>
      </c>
      <c r="R2011" s="80" t="e" cm="1">
        <f t="array" ref="R2011">_xlfn.IFS(P2011="Service", _xlfn.IFS(I2011="SALES","GP",I2011="SERVICE SALES","GP",I2011="PARTS SALES","GP",I2011="SERVICE COS","GP",I2011="PARTS COS","GP",I2011="SELLING EXPENSES","Selling Expenses",I2011="EMPLOYMENT EXPENSES","Selling Expenses",I2011="EMPLOYMENT EXPENSES","Selling Expenses",I2011="DIRECT EXPENSES","Selling Expenses",I2011="INDIRECT EXPENSES","Selling Expenses"),P2011="Parts",_xlfn.IFS(I2011="SALES","GP",I2011="SERVICE SALES","GP",I2011="PARTS SALES","GP",I2011="SERVICE COS","GP",I2011="PARTS COS","GP",I2011="SELLING EXPENSES","Selling Expenses",I2011="EMPLOYMENT EXPENSES","Selling Expenses",I2011="EMPLOYMENT EXPENSES","Selling Expenses",I2011="DIRECT EXPENSES","Selling Expenses",I2011="INDIRECT EXPENSES","Selling Expenses"))</f>
        <v>#N/A</v>
      </c>
    </row>
    <row r="2012" spans="1:18" x14ac:dyDescent="0.2">
      <c r="A2012" s="76">
        <v>7905</v>
      </c>
      <c r="B2012" s="76" t="s">
        <v>982</v>
      </c>
      <c r="C2012" s="76">
        <v>112</v>
      </c>
      <c r="D2012" s="76" t="s">
        <v>349</v>
      </c>
      <c r="E2012" s="76" t="s">
        <v>426</v>
      </c>
      <c r="F2012" s="77">
        <v>1366.61</v>
      </c>
      <c r="G2012" s="77">
        <v>18</v>
      </c>
      <c r="H2012" s="77">
        <v>1384.61</v>
      </c>
      <c r="I2012" s="76" t="s">
        <v>968</v>
      </c>
      <c r="J2012" s="77">
        <v>625</v>
      </c>
      <c r="K2012" s="77">
        <v>11939.5</v>
      </c>
      <c r="M2012" s="79" t="str">
        <f t="shared" si="94"/>
        <v>112-7905</v>
      </c>
      <c r="O2012" s="79" t="str">
        <f t="shared" si="93"/>
        <v>112</v>
      </c>
      <c r="P2012" s="79" t="str">
        <f>IFERROR(VLOOKUP($M2012,Export!$P:$R,2,FALSE),"-")</f>
        <v>LEX Admin &amp; Other</v>
      </c>
      <c r="Q2012" s="79" t="str">
        <f>IFERROR(VLOOKUP($M2012,Export!$P:$R,3,FALSE),"-")</f>
        <v>LEX Admin &amp; OtherProfessional Fees as % of Total Gross Profit</v>
      </c>
      <c r="R2012" s="80" t="e" cm="1">
        <f t="array" ref="R2012">_xlfn.IFS(P2012="Service", _xlfn.IFS(I2012="SALES","GP",I2012="SERVICE SALES","GP",I2012="PARTS SALES","GP",I2012="SERVICE COS","GP",I2012="PARTS COS","GP",I2012="SELLING EXPENSES","Selling Expenses",I2012="EMPLOYMENT EXPENSES","Selling Expenses",I2012="EMPLOYMENT EXPENSES","Selling Expenses",I2012="DIRECT EXPENSES","Selling Expenses",I2012="INDIRECT EXPENSES","Selling Expenses"),P2012="Parts",_xlfn.IFS(I2012="SALES","GP",I2012="SERVICE SALES","GP",I2012="PARTS SALES","GP",I2012="SERVICE COS","GP",I2012="PARTS COS","GP",I2012="SELLING EXPENSES","Selling Expenses",I2012="EMPLOYMENT EXPENSES","Selling Expenses",I2012="EMPLOYMENT EXPENSES","Selling Expenses",I2012="DIRECT EXPENSES","Selling Expenses",I2012="INDIRECT EXPENSES","Selling Expenses"))</f>
        <v>#N/A</v>
      </c>
    </row>
    <row r="2013" spans="1:18" x14ac:dyDescent="0.2">
      <c r="A2013" s="76">
        <v>7905</v>
      </c>
      <c r="B2013" s="76" t="s">
        <v>982</v>
      </c>
      <c r="C2013" s="76">
        <v>120</v>
      </c>
      <c r="D2013" s="76" t="s">
        <v>431</v>
      </c>
      <c r="E2013" s="76" t="s">
        <v>426</v>
      </c>
      <c r="F2013" s="77">
        <v>1513.14</v>
      </c>
      <c r="G2013" s="77">
        <v>18</v>
      </c>
      <c r="H2013" s="77">
        <v>1531.14</v>
      </c>
      <c r="I2013" s="76" t="s">
        <v>968</v>
      </c>
      <c r="J2013" s="77">
        <v>687.5</v>
      </c>
      <c r="K2013" s="77">
        <v>12627</v>
      </c>
      <c r="M2013" s="79" t="str">
        <f t="shared" si="94"/>
        <v>120-7905</v>
      </c>
      <c r="O2013" s="79" t="str">
        <f t="shared" si="93"/>
        <v>120</v>
      </c>
      <c r="P2013" s="79" t="str">
        <f>IFERROR(VLOOKUP($M2013,Export!$P:$R,2,FALSE),"-")</f>
        <v>Admin &amp; Other</v>
      </c>
      <c r="Q2013" s="79" t="str">
        <f>IFERROR(VLOOKUP($M2013,Export!$P:$R,3,FALSE),"-")</f>
        <v>Admin &amp; OtherProfessional Fees as % of Total Gross Profit</v>
      </c>
      <c r="R2013" s="80" t="e" cm="1">
        <f t="array" ref="R2013">_xlfn.IFS(P2013="Service", _xlfn.IFS(I2013="SALES","GP",I2013="SERVICE SALES","GP",I2013="PARTS SALES","GP",I2013="SERVICE COS","GP",I2013="PARTS COS","GP",I2013="SELLING EXPENSES","Selling Expenses",I2013="EMPLOYMENT EXPENSES","Selling Expenses",I2013="EMPLOYMENT EXPENSES","Selling Expenses",I2013="DIRECT EXPENSES","Selling Expenses",I2013="INDIRECT EXPENSES","Selling Expenses"),P2013="Parts",_xlfn.IFS(I2013="SALES","GP",I2013="SERVICE SALES","GP",I2013="PARTS SALES","GP",I2013="SERVICE COS","GP",I2013="PARTS COS","GP",I2013="SELLING EXPENSES","Selling Expenses",I2013="EMPLOYMENT EXPENSES","Selling Expenses",I2013="EMPLOYMENT EXPENSES","Selling Expenses",I2013="DIRECT EXPENSES","Selling Expenses",I2013="INDIRECT EXPENSES","Selling Expenses"))</f>
        <v>#N/A</v>
      </c>
    </row>
    <row r="2014" spans="1:18" x14ac:dyDescent="0.2">
      <c r="A2014" s="76">
        <v>7905</v>
      </c>
      <c r="B2014" s="76" t="s">
        <v>982</v>
      </c>
      <c r="C2014" s="76">
        <v>121</v>
      </c>
      <c r="D2014" s="76" t="s">
        <v>449</v>
      </c>
      <c r="E2014" s="76" t="s">
        <v>426</v>
      </c>
      <c r="F2014" s="77">
        <v>1366.61</v>
      </c>
      <c r="G2014" s="77">
        <v>18</v>
      </c>
      <c r="H2014" s="77">
        <v>1384.61</v>
      </c>
      <c r="I2014" s="76" t="s">
        <v>968</v>
      </c>
      <c r="J2014" s="77">
        <v>687.5</v>
      </c>
      <c r="K2014" s="77">
        <v>12627</v>
      </c>
      <c r="M2014" s="79" t="str">
        <f t="shared" si="94"/>
        <v>121-7905</v>
      </c>
      <c r="O2014" s="79" t="str">
        <f t="shared" si="93"/>
        <v>121</v>
      </c>
      <c r="P2014" s="79" t="str">
        <f>IFERROR(VLOOKUP($M2014,Export!$P:$R,2,FALSE),"-")</f>
        <v>Admin &amp; Other</v>
      </c>
      <c r="Q2014" s="79" t="str">
        <f>IFERROR(VLOOKUP($M2014,Export!$P:$R,3,FALSE),"-")</f>
        <v>Admin &amp; OtherProfessional Fees as % of Total Gross Profit</v>
      </c>
      <c r="R2014" s="80" t="e" cm="1">
        <f t="array" ref="R2014">_xlfn.IFS(P2014="Service", _xlfn.IFS(I2014="SALES","GP",I2014="SERVICE SALES","GP",I2014="PARTS SALES","GP",I2014="SERVICE COS","GP",I2014="PARTS COS","GP",I2014="SELLING EXPENSES","Selling Expenses",I2014="EMPLOYMENT EXPENSES","Selling Expenses",I2014="EMPLOYMENT EXPENSES","Selling Expenses",I2014="DIRECT EXPENSES","Selling Expenses",I2014="INDIRECT EXPENSES","Selling Expenses"),P2014="Parts",_xlfn.IFS(I2014="SALES","GP",I2014="SERVICE SALES","GP",I2014="PARTS SALES","GP",I2014="SERVICE COS","GP",I2014="PARTS COS","GP",I2014="SELLING EXPENSES","Selling Expenses",I2014="EMPLOYMENT EXPENSES","Selling Expenses",I2014="EMPLOYMENT EXPENSES","Selling Expenses",I2014="DIRECT EXPENSES","Selling Expenses",I2014="INDIRECT EXPENSES","Selling Expenses"))</f>
        <v>#N/A</v>
      </c>
    </row>
    <row r="2015" spans="1:18" x14ac:dyDescent="0.2">
      <c r="A2015" s="76">
        <v>7905</v>
      </c>
      <c r="B2015" s="76" t="s">
        <v>982</v>
      </c>
      <c r="C2015" s="76">
        <v>130</v>
      </c>
      <c r="D2015" s="76" t="s">
        <v>432</v>
      </c>
      <c r="E2015" s="76" t="s">
        <v>426</v>
      </c>
      <c r="F2015" s="77">
        <v>1442.34</v>
      </c>
      <c r="G2015" s="77">
        <v>18</v>
      </c>
      <c r="H2015" s="77">
        <v>1460.34</v>
      </c>
      <c r="I2015" s="76" t="s">
        <v>968</v>
      </c>
      <c r="J2015" s="77">
        <v>687.5</v>
      </c>
      <c r="K2015" s="77">
        <v>12627</v>
      </c>
      <c r="M2015" s="79" t="str">
        <f t="shared" si="94"/>
        <v>130-7905</v>
      </c>
      <c r="O2015" s="79" t="str">
        <f t="shared" si="93"/>
        <v>130</v>
      </c>
      <c r="P2015" s="79" t="str">
        <f>IFERROR(VLOOKUP($M2015,Export!$P:$R,2,FALSE),"-")</f>
        <v>Admin &amp; Other</v>
      </c>
      <c r="Q2015" s="79" t="str">
        <f>IFERROR(VLOOKUP($M2015,Export!$P:$R,3,FALSE),"-")</f>
        <v>Admin &amp; OtherProfessional Fees as % of Total Gross Profit</v>
      </c>
      <c r="R2015" s="80" t="e" cm="1">
        <f t="array" ref="R2015">_xlfn.IFS(P2015="Service", _xlfn.IFS(I2015="SALES","GP",I2015="SERVICE SALES","GP",I2015="PARTS SALES","GP",I2015="SERVICE COS","GP",I2015="PARTS COS","GP",I2015="SELLING EXPENSES","Selling Expenses",I2015="EMPLOYMENT EXPENSES","Selling Expenses",I2015="EMPLOYMENT EXPENSES","Selling Expenses",I2015="DIRECT EXPENSES","Selling Expenses",I2015="INDIRECT EXPENSES","Selling Expenses"),P2015="Parts",_xlfn.IFS(I2015="SALES","GP",I2015="SERVICE SALES","GP",I2015="PARTS SALES","GP",I2015="SERVICE COS","GP",I2015="PARTS COS","GP",I2015="SELLING EXPENSES","Selling Expenses",I2015="EMPLOYMENT EXPENSES","Selling Expenses",I2015="EMPLOYMENT EXPENSES","Selling Expenses",I2015="DIRECT EXPENSES","Selling Expenses",I2015="INDIRECT EXPENSES","Selling Expenses"))</f>
        <v>#N/A</v>
      </c>
    </row>
    <row r="2016" spans="1:18" x14ac:dyDescent="0.2">
      <c r="A2016" s="76">
        <v>7905</v>
      </c>
      <c r="B2016" s="76" t="s">
        <v>982</v>
      </c>
      <c r="C2016" s="76">
        <v>140</v>
      </c>
      <c r="D2016" s="76" t="s">
        <v>433</v>
      </c>
      <c r="E2016" s="76" t="s">
        <v>426</v>
      </c>
      <c r="F2016" s="77">
        <v>1442.34</v>
      </c>
      <c r="G2016" s="77">
        <v>18</v>
      </c>
      <c r="H2016" s="77">
        <v>1460.34</v>
      </c>
      <c r="I2016" s="76" t="s">
        <v>968</v>
      </c>
      <c r="J2016" s="77">
        <v>500</v>
      </c>
      <c r="K2016" s="77">
        <v>10564.5</v>
      </c>
      <c r="M2016" s="79" t="str">
        <f t="shared" si="94"/>
        <v>140-7905</v>
      </c>
      <c r="O2016" s="79" t="str">
        <f t="shared" si="93"/>
        <v>140</v>
      </c>
      <c r="P2016" s="79" t="str">
        <f>IFERROR(VLOOKUP($M2016,Export!$P:$R,2,FALSE),"-")</f>
        <v>Admin &amp; Other</v>
      </c>
      <c r="Q2016" s="79" t="str">
        <f>IFERROR(VLOOKUP($M2016,Export!$P:$R,3,FALSE),"-")</f>
        <v>Admin &amp; OtherProfessional Fees as % of Total Gross Profit</v>
      </c>
      <c r="R2016" s="80" t="e" cm="1">
        <f t="array" ref="R2016">_xlfn.IFS(P2016="Service", _xlfn.IFS(I2016="SALES","GP",I2016="SERVICE SALES","GP",I2016="PARTS SALES","GP",I2016="SERVICE COS","GP",I2016="PARTS COS","GP",I2016="SELLING EXPENSES","Selling Expenses",I2016="EMPLOYMENT EXPENSES","Selling Expenses",I2016="EMPLOYMENT EXPENSES","Selling Expenses",I2016="DIRECT EXPENSES","Selling Expenses",I2016="INDIRECT EXPENSES","Selling Expenses"),P2016="Parts",_xlfn.IFS(I2016="SALES","GP",I2016="SERVICE SALES","GP",I2016="PARTS SALES","GP",I2016="SERVICE COS","GP",I2016="PARTS COS","GP",I2016="SELLING EXPENSES","Selling Expenses",I2016="EMPLOYMENT EXPENSES","Selling Expenses",I2016="EMPLOYMENT EXPENSES","Selling Expenses",I2016="DIRECT EXPENSES","Selling Expenses",I2016="INDIRECT EXPENSES","Selling Expenses"))</f>
        <v>#N/A</v>
      </c>
    </row>
    <row r="2017" spans="1:18" x14ac:dyDescent="0.2">
      <c r="A2017" s="76">
        <v>7905</v>
      </c>
      <c r="B2017" s="76" t="s">
        <v>982</v>
      </c>
      <c r="C2017" s="76">
        <v>142</v>
      </c>
      <c r="D2017" s="76" t="s">
        <v>454</v>
      </c>
      <c r="E2017" s="76" t="s">
        <v>426</v>
      </c>
      <c r="F2017" s="77">
        <v>1940.52</v>
      </c>
      <c r="G2017" s="77">
        <v>18</v>
      </c>
      <c r="H2017" s="77">
        <v>1958.52</v>
      </c>
      <c r="I2017" s="76" t="s">
        <v>968</v>
      </c>
      <c r="J2017" s="77">
        <v>0</v>
      </c>
      <c r="K2017" s="77">
        <v>0</v>
      </c>
      <c r="M2017" s="79" t="str">
        <f t="shared" si="94"/>
        <v>142-7905</v>
      </c>
      <c r="O2017" s="79" t="str">
        <f t="shared" si="93"/>
        <v>142</v>
      </c>
      <c r="P2017" s="79" t="str">
        <f>IFERROR(VLOOKUP($M2017,Export!$P:$R,2,FALSE),"-")</f>
        <v>LEX Admin &amp; Other</v>
      </c>
      <c r="Q2017" s="79" t="str">
        <f>IFERROR(VLOOKUP($M2017,Export!$P:$R,3,FALSE),"-")</f>
        <v>LEX Admin &amp; OtherProfessional Fees as % of Total Gross Profit</v>
      </c>
      <c r="R2017" s="80" t="e" cm="1">
        <f t="array" ref="R2017">_xlfn.IFS(P2017="Service", _xlfn.IFS(I2017="SALES","GP",I2017="SERVICE SALES","GP",I2017="PARTS SALES","GP",I2017="SERVICE COS","GP",I2017="PARTS COS","GP",I2017="SELLING EXPENSES","Selling Expenses",I2017="EMPLOYMENT EXPENSES","Selling Expenses",I2017="EMPLOYMENT EXPENSES","Selling Expenses",I2017="DIRECT EXPENSES","Selling Expenses",I2017="INDIRECT EXPENSES","Selling Expenses"),P2017="Parts",_xlfn.IFS(I2017="SALES","GP",I2017="SERVICE SALES","GP",I2017="PARTS SALES","GP",I2017="SERVICE COS","GP",I2017="PARTS COS","GP",I2017="SELLING EXPENSES","Selling Expenses",I2017="EMPLOYMENT EXPENSES","Selling Expenses",I2017="EMPLOYMENT EXPENSES","Selling Expenses",I2017="DIRECT EXPENSES","Selling Expenses",I2017="INDIRECT EXPENSES","Selling Expenses"))</f>
        <v>#N/A</v>
      </c>
    </row>
    <row r="2018" spans="1:18" x14ac:dyDescent="0.2">
      <c r="A2018" s="76">
        <v>7905</v>
      </c>
      <c r="B2018" s="76" t="s">
        <v>982</v>
      </c>
      <c r="C2018" s="76">
        <v>147</v>
      </c>
      <c r="D2018" s="76" t="s">
        <v>699</v>
      </c>
      <c r="E2018" s="76" t="s">
        <v>426</v>
      </c>
      <c r="F2018" s="77">
        <v>331.62</v>
      </c>
      <c r="G2018" s="77">
        <v>0</v>
      </c>
      <c r="H2018" s="77">
        <v>331.62</v>
      </c>
      <c r="I2018" s="76" t="s">
        <v>968</v>
      </c>
      <c r="J2018" s="77">
        <v>50</v>
      </c>
      <c r="K2018" s="77">
        <v>950</v>
      </c>
      <c r="M2018" s="79" t="str">
        <f t="shared" si="94"/>
        <v>147-7905</v>
      </c>
      <c r="O2018" s="79" t="str">
        <f t="shared" si="93"/>
        <v>147</v>
      </c>
      <c r="P2018" s="79" t="str">
        <f>IFERROR(VLOOKUP($M2018,Export!$P:$R,2,FALSE),"-")</f>
        <v>Admin &amp; Other</v>
      </c>
      <c r="Q2018" s="79" t="str">
        <f>IFERROR(VLOOKUP($M2018,Export!$P:$R,3,FALSE),"-")</f>
        <v>Admin &amp; OtherProfessional Fees as % of Total Gross Profit</v>
      </c>
      <c r="R2018" s="80" t="e" cm="1">
        <f t="array" ref="R2018">_xlfn.IFS(P2018="Service", _xlfn.IFS(I2018="SALES","GP",I2018="SERVICE SALES","GP",I2018="PARTS SALES","GP",I2018="SERVICE COS","GP",I2018="PARTS COS","GP",I2018="SELLING EXPENSES","Selling Expenses",I2018="EMPLOYMENT EXPENSES","Selling Expenses",I2018="EMPLOYMENT EXPENSES","Selling Expenses",I2018="DIRECT EXPENSES","Selling Expenses",I2018="INDIRECT EXPENSES","Selling Expenses"),P2018="Parts",_xlfn.IFS(I2018="SALES","GP",I2018="SERVICE SALES","GP",I2018="PARTS SALES","GP",I2018="SERVICE COS","GP",I2018="PARTS COS","GP",I2018="SELLING EXPENSES","Selling Expenses",I2018="EMPLOYMENT EXPENSES","Selling Expenses",I2018="EMPLOYMENT EXPENSES","Selling Expenses",I2018="DIRECT EXPENSES","Selling Expenses",I2018="INDIRECT EXPENSES","Selling Expenses"))</f>
        <v>#N/A</v>
      </c>
    </row>
    <row r="2019" spans="1:18" x14ac:dyDescent="0.2">
      <c r="A2019" s="76">
        <v>7905</v>
      </c>
      <c r="B2019" s="76" t="s">
        <v>982</v>
      </c>
      <c r="C2019" s="76">
        <v>150</v>
      </c>
      <c r="D2019" s="76" t="s">
        <v>700</v>
      </c>
      <c r="E2019" s="76" t="s">
        <v>426</v>
      </c>
      <c r="F2019" s="77">
        <v>1366.57</v>
      </c>
      <c r="G2019" s="77">
        <v>18</v>
      </c>
      <c r="H2019" s="77">
        <v>1384.57</v>
      </c>
      <c r="I2019" s="76" t="s">
        <v>968</v>
      </c>
      <c r="J2019" s="77">
        <v>0</v>
      </c>
      <c r="K2019" s="77">
        <v>0</v>
      </c>
      <c r="M2019" s="79" t="str">
        <f t="shared" si="94"/>
        <v>150-7905</v>
      </c>
      <c r="O2019" s="79" t="str">
        <f t="shared" si="93"/>
        <v>150</v>
      </c>
      <c r="P2019" s="79" t="str">
        <f>IFERROR(VLOOKUP($M2019,Export!$P:$R,2,FALSE),"-")</f>
        <v>LEX Admin &amp; Other</v>
      </c>
      <c r="Q2019" s="79" t="str">
        <f>IFERROR(VLOOKUP($M2019,Export!$P:$R,3,FALSE),"-")</f>
        <v>LEX Admin &amp; OtherProfessional Fees as % of Total Gross Profit</v>
      </c>
      <c r="R2019" s="80" t="e" cm="1">
        <f t="array" ref="R2019">_xlfn.IFS(P2019="Service", _xlfn.IFS(I2019="SALES","GP",I2019="SERVICE SALES","GP",I2019="PARTS SALES","GP",I2019="SERVICE COS","GP",I2019="PARTS COS","GP",I2019="SELLING EXPENSES","Selling Expenses",I2019="EMPLOYMENT EXPENSES","Selling Expenses",I2019="EMPLOYMENT EXPENSES","Selling Expenses",I2019="DIRECT EXPENSES","Selling Expenses",I2019="INDIRECT EXPENSES","Selling Expenses"),P2019="Parts",_xlfn.IFS(I2019="SALES","GP",I2019="SERVICE SALES","GP",I2019="PARTS SALES","GP",I2019="SERVICE COS","GP",I2019="PARTS COS","GP",I2019="SELLING EXPENSES","Selling Expenses",I2019="EMPLOYMENT EXPENSES","Selling Expenses",I2019="EMPLOYMENT EXPENSES","Selling Expenses",I2019="DIRECT EXPENSES","Selling Expenses",I2019="INDIRECT EXPENSES","Selling Expenses"))</f>
        <v>#N/A</v>
      </c>
    </row>
    <row r="2020" spans="1:18" x14ac:dyDescent="0.2">
      <c r="A2020" s="76">
        <v>7905</v>
      </c>
      <c r="B2020" s="76" t="s">
        <v>982</v>
      </c>
      <c r="C2020" s="76">
        <v>160</v>
      </c>
      <c r="D2020" s="76" t="s">
        <v>434</v>
      </c>
      <c r="E2020" s="76" t="s">
        <v>426</v>
      </c>
      <c r="F2020" s="77">
        <v>1366.57</v>
      </c>
      <c r="G2020" s="77">
        <v>18</v>
      </c>
      <c r="H2020" s="77">
        <v>1384.57</v>
      </c>
      <c r="I2020" s="76" t="s">
        <v>968</v>
      </c>
      <c r="J2020" s="77">
        <v>0</v>
      </c>
      <c r="K2020" s="77">
        <v>0</v>
      </c>
      <c r="M2020" s="79" t="str">
        <f t="shared" si="94"/>
        <v>160-7905</v>
      </c>
      <c r="O2020" s="79" t="str">
        <f t="shared" si="93"/>
        <v>160</v>
      </c>
      <c r="P2020" s="79" t="str">
        <f>IFERROR(VLOOKUP($M2020,Export!$P:$R,2,FALSE),"-")</f>
        <v>Admin &amp; Other</v>
      </c>
      <c r="Q2020" s="79" t="str">
        <f>IFERROR(VLOOKUP($M2020,Export!$P:$R,3,FALSE),"-")</f>
        <v>Admin &amp; OtherProfessional Fees as % of Total Gross Profit</v>
      </c>
      <c r="R2020" s="80" t="e" cm="1">
        <f t="array" ref="R2020">_xlfn.IFS(P2020="Service", _xlfn.IFS(I2020="SALES","GP",I2020="SERVICE SALES","GP",I2020="PARTS SALES","GP",I2020="SERVICE COS","GP",I2020="PARTS COS","GP",I2020="SELLING EXPENSES","Selling Expenses",I2020="EMPLOYMENT EXPENSES","Selling Expenses",I2020="EMPLOYMENT EXPENSES","Selling Expenses",I2020="DIRECT EXPENSES","Selling Expenses",I2020="INDIRECT EXPENSES","Selling Expenses"),P2020="Parts",_xlfn.IFS(I2020="SALES","GP",I2020="SERVICE SALES","GP",I2020="PARTS SALES","GP",I2020="SERVICE COS","GP",I2020="PARTS COS","GP",I2020="SELLING EXPENSES","Selling Expenses",I2020="EMPLOYMENT EXPENSES","Selling Expenses",I2020="EMPLOYMENT EXPENSES","Selling Expenses",I2020="DIRECT EXPENSES","Selling Expenses",I2020="INDIRECT EXPENSES","Selling Expenses"))</f>
        <v>#N/A</v>
      </c>
    </row>
    <row r="2021" spans="1:18" x14ac:dyDescent="0.2">
      <c r="A2021" s="76">
        <v>7905</v>
      </c>
      <c r="B2021" s="76" t="s">
        <v>982</v>
      </c>
      <c r="C2021" s="76">
        <v>190</v>
      </c>
      <c r="D2021" s="76" t="s">
        <v>435</v>
      </c>
      <c r="E2021" s="76" t="s">
        <v>426</v>
      </c>
      <c r="F2021" s="77">
        <v>658.04</v>
      </c>
      <c r="G2021" s="77">
        <v>0</v>
      </c>
      <c r="H2021" s="77">
        <v>658.04</v>
      </c>
      <c r="I2021" s="76" t="s">
        <v>968</v>
      </c>
      <c r="J2021" s="77">
        <v>0</v>
      </c>
      <c r="K2021" s="77">
        <v>0</v>
      </c>
      <c r="M2021" s="79" t="str">
        <f t="shared" si="94"/>
        <v>190-7905</v>
      </c>
      <c r="O2021" s="79" t="str">
        <f t="shared" si="93"/>
        <v>190</v>
      </c>
      <c r="P2021" s="79" t="str">
        <f>IFERROR(VLOOKUP($M2021,Export!$P:$R,2,FALSE),"-")</f>
        <v>Admin &amp; Other</v>
      </c>
      <c r="Q2021" s="79" t="str">
        <f>IFERROR(VLOOKUP($M2021,Export!$P:$R,3,FALSE),"-")</f>
        <v>Admin &amp; OtherProfessional Fees as % of Total Gross Profit</v>
      </c>
      <c r="R2021" s="80" t="e" cm="1">
        <f t="array" ref="R2021">_xlfn.IFS(P2021="Service", _xlfn.IFS(I2021="SALES","GP",I2021="SERVICE SALES","GP",I2021="PARTS SALES","GP",I2021="SERVICE COS","GP",I2021="PARTS COS","GP",I2021="SELLING EXPENSES","Selling Expenses",I2021="EMPLOYMENT EXPENSES","Selling Expenses",I2021="EMPLOYMENT EXPENSES","Selling Expenses",I2021="DIRECT EXPENSES","Selling Expenses",I2021="INDIRECT EXPENSES","Selling Expenses"),P2021="Parts",_xlfn.IFS(I2021="SALES","GP",I2021="SERVICE SALES","GP",I2021="PARTS SALES","GP",I2021="SERVICE COS","GP",I2021="PARTS COS","GP",I2021="SELLING EXPENSES","Selling Expenses",I2021="EMPLOYMENT EXPENSES","Selling Expenses",I2021="EMPLOYMENT EXPENSES","Selling Expenses",I2021="DIRECT EXPENSES","Selling Expenses",I2021="INDIRECT EXPENSES","Selling Expenses"))</f>
        <v>#N/A</v>
      </c>
    </row>
    <row r="2022" spans="1:18" x14ac:dyDescent="0.2">
      <c r="A2022" s="76">
        <v>7905</v>
      </c>
      <c r="B2022" s="76" t="s">
        <v>982</v>
      </c>
      <c r="C2022" s="76">
        <v>210</v>
      </c>
      <c r="D2022" s="76" t="s">
        <v>436</v>
      </c>
      <c r="E2022" s="76" t="s">
        <v>426</v>
      </c>
      <c r="F2022" s="77">
        <v>1455.06</v>
      </c>
      <c r="G2022" s="77">
        <v>18</v>
      </c>
      <c r="H2022" s="77">
        <v>1473.06</v>
      </c>
      <c r="I2022" s="76" t="s">
        <v>968</v>
      </c>
      <c r="J2022" s="77">
        <v>687.5</v>
      </c>
      <c r="K2022" s="77">
        <v>12627</v>
      </c>
      <c r="M2022" s="79" t="str">
        <f t="shared" si="94"/>
        <v>210-7905</v>
      </c>
      <c r="O2022" s="79" t="str">
        <f t="shared" si="93"/>
        <v>210</v>
      </c>
      <c r="P2022" s="79" t="str">
        <f>IFERROR(VLOOKUP($M2022,Export!$P:$R,2,FALSE),"-")</f>
        <v>Admin &amp; Other</v>
      </c>
      <c r="Q2022" s="79" t="str">
        <f>IFERROR(VLOOKUP($M2022,Export!$P:$R,3,FALSE),"-")</f>
        <v>Admin &amp; OtherProfessional Fees as % of Total Gross Profit</v>
      </c>
      <c r="R2022" s="80" t="e" cm="1">
        <f t="array" ref="R2022">_xlfn.IFS(P2022="Service", _xlfn.IFS(I2022="SALES","GP",I2022="SERVICE SALES","GP",I2022="PARTS SALES","GP",I2022="SERVICE COS","GP",I2022="PARTS COS","GP",I2022="SELLING EXPENSES","Selling Expenses",I2022="EMPLOYMENT EXPENSES","Selling Expenses",I2022="EMPLOYMENT EXPENSES","Selling Expenses",I2022="DIRECT EXPENSES","Selling Expenses",I2022="INDIRECT EXPENSES","Selling Expenses"),P2022="Parts",_xlfn.IFS(I2022="SALES","GP",I2022="SERVICE SALES","GP",I2022="PARTS SALES","GP",I2022="SERVICE COS","GP",I2022="PARTS COS","GP",I2022="SELLING EXPENSES","Selling Expenses",I2022="EMPLOYMENT EXPENSES","Selling Expenses",I2022="EMPLOYMENT EXPENSES","Selling Expenses",I2022="DIRECT EXPENSES","Selling Expenses",I2022="INDIRECT EXPENSES","Selling Expenses"))</f>
        <v>#N/A</v>
      </c>
    </row>
    <row r="2023" spans="1:18" x14ac:dyDescent="0.2">
      <c r="A2023" s="76">
        <v>7905</v>
      </c>
      <c r="B2023" s="76" t="s">
        <v>982</v>
      </c>
      <c r="C2023" s="76">
        <v>220</v>
      </c>
      <c r="D2023" s="76" t="s">
        <v>437</v>
      </c>
      <c r="E2023" s="76" t="s">
        <v>426</v>
      </c>
      <c r="F2023" s="77">
        <v>1455.06</v>
      </c>
      <c r="G2023" s="77">
        <v>18</v>
      </c>
      <c r="H2023" s="77">
        <v>1473.06</v>
      </c>
      <c r="I2023" s="76" t="s">
        <v>968</v>
      </c>
      <c r="J2023" s="77">
        <v>687.5</v>
      </c>
      <c r="K2023" s="77">
        <v>12627</v>
      </c>
      <c r="M2023" s="79" t="str">
        <f t="shared" si="94"/>
        <v>220-7905</v>
      </c>
      <c r="O2023" s="79" t="str">
        <f t="shared" si="93"/>
        <v>220</v>
      </c>
      <c r="P2023" s="79" t="str">
        <f>IFERROR(VLOOKUP($M2023,Export!$P:$R,2,FALSE),"-")</f>
        <v>Admin &amp; Other</v>
      </c>
      <c r="Q2023" s="79" t="str">
        <f>IFERROR(VLOOKUP($M2023,Export!$P:$R,3,FALSE),"-")</f>
        <v>Admin &amp; OtherProfessional Fees as % of Total Gross Profit</v>
      </c>
      <c r="R2023" s="80" t="e" cm="1">
        <f t="array" ref="R2023">_xlfn.IFS(P2023="Service", _xlfn.IFS(I2023="SALES","GP",I2023="SERVICE SALES","GP",I2023="PARTS SALES","GP",I2023="SERVICE COS","GP",I2023="PARTS COS","GP",I2023="SELLING EXPENSES","Selling Expenses",I2023="EMPLOYMENT EXPENSES","Selling Expenses",I2023="EMPLOYMENT EXPENSES","Selling Expenses",I2023="DIRECT EXPENSES","Selling Expenses",I2023="INDIRECT EXPENSES","Selling Expenses"),P2023="Parts",_xlfn.IFS(I2023="SALES","GP",I2023="SERVICE SALES","GP",I2023="PARTS SALES","GP",I2023="SERVICE COS","GP",I2023="PARTS COS","GP",I2023="SELLING EXPENSES","Selling Expenses",I2023="EMPLOYMENT EXPENSES","Selling Expenses",I2023="EMPLOYMENT EXPENSES","Selling Expenses",I2023="DIRECT EXPENSES","Selling Expenses",I2023="INDIRECT EXPENSES","Selling Expenses"))</f>
        <v>#N/A</v>
      </c>
    </row>
    <row r="2024" spans="1:18" x14ac:dyDescent="0.2">
      <c r="A2024" s="76">
        <v>7905</v>
      </c>
      <c r="B2024" s="76" t="s">
        <v>982</v>
      </c>
      <c r="C2024" s="76">
        <v>230</v>
      </c>
      <c r="D2024" s="76" t="s">
        <v>438</v>
      </c>
      <c r="E2024" s="76" t="s">
        <v>426</v>
      </c>
      <c r="F2024" s="77">
        <v>1455.06</v>
      </c>
      <c r="G2024" s="77">
        <v>18</v>
      </c>
      <c r="H2024" s="77">
        <v>1473.06</v>
      </c>
      <c r="I2024" s="76" t="s">
        <v>968</v>
      </c>
      <c r="J2024" s="77">
        <v>500</v>
      </c>
      <c r="K2024" s="77">
        <v>10564.5</v>
      </c>
      <c r="M2024" s="79" t="str">
        <f t="shared" si="94"/>
        <v>230-7905</v>
      </c>
      <c r="O2024" s="79" t="str">
        <f t="shared" si="93"/>
        <v>230</v>
      </c>
      <c r="P2024" s="79" t="str">
        <f>IFERROR(VLOOKUP($M2024,Export!$P:$R,2,FALSE),"-")</f>
        <v>Admin &amp; Other</v>
      </c>
      <c r="Q2024" s="79" t="str">
        <f>IFERROR(VLOOKUP($M2024,Export!$P:$R,3,FALSE),"-")</f>
        <v>Admin &amp; OtherProfessional Fees as % of Total Gross Profit</v>
      </c>
      <c r="R2024" s="80" t="e" cm="1">
        <f t="array" ref="R2024">_xlfn.IFS(P2024="Service", _xlfn.IFS(I2024="SALES","GP",I2024="SERVICE SALES","GP",I2024="PARTS SALES","GP",I2024="SERVICE COS","GP",I2024="PARTS COS","GP",I2024="SELLING EXPENSES","Selling Expenses",I2024="EMPLOYMENT EXPENSES","Selling Expenses",I2024="EMPLOYMENT EXPENSES","Selling Expenses",I2024="DIRECT EXPENSES","Selling Expenses",I2024="INDIRECT EXPENSES","Selling Expenses"),P2024="Parts",_xlfn.IFS(I2024="SALES","GP",I2024="SERVICE SALES","GP",I2024="PARTS SALES","GP",I2024="SERVICE COS","GP",I2024="PARTS COS","GP",I2024="SELLING EXPENSES","Selling Expenses",I2024="EMPLOYMENT EXPENSES","Selling Expenses",I2024="EMPLOYMENT EXPENSES","Selling Expenses",I2024="DIRECT EXPENSES","Selling Expenses",I2024="INDIRECT EXPENSES","Selling Expenses"))</f>
        <v>#N/A</v>
      </c>
    </row>
    <row r="2025" spans="1:18" x14ac:dyDescent="0.2">
      <c r="A2025" s="76">
        <v>7905</v>
      </c>
      <c r="B2025" s="76" t="s">
        <v>982</v>
      </c>
      <c r="C2025" s="76">
        <v>240</v>
      </c>
      <c r="D2025" s="76" t="s">
        <v>439</v>
      </c>
      <c r="E2025" s="76" t="s">
        <v>426</v>
      </c>
      <c r="F2025" s="77">
        <v>1455.06</v>
      </c>
      <c r="G2025" s="77">
        <v>18</v>
      </c>
      <c r="H2025" s="77">
        <v>1473.06</v>
      </c>
      <c r="I2025" s="76" t="s">
        <v>968</v>
      </c>
      <c r="J2025" s="77">
        <v>500</v>
      </c>
      <c r="K2025" s="77">
        <v>10564.5</v>
      </c>
      <c r="M2025" s="79" t="str">
        <f t="shared" si="94"/>
        <v>240-7905</v>
      </c>
      <c r="O2025" s="79" t="str">
        <f t="shared" si="93"/>
        <v>240</v>
      </c>
      <c r="P2025" s="79" t="str">
        <f>IFERROR(VLOOKUP($M2025,Export!$P:$R,2,FALSE),"-")</f>
        <v>Admin &amp; Other</v>
      </c>
      <c r="Q2025" s="79" t="str">
        <f>IFERROR(VLOOKUP($M2025,Export!$P:$R,3,FALSE),"-")</f>
        <v>Admin &amp; OtherProfessional Fees as % of Total Gross Profit</v>
      </c>
      <c r="R2025" s="80" t="e" cm="1">
        <f t="array" ref="R2025">_xlfn.IFS(P2025="Service", _xlfn.IFS(I2025="SALES","GP",I2025="SERVICE SALES","GP",I2025="PARTS SALES","GP",I2025="SERVICE COS","GP",I2025="PARTS COS","GP",I2025="SELLING EXPENSES","Selling Expenses",I2025="EMPLOYMENT EXPENSES","Selling Expenses",I2025="EMPLOYMENT EXPENSES","Selling Expenses",I2025="DIRECT EXPENSES","Selling Expenses",I2025="INDIRECT EXPENSES","Selling Expenses"),P2025="Parts",_xlfn.IFS(I2025="SALES","GP",I2025="SERVICE SALES","GP",I2025="PARTS SALES","GP",I2025="SERVICE COS","GP",I2025="PARTS COS","GP",I2025="SELLING EXPENSES","Selling Expenses",I2025="EMPLOYMENT EXPENSES","Selling Expenses",I2025="EMPLOYMENT EXPENSES","Selling Expenses",I2025="DIRECT EXPENSES","Selling Expenses",I2025="INDIRECT EXPENSES","Selling Expenses"))</f>
        <v>#N/A</v>
      </c>
    </row>
    <row r="2026" spans="1:18" x14ac:dyDescent="0.2">
      <c r="A2026" s="76">
        <v>7905</v>
      </c>
      <c r="B2026" s="76" t="s">
        <v>982</v>
      </c>
      <c r="C2026" s="76">
        <v>260</v>
      </c>
      <c r="D2026" s="76" t="s">
        <v>456</v>
      </c>
      <c r="E2026" s="76" t="s">
        <v>426</v>
      </c>
      <c r="F2026" s="77">
        <v>1366.57</v>
      </c>
      <c r="G2026" s="77">
        <v>18</v>
      </c>
      <c r="H2026" s="77">
        <v>1384.57</v>
      </c>
      <c r="I2026" s="76" t="s">
        <v>968</v>
      </c>
      <c r="J2026" s="77">
        <v>0</v>
      </c>
      <c r="K2026" s="77">
        <v>0</v>
      </c>
      <c r="M2026" s="79" t="str">
        <f t="shared" ref="M2026" si="96">+C2026&amp;"-"&amp;A2026</f>
        <v>260-7905</v>
      </c>
      <c r="O2026" s="79" t="str">
        <f t="shared" ref="O2026" si="97">+C2026&amp;N2026</f>
        <v>260</v>
      </c>
      <c r="P2026" s="79" t="str">
        <f>IFERROR(VLOOKUP($M2026,Export!$P:$R,2,FALSE),"-")</f>
        <v>Admin &amp; Other</v>
      </c>
      <c r="Q2026" s="79" t="str">
        <f>IFERROR(VLOOKUP($M2026,Export!$P:$R,3,FALSE),"-")</f>
        <v>Admin &amp; OtherProfessional Fees as % of Total Gross Profit</v>
      </c>
      <c r="R2026" s="80" t="e" cm="1">
        <f t="array" ref="R2026">_xlfn.IFS(P2026="Service", _xlfn.IFS(I2026="SALES","GP",I2026="SERVICE SALES","GP",I2026="PARTS SALES","GP",I2026="SERVICE COS","GP",I2026="PARTS COS","GP",I2026="SELLING EXPENSES","Selling Expenses",I2026="EMPLOYMENT EXPENSES","Selling Expenses",I2026="EMPLOYMENT EXPENSES","Selling Expenses",I2026="DIRECT EXPENSES","Selling Expenses",I2026="INDIRECT EXPENSES","Selling Expenses"),P2026="Parts",_xlfn.IFS(I2026="SALES","GP",I2026="SERVICE SALES","GP",I2026="PARTS SALES","GP",I2026="SERVICE COS","GP",I2026="PARTS COS","GP",I2026="SELLING EXPENSES","Selling Expenses",I2026="EMPLOYMENT EXPENSES","Selling Expenses",I2026="EMPLOYMENT EXPENSES","Selling Expenses",I2026="DIRECT EXPENSES","Selling Expenses",I2026="INDIRECT EXPENSES","Selling Expenses"))</f>
        <v>#N/A</v>
      </c>
    </row>
    <row r="2027" spans="1:18" x14ac:dyDescent="0.2">
      <c r="A2027" s="76">
        <v>7905</v>
      </c>
      <c r="B2027" s="76" t="s">
        <v>982</v>
      </c>
      <c r="C2027" s="76">
        <v>330</v>
      </c>
      <c r="D2027" s="76" t="s">
        <v>457</v>
      </c>
      <c r="E2027" s="76" t="s">
        <v>426</v>
      </c>
      <c r="F2027" s="77">
        <v>1366.57</v>
      </c>
      <c r="G2027" s="77">
        <v>18</v>
      </c>
      <c r="H2027" s="77">
        <v>1384.57</v>
      </c>
      <c r="I2027" s="76" t="s">
        <v>968</v>
      </c>
      <c r="J2027" s="77">
        <v>0</v>
      </c>
      <c r="K2027" s="77">
        <v>0</v>
      </c>
      <c r="M2027" s="79" t="str">
        <f t="shared" ref="M2027:M2034" si="98">+C2027&amp;"-"&amp;A2027</f>
        <v>330-7905</v>
      </c>
      <c r="O2027" s="79" t="str">
        <f t="shared" ref="O2027:O2034" si="99">+C2027&amp;N2027</f>
        <v>330</v>
      </c>
      <c r="P2027" s="79" t="str">
        <f>IFERROR(VLOOKUP($M2027,Export!$P:$R,2,FALSE),"-")</f>
        <v>Admin &amp; Other</v>
      </c>
      <c r="Q2027" s="79" t="str">
        <f>IFERROR(VLOOKUP($M2027,Export!$P:$R,3,FALSE),"-")</f>
        <v>Admin &amp; OtherProfessional Fees as % of Total Gross Profit</v>
      </c>
      <c r="R2027" s="80" t="e" cm="1">
        <f t="array" ref="R2027">_xlfn.IFS(P2027="Service", _xlfn.IFS(I2027="SALES","GP",I2027="SERVICE SALES","GP",I2027="PARTS SALES","GP",I2027="SERVICE COS","GP",I2027="PARTS COS","GP",I2027="SELLING EXPENSES","Selling Expenses",I2027="EMPLOYMENT EXPENSES","Selling Expenses",I2027="EMPLOYMENT EXPENSES","Selling Expenses",I2027="DIRECT EXPENSES","Selling Expenses",I2027="INDIRECT EXPENSES","Selling Expenses"),P2027="Parts",_xlfn.IFS(I2027="SALES","GP",I2027="SERVICE SALES","GP",I2027="PARTS SALES","GP",I2027="SERVICE COS","GP",I2027="PARTS COS","GP",I2027="SELLING EXPENSES","Selling Expenses",I2027="EMPLOYMENT EXPENSES","Selling Expenses",I2027="EMPLOYMENT EXPENSES","Selling Expenses",I2027="DIRECT EXPENSES","Selling Expenses",I2027="INDIRECT EXPENSES","Selling Expenses"))</f>
        <v>#N/A</v>
      </c>
    </row>
    <row r="2028" spans="1:18" x14ac:dyDescent="0.2">
      <c r="A2028" s="76">
        <v>7905</v>
      </c>
      <c r="B2028" s="76" t="s">
        <v>982</v>
      </c>
      <c r="C2028" s="76">
        <v>340</v>
      </c>
      <c r="D2028" s="76" t="s">
        <v>440</v>
      </c>
      <c r="E2028" s="76" t="s">
        <v>426</v>
      </c>
      <c r="F2028" s="77">
        <v>1366.57</v>
      </c>
      <c r="G2028" s="77">
        <v>18</v>
      </c>
      <c r="H2028" s="77">
        <v>1384.57</v>
      </c>
      <c r="I2028" s="76" t="s">
        <v>968</v>
      </c>
      <c r="J2028" s="77">
        <v>300</v>
      </c>
      <c r="K2028" s="77">
        <v>6091.39</v>
      </c>
      <c r="M2028" s="79" t="str">
        <f t="shared" si="98"/>
        <v>340-7905</v>
      </c>
      <c r="O2028" s="79" t="str">
        <f t="shared" si="99"/>
        <v>340</v>
      </c>
      <c r="P2028" s="79" t="str">
        <f>IFERROR(VLOOKUP($M2028,Export!$P:$R,2,FALSE),"-")</f>
        <v>Admin &amp; Other</v>
      </c>
      <c r="Q2028" s="79" t="str">
        <f>IFERROR(VLOOKUP($M2028,Export!$P:$R,3,FALSE),"-")</f>
        <v>Admin &amp; OtherProfessional Fees as % of Total Gross Profit</v>
      </c>
      <c r="R2028" s="80" t="e" cm="1">
        <f t="array" ref="R2028">_xlfn.IFS(P2028="Service", _xlfn.IFS(I2028="SALES","GP",I2028="SERVICE SALES","GP",I2028="PARTS SALES","GP",I2028="SERVICE COS","GP",I2028="PARTS COS","GP",I2028="SELLING EXPENSES","Selling Expenses",I2028="EMPLOYMENT EXPENSES","Selling Expenses",I2028="EMPLOYMENT EXPENSES","Selling Expenses",I2028="DIRECT EXPENSES","Selling Expenses",I2028="INDIRECT EXPENSES","Selling Expenses"),P2028="Parts",_xlfn.IFS(I2028="SALES","GP",I2028="SERVICE SALES","GP",I2028="PARTS SALES","GP",I2028="SERVICE COS","GP",I2028="PARTS COS","GP",I2028="SELLING EXPENSES","Selling Expenses",I2028="EMPLOYMENT EXPENSES","Selling Expenses",I2028="EMPLOYMENT EXPENSES","Selling Expenses",I2028="DIRECT EXPENSES","Selling Expenses",I2028="INDIRECT EXPENSES","Selling Expenses"))</f>
        <v>#N/A</v>
      </c>
    </row>
    <row r="2029" spans="1:18" x14ac:dyDescent="0.2">
      <c r="A2029" s="76">
        <v>7905</v>
      </c>
      <c r="B2029" s="76" t="s">
        <v>982</v>
      </c>
      <c r="C2029" s="76">
        <v>430</v>
      </c>
      <c r="D2029" s="76" t="s">
        <v>458</v>
      </c>
      <c r="E2029" s="76" t="s">
        <v>426</v>
      </c>
      <c r="F2029" s="77">
        <v>1366.57</v>
      </c>
      <c r="G2029" s="77">
        <v>18</v>
      </c>
      <c r="H2029" s="77">
        <v>1384.57</v>
      </c>
      <c r="I2029" s="76" t="s">
        <v>968</v>
      </c>
      <c r="J2029" s="77">
        <v>0</v>
      </c>
      <c r="K2029" s="77">
        <v>0</v>
      </c>
      <c r="M2029" s="79" t="str">
        <f t="shared" si="98"/>
        <v>430-7905</v>
      </c>
      <c r="O2029" s="79" t="str">
        <f t="shared" si="99"/>
        <v>430</v>
      </c>
      <c r="P2029" s="79" t="str">
        <f>IFERROR(VLOOKUP($M2029,Export!$P:$R,2,FALSE),"-")</f>
        <v>Admin &amp; Other</v>
      </c>
      <c r="Q2029" s="79" t="str">
        <f>IFERROR(VLOOKUP($M2029,Export!$P:$R,3,FALSE),"-")</f>
        <v>Admin &amp; OtherProfessional Fees as % of Total Gross Profit</v>
      </c>
      <c r="R2029" s="80" t="e" cm="1">
        <f t="array" ref="R2029">_xlfn.IFS(P2029="Service", _xlfn.IFS(I2029="SALES","GP",I2029="SERVICE SALES","GP",I2029="PARTS SALES","GP",I2029="SERVICE COS","GP",I2029="PARTS COS","GP",I2029="SELLING EXPENSES","Selling Expenses",I2029="EMPLOYMENT EXPENSES","Selling Expenses",I2029="EMPLOYMENT EXPENSES","Selling Expenses",I2029="DIRECT EXPENSES","Selling Expenses",I2029="INDIRECT EXPENSES","Selling Expenses"),P2029="Parts",_xlfn.IFS(I2029="SALES","GP",I2029="SERVICE SALES","GP",I2029="PARTS SALES","GP",I2029="SERVICE COS","GP",I2029="PARTS COS","GP",I2029="SELLING EXPENSES","Selling Expenses",I2029="EMPLOYMENT EXPENSES","Selling Expenses",I2029="EMPLOYMENT EXPENSES","Selling Expenses",I2029="DIRECT EXPENSES","Selling Expenses",I2029="INDIRECT EXPENSES","Selling Expenses"))</f>
        <v>#N/A</v>
      </c>
    </row>
    <row r="2030" spans="1:18" x14ac:dyDescent="0.2">
      <c r="A2030" s="76">
        <v>7905</v>
      </c>
      <c r="B2030" s="76" t="s">
        <v>982</v>
      </c>
      <c r="C2030" s="76">
        <v>440</v>
      </c>
      <c r="D2030" s="76" t="s">
        <v>441</v>
      </c>
      <c r="E2030" s="76" t="s">
        <v>426</v>
      </c>
      <c r="F2030" s="77">
        <v>1366.57</v>
      </c>
      <c r="G2030" s="77">
        <v>18</v>
      </c>
      <c r="H2030" s="77">
        <v>1384.57</v>
      </c>
      <c r="I2030" s="76" t="s">
        <v>968</v>
      </c>
      <c r="J2030" s="77">
        <v>250</v>
      </c>
      <c r="K2030" s="77">
        <v>2750</v>
      </c>
      <c r="M2030" s="79" t="str">
        <f t="shared" si="98"/>
        <v>440-7905</v>
      </c>
      <c r="O2030" s="79" t="str">
        <f t="shared" si="99"/>
        <v>440</v>
      </c>
      <c r="P2030" s="79" t="str">
        <f>IFERROR(VLOOKUP($M2030,Export!$P:$R,2,FALSE),"-")</f>
        <v>Admin &amp; Other</v>
      </c>
      <c r="Q2030" s="79" t="str">
        <f>IFERROR(VLOOKUP($M2030,Export!$P:$R,3,FALSE),"-")</f>
        <v>Admin &amp; OtherProfessional Fees as % of Total Gross Profit</v>
      </c>
      <c r="R2030" s="80" t="e" cm="1">
        <f t="array" ref="R2030">_xlfn.IFS(P2030="Service", _xlfn.IFS(I2030="SALES","GP",I2030="SERVICE SALES","GP",I2030="PARTS SALES","GP",I2030="SERVICE COS","GP",I2030="PARTS COS","GP",I2030="SELLING EXPENSES","Selling Expenses",I2030="EMPLOYMENT EXPENSES","Selling Expenses",I2030="EMPLOYMENT EXPENSES","Selling Expenses",I2030="DIRECT EXPENSES","Selling Expenses",I2030="INDIRECT EXPENSES","Selling Expenses"),P2030="Parts",_xlfn.IFS(I2030="SALES","GP",I2030="SERVICE SALES","GP",I2030="PARTS SALES","GP",I2030="SERVICE COS","GP",I2030="PARTS COS","GP",I2030="SELLING EXPENSES","Selling Expenses",I2030="EMPLOYMENT EXPENSES","Selling Expenses",I2030="EMPLOYMENT EXPENSES","Selling Expenses",I2030="DIRECT EXPENSES","Selling Expenses",I2030="INDIRECT EXPENSES","Selling Expenses"))</f>
        <v>#N/A</v>
      </c>
    </row>
    <row r="2031" spans="1:18" x14ac:dyDescent="0.2">
      <c r="A2031" s="76">
        <v>7905</v>
      </c>
      <c r="B2031" s="76" t="s">
        <v>982</v>
      </c>
      <c r="C2031" s="76">
        <v>935</v>
      </c>
      <c r="D2031" s="76" t="s">
        <v>442</v>
      </c>
      <c r="E2031" s="76" t="s">
        <v>426</v>
      </c>
      <c r="F2031" s="77">
        <v>1366.57</v>
      </c>
      <c r="G2031" s="77">
        <v>18</v>
      </c>
      <c r="H2031" s="77">
        <v>1384.57</v>
      </c>
      <c r="I2031" s="76" t="s">
        <v>968</v>
      </c>
      <c r="J2031" s="77">
        <v>0</v>
      </c>
      <c r="K2031" s="77">
        <v>0</v>
      </c>
      <c r="M2031" s="79" t="str">
        <f t="shared" si="98"/>
        <v>935-7905</v>
      </c>
      <c r="O2031" s="79" t="str">
        <f t="shared" si="99"/>
        <v>935</v>
      </c>
      <c r="P2031" s="79" t="str">
        <f>IFERROR(VLOOKUP($M2031,Export!$P:$R,2,FALSE),"-")</f>
        <v>LEX Admin &amp; Other</v>
      </c>
      <c r="Q2031" s="79" t="str">
        <f>IFERROR(VLOOKUP($M2031,Export!$P:$R,3,FALSE),"-")</f>
        <v>LEX Admin &amp; OtherProfessional Fees as % of Total Gross Profit</v>
      </c>
      <c r="R2031" s="80" t="e" cm="1">
        <f t="array" ref="R2031">_xlfn.IFS(P2031="Service", _xlfn.IFS(I2031="SALES","GP",I2031="SERVICE SALES","GP",I2031="PARTS SALES","GP",I2031="SERVICE COS","GP",I2031="PARTS COS","GP",I2031="SELLING EXPENSES","Selling Expenses",I2031="EMPLOYMENT EXPENSES","Selling Expenses",I2031="EMPLOYMENT EXPENSES","Selling Expenses",I2031="DIRECT EXPENSES","Selling Expenses",I2031="INDIRECT EXPENSES","Selling Expenses"),P2031="Parts",_xlfn.IFS(I2031="SALES","GP",I2031="SERVICE SALES","GP",I2031="PARTS SALES","GP",I2031="SERVICE COS","GP",I2031="PARTS COS","GP",I2031="SELLING EXPENSES","Selling Expenses",I2031="EMPLOYMENT EXPENSES","Selling Expenses",I2031="EMPLOYMENT EXPENSES","Selling Expenses",I2031="DIRECT EXPENSES","Selling Expenses",I2031="INDIRECT EXPENSES","Selling Expenses"))</f>
        <v>#N/A</v>
      </c>
    </row>
    <row r="2032" spans="1:18" x14ac:dyDescent="0.2">
      <c r="A2032" s="76">
        <v>7905</v>
      </c>
      <c r="B2032" s="76" t="s">
        <v>982</v>
      </c>
      <c r="C2032" s="76">
        <v>936</v>
      </c>
      <c r="D2032" s="76" t="s">
        <v>443</v>
      </c>
      <c r="E2032" s="76" t="s">
        <v>426</v>
      </c>
      <c r="F2032" s="77">
        <v>1366.57</v>
      </c>
      <c r="G2032" s="77">
        <v>18</v>
      </c>
      <c r="H2032" s="77">
        <v>1384.57</v>
      </c>
      <c r="I2032" s="76" t="s">
        <v>968</v>
      </c>
      <c r="J2032" s="77">
        <v>250</v>
      </c>
      <c r="K2032" s="77">
        <v>5541.27</v>
      </c>
      <c r="M2032" s="79" t="str">
        <f t="shared" si="98"/>
        <v>936-7905</v>
      </c>
      <c r="O2032" s="79" t="str">
        <f t="shared" si="99"/>
        <v>936</v>
      </c>
      <c r="P2032" s="79" t="str">
        <f>IFERROR(VLOOKUP($M2032,Export!$P:$R,2,FALSE),"-")</f>
        <v>LEX Admin &amp; Other</v>
      </c>
      <c r="Q2032" s="79" t="str">
        <f>IFERROR(VLOOKUP($M2032,Export!$P:$R,3,FALSE),"-")</f>
        <v>LEX Admin &amp; OtherProfessional Fees as % of Total Gross Profit</v>
      </c>
      <c r="R2032" s="80" t="e" cm="1">
        <f t="array" ref="R2032">_xlfn.IFS(P2032="Service", _xlfn.IFS(I2032="SALES","GP",I2032="SERVICE SALES","GP",I2032="PARTS SALES","GP",I2032="SERVICE COS","GP",I2032="PARTS COS","GP",I2032="SELLING EXPENSES","Selling Expenses",I2032="EMPLOYMENT EXPENSES","Selling Expenses",I2032="EMPLOYMENT EXPENSES","Selling Expenses",I2032="DIRECT EXPENSES","Selling Expenses",I2032="INDIRECT EXPENSES","Selling Expenses"),P2032="Parts",_xlfn.IFS(I2032="SALES","GP",I2032="SERVICE SALES","GP",I2032="PARTS SALES","GP",I2032="SERVICE COS","GP",I2032="PARTS COS","GP",I2032="SELLING EXPENSES","Selling Expenses",I2032="EMPLOYMENT EXPENSES","Selling Expenses",I2032="EMPLOYMENT EXPENSES","Selling Expenses",I2032="DIRECT EXPENSES","Selling Expenses",I2032="INDIRECT EXPENSES","Selling Expenses"))</f>
        <v>#N/A</v>
      </c>
    </row>
    <row r="2033" spans="1:18" x14ac:dyDescent="0.2">
      <c r="A2033" s="76"/>
      <c r="B2033" s="76"/>
      <c r="C2033" s="76"/>
      <c r="D2033" s="76"/>
      <c r="E2033" s="76"/>
      <c r="F2033" s="77"/>
      <c r="G2033" s="77"/>
      <c r="H2033" s="77"/>
      <c r="I2033" s="76"/>
      <c r="J2033" s="77"/>
      <c r="K2033" s="77"/>
      <c r="M2033" s="79" t="str">
        <f t="shared" si="98"/>
        <v>-</v>
      </c>
      <c r="O2033" s="79" t="str">
        <f t="shared" si="99"/>
        <v/>
      </c>
      <c r="P2033" s="79" t="str">
        <f>IFERROR(VLOOKUP($M2033,Export!$P:$R,2,FALSE),"-")</f>
        <v>-</v>
      </c>
      <c r="Q2033" s="79" t="str">
        <f>IFERROR(VLOOKUP($M2033,Export!$P:$R,3,FALSE),"-")</f>
        <v>-</v>
      </c>
      <c r="R2033" s="80" t="e" cm="1">
        <f t="array" ref="R2033">_xlfn.IFS(P2033="Service", _xlfn.IFS(I2033="SALES","GP",I2033="SERVICE SALES","GP",I2033="PARTS SALES","GP",I2033="SERVICE COS","GP",I2033="PARTS COS","GP",I2033="SELLING EXPENSES","Selling Expenses",I2033="EMPLOYMENT EXPENSES","Selling Expenses",I2033="EMPLOYMENT EXPENSES","Selling Expenses",I2033="DIRECT EXPENSES","Selling Expenses",I2033="INDIRECT EXPENSES","Selling Expenses"),P2033="Parts",_xlfn.IFS(I2033="SALES","GP",I2033="SERVICE SALES","GP",I2033="PARTS SALES","GP",I2033="SERVICE COS","GP",I2033="PARTS COS","GP",I2033="SELLING EXPENSES","Selling Expenses",I2033="EMPLOYMENT EXPENSES","Selling Expenses",I2033="EMPLOYMENT EXPENSES","Selling Expenses",I2033="DIRECT EXPENSES","Selling Expenses",I2033="INDIRECT EXPENSES","Selling Expenses"))</f>
        <v>#N/A</v>
      </c>
    </row>
    <row r="2034" spans="1:18" x14ac:dyDescent="0.2">
      <c r="A2034" s="76"/>
      <c r="B2034" s="76"/>
      <c r="C2034" s="76"/>
      <c r="D2034" s="76"/>
      <c r="E2034" s="76"/>
      <c r="F2034" s="77"/>
      <c r="G2034" s="77"/>
      <c r="H2034" s="77"/>
      <c r="I2034" s="76"/>
      <c r="J2034" s="77"/>
      <c r="K2034" s="77"/>
      <c r="M2034" s="79" t="str">
        <f t="shared" si="98"/>
        <v>-</v>
      </c>
      <c r="O2034" s="79" t="str">
        <f t="shared" si="99"/>
        <v/>
      </c>
      <c r="P2034" s="79" t="str">
        <f>IFERROR(VLOOKUP($M2034,Export!$P:$R,2,FALSE),"-")</f>
        <v>-</v>
      </c>
      <c r="Q2034" s="79" t="str">
        <f>IFERROR(VLOOKUP($M2034,Export!$P:$R,3,FALSE),"-")</f>
        <v>-</v>
      </c>
      <c r="R2034" s="80" t="e" cm="1">
        <f t="array" ref="R2034">_xlfn.IFS(P2034="Service", _xlfn.IFS(I2034="SALES","GP",I2034="SERVICE SALES","GP",I2034="PARTS SALES","GP",I2034="SERVICE COS","GP",I2034="PARTS COS","GP",I2034="SELLING EXPENSES","Selling Expenses",I2034="EMPLOYMENT EXPENSES","Selling Expenses",I2034="EMPLOYMENT EXPENSES","Selling Expenses",I2034="DIRECT EXPENSES","Selling Expenses",I2034="INDIRECT EXPENSES","Selling Expenses"),P2034="Parts",_xlfn.IFS(I2034="SALES","GP",I2034="SERVICE SALES","GP",I2034="PARTS SALES","GP",I2034="SERVICE COS","GP",I2034="PARTS COS","GP",I2034="SELLING EXPENSES","Selling Expenses",I2034="EMPLOYMENT EXPENSES","Selling Expenses",I2034="EMPLOYMENT EXPENSES","Selling Expenses",I2034="DIRECT EXPENSES","Selling Expenses",I2034="INDIRECT EXPENSES","Selling Expenses"))</f>
        <v>#N/A</v>
      </c>
    </row>
    <row r="2035" spans="1:18" x14ac:dyDescent="0.2">
      <c r="A2035" s="76"/>
      <c r="B2035" s="76"/>
      <c r="C2035" s="76"/>
      <c r="D2035" s="76"/>
      <c r="E2035" s="76"/>
      <c r="F2035" s="77"/>
      <c r="G2035" s="77"/>
      <c r="H2035" s="77"/>
      <c r="I2035" s="76"/>
      <c r="J2035" s="77"/>
      <c r="K2035" s="77"/>
      <c r="M2035" s="79" t="str">
        <f t="shared" ref="M2035:M2055" si="100">+C2035&amp;"-"&amp;A2035</f>
        <v>-</v>
      </c>
      <c r="O2035" s="79" t="str">
        <f t="shared" ref="O2035:O2055" si="101">+C2035&amp;N2035</f>
        <v/>
      </c>
      <c r="P2035" s="79" t="str">
        <f>IFERROR(VLOOKUP($M2035,Export!$P:$R,2,FALSE),"-")</f>
        <v>-</v>
      </c>
      <c r="Q2035" s="79" t="str">
        <f>IFERROR(VLOOKUP($M2035,Export!$P:$R,3,FALSE),"-")</f>
        <v>-</v>
      </c>
      <c r="R2035" s="80" t="e" cm="1">
        <f t="array" ref="R2035">_xlfn.IFS(P2035="Service", _xlfn.IFS(I2035="SALES","GP",I2035="SERVICE SALES","GP",I2035="PARTS SALES","GP",I2035="SERVICE COS","GP",I2035="PARTS COS","GP",I2035="SELLING EXPENSES","Selling Expenses",I2035="EMPLOYMENT EXPENSES","Selling Expenses",I2035="EMPLOYMENT EXPENSES","Selling Expenses",I2035="DIRECT EXPENSES","Selling Expenses",I2035="INDIRECT EXPENSES","Selling Expenses"),P2035="Parts",_xlfn.IFS(I2035="SALES","GP",I2035="SERVICE SALES","GP",I2035="PARTS SALES","GP",I2035="SERVICE COS","GP",I2035="PARTS COS","GP",I2035="SELLING EXPENSES","Selling Expenses",I2035="EMPLOYMENT EXPENSES","Selling Expenses",I2035="EMPLOYMENT EXPENSES","Selling Expenses",I2035="DIRECT EXPENSES","Selling Expenses",I2035="INDIRECT EXPENSES","Selling Expenses"))</f>
        <v>#N/A</v>
      </c>
    </row>
    <row r="2036" spans="1:18" x14ac:dyDescent="0.2">
      <c r="A2036" s="76"/>
      <c r="B2036" s="76"/>
      <c r="C2036" s="76"/>
      <c r="D2036" s="76"/>
      <c r="E2036" s="76"/>
      <c r="F2036" s="77"/>
      <c r="G2036" s="77"/>
      <c r="H2036" s="77"/>
      <c r="I2036" s="76"/>
      <c r="J2036" s="77"/>
      <c r="K2036" s="77"/>
      <c r="M2036" s="79" t="str">
        <f t="shared" si="100"/>
        <v>-</v>
      </c>
      <c r="O2036" s="79" t="str">
        <f t="shared" si="101"/>
        <v/>
      </c>
      <c r="P2036" s="79" t="str">
        <f>IFERROR(VLOOKUP($M2036,Export!$P:$R,2,FALSE),"-")</f>
        <v>-</v>
      </c>
      <c r="Q2036" s="79" t="str">
        <f>IFERROR(VLOOKUP($M2036,Export!$P:$R,3,FALSE),"-")</f>
        <v>-</v>
      </c>
      <c r="R2036" s="80" t="e" cm="1">
        <f t="array" ref="R2036">_xlfn.IFS(P2036="Service", _xlfn.IFS(I2036="SALES","GP",I2036="SERVICE SALES","GP",I2036="PARTS SALES","GP",I2036="SERVICE COS","GP",I2036="PARTS COS","GP",I2036="SELLING EXPENSES","Selling Expenses",I2036="EMPLOYMENT EXPENSES","Selling Expenses",I2036="EMPLOYMENT EXPENSES","Selling Expenses",I2036="DIRECT EXPENSES","Selling Expenses",I2036="INDIRECT EXPENSES","Selling Expenses"),P2036="Parts",_xlfn.IFS(I2036="SALES","GP",I2036="SERVICE SALES","GP",I2036="PARTS SALES","GP",I2036="SERVICE COS","GP",I2036="PARTS COS","GP",I2036="SELLING EXPENSES","Selling Expenses",I2036="EMPLOYMENT EXPENSES","Selling Expenses",I2036="EMPLOYMENT EXPENSES","Selling Expenses",I2036="DIRECT EXPENSES","Selling Expenses",I2036="INDIRECT EXPENSES","Selling Expenses"))</f>
        <v>#N/A</v>
      </c>
    </row>
    <row r="2037" spans="1:18" x14ac:dyDescent="0.2">
      <c r="A2037" s="76"/>
      <c r="B2037" s="76"/>
      <c r="C2037" s="76"/>
      <c r="D2037" s="76"/>
      <c r="E2037" s="76"/>
      <c r="F2037" s="77"/>
      <c r="G2037" s="77"/>
      <c r="H2037" s="77"/>
      <c r="I2037" s="76"/>
      <c r="J2037" s="77"/>
      <c r="K2037" s="77"/>
      <c r="M2037" s="79" t="str">
        <f t="shared" si="100"/>
        <v>-</v>
      </c>
      <c r="O2037" s="79" t="str">
        <f t="shared" si="101"/>
        <v/>
      </c>
      <c r="P2037" s="79" t="str">
        <f>IFERROR(VLOOKUP($M2037,Export!$P:$R,2,FALSE),"-")</f>
        <v>-</v>
      </c>
      <c r="Q2037" s="79" t="str">
        <f>IFERROR(VLOOKUP($M2037,Export!$P:$R,3,FALSE),"-")</f>
        <v>-</v>
      </c>
      <c r="R2037" s="80" t="e" cm="1">
        <f t="array" ref="R2037">_xlfn.IFS(P2037="Service", _xlfn.IFS(I2037="SALES","GP",I2037="SERVICE SALES","GP",I2037="PARTS SALES","GP",I2037="SERVICE COS","GP",I2037="PARTS COS","GP",I2037="SELLING EXPENSES","Selling Expenses",I2037="EMPLOYMENT EXPENSES","Selling Expenses",I2037="EMPLOYMENT EXPENSES","Selling Expenses",I2037="DIRECT EXPENSES","Selling Expenses",I2037="INDIRECT EXPENSES","Selling Expenses"),P2037="Parts",_xlfn.IFS(I2037="SALES","GP",I2037="SERVICE SALES","GP",I2037="PARTS SALES","GP",I2037="SERVICE COS","GP",I2037="PARTS COS","GP",I2037="SELLING EXPENSES","Selling Expenses",I2037="EMPLOYMENT EXPENSES","Selling Expenses",I2037="EMPLOYMENT EXPENSES","Selling Expenses",I2037="DIRECT EXPENSES","Selling Expenses",I2037="INDIRECT EXPENSES","Selling Expenses"))</f>
        <v>#N/A</v>
      </c>
    </row>
    <row r="2038" spans="1:18" x14ac:dyDescent="0.2">
      <c r="A2038" s="76"/>
      <c r="B2038" s="76"/>
      <c r="C2038" s="76"/>
      <c r="D2038" s="76"/>
      <c r="E2038" s="76"/>
      <c r="F2038" s="77"/>
      <c r="G2038" s="77"/>
      <c r="H2038" s="77"/>
      <c r="I2038" s="76"/>
      <c r="J2038" s="77"/>
      <c r="K2038" s="77"/>
      <c r="M2038" s="79" t="str">
        <f t="shared" si="100"/>
        <v>-</v>
      </c>
      <c r="O2038" s="79" t="str">
        <f t="shared" si="101"/>
        <v/>
      </c>
      <c r="P2038" s="79" t="str">
        <f>IFERROR(VLOOKUP($M2038,Export!$P:$R,2,FALSE),"-")</f>
        <v>-</v>
      </c>
      <c r="Q2038" s="79" t="str">
        <f>IFERROR(VLOOKUP($M2038,Export!$P:$R,3,FALSE),"-")</f>
        <v>-</v>
      </c>
      <c r="R2038" s="80" t="e" cm="1">
        <f t="array" ref="R2038">_xlfn.IFS(P2038="Service", _xlfn.IFS(I2038="SALES","GP",I2038="SERVICE SALES","GP",I2038="PARTS SALES","GP",I2038="SERVICE COS","GP",I2038="PARTS COS","GP",I2038="SELLING EXPENSES","Selling Expenses",I2038="EMPLOYMENT EXPENSES","Selling Expenses",I2038="EMPLOYMENT EXPENSES","Selling Expenses",I2038="DIRECT EXPENSES","Selling Expenses",I2038="INDIRECT EXPENSES","Selling Expenses"),P2038="Parts",_xlfn.IFS(I2038="SALES","GP",I2038="SERVICE SALES","GP",I2038="PARTS SALES","GP",I2038="SERVICE COS","GP",I2038="PARTS COS","GP",I2038="SELLING EXPENSES","Selling Expenses",I2038="EMPLOYMENT EXPENSES","Selling Expenses",I2038="EMPLOYMENT EXPENSES","Selling Expenses",I2038="DIRECT EXPENSES","Selling Expenses",I2038="INDIRECT EXPENSES","Selling Expenses"))</f>
        <v>#N/A</v>
      </c>
    </row>
    <row r="2039" spans="1:18" x14ac:dyDescent="0.2">
      <c r="A2039" s="76"/>
      <c r="B2039" s="76"/>
      <c r="C2039" s="76"/>
      <c r="D2039" s="76"/>
      <c r="E2039" s="76"/>
      <c r="F2039" s="77"/>
      <c r="G2039" s="77"/>
      <c r="H2039" s="77"/>
      <c r="I2039" s="76"/>
      <c r="J2039" s="77"/>
      <c r="K2039" s="77"/>
      <c r="M2039" s="79" t="str">
        <f t="shared" si="100"/>
        <v>-</v>
      </c>
      <c r="O2039" s="79" t="str">
        <f t="shared" si="101"/>
        <v/>
      </c>
      <c r="P2039" s="79" t="str">
        <f>IFERROR(VLOOKUP($M2039,Export!$P:$R,2,FALSE),"-")</f>
        <v>-</v>
      </c>
      <c r="Q2039" s="79" t="str">
        <f>IFERROR(VLOOKUP($M2039,Export!$P:$R,3,FALSE),"-")</f>
        <v>-</v>
      </c>
      <c r="R2039" s="80" t="e" cm="1">
        <f t="array" ref="R2039">_xlfn.IFS(P2039="Service", _xlfn.IFS(I2039="SALES","GP",I2039="SERVICE SALES","GP",I2039="PARTS SALES","GP",I2039="SERVICE COS","GP",I2039="PARTS COS","GP",I2039="SELLING EXPENSES","Selling Expenses",I2039="EMPLOYMENT EXPENSES","Selling Expenses",I2039="EMPLOYMENT EXPENSES","Selling Expenses",I2039="DIRECT EXPENSES","Selling Expenses",I2039="INDIRECT EXPENSES","Selling Expenses"),P2039="Parts",_xlfn.IFS(I2039="SALES","GP",I2039="SERVICE SALES","GP",I2039="PARTS SALES","GP",I2039="SERVICE COS","GP",I2039="PARTS COS","GP",I2039="SELLING EXPENSES","Selling Expenses",I2039="EMPLOYMENT EXPENSES","Selling Expenses",I2039="EMPLOYMENT EXPENSES","Selling Expenses",I2039="DIRECT EXPENSES","Selling Expenses",I2039="INDIRECT EXPENSES","Selling Expenses"))</f>
        <v>#N/A</v>
      </c>
    </row>
    <row r="2040" spans="1:18" x14ac:dyDescent="0.2">
      <c r="A2040" s="76"/>
      <c r="B2040" s="76"/>
      <c r="C2040" s="76"/>
      <c r="D2040" s="76"/>
      <c r="E2040" s="76"/>
      <c r="F2040" s="77"/>
      <c r="G2040" s="77"/>
      <c r="H2040" s="77"/>
      <c r="I2040" s="76"/>
      <c r="J2040" s="77"/>
      <c r="K2040" s="77"/>
      <c r="M2040" s="79" t="str">
        <f t="shared" si="100"/>
        <v>-</v>
      </c>
      <c r="O2040" s="79" t="str">
        <f t="shared" si="101"/>
        <v/>
      </c>
      <c r="P2040" s="79" t="str">
        <f>IFERROR(VLOOKUP($M2040,Export!$P:$R,2,FALSE),"-")</f>
        <v>-</v>
      </c>
      <c r="Q2040" s="79" t="str">
        <f>IFERROR(VLOOKUP($M2040,Export!$P:$R,3,FALSE),"-")</f>
        <v>-</v>
      </c>
      <c r="R2040" s="80" t="e" cm="1">
        <f t="array" ref="R2040">_xlfn.IFS(P2040="Service", _xlfn.IFS(I2040="SALES","GP",I2040="SERVICE SALES","GP",I2040="PARTS SALES","GP",I2040="SERVICE COS","GP",I2040="PARTS COS","GP",I2040="SELLING EXPENSES","Selling Expenses",I2040="EMPLOYMENT EXPENSES","Selling Expenses",I2040="EMPLOYMENT EXPENSES","Selling Expenses",I2040="DIRECT EXPENSES","Selling Expenses",I2040="INDIRECT EXPENSES","Selling Expenses"),P2040="Parts",_xlfn.IFS(I2040="SALES","GP",I2040="SERVICE SALES","GP",I2040="PARTS SALES","GP",I2040="SERVICE COS","GP",I2040="PARTS COS","GP",I2040="SELLING EXPENSES","Selling Expenses",I2040="EMPLOYMENT EXPENSES","Selling Expenses",I2040="EMPLOYMENT EXPENSES","Selling Expenses",I2040="DIRECT EXPENSES","Selling Expenses",I2040="INDIRECT EXPENSES","Selling Expenses"))</f>
        <v>#N/A</v>
      </c>
    </row>
    <row r="2041" spans="1:18" x14ac:dyDescent="0.2">
      <c r="A2041" s="76"/>
      <c r="B2041" s="76"/>
      <c r="C2041" s="76"/>
      <c r="D2041" s="76"/>
      <c r="E2041" s="76"/>
      <c r="F2041" s="77"/>
      <c r="G2041" s="77"/>
      <c r="H2041" s="77"/>
      <c r="I2041" s="76"/>
      <c r="J2041" s="77"/>
      <c r="K2041" s="77"/>
      <c r="M2041" s="79" t="str">
        <f t="shared" si="100"/>
        <v>-</v>
      </c>
      <c r="O2041" s="79" t="str">
        <f t="shared" si="101"/>
        <v/>
      </c>
      <c r="P2041" s="79" t="str">
        <f>IFERROR(VLOOKUP($M2041,Export!$P:$R,2,FALSE),"-")</f>
        <v>-</v>
      </c>
      <c r="Q2041" s="79" t="str">
        <f>IFERROR(VLOOKUP($M2041,Export!$P:$R,3,FALSE),"-")</f>
        <v>-</v>
      </c>
      <c r="R2041" s="80" t="e" cm="1">
        <f t="array" ref="R2041">_xlfn.IFS(P2041="Service", _xlfn.IFS(I2041="SALES","GP",I2041="SERVICE SALES","GP",I2041="PARTS SALES","GP",I2041="SERVICE COS","GP",I2041="PARTS COS","GP",I2041="SELLING EXPENSES","Selling Expenses",I2041="EMPLOYMENT EXPENSES","Selling Expenses",I2041="EMPLOYMENT EXPENSES","Selling Expenses",I2041="DIRECT EXPENSES","Selling Expenses",I2041="INDIRECT EXPENSES","Selling Expenses"),P2041="Parts",_xlfn.IFS(I2041="SALES","GP",I2041="SERVICE SALES","GP",I2041="PARTS SALES","GP",I2041="SERVICE COS","GP",I2041="PARTS COS","GP",I2041="SELLING EXPENSES","Selling Expenses",I2041="EMPLOYMENT EXPENSES","Selling Expenses",I2041="EMPLOYMENT EXPENSES","Selling Expenses",I2041="DIRECT EXPENSES","Selling Expenses",I2041="INDIRECT EXPENSES","Selling Expenses"))</f>
        <v>#N/A</v>
      </c>
    </row>
    <row r="2042" spans="1:18" x14ac:dyDescent="0.2">
      <c r="A2042" s="76"/>
      <c r="B2042" s="76"/>
      <c r="C2042" s="76"/>
      <c r="D2042" s="76"/>
      <c r="E2042" s="76"/>
      <c r="F2042" s="77"/>
      <c r="G2042" s="77"/>
      <c r="H2042" s="77"/>
      <c r="I2042" s="76"/>
      <c r="J2042" s="77"/>
      <c r="K2042" s="77"/>
      <c r="M2042" s="79" t="str">
        <f t="shared" si="100"/>
        <v>-</v>
      </c>
      <c r="O2042" s="79" t="str">
        <f t="shared" si="101"/>
        <v/>
      </c>
      <c r="P2042" s="79" t="str">
        <f>IFERROR(VLOOKUP($M2042,Export!$P:$R,2,FALSE),"-")</f>
        <v>-</v>
      </c>
      <c r="Q2042" s="79" t="str">
        <f>IFERROR(VLOOKUP($M2042,Export!$P:$R,3,FALSE),"-")</f>
        <v>-</v>
      </c>
      <c r="R2042" s="80" t="e" cm="1">
        <f t="array" ref="R2042">_xlfn.IFS(P2042="Service", _xlfn.IFS(I2042="SALES","GP",I2042="SERVICE SALES","GP",I2042="PARTS SALES","GP",I2042="SERVICE COS","GP",I2042="PARTS COS","GP",I2042="SELLING EXPENSES","Selling Expenses",I2042="EMPLOYMENT EXPENSES","Selling Expenses",I2042="EMPLOYMENT EXPENSES","Selling Expenses",I2042="DIRECT EXPENSES","Selling Expenses",I2042="INDIRECT EXPENSES","Selling Expenses"),P2042="Parts",_xlfn.IFS(I2042="SALES","GP",I2042="SERVICE SALES","GP",I2042="PARTS SALES","GP",I2042="SERVICE COS","GP",I2042="PARTS COS","GP",I2042="SELLING EXPENSES","Selling Expenses",I2042="EMPLOYMENT EXPENSES","Selling Expenses",I2042="EMPLOYMENT EXPENSES","Selling Expenses",I2042="DIRECT EXPENSES","Selling Expenses",I2042="INDIRECT EXPENSES","Selling Expenses"))</f>
        <v>#N/A</v>
      </c>
    </row>
    <row r="2043" spans="1:18" x14ac:dyDescent="0.2">
      <c r="A2043" s="76"/>
      <c r="B2043" s="76"/>
      <c r="C2043" s="76"/>
      <c r="D2043" s="76"/>
      <c r="E2043" s="76"/>
      <c r="F2043" s="77"/>
      <c r="G2043" s="77"/>
      <c r="H2043" s="77"/>
      <c r="I2043" s="76"/>
      <c r="J2043" s="77"/>
      <c r="K2043" s="77"/>
      <c r="M2043" s="79" t="str">
        <f t="shared" si="100"/>
        <v>-</v>
      </c>
      <c r="O2043" s="79" t="str">
        <f t="shared" si="101"/>
        <v/>
      </c>
      <c r="P2043" s="79" t="str">
        <f>IFERROR(VLOOKUP($M2043,Export!$P:$R,2,FALSE),"-")</f>
        <v>-</v>
      </c>
      <c r="Q2043" s="79" t="str">
        <f>IFERROR(VLOOKUP($M2043,Export!$P:$R,3,FALSE),"-")</f>
        <v>-</v>
      </c>
      <c r="R2043" s="80" t="e" cm="1">
        <f t="array" ref="R2043">_xlfn.IFS(P2043="Service", _xlfn.IFS(I2043="SALES","GP",I2043="SERVICE SALES","GP",I2043="PARTS SALES","GP",I2043="SERVICE COS","GP",I2043="PARTS COS","GP",I2043="SELLING EXPENSES","Selling Expenses",I2043="EMPLOYMENT EXPENSES","Selling Expenses",I2043="EMPLOYMENT EXPENSES","Selling Expenses",I2043="DIRECT EXPENSES","Selling Expenses",I2043="INDIRECT EXPENSES","Selling Expenses"),P2043="Parts",_xlfn.IFS(I2043="SALES","GP",I2043="SERVICE SALES","GP",I2043="PARTS SALES","GP",I2043="SERVICE COS","GP",I2043="PARTS COS","GP",I2043="SELLING EXPENSES","Selling Expenses",I2043="EMPLOYMENT EXPENSES","Selling Expenses",I2043="EMPLOYMENT EXPENSES","Selling Expenses",I2043="DIRECT EXPENSES","Selling Expenses",I2043="INDIRECT EXPENSES","Selling Expenses"))</f>
        <v>#N/A</v>
      </c>
    </row>
    <row r="2044" spans="1:18" x14ac:dyDescent="0.2">
      <c r="A2044" s="76"/>
      <c r="B2044" s="76"/>
      <c r="C2044" s="76"/>
      <c r="D2044" s="76"/>
      <c r="E2044" s="76"/>
      <c r="F2044" s="77"/>
      <c r="G2044" s="77"/>
      <c r="H2044" s="77"/>
      <c r="I2044" s="76"/>
      <c r="J2044" s="77"/>
      <c r="K2044" s="77"/>
      <c r="M2044" s="79" t="str">
        <f t="shared" si="100"/>
        <v>-</v>
      </c>
      <c r="O2044" s="79" t="str">
        <f t="shared" si="101"/>
        <v/>
      </c>
      <c r="P2044" s="79" t="str">
        <f>IFERROR(VLOOKUP($M2044,Export!$P:$R,2,FALSE),"-")</f>
        <v>-</v>
      </c>
      <c r="Q2044" s="79" t="str">
        <f>IFERROR(VLOOKUP($M2044,Export!$P:$R,3,FALSE),"-")</f>
        <v>-</v>
      </c>
      <c r="R2044" s="80" t="e" cm="1">
        <f t="array" ref="R2044">_xlfn.IFS(P2044="Service", _xlfn.IFS(I2044="SALES","GP",I2044="SERVICE SALES","GP",I2044="PARTS SALES","GP",I2044="SERVICE COS","GP",I2044="PARTS COS","GP",I2044="SELLING EXPENSES","Selling Expenses",I2044="EMPLOYMENT EXPENSES","Selling Expenses",I2044="EMPLOYMENT EXPENSES","Selling Expenses",I2044="DIRECT EXPENSES","Selling Expenses",I2044="INDIRECT EXPENSES","Selling Expenses"),P2044="Parts",_xlfn.IFS(I2044="SALES","GP",I2044="SERVICE SALES","GP",I2044="PARTS SALES","GP",I2044="SERVICE COS","GP",I2044="PARTS COS","GP",I2044="SELLING EXPENSES","Selling Expenses",I2044="EMPLOYMENT EXPENSES","Selling Expenses",I2044="EMPLOYMENT EXPENSES","Selling Expenses",I2044="DIRECT EXPENSES","Selling Expenses",I2044="INDIRECT EXPENSES","Selling Expenses"))</f>
        <v>#N/A</v>
      </c>
    </row>
    <row r="2045" spans="1:18" x14ac:dyDescent="0.2">
      <c r="A2045" s="76"/>
      <c r="B2045" s="76"/>
      <c r="C2045" s="76"/>
      <c r="D2045" s="76"/>
      <c r="E2045" s="76"/>
      <c r="F2045" s="77"/>
      <c r="G2045" s="77"/>
      <c r="H2045" s="77"/>
      <c r="I2045" s="76"/>
      <c r="J2045" s="77"/>
      <c r="K2045" s="77"/>
      <c r="M2045" s="79" t="str">
        <f t="shared" si="100"/>
        <v>-</v>
      </c>
      <c r="O2045" s="79" t="str">
        <f t="shared" si="101"/>
        <v/>
      </c>
      <c r="P2045" s="79" t="str">
        <f>IFERROR(VLOOKUP($M2045,Export!$P:$R,2,FALSE),"-")</f>
        <v>-</v>
      </c>
      <c r="Q2045" s="79" t="str">
        <f>IFERROR(VLOOKUP($M2045,Export!$P:$R,3,FALSE),"-")</f>
        <v>-</v>
      </c>
      <c r="R2045" s="80" t="e" cm="1">
        <f t="array" ref="R2045">_xlfn.IFS(P2045="Service", _xlfn.IFS(I2045="SALES","GP",I2045="SERVICE SALES","GP",I2045="PARTS SALES","GP",I2045="SERVICE COS","GP",I2045="PARTS COS","GP",I2045="SELLING EXPENSES","Selling Expenses",I2045="EMPLOYMENT EXPENSES","Selling Expenses",I2045="EMPLOYMENT EXPENSES","Selling Expenses",I2045="DIRECT EXPENSES","Selling Expenses",I2045="INDIRECT EXPENSES","Selling Expenses"),P2045="Parts",_xlfn.IFS(I2045="SALES","GP",I2045="SERVICE SALES","GP",I2045="PARTS SALES","GP",I2045="SERVICE COS","GP",I2045="PARTS COS","GP",I2045="SELLING EXPENSES","Selling Expenses",I2045="EMPLOYMENT EXPENSES","Selling Expenses",I2045="EMPLOYMENT EXPENSES","Selling Expenses",I2045="DIRECT EXPENSES","Selling Expenses",I2045="INDIRECT EXPENSES","Selling Expenses"))</f>
        <v>#N/A</v>
      </c>
    </row>
    <row r="2046" spans="1:18" x14ac:dyDescent="0.2">
      <c r="A2046" s="76"/>
      <c r="B2046" s="76"/>
      <c r="C2046" s="76"/>
      <c r="D2046" s="76"/>
      <c r="E2046" s="76"/>
      <c r="F2046" s="77"/>
      <c r="G2046" s="77"/>
      <c r="H2046" s="77"/>
      <c r="I2046" s="76"/>
      <c r="J2046" s="77"/>
      <c r="K2046" s="77"/>
      <c r="M2046" s="79" t="str">
        <f t="shared" si="100"/>
        <v>-</v>
      </c>
      <c r="O2046" s="79" t="str">
        <f t="shared" si="101"/>
        <v/>
      </c>
      <c r="P2046" s="79" t="str">
        <f>IFERROR(VLOOKUP($M2046,Export!$P:$R,2,FALSE),"-")</f>
        <v>-</v>
      </c>
      <c r="Q2046" s="79" t="str">
        <f>IFERROR(VLOOKUP($M2046,Export!$P:$R,3,FALSE),"-")</f>
        <v>-</v>
      </c>
      <c r="R2046" s="80" t="e" cm="1">
        <f t="array" ref="R2046">_xlfn.IFS(P2046="Service", _xlfn.IFS(I2046="SALES","GP",I2046="SERVICE SALES","GP",I2046="PARTS SALES","GP",I2046="SERVICE COS","GP",I2046="PARTS COS","GP",I2046="SELLING EXPENSES","Selling Expenses",I2046="EMPLOYMENT EXPENSES","Selling Expenses",I2046="EMPLOYMENT EXPENSES","Selling Expenses",I2046="DIRECT EXPENSES","Selling Expenses",I2046="INDIRECT EXPENSES","Selling Expenses"),P2046="Parts",_xlfn.IFS(I2046="SALES","GP",I2046="SERVICE SALES","GP",I2046="PARTS SALES","GP",I2046="SERVICE COS","GP",I2046="PARTS COS","GP",I2046="SELLING EXPENSES","Selling Expenses",I2046="EMPLOYMENT EXPENSES","Selling Expenses",I2046="EMPLOYMENT EXPENSES","Selling Expenses",I2046="DIRECT EXPENSES","Selling Expenses",I2046="INDIRECT EXPENSES","Selling Expenses"))</f>
        <v>#N/A</v>
      </c>
    </row>
    <row r="2047" spans="1:18" x14ac:dyDescent="0.2">
      <c r="A2047" s="76"/>
      <c r="B2047" s="76"/>
      <c r="C2047" s="76"/>
      <c r="D2047" s="76"/>
      <c r="E2047" s="76"/>
      <c r="F2047" s="77"/>
      <c r="G2047" s="77"/>
      <c r="H2047" s="77"/>
      <c r="I2047" s="76"/>
      <c r="J2047" s="77"/>
      <c r="K2047" s="77"/>
      <c r="M2047" s="79" t="str">
        <f t="shared" si="100"/>
        <v>-</v>
      </c>
      <c r="O2047" s="79" t="str">
        <f t="shared" si="101"/>
        <v/>
      </c>
      <c r="P2047" s="79" t="str">
        <f>IFERROR(VLOOKUP($M2047,Export!$P:$R,2,FALSE),"-")</f>
        <v>-</v>
      </c>
      <c r="Q2047" s="79" t="str">
        <f>IFERROR(VLOOKUP($M2047,Export!$P:$R,3,FALSE),"-")</f>
        <v>-</v>
      </c>
      <c r="R2047" s="80" t="e" cm="1">
        <f t="array" ref="R2047">_xlfn.IFS(P2047="Service", _xlfn.IFS(I2047="SALES","GP",I2047="SERVICE SALES","GP",I2047="PARTS SALES","GP",I2047="SERVICE COS","GP",I2047="PARTS COS","GP",I2047="SELLING EXPENSES","Selling Expenses",I2047="EMPLOYMENT EXPENSES","Selling Expenses",I2047="EMPLOYMENT EXPENSES","Selling Expenses",I2047="DIRECT EXPENSES","Selling Expenses",I2047="INDIRECT EXPENSES","Selling Expenses"),P2047="Parts",_xlfn.IFS(I2047="SALES","GP",I2047="SERVICE SALES","GP",I2047="PARTS SALES","GP",I2047="SERVICE COS","GP",I2047="PARTS COS","GP",I2047="SELLING EXPENSES","Selling Expenses",I2047="EMPLOYMENT EXPENSES","Selling Expenses",I2047="EMPLOYMENT EXPENSES","Selling Expenses",I2047="DIRECT EXPENSES","Selling Expenses",I2047="INDIRECT EXPENSES","Selling Expenses"))</f>
        <v>#N/A</v>
      </c>
    </row>
    <row r="2048" spans="1:18" x14ac:dyDescent="0.2">
      <c r="A2048" s="76"/>
      <c r="B2048" s="76"/>
      <c r="C2048" s="76"/>
      <c r="D2048" s="76"/>
      <c r="E2048" s="76"/>
      <c r="F2048" s="77"/>
      <c r="G2048" s="77"/>
      <c r="H2048" s="77"/>
      <c r="I2048" s="76"/>
      <c r="J2048" s="77"/>
      <c r="K2048" s="77"/>
      <c r="M2048" s="79" t="str">
        <f t="shared" si="100"/>
        <v>-</v>
      </c>
      <c r="O2048" s="79" t="str">
        <f t="shared" si="101"/>
        <v/>
      </c>
      <c r="P2048" s="79" t="str">
        <f>IFERROR(VLOOKUP($M2048,Export!$P:$R,2,FALSE),"-")</f>
        <v>-</v>
      </c>
      <c r="Q2048" s="79" t="str">
        <f>IFERROR(VLOOKUP($M2048,Export!$P:$R,3,FALSE),"-")</f>
        <v>-</v>
      </c>
      <c r="R2048" s="80" t="e" cm="1">
        <f t="array" ref="R2048">_xlfn.IFS(P2048="Service", _xlfn.IFS(I2048="SALES","GP",I2048="SERVICE SALES","GP",I2048="PARTS SALES","GP",I2048="SERVICE COS","GP",I2048="PARTS COS","GP",I2048="SELLING EXPENSES","Selling Expenses",I2048="EMPLOYMENT EXPENSES","Selling Expenses",I2048="EMPLOYMENT EXPENSES","Selling Expenses",I2048="DIRECT EXPENSES","Selling Expenses",I2048="INDIRECT EXPENSES","Selling Expenses"),P2048="Parts",_xlfn.IFS(I2048="SALES","GP",I2048="SERVICE SALES","GP",I2048="PARTS SALES","GP",I2048="SERVICE COS","GP",I2048="PARTS COS","GP",I2048="SELLING EXPENSES","Selling Expenses",I2048="EMPLOYMENT EXPENSES","Selling Expenses",I2048="EMPLOYMENT EXPENSES","Selling Expenses",I2048="DIRECT EXPENSES","Selling Expenses",I2048="INDIRECT EXPENSES","Selling Expenses"))</f>
        <v>#N/A</v>
      </c>
    </row>
    <row r="2049" spans="1:18" x14ac:dyDescent="0.2">
      <c r="A2049" s="76"/>
      <c r="B2049" s="76"/>
      <c r="C2049" s="76"/>
      <c r="D2049" s="76"/>
      <c r="E2049" s="76"/>
      <c r="F2049" s="77"/>
      <c r="G2049" s="77"/>
      <c r="H2049" s="77"/>
      <c r="I2049" s="76"/>
      <c r="J2049" s="77"/>
      <c r="K2049" s="77"/>
      <c r="M2049" s="79" t="str">
        <f t="shared" si="100"/>
        <v>-</v>
      </c>
      <c r="O2049" s="79" t="str">
        <f t="shared" si="101"/>
        <v/>
      </c>
      <c r="P2049" s="79" t="str">
        <f>IFERROR(VLOOKUP($M2049,Export!$P:$R,2,FALSE),"-")</f>
        <v>-</v>
      </c>
      <c r="Q2049" s="79" t="str">
        <f>IFERROR(VLOOKUP($M2049,Export!$P:$R,3,FALSE),"-")</f>
        <v>-</v>
      </c>
      <c r="R2049" s="80" t="e" cm="1">
        <f t="array" ref="R2049">_xlfn.IFS(P2049="Service", _xlfn.IFS(I2049="SALES","GP",I2049="SERVICE SALES","GP",I2049="PARTS SALES","GP",I2049="SERVICE COS","GP",I2049="PARTS COS","GP",I2049="SELLING EXPENSES","Selling Expenses",I2049="EMPLOYMENT EXPENSES","Selling Expenses",I2049="EMPLOYMENT EXPENSES","Selling Expenses",I2049="DIRECT EXPENSES","Selling Expenses",I2049="INDIRECT EXPENSES","Selling Expenses"),P2049="Parts",_xlfn.IFS(I2049="SALES","GP",I2049="SERVICE SALES","GP",I2049="PARTS SALES","GP",I2049="SERVICE COS","GP",I2049="PARTS COS","GP",I2049="SELLING EXPENSES","Selling Expenses",I2049="EMPLOYMENT EXPENSES","Selling Expenses",I2049="EMPLOYMENT EXPENSES","Selling Expenses",I2049="DIRECT EXPENSES","Selling Expenses",I2049="INDIRECT EXPENSES","Selling Expenses"))</f>
        <v>#N/A</v>
      </c>
    </row>
    <row r="2050" spans="1:18" x14ac:dyDescent="0.2">
      <c r="A2050" s="76"/>
      <c r="B2050" s="76"/>
      <c r="C2050" s="76"/>
      <c r="D2050" s="76"/>
      <c r="E2050" s="76"/>
      <c r="F2050" s="77"/>
      <c r="G2050" s="77"/>
      <c r="H2050" s="77"/>
      <c r="I2050" s="76"/>
      <c r="J2050" s="77"/>
      <c r="K2050" s="77"/>
      <c r="M2050" s="79" t="str">
        <f t="shared" si="100"/>
        <v>-</v>
      </c>
      <c r="O2050" s="79" t="str">
        <f t="shared" si="101"/>
        <v/>
      </c>
      <c r="P2050" s="79" t="str">
        <f>IFERROR(VLOOKUP($M2050,Export!$P:$R,2,FALSE),"-")</f>
        <v>-</v>
      </c>
      <c r="Q2050" s="79" t="str">
        <f>IFERROR(VLOOKUP($M2050,Export!$P:$R,3,FALSE),"-")</f>
        <v>-</v>
      </c>
      <c r="R2050" s="80" t="e" cm="1">
        <f t="array" ref="R2050">_xlfn.IFS(P2050="Service", _xlfn.IFS(I2050="SALES","GP",I2050="SERVICE SALES","GP",I2050="PARTS SALES","GP",I2050="SERVICE COS","GP",I2050="PARTS COS","GP",I2050="SELLING EXPENSES","Selling Expenses",I2050="EMPLOYMENT EXPENSES","Selling Expenses",I2050="EMPLOYMENT EXPENSES","Selling Expenses",I2050="DIRECT EXPENSES","Selling Expenses",I2050="INDIRECT EXPENSES","Selling Expenses"),P2050="Parts",_xlfn.IFS(I2050="SALES","GP",I2050="SERVICE SALES","GP",I2050="PARTS SALES","GP",I2050="SERVICE COS","GP",I2050="PARTS COS","GP",I2050="SELLING EXPENSES","Selling Expenses",I2050="EMPLOYMENT EXPENSES","Selling Expenses",I2050="EMPLOYMENT EXPENSES","Selling Expenses",I2050="DIRECT EXPENSES","Selling Expenses",I2050="INDIRECT EXPENSES","Selling Expenses"))</f>
        <v>#N/A</v>
      </c>
    </row>
    <row r="2051" spans="1:18" x14ac:dyDescent="0.2">
      <c r="A2051" s="76"/>
      <c r="B2051" s="76"/>
      <c r="C2051" s="76"/>
      <c r="D2051" s="76"/>
      <c r="E2051" s="76"/>
      <c r="F2051" s="77"/>
      <c r="G2051" s="77"/>
      <c r="H2051" s="77"/>
      <c r="I2051" s="76"/>
      <c r="J2051" s="77"/>
      <c r="K2051" s="77"/>
      <c r="M2051" s="79" t="str">
        <f t="shared" si="100"/>
        <v>-</v>
      </c>
      <c r="O2051" s="79" t="str">
        <f t="shared" si="101"/>
        <v/>
      </c>
      <c r="P2051" s="79" t="str">
        <f>IFERROR(VLOOKUP($M2051,Export!$P:$R,2,FALSE),"-")</f>
        <v>-</v>
      </c>
      <c r="Q2051" s="79" t="str">
        <f>IFERROR(VLOOKUP($M2051,Export!$P:$R,3,FALSE),"-")</f>
        <v>-</v>
      </c>
      <c r="R2051" s="80" t="e" cm="1">
        <f t="array" ref="R2051">_xlfn.IFS(P2051="Service", _xlfn.IFS(I2051="SALES","GP",I2051="SERVICE SALES","GP",I2051="PARTS SALES","GP",I2051="SERVICE COS","GP",I2051="PARTS COS","GP",I2051="SELLING EXPENSES","Selling Expenses",I2051="EMPLOYMENT EXPENSES","Selling Expenses",I2051="EMPLOYMENT EXPENSES","Selling Expenses",I2051="DIRECT EXPENSES","Selling Expenses",I2051="INDIRECT EXPENSES","Selling Expenses"),P2051="Parts",_xlfn.IFS(I2051="SALES","GP",I2051="SERVICE SALES","GP",I2051="PARTS SALES","GP",I2051="SERVICE COS","GP",I2051="PARTS COS","GP",I2051="SELLING EXPENSES","Selling Expenses",I2051="EMPLOYMENT EXPENSES","Selling Expenses",I2051="EMPLOYMENT EXPENSES","Selling Expenses",I2051="DIRECT EXPENSES","Selling Expenses",I2051="INDIRECT EXPENSES","Selling Expenses"))</f>
        <v>#N/A</v>
      </c>
    </row>
    <row r="2052" spans="1:18" x14ac:dyDescent="0.2">
      <c r="A2052" s="76"/>
      <c r="B2052" s="76"/>
      <c r="C2052" s="76"/>
      <c r="D2052" s="76"/>
      <c r="E2052" s="76"/>
      <c r="F2052" s="77"/>
      <c r="G2052" s="77"/>
      <c r="H2052" s="77"/>
      <c r="I2052" s="76"/>
      <c r="J2052" s="77"/>
      <c r="K2052" s="77"/>
      <c r="M2052" s="79" t="str">
        <f t="shared" si="100"/>
        <v>-</v>
      </c>
      <c r="O2052" s="79" t="str">
        <f t="shared" si="101"/>
        <v/>
      </c>
      <c r="P2052" s="79" t="str">
        <f>IFERROR(VLOOKUP($M2052,Export!$P:$R,2,FALSE),"-")</f>
        <v>-</v>
      </c>
      <c r="Q2052" s="79" t="str">
        <f>IFERROR(VLOOKUP($M2052,Export!$P:$R,3,FALSE),"-")</f>
        <v>-</v>
      </c>
      <c r="R2052" s="80" t="e" cm="1">
        <f t="array" ref="R2052">_xlfn.IFS(P2052="Service", _xlfn.IFS(I2052="SALES","GP",I2052="SERVICE SALES","GP",I2052="PARTS SALES","GP",I2052="SERVICE COS","GP",I2052="PARTS COS","GP",I2052="SELLING EXPENSES","Selling Expenses",I2052="EMPLOYMENT EXPENSES","Selling Expenses",I2052="EMPLOYMENT EXPENSES","Selling Expenses",I2052="DIRECT EXPENSES","Selling Expenses",I2052="INDIRECT EXPENSES","Selling Expenses"),P2052="Parts",_xlfn.IFS(I2052="SALES","GP",I2052="SERVICE SALES","GP",I2052="PARTS SALES","GP",I2052="SERVICE COS","GP",I2052="PARTS COS","GP",I2052="SELLING EXPENSES","Selling Expenses",I2052="EMPLOYMENT EXPENSES","Selling Expenses",I2052="EMPLOYMENT EXPENSES","Selling Expenses",I2052="DIRECT EXPENSES","Selling Expenses",I2052="INDIRECT EXPENSES","Selling Expenses"))</f>
        <v>#N/A</v>
      </c>
    </row>
    <row r="2053" spans="1:18" x14ac:dyDescent="0.2">
      <c r="A2053" s="76"/>
      <c r="B2053" s="76"/>
      <c r="C2053" s="76"/>
      <c r="D2053" s="76"/>
      <c r="E2053" s="76"/>
      <c r="F2053" s="77"/>
      <c r="G2053" s="77"/>
      <c r="H2053" s="77"/>
      <c r="I2053" s="76"/>
      <c r="J2053" s="77"/>
      <c r="K2053" s="77"/>
      <c r="M2053" s="79" t="str">
        <f t="shared" si="100"/>
        <v>-</v>
      </c>
      <c r="O2053" s="79" t="str">
        <f t="shared" si="101"/>
        <v/>
      </c>
      <c r="P2053" s="79" t="str">
        <f>IFERROR(VLOOKUP($M2053,Export!$P:$R,2,FALSE),"-")</f>
        <v>-</v>
      </c>
      <c r="Q2053" s="79" t="str">
        <f>IFERROR(VLOOKUP($M2053,Export!$P:$R,3,FALSE),"-")</f>
        <v>-</v>
      </c>
      <c r="R2053" s="80" t="e" cm="1">
        <f t="array" ref="R2053">_xlfn.IFS(P2053="Service", _xlfn.IFS(I2053="SALES","GP",I2053="SERVICE SALES","GP",I2053="PARTS SALES","GP",I2053="SERVICE COS","GP",I2053="PARTS COS","GP",I2053="SELLING EXPENSES","Selling Expenses",I2053="EMPLOYMENT EXPENSES","Selling Expenses",I2053="EMPLOYMENT EXPENSES","Selling Expenses",I2053="DIRECT EXPENSES","Selling Expenses",I2053="INDIRECT EXPENSES","Selling Expenses"),P2053="Parts",_xlfn.IFS(I2053="SALES","GP",I2053="SERVICE SALES","GP",I2053="PARTS SALES","GP",I2053="SERVICE COS","GP",I2053="PARTS COS","GP",I2053="SELLING EXPENSES","Selling Expenses",I2053="EMPLOYMENT EXPENSES","Selling Expenses",I2053="EMPLOYMENT EXPENSES","Selling Expenses",I2053="DIRECT EXPENSES","Selling Expenses",I2053="INDIRECT EXPENSES","Selling Expenses"))</f>
        <v>#N/A</v>
      </c>
    </row>
    <row r="2054" spans="1:18" x14ac:dyDescent="0.2">
      <c r="A2054" s="76"/>
      <c r="B2054" s="76"/>
      <c r="C2054" s="76"/>
      <c r="D2054" s="76"/>
      <c r="E2054" s="76"/>
      <c r="F2054" s="77"/>
      <c r="G2054" s="77"/>
      <c r="H2054" s="77"/>
      <c r="I2054" s="76"/>
      <c r="J2054" s="77"/>
      <c r="K2054" s="77"/>
      <c r="M2054" s="79" t="str">
        <f t="shared" si="100"/>
        <v>-</v>
      </c>
      <c r="O2054" s="79" t="str">
        <f t="shared" si="101"/>
        <v/>
      </c>
      <c r="P2054" s="79" t="str">
        <f>IFERROR(VLOOKUP($M2054,Export!$P:$R,2,FALSE),"-")</f>
        <v>-</v>
      </c>
      <c r="Q2054" s="79" t="str">
        <f>IFERROR(VLOOKUP($M2054,Export!$P:$R,3,FALSE),"-")</f>
        <v>-</v>
      </c>
      <c r="R2054" s="80" t="e" cm="1">
        <f t="array" ref="R2054">_xlfn.IFS(P2054="Service", _xlfn.IFS(I2054="SALES","GP",I2054="SERVICE SALES","GP",I2054="PARTS SALES","GP",I2054="SERVICE COS","GP",I2054="PARTS COS","GP",I2054="SELLING EXPENSES","Selling Expenses",I2054="EMPLOYMENT EXPENSES","Selling Expenses",I2054="EMPLOYMENT EXPENSES","Selling Expenses",I2054="DIRECT EXPENSES","Selling Expenses",I2054="INDIRECT EXPENSES","Selling Expenses"),P2054="Parts",_xlfn.IFS(I2054="SALES","GP",I2054="SERVICE SALES","GP",I2054="PARTS SALES","GP",I2054="SERVICE COS","GP",I2054="PARTS COS","GP",I2054="SELLING EXPENSES","Selling Expenses",I2054="EMPLOYMENT EXPENSES","Selling Expenses",I2054="EMPLOYMENT EXPENSES","Selling Expenses",I2054="DIRECT EXPENSES","Selling Expenses",I2054="INDIRECT EXPENSES","Selling Expenses"))</f>
        <v>#N/A</v>
      </c>
    </row>
    <row r="2055" spans="1:18" x14ac:dyDescent="0.2">
      <c r="A2055" s="76"/>
      <c r="B2055" s="76"/>
      <c r="C2055" s="76"/>
      <c r="D2055" s="76"/>
      <c r="E2055" s="76"/>
      <c r="F2055" s="77"/>
      <c r="G2055" s="77"/>
      <c r="H2055" s="77"/>
      <c r="I2055" s="76"/>
      <c r="J2055" s="77"/>
      <c r="K2055" s="77"/>
      <c r="M2055" s="79" t="str">
        <f t="shared" si="100"/>
        <v>-</v>
      </c>
      <c r="O2055" s="79" t="str">
        <f t="shared" si="101"/>
        <v/>
      </c>
      <c r="P2055" s="79" t="str">
        <f>IFERROR(VLOOKUP($M2055,Export!$P:$R,2,FALSE),"-")</f>
        <v>-</v>
      </c>
      <c r="Q2055" s="79" t="str">
        <f>IFERROR(VLOOKUP($M2055,Export!$P:$R,3,FALSE),"-")</f>
        <v>-</v>
      </c>
      <c r="R2055" s="80" t="e" cm="1">
        <f t="array" ref="R2055">_xlfn.IFS(P2055="Service", _xlfn.IFS(I2055="SALES","GP",I2055="SERVICE SALES","GP",I2055="PARTS SALES","GP",I2055="SERVICE COS","GP",I2055="PARTS COS","GP",I2055="SELLING EXPENSES","Selling Expenses",I2055="EMPLOYMENT EXPENSES","Selling Expenses",I2055="EMPLOYMENT EXPENSES","Selling Expenses",I2055="DIRECT EXPENSES","Selling Expenses",I2055="INDIRECT EXPENSES","Selling Expenses"),P2055="Parts",_xlfn.IFS(I2055="SALES","GP",I2055="SERVICE SALES","GP",I2055="PARTS SALES","GP",I2055="SERVICE COS","GP",I2055="PARTS COS","GP",I2055="SELLING EXPENSES","Selling Expenses",I2055="EMPLOYMENT EXPENSES","Selling Expenses",I2055="EMPLOYMENT EXPENSES","Selling Expenses",I2055="DIRECT EXPENSES","Selling Expenses",I2055="INDIRECT EXPENSES","Selling Expenses"))</f>
        <v>#N/A</v>
      </c>
    </row>
  </sheetData>
  <autoFilter ref="A1:R2055" xr:uid="{BD1D4143-18F6-4C13-B65E-4723BDD794C2}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BAB8C-4822-43AD-9664-DC4A018B62F8}">
  <sheetPr>
    <tabColor rgb="FFFFFF00"/>
  </sheetPr>
  <dimension ref="A1:U5000"/>
  <sheetViews>
    <sheetView topLeftCell="A4981" workbookViewId="0">
      <selection activeCell="A5001" sqref="A5001"/>
    </sheetView>
  </sheetViews>
  <sheetFormatPr defaultColWidth="9.140625" defaultRowHeight="15" x14ac:dyDescent="0.25"/>
  <cols>
    <col min="1" max="1" width="9.7109375" bestFit="1" customWidth="1"/>
    <col min="2" max="2" width="7" customWidth="1"/>
    <col min="4" max="4" width="11.42578125" customWidth="1"/>
    <col min="5" max="5" width="6.28515625" customWidth="1"/>
    <col min="7" max="7" width="33.140625" customWidth="1"/>
    <col min="8" max="8" width="22.140625" customWidth="1"/>
    <col min="9" max="11" width="39.85546875" customWidth="1"/>
    <col min="12" max="15" width="13.7109375" customWidth="1"/>
    <col min="16" max="16" width="15.85546875" bestFit="1" customWidth="1"/>
    <col min="17" max="17" width="22.140625" customWidth="1"/>
    <col min="18" max="18" width="39.85546875" customWidth="1"/>
    <col min="19" max="19" width="13.7109375" customWidth="1"/>
  </cols>
  <sheetData>
    <row r="1" spans="1:21" x14ac:dyDescent="0.25">
      <c r="J1" s="311"/>
      <c r="L1" s="311">
        <f>SUM(L34:L4999)</f>
        <v>393900.669999998</v>
      </c>
      <c r="M1" s="311">
        <f t="shared" ref="M1:O1" si="0">SUM(M34:M4999)</f>
        <v>0</v>
      </c>
      <c r="N1" s="311">
        <f t="shared" si="0"/>
        <v>200509.61904145131</v>
      </c>
      <c r="O1" s="311">
        <f t="shared" si="0"/>
        <v>0</v>
      </c>
      <c r="R1" s="311"/>
      <c r="S1" s="311"/>
      <c r="T1" s="311"/>
      <c r="U1" s="311"/>
    </row>
    <row r="2" spans="1:21" s="314" customFormat="1" ht="60" x14ac:dyDescent="0.25">
      <c r="A2" s="312" t="s">
        <v>983</v>
      </c>
      <c r="B2" s="312" t="s">
        <v>984</v>
      </c>
      <c r="C2" s="312" t="s">
        <v>985</v>
      </c>
      <c r="D2" s="312" t="s">
        <v>986</v>
      </c>
      <c r="E2" s="312" t="s">
        <v>987</v>
      </c>
      <c r="F2" s="312" t="s">
        <v>988</v>
      </c>
      <c r="G2" s="312" t="s">
        <v>989</v>
      </c>
      <c r="H2" s="313" t="s">
        <v>210</v>
      </c>
      <c r="I2" s="313" t="s">
        <v>990</v>
      </c>
      <c r="J2" s="313" t="s">
        <v>211</v>
      </c>
      <c r="K2" s="313" t="s">
        <v>991</v>
      </c>
      <c r="L2" s="198" t="s">
        <v>992</v>
      </c>
      <c r="M2" s="198" t="s">
        <v>993</v>
      </c>
      <c r="N2" s="198" t="s">
        <v>994</v>
      </c>
      <c r="O2" s="198" t="s">
        <v>995</v>
      </c>
      <c r="P2" s="198" t="s">
        <v>198</v>
      </c>
      <c r="Q2" s="313" t="s">
        <v>210</v>
      </c>
      <c r="R2" s="313" t="s">
        <v>211</v>
      </c>
      <c r="S2" s="198"/>
      <c r="T2" s="198"/>
      <c r="U2" s="198"/>
    </row>
    <row r="3" spans="1:21" x14ac:dyDescent="0.25">
      <c r="A3" t="s">
        <v>996</v>
      </c>
      <c r="B3" t="s">
        <v>997</v>
      </c>
      <c r="C3" t="s">
        <v>997</v>
      </c>
      <c r="D3">
        <v>1056</v>
      </c>
      <c r="E3">
        <v>100</v>
      </c>
      <c r="F3" t="s">
        <v>998</v>
      </c>
      <c r="G3" t="s">
        <v>999</v>
      </c>
      <c r="H3" s="315" t="s">
        <v>1000</v>
      </c>
      <c r="I3" s="315" t="s">
        <v>1001</v>
      </c>
      <c r="J3" s="315" t="str">
        <f t="shared" ref="J3:J55" si="1">+H3&amp;I3</f>
        <v>Admin &amp; OtherOther Overheads as % of Total Gross Profit</v>
      </c>
      <c r="K3" s="315" t="str">
        <f t="shared" ref="K3:K55" si="2">+E3&amp;G3</f>
        <v>100Miscellaneous expenses - Toyota</v>
      </c>
      <c r="L3" s="311">
        <f>+SUMIF('TUNZ Extracted TB'!M:M,$P3,'TUNZ Extracted TB'!G:G)</f>
        <v>0.5</v>
      </c>
      <c r="M3" s="311"/>
      <c r="N3" s="311">
        <f>+SUMIF('Input Sheet'!$AE:$AE,P3,'Input Sheet'!$X:$X)</f>
        <v>0</v>
      </c>
      <c r="O3" s="311"/>
      <c r="P3" t="str">
        <f t="shared" ref="P3:P55" si="3">+E3&amp;"-"&amp;D3</f>
        <v>100-1056</v>
      </c>
      <c r="Q3" s="315" t="str">
        <f t="shared" ref="Q3:Q55" si="4">H3</f>
        <v>Admin &amp; Other</v>
      </c>
      <c r="R3" s="315" t="str">
        <f t="shared" ref="R3:R55" si="5">J3</f>
        <v>Admin &amp; OtherOther Overheads as % of Total Gross Profit</v>
      </c>
      <c r="S3" s="199"/>
      <c r="T3" s="199"/>
      <c r="U3" s="199"/>
    </row>
    <row r="4" spans="1:21" x14ac:dyDescent="0.25">
      <c r="A4" t="s">
        <v>996</v>
      </c>
      <c r="B4" t="s">
        <v>997</v>
      </c>
      <c r="C4" t="s">
        <v>997</v>
      </c>
      <c r="D4">
        <v>3142</v>
      </c>
      <c r="E4">
        <v>100</v>
      </c>
      <c r="F4" t="s">
        <v>1002</v>
      </c>
      <c r="G4" t="s">
        <v>1003</v>
      </c>
      <c r="H4" s="315" t="s">
        <v>29</v>
      </c>
      <c r="I4" s="315" t="s">
        <v>1004</v>
      </c>
      <c r="J4" s="315" t="str">
        <f t="shared" si="1"/>
        <v>New VehicleRetail Gross p.u.</v>
      </c>
      <c r="K4" s="315" t="str">
        <f t="shared" si="2"/>
        <v>100New Vehicle Cost of Sales - Toyota</v>
      </c>
      <c r="L4" s="311">
        <f>+SUMIF('TUNZ Extracted TB'!M:M,$P4,'TUNZ Extracted TB'!G:G)</f>
        <v>-130350</v>
      </c>
      <c r="M4" s="311"/>
      <c r="N4" s="311">
        <f>+SUMIF('Input Sheet'!$AE:$AE,P4,'Input Sheet'!$X:$X)</f>
        <v>-121875</v>
      </c>
      <c r="O4" s="311"/>
      <c r="P4" t="str">
        <f t="shared" si="3"/>
        <v>100-3142</v>
      </c>
      <c r="Q4" s="315" t="str">
        <f t="shared" si="4"/>
        <v>New Vehicle</v>
      </c>
      <c r="R4" s="315" t="str">
        <f t="shared" si="5"/>
        <v>New VehicleRetail Gross p.u.</v>
      </c>
      <c r="S4" s="199"/>
      <c r="T4" s="199"/>
      <c r="U4" s="199"/>
    </row>
    <row r="5" spans="1:21" x14ac:dyDescent="0.25">
      <c r="A5" t="s">
        <v>996</v>
      </c>
      <c r="B5" t="s">
        <v>997</v>
      </c>
      <c r="C5" t="s">
        <v>1005</v>
      </c>
      <c r="D5">
        <v>3142</v>
      </c>
      <c r="E5">
        <v>200</v>
      </c>
      <c r="F5" t="s">
        <v>1002</v>
      </c>
      <c r="G5" t="s">
        <v>1003</v>
      </c>
      <c r="H5" s="315" t="s">
        <v>29</v>
      </c>
      <c r="I5" s="315" t="s">
        <v>1004</v>
      </c>
      <c r="J5" s="315" t="str">
        <f t="shared" si="1"/>
        <v>New VehicleRetail Gross p.u.</v>
      </c>
      <c r="K5" s="315" t="str">
        <f t="shared" si="2"/>
        <v>200New Vehicle Cost of Sales - Toyota</v>
      </c>
      <c r="L5" s="311">
        <f>+SUMIF('TUNZ Extracted TB'!M:M,$P5,'TUNZ Extracted TB'!G:G)</f>
        <v>-119260</v>
      </c>
      <c r="M5" s="311"/>
      <c r="N5" s="311">
        <f>+SUMIF('Input Sheet'!$AE:$AE,P5,'Input Sheet'!$X:$X)</f>
        <v>-121875</v>
      </c>
      <c r="O5" s="311"/>
      <c r="P5" t="str">
        <f t="shared" si="3"/>
        <v>200-3142</v>
      </c>
      <c r="Q5" s="315" t="str">
        <f t="shared" si="4"/>
        <v>New Vehicle</v>
      </c>
      <c r="R5" s="315" t="str">
        <f t="shared" si="5"/>
        <v>New VehicleRetail Gross p.u.</v>
      </c>
      <c r="T5" s="199"/>
      <c r="U5" s="199"/>
    </row>
    <row r="6" spans="1:21" x14ac:dyDescent="0.25">
      <c r="A6" t="s">
        <v>996</v>
      </c>
      <c r="B6" t="s">
        <v>997</v>
      </c>
      <c r="C6" t="s">
        <v>997</v>
      </c>
      <c r="D6">
        <v>3060</v>
      </c>
      <c r="E6">
        <v>100</v>
      </c>
      <c r="F6" t="s">
        <v>1006</v>
      </c>
      <c r="G6" t="s">
        <v>1007</v>
      </c>
      <c r="H6" s="315" t="s">
        <v>29</v>
      </c>
      <c r="I6" s="315" t="s">
        <v>1008</v>
      </c>
      <c r="J6" s="315" t="str">
        <f t="shared" si="1"/>
        <v>New VehicleDirect Delivery Fees (net)</v>
      </c>
      <c r="K6" s="315" t="str">
        <f t="shared" si="2"/>
        <v>100NV Direct Delivery Fees (net) - Toyota</v>
      </c>
      <c r="L6" s="311">
        <f>+SUMIF('TUNZ Extracted TB'!M:M,$P6,'TUNZ Extracted TB'!G:G)</f>
        <v>0</v>
      </c>
      <c r="M6" s="311"/>
      <c r="N6" s="311">
        <f>+SUMIF('Input Sheet'!$AE:$AE,P6,'Input Sheet'!$X:$X)</f>
        <v>-2666.6666666666665</v>
      </c>
      <c r="O6" s="311"/>
      <c r="P6" t="str">
        <f t="shared" si="3"/>
        <v>100-3060</v>
      </c>
      <c r="Q6" s="315" t="str">
        <f t="shared" si="4"/>
        <v>New Vehicle</v>
      </c>
      <c r="R6" s="315" t="str">
        <f t="shared" si="5"/>
        <v>New VehicleDirect Delivery Fees (net)</v>
      </c>
      <c r="S6" s="199"/>
      <c r="T6" s="199"/>
      <c r="U6" s="199"/>
    </row>
    <row r="7" spans="1:21" x14ac:dyDescent="0.25">
      <c r="A7" t="s">
        <v>996</v>
      </c>
      <c r="B7" t="s">
        <v>997</v>
      </c>
      <c r="C7" t="s">
        <v>1005</v>
      </c>
      <c r="D7">
        <v>3060</v>
      </c>
      <c r="E7">
        <v>200</v>
      </c>
      <c r="F7" t="s">
        <v>1006</v>
      </c>
      <c r="G7" t="s">
        <v>1007</v>
      </c>
      <c r="H7" s="315" t="s">
        <v>29</v>
      </c>
      <c r="I7" s="315" t="s">
        <v>1008</v>
      </c>
      <c r="J7" s="315" t="str">
        <f t="shared" si="1"/>
        <v>New VehicleDirect Delivery Fees (net)</v>
      </c>
      <c r="K7" s="315" t="str">
        <f t="shared" si="2"/>
        <v>200NV Direct Delivery Fees (net) - Toyota</v>
      </c>
      <c r="L7" s="311">
        <f>+SUMIF('TUNZ Extracted TB'!M:M,$P7,'TUNZ Extracted TB'!G:G)</f>
        <v>0</v>
      </c>
      <c r="M7" s="311"/>
      <c r="N7" s="311">
        <f>+SUMIF('Input Sheet'!$AE:$AE,P7,'Input Sheet'!$X:$X)</f>
        <v>-1333.3333333333333</v>
      </c>
      <c r="O7" s="311"/>
      <c r="P7" t="str">
        <f t="shared" si="3"/>
        <v>200-3060</v>
      </c>
      <c r="Q7" s="315" t="str">
        <f t="shared" si="4"/>
        <v>New Vehicle</v>
      </c>
      <c r="R7" s="315" t="str">
        <f t="shared" si="5"/>
        <v>New VehicleDirect Delivery Fees (net)</v>
      </c>
      <c r="S7" s="199"/>
      <c r="T7" s="199"/>
      <c r="U7" s="199"/>
    </row>
    <row r="8" spans="1:21" x14ac:dyDescent="0.25">
      <c r="A8" t="s">
        <v>996</v>
      </c>
      <c r="B8" t="s">
        <v>997</v>
      </c>
      <c r="C8" t="s">
        <v>997</v>
      </c>
      <c r="D8">
        <v>3060</v>
      </c>
      <c r="E8">
        <v>112</v>
      </c>
      <c r="F8" t="s">
        <v>1009</v>
      </c>
      <c r="G8" t="s">
        <v>1010</v>
      </c>
      <c r="H8" s="315" t="s">
        <v>1011</v>
      </c>
      <c r="I8" s="315" t="s">
        <v>1008</v>
      </c>
      <c r="J8" s="315" t="str">
        <f t="shared" si="1"/>
        <v>LEX New VehicleDirect Delivery Fees (net)</v>
      </c>
      <c r="K8" s="315" t="str">
        <f t="shared" si="2"/>
        <v>112NV Direct Delivery Fees (net) - Lexus</v>
      </c>
      <c r="L8" s="311">
        <f>+SUMIF('TUNZ Extracted TB'!M:M,$P8,'TUNZ Extracted TB'!G:G)</f>
        <v>0</v>
      </c>
      <c r="M8" s="311"/>
      <c r="N8" s="311">
        <f>+SUMIF('Input Sheet'!$AE:$AE,P8,'Input Sheet'!$X:$X)</f>
        <v>0</v>
      </c>
      <c r="O8" s="311"/>
      <c r="P8" t="str">
        <f t="shared" si="3"/>
        <v>112-3060</v>
      </c>
      <c r="Q8" s="315" t="str">
        <f t="shared" si="4"/>
        <v>LEX New Vehicle</v>
      </c>
      <c r="R8" s="315" t="str">
        <f t="shared" si="5"/>
        <v>LEX New VehicleDirect Delivery Fees (net)</v>
      </c>
      <c r="S8" s="199"/>
      <c r="T8" s="199"/>
      <c r="U8" s="199"/>
    </row>
    <row r="9" spans="1:21" x14ac:dyDescent="0.25">
      <c r="A9" t="s">
        <v>996</v>
      </c>
      <c r="B9" t="s">
        <v>997</v>
      </c>
      <c r="C9" t="s">
        <v>997</v>
      </c>
      <c r="D9">
        <v>3060</v>
      </c>
      <c r="E9">
        <v>110</v>
      </c>
      <c r="F9" t="s">
        <v>1006</v>
      </c>
      <c r="G9" t="s">
        <v>1007</v>
      </c>
      <c r="H9" s="315" t="s">
        <v>29</v>
      </c>
      <c r="I9" s="315" t="s">
        <v>1008</v>
      </c>
      <c r="J9" s="315" t="str">
        <f t="shared" si="1"/>
        <v>New VehicleDirect Delivery Fees (net)</v>
      </c>
      <c r="K9" s="315" t="str">
        <f t="shared" si="2"/>
        <v>110NV Direct Delivery Fees (net) - Toyota</v>
      </c>
      <c r="L9" s="311">
        <f>+SUMIF('TUNZ Extracted TB'!M:M,$P9,'TUNZ Extracted TB'!G:G)</f>
        <v>-5316.38</v>
      </c>
      <c r="M9" s="311"/>
      <c r="N9" s="311">
        <f>+SUMIF('Input Sheet'!$AE:$AE,P9,'Input Sheet'!$X:$X)</f>
        <v>0</v>
      </c>
      <c r="O9" s="311"/>
      <c r="P9" t="str">
        <f t="shared" si="3"/>
        <v>110-3060</v>
      </c>
      <c r="Q9" s="315" t="str">
        <f t="shared" si="4"/>
        <v>New Vehicle</v>
      </c>
      <c r="R9" s="315" t="str">
        <f t="shared" si="5"/>
        <v>New VehicleDirect Delivery Fees (net)</v>
      </c>
      <c r="S9" s="199"/>
      <c r="T9" s="199"/>
      <c r="U9" s="199"/>
    </row>
    <row r="10" spans="1:21" x14ac:dyDescent="0.25">
      <c r="A10" t="s">
        <v>996</v>
      </c>
      <c r="B10" t="s">
        <v>997</v>
      </c>
      <c r="C10" t="s">
        <v>1012</v>
      </c>
      <c r="D10">
        <v>3060</v>
      </c>
      <c r="E10">
        <v>400</v>
      </c>
      <c r="F10" t="s">
        <v>1006</v>
      </c>
      <c r="G10" t="s">
        <v>1007</v>
      </c>
      <c r="H10" s="315" t="s">
        <v>29</v>
      </c>
      <c r="I10" s="315" t="s">
        <v>1008</v>
      </c>
      <c r="J10" s="315" t="str">
        <f t="shared" si="1"/>
        <v>New VehicleDirect Delivery Fees (net)</v>
      </c>
      <c r="K10" s="315" t="str">
        <f t="shared" si="2"/>
        <v>400NV Direct Delivery Fees (net) - Toyota</v>
      </c>
      <c r="L10" s="311">
        <f>+SUMIF('TUNZ Extracted TB'!M:M,$P10,'TUNZ Extracted TB'!G:G)</f>
        <v>0</v>
      </c>
      <c r="M10" s="311"/>
      <c r="N10" s="311">
        <f>+SUMIF('Input Sheet'!$AE:$AE,P10,'Input Sheet'!$X:$X)</f>
        <v>0</v>
      </c>
      <c r="O10" s="311"/>
      <c r="P10" t="str">
        <f t="shared" si="3"/>
        <v>400-3060</v>
      </c>
      <c r="Q10" s="315" t="str">
        <f t="shared" si="4"/>
        <v>New Vehicle</v>
      </c>
      <c r="R10" s="315" t="str">
        <f t="shared" si="5"/>
        <v>New VehicleDirect Delivery Fees (net)</v>
      </c>
      <c r="S10" s="199"/>
      <c r="T10" s="199"/>
      <c r="U10" s="199"/>
    </row>
    <row r="11" spans="1:21" x14ac:dyDescent="0.25">
      <c r="A11" t="s">
        <v>996</v>
      </c>
      <c r="B11" t="s">
        <v>997</v>
      </c>
      <c r="C11" t="s">
        <v>1012</v>
      </c>
      <c r="D11">
        <v>3060</v>
      </c>
      <c r="E11">
        <v>410</v>
      </c>
      <c r="F11" t="s">
        <v>1006</v>
      </c>
      <c r="G11" t="s">
        <v>1007</v>
      </c>
      <c r="H11" s="315" t="s">
        <v>29</v>
      </c>
      <c r="I11" s="315" t="s">
        <v>1008</v>
      </c>
      <c r="J11" s="315" t="str">
        <f t="shared" si="1"/>
        <v>New VehicleDirect Delivery Fees (net)</v>
      </c>
      <c r="K11" s="315" t="str">
        <f t="shared" si="2"/>
        <v>410NV Direct Delivery Fees (net) - Toyota</v>
      </c>
      <c r="L11" s="311">
        <f>+SUMIF('TUNZ Extracted TB'!M:M,$P11,'TUNZ Extracted TB'!G:G)</f>
        <v>0</v>
      </c>
      <c r="M11" s="311"/>
      <c r="N11" s="311">
        <f>+SUMIF('Input Sheet'!$AE:$AE,P11,'Input Sheet'!$X:$X)</f>
        <v>0</v>
      </c>
      <c r="O11" s="311"/>
      <c r="P11" t="str">
        <f t="shared" si="3"/>
        <v>410-3060</v>
      </c>
      <c r="Q11" s="315" t="str">
        <f t="shared" si="4"/>
        <v>New Vehicle</v>
      </c>
      <c r="R11" s="315" t="str">
        <f t="shared" si="5"/>
        <v>New VehicleDirect Delivery Fees (net)</v>
      </c>
      <c r="S11" s="199"/>
      <c r="T11" s="199"/>
      <c r="U11" s="199"/>
    </row>
    <row r="12" spans="1:21" x14ac:dyDescent="0.25">
      <c r="A12" t="s">
        <v>996</v>
      </c>
      <c r="B12" t="s">
        <v>997</v>
      </c>
      <c r="C12" t="s">
        <v>1013</v>
      </c>
      <c r="D12">
        <v>3060</v>
      </c>
      <c r="E12">
        <v>300</v>
      </c>
      <c r="F12" t="s">
        <v>1006</v>
      </c>
      <c r="G12" t="s">
        <v>1007</v>
      </c>
      <c r="H12" s="315" t="s">
        <v>29</v>
      </c>
      <c r="I12" s="315" t="s">
        <v>1008</v>
      </c>
      <c r="J12" s="315" t="str">
        <f t="shared" si="1"/>
        <v>New VehicleDirect Delivery Fees (net)</v>
      </c>
      <c r="K12" s="315" t="str">
        <f t="shared" si="2"/>
        <v>300NV Direct Delivery Fees (net) - Toyota</v>
      </c>
      <c r="L12" s="311">
        <f>+SUMIF('TUNZ Extracted TB'!M:M,$P12,'TUNZ Extracted TB'!G:G)</f>
        <v>0</v>
      </c>
      <c r="M12" s="311"/>
      <c r="N12" s="311">
        <f>+SUMIF('Input Sheet'!$AE:$AE,P12,'Input Sheet'!$X:$X)</f>
        <v>0</v>
      </c>
      <c r="O12" s="311"/>
      <c r="P12" t="str">
        <f t="shared" si="3"/>
        <v>300-3060</v>
      </c>
      <c r="Q12" s="315" t="str">
        <f t="shared" si="4"/>
        <v>New Vehicle</v>
      </c>
      <c r="R12" s="315" t="str">
        <f t="shared" si="5"/>
        <v>New VehicleDirect Delivery Fees (net)</v>
      </c>
      <c r="S12" s="199"/>
      <c r="T12" s="199"/>
      <c r="U12" s="199"/>
    </row>
    <row r="13" spans="1:21" x14ac:dyDescent="0.25">
      <c r="A13" t="s">
        <v>996</v>
      </c>
      <c r="B13" t="s">
        <v>997</v>
      </c>
      <c r="C13" t="s">
        <v>997</v>
      </c>
      <c r="D13">
        <v>3142</v>
      </c>
      <c r="E13">
        <v>110</v>
      </c>
      <c r="F13" t="s">
        <v>1014</v>
      </c>
      <c r="G13" t="s">
        <v>1015</v>
      </c>
      <c r="H13" s="315" t="s">
        <v>30</v>
      </c>
      <c r="I13" s="315" t="s">
        <v>1016</v>
      </c>
      <c r="J13" s="315" t="str">
        <f t="shared" si="1"/>
        <v>Used VehicleEx NV demonstrators gross profit p.u.</v>
      </c>
      <c r="K13" s="315" t="str">
        <f t="shared" si="2"/>
        <v>110Ex-Toyota NV Demonstrator revenue</v>
      </c>
      <c r="L13" s="311">
        <f>+SUMIF('TUNZ Extracted TB'!M:M,$P13,'TUNZ Extracted TB'!G:G)</f>
        <v>0</v>
      </c>
      <c r="M13" s="311"/>
      <c r="N13" s="311">
        <f>+SUMIF('Input Sheet'!$AE:$AE,P13,'Input Sheet'!$X:$X)</f>
        <v>0</v>
      </c>
      <c r="O13" s="311"/>
      <c r="P13" t="str">
        <f t="shared" si="3"/>
        <v>110-3142</v>
      </c>
      <c r="Q13" s="315" t="str">
        <f t="shared" si="4"/>
        <v>Used Vehicle</v>
      </c>
      <c r="R13" s="315" t="str">
        <f t="shared" si="5"/>
        <v>Used VehicleEx NV demonstrators gross profit p.u.</v>
      </c>
      <c r="S13" s="199"/>
      <c r="T13" s="199"/>
      <c r="U13" s="199"/>
    </row>
    <row r="14" spans="1:21" x14ac:dyDescent="0.25">
      <c r="A14" t="s">
        <v>996</v>
      </c>
      <c r="B14" t="s">
        <v>997</v>
      </c>
      <c r="C14" t="s">
        <v>1013</v>
      </c>
      <c r="D14">
        <v>3060</v>
      </c>
      <c r="E14">
        <v>310</v>
      </c>
      <c r="F14" t="s">
        <v>1006</v>
      </c>
      <c r="G14" t="s">
        <v>1007</v>
      </c>
      <c r="H14" s="315" t="s">
        <v>29</v>
      </c>
      <c r="I14" s="315" t="s">
        <v>1008</v>
      </c>
      <c r="J14" s="315" t="str">
        <f t="shared" si="1"/>
        <v>New VehicleDirect Delivery Fees (net)</v>
      </c>
      <c r="K14" s="315" t="str">
        <f t="shared" si="2"/>
        <v>310NV Direct Delivery Fees (net) - Toyota</v>
      </c>
      <c r="L14" s="311">
        <f>+SUMIF('TUNZ Extracted TB'!M:M,$P14,'TUNZ Extracted TB'!G:G)</f>
        <v>0</v>
      </c>
      <c r="M14" s="311"/>
      <c r="N14" s="311">
        <f>+SUMIF('Input Sheet'!$AE:$AE,P14,'Input Sheet'!$X:$X)</f>
        <v>0</v>
      </c>
      <c r="O14" s="311"/>
      <c r="P14" t="str">
        <f t="shared" si="3"/>
        <v>310-3060</v>
      </c>
      <c r="Q14" s="315" t="str">
        <f t="shared" si="4"/>
        <v>New Vehicle</v>
      </c>
      <c r="R14" s="315" t="str">
        <f t="shared" si="5"/>
        <v>New VehicleDirect Delivery Fees (net)</v>
      </c>
      <c r="S14" s="199"/>
      <c r="T14" s="199"/>
      <c r="U14" s="199"/>
    </row>
    <row r="15" spans="1:21" x14ac:dyDescent="0.25">
      <c r="A15" t="s">
        <v>996</v>
      </c>
      <c r="B15" t="s">
        <v>997</v>
      </c>
      <c r="C15" t="s">
        <v>1005</v>
      </c>
      <c r="D15">
        <v>3142</v>
      </c>
      <c r="E15">
        <v>210</v>
      </c>
      <c r="F15" t="s">
        <v>1014</v>
      </c>
      <c r="G15" t="s">
        <v>1015</v>
      </c>
      <c r="H15" s="315" t="s">
        <v>30</v>
      </c>
      <c r="I15" s="315" t="s">
        <v>1016</v>
      </c>
      <c r="J15" s="315" t="str">
        <f t="shared" si="1"/>
        <v>Used VehicleEx NV demonstrators gross profit p.u.</v>
      </c>
      <c r="K15" s="315" t="str">
        <f t="shared" si="2"/>
        <v>210Ex-Toyota NV Demonstrator revenue</v>
      </c>
      <c r="L15" s="311">
        <f>+SUMIF('TUNZ Extracted TB'!M:M,$P15,'TUNZ Extracted TB'!G:G)</f>
        <v>0</v>
      </c>
      <c r="M15" s="311"/>
      <c r="N15" s="311">
        <f>+SUMIF('Input Sheet'!$AE:$AE,P15,'Input Sheet'!$X:$X)</f>
        <v>0</v>
      </c>
      <c r="O15" s="311"/>
      <c r="P15" t="str">
        <f t="shared" si="3"/>
        <v>210-3142</v>
      </c>
      <c r="Q15" s="315" t="str">
        <f t="shared" si="4"/>
        <v>Used Vehicle</v>
      </c>
      <c r="R15" s="315" t="str">
        <f t="shared" si="5"/>
        <v>Used VehicleEx NV demonstrators gross profit p.u.</v>
      </c>
      <c r="S15" s="199"/>
      <c r="T15" s="199"/>
      <c r="U15" s="199"/>
    </row>
    <row r="16" spans="1:21" x14ac:dyDescent="0.25">
      <c r="A16" t="s">
        <v>996</v>
      </c>
      <c r="B16" t="s">
        <v>997</v>
      </c>
      <c r="C16" t="s">
        <v>1012</v>
      </c>
      <c r="D16">
        <v>3142</v>
      </c>
      <c r="E16">
        <v>410</v>
      </c>
      <c r="F16" t="s">
        <v>1014</v>
      </c>
      <c r="G16" t="s">
        <v>1015</v>
      </c>
      <c r="H16" s="315" t="s">
        <v>30</v>
      </c>
      <c r="I16" s="315" t="s">
        <v>1016</v>
      </c>
      <c r="J16" s="315" t="str">
        <f t="shared" si="1"/>
        <v>Used VehicleEx NV demonstrators gross profit p.u.</v>
      </c>
      <c r="K16" s="315" t="str">
        <f t="shared" si="2"/>
        <v>410Ex-Toyota NV Demonstrator revenue</v>
      </c>
      <c r="L16" s="311">
        <f>+SUMIF('TUNZ Extracted TB'!M:M,$P16,'TUNZ Extracted TB'!G:G)</f>
        <v>0</v>
      </c>
      <c r="M16" s="311"/>
      <c r="N16" s="311">
        <f>+SUMIF('Input Sheet'!$AE:$AE,P16,'Input Sheet'!$X:$X)</f>
        <v>0</v>
      </c>
      <c r="O16" s="311"/>
      <c r="P16" t="str">
        <f t="shared" si="3"/>
        <v>410-3142</v>
      </c>
      <c r="Q16" s="315" t="str">
        <f t="shared" si="4"/>
        <v>Used Vehicle</v>
      </c>
      <c r="R16" s="315" t="str">
        <f t="shared" si="5"/>
        <v>Used VehicleEx NV demonstrators gross profit p.u.</v>
      </c>
      <c r="S16" s="199"/>
      <c r="T16" s="199"/>
      <c r="U16" s="199"/>
    </row>
    <row r="17" spans="1:21" x14ac:dyDescent="0.25">
      <c r="A17" t="s">
        <v>996</v>
      </c>
      <c r="B17" t="s">
        <v>997</v>
      </c>
      <c r="C17" t="s">
        <v>1013</v>
      </c>
      <c r="D17">
        <v>3142</v>
      </c>
      <c r="E17">
        <v>310</v>
      </c>
      <c r="F17" t="s">
        <v>1014</v>
      </c>
      <c r="G17" t="s">
        <v>1015</v>
      </c>
      <c r="H17" s="315" t="s">
        <v>30</v>
      </c>
      <c r="I17" s="315" t="s">
        <v>1016</v>
      </c>
      <c r="J17" s="315" t="str">
        <f t="shared" si="1"/>
        <v>Used VehicleEx NV demonstrators gross profit p.u.</v>
      </c>
      <c r="K17" s="315" t="str">
        <f t="shared" si="2"/>
        <v>310Ex-Toyota NV Demonstrator revenue</v>
      </c>
      <c r="L17" s="311">
        <f>+SUMIF('TUNZ Extracted TB'!M:M,$P17,'TUNZ Extracted TB'!G:G)</f>
        <v>0</v>
      </c>
      <c r="M17" s="311"/>
      <c r="N17" s="311">
        <f>+SUMIF('Input Sheet'!$AE:$AE,P17,'Input Sheet'!$X:$X)</f>
        <v>0</v>
      </c>
      <c r="O17" s="311"/>
      <c r="P17" t="str">
        <f t="shared" si="3"/>
        <v>310-3142</v>
      </c>
      <c r="Q17" s="315" t="str">
        <f t="shared" si="4"/>
        <v>Used Vehicle</v>
      </c>
      <c r="R17" s="315" t="str">
        <f t="shared" si="5"/>
        <v>Used VehicleEx NV demonstrators gross profit p.u.</v>
      </c>
      <c r="S17" s="199"/>
      <c r="T17" s="199"/>
      <c r="U17" s="199"/>
    </row>
    <row r="18" spans="1:21" x14ac:dyDescent="0.25">
      <c r="A18" t="s">
        <v>996</v>
      </c>
      <c r="B18" t="s">
        <v>997</v>
      </c>
      <c r="C18" t="s">
        <v>1005</v>
      </c>
      <c r="D18">
        <v>3060</v>
      </c>
      <c r="E18">
        <v>210</v>
      </c>
      <c r="F18" t="s">
        <v>1006</v>
      </c>
      <c r="G18" t="s">
        <v>1007</v>
      </c>
      <c r="H18" s="315" t="s">
        <v>29</v>
      </c>
      <c r="I18" s="315" t="s">
        <v>1008</v>
      </c>
      <c r="J18" s="315" t="str">
        <f t="shared" si="1"/>
        <v>New VehicleDirect Delivery Fees (net)</v>
      </c>
      <c r="K18" s="315" t="str">
        <f t="shared" si="2"/>
        <v>210NV Direct Delivery Fees (net) - Toyota</v>
      </c>
      <c r="L18" s="311">
        <f>+SUMIF('TUNZ Extracted TB'!M:M,$P18,'TUNZ Extracted TB'!G:G)</f>
        <v>-8390.3700000000008</v>
      </c>
      <c r="M18" s="311"/>
      <c r="N18" s="311">
        <f>+SUMIF('Input Sheet'!$AE:$AE,P18,'Input Sheet'!$X:$X)</f>
        <v>0</v>
      </c>
      <c r="O18" s="311"/>
      <c r="P18" t="str">
        <f t="shared" si="3"/>
        <v>210-3060</v>
      </c>
      <c r="Q18" s="315" t="str">
        <f t="shared" si="4"/>
        <v>New Vehicle</v>
      </c>
      <c r="R18" s="315" t="str">
        <f t="shared" si="5"/>
        <v>New VehicleDirect Delivery Fees (net)</v>
      </c>
      <c r="S18" s="199"/>
      <c r="T18" s="199"/>
      <c r="U18" s="199"/>
    </row>
    <row r="19" spans="1:21" x14ac:dyDescent="0.25">
      <c r="A19" t="s">
        <v>996</v>
      </c>
      <c r="B19" t="s">
        <v>997</v>
      </c>
      <c r="C19" t="s">
        <v>1012</v>
      </c>
      <c r="D19">
        <v>3142</v>
      </c>
      <c r="E19">
        <v>400</v>
      </c>
      <c r="F19" t="s">
        <v>1002</v>
      </c>
      <c r="G19" t="s">
        <v>1003</v>
      </c>
      <c r="H19" s="315" t="s">
        <v>29</v>
      </c>
      <c r="I19" s="315" t="s">
        <v>1004</v>
      </c>
      <c r="J19" s="315" t="str">
        <f t="shared" si="1"/>
        <v>New VehicleRetail Gross p.u.</v>
      </c>
      <c r="K19" s="315" t="str">
        <f t="shared" si="2"/>
        <v>400New Vehicle Cost of Sales - Toyota</v>
      </c>
      <c r="L19" s="311">
        <f>+SUMIF('TUNZ Extracted TB'!M:M,$P19,'TUNZ Extracted TB'!G:G)</f>
        <v>0</v>
      </c>
      <c r="M19" s="311"/>
      <c r="N19" s="311">
        <f>+SUMIF('Input Sheet'!$AE:$AE,P19,'Input Sheet'!$X:$X)</f>
        <v>0</v>
      </c>
      <c r="O19" s="311"/>
      <c r="P19" t="str">
        <f t="shared" si="3"/>
        <v>400-3142</v>
      </c>
      <c r="Q19" s="315" t="str">
        <f t="shared" si="4"/>
        <v>New Vehicle</v>
      </c>
      <c r="R19" s="315" t="str">
        <f t="shared" si="5"/>
        <v>New VehicleRetail Gross p.u.</v>
      </c>
      <c r="S19" s="199"/>
      <c r="T19" s="199"/>
      <c r="U19" s="199"/>
    </row>
    <row r="20" spans="1:21" x14ac:dyDescent="0.25">
      <c r="A20" t="s">
        <v>996</v>
      </c>
      <c r="B20" t="s">
        <v>997</v>
      </c>
      <c r="C20" t="s">
        <v>1013</v>
      </c>
      <c r="D20">
        <v>3142</v>
      </c>
      <c r="E20">
        <v>300</v>
      </c>
      <c r="F20" t="s">
        <v>1002</v>
      </c>
      <c r="G20" t="s">
        <v>1003</v>
      </c>
      <c r="H20" s="315" t="s">
        <v>29</v>
      </c>
      <c r="I20" s="315" t="s">
        <v>1004</v>
      </c>
      <c r="J20" s="315" t="str">
        <f t="shared" si="1"/>
        <v>New VehicleRetail Gross p.u.</v>
      </c>
      <c r="K20" s="315" t="str">
        <f t="shared" si="2"/>
        <v>300New Vehicle Cost of Sales - Toyota</v>
      </c>
      <c r="L20" s="311">
        <f>+SUMIF('TUNZ Extracted TB'!M:M,$P20,'TUNZ Extracted TB'!G:G)</f>
        <v>0</v>
      </c>
      <c r="M20" s="311"/>
      <c r="N20" s="311">
        <f>+SUMIF('Input Sheet'!$AE:$AE,P20,'Input Sheet'!$X:$X)</f>
        <v>0</v>
      </c>
      <c r="O20" s="311"/>
      <c r="P20" t="str">
        <f t="shared" si="3"/>
        <v>300-3142</v>
      </c>
      <c r="Q20" s="315" t="str">
        <f t="shared" si="4"/>
        <v>New Vehicle</v>
      </c>
      <c r="R20" s="315" t="str">
        <f t="shared" si="5"/>
        <v>New VehicleRetail Gross p.u.</v>
      </c>
      <c r="S20" s="199"/>
    </row>
    <row r="21" spans="1:21" x14ac:dyDescent="0.25">
      <c r="A21" s="316">
        <v>45017</v>
      </c>
      <c r="B21" t="s">
        <v>997</v>
      </c>
      <c r="C21" t="s">
        <v>997</v>
      </c>
      <c r="D21" s="317">
        <v>3145</v>
      </c>
      <c r="E21" s="317">
        <v>130</v>
      </c>
      <c r="G21" t="s">
        <v>429</v>
      </c>
      <c r="H21" s="315" t="s">
        <v>1000</v>
      </c>
      <c r="I21" s="315" t="s">
        <v>1001</v>
      </c>
      <c r="J21" s="315" t="str">
        <f t="shared" si="1"/>
        <v>Admin &amp; OtherOther Overheads as % of Total Gross Profit</v>
      </c>
      <c r="K21" s="315" t="str">
        <f t="shared" si="2"/>
        <v>130Sundry Income</v>
      </c>
      <c r="L21" s="311">
        <f>+SUMIF('TUNZ Extracted TB'!M:M,$P21,'TUNZ Extracted TB'!G:G)</f>
        <v>-3417.04</v>
      </c>
      <c r="M21" s="311"/>
      <c r="N21" s="311">
        <f>+SUMIF('Input Sheet'!$AE:$AE,P21,'Input Sheet'!$X:$X)</f>
        <v>0</v>
      </c>
      <c r="O21" s="311"/>
      <c r="P21" t="str">
        <f t="shared" si="3"/>
        <v>130-3145</v>
      </c>
      <c r="Q21" s="315" t="str">
        <f t="shared" si="4"/>
        <v>Admin &amp; Other</v>
      </c>
      <c r="R21" s="315" t="str">
        <f t="shared" si="5"/>
        <v>Admin &amp; OtherOther Overheads as % of Total Gross Profit</v>
      </c>
      <c r="S21" s="199"/>
      <c r="T21" s="199"/>
      <c r="U21" s="199"/>
    </row>
    <row r="22" spans="1:21" x14ac:dyDescent="0.25">
      <c r="A22" t="s">
        <v>996</v>
      </c>
      <c r="B22" t="s">
        <v>997</v>
      </c>
      <c r="C22" t="s">
        <v>997</v>
      </c>
      <c r="D22">
        <v>3145</v>
      </c>
      <c r="E22">
        <v>140</v>
      </c>
      <c r="F22" t="s">
        <v>1017</v>
      </c>
      <c r="G22" t="s">
        <v>1018</v>
      </c>
      <c r="H22" s="315" t="s">
        <v>17</v>
      </c>
      <c r="I22" s="315" t="s">
        <v>1019</v>
      </c>
      <c r="J22" s="315" t="str">
        <f t="shared" si="1"/>
        <v>ServiceMiscellaneous % of Total Sales</v>
      </c>
      <c r="K22" s="315" t="str">
        <f t="shared" si="2"/>
        <v>140Service Miscellaneous Sales - Toyota</v>
      </c>
      <c r="L22" s="311">
        <f>+SUMIF('TUNZ Extracted TB'!M:M,$P22,'TUNZ Extracted TB'!G:G)</f>
        <v>0</v>
      </c>
      <c r="M22" s="311"/>
      <c r="N22" s="311">
        <f>+SUMIF('Input Sheet'!$AE:$AE,P22,'Input Sheet'!$X:$X)</f>
        <v>0</v>
      </c>
      <c r="O22" s="311"/>
      <c r="P22" t="str">
        <f t="shared" si="3"/>
        <v>140-3145</v>
      </c>
      <c r="Q22" s="315" t="str">
        <f t="shared" si="4"/>
        <v>Service</v>
      </c>
      <c r="R22" s="315" t="str">
        <f t="shared" si="5"/>
        <v>ServiceMiscellaneous % of Total Sales</v>
      </c>
      <c r="S22" s="199"/>
      <c r="T22" s="199"/>
      <c r="U22" s="199"/>
    </row>
    <row r="23" spans="1:21" x14ac:dyDescent="0.25">
      <c r="A23" t="s">
        <v>996</v>
      </c>
      <c r="B23" t="s">
        <v>997</v>
      </c>
      <c r="C23" t="s">
        <v>997</v>
      </c>
      <c r="D23">
        <v>3145</v>
      </c>
      <c r="E23">
        <v>142</v>
      </c>
      <c r="F23" t="s">
        <v>1020</v>
      </c>
      <c r="G23" t="s">
        <v>1021</v>
      </c>
      <c r="H23" s="315" t="s">
        <v>1022</v>
      </c>
      <c r="I23" s="315" t="s">
        <v>1019</v>
      </c>
      <c r="J23" s="315" t="str">
        <f t="shared" si="1"/>
        <v>Lex ServiceMiscellaneous % of Total Sales</v>
      </c>
      <c r="K23" s="315" t="str">
        <f t="shared" si="2"/>
        <v>142Service Miscellaneous Sales - Lexus</v>
      </c>
      <c r="L23" s="311">
        <f>+SUMIF('TUNZ Extracted TB'!M:M,$P23,'TUNZ Extracted TB'!G:G)</f>
        <v>0</v>
      </c>
      <c r="M23" s="311"/>
      <c r="N23" s="311">
        <f>+SUMIF('Input Sheet'!$AE:$AE,P23,'Input Sheet'!$X:$X)</f>
        <v>0</v>
      </c>
      <c r="O23" s="311"/>
      <c r="P23" t="str">
        <f t="shared" si="3"/>
        <v>142-3145</v>
      </c>
      <c r="Q23" s="315" t="str">
        <f t="shared" si="4"/>
        <v>Lex Service</v>
      </c>
      <c r="R23" s="315" t="str">
        <f t="shared" si="5"/>
        <v>Lex ServiceMiscellaneous % of Total Sales</v>
      </c>
      <c r="S23" s="199"/>
      <c r="T23" s="199"/>
      <c r="U23" s="199"/>
    </row>
    <row r="24" spans="1:21" x14ac:dyDescent="0.25">
      <c r="A24" s="316">
        <v>44986</v>
      </c>
      <c r="B24" t="s">
        <v>997</v>
      </c>
      <c r="C24" t="s">
        <v>997</v>
      </c>
      <c r="D24">
        <v>3145</v>
      </c>
      <c r="E24">
        <v>150</v>
      </c>
      <c r="G24" t="s">
        <v>429</v>
      </c>
      <c r="H24" s="315" t="s">
        <v>1023</v>
      </c>
      <c r="I24" s="315" t="s">
        <v>1001</v>
      </c>
      <c r="J24" s="315" t="str">
        <f t="shared" si="1"/>
        <v>LEX Admin &amp; OtherOther Overheads as % of Total Gross Profit</v>
      </c>
      <c r="K24" s="315" t="str">
        <f t="shared" si="2"/>
        <v>150Sundry Income</v>
      </c>
      <c r="L24" s="311">
        <f>+SUMIF('TUNZ Extracted TB'!M:M,$P24,'TUNZ Extracted TB'!G:G)</f>
        <v>0</v>
      </c>
      <c r="M24" s="311"/>
      <c r="N24" s="311">
        <f>+SUMIF('Input Sheet'!$AE:$AE,P24,'Input Sheet'!$X:$X)</f>
        <v>0</v>
      </c>
      <c r="O24" s="311"/>
      <c r="P24" t="str">
        <f t="shared" si="3"/>
        <v>150-3145</v>
      </c>
      <c r="Q24" s="315" t="str">
        <f t="shared" si="4"/>
        <v>LEX Admin &amp; Other</v>
      </c>
      <c r="R24" s="315" t="str">
        <f t="shared" si="5"/>
        <v>LEX Admin &amp; OtherOther Overheads as % of Total Gross Profit</v>
      </c>
      <c r="S24" s="199"/>
      <c r="T24" s="199"/>
      <c r="U24" s="199"/>
    </row>
    <row r="25" spans="1:21" x14ac:dyDescent="0.25">
      <c r="A25" s="316">
        <v>45017</v>
      </c>
      <c r="B25" t="s">
        <v>997</v>
      </c>
      <c r="C25" t="s">
        <v>997</v>
      </c>
      <c r="D25">
        <v>3145</v>
      </c>
      <c r="E25">
        <v>120</v>
      </c>
      <c r="G25" t="s">
        <v>429</v>
      </c>
      <c r="H25" s="315" t="s">
        <v>1000</v>
      </c>
      <c r="I25" s="315" t="s">
        <v>1001</v>
      </c>
      <c r="J25" s="315" t="str">
        <f t="shared" si="1"/>
        <v>Admin &amp; OtherOther Overheads as % of Total Gross Profit</v>
      </c>
      <c r="K25" s="315" t="str">
        <f t="shared" si="2"/>
        <v>120Sundry Income</v>
      </c>
      <c r="L25" s="311">
        <f>+SUMIF('TUNZ Extracted TB'!M:M,$P25,'TUNZ Extracted TB'!G:G)</f>
        <v>0</v>
      </c>
      <c r="M25" s="311"/>
      <c r="N25" s="311">
        <f>+SUMIF('Input Sheet'!$AE:$AE,P25,'Input Sheet'!$X:$X)</f>
        <v>0</v>
      </c>
      <c r="O25" s="311"/>
      <c r="P25" t="str">
        <f t="shared" si="3"/>
        <v>120-3145</v>
      </c>
      <c r="Q25" s="315" t="str">
        <f t="shared" si="4"/>
        <v>Admin &amp; Other</v>
      </c>
      <c r="R25" s="315" t="str">
        <f t="shared" si="5"/>
        <v>Admin &amp; OtherOther Overheads as % of Total Gross Profit</v>
      </c>
      <c r="S25" s="199"/>
      <c r="T25" s="199"/>
      <c r="U25" s="199"/>
    </row>
    <row r="26" spans="1:21" x14ac:dyDescent="0.25">
      <c r="A26" s="316">
        <v>45017</v>
      </c>
      <c r="B26" t="s">
        <v>997</v>
      </c>
      <c r="C26" t="s">
        <v>997</v>
      </c>
      <c r="D26">
        <v>3145</v>
      </c>
      <c r="E26">
        <v>160</v>
      </c>
      <c r="G26" t="s">
        <v>429</v>
      </c>
      <c r="H26" s="315" t="s">
        <v>1000</v>
      </c>
      <c r="I26" s="315" t="s">
        <v>1001</v>
      </c>
      <c r="J26" s="315" t="str">
        <f t="shared" si="1"/>
        <v>Admin &amp; OtherOther Overheads as % of Total Gross Profit</v>
      </c>
      <c r="K26" s="315" t="str">
        <f t="shared" si="2"/>
        <v>160Sundry Income</v>
      </c>
      <c r="L26" s="311">
        <f>+SUMIF('TUNZ Extracted TB'!M:M,$P26,'TUNZ Extracted TB'!G:G)</f>
        <v>0</v>
      </c>
      <c r="M26" s="311"/>
      <c r="N26" s="311">
        <f>+SUMIF('Input Sheet'!$AE:$AE,P26,'Input Sheet'!$X:$X)</f>
        <v>0</v>
      </c>
      <c r="O26" s="311"/>
      <c r="P26" t="str">
        <f t="shared" si="3"/>
        <v>160-3145</v>
      </c>
      <c r="Q26" s="315" t="str">
        <f t="shared" si="4"/>
        <v>Admin &amp; Other</v>
      </c>
      <c r="R26" s="315" t="str">
        <f t="shared" si="5"/>
        <v>Admin &amp; OtherOther Overheads as % of Total Gross Profit</v>
      </c>
      <c r="S26" s="199"/>
      <c r="T26" s="199"/>
      <c r="U26" s="199"/>
    </row>
    <row r="27" spans="1:21" x14ac:dyDescent="0.25">
      <c r="A27" s="316">
        <v>45017</v>
      </c>
      <c r="B27" t="s">
        <v>997</v>
      </c>
      <c r="C27" t="s">
        <v>997</v>
      </c>
      <c r="D27">
        <v>3145</v>
      </c>
      <c r="E27">
        <v>220</v>
      </c>
      <c r="G27" t="s">
        <v>429</v>
      </c>
      <c r="H27" s="315" t="s">
        <v>1000</v>
      </c>
      <c r="I27" s="315" t="s">
        <v>1001</v>
      </c>
      <c r="J27" s="315" t="str">
        <f t="shared" si="1"/>
        <v>Admin &amp; OtherOther Overheads as % of Total Gross Profit</v>
      </c>
      <c r="K27" s="315" t="str">
        <f t="shared" si="2"/>
        <v>220Sundry Income</v>
      </c>
      <c r="L27" s="311">
        <f>+SUMIF('TUNZ Extracted TB'!M:M,$P27,'TUNZ Extracted TB'!G:G)</f>
        <v>0</v>
      </c>
      <c r="M27" s="311"/>
      <c r="N27" s="311">
        <f>+SUMIF('Input Sheet'!$AE:$AE,P27,'Input Sheet'!$X:$X)</f>
        <v>0</v>
      </c>
      <c r="O27" s="311"/>
      <c r="P27" t="str">
        <f t="shared" si="3"/>
        <v>220-3145</v>
      </c>
      <c r="Q27" s="315" t="str">
        <f t="shared" si="4"/>
        <v>Admin &amp; Other</v>
      </c>
      <c r="R27" s="315" t="str">
        <f t="shared" si="5"/>
        <v>Admin &amp; OtherOther Overheads as % of Total Gross Profit</v>
      </c>
      <c r="S27" s="199"/>
      <c r="T27" s="199"/>
      <c r="U27" s="199"/>
    </row>
    <row r="28" spans="1:21" x14ac:dyDescent="0.25">
      <c r="A28" s="316">
        <v>45017</v>
      </c>
      <c r="B28" t="s">
        <v>997</v>
      </c>
      <c r="C28" t="s">
        <v>997</v>
      </c>
      <c r="D28">
        <v>3145</v>
      </c>
      <c r="E28">
        <v>935</v>
      </c>
      <c r="G28" t="s">
        <v>429</v>
      </c>
      <c r="H28" s="315" t="s">
        <v>1023</v>
      </c>
      <c r="I28" s="315" t="s">
        <v>1001</v>
      </c>
      <c r="J28" s="315" t="str">
        <f t="shared" si="1"/>
        <v>LEX Admin &amp; OtherOther Overheads as % of Total Gross Profit</v>
      </c>
      <c r="K28" s="315" t="str">
        <f t="shared" si="2"/>
        <v>935Sundry Income</v>
      </c>
      <c r="L28" s="311">
        <f>+SUMIF('TUNZ Extracted TB'!M:M,$P28,'TUNZ Extracted TB'!G:G)</f>
        <v>0</v>
      </c>
      <c r="M28" s="311"/>
      <c r="N28" s="311">
        <f>+SUMIF('Input Sheet'!$AE:$AE,P28,'Input Sheet'!$X:$X)</f>
        <v>0</v>
      </c>
      <c r="O28" s="311"/>
      <c r="P28" t="str">
        <f t="shared" si="3"/>
        <v>935-3145</v>
      </c>
      <c r="Q28" s="315" t="str">
        <f t="shared" si="4"/>
        <v>LEX Admin &amp; Other</v>
      </c>
      <c r="R28" s="315" t="str">
        <f t="shared" si="5"/>
        <v>LEX Admin &amp; OtherOther Overheads as % of Total Gross Profit</v>
      </c>
      <c r="S28" s="199"/>
      <c r="T28" s="199"/>
      <c r="U28" s="199"/>
    </row>
    <row r="29" spans="1:21" x14ac:dyDescent="0.25">
      <c r="A29" s="316">
        <v>45017</v>
      </c>
      <c r="B29" t="s">
        <v>997</v>
      </c>
      <c r="C29" t="s">
        <v>997</v>
      </c>
      <c r="D29">
        <v>3145</v>
      </c>
      <c r="E29">
        <v>936</v>
      </c>
      <c r="G29" t="s">
        <v>429</v>
      </c>
      <c r="H29" s="315" t="s">
        <v>1023</v>
      </c>
      <c r="I29" s="315" t="s">
        <v>1001</v>
      </c>
      <c r="J29" s="315" t="str">
        <f t="shared" si="1"/>
        <v>LEX Admin &amp; OtherOther Overheads as % of Total Gross Profit</v>
      </c>
      <c r="K29" s="315" t="str">
        <f t="shared" si="2"/>
        <v>936Sundry Income</v>
      </c>
      <c r="L29" s="311">
        <f>+SUMIF('TUNZ Extracted TB'!M:M,$P29,'TUNZ Extracted TB'!G:G)</f>
        <v>0</v>
      </c>
      <c r="M29" s="311"/>
      <c r="N29" s="311">
        <f>+SUMIF('Input Sheet'!$AE:$AE,P29,'Input Sheet'!$X:$X)</f>
        <v>0</v>
      </c>
      <c r="O29" s="311"/>
      <c r="P29" t="str">
        <f t="shared" si="3"/>
        <v>936-3145</v>
      </c>
      <c r="Q29" s="315" t="str">
        <f t="shared" si="4"/>
        <v>LEX Admin &amp; Other</v>
      </c>
      <c r="R29" s="315" t="str">
        <f t="shared" si="5"/>
        <v>LEX Admin &amp; OtherOther Overheads as % of Total Gross Profit</v>
      </c>
      <c r="S29" s="199"/>
      <c r="T29" s="199"/>
      <c r="U29" s="199"/>
    </row>
    <row r="30" spans="1:21" x14ac:dyDescent="0.25">
      <c r="A30" t="s">
        <v>996</v>
      </c>
      <c r="B30" t="s">
        <v>997</v>
      </c>
      <c r="C30" t="s">
        <v>997</v>
      </c>
      <c r="D30">
        <v>3145</v>
      </c>
      <c r="E30">
        <v>112</v>
      </c>
      <c r="F30" t="s">
        <v>1024</v>
      </c>
      <c r="G30" s="149" t="s">
        <v>1025</v>
      </c>
      <c r="H30" s="315" t="s">
        <v>1011</v>
      </c>
      <c r="I30" s="315" t="s">
        <v>1026</v>
      </c>
      <c r="J30" s="315" t="str">
        <f t="shared" si="1"/>
        <v>LEX New VehicleOther Income per NV unit</v>
      </c>
      <c r="K30" s="315" t="str">
        <f t="shared" si="2"/>
        <v>112New Vehicle Other Income - Lexus</v>
      </c>
      <c r="L30" s="311">
        <f>+SUMIF('TUNZ Extracted TB'!M:M,$P30,'TUNZ Extracted TB'!G:G)</f>
        <v>0</v>
      </c>
      <c r="M30" s="311"/>
      <c r="N30" s="311">
        <f>+SUMIF('Input Sheet'!$AE:$AE,P30,'Input Sheet'!$X:$X)</f>
        <v>0</v>
      </c>
      <c r="O30" s="311"/>
      <c r="P30" t="str">
        <f t="shared" si="3"/>
        <v>112-3145</v>
      </c>
      <c r="Q30" s="315" t="str">
        <f t="shared" si="4"/>
        <v>LEX New Vehicle</v>
      </c>
      <c r="R30" s="315" t="str">
        <f t="shared" si="5"/>
        <v>LEX New VehicleOther Income per NV unit</v>
      </c>
      <c r="S30" s="199"/>
      <c r="T30" s="199"/>
      <c r="U30" s="199"/>
    </row>
    <row r="31" spans="1:21" x14ac:dyDescent="0.25">
      <c r="A31" t="s">
        <v>996</v>
      </c>
      <c r="B31" t="s">
        <v>997</v>
      </c>
      <c r="C31" t="s">
        <v>997</v>
      </c>
      <c r="D31">
        <v>3145</v>
      </c>
      <c r="E31">
        <v>100</v>
      </c>
      <c r="F31" t="s">
        <v>1024</v>
      </c>
      <c r="G31" t="s">
        <v>1027</v>
      </c>
      <c r="H31" s="315" t="s">
        <v>29</v>
      </c>
      <c r="I31" s="315" t="s">
        <v>1026</v>
      </c>
      <c r="J31" s="315" t="str">
        <f t="shared" si="1"/>
        <v>New VehicleOther Income per NV unit</v>
      </c>
      <c r="K31" s="315" t="str">
        <f t="shared" si="2"/>
        <v>100New Vehicle Other Income - Toyota</v>
      </c>
      <c r="L31" s="311">
        <f>+SUMIF('TUNZ Extracted TB'!M:M,$P31,'TUNZ Extracted TB'!G:G)</f>
        <v>0</v>
      </c>
      <c r="M31" s="311"/>
      <c r="N31" s="311">
        <f>+SUMIF('Input Sheet'!$AE:$AE,P31,'Input Sheet'!$X:$X)</f>
        <v>0</v>
      </c>
      <c r="O31" s="311"/>
      <c r="P31" t="str">
        <f t="shared" si="3"/>
        <v>100-3145</v>
      </c>
      <c r="Q31" s="315" t="str">
        <f t="shared" si="4"/>
        <v>New Vehicle</v>
      </c>
      <c r="R31" s="315" t="str">
        <f t="shared" si="5"/>
        <v>New VehicleOther Income per NV unit</v>
      </c>
      <c r="S31" s="199"/>
      <c r="T31" s="199"/>
      <c r="U31" s="199"/>
    </row>
    <row r="32" spans="1:21" x14ac:dyDescent="0.25">
      <c r="A32" t="s">
        <v>996</v>
      </c>
      <c r="B32" t="s">
        <v>997</v>
      </c>
      <c r="C32" t="s">
        <v>997</v>
      </c>
      <c r="D32">
        <v>3145</v>
      </c>
      <c r="E32">
        <v>110</v>
      </c>
      <c r="F32" t="s">
        <v>1024</v>
      </c>
      <c r="G32" t="s">
        <v>1027</v>
      </c>
      <c r="H32" s="315" t="s">
        <v>29</v>
      </c>
      <c r="I32" s="315" t="s">
        <v>1026</v>
      </c>
      <c r="J32" s="315" t="str">
        <f t="shared" si="1"/>
        <v>New VehicleOther Income per NV unit</v>
      </c>
      <c r="K32" s="315" t="str">
        <f t="shared" si="2"/>
        <v>110New Vehicle Other Income - Toyota</v>
      </c>
      <c r="L32" s="311">
        <f>+SUMIF('TUNZ Extracted TB'!M:M,$P32,'TUNZ Extracted TB'!G:G)</f>
        <v>0</v>
      </c>
      <c r="M32" s="311"/>
      <c r="N32" s="311">
        <f>+SUMIF('Input Sheet'!$AE:$AE,P32,'Input Sheet'!$X:$X)</f>
        <v>0</v>
      </c>
      <c r="O32" s="311"/>
      <c r="P32" t="str">
        <f t="shared" si="3"/>
        <v>110-3145</v>
      </c>
      <c r="Q32" s="315" t="str">
        <f t="shared" si="4"/>
        <v>New Vehicle</v>
      </c>
      <c r="R32" s="315" t="str">
        <f t="shared" si="5"/>
        <v>New VehicleOther Income per NV unit</v>
      </c>
      <c r="S32" s="199"/>
      <c r="T32" s="199"/>
      <c r="U32" s="199"/>
    </row>
    <row r="33" spans="1:21" x14ac:dyDescent="0.25">
      <c r="A33" t="s">
        <v>996</v>
      </c>
      <c r="B33" t="s">
        <v>997</v>
      </c>
      <c r="C33" t="s">
        <v>1005</v>
      </c>
      <c r="D33">
        <v>3145</v>
      </c>
      <c r="E33">
        <v>200</v>
      </c>
      <c r="F33" t="s">
        <v>1024</v>
      </c>
      <c r="G33" t="s">
        <v>1027</v>
      </c>
      <c r="H33" s="315" t="s">
        <v>29</v>
      </c>
      <c r="I33" s="315" t="s">
        <v>1026</v>
      </c>
      <c r="J33" s="315" t="str">
        <f t="shared" si="1"/>
        <v>New VehicleOther Income per NV unit</v>
      </c>
      <c r="K33" s="315" t="str">
        <f t="shared" si="2"/>
        <v>200New Vehicle Other Income - Toyota</v>
      </c>
      <c r="L33" s="311">
        <f>+SUMIF('TUNZ Extracted TB'!M:M,$P33,'TUNZ Extracted TB'!G:G)</f>
        <v>0</v>
      </c>
      <c r="M33" s="311"/>
      <c r="N33" s="311">
        <f>+SUMIF('Input Sheet'!$AE:$AE,P33,'Input Sheet'!$X:$X)</f>
        <v>0</v>
      </c>
      <c r="O33" s="311"/>
      <c r="P33" t="str">
        <f t="shared" si="3"/>
        <v>200-3145</v>
      </c>
      <c r="Q33" s="315" t="str">
        <f t="shared" si="4"/>
        <v>New Vehicle</v>
      </c>
      <c r="R33" s="315" t="str">
        <f t="shared" si="5"/>
        <v>New VehicleOther Income per NV unit</v>
      </c>
      <c r="S33" s="199"/>
      <c r="T33" s="199"/>
      <c r="U33" s="199"/>
    </row>
    <row r="34" spans="1:21" x14ac:dyDescent="0.25">
      <c r="A34" t="s">
        <v>996</v>
      </c>
      <c r="B34" t="s">
        <v>997</v>
      </c>
      <c r="C34" t="s">
        <v>1005</v>
      </c>
      <c r="D34">
        <v>3145</v>
      </c>
      <c r="E34">
        <v>210</v>
      </c>
      <c r="F34" t="s">
        <v>1024</v>
      </c>
      <c r="G34" t="s">
        <v>1027</v>
      </c>
      <c r="H34" s="315" t="s">
        <v>29</v>
      </c>
      <c r="I34" s="315" t="s">
        <v>1026</v>
      </c>
      <c r="J34" s="315" t="str">
        <f t="shared" si="1"/>
        <v>New VehicleOther Income per NV unit</v>
      </c>
      <c r="K34" s="315" t="str">
        <f t="shared" si="2"/>
        <v>210New Vehicle Other Income - Toyota</v>
      </c>
      <c r="L34" s="311">
        <f>+SUMIF('TUNZ Extracted TB'!M:M,$P34,'TUNZ Extracted TB'!G:G)</f>
        <v>0</v>
      </c>
      <c r="M34" s="311"/>
      <c r="N34" s="311">
        <f>+SUMIF('Input Sheet'!$AE:$AE,P34,'Input Sheet'!$X:$X)</f>
        <v>0</v>
      </c>
      <c r="O34" s="311"/>
      <c r="P34" t="str">
        <f t="shared" si="3"/>
        <v>210-3145</v>
      </c>
      <c r="Q34" s="315" t="str">
        <f t="shared" si="4"/>
        <v>New Vehicle</v>
      </c>
      <c r="R34" s="315" t="str">
        <f t="shared" si="5"/>
        <v>New VehicleOther Income per NV unit</v>
      </c>
      <c r="S34" s="199"/>
      <c r="T34" s="199"/>
      <c r="U34" s="199"/>
    </row>
    <row r="35" spans="1:21" x14ac:dyDescent="0.25">
      <c r="A35" t="s">
        <v>996</v>
      </c>
      <c r="B35" t="s">
        <v>997</v>
      </c>
      <c r="C35" t="s">
        <v>1012</v>
      </c>
      <c r="D35">
        <v>3145</v>
      </c>
      <c r="E35">
        <v>400</v>
      </c>
      <c r="F35" t="s">
        <v>1024</v>
      </c>
      <c r="G35" t="s">
        <v>1027</v>
      </c>
      <c r="H35" s="315" t="s">
        <v>29</v>
      </c>
      <c r="I35" s="315" t="s">
        <v>1026</v>
      </c>
      <c r="J35" s="315" t="str">
        <f t="shared" si="1"/>
        <v>New VehicleOther Income per NV unit</v>
      </c>
      <c r="K35" s="315" t="str">
        <f t="shared" si="2"/>
        <v>400New Vehicle Other Income - Toyota</v>
      </c>
      <c r="L35" s="311">
        <f>+SUMIF('TUNZ Extracted TB'!M:M,$P35,'TUNZ Extracted TB'!G:G)</f>
        <v>0</v>
      </c>
      <c r="M35" s="311"/>
      <c r="N35" s="311">
        <f>+SUMIF('Input Sheet'!$AE:$AE,P35,'Input Sheet'!$X:$X)</f>
        <v>0</v>
      </c>
      <c r="O35" s="311"/>
      <c r="P35" t="str">
        <f t="shared" si="3"/>
        <v>400-3145</v>
      </c>
      <c r="Q35" s="315" t="str">
        <f t="shared" si="4"/>
        <v>New Vehicle</v>
      </c>
      <c r="R35" s="315" t="str">
        <f t="shared" si="5"/>
        <v>New VehicleOther Income per NV unit</v>
      </c>
      <c r="S35" s="199"/>
      <c r="T35" s="199"/>
      <c r="U35" s="199"/>
    </row>
    <row r="36" spans="1:21" x14ac:dyDescent="0.25">
      <c r="A36" t="s">
        <v>996</v>
      </c>
      <c r="B36" t="s">
        <v>997</v>
      </c>
      <c r="C36" t="s">
        <v>1012</v>
      </c>
      <c r="D36">
        <v>3145</v>
      </c>
      <c r="E36">
        <v>410</v>
      </c>
      <c r="F36" t="s">
        <v>1024</v>
      </c>
      <c r="G36" t="s">
        <v>1027</v>
      </c>
      <c r="H36" s="315" t="s">
        <v>29</v>
      </c>
      <c r="I36" s="315" t="s">
        <v>1026</v>
      </c>
      <c r="J36" s="315" t="str">
        <f t="shared" si="1"/>
        <v>New VehicleOther Income per NV unit</v>
      </c>
      <c r="K36" s="315" t="str">
        <f t="shared" si="2"/>
        <v>410New Vehicle Other Income - Toyota</v>
      </c>
      <c r="L36" s="311">
        <f>+SUMIF('TUNZ Extracted TB'!M:M,$P36,'TUNZ Extracted TB'!G:G)</f>
        <v>0</v>
      </c>
      <c r="M36" s="311"/>
      <c r="N36" s="311">
        <f>+SUMIF('Input Sheet'!$AE:$AE,P36,'Input Sheet'!$X:$X)</f>
        <v>0</v>
      </c>
      <c r="O36" s="311"/>
      <c r="P36" t="str">
        <f t="shared" si="3"/>
        <v>410-3145</v>
      </c>
      <c r="Q36" s="315" t="str">
        <f t="shared" si="4"/>
        <v>New Vehicle</v>
      </c>
      <c r="R36" s="315" t="str">
        <f t="shared" si="5"/>
        <v>New VehicleOther Income per NV unit</v>
      </c>
      <c r="S36" s="199"/>
      <c r="T36" s="199"/>
      <c r="U36" s="199"/>
    </row>
    <row r="37" spans="1:21" x14ac:dyDescent="0.25">
      <c r="A37" t="s">
        <v>996</v>
      </c>
      <c r="B37" t="s">
        <v>997</v>
      </c>
      <c r="C37" t="s">
        <v>1013</v>
      </c>
      <c r="D37">
        <v>3145</v>
      </c>
      <c r="E37">
        <v>300</v>
      </c>
      <c r="F37" t="s">
        <v>1024</v>
      </c>
      <c r="G37" t="s">
        <v>1027</v>
      </c>
      <c r="H37" s="315" t="s">
        <v>29</v>
      </c>
      <c r="I37" s="315" t="s">
        <v>1026</v>
      </c>
      <c r="J37" s="315" t="str">
        <f t="shared" si="1"/>
        <v>New VehicleOther Income per NV unit</v>
      </c>
      <c r="K37" s="315" t="str">
        <f t="shared" si="2"/>
        <v>300New Vehicle Other Income - Toyota</v>
      </c>
      <c r="L37" s="311">
        <f>+SUMIF('TUNZ Extracted TB'!M:M,$P37,'TUNZ Extracted TB'!G:G)</f>
        <v>0</v>
      </c>
      <c r="M37" s="311"/>
      <c r="N37" s="311">
        <f>+SUMIF('Input Sheet'!$AE:$AE,P37,'Input Sheet'!$X:$X)</f>
        <v>0</v>
      </c>
      <c r="O37" s="311"/>
      <c r="P37" t="str">
        <f t="shared" si="3"/>
        <v>300-3145</v>
      </c>
      <c r="Q37" s="315" t="str">
        <f t="shared" si="4"/>
        <v>New Vehicle</v>
      </c>
      <c r="R37" s="315" t="str">
        <f t="shared" si="5"/>
        <v>New VehicleOther Income per NV unit</v>
      </c>
      <c r="S37" s="199"/>
      <c r="T37" s="199"/>
      <c r="U37" s="199"/>
    </row>
    <row r="38" spans="1:21" x14ac:dyDescent="0.25">
      <c r="A38" t="s">
        <v>996</v>
      </c>
      <c r="B38" t="s">
        <v>997</v>
      </c>
      <c r="C38" t="s">
        <v>1013</v>
      </c>
      <c r="D38">
        <v>3145</v>
      </c>
      <c r="E38">
        <v>310</v>
      </c>
      <c r="F38" t="s">
        <v>1024</v>
      </c>
      <c r="G38" t="s">
        <v>1027</v>
      </c>
      <c r="H38" s="315" t="s">
        <v>29</v>
      </c>
      <c r="I38" s="315" t="s">
        <v>1026</v>
      </c>
      <c r="J38" s="315" t="str">
        <f t="shared" si="1"/>
        <v>New VehicleOther Income per NV unit</v>
      </c>
      <c r="K38" s="315" t="str">
        <f t="shared" si="2"/>
        <v>310New Vehicle Other Income - Toyota</v>
      </c>
      <c r="L38" s="311">
        <f>+SUMIF('TUNZ Extracted TB'!M:M,$P38,'TUNZ Extracted TB'!G:G)</f>
        <v>0</v>
      </c>
      <c r="M38" s="311"/>
      <c r="N38" s="311">
        <f>+SUMIF('Input Sheet'!$AE:$AE,P38,'Input Sheet'!$X:$X)</f>
        <v>0</v>
      </c>
      <c r="O38" s="311"/>
      <c r="P38" t="str">
        <f t="shared" si="3"/>
        <v>310-3145</v>
      </c>
      <c r="Q38" s="315" t="str">
        <f t="shared" si="4"/>
        <v>New Vehicle</v>
      </c>
      <c r="R38" s="315" t="str">
        <f t="shared" si="5"/>
        <v>New VehicleOther Income per NV unit</v>
      </c>
      <c r="S38" s="199"/>
      <c r="T38" s="199"/>
      <c r="U38" s="199"/>
    </row>
    <row r="39" spans="1:21" x14ac:dyDescent="0.25">
      <c r="A39" t="s">
        <v>996</v>
      </c>
      <c r="B39" t="s">
        <v>997</v>
      </c>
      <c r="C39" t="s">
        <v>1013</v>
      </c>
      <c r="D39">
        <v>3145</v>
      </c>
      <c r="E39">
        <v>340</v>
      </c>
      <c r="F39" t="s">
        <v>1017</v>
      </c>
      <c r="G39" t="s">
        <v>1018</v>
      </c>
      <c r="H39" s="315" t="s">
        <v>17</v>
      </c>
      <c r="I39" s="315" t="s">
        <v>1019</v>
      </c>
      <c r="J39" s="315" t="str">
        <f t="shared" si="1"/>
        <v>ServiceMiscellaneous % of Total Sales</v>
      </c>
      <c r="K39" s="315" t="str">
        <f t="shared" si="2"/>
        <v>340Service Miscellaneous Sales - Toyota</v>
      </c>
      <c r="L39" s="311">
        <f>+SUMIF('TUNZ Extracted TB'!M:M,$P39,'TUNZ Extracted TB'!G:G)</f>
        <v>0</v>
      </c>
      <c r="M39" s="311"/>
      <c r="N39" s="311">
        <f>+SUMIF('Input Sheet'!$AE:$AE,P39,'Input Sheet'!$X:$X)</f>
        <v>0</v>
      </c>
      <c r="O39" s="311"/>
      <c r="P39" t="str">
        <f t="shared" si="3"/>
        <v>340-3145</v>
      </c>
      <c r="Q39" s="315" t="str">
        <f t="shared" si="4"/>
        <v>Service</v>
      </c>
      <c r="R39" s="315" t="str">
        <f t="shared" si="5"/>
        <v>ServiceMiscellaneous % of Total Sales</v>
      </c>
      <c r="S39" s="199"/>
      <c r="T39" s="199"/>
      <c r="U39" s="199"/>
    </row>
    <row r="40" spans="1:21" x14ac:dyDescent="0.25">
      <c r="A40" s="316">
        <v>45017</v>
      </c>
      <c r="B40" t="s">
        <v>997</v>
      </c>
      <c r="C40" t="s">
        <v>997</v>
      </c>
      <c r="D40">
        <v>3145</v>
      </c>
      <c r="E40">
        <v>230</v>
      </c>
      <c r="G40" t="s">
        <v>429</v>
      </c>
      <c r="H40" s="315" t="s">
        <v>1000</v>
      </c>
      <c r="I40" s="315" t="s">
        <v>1001</v>
      </c>
      <c r="J40" s="315" t="str">
        <f t="shared" si="1"/>
        <v>Admin &amp; OtherOther Overheads as % of Total Gross Profit</v>
      </c>
      <c r="K40" s="315" t="str">
        <f t="shared" si="2"/>
        <v>230Sundry Income</v>
      </c>
      <c r="L40" s="311">
        <f>+SUMIF('TUNZ Extracted TB'!M:M,$P40,'TUNZ Extracted TB'!G:G)</f>
        <v>0</v>
      </c>
      <c r="M40" s="311"/>
      <c r="N40" s="311">
        <f>+SUMIF('Input Sheet'!$AE:$AE,P40,'Input Sheet'!$X:$X)</f>
        <v>0</v>
      </c>
      <c r="O40" s="311"/>
      <c r="P40" t="str">
        <f t="shared" si="3"/>
        <v>230-3145</v>
      </c>
      <c r="Q40" s="315" t="str">
        <f t="shared" si="4"/>
        <v>Admin &amp; Other</v>
      </c>
      <c r="R40" s="315" t="str">
        <f t="shared" si="5"/>
        <v>Admin &amp; OtherOther Overheads as % of Total Gross Profit</v>
      </c>
      <c r="S40" s="199"/>
      <c r="T40" s="199"/>
      <c r="U40" s="199"/>
    </row>
    <row r="41" spans="1:21" x14ac:dyDescent="0.25">
      <c r="A41" t="s">
        <v>996</v>
      </c>
      <c r="B41" t="s">
        <v>997</v>
      </c>
      <c r="C41" t="s">
        <v>1005</v>
      </c>
      <c r="D41">
        <v>3145</v>
      </c>
      <c r="E41">
        <v>240</v>
      </c>
      <c r="F41" t="s">
        <v>1017</v>
      </c>
      <c r="G41" t="s">
        <v>1018</v>
      </c>
      <c r="H41" s="315" t="s">
        <v>17</v>
      </c>
      <c r="I41" s="315" t="s">
        <v>1019</v>
      </c>
      <c r="J41" s="315" t="str">
        <f t="shared" si="1"/>
        <v>ServiceMiscellaneous % of Total Sales</v>
      </c>
      <c r="K41" s="315" t="str">
        <f t="shared" si="2"/>
        <v>240Service Miscellaneous Sales - Toyota</v>
      </c>
      <c r="L41" s="311">
        <f>+SUMIF('TUNZ Extracted TB'!M:M,$P41,'TUNZ Extracted TB'!G:G)</f>
        <v>0</v>
      </c>
      <c r="M41" s="311"/>
      <c r="N41" s="311">
        <f>+SUMIF('Input Sheet'!$AE:$AE,P41,'Input Sheet'!$X:$X)</f>
        <v>0</v>
      </c>
      <c r="O41" s="311"/>
      <c r="P41" t="str">
        <f t="shared" si="3"/>
        <v>240-3145</v>
      </c>
      <c r="Q41" s="315" t="str">
        <f t="shared" si="4"/>
        <v>Service</v>
      </c>
      <c r="R41" s="315" t="str">
        <f t="shared" si="5"/>
        <v>ServiceMiscellaneous % of Total Sales</v>
      </c>
      <c r="S41" s="199"/>
      <c r="T41" s="199"/>
      <c r="U41" s="199"/>
    </row>
    <row r="42" spans="1:21" x14ac:dyDescent="0.25">
      <c r="A42" s="316">
        <v>44866</v>
      </c>
      <c r="B42" t="s">
        <v>997</v>
      </c>
      <c r="C42" t="s">
        <v>997</v>
      </c>
      <c r="D42">
        <v>3145</v>
      </c>
      <c r="E42">
        <v>190</v>
      </c>
      <c r="G42" t="s">
        <v>429</v>
      </c>
      <c r="H42" s="315" t="s">
        <v>1000</v>
      </c>
      <c r="I42" s="315" t="s">
        <v>1001</v>
      </c>
      <c r="J42" s="315" t="str">
        <f t="shared" si="1"/>
        <v>Admin &amp; OtherOther Overheads as % of Total Gross Profit</v>
      </c>
      <c r="K42" s="315" t="str">
        <f t="shared" si="2"/>
        <v>190Sundry Income</v>
      </c>
      <c r="L42" s="311">
        <f>+SUMIF('TUNZ Extracted TB'!M:M,$P42,'TUNZ Extracted TB'!G:G)</f>
        <v>-2633.98</v>
      </c>
      <c r="M42" s="311"/>
      <c r="N42" s="311">
        <f>+SUMIF('Input Sheet'!$AE:$AE,P42,'Input Sheet'!$X:$X)</f>
        <v>0</v>
      </c>
      <c r="O42" s="311"/>
      <c r="P42" t="str">
        <f t="shared" si="3"/>
        <v>190-3145</v>
      </c>
      <c r="Q42" s="315" t="str">
        <f t="shared" si="4"/>
        <v>Admin &amp; Other</v>
      </c>
      <c r="R42" s="315" t="str">
        <f t="shared" si="5"/>
        <v>Admin &amp; OtherOther Overheads as % of Total Gross Profit</v>
      </c>
      <c r="S42" s="199"/>
      <c r="T42" s="199"/>
      <c r="U42" s="199"/>
    </row>
    <row r="43" spans="1:21" x14ac:dyDescent="0.25">
      <c r="A43" s="316">
        <v>45200</v>
      </c>
      <c r="B43" t="s">
        <v>997</v>
      </c>
      <c r="C43" t="s">
        <v>997</v>
      </c>
      <c r="D43">
        <v>3145</v>
      </c>
      <c r="E43">
        <v>440</v>
      </c>
      <c r="G43" t="s">
        <v>429</v>
      </c>
      <c r="H43" s="315" t="s">
        <v>1000</v>
      </c>
      <c r="I43" s="315" t="s">
        <v>1001</v>
      </c>
      <c r="J43" s="315" t="str">
        <f t="shared" si="1"/>
        <v>Admin &amp; OtherOther Overheads as % of Total Gross Profit</v>
      </c>
      <c r="K43" s="315" t="str">
        <f t="shared" si="2"/>
        <v>440Sundry Income</v>
      </c>
      <c r="L43" s="311">
        <f>+SUMIF('TUNZ Extracted TB'!M:M,$P43,'TUNZ Extracted TB'!G:G)</f>
        <v>0</v>
      </c>
      <c r="M43" s="311"/>
      <c r="N43" s="311">
        <f>+SUMIF('Input Sheet'!$AE:$AE,P43,'Input Sheet'!$X:$X)</f>
        <v>0</v>
      </c>
      <c r="O43" s="311"/>
      <c r="P43" t="str">
        <f t="shared" si="3"/>
        <v>440-3145</v>
      </c>
      <c r="Q43" s="315" t="str">
        <f t="shared" si="4"/>
        <v>Admin &amp; Other</v>
      </c>
      <c r="R43" s="315" t="str">
        <f t="shared" si="5"/>
        <v>Admin &amp; OtherOther Overheads as % of Total Gross Profit</v>
      </c>
      <c r="S43" s="199"/>
      <c r="T43" s="199"/>
      <c r="U43" s="199"/>
    </row>
    <row r="44" spans="1:21" x14ac:dyDescent="0.25">
      <c r="A44" t="s">
        <v>996</v>
      </c>
      <c r="B44" t="s">
        <v>997</v>
      </c>
      <c r="C44" t="s">
        <v>997</v>
      </c>
      <c r="D44">
        <v>3147</v>
      </c>
      <c r="E44">
        <v>100</v>
      </c>
      <c r="F44" t="s">
        <v>1002</v>
      </c>
      <c r="G44" t="s">
        <v>1003</v>
      </c>
      <c r="H44" s="315" t="s">
        <v>29</v>
      </c>
      <c r="I44" s="315" t="s">
        <v>1004</v>
      </c>
      <c r="J44" s="315" t="str">
        <f t="shared" si="1"/>
        <v>New VehicleRetail Gross p.u.</v>
      </c>
      <c r="K44" s="315" t="str">
        <f t="shared" si="2"/>
        <v>100New Vehicle Cost of Sales - Toyota</v>
      </c>
      <c r="L44" s="311">
        <f>+SUMIF('TUNZ Extracted TB'!M:M,$P44,'TUNZ Extracted TB'!G:G)</f>
        <v>0</v>
      </c>
      <c r="M44" s="311"/>
      <c r="N44" s="311">
        <f>+SUMIF('Input Sheet'!$AE:$AE,P44,'Input Sheet'!$X:$X)</f>
        <v>0</v>
      </c>
      <c r="O44" s="311"/>
      <c r="P44" t="str">
        <f t="shared" si="3"/>
        <v>100-3147</v>
      </c>
      <c r="Q44" s="315" t="str">
        <f t="shared" si="4"/>
        <v>New Vehicle</v>
      </c>
      <c r="R44" s="315" t="str">
        <f t="shared" si="5"/>
        <v>New VehicleRetail Gross p.u.</v>
      </c>
      <c r="S44" s="199"/>
      <c r="T44" s="199"/>
      <c r="U44" s="199"/>
    </row>
    <row r="45" spans="1:21" x14ac:dyDescent="0.25">
      <c r="A45" t="s">
        <v>996</v>
      </c>
      <c r="B45" t="s">
        <v>997</v>
      </c>
      <c r="C45" t="s">
        <v>1012</v>
      </c>
      <c r="D45">
        <v>3147</v>
      </c>
      <c r="E45">
        <v>400</v>
      </c>
      <c r="F45" t="s">
        <v>1002</v>
      </c>
      <c r="G45" t="s">
        <v>1003</v>
      </c>
      <c r="H45" s="315" t="s">
        <v>29</v>
      </c>
      <c r="I45" s="315" t="s">
        <v>1004</v>
      </c>
      <c r="J45" s="315" t="str">
        <f t="shared" si="1"/>
        <v>New VehicleRetail Gross p.u.</v>
      </c>
      <c r="K45" s="315" t="str">
        <f t="shared" si="2"/>
        <v>400New Vehicle Cost of Sales - Toyota</v>
      </c>
      <c r="L45" s="311">
        <f>+SUMIF('TUNZ Extracted TB'!M:M,$P45,'TUNZ Extracted TB'!G:G)</f>
        <v>0</v>
      </c>
      <c r="M45" s="311"/>
      <c r="N45" s="311">
        <f>+SUMIF('Input Sheet'!$AE:$AE,P45,'Input Sheet'!$X:$X)</f>
        <v>0</v>
      </c>
      <c r="O45" s="311"/>
      <c r="P45" t="str">
        <f t="shared" si="3"/>
        <v>400-3147</v>
      </c>
      <c r="Q45" s="315" t="str">
        <f t="shared" si="4"/>
        <v>New Vehicle</v>
      </c>
      <c r="R45" s="315" t="str">
        <f t="shared" si="5"/>
        <v>New VehicleRetail Gross p.u.</v>
      </c>
      <c r="S45" s="199"/>
      <c r="T45" s="199"/>
      <c r="U45" s="199"/>
    </row>
    <row r="46" spans="1:21" x14ac:dyDescent="0.25">
      <c r="A46" t="s">
        <v>996</v>
      </c>
      <c r="B46" t="s">
        <v>997</v>
      </c>
      <c r="C46" t="s">
        <v>1013</v>
      </c>
      <c r="D46">
        <v>3147</v>
      </c>
      <c r="E46">
        <v>300</v>
      </c>
      <c r="F46" t="s">
        <v>1002</v>
      </c>
      <c r="G46" t="s">
        <v>1003</v>
      </c>
      <c r="H46" s="315" t="s">
        <v>29</v>
      </c>
      <c r="I46" s="315" t="s">
        <v>1004</v>
      </c>
      <c r="J46" s="315" t="str">
        <f t="shared" si="1"/>
        <v>New VehicleRetail Gross p.u.</v>
      </c>
      <c r="K46" s="315" t="str">
        <f t="shared" si="2"/>
        <v>300New Vehicle Cost of Sales - Toyota</v>
      </c>
      <c r="L46" s="311">
        <f>+SUMIF('TUNZ Extracted TB'!M:M,$P46,'TUNZ Extracted TB'!G:G)</f>
        <v>0</v>
      </c>
      <c r="M46" s="311"/>
      <c r="N46" s="311">
        <f>+SUMIF('Input Sheet'!$AE:$AE,P46,'Input Sheet'!$X:$X)</f>
        <v>0</v>
      </c>
      <c r="O46" s="311"/>
      <c r="P46" t="str">
        <f t="shared" si="3"/>
        <v>300-3147</v>
      </c>
      <c r="Q46" s="315" t="str">
        <f t="shared" si="4"/>
        <v>New Vehicle</v>
      </c>
      <c r="R46" s="315" t="str">
        <f t="shared" si="5"/>
        <v>New VehicleRetail Gross p.u.</v>
      </c>
      <c r="S46" s="199"/>
      <c r="T46" s="199"/>
      <c r="U46" s="199"/>
    </row>
    <row r="47" spans="1:21" x14ac:dyDescent="0.25">
      <c r="A47" t="s">
        <v>996</v>
      </c>
      <c r="B47" t="s">
        <v>997</v>
      </c>
      <c r="C47" t="s">
        <v>1005</v>
      </c>
      <c r="D47">
        <v>3147</v>
      </c>
      <c r="E47">
        <v>200</v>
      </c>
      <c r="F47" t="s">
        <v>1002</v>
      </c>
      <c r="G47" t="s">
        <v>1003</v>
      </c>
      <c r="H47" s="315" t="s">
        <v>29</v>
      </c>
      <c r="I47" s="315" t="s">
        <v>1004</v>
      </c>
      <c r="J47" s="315" t="str">
        <f t="shared" si="1"/>
        <v>New VehicleRetail Gross p.u.</v>
      </c>
      <c r="K47" s="315" t="str">
        <f t="shared" si="2"/>
        <v>200New Vehicle Cost of Sales - Toyota</v>
      </c>
      <c r="L47" s="311">
        <f>+SUMIF('TUNZ Extracted TB'!M:M,$P47,'TUNZ Extracted TB'!G:G)</f>
        <v>0</v>
      </c>
      <c r="M47" s="311"/>
      <c r="N47" s="311">
        <f>+SUMIF('Input Sheet'!$AE:$AE,P47,'Input Sheet'!$X:$X)</f>
        <v>0</v>
      </c>
      <c r="O47" s="311"/>
      <c r="P47" t="str">
        <f t="shared" si="3"/>
        <v>200-3147</v>
      </c>
      <c r="Q47" s="315" t="str">
        <f t="shared" si="4"/>
        <v>New Vehicle</v>
      </c>
      <c r="R47" s="315" t="str">
        <f t="shared" si="5"/>
        <v>New VehicleRetail Gross p.u.</v>
      </c>
    </row>
    <row r="48" spans="1:21" x14ac:dyDescent="0.25">
      <c r="A48" t="s">
        <v>996</v>
      </c>
      <c r="B48" t="s">
        <v>997</v>
      </c>
      <c r="C48" t="s">
        <v>997</v>
      </c>
      <c r="D48">
        <v>3148</v>
      </c>
      <c r="E48">
        <v>100</v>
      </c>
      <c r="F48" t="s">
        <v>1002</v>
      </c>
      <c r="G48" t="s">
        <v>1003</v>
      </c>
      <c r="H48" s="315" t="s">
        <v>29</v>
      </c>
      <c r="I48" s="315" t="s">
        <v>1004</v>
      </c>
      <c r="J48" s="315" t="str">
        <f t="shared" si="1"/>
        <v>New VehicleRetail Gross p.u.</v>
      </c>
      <c r="K48" s="315" t="str">
        <f t="shared" si="2"/>
        <v>100New Vehicle Cost of Sales - Toyota</v>
      </c>
      <c r="L48" s="311">
        <f>+SUMIF('TUNZ Extracted TB'!M:M,$P48,'TUNZ Extracted TB'!G:G)</f>
        <v>-19793.93</v>
      </c>
      <c r="M48" s="311"/>
      <c r="N48" s="311">
        <f>+SUMIF('Input Sheet'!$AE:$AE,P48,'Input Sheet'!$X:$X)</f>
        <v>0</v>
      </c>
      <c r="O48" s="311"/>
      <c r="P48" t="str">
        <f t="shared" si="3"/>
        <v>100-3148</v>
      </c>
      <c r="Q48" s="315" t="str">
        <f t="shared" si="4"/>
        <v>New Vehicle</v>
      </c>
      <c r="R48" s="315" t="str">
        <f t="shared" si="5"/>
        <v>New VehicleRetail Gross p.u.</v>
      </c>
      <c r="S48" s="199"/>
      <c r="T48" s="199"/>
      <c r="U48" s="199"/>
    </row>
    <row r="49" spans="1:21" x14ac:dyDescent="0.25">
      <c r="A49" t="s">
        <v>996</v>
      </c>
      <c r="B49" t="s">
        <v>997</v>
      </c>
      <c r="C49" t="s">
        <v>1012</v>
      </c>
      <c r="D49">
        <v>3148</v>
      </c>
      <c r="E49">
        <v>400</v>
      </c>
      <c r="F49" t="s">
        <v>1002</v>
      </c>
      <c r="G49" t="s">
        <v>1003</v>
      </c>
      <c r="H49" s="315" t="s">
        <v>29</v>
      </c>
      <c r="I49" s="315" t="s">
        <v>1004</v>
      </c>
      <c r="J49" s="315" t="str">
        <f t="shared" si="1"/>
        <v>New VehicleRetail Gross p.u.</v>
      </c>
      <c r="K49" s="315" t="str">
        <f t="shared" si="2"/>
        <v>400New Vehicle Cost of Sales - Toyota</v>
      </c>
      <c r="L49" s="311">
        <f>+SUMIF('TUNZ Extracted TB'!M:M,$P49,'TUNZ Extracted TB'!G:G)</f>
        <v>0</v>
      </c>
      <c r="M49" s="311"/>
      <c r="N49" s="311">
        <f>+SUMIF('Input Sheet'!$AE:$AE,P49,'Input Sheet'!$X:$X)</f>
        <v>0</v>
      </c>
      <c r="O49" s="311"/>
      <c r="P49" t="str">
        <f t="shared" si="3"/>
        <v>400-3148</v>
      </c>
      <c r="Q49" s="315" t="str">
        <f t="shared" si="4"/>
        <v>New Vehicle</v>
      </c>
      <c r="R49" s="315" t="str">
        <f t="shared" si="5"/>
        <v>New VehicleRetail Gross p.u.</v>
      </c>
      <c r="S49" s="199"/>
      <c r="T49" s="199"/>
      <c r="U49" s="199"/>
    </row>
    <row r="50" spans="1:21" x14ac:dyDescent="0.25">
      <c r="A50" t="s">
        <v>996</v>
      </c>
      <c r="B50" t="s">
        <v>997</v>
      </c>
      <c r="C50" t="s">
        <v>1013</v>
      </c>
      <c r="D50">
        <v>3148</v>
      </c>
      <c r="E50">
        <v>300</v>
      </c>
      <c r="F50" t="s">
        <v>1002</v>
      </c>
      <c r="G50" t="s">
        <v>1003</v>
      </c>
      <c r="H50" s="315" t="s">
        <v>29</v>
      </c>
      <c r="I50" s="315" t="s">
        <v>1004</v>
      </c>
      <c r="J50" s="315" t="str">
        <f t="shared" si="1"/>
        <v>New VehicleRetail Gross p.u.</v>
      </c>
      <c r="K50" s="315" t="str">
        <f t="shared" si="2"/>
        <v>300New Vehicle Cost of Sales - Toyota</v>
      </c>
      <c r="L50" s="311">
        <f>+SUMIF('TUNZ Extracted TB'!M:M,$P50,'TUNZ Extracted TB'!G:G)</f>
        <v>0</v>
      </c>
      <c r="M50" s="311"/>
      <c r="N50" s="311">
        <f>+SUMIF('Input Sheet'!$AE:$AE,P50,'Input Sheet'!$X:$X)</f>
        <v>0</v>
      </c>
      <c r="O50" s="311"/>
      <c r="P50" t="str">
        <f t="shared" si="3"/>
        <v>300-3148</v>
      </c>
      <c r="Q50" s="315" t="str">
        <f t="shared" si="4"/>
        <v>New Vehicle</v>
      </c>
      <c r="R50" s="315" t="str">
        <f t="shared" si="5"/>
        <v>New VehicleRetail Gross p.u.</v>
      </c>
      <c r="S50" s="199"/>
      <c r="T50" s="199"/>
      <c r="U50" s="199"/>
    </row>
    <row r="51" spans="1:21" x14ac:dyDescent="0.25">
      <c r="A51" t="s">
        <v>996</v>
      </c>
      <c r="B51" t="s">
        <v>997</v>
      </c>
      <c r="C51" t="s">
        <v>1005</v>
      </c>
      <c r="D51">
        <v>3148</v>
      </c>
      <c r="E51">
        <v>200</v>
      </c>
      <c r="F51" t="s">
        <v>1002</v>
      </c>
      <c r="G51" t="s">
        <v>1003</v>
      </c>
      <c r="H51" s="315" t="s">
        <v>29</v>
      </c>
      <c r="I51" s="315" t="s">
        <v>1004</v>
      </c>
      <c r="J51" s="315" t="str">
        <f t="shared" si="1"/>
        <v>New VehicleRetail Gross p.u.</v>
      </c>
      <c r="K51" s="315" t="str">
        <f t="shared" si="2"/>
        <v>200New Vehicle Cost of Sales - Toyota</v>
      </c>
      <c r="L51" s="311">
        <f>+SUMIF('TUNZ Extracted TB'!M:M,$P51,'TUNZ Extracted TB'!G:G)</f>
        <v>-21356.31</v>
      </c>
      <c r="M51" s="311"/>
      <c r="N51" s="311">
        <f>+SUMIF('Input Sheet'!$AE:$AE,P51,'Input Sheet'!$X:$X)</f>
        <v>0</v>
      </c>
      <c r="O51" s="311"/>
      <c r="P51" t="str">
        <f t="shared" si="3"/>
        <v>200-3148</v>
      </c>
      <c r="Q51" s="315" t="str">
        <f t="shared" si="4"/>
        <v>New Vehicle</v>
      </c>
      <c r="R51" s="315" t="str">
        <f t="shared" si="5"/>
        <v>New VehicleRetail Gross p.u.</v>
      </c>
      <c r="S51" s="199"/>
      <c r="T51" s="199"/>
      <c r="U51" s="199"/>
    </row>
    <row r="52" spans="1:21" x14ac:dyDescent="0.25">
      <c r="A52" t="s">
        <v>996</v>
      </c>
      <c r="B52" t="s">
        <v>997</v>
      </c>
      <c r="C52" t="s">
        <v>997</v>
      </c>
      <c r="D52">
        <v>3149</v>
      </c>
      <c r="E52">
        <v>100</v>
      </c>
      <c r="F52" t="s">
        <v>1002</v>
      </c>
      <c r="G52" t="s">
        <v>1003</v>
      </c>
      <c r="H52" s="315" t="s">
        <v>29</v>
      </c>
      <c r="I52" s="315" t="s">
        <v>1004</v>
      </c>
      <c r="J52" s="315" t="str">
        <f t="shared" si="1"/>
        <v>New VehicleRetail Gross p.u.</v>
      </c>
      <c r="K52" s="315" t="str">
        <f t="shared" si="2"/>
        <v>100New Vehicle Cost of Sales - Toyota</v>
      </c>
      <c r="L52" s="311">
        <f>+SUMIF('TUNZ Extracted TB'!M:M,$P52,'TUNZ Extracted TB'!G:G)</f>
        <v>-24802.36</v>
      </c>
      <c r="M52" s="311"/>
      <c r="N52" s="311">
        <f>+SUMIF('Input Sheet'!$AE:$AE,P52,'Input Sheet'!$X:$X)</f>
        <v>0</v>
      </c>
      <c r="O52" s="311"/>
      <c r="P52" t="str">
        <f t="shared" si="3"/>
        <v>100-3149</v>
      </c>
      <c r="Q52" s="315" t="str">
        <f t="shared" si="4"/>
        <v>New Vehicle</v>
      </c>
      <c r="R52" s="315" t="str">
        <f t="shared" si="5"/>
        <v>New VehicleRetail Gross p.u.</v>
      </c>
      <c r="S52" s="199"/>
      <c r="T52" s="199"/>
      <c r="U52" s="199"/>
    </row>
    <row r="53" spans="1:21" x14ac:dyDescent="0.25">
      <c r="A53" t="s">
        <v>996</v>
      </c>
      <c r="B53" t="s">
        <v>997</v>
      </c>
      <c r="C53" t="s">
        <v>1012</v>
      </c>
      <c r="D53">
        <v>3149</v>
      </c>
      <c r="E53">
        <v>400</v>
      </c>
      <c r="F53" t="s">
        <v>1002</v>
      </c>
      <c r="G53" t="s">
        <v>1003</v>
      </c>
      <c r="H53" s="315" t="s">
        <v>29</v>
      </c>
      <c r="I53" s="315" t="s">
        <v>1004</v>
      </c>
      <c r="J53" s="315" t="str">
        <f t="shared" si="1"/>
        <v>New VehicleRetail Gross p.u.</v>
      </c>
      <c r="K53" s="315" t="str">
        <f t="shared" si="2"/>
        <v>400New Vehicle Cost of Sales - Toyota</v>
      </c>
      <c r="L53" s="311">
        <f>+SUMIF('TUNZ Extracted TB'!M:M,$P53,'TUNZ Extracted TB'!G:G)</f>
        <v>0</v>
      </c>
      <c r="M53" s="311"/>
      <c r="N53" s="311">
        <f>+SUMIF('Input Sheet'!$AE:$AE,P53,'Input Sheet'!$X:$X)</f>
        <v>0</v>
      </c>
      <c r="O53" s="311"/>
      <c r="P53" t="str">
        <f t="shared" si="3"/>
        <v>400-3149</v>
      </c>
      <c r="Q53" s="315" t="str">
        <f t="shared" si="4"/>
        <v>New Vehicle</v>
      </c>
      <c r="R53" s="315" t="str">
        <f t="shared" si="5"/>
        <v>New VehicleRetail Gross p.u.</v>
      </c>
      <c r="S53" s="199"/>
      <c r="T53" s="199"/>
      <c r="U53" s="199"/>
    </row>
    <row r="54" spans="1:21" x14ac:dyDescent="0.25">
      <c r="A54" t="s">
        <v>996</v>
      </c>
      <c r="B54" t="s">
        <v>997</v>
      </c>
      <c r="C54" t="s">
        <v>1013</v>
      </c>
      <c r="D54">
        <v>3149</v>
      </c>
      <c r="E54">
        <v>300</v>
      </c>
      <c r="F54" t="s">
        <v>1002</v>
      </c>
      <c r="G54" t="s">
        <v>1003</v>
      </c>
      <c r="H54" s="315" t="s">
        <v>29</v>
      </c>
      <c r="I54" s="315" t="s">
        <v>1004</v>
      </c>
      <c r="J54" s="315" t="str">
        <f t="shared" si="1"/>
        <v>New VehicleRetail Gross p.u.</v>
      </c>
      <c r="K54" s="315" t="str">
        <f t="shared" si="2"/>
        <v>300New Vehicle Cost of Sales - Toyota</v>
      </c>
      <c r="L54" s="311">
        <f>+SUMIF('TUNZ Extracted TB'!M:M,$P54,'TUNZ Extracted TB'!G:G)</f>
        <v>0</v>
      </c>
      <c r="M54" s="311"/>
      <c r="N54" s="311">
        <f>+SUMIF('Input Sheet'!$AE:$AE,P54,'Input Sheet'!$X:$X)</f>
        <v>0</v>
      </c>
      <c r="O54" s="311"/>
      <c r="P54" t="str">
        <f t="shared" si="3"/>
        <v>300-3149</v>
      </c>
      <c r="Q54" s="315" t="str">
        <f t="shared" si="4"/>
        <v>New Vehicle</v>
      </c>
      <c r="R54" s="315" t="str">
        <f t="shared" si="5"/>
        <v>New VehicleRetail Gross p.u.</v>
      </c>
      <c r="S54" s="199"/>
      <c r="T54" s="199"/>
      <c r="U54" s="199"/>
    </row>
    <row r="55" spans="1:21" x14ac:dyDescent="0.25">
      <c r="A55" t="s">
        <v>996</v>
      </c>
      <c r="B55" t="s">
        <v>997</v>
      </c>
      <c r="C55" t="s">
        <v>1005</v>
      </c>
      <c r="D55">
        <v>3149</v>
      </c>
      <c r="E55">
        <v>200</v>
      </c>
      <c r="F55" t="s">
        <v>1002</v>
      </c>
      <c r="G55" t="s">
        <v>1003</v>
      </c>
      <c r="H55" s="315" t="s">
        <v>29</v>
      </c>
      <c r="I55" s="315" t="s">
        <v>1004</v>
      </c>
      <c r="J55" s="315" t="str">
        <f t="shared" si="1"/>
        <v>New VehicleRetail Gross p.u.</v>
      </c>
      <c r="K55" s="315" t="str">
        <f t="shared" si="2"/>
        <v>200New Vehicle Cost of Sales - Toyota</v>
      </c>
      <c r="L55" s="311">
        <f>+SUMIF('TUNZ Extracted TB'!M:M,$P55,'TUNZ Extracted TB'!G:G)</f>
        <v>-24118.799999999999</v>
      </c>
      <c r="M55" s="311"/>
      <c r="N55" s="311">
        <f>+SUMIF('Input Sheet'!$AE:$AE,P55,'Input Sheet'!$X:$X)</f>
        <v>0</v>
      </c>
      <c r="O55" s="311"/>
      <c r="P55" t="str">
        <f t="shared" si="3"/>
        <v>200-3149</v>
      </c>
      <c r="Q55" s="315" t="str">
        <f t="shared" si="4"/>
        <v>New Vehicle</v>
      </c>
      <c r="R55" s="315" t="str">
        <f t="shared" si="5"/>
        <v>New VehicleRetail Gross p.u.</v>
      </c>
      <c r="S55" s="199"/>
      <c r="T55" s="199"/>
      <c r="U55" s="199"/>
    </row>
    <row r="56" spans="1:21" x14ac:dyDescent="0.25">
      <c r="A56" s="316">
        <v>45078</v>
      </c>
      <c r="B56" t="s">
        <v>997</v>
      </c>
      <c r="C56" t="s">
        <v>997</v>
      </c>
      <c r="D56">
        <v>3248</v>
      </c>
      <c r="E56">
        <v>936</v>
      </c>
      <c r="G56" t="s">
        <v>451</v>
      </c>
      <c r="H56" s="315" t="s">
        <v>58</v>
      </c>
      <c r="I56" s="315" t="s">
        <v>60</v>
      </c>
      <c r="J56" s="315" t="str">
        <f t="shared" ref="J56:J87" si="6">+H56&amp;I56</f>
        <v>BridgestoneIncentive</v>
      </c>
      <c r="K56" s="315" t="str">
        <f t="shared" ref="K56:K87" si="7">+E56&amp;G56</f>
        <v>936Sales - Incentive KPI</v>
      </c>
      <c r="L56" s="311">
        <f>+SUMIF('TUNZ Extracted TB'!M:M,$P56,'TUNZ Extracted TB'!G:G)</f>
        <v>-1964.76</v>
      </c>
      <c r="M56" s="311"/>
      <c r="N56" s="311">
        <f>+SUMIF('Input Sheet'!$AE:$AE,P56,'Input Sheet'!$X:$X)</f>
        <v>0</v>
      </c>
      <c r="O56" s="311"/>
      <c r="P56" t="str">
        <f t="shared" ref="P56:P87" si="8">+E56&amp;"-"&amp;D56</f>
        <v>936-3248</v>
      </c>
      <c r="Q56" s="315" t="str">
        <f t="shared" ref="Q56:Q87" si="9">H56</f>
        <v>Bridgestone</v>
      </c>
      <c r="R56" s="315" t="str">
        <f t="shared" ref="R56:R87" si="10">J56</f>
        <v>BridgestoneIncentive</v>
      </c>
      <c r="S56" s="199"/>
      <c r="T56" s="199"/>
      <c r="U56" s="199"/>
    </row>
    <row r="57" spans="1:21" x14ac:dyDescent="0.25">
      <c r="A57" t="s">
        <v>996</v>
      </c>
      <c r="B57" t="s">
        <v>997</v>
      </c>
      <c r="C57" t="s">
        <v>997</v>
      </c>
      <c r="D57">
        <v>3248</v>
      </c>
      <c r="E57">
        <v>935</v>
      </c>
      <c r="G57" t="s">
        <v>451</v>
      </c>
      <c r="H57" s="315" t="s">
        <v>58</v>
      </c>
      <c r="I57" s="315" t="s">
        <v>60</v>
      </c>
      <c r="J57" s="315" t="str">
        <f t="shared" si="6"/>
        <v>BridgestoneIncentive</v>
      </c>
      <c r="K57" s="315" t="str">
        <f t="shared" si="7"/>
        <v>935Sales - Incentive KPI</v>
      </c>
      <c r="L57" s="311">
        <f>+SUMIF('TUNZ Extracted TB'!M:M,$P57,'TUNZ Extracted TB'!G:G)</f>
        <v>-3116.8</v>
      </c>
      <c r="M57" s="311"/>
      <c r="N57" s="311">
        <f>+SUMIF('Input Sheet'!$AE:$AE,P57,'Input Sheet'!$X:$X)</f>
        <v>0</v>
      </c>
      <c r="O57" s="311"/>
      <c r="P57" t="str">
        <f t="shared" si="8"/>
        <v>935-3248</v>
      </c>
      <c r="Q57" s="315" t="str">
        <f t="shared" si="9"/>
        <v>Bridgestone</v>
      </c>
      <c r="R57" s="315" t="str">
        <f t="shared" si="10"/>
        <v>BridgestoneIncentive</v>
      </c>
      <c r="S57" s="199"/>
      <c r="T57" s="199"/>
      <c r="U57" s="199"/>
    </row>
    <row r="58" spans="1:21" x14ac:dyDescent="0.25">
      <c r="A58" t="s">
        <v>996</v>
      </c>
      <c r="B58" t="s">
        <v>997</v>
      </c>
      <c r="C58" t="s">
        <v>997</v>
      </c>
      <c r="D58">
        <v>3150</v>
      </c>
      <c r="E58">
        <v>190</v>
      </c>
      <c r="G58" t="s">
        <v>447</v>
      </c>
      <c r="H58" s="315" t="s">
        <v>16</v>
      </c>
      <c r="I58" s="315" t="s">
        <v>1028</v>
      </c>
      <c r="J58" s="315" t="str">
        <f t="shared" si="6"/>
        <v>F&amp;IToyota Care Incentive per vehicle retailed</v>
      </c>
      <c r="K58" s="315" t="str">
        <f t="shared" si="7"/>
        <v>190New  VIP and Target Bonus</v>
      </c>
      <c r="L58" s="311">
        <f>+SUMIF('TUNZ Extracted TB'!M:M,$P58,'TUNZ Extracted TB'!G:G)</f>
        <v>0</v>
      </c>
      <c r="M58" s="311"/>
      <c r="N58" s="311">
        <f>+SUMIF('Input Sheet'!$AE:$AE,P58,'Input Sheet'!$X:$X)</f>
        <v>0</v>
      </c>
      <c r="O58" s="311"/>
      <c r="P58" t="str">
        <f t="shared" si="8"/>
        <v>190-3150</v>
      </c>
      <c r="Q58" s="315" t="str">
        <f t="shared" si="9"/>
        <v>F&amp;I</v>
      </c>
      <c r="R58" s="315" t="str">
        <f t="shared" si="10"/>
        <v>F&amp;IToyota Care Incentive per vehicle retailed</v>
      </c>
      <c r="S58" s="199"/>
      <c r="T58" s="199"/>
      <c r="U58" s="199"/>
    </row>
    <row r="59" spans="1:21" x14ac:dyDescent="0.25">
      <c r="A59" t="s">
        <v>996</v>
      </c>
      <c r="B59" t="s">
        <v>997</v>
      </c>
      <c r="C59" t="s">
        <v>997</v>
      </c>
      <c r="D59">
        <v>3248</v>
      </c>
      <c r="E59">
        <v>260</v>
      </c>
      <c r="F59" t="s">
        <v>1029</v>
      </c>
      <c r="G59" t="s">
        <v>1030</v>
      </c>
      <c r="H59" s="315" t="s">
        <v>16</v>
      </c>
      <c r="I59" s="315" t="s">
        <v>1031</v>
      </c>
      <c r="J59" s="315" t="str">
        <f t="shared" si="6"/>
        <v>F&amp;ITFS Incentive per vehicle retailed</v>
      </c>
      <c r="K59" s="315" t="str">
        <f t="shared" si="7"/>
        <v>260F&amp;I Incentive (TFS) - Toyota</v>
      </c>
      <c r="L59" s="311">
        <f>+SUMIF('TUNZ Extracted TB'!M:M,$P59,'TUNZ Extracted TB'!G:G)</f>
        <v>0</v>
      </c>
      <c r="M59" s="311"/>
      <c r="N59" s="311">
        <f>+SUMIF('Input Sheet'!$AE:$AE,P59,'Input Sheet'!$X:$X)</f>
        <v>0</v>
      </c>
      <c r="O59" s="311"/>
      <c r="P59" t="str">
        <f t="shared" si="8"/>
        <v>260-3248</v>
      </c>
      <c r="Q59" s="315" t="str">
        <f t="shared" si="9"/>
        <v>F&amp;I</v>
      </c>
      <c r="R59" s="315" t="str">
        <f t="shared" si="10"/>
        <v>F&amp;ITFS Incentive per vehicle retailed</v>
      </c>
      <c r="S59" s="199"/>
      <c r="T59" s="199"/>
      <c r="U59" s="199"/>
    </row>
    <row r="60" spans="1:21" x14ac:dyDescent="0.25">
      <c r="A60" t="s">
        <v>996</v>
      </c>
      <c r="B60" t="s">
        <v>997</v>
      </c>
      <c r="C60" t="s">
        <v>1005</v>
      </c>
      <c r="D60">
        <v>3248</v>
      </c>
      <c r="E60">
        <v>160</v>
      </c>
      <c r="F60" t="s">
        <v>1029</v>
      </c>
      <c r="G60" t="s">
        <v>1030</v>
      </c>
      <c r="H60" s="315" t="s">
        <v>16</v>
      </c>
      <c r="I60" s="315" t="s">
        <v>1031</v>
      </c>
      <c r="J60" s="315" t="str">
        <f t="shared" si="6"/>
        <v>F&amp;ITFS Incentive per vehicle retailed</v>
      </c>
      <c r="K60" s="315" t="str">
        <f t="shared" si="7"/>
        <v>160F&amp;I Incentive (TFS) - Toyota</v>
      </c>
      <c r="L60" s="311">
        <f>+SUMIF('TUNZ Extracted TB'!M:M,$P60,'TUNZ Extracted TB'!G:G)</f>
        <v>0</v>
      </c>
      <c r="M60" s="311"/>
      <c r="N60" s="311">
        <f>+SUMIF('Input Sheet'!$AE:$AE,P60,'Input Sheet'!$X:$X)</f>
        <v>0</v>
      </c>
      <c r="O60" s="311"/>
      <c r="P60" t="str">
        <f t="shared" si="8"/>
        <v>160-3248</v>
      </c>
      <c r="Q60" s="315" t="str">
        <f t="shared" si="9"/>
        <v>F&amp;I</v>
      </c>
      <c r="R60" s="315" t="str">
        <f t="shared" si="10"/>
        <v>F&amp;ITFS Incentive per vehicle retailed</v>
      </c>
      <c r="S60" s="199"/>
      <c r="T60" s="199"/>
      <c r="U60" s="199"/>
    </row>
    <row r="61" spans="1:21" x14ac:dyDescent="0.25">
      <c r="A61" t="s">
        <v>996</v>
      </c>
      <c r="B61" t="s">
        <v>997</v>
      </c>
      <c r="C61" t="s">
        <v>1012</v>
      </c>
      <c r="D61">
        <v>3248</v>
      </c>
      <c r="E61">
        <v>162</v>
      </c>
      <c r="F61" t="s">
        <v>1032</v>
      </c>
      <c r="G61" t="s">
        <v>1033</v>
      </c>
      <c r="H61" s="315" t="s">
        <v>142</v>
      </c>
      <c r="I61" s="315" t="s">
        <v>1031</v>
      </c>
      <c r="J61" s="315" t="str">
        <f t="shared" si="6"/>
        <v>LEX F&amp;ITFS Incentive per vehicle retailed</v>
      </c>
      <c r="K61" s="315" t="str">
        <f t="shared" si="7"/>
        <v>162F&amp;I Incentive (TFS) - Lexus</v>
      </c>
      <c r="L61" s="311">
        <f>+SUMIF('TUNZ Extracted TB'!M:M,$P61,'TUNZ Extracted TB'!G:G)</f>
        <v>0</v>
      </c>
      <c r="M61" s="311"/>
      <c r="N61" s="311">
        <f>+SUMIF('Input Sheet'!$AE:$AE,P61,'Input Sheet'!$X:$X)</f>
        <v>0</v>
      </c>
      <c r="O61" s="311"/>
      <c r="P61" t="str">
        <f t="shared" si="8"/>
        <v>162-3248</v>
      </c>
      <c r="Q61" s="315" t="str">
        <f t="shared" si="9"/>
        <v>LEX F&amp;I</v>
      </c>
      <c r="R61" s="315" t="str">
        <f t="shared" si="10"/>
        <v>LEX F&amp;ITFS Incentive per vehicle retailed</v>
      </c>
      <c r="S61" s="199"/>
      <c r="T61" s="199"/>
      <c r="U61" s="199"/>
    </row>
    <row r="62" spans="1:21" x14ac:dyDescent="0.25">
      <c r="A62" t="s">
        <v>996</v>
      </c>
      <c r="B62" t="s">
        <v>997</v>
      </c>
      <c r="C62" t="s">
        <v>1012</v>
      </c>
      <c r="D62">
        <v>3150</v>
      </c>
      <c r="E62">
        <v>112</v>
      </c>
      <c r="F62" t="s">
        <v>1034</v>
      </c>
      <c r="G62" t="s">
        <v>1035</v>
      </c>
      <c r="H62" s="315" t="s">
        <v>1011</v>
      </c>
      <c r="I62" s="315" t="s">
        <v>1036</v>
      </c>
      <c r="J62" s="315" t="str">
        <f t="shared" si="6"/>
        <v>LEX New VehicleIncentive p.u.</v>
      </c>
      <c r="K62" s="315" t="str">
        <f t="shared" si="7"/>
        <v>112New Vehicle Incentive - Lexus</v>
      </c>
      <c r="L62" s="311">
        <f>+SUMIF('TUNZ Extracted TB'!M:M,$P62,'TUNZ Extracted TB'!G:G)</f>
        <v>0</v>
      </c>
      <c r="M62" s="311"/>
      <c r="N62" s="311">
        <f>+SUMIF('Input Sheet'!$AE:$AE,P62,'Input Sheet'!$X:$X)</f>
        <v>0</v>
      </c>
      <c r="O62" s="311"/>
      <c r="P62" t="str">
        <f t="shared" si="8"/>
        <v>112-3150</v>
      </c>
      <c r="Q62" s="315" t="str">
        <f t="shared" si="9"/>
        <v>LEX New Vehicle</v>
      </c>
      <c r="R62" s="315" t="str">
        <f t="shared" si="10"/>
        <v>LEX New VehicleIncentive p.u.</v>
      </c>
      <c r="S62" s="199"/>
      <c r="T62" s="199"/>
      <c r="U62" s="199"/>
    </row>
    <row r="63" spans="1:21" x14ac:dyDescent="0.25">
      <c r="A63" t="s">
        <v>996</v>
      </c>
      <c r="B63" t="s">
        <v>997</v>
      </c>
      <c r="C63" t="s">
        <v>1013</v>
      </c>
      <c r="D63">
        <v>3248</v>
      </c>
      <c r="E63">
        <v>112</v>
      </c>
      <c r="G63" t="s">
        <v>451</v>
      </c>
      <c r="H63" s="315" t="s">
        <v>1011</v>
      </c>
      <c r="I63" s="315" t="s">
        <v>1036</v>
      </c>
      <c r="J63" s="315" t="str">
        <f t="shared" si="6"/>
        <v>LEX New VehicleIncentive p.u.</v>
      </c>
      <c r="K63" s="315" t="str">
        <f t="shared" si="7"/>
        <v>112Sales - Incentive KPI</v>
      </c>
      <c r="L63" s="311">
        <f>+SUMIF('TUNZ Extracted TB'!M:M,$P63,'TUNZ Extracted TB'!G:G)</f>
        <v>0</v>
      </c>
      <c r="M63" s="311"/>
      <c r="N63" s="311">
        <f>+SUMIF('Input Sheet'!$AE:$AE,P63,'Input Sheet'!$X:$X)</f>
        <v>0</v>
      </c>
      <c r="O63" s="311"/>
      <c r="P63" t="str">
        <f t="shared" si="8"/>
        <v>112-3248</v>
      </c>
      <c r="Q63" s="315" t="str">
        <f t="shared" si="9"/>
        <v>LEX New Vehicle</v>
      </c>
      <c r="R63" s="315" t="str">
        <f t="shared" si="10"/>
        <v>LEX New VehicleIncentive p.u.</v>
      </c>
      <c r="S63" s="199"/>
      <c r="T63" s="199"/>
      <c r="U63" s="199"/>
    </row>
    <row r="64" spans="1:21" x14ac:dyDescent="0.25">
      <c r="A64" t="s">
        <v>996</v>
      </c>
      <c r="B64" t="s">
        <v>997</v>
      </c>
      <c r="C64" t="s">
        <v>1013</v>
      </c>
      <c r="D64">
        <v>3248</v>
      </c>
      <c r="E64">
        <v>132</v>
      </c>
      <c r="G64" t="s">
        <v>451</v>
      </c>
      <c r="H64" s="315" t="s">
        <v>143</v>
      </c>
      <c r="I64" s="315" t="s">
        <v>60</v>
      </c>
      <c r="J64" s="315" t="str">
        <f t="shared" si="6"/>
        <v>LEX PartsIncentive</v>
      </c>
      <c r="K64" s="315" t="str">
        <f t="shared" si="7"/>
        <v>132Sales - Incentive KPI</v>
      </c>
      <c r="L64" s="311">
        <f>+SUMIF('TUNZ Extracted TB'!M:M,$P64,'TUNZ Extracted TB'!G:G)</f>
        <v>0</v>
      </c>
      <c r="M64" s="311"/>
      <c r="N64" s="311">
        <f>+SUMIF('Input Sheet'!$AE:$AE,P64,'Input Sheet'!$X:$X)</f>
        <v>0</v>
      </c>
      <c r="O64" s="311"/>
      <c r="P64" t="str">
        <f t="shared" si="8"/>
        <v>132-3248</v>
      </c>
      <c r="Q64" s="315" t="str">
        <f t="shared" si="9"/>
        <v>LEX Parts</v>
      </c>
      <c r="R64" s="315" t="str">
        <f t="shared" si="10"/>
        <v>LEX PartsIncentive</v>
      </c>
      <c r="S64" s="199"/>
      <c r="T64" s="199"/>
      <c r="U64" s="199"/>
    </row>
    <row r="65" spans="1:21" x14ac:dyDescent="0.25">
      <c r="A65" t="s">
        <v>996</v>
      </c>
      <c r="B65" t="s">
        <v>997</v>
      </c>
      <c r="C65" t="s">
        <v>1005</v>
      </c>
      <c r="D65">
        <v>3248</v>
      </c>
      <c r="E65">
        <v>142</v>
      </c>
      <c r="F65" t="s">
        <v>1037</v>
      </c>
      <c r="G65" t="s">
        <v>1038</v>
      </c>
      <c r="H65" s="315" t="s">
        <v>143</v>
      </c>
      <c r="I65" s="315" t="s">
        <v>60</v>
      </c>
      <c r="J65" s="315" t="str">
        <f t="shared" si="6"/>
        <v>LEX PartsIncentive</v>
      </c>
      <c r="K65" s="315" t="str">
        <f t="shared" si="7"/>
        <v>142Toyota Care incentive - Lexus</v>
      </c>
      <c r="L65" s="311">
        <f>+SUMIF('TUNZ Extracted TB'!M:M,$P65,'TUNZ Extracted TB'!G:G)</f>
        <v>0</v>
      </c>
      <c r="M65" s="311"/>
      <c r="N65" s="311">
        <f>+SUMIF('Input Sheet'!$AE:$AE,P65,'Input Sheet'!$X:$X)</f>
        <v>0</v>
      </c>
      <c r="O65" s="311"/>
      <c r="P65" t="str">
        <f t="shared" si="8"/>
        <v>142-3248</v>
      </c>
      <c r="Q65" s="315" t="str">
        <f t="shared" si="9"/>
        <v>LEX Parts</v>
      </c>
      <c r="R65" s="315" t="str">
        <f t="shared" si="10"/>
        <v>LEX PartsIncentive</v>
      </c>
      <c r="S65" s="199"/>
      <c r="T65" s="199"/>
      <c r="U65" s="199"/>
    </row>
    <row r="66" spans="1:21" x14ac:dyDescent="0.25">
      <c r="A66" t="s">
        <v>996</v>
      </c>
      <c r="B66" t="s">
        <v>997</v>
      </c>
      <c r="C66" t="s">
        <v>1005</v>
      </c>
      <c r="D66">
        <v>3246</v>
      </c>
      <c r="E66">
        <v>122</v>
      </c>
      <c r="F66" t="s">
        <v>1039</v>
      </c>
      <c r="G66" t="s">
        <v>1040</v>
      </c>
      <c r="H66" s="315" t="s">
        <v>1041</v>
      </c>
      <c r="I66" s="315" t="s">
        <v>1042</v>
      </c>
      <c r="J66" s="315" t="str">
        <f t="shared" si="6"/>
        <v>LEX Used VehicleOverall gross per UV retail incl. incentives</v>
      </c>
      <c r="K66" s="315" t="str">
        <f t="shared" si="7"/>
        <v>122Lexus UV incentive income</v>
      </c>
      <c r="L66" s="311">
        <f>+SUMIF('TUNZ Extracted TB'!M:M,$P66,'TUNZ Extracted TB'!G:G)</f>
        <v>0</v>
      </c>
      <c r="M66" s="311"/>
      <c r="N66" s="311">
        <f>+SUMIF('Input Sheet'!$AE:$AE,P66,'Input Sheet'!$X:$X)</f>
        <v>0</v>
      </c>
      <c r="O66" s="311"/>
      <c r="P66" t="str">
        <f t="shared" si="8"/>
        <v>122-3246</v>
      </c>
      <c r="Q66" s="315" t="str">
        <f t="shared" si="9"/>
        <v>LEX Used Vehicle</v>
      </c>
      <c r="R66" s="315" t="str">
        <f t="shared" si="10"/>
        <v>LEX Used VehicleOverall gross per UV retail incl. incentives</v>
      </c>
      <c r="S66" s="199"/>
      <c r="T66" s="199"/>
      <c r="U66" s="199"/>
    </row>
    <row r="67" spans="1:21" x14ac:dyDescent="0.25">
      <c r="A67" t="s">
        <v>996</v>
      </c>
      <c r="B67" t="s">
        <v>997</v>
      </c>
      <c r="C67" t="s">
        <v>997</v>
      </c>
      <c r="D67">
        <v>3247</v>
      </c>
      <c r="E67">
        <v>122</v>
      </c>
      <c r="F67" t="s">
        <v>1039</v>
      </c>
      <c r="G67" t="s">
        <v>1040</v>
      </c>
      <c r="H67" s="315" t="s">
        <v>1041</v>
      </c>
      <c r="I67" s="315" t="s">
        <v>1042</v>
      </c>
      <c r="J67" s="315" t="str">
        <f t="shared" si="6"/>
        <v>LEX Used VehicleOverall gross per UV retail incl. incentives</v>
      </c>
      <c r="K67" s="315" t="str">
        <f t="shared" si="7"/>
        <v>122Lexus UV incentive income</v>
      </c>
      <c r="L67" s="311">
        <f>+SUMIF('TUNZ Extracted TB'!M:M,$P67,'TUNZ Extracted TB'!G:G)</f>
        <v>0</v>
      </c>
      <c r="M67" s="311"/>
      <c r="N67" s="311">
        <f>+SUMIF('Input Sheet'!$AE:$AE,P67,'Input Sheet'!$X:$X)</f>
        <v>0</v>
      </c>
      <c r="O67" s="311"/>
      <c r="P67" t="str">
        <f t="shared" si="8"/>
        <v>122-3247</v>
      </c>
      <c r="Q67" s="315" t="str">
        <f t="shared" si="9"/>
        <v>LEX Used Vehicle</v>
      </c>
      <c r="R67" s="315" t="str">
        <f t="shared" si="10"/>
        <v>LEX Used VehicleOverall gross per UV retail incl. incentives</v>
      </c>
      <c r="S67" s="199"/>
      <c r="T67" s="199"/>
      <c r="U67" s="199"/>
    </row>
    <row r="68" spans="1:21" x14ac:dyDescent="0.25">
      <c r="A68" t="s">
        <v>996</v>
      </c>
      <c r="B68" t="s">
        <v>997</v>
      </c>
      <c r="C68" t="s">
        <v>997</v>
      </c>
      <c r="D68">
        <v>3248</v>
      </c>
      <c r="E68">
        <v>122</v>
      </c>
      <c r="F68" t="s">
        <v>1039</v>
      </c>
      <c r="G68" t="s">
        <v>1040</v>
      </c>
      <c r="H68" s="315" t="s">
        <v>1041</v>
      </c>
      <c r="I68" s="315" t="s">
        <v>1042</v>
      </c>
      <c r="J68" s="315" t="str">
        <f t="shared" si="6"/>
        <v>LEX Used VehicleOverall gross per UV retail incl. incentives</v>
      </c>
      <c r="K68" s="315" t="str">
        <f t="shared" si="7"/>
        <v>122Lexus UV incentive income</v>
      </c>
      <c r="L68" s="311">
        <f>+SUMIF('TUNZ Extracted TB'!M:M,$P68,'TUNZ Extracted TB'!G:G)</f>
        <v>0</v>
      </c>
      <c r="M68" s="311"/>
      <c r="N68" s="311">
        <f>+SUMIF('Input Sheet'!$AE:$AE,P68,'Input Sheet'!$X:$X)</f>
        <v>0</v>
      </c>
      <c r="O68" s="311"/>
      <c r="P68" t="str">
        <f t="shared" si="8"/>
        <v>122-3248</v>
      </c>
      <c r="Q68" s="315" t="str">
        <f t="shared" si="9"/>
        <v>LEX Used Vehicle</v>
      </c>
      <c r="R68" s="315" t="str">
        <f t="shared" si="10"/>
        <v>LEX Used VehicleOverall gross per UV retail incl. incentives</v>
      </c>
      <c r="S68" s="199"/>
      <c r="T68" s="199"/>
      <c r="U68" s="199"/>
    </row>
    <row r="69" spans="1:21" x14ac:dyDescent="0.25">
      <c r="A69" t="s">
        <v>996</v>
      </c>
      <c r="B69" t="s">
        <v>997</v>
      </c>
      <c r="C69" t="s">
        <v>1013</v>
      </c>
      <c r="D69">
        <v>3250</v>
      </c>
      <c r="E69">
        <v>122</v>
      </c>
      <c r="F69" t="s">
        <v>1039</v>
      </c>
      <c r="G69" t="s">
        <v>1040</v>
      </c>
      <c r="H69" s="315" t="s">
        <v>1041</v>
      </c>
      <c r="I69" s="315" t="s">
        <v>1042</v>
      </c>
      <c r="J69" s="315" t="str">
        <f t="shared" si="6"/>
        <v>LEX Used VehicleOverall gross per UV retail incl. incentives</v>
      </c>
      <c r="K69" s="315" t="str">
        <f t="shared" si="7"/>
        <v>122Lexus UV incentive income</v>
      </c>
      <c r="L69" s="311">
        <f>+SUMIF('TUNZ Extracted TB'!M:M,$P69,'TUNZ Extracted TB'!G:G)</f>
        <v>0</v>
      </c>
      <c r="M69" s="311"/>
      <c r="N69" s="311">
        <f>+SUMIF('Input Sheet'!$AE:$AE,P69,'Input Sheet'!$X:$X)</f>
        <v>0</v>
      </c>
      <c r="O69" s="311"/>
      <c r="P69" t="str">
        <f t="shared" si="8"/>
        <v>122-3250</v>
      </c>
      <c r="Q69" s="315" t="str">
        <f t="shared" si="9"/>
        <v>LEX Used Vehicle</v>
      </c>
      <c r="R69" s="315" t="str">
        <f t="shared" si="10"/>
        <v>LEX Used VehicleOverall gross per UV retail incl. incentives</v>
      </c>
      <c r="S69" s="199"/>
      <c r="T69" s="199"/>
      <c r="U69" s="199"/>
    </row>
    <row r="70" spans="1:21" x14ac:dyDescent="0.25">
      <c r="A70" t="s">
        <v>996</v>
      </c>
      <c r="B70" t="s">
        <v>997</v>
      </c>
      <c r="C70" t="s">
        <v>1012</v>
      </c>
      <c r="D70">
        <v>3150</v>
      </c>
      <c r="E70">
        <v>100</v>
      </c>
      <c r="F70" t="s">
        <v>1043</v>
      </c>
      <c r="G70" t="s">
        <v>1044</v>
      </c>
      <c r="H70" s="315" t="s">
        <v>29</v>
      </c>
      <c r="I70" s="315" t="s">
        <v>1036</v>
      </c>
      <c r="J70" s="315" t="str">
        <f t="shared" si="6"/>
        <v>New VehicleIncentive p.u.</v>
      </c>
      <c r="K70" s="315" t="str">
        <f t="shared" si="7"/>
        <v>100New Vehicle Incentive - Toyota</v>
      </c>
      <c r="L70" s="311">
        <f>+SUMIF('TUNZ Extracted TB'!M:M,$P70,'TUNZ Extracted TB'!G:G)</f>
        <v>0</v>
      </c>
      <c r="M70" s="311"/>
      <c r="N70" s="311">
        <f>+SUMIF('Input Sheet'!$AE:$AE,P70,'Input Sheet'!$X:$X)</f>
        <v>0</v>
      </c>
      <c r="O70" s="311"/>
      <c r="P70" t="str">
        <f t="shared" si="8"/>
        <v>100-3150</v>
      </c>
      <c r="Q70" s="315" t="str">
        <f t="shared" si="9"/>
        <v>New Vehicle</v>
      </c>
      <c r="R70" s="315" t="str">
        <f t="shared" si="10"/>
        <v>New VehicleIncentive p.u.</v>
      </c>
      <c r="S70" s="199"/>
      <c r="T70" s="199"/>
      <c r="U70" s="199"/>
    </row>
    <row r="71" spans="1:21" x14ac:dyDescent="0.25">
      <c r="A71" t="s">
        <v>996</v>
      </c>
      <c r="B71" t="s">
        <v>997</v>
      </c>
      <c r="C71" t="s">
        <v>1005</v>
      </c>
      <c r="D71">
        <v>3150</v>
      </c>
      <c r="E71">
        <v>110</v>
      </c>
      <c r="F71" t="s">
        <v>1043</v>
      </c>
      <c r="G71" t="s">
        <v>1044</v>
      </c>
      <c r="H71" s="315" t="s">
        <v>29</v>
      </c>
      <c r="I71" s="315" t="s">
        <v>1036</v>
      </c>
      <c r="J71" s="315" t="str">
        <f t="shared" si="6"/>
        <v>New VehicleIncentive p.u.</v>
      </c>
      <c r="K71" s="315" t="str">
        <f t="shared" si="7"/>
        <v>110New Vehicle Incentive - Toyota</v>
      </c>
      <c r="L71" s="311">
        <f>+SUMIF('TUNZ Extracted TB'!M:M,$P71,'TUNZ Extracted TB'!G:G)</f>
        <v>0</v>
      </c>
      <c r="M71" s="311"/>
      <c r="N71" s="311">
        <f>+SUMIF('Input Sheet'!$AE:$AE,P71,'Input Sheet'!$X:$X)</f>
        <v>0</v>
      </c>
      <c r="O71" s="311"/>
      <c r="P71" t="str">
        <f t="shared" si="8"/>
        <v>110-3150</v>
      </c>
      <c r="Q71" s="315" t="str">
        <f t="shared" si="9"/>
        <v>New Vehicle</v>
      </c>
      <c r="R71" s="315" t="str">
        <f t="shared" si="10"/>
        <v>New VehicleIncentive p.u.</v>
      </c>
      <c r="S71" s="199"/>
      <c r="T71" s="199"/>
      <c r="U71" s="199"/>
    </row>
    <row r="72" spans="1:21" x14ac:dyDescent="0.25">
      <c r="A72" t="s">
        <v>996</v>
      </c>
      <c r="B72" t="s">
        <v>997</v>
      </c>
      <c r="C72" t="s">
        <v>1012</v>
      </c>
      <c r="D72">
        <v>3190</v>
      </c>
      <c r="E72">
        <v>460</v>
      </c>
      <c r="F72" t="s">
        <v>1045</v>
      </c>
      <c r="G72" t="s">
        <v>1046</v>
      </c>
      <c r="H72" s="315" t="s">
        <v>16</v>
      </c>
      <c r="I72" s="315" t="s">
        <v>1047</v>
      </c>
      <c r="J72" s="315" t="str">
        <f t="shared" si="6"/>
        <v>F&amp;IPaint &amp; Fab income per vehicle retailed</v>
      </c>
      <c r="K72" s="315" t="str">
        <f t="shared" si="7"/>
        <v>460Paint &amp; Fab Sales - Toyota</v>
      </c>
      <c r="L72" s="311">
        <f>+SUMIF('TUNZ Extracted TB'!M:M,$P72,'TUNZ Extracted TB'!G:G)</f>
        <v>0</v>
      </c>
      <c r="M72" s="311"/>
      <c r="N72" s="311">
        <f>+SUMIF('Input Sheet'!$AE:$AE,P72,'Input Sheet'!$X:$X)</f>
        <v>0</v>
      </c>
      <c r="O72" s="311"/>
      <c r="P72" t="str">
        <f t="shared" si="8"/>
        <v>460-3190</v>
      </c>
      <c r="Q72" s="315" t="str">
        <f t="shared" si="9"/>
        <v>F&amp;I</v>
      </c>
      <c r="R72" s="315" t="str">
        <f t="shared" si="10"/>
        <v>F&amp;IPaint &amp; Fab income per vehicle retailed</v>
      </c>
      <c r="S72" s="199"/>
      <c r="T72" s="199"/>
      <c r="U72" s="199"/>
    </row>
    <row r="73" spans="1:21" x14ac:dyDescent="0.25">
      <c r="A73" t="s">
        <v>996</v>
      </c>
      <c r="B73" t="s">
        <v>997</v>
      </c>
      <c r="C73" t="s">
        <v>1013</v>
      </c>
      <c r="D73">
        <v>3190</v>
      </c>
      <c r="E73">
        <v>360</v>
      </c>
      <c r="F73" t="s">
        <v>1045</v>
      </c>
      <c r="G73" t="s">
        <v>1046</v>
      </c>
      <c r="H73" s="315" t="s">
        <v>16</v>
      </c>
      <c r="I73" s="315" t="s">
        <v>1047</v>
      </c>
      <c r="J73" s="315" t="str">
        <f t="shared" si="6"/>
        <v>F&amp;IPaint &amp; Fab income per vehicle retailed</v>
      </c>
      <c r="K73" s="315" t="str">
        <f t="shared" si="7"/>
        <v>360Paint &amp; Fab Sales - Toyota</v>
      </c>
      <c r="L73" s="311">
        <f>+SUMIF('TUNZ Extracted TB'!M:M,$P73,'TUNZ Extracted TB'!G:G)</f>
        <v>0</v>
      </c>
      <c r="M73" s="311"/>
      <c r="N73" s="311">
        <f>+SUMIF('Input Sheet'!$AE:$AE,P73,'Input Sheet'!$X:$X)</f>
        <v>0</v>
      </c>
      <c r="O73" s="311"/>
      <c r="P73" t="str">
        <f t="shared" si="8"/>
        <v>360-3190</v>
      </c>
      <c r="Q73" s="315" t="str">
        <f t="shared" si="9"/>
        <v>F&amp;I</v>
      </c>
      <c r="R73" s="315" t="str">
        <f t="shared" si="10"/>
        <v>F&amp;IPaint &amp; Fab income per vehicle retailed</v>
      </c>
      <c r="S73" s="199"/>
      <c r="T73" s="199"/>
      <c r="U73" s="199"/>
    </row>
    <row r="74" spans="1:21" x14ac:dyDescent="0.25">
      <c r="A74" t="s">
        <v>996</v>
      </c>
      <c r="B74" t="s">
        <v>997</v>
      </c>
      <c r="C74" t="s">
        <v>1005</v>
      </c>
      <c r="D74">
        <v>3190</v>
      </c>
      <c r="E74">
        <v>260</v>
      </c>
      <c r="F74" t="s">
        <v>1045</v>
      </c>
      <c r="G74" t="s">
        <v>1046</v>
      </c>
      <c r="H74" s="315" t="s">
        <v>16</v>
      </c>
      <c r="I74" s="315" t="s">
        <v>1047</v>
      </c>
      <c r="J74" s="315" t="str">
        <f t="shared" si="6"/>
        <v>F&amp;IPaint &amp; Fab income per vehicle retailed</v>
      </c>
      <c r="K74" s="315" t="str">
        <f t="shared" si="7"/>
        <v>260Paint &amp; Fab Sales - Toyota</v>
      </c>
      <c r="L74" s="311">
        <f>+SUMIF('TUNZ Extracted TB'!M:M,$P74,'TUNZ Extracted TB'!G:G)</f>
        <v>-6386.31</v>
      </c>
      <c r="M74" s="311"/>
      <c r="N74" s="311">
        <f>+SUMIF('Input Sheet'!$AE:$AE,P74,'Input Sheet'!$X:$X)</f>
        <v>0</v>
      </c>
      <c r="O74" s="311"/>
      <c r="P74" t="str">
        <f t="shared" si="8"/>
        <v>260-3190</v>
      </c>
      <c r="Q74" s="315" t="str">
        <f t="shared" si="9"/>
        <v>F&amp;I</v>
      </c>
      <c r="R74" s="315" t="str">
        <f t="shared" si="10"/>
        <v>F&amp;IPaint &amp; Fab income per vehicle retailed</v>
      </c>
      <c r="S74" s="199"/>
      <c r="T74" s="199"/>
      <c r="U74" s="199"/>
    </row>
    <row r="75" spans="1:21" x14ac:dyDescent="0.25">
      <c r="A75" t="s">
        <v>996</v>
      </c>
      <c r="B75" t="s">
        <v>997</v>
      </c>
      <c r="C75" t="s">
        <v>997</v>
      </c>
      <c r="D75">
        <v>3190</v>
      </c>
      <c r="E75">
        <v>162</v>
      </c>
      <c r="F75" t="s">
        <v>1048</v>
      </c>
      <c r="G75" t="s">
        <v>1049</v>
      </c>
      <c r="H75" s="315" t="s">
        <v>142</v>
      </c>
      <c r="I75" s="315" t="s">
        <v>1047</v>
      </c>
      <c r="J75" s="315" t="str">
        <f t="shared" si="6"/>
        <v>LEX F&amp;IPaint &amp; Fab income per vehicle retailed</v>
      </c>
      <c r="K75" s="315" t="str">
        <f t="shared" si="7"/>
        <v>162Paint &amp; Fab Sales - Lexus</v>
      </c>
      <c r="L75" s="311">
        <f>+SUMIF('TUNZ Extracted TB'!M:M,$P75,'TUNZ Extracted TB'!G:G)</f>
        <v>-4621.76</v>
      </c>
      <c r="M75" s="311"/>
      <c r="N75" s="311">
        <f>+SUMIF('Input Sheet'!$AE:$AE,P75,'Input Sheet'!$X:$X)</f>
        <v>0</v>
      </c>
      <c r="O75" s="311"/>
      <c r="P75" t="str">
        <f t="shared" si="8"/>
        <v>162-3190</v>
      </c>
      <c r="Q75" s="315" t="str">
        <f t="shared" si="9"/>
        <v>LEX F&amp;I</v>
      </c>
      <c r="R75" s="315" t="str">
        <f t="shared" si="10"/>
        <v>LEX F&amp;IPaint &amp; Fab income per vehicle retailed</v>
      </c>
      <c r="S75" s="199"/>
      <c r="T75" s="199"/>
      <c r="U75" s="199"/>
    </row>
    <row r="76" spans="1:21" x14ac:dyDescent="0.25">
      <c r="A76" t="s">
        <v>996</v>
      </c>
      <c r="B76" t="s">
        <v>997</v>
      </c>
      <c r="C76" t="s">
        <v>997</v>
      </c>
      <c r="D76">
        <v>3190</v>
      </c>
      <c r="E76">
        <v>160</v>
      </c>
      <c r="F76" t="s">
        <v>1045</v>
      </c>
      <c r="G76" t="s">
        <v>1046</v>
      </c>
      <c r="H76" s="315" t="s">
        <v>16</v>
      </c>
      <c r="I76" s="315" t="s">
        <v>1047</v>
      </c>
      <c r="J76" s="315" t="str">
        <f t="shared" si="6"/>
        <v>F&amp;IPaint &amp; Fab income per vehicle retailed</v>
      </c>
      <c r="K76" s="315" t="str">
        <f t="shared" si="7"/>
        <v>160Paint &amp; Fab Sales - Toyota</v>
      </c>
      <c r="L76" s="311">
        <f>+SUMIF('TUNZ Extracted TB'!M:M,$P76,'TUNZ Extracted TB'!G:G)</f>
        <v>-18423.86</v>
      </c>
      <c r="M76" s="311"/>
      <c r="N76" s="311">
        <f>+SUMIF('Input Sheet'!$AE:$AE,P76,'Input Sheet'!$X:$X)</f>
        <v>0</v>
      </c>
      <c r="O76" s="311"/>
      <c r="P76" t="str">
        <f t="shared" si="8"/>
        <v>160-3190</v>
      </c>
      <c r="Q76" s="315" t="str">
        <f t="shared" si="9"/>
        <v>F&amp;I</v>
      </c>
      <c r="R76" s="315" t="str">
        <f t="shared" si="10"/>
        <v>F&amp;IPaint &amp; Fab income per vehicle retailed</v>
      </c>
      <c r="S76" s="199"/>
      <c r="T76" s="199"/>
      <c r="U76" s="199"/>
    </row>
    <row r="77" spans="1:21" x14ac:dyDescent="0.25">
      <c r="A77" t="s">
        <v>996</v>
      </c>
      <c r="B77" t="s">
        <v>997</v>
      </c>
      <c r="C77" t="s">
        <v>1012</v>
      </c>
      <c r="D77">
        <v>3195</v>
      </c>
      <c r="E77">
        <v>460</v>
      </c>
      <c r="F77" t="s">
        <v>1045</v>
      </c>
      <c r="G77" t="s">
        <v>1046</v>
      </c>
      <c r="H77" s="315" t="s">
        <v>16</v>
      </c>
      <c r="I77" s="315" t="s">
        <v>1047</v>
      </c>
      <c r="J77" s="315" t="str">
        <f t="shared" si="6"/>
        <v>F&amp;IPaint &amp; Fab income per vehicle retailed</v>
      </c>
      <c r="K77" s="315" t="str">
        <f t="shared" si="7"/>
        <v>460Paint &amp; Fab Sales - Toyota</v>
      </c>
      <c r="L77" s="311">
        <f>+SUMIF('TUNZ Extracted TB'!M:M,$P77,'TUNZ Extracted TB'!G:G)</f>
        <v>0</v>
      </c>
      <c r="M77" s="311"/>
      <c r="N77" s="311">
        <f>+SUMIF('Input Sheet'!$AE:$AE,P77,'Input Sheet'!$X:$X)</f>
        <v>0</v>
      </c>
      <c r="O77" s="311"/>
      <c r="P77" t="str">
        <f t="shared" si="8"/>
        <v>460-3195</v>
      </c>
      <c r="Q77" s="315" t="str">
        <f t="shared" si="9"/>
        <v>F&amp;I</v>
      </c>
      <c r="R77" s="315" t="str">
        <f t="shared" si="10"/>
        <v>F&amp;IPaint &amp; Fab income per vehicle retailed</v>
      </c>
      <c r="S77" s="199"/>
      <c r="T77" s="199"/>
      <c r="U77" s="199"/>
    </row>
    <row r="78" spans="1:21" x14ac:dyDescent="0.25">
      <c r="A78" t="s">
        <v>996</v>
      </c>
      <c r="B78" t="s">
        <v>997</v>
      </c>
      <c r="C78" t="s">
        <v>1013</v>
      </c>
      <c r="D78">
        <v>3195</v>
      </c>
      <c r="E78">
        <v>360</v>
      </c>
      <c r="F78" t="s">
        <v>1045</v>
      </c>
      <c r="G78" t="s">
        <v>1046</v>
      </c>
      <c r="H78" s="315" t="s">
        <v>16</v>
      </c>
      <c r="I78" s="315" t="s">
        <v>1047</v>
      </c>
      <c r="J78" s="315" t="str">
        <f t="shared" si="6"/>
        <v>F&amp;IPaint &amp; Fab income per vehicle retailed</v>
      </c>
      <c r="K78" s="315" t="str">
        <f t="shared" si="7"/>
        <v>360Paint &amp; Fab Sales - Toyota</v>
      </c>
      <c r="L78" s="311">
        <f>+SUMIF('TUNZ Extracted TB'!M:M,$P78,'TUNZ Extracted TB'!G:G)</f>
        <v>0</v>
      </c>
      <c r="M78" s="311"/>
      <c r="N78" s="311">
        <f>+SUMIF('Input Sheet'!$AE:$AE,P78,'Input Sheet'!$X:$X)</f>
        <v>0</v>
      </c>
      <c r="O78" s="311"/>
      <c r="P78" t="str">
        <f t="shared" si="8"/>
        <v>360-3195</v>
      </c>
      <c r="Q78" s="315" t="str">
        <f t="shared" si="9"/>
        <v>F&amp;I</v>
      </c>
      <c r="R78" s="315" t="str">
        <f t="shared" si="10"/>
        <v>F&amp;IPaint &amp; Fab income per vehicle retailed</v>
      </c>
      <c r="S78" s="199"/>
      <c r="T78" s="199"/>
      <c r="U78" s="199"/>
    </row>
    <row r="79" spans="1:21" x14ac:dyDescent="0.25">
      <c r="A79" t="s">
        <v>996</v>
      </c>
      <c r="B79" t="s">
        <v>997</v>
      </c>
      <c r="C79" t="s">
        <v>1005</v>
      </c>
      <c r="D79">
        <v>3195</v>
      </c>
      <c r="E79">
        <v>260</v>
      </c>
      <c r="F79" t="s">
        <v>1045</v>
      </c>
      <c r="G79" t="s">
        <v>1046</v>
      </c>
      <c r="H79" s="315" t="s">
        <v>16</v>
      </c>
      <c r="I79" s="315" t="s">
        <v>1047</v>
      </c>
      <c r="J79" s="315" t="str">
        <f t="shared" si="6"/>
        <v>F&amp;IPaint &amp; Fab income per vehicle retailed</v>
      </c>
      <c r="K79" s="315" t="str">
        <f t="shared" si="7"/>
        <v>260Paint &amp; Fab Sales - Toyota</v>
      </c>
      <c r="L79" s="311">
        <f>+SUMIF('TUNZ Extracted TB'!M:M,$P79,'TUNZ Extracted TB'!G:G)</f>
        <v>0</v>
      </c>
      <c r="M79" s="311"/>
      <c r="N79" s="311">
        <f>+SUMIF('Input Sheet'!$AE:$AE,P79,'Input Sheet'!$X:$X)</f>
        <v>0</v>
      </c>
      <c r="O79" s="311"/>
      <c r="P79" t="str">
        <f t="shared" si="8"/>
        <v>260-3195</v>
      </c>
      <c r="Q79" s="315" t="str">
        <f t="shared" si="9"/>
        <v>F&amp;I</v>
      </c>
      <c r="R79" s="315" t="str">
        <f t="shared" si="10"/>
        <v>F&amp;IPaint &amp; Fab income per vehicle retailed</v>
      </c>
      <c r="S79" s="199"/>
      <c r="T79" s="199"/>
      <c r="U79" s="199"/>
    </row>
    <row r="80" spans="1:21" x14ac:dyDescent="0.25">
      <c r="A80" t="s">
        <v>996</v>
      </c>
      <c r="B80" t="s">
        <v>997</v>
      </c>
      <c r="C80" t="s">
        <v>997</v>
      </c>
      <c r="D80">
        <v>3195</v>
      </c>
      <c r="E80">
        <v>160</v>
      </c>
      <c r="F80" t="s">
        <v>1045</v>
      </c>
      <c r="G80" t="s">
        <v>1046</v>
      </c>
      <c r="H80" s="315" t="s">
        <v>16</v>
      </c>
      <c r="I80" s="315" t="s">
        <v>1047</v>
      </c>
      <c r="J80" s="315" t="str">
        <f t="shared" si="6"/>
        <v>F&amp;IPaint &amp; Fab income per vehicle retailed</v>
      </c>
      <c r="K80" s="315" t="str">
        <f t="shared" si="7"/>
        <v>160Paint &amp; Fab Sales - Toyota</v>
      </c>
      <c r="L80" s="311">
        <f>+SUMIF('TUNZ Extracted TB'!M:M,$P80,'TUNZ Extracted TB'!G:G)</f>
        <v>0</v>
      </c>
      <c r="M80" s="311"/>
      <c r="N80" s="311">
        <f>+SUMIF('Input Sheet'!$AE:$AE,P80,'Input Sheet'!$X:$X)</f>
        <v>0</v>
      </c>
      <c r="O80" s="311"/>
      <c r="P80" t="str">
        <f t="shared" si="8"/>
        <v>160-3195</v>
      </c>
      <c r="Q80" s="315" t="str">
        <f t="shared" si="9"/>
        <v>F&amp;I</v>
      </c>
      <c r="R80" s="315" t="str">
        <f t="shared" si="10"/>
        <v>F&amp;IPaint &amp; Fab income per vehicle retailed</v>
      </c>
      <c r="S80" s="199"/>
      <c r="T80" s="199"/>
      <c r="U80" s="199"/>
    </row>
    <row r="81" spans="1:21" x14ac:dyDescent="0.25">
      <c r="A81" t="s">
        <v>996</v>
      </c>
      <c r="B81" t="s">
        <v>997</v>
      </c>
      <c r="C81" t="s">
        <v>997</v>
      </c>
      <c r="D81">
        <v>3195</v>
      </c>
      <c r="E81">
        <v>162</v>
      </c>
      <c r="F81" t="s">
        <v>1048</v>
      </c>
      <c r="G81" t="s">
        <v>1049</v>
      </c>
      <c r="H81" s="315" t="s">
        <v>142</v>
      </c>
      <c r="I81" s="315" t="s">
        <v>1047</v>
      </c>
      <c r="J81" s="315" t="str">
        <f t="shared" si="6"/>
        <v>LEX F&amp;IPaint &amp; Fab income per vehicle retailed</v>
      </c>
      <c r="K81" s="315" t="str">
        <f t="shared" si="7"/>
        <v>162Paint &amp; Fab Sales - Lexus</v>
      </c>
      <c r="L81" s="311">
        <f>+SUMIF('TUNZ Extracted TB'!M:M,$P81,'TUNZ Extracted TB'!G:G)</f>
        <v>0</v>
      </c>
      <c r="M81" s="311"/>
      <c r="N81" s="311">
        <f>+SUMIF('Input Sheet'!$AE:$AE,P81,'Input Sheet'!$X:$X)</f>
        <v>0</v>
      </c>
      <c r="O81" s="311"/>
      <c r="P81" t="str">
        <f t="shared" si="8"/>
        <v>162-3195</v>
      </c>
      <c r="Q81" s="315" t="str">
        <f t="shared" si="9"/>
        <v>LEX F&amp;I</v>
      </c>
      <c r="R81" s="315" t="str">
        <f t="shared" si="10"/>
        <v>LEX F&amp;IPaint &amp; Fab income per vehicle retailed</v>
      </c>
      <c r="S81" s="199"/>
      <c r="T81" s="199"/>
      <c r="U81" s="199"/>
    </row>
    <row r="82" spans="1:21" x14ac:dyDescent="0.25">
      <c r="A82" t="s">
        <v>996</v>
      </c>
      <c r="B82" t="s">
        <v>997</v>
      </c>
      <c r="C82" t="s">
        <v>997</v>
      </c>
      <c r="D82">
        <v>3205</v>
      </c>
      <c r="E82">
        <v>122</v>
      </c>
      <c r="F82" t="s">
        <v>1050</v>
      </c>
      <c r="G82" t="s">
        <v>1051</v>
      </c>
      <c r="H82" s="315" t="s">
        <v>1041</v>
      </c>
      <c r="I82" s="315" t="s">
        <v>1052</v>
      </c>
      <c r="J82" s="315" t="str">
        <f t="shared" si="6"/>
        <v>LEX Used VehicleOverall UV retail gross profit p.u.</v>
      </c>
      <c r="K82" s="315" t="str">
        <f t="shared" si="7"/>
        <v>122Lexus UV Retail revenue</v>
      </c>
      <c r="L82" s="311">
        <f>+SUMIF('TUNZ Extracted TB'!M:M,$P82,'TUNZ Extracted TB'!G:G)</f>
        <v>0</v>
      </c>
      <c r="M82" s="311"/>
      <c r="N82" s="311">
        <f>+SUMIF('Input Sheet'!$AE:$AE,P82,'Input Sheet'!$X:$X)</f>
        <v>0</v>
      </c>
      <c r="O82" s="311"/>
      <c r="P82" t="str">
        <f t="shared" si="8"/>
        <v>122-3205</v>
      </c>
      <c r="Q82" s="315" t="str">
        <f t="shared" si="9"/>
        <v>LEX Used Vehicle</v>
      </c>
      <c r="R82" s="315" t="str">
        <f t="shared" si="10"/>
        <v>LEX Used VehicleOverall UV retail gross profit p.u.</v>
      </c>
      <c r="S82" s="199"/>
      <c r="T82" s="199"/>
      <c r="U82" s="199"/>
    </row>
    <row r="83" spans="1:21" x14ac:dyDescent="0.25">
      <c r="A83" t="s">
        <v>996</v>
      </c>
      <c r="B83" t="s">
        <v>997</v>
      </c>
      <c r="C83" t="s">
        <v>1005</v>
      </c>
      <c r="D83">
        <v>3205</v>
      </c>
      <c r="E83">
        <v>221</v>
      </c>
      <c r="F83" t="s">
        <v>1053</v>
      </c>
      <c r="G83" t="s">
        <v>1054</v>
      </c>
      <c r="H83" s="315" t="s">
        <v>30</v>
      </c>
      <c r="I83" s="315" t="s">
        <v>1055</v>
      </c>
      <c r="J83" s="315" t="str">
        <f t="shared" si="6"/>
        <v>Used VehicleSIG Class retail gross profit p.u.</v>
      </c>
      <c r="K83" s="315" t="str">
        <f t="shared" si="7"/>
        <v>221Toyota SIG Class UV revenue</v>
      </c>
      <c r="L83" s="311">
        <f>+SUMIF('TUNZ Extracted TB'!M:M,$P83,'TUNZ Extracted TB'!G:G)</f>
        <v>0</v>
      </c>
      <c r="M83" s="311"/>
      <c r="N83" s="311">
        <f>+SUMIF('Input Sheet'!$AE:$AE,P83,'Input Sheet'!$X:$X)</f>
        <v>0</v>
      </c>
      <c r="O83" s="311"/>
      <c r="P83" t="str">
        <f t="shared" si="8"/>
        <v>221-3205</v>
      </c>
      <c r="Q83" s="315" t="str">
        <f t="shared" si="9"/>
        <v>Used Vehicle</v>
      </c>
      <c r="R83" s="315" t="str">
        <f t="shared" si="10"/>
        <v>Used VehicleSIG Class retail gross profit p.u.</v>
      </c>
      <c r="S83" s="199"/>
      <c r="T83" s="199"/>
      <c r="U83" s="199"/>
    </row>
    <row r="84" spans="1:21" x14ac:dyDescent="0.25">
      <c r="A84" t="s">
        <v>996</v>
      </c>
      <c r="B84" t="s">
        <v>997</v>
      </c>
      <c r="C84" t="s">
        <v>1012</v>
      </c>
      <c r="D84">
        <v>3205</v>
      </c>
      <c r="E84">
        <v>420</v>
      </c>
      <c r="F84" t="s">
        <v>1053</v>
      </c>
      <c r="G84" t="s">
        <v>1054</v>
      </c>
      <c r="H84" s="315" t="s">
        <v>30</v>
      </c>
      <c r="I84" s="315" t="s">
        <v>1055</v>
      </c>
      <c r="J84" s="315" t="str">
        <f t="shared" si="6"/>
        <v>Used VehicleSIG Class retail gross profit p.u.</v>
      </c>
      <c r="K84" s="315" t="str">
        <f t="shared" si="7"/>
        <v>420Toyota SIG Class UV revenue</v>
      </c>
      <c r="L84" s="311">
        <f>+SUMIF('TUNZ Extracted TB'!M:M,$P84,'TUNZ Extracted TB'!G:G)</f>
        <v>0</v>
      </c>
      <c r="M84" s="311"/>
      <c r="N84" s="311">
        <f>+SUMIF('Input Sheet'!$AE:$AE,P84,'Input Sheet'!$X:$X)</f>
        <v>0</v>
      </c>
      <c r="O84" s="311"/>
      <c r="P84" t="str">
        <f t="shared" si="8"/>
        <v>420-3205</v>
      </c>
      <c r="Q84" s="315" t="str">
        <f t="shared" si="9"/>
        <v>Used Vehicle</v>
      </c>
      <c r="R84" s="315" t="str">
        <f t="shared" si="10"/>
        <v>Used VehicleSIG Class retail gross profit p.u.</v>
      </c>
      <c r="S84" s="199"/>
      <c r="T84" s="199"/>
      <c r="U84" s="199"/>
    </row>
    <row r="85" spans="1:21" x14ac:dyDescent="0.25">
      <c r="A85" t="s">
        <v>996</v>
      </c>
      <c r="B85" t="s">
        <v>997</v>
      </c>
      <c r="C85" t="s">
        <v>1012</v>
      </c>
      <c r="D85">
        <v>3205</v>
      </c>
      <c r="E85">
        <v>421</v>
      </c>
      <c r="F85" t="s">
        <v>1053</v>
      </c>
      <c r="G85" t="s">
        <v>1054</v>
      </c>
      <c r="H85" s="315" t="s">
        <v>30</v>
      </c>
      <c r="I85" s="315" t="s">
        <v>1055</v>
      </c>
      <c r="J85" s="315" t="str">
        <f t="shared" si="6"/>
        <v>Used VehicleSIG Class retail gross profit p.u.</v>
      </c>
      <c r="K85" s="315" t="str">
        <f t="shared" si="7"/>
        <v>421Toyota SIG Class UV revenue</v>
      </c>
      <c r="L85" s="311">
        <f>+SUMIF('TUNZ Extracted TB'!M:M,$P85,'TUNZ Extracted TB'!G:G)</f>
        <v>0</v>
      </c>
      <c r="M85" s="311"/>
      <c r="N85" s="311">
        <f>+SUMIF('Input Sheet'!$AE:$AE,P85,'Input Sheet'!$X:$X)</f>
        <v>0</v>
      </c>
      <c r="O85" s="311"/>
      <c r="P85" t="str">
        <f t="shared" si="8"/>
        <v>421-3205</v>
      </c>
      <c r="Q85" s="315" t="str">
        <f t="shared" si="9"/>
        <v>Used Vehicle</v>
      </c>
      <c r="R85" s="315" t="str">
        <f t="shared" si="10"/>
        <v>Used VehicleSIG Class retail gross profit p.u.</v>
      </c>
      <c r="S85" s="199"/>
      <c r="T85" s="199"/>
      <c r="U85" s="199"/>
    </row>
    <row r="86" spans="1:21" x14ac:dyDescent="0.25">
      <c r="A86" t="s">
        <v>996</v>
      </c>
      <c r="B86" t="s">
        <v>997</v>
      </c>
      <c r="C86" t="s">
        <v>1013</v>
      </c>
      <c r="D86">
        <v>3205</v>
      </c>
      <c r="E86">
        <v>320</v>
      </c>
      <c r="F86" t="s">
        <v>1053</v>
      </c>
      <c r="G86" t="s">
        <v>1054</v>
      </c>
      <c r="H86" s="315" t="s">
        <v>30</v>
      </c>
      <c r="I86" s="315" t="s">
        <v>1055</v>
      </c>
      <c r="J86" s="315" t="str">
        <f t="shared" si="6"/>
        <v>Used VehicleSIG Class retail gross profit p.u.</v>
      </c>
      <c r="K86" s="315" t="str">
        <f t="shared" si="7"/>
        <v>320Toyota SIG Class UV revenue</v>
      </c>
      <c r="L86" s="311">
        <f>+SUMIF('TUNZ Extracted TB'!M:M,$P86,'TUNZ Extracted TB'!G:G)</f>
        <v>0</v>
      </c>
      <c r="M86" s="311"/>
      <c r="N86" s="311">
        <f>+SUMIF('Input Sheet'!$AE:$AE,P86,'Input Sheet'!$X:$X)</f>
        <v>0</v>
      </c>
      <c r="O86" s="311"/>
      <c r="P86" t="str">
        <f t="shared" si="8"/>
        <v>320-3205</v>
      </c>
      <c r="Q86" s="315" t="str">
        <f t="shared" si="9"/>
        <v>Used Vehicle</v>
      </c>
      <c r="R86" s="315" t="str">
        <f t="shared" si="10"/>
        <v>Used VehicleSIG Class retail gross profit p.u.</v>
      </c>
      <c r="S86" s="199"/>
      <c r="T86" s="199"/>
      <c r="U86" s="199"/>
    </row>
    <row r="87" spans="1:21" x14ac:dyDescent="0.25">
      <c r="A87" t="s">
        <v>996</v>
      </c>
      <c r="B87" t="s">
        <v>997</v>
      </c>
      <c r="C87" t="s">
        <v>1013</v>
      </c>
      <c r="D87">
        <v>3205</v>
      </c>
      <c r="E87">
        <v>321</v>
      </c>
      <c r="F87" t="s">
        <v>1053</v>
      </c>
      <c r="G87" t="s">
        <v>1054</v>
      </c>
      <c r="H87" s="315" t="s">
        <v>30</v>
      </c>
      <c r="I87" s="315" t="s">
        <v>1055</v>
      </c>
      <c r="J87" s="315" t="str">
        <f t="shared" si="6"/>
        <v>Used VehicleSIG Class retail gross profit p.u.</v>
      </c>
      <c r="K87" s="315" t="str">
        <f t="shared" si="7"/>
        <v>321Toyota SIG Class UV revenue</v>
      </c>
      <c r="L87" s="311">
        <f>+SUMIF('TUNZ Extracted TB'!M:M,$P87,'TUNZ Extracted TB'!G:G)</f>
        <v>0</v>
      </c>
      <c r="M87" s="311"/>
      <c r="N87" s="311">
        <f>+SUMIF('Input Sheet'!$AE:$AE,P87,'Input Sheet'!$X:$X)</f>
        <v>0</v>
      </c>
      <c r="O87" s="311"/>
      <c r="P87" t="str">
        <f t="shared" si="8"/>
        <v>321-3205</v>
      </c>
      <c r="Q87" s="315" t="str">
        <f t="shared" si="9"/>
        <v>Used Vehicle</v>
      </c>
      <c r="R87" s="315" t="str">
        <f t="shared" si="10"/>
        <v>Used VehicleSIG Class retail gross profit p.u.</v>
      </c>
      <c r="S87" s="199"/>
      <c r="T87" s="199"/>
      <c r="U87" s="199"/>
    </row>
    <row r="88" spans="1:21" x14ac:dyDescent="0.25">
      <c r="A88" t="s">
        <v>996</v>
      </c>
      <c r="B88" t="s">
        <v>997</v>
      </c>
      <c r="C88" t="s">
        <v>997</v>
      </c>
      <c r="D88">
        <v>3205</v>
      </c>
      <c r="E88">
        <v>120</v>
      </c>
      <c r="F88" t="s">
        <v>1053</v>
      </c>
      <c r="G88" t="s">
        <v>1054</v>
      </c>
      <c r="H88" s="315" t="s">
        <v>30</v>
      </c>
      <c r="I88" s="315" t="s">
        <v>1055</v>
      </c>
      <c r="J88" s="315" t="str">
        <f t="shared" ref="J88:J119" si="11">+H88&amp;I88</f>
        <v>Used VehicleSIG Class retail gross profit p.u.</v>
      </c>
      <c r="K88" s="315" t="str">
        <f t="shared" ref="K88:K119" si="12">+E88&amp;G88</f>
        <v>120Toyota SIG Class UV revenue</v>
      </c>
      <c r="L88" s="311">
        <f>+SUMIF('TUNZ Extracted TB'!M:M,$P88,'TUNZ Extracted TB'!G:G)</f>
        <v>0</v>
      </c>
      <c r="M88" s="311"/>
      <c r="N88" s="311">
        <f>+SUMIF('Input Sheet'!$AE:$AE,P88,'Input Sheet'!$X:$X)</f>
        <v>-522000</v>
      </c>
      <c r="O88" s="311"/>
      <c r="P88" t="str">
        <f t="shared" ref="P88:P119" si="13">+E88&amp;"-"&amp;D88</f>
        <v>120-3205</v>
      </c>
      <c r="Q88" s="315" t="str">
        <f t="shared" ref="Q88:Q119" si="14">H88</f>
        <v>Used Vehicle</v>
      </c>
      <c r="R88" s="315" t="str">
        <f t="shared" ref="R88:R119" si="15">J88</f>
        <v>Used VehicleSIG Class retail gross profit p.u.</v>
      </c>
      <c r="S88" s="199"/>
      <c r="T88" s="199"/>
      <c r="U88" s="199"/>
    </row>
    <row r="89" spans="1:21" x14ac:dyDescent="0.25">
      <c r="A89" t="s">
        <v>996</v>
      </c>
      <c r="B89" t="s">
        <v>997</v>
      </c>
      <c r="C89" t="s">
        <v>1005</v>
      </c>
      <c r="D89">
        <v>3205</v>
      </c>
      <c r="E89">
        <v>220</v>
      </c>
      <c r="F89" t="s">
        <v>1053</v>
      </c>
      <c r="G89" t="s">
        <v>1054</v>
      </c>
      <c r="H89" s="315" t="s">
        <v>30</v>
      </c>
      <c r="I89" s="315" t="s">
        <v>1055</v>
      </c>
      <c r="J89" s="315" t="str">
        <f t="shared" si="11"/>
        <v>Used VehicleSIG Class retail gross profit p.u.</v>
      </c>
      <c r="K89" s="315" t="str">
        <f t="shared" si="12"/>
        <v>220Toyota SIG Class UV revenue</v>
      </c>
      <c r="L89" s="311">
        <f>+SUMIF('TUNZ Extracted TB'!M:M,$P89,'TUNZ Extracted TB'!G:G)</f>
        <v>-76343.48</v>
      </c>
      <c r="M89" s="311"/>
      <c r="N89" s="311">
        <f>+SUMIF('Input Sheet'!$AE:$AE,P89,'Input Sheet'!$X:$X)</f>
        <v>-360000</v>
      </c>
      <c r="O89" s="311"/>
      <c r="P89" t="str">
        <f t="shared" si="13"/>
        <v>220-3205</v>
      </c>
      <c r="Q89" s="315" t="str">
        <f t="shared" si="14"/>
        <v>Used Vehicle</v>
      </c>
      <c r="R89" s="315" t="str">
        <f t="shared" si="15"/>
        <v>Used VehicleSIG Class retail gross profit p.u.</v>
      </c>
      <c r="S89" s="199"/>
      <c r="T89" s="199"/>
      <c r="U89" s="199"/>
    </row>
    <row r="90" spans="1:21" x14ac:dyDescent="0.25">
      <c r="A90" t="s">
        <v>996</v>
      </c>
      <c r="B90" t="s">
        <v>997</v>
      </c>
      <c r="C90" t="s">
        <v>997</v>
      </c>
      <c r="D90">
        <v>3205</v>
      </c>
      <c r="E90">
        <v>121</v>
      </c>
      <c r="F90" t="s">
        <v>1053</v>
      </c>
      <c r="G90" t="s">
        <v>1054</v>
      </c>
      <c r="H90" s="315" t="s">
        <v>30</v>
      </c>
      <c r="I90" s="315" t="s">
        <v>1055</v>
      </c>
      <c r="J90" s="315" t="str">
        <f t="shared" si="11"/>
        <v>Used VehicleSIG Class retail gross profit p.u.</v>
      </c>
      <c r="K90" s="315" t="str">
        <f t="shared" si="12"/>
        <v>121Toyota SIG Class UV revenue</v>
      </c>
      <c r="L90" s="311">
        <f>+SUMIF('TUNZ Extracted TB'!M:M,$P90,'TUNZ Extracted TB'!G:G)</f>
        <v>-419273.92</v>
      </c>
      <c r="M90" s="311"/>
      <c r="N90" s="311">
        <f>+SUMIF('Input Sheet'!$AE:$AE,P90,'Input Sheet'!$X:$X)</f>
        <v>0</v>
      </c>
      <c r="O90" s="311"/>
      <c r="P90" t="str">
        <f t="shared" si="13"/>
        <v>121-3205</v>
      </c>
      <c r="Q90" s="315" t="str">
        <f t="shared" si="14"/>
        <v>Used Vehicle</v>
      </c>
      <c r="R90" s="315" t="str">
        <f t="shared" si="15"/>
        <v>Used VehicleSIG Class retail gross profit p.u.</v>
      </c>
    </row>
    <row r="91" spans="1:21" x14ac:dyDescent="0.25">
      <c r="A91" t="s">
        <v>996</v>
      </c>
      <c r="B91" t="s">
        <v>997</v>
      </c>
      <c r="C91" t="s">
        <v>997</v>
      </c>
      <c r="D91">
        <v>3206</v>
      </c>
      <c r="E91">
        <v>122</v>
      </c>
      <c r="F91" t="s">
        <v>1050</v>
      </c>
      <c r="G91" t="s">
        <v>1051</v>
      </c>
      <c r="H91" s="315" t="s">
        <v>1041</v>
      </c>
      <c r="I91" s="315" t="s">
        <v>1052</v>
      </c>
      <c r="J91" s="315" t="str">
        <f t="shared" si="11"/>
        <v>LEX Used VehicleOverall UV retail gross profit p.u.</v>
      </c>
      <c r="K91" s="315" t="str">
        <f t="shared" si="12"/>
        <v>122Lexus UV Retail revenue</v>
      </c>
      <c r="L91" s="311">
        <f>+SUMIF('TUNZ Extracted TB'!M:M,$P91,'TUNZ Extracted TB'!G:G)</f>
        <v>0</v>
      </c>
      <c r="M91" s="311"/>
      <c r="N91" s="311">
        <f>+SUMIF('Input Sheet'!$AE:$AE,P91,'Input Sheet'!$X:$X)</f>
        <v>0</v>
      </c>
      <c r="O91" s="311"/>
      <c r="P91" t="str">
        <f t="shared" si="13"/>
        <v>122-3206</v>
      </c>
      <c r="Q91" s="315" t="str">
        <f t="shared" si="14"/>
        <v>LEX Used Vehicle</v>
      </c>
      <c r="R91" s="315" t="str">
        <f t="shared" si="15"/>
        <v>LEX Used VehicleOverall UV retail gross profit p.u.</v>
      </c>
      <c r="S91" s="199"/>
      <c r="T91" s="199"/>
      <c r="U91" s="199"/>
    </row>
    <row r="92" spans="1:21" x14ac:dyDescent="0.25">
      <c r="A92" t="s">
        <v>996</v>
      </c>
      <c r="B92" t="s">
        <v>997</v>
      </c>
      <c r="C92" t="s">
        <v>1005</v>
      </c>
      <c r="D92">
        <v>3206</v>
      </c>
      <c r="E92">
        <v>221</v>
      </c>
      <c r="F92" t="s">
        <v>1056</v>
      </c>
      <c r="G92" t="s">
        <v>1057</v>
      </c>
      <c r="H92" s="315" t="s">
        <v>30</v>
      </c>
      <c r="I92" s="315" t="s">
        <v>1058</v>
      </c>
      <c r="J92" s="315" t="str">
        <f t="shared" si="11"/>
        <v>Used VehicleOT retail gross profit p.u.</v>
      </c>
      <c r="K92" s="315" t="str">
        <f t="shared" si="12"/>
        <v>221Toyota OT UV revenue</v>
      </c>
      <c r="L92" s="311">
        <f>+SUMIF('TUNZ Extracted TB'!M:M,$P92,'TUNZ Extracted TB'!G:G)</f>
        <v>0</v>
      </c>
      <c r="M92" s="311"/>
      <c r="N92" s="311">
        <f>+SUMIF('Input Sheet'!$AE:$AE,P92,'Input Sheet'!$X:$X)</f>
        <v>0</v>
      </c>
      <c r="O92" s="311"/>
      <c r="P92" t="str">
        <f t="shared" si="13"/>
        <v>221-3206</v>
      </c>
      <c r="Q92" s="315" t="str">
        <f t="shared" si="14"/>
        <v>Used Vehicle</v>
      </c>
      <c r="R92" s="315" t="str">
        <f t="shared" si="15"/>
        <v>Used VehicleOT retail gross profit p.u.</v>
      </c>
      <c r="S92" s="199"/>
      <c r="T92" s="199"/>
      <c r="U92" s="199"/>
    </row>
    <row r="93" spans="1:21" x14ac:dyDescent="0.25">
      <c r="A93" t="s">
        <v>996</v>
      </c>
      <c r="B93" t="s">
        <v>997</v>
      </c>
      <c r="C93" t="s">
        <v>1012</v>
      </c>
      <c r="D93">
        <v>3206</v>
      </c>
      <c r="E93">
        <v>420</v>
      </c>
      <c r="F93" t="s">
        <v>1056</v>
      </c>
      <c r="G93" t="s">
        <v>1057</v>
      </c>
      <c r="H93" s="315" t="s">
        <v>30</v>
      </c>
      <c r="I93" s="315" t="s">
        <v>1058</v>
      </c>
      <c r="J93" s="315" t="str">
        <f t="shared" si="11"/>
        <v>Used VehicleOT retail gross profit p.u.</v>
      </c>
      <c r="K93" s="315" t="str">
        <f t="shared" si="12"/>
        <v>420Toyota OT UV revenue</v>
      </c>
      <c r="L93" s="311">
        <f>+SUMIF('TUNZ Extracted TB'!M:M,$P93,'TUNZ Extracted TB'!G:G)</f>
        <v>0</v>
      </c>
      <c r="M93" s="311"/>
      <c r="N93" s="311">
        <f>+SUMIF('Input Sheet'!$AE:$AE,P93,'Input Sheet'!$X:$X)</f>
        <v>0</v>
      </c>
      <c r="O93" s="311"/>
      <c r="P93" t="str">
        <f t="shared" si="13"/>
        <v>420-3206</v>
      </c>
      <c r="Q93" s="315" t="str">
        <f t="shared" si="14"/>
        <v>Used Vehicle</v>
      </c>
      <c r="R93" s="315" t="str">
        <f t="shared" si="15"/>
        <v>Used VehicleOT retail gross profit p.u.</v>
      </c>
      <c r="S93" s="199"/>
      <c r="T93" s="199"/>
      <c r="U93" s="199"/>
    </row>
    <row r="94" spans="1:21" x14ac:dyDescent="0.25">
      <c r="A94" t="s">
        <v>996</v>
      </c>
      <c r="B94" t="s">
        <v>997</v>
      </c>
      <c r="C94" t="s">
        <v>1012</v>
      </c>
      <c r="D94">
        <v>3206</v>
      </c>
      <c r="E94">
        <v>421</v>
      </c>
      <c r="F94" t="s">
        <v>1056</v>
      </c>
      <c r="G94" t="s">
        <v>1057</v>
      </c>
      <c r="H94" s="315" t="s">
        <v>30</v>
      </c>
      <c r="I94" s="315" t="s">
        <v>1058</v>
      </c>
      <c r="J94" s="315" t="str">
        <f t="shared" si="11"/>
        <v>Used VehicleOT retail gross profit p.u.</v>
      </c>
      <c r="K94" s="315" t="str">
        <f t="shared" si="12"/>
        <v>421Toyota OT UV revenue</v>
      </c>
      <c r="L94" s="311">
        <f>+SUMIF('TUNZ Extracted TB'!M:M,$P94,'TUNZ Extracted TB'!G:G)</f>
        <v>0</v>
      </c>
      <c r="M94" s="311"/>
      <c r="N94" s="311">
        <f>+SUMIF('Input Sheet'!$AE:$AE,P94,'Input Sheet'!$X:$X)</f>
        <v>0</v>
      </c>
      <c r="O94" s="311"/>
      <c r="P94" t="str">
        <f t="shared" si="13"/>
        <v>421-3206</v>
      </c>
      <c r="Q94" s="315" t="str">
        <f t="shared" si="14"/>
        <v>Used Vehicle</v>
      </c>
      <c r="R94" s="315" t="str">
        <f t="shared" si="15"/>
        <v>Used VehicleOT retail gross profit p.u.</v>
      </c>
      <c r="S94" s="199"/>
      <c r="T94" s="199"/>
      <c r="U94" s="199"/>
    </row>
    <row r="95" spans="1:21" x14ac:dyDescent="0.25">
      <c r="A95" t="s">
        <v>996</v>
      </c>
      <c r="B95" t="s">
        <v>997</v>
      </c>
      <c r="C95" t="s">
        <v>1013</v>
      </c>
      <c r="D95">
        <v>3206</v>
      </c>
      <c r="E95">
        <v>320</v>
      </c>
      <c r="F95" t="s">
        <v>1056</v>
      </c>
      <c r="G95" t="s">
        <v>1057</v>
      </c>
      <c r="H95" s="315" t="s">
        <v>30</v>
      </c>
      <c r="I95" s="315" t="s">
        <v>1058</v>
      </c>
      <c r="J95" s="315" t="str">
        <f t="shared" si="11"/>
        <v>Used VehicleOT retail gross profit p.u.</v>
      </c>
      <c r="K95" s="315" t="str">
        <f t="shared" si="12"/>
        <v>320Toyota OT UV revenue</v>
      </c>
      <c r="L95" s="311">
        <f>+SUMIF('TUNZ Extracted TB'!M:M,$P95,'TUNZ Extracted TB'!G:G)</f>
        <v>0</v>
      </c>
      <c r="M95" s="311"/>
      <c r="N95" s="311">
        <f>+SUMIF('Input Sheet'!$AE:$AE,P95,'Input Sheet'!$X:$X)</f>
        <v>0</v>
      </c>
      <c r="O95" s="311"/>
      <c r="P95" t="str">
        <f t="shared" si="13"/>
        <v>320-3206</v>
      </c>
      <c r="Q95" s="315" t="str">
        <f t="shared" si="14"/>
        <v>Used Vehicle</v>
      </c>
      <c r="R95" s="315" t="str">
        <f t="shared" si="15"/>
        <v>Used VehicleOT retail gross profit p.u.</v>
      </c>
      <c r="S95" s="199"/>
      <c r="T95" s="199"/>
      <c r="U95" s="199"/>
    </row>
    <row r="96" spans="1:21" x14ac:dyDescent="0.25">
      <c r="A96" t="s">
        <v>996</v>
      </c>
      <c r="B96" t="s">
        <v>997</v>
      </c>
      <c r="C96" t="s">
        <v>1013</v>
      </c>
      <c r="D96">
        <v>3206</v>
      </c>
      <c r="E96">
        <v>321</v>
      </c>
      <c r="F96" t="s">
        <v>1056</v>
      </c>
      <c r="G96" t="s">
        <v>1057</v>
      </c>
      <c r="H96" s="315" t="s">
        <v>30</v>
      </c>
      <c r="I96" s="315" t="s">
        <v>1058</v>
      </c>
      <c r="J96" s="315" t="str">
        <f t="shared" si="11"/>
        <v>Used VehicleOT retail gross profit p.u.</v>
      </c>
      <c r="K96" s="315" t="str">
        <f t="shared" si="12"/>
        <v>321Toyota OT UV revenue</v>
      </c>
      <c r="L96" s="311">
        <f>+SUMIF('TUNZ Extracted TB'!M:M,$P96,'TUNZ Extracted TB'!G:G)</f>
        <v>0</v>
      </c>
      <c r="M96" s="311"/>
      <c r="N96" s="311">
        <f>+SUMIF('Input Sheet'!$AE:$AE,P96,'Input Sheet'!$X:$X)</f>
        <v>0</v>
      </c>
      <c r="O96" s="311"/>
      <c r="P96" t="str">
        <f t="shared" si="13"/>
        <v>321-3206</v>
      </c>
      <c r="Q96" s="315" t="str">
        <f t="shared" si="14"/>
        <v>Used Vehicle</v>
      </c>
      <c r="R96" s="315" t="str">
        <f t="shared" si="15"/>
        <v>Used VehicleOT retail gross profit p.u.</v>
      </c>
      <c r="S96" s="199"/>
      <c r="T96" s="199"/>
      <c r="U96" s="199"/>
    </row>
    <row r="97" spans="1:21" x14ac:dyDescent="0.25">
      <c r="A97" t="s">
        <v>996</v>
      </c>
      <c r="B97" t="s">
        <v>997</v>
      </c>
      <c r="C97" t="s">
        <v>997</v>
      </c>
      <c r="D97">
        <v>3206</v>
      </c>
      <c r="E97">
        <v>120</v>
      </c>
      <c r="F97" t="s">
        <v>1056</v>
      </c>
      <c r="G97" t="s">
        <v>1057</v>
      </c>
      <c r="H97" s="315" t="s">
        <v>30</v>
      </c>
      <c r="I97" s="315" t="s">
        <v>1058</v>
      </c>
      <c r="J97" s="315" t="str">
        <f t="shared" si="11"/>
        <v>Used VehicleOT retail gross profit p.u.</v>
      </c>
      <c r="K97" s="315" t="str">
        <f t="shared" si="12"/>
        <v>120Toyota OT UV revenue</v>
      </c>
      <c r="L97" s="311">
        <f>+SUMIF('TUNZ Extracted TB'!M:M,$P97,'TUNZ Extracted TB'!G:G)</f>
        <v>0</v>
      </c>
      <c r="M97" s="311"/>
      <c r="N97" s="311">
        <f>+SUMIF('Input Sheet'!$AE:$AE,P97,'Input Sheet'!$X:$X)</f>
        <v>0</v>
      </c>
      <c r="O97" s="311"/>
      <c r="P97" t="str">
        <f t="shared" si="13"/>
        <v>120-3206</v>
      </c>
      <c r="Q97" s="315" t="str">
        <f t="shared" si="14"/>
        <v>Used Vehicle</v>
      </c>
      <c r="R97" s="315" t="str">
        <f t="shared" si="15"/>
        <v>Used VehicleOT retail gross profit p.u.</v>
      </c>
      <c r="S97" s="199"/>
      <c r="T97" s="199"/>
      <c r="U97" s="199"/>
    </row>
    <row r="98" spans="1:21" x14ac:dyDescent="0.25">
      <c r="A98" t="s">
        <v>996</v>
      </c>
      <c r="B98" t="s">
        <v>997</v>
      </c>
      <c r="C98" t="s">
        <v>1005</v>
      </c>
      <c r="D98">
        <v>3206</v>
      </c>
      <c r="E98">
        <v>220</v>
      </c>
      <c r="F98" t="s">
        <v>1056</v>
      </c>
      <c r="G98" t="s">
        <v>1057</v>
      </c>
      <c r="H98" s="315" t="s">
        <v>30</v>
      </c>
      <c r="I98" s="315" t="s">
        <v>1058</v>
      </c>
      <c r="J98" s="315" t="str">
        <f t="shared" si="11"/>
        <v>Used VehicleOT retail gross profit p.u.</v>
      </c>
      <c r="K98" s="315" t="str">
        <f t="shared" si="12"/>
        <v>220Toyota OT UV revenue</v>
      </c>
      <c r="L98" s="311">
        <f>+SUMIF('TUNZ Extracted TB'!M:M,$P98,'TUNZ Extracted TB'!G:G)</f>
        <v>-386939.13</v>
      </c>
      <c r="M98" s="311"/>
      <c r="N98" s="311">
        <f>+SUMIF('Input Sheet'!$AE:$AE,P98,'Input Sheet'!$X:$X)</f>
        <v>0</v>
      </c>
      <c r="O98" s="311"/>
      <c r="P98" t="str">
        <f t="shared" si="13"/>
        <v>220-3206</v>
      </c>
      <c r="Q98" s="315" t="str">
        <f t="shared" si="14"/>
        <v>Used Vehicle</v>
      </c>
      <c r="R98" s="315" t="str">
        <f t="shared" si="15"/>
        <v>Used VehicleOT retail gross profit p.u.</v>
      </c>
    </row>
    <row r="99" spans="1:21" x14ac:dyDescent="0.25">
      <c r="A99" t="s">
        <v>996</v>
      </c>
      <c r="B99" t="s">
        <v>997</v>
      </c>
      <c r="C99" t="s">
        <v>997</v>
      </c>
      <c r="D99">
        <v>3206</v>
      </c>
      <c r="E99">
        <v>121</v>
      </c>
      <c r="F99" t="s">
        <v>1056</v>
      </c>
      <c r="G99" t="s">
        <v>1057</v>
      </c>
      <c r="H99" s="315" t="s">
        <v>30</v>
      </c>
      <c r="I99" s="315" t="s">
        <v>1058</v>
      </c>
      <c r="J99" s="315" t="str">
        <f t="shared" si="11"/>
        <v>Used VehicleOT retail gross profit p.u.</v>
      </c>
      <c r="K99" s="315" t="str">
        <f t="shared" si="12"/>
        <v>121Toyota OT UV revenue</v>
      </c>
      <c r="L99" s="311">
        <f>+SUMIF('TUNZ Extracted TB'!M:M,$P99,'TUNZ Extracted TB'!G:G)</f>
        <v>-601197.13</v>
      </c>
      <c r="M99" s="311"/>
      <c r="N99" s="311">
        <f>+SUMIF('Input Sheet'!$AE:$AE,P99,'Input Sheet'!$X:$X)</f>
        <v>0</v>
      </c>
      <c r="O99" s="311"/>
      <c r="P99" t="str">
        <f t="shared" si="13"/>
        <v>121-3206</v>
      </c>
      <c r="Q99" s="315" t="str">
        <f t="shared" si="14"/>
        <v>Used Vehicle</v>
      </c>
      <c r="R99" s="315" t="str">
        <f t="shared" si="15"/>
        <v>Used VehicleOT retail gross profit p.u.</v>
      </c>
    </row>
    <row r="100" spans="1:21" x14ac:dyDescent="0.25">
      <c r="A100" t="s">
        <v>996</v>
      </c>
      <c r="B100" t="s">
        <v>997</v>
      </c>
      <c r="C100" t="s">
        <v>1005</v>
      </c>
      <c r="D100">
        <v>3209</v>
      </c>
      <c r="E100">
        <v>221</v>
      </c>
      <c r="F100" t="s">
        <v>1059</v>
      </c>
      <c r="G100" t="s">
        <v>1060</v>
      </c>
      <c r="H100" s="315" t="s">
        <v>30</v>
      </c>
      <c r="I100" s="315" t="s">
        <v>1052</v>
      </c>
      <c r="J100" s="315" t="str">
        <f t="shared" si="11"/>
        <v>Used VehicleOverall UV retail gross profit p.u.</v>
      </c>
      <c r="K100" s="315" t="str">
        <f t="shared" si="12"/>
        <v>221Toyota Non-FP UV retail revenue</v>
      </c>
      <c r="L100" s="311">
        <f>+SUMIF('TUNZ Extracted TB'!M:M,$P100,'TUNZ Extracted TB'!G:G)</f>
        <v>0</v>
      </c>
      <c r="M100" s="311"/>
      <c r="N100" s="311">
        <f>+SUMIF('Input Sheet'!$AE:$AE,P100,'Input Sheet'!$X:$X)</f>
        <v>0</v>
      </c>
      <c r="O100" s="311"/>
      <c r="P100" t="str">
        <f t="shared" si="13"/>
        <v>221-3209</v>
      </c>
      <c r="Q100" s="315" t="str">
        <f t="shared" si="14"/>
        <v>Used Vehicle</v>
      </c>
      <c r="R100" s="315" t="str">
        <f t="shared" si="15"/>
        <v>Used VehicleOverall UV retail gross profit p.u.</v>
      </c>
      <c r="S100" s="199"/>
      <c r="T100" s="199"/>
      <c r="U100" s="199"/>
    </row>
    <row r="101" spans="1:21" x14ac:dyDescent="0.25">
      <c r="A101" t="s">
        <v>996</v>
      </c>
      <c r="B101" t="s">
        <v>997</v>
      </c>
      <c r="C101" t="s">
        <v>1012</v>
      </c>
      <c r="D101">
        <v>3209</v>
      </c>
      <c r="E101">
        <v>420</v>
      </c>
      <c r="F101" t="s">
        <v>1059</v>
      </c>
      <c r="G101" t="s">
        <v>1060</v>
      </c>
      <c r="H101" s="315" t="s">
        <v>30</v>
      </c>
      <c r="I101" s="315" t="s">
        <v>1052</v>
      </c>
      <c r="J101" s="315" t="str">
        <f t="shared" si="11"/>
        <v>Used VehicleOverall UV retail gross profit p.u.</v>
      </c>
      <c r="K101" s="315" t="str">
        <f t="shared" si="12"/>
        <v>420Toyota Non-FP UV retail revenue</v>
      </c>
      <c r="L101" s="311">
        <f>+SUMIF('TUNZ Extracted TB'!M:M,$P101,'TUNZ Extracted TB'!G:G)</f>
        <v>0</v>
      </c>
      <c r="M101" s="311"/>
      <c r="N101" s="311">
        <f>+SUMIF('Input Sheet'!$AE:$AE,P101,'Input Sheet'!$X:$X)</f>
        <v>0</v>
      </c>
      <c r="O101" s="311"/>
      <c r="P101" t="str">
        <f t="shared" si="13"/>
        <v>420-3209</v>
      </c>
      <c r="Q101" s="315" t="str">
        <f t="shared" si="14"/>
        <v>Used Vehicle</v>
      </c>
      <c r="R101" s="315" t="str">
        <f t="shared" si="15"/>
        <v>Used VehicleOverall UV retail gross profit p.u.</v>
      </c>
      <c r="S101" s="199"/>
      <c r="T101" s="199"/>
      <c r="U101" s="199"/>
    </row>
    <row r="102" spans="1:21" x14ac:dyDescent="0.25">
      <c r="A102" t="s">
        <v>996</v>
      </c>
      <c r="B102" t="s">
        <v>997</v>
      </c>
      <c r="C102" t="s">
        <v>1012</v>
      </c>
      <c r="D102">
        <v>3209</v>
      </c>
      <c r="E102">
        <v>421</v>
      </c>
      <c r="F102" t="s">
        <v>1059</v>
      </c>
      <c r="G102" t="s">
        <v>1060</v>
      </c>
      <c r="H102" s="315" t="s">
        <v>30</v>
      </c>
      <c r="I102" s="315" t="s">
        <v>1052</v>
      </c>
      <c r="J102" s="315" t="str">
        <f t="shared" si="11"/>
        <v>Used VehicleOverall UV retail gross profit p.u.</v>
      </c>
      <c r="K102" s="315" t="str">
        <f t="shared" si="12"/>
        <v>421Toyota Non-FP UV retail revenue</v>
      </c>
      <c r="L102" s="311">
        <f>+SUMIF('TUNZ Extracted TB'!M:M,$P102,'TUNZ Extracted TB'!G:G)</f>
        <v>0</v>
      </c>
      <c r="M102" s="311"/>
      <c r="N102" s="311">
        <f>+SUMIF('Input Sheet'!$AE:$AE,P102,'Input Sheet'!$X:$X)</f>
        <v>0</v>
      </c>
      <c r="O102" s="311"/>
      <c r="P102" t="str">
        <f t="shared" si="13"/>
        <v>421-3209</v>
      </c>
      <c r="Q102" s="315" t="str">
        <f t="shared" si="14"/>
        <v>Used Vehicle</v>
      </c>
      <c r="R102" s="315" t="str">
        <f t="shared" si="15"/>
        <v>Used VehicleOverall UV retail gross profit p.u.</v>
      </c>
      <c r="S102" s="199"/>
      <c r="T102" s="199"/>
      <c r="U102" s="199"/>
    </row>
    <row r="103" spans="1:21" x14ac:dyDescent="0.25">
      <c r="A103" t="s">
        <v>996</v>
      </c>
      <c r="B103" t="s">
        <v>997</v>
      </c>
      <c r="C103" t="s">
        <v>1013</v>
      </c>
      <c r="D103">
        <v>3209</v>
      </c>
      <c r="E103">
        <v>320</v>
      </c>
      <c r="F103" t="s">
        <v>1059</v>
      </c>
      <c r="G103" t="s">
        <v>1060</v>
      </c>
      <c r="H103" s="315" t="s">
        <v>30</v>
      </c>
      <c r="I103" s="315" t="s">
        <v>1052</v>
      </c>
      <c r="J103" s="315" t="str">
        <f t="shared" si="11"/>
        <v>Used VehicleOverall UV retail gross profit p.u.</v>
      </c>
      <c r="K103" s="315" t="str">
        <f t="shared" si="12"/>
        <v>320Toyota Non-FP UV retail revenue</v>
      </c>
      <c r="L103" s="311">
        <f>+SUMIF('TUNZ Extracted TB'!M:M,$P103,'TUNZ Extracted TB'!G:G)</f>
        <v>0</v>
      </c>
      <c r="M103" s="311"/>
      <c r="N103" s="311">
        <f>+SUMIF('Input Sheet'!$AE:$AE,P103,'Input Sheet'!$X:$X)</f>
        <v>0</v>
      </c>
      <c r="O103" s="311"/>
      <c r="P103" t="str">
        <f t="shared" si="13"/>
        <v>320-3209</v>
      </c>
      <c r="Q103" s="315" t="str">
        <f t="shared" si="14"/>
        <v>Used Vehicle</v>
      </c>
      <c r="R103" s="315" t="str">
        <f t="shared" si="15"/>
        <v>Used VehicleOverall UV retail gross profit p.u.</v>
      </c>
      <c r="S103" s="199"/>
      <c r="T103" s="199"/>
      <c r="U103" s="199"/>
    </row>
    <row r="104" spans="1:21" x14ac:dyDescent="0.25">
      <c r="A104" t="s">
        <v>996</v>
      </c>
      <c r="B104" t="s">
        <v>997</v>
      </c>
      <c r="C104" t="s">
        <v>1013</v>
      </c>
      <c r="D104">
        <v>3209</v>
      </c>
      <c r="E104">
        <v>321</v>
      </c>
      <c r="F104" t="s">
        <v>1059</v>
      </c>
      <c r="G104" t="s">
        <v>1060</v>
      </c>
      <c r="H104" s="315" t="s">
        <v>30</v>
      </c>
      <c r="I104" s="315" t="s">
        <v>1052</v>
      </c>
      <c r="J104" s="315" t="str">
        <f t="shared" si="11"/>
        <v>Used VehicleOverall UV retail gross profit p.u.</v>
      </c>
      <c r="K104" s="315" t="str">
        <f t="shared" si="12"/>
        <v>321Toyota Non-FP UV retail revenue</v>
      </c>
      <c r="L104" s="311">
        <f>+SUMIF('TUNZ Extracted TB'!M:M,$P104,'TUNZ Extracted TB'!G:G)</f>
        <v>0</v>
      </c>
      <c r="M104" s="311"/>
      <c r="N104" s="311">
        <f>+SUMIF('Input Sheet'!$AE:$AE,P104,'Input Sheet'!$X:$X)</f>
        <v>0</v>
      </c>
      <c r="O104" s="311"/>
      <c r="P104" t="str">
        <f t="shared" si="13"/>
        <v>321-3209</v>
      </c>
      <c r="Q104" s="315" t="str">
        <f t="shared" si="14"/>
        <v>Used Vehicle</v>
      </c>
      <c r="R104" s="315" t="str">
        <f t="shared" si="15"/>
        <v>Used VehicleOverall UV retail gross profit p.u.</v>
      </c>
      <c r="S104" s="199"/>
      <c r="T104" s="199"/>
      <c r="U104" s="199"/>
    </row>
    <row r="105" spans="1:21" x14ac:dyDescent="0.25">
      <c r="A105" t="s">
        <v>996</v>
      </c>
      <c r="B105" t="s">
        <v>997</v>
      </c>
      <c r="C105" t="s">
        <v>997</v>
      </c>
      <c r="D105">
        <v>3209</v>
      </c>
      <c r="E105">
        <v>121</v>
      </c>
      <c r="F105" t="s">
        <v>1059</v>
      </c>
      <c r="G105" t="s">
        <v>1060</v>
      </c>
      <c r="H105" s="315" t="s">
        <v>30</v>
      </c>
      <c r="I105" s="315" t="s">
        <v>1052</v>
      </c>
      <c r="J105" s="315" t="str">
        <f t="shared" si="11"/>
        <v>Used VehicleOverall UV retail gross profit p.u.</v>
      </c>
      <c r="K105" s="315" t="str">
        <f t="shared" si="12"/>
        <v>121Toyota Non-FP UV retail revenue</v>
      </c>
      <c r="L105" s="311">
        <f>+SUMIF('TUNZ Extracted TB'!M:M,$P105,'TUNZ Extracted TB'!G:G)</f>
        <v>0</v>
      </c>
      <c r="M105" s="311"/>
      <c r="N105" s="311">
        <f>+SUMIF('Input Sheet'!$AE:$AE,P105,'Input Sheet'!$X:$X)</f>
        <v>0</v>
      </c>
      <c r="O105" s="311"/>
      <c r="P105" t="str">
        <f t="shared" si="13"/>
        <v>121-3209</v>
      </c>
      <c r="Q105" s="315" t="str">
        <f t="shared" si="14"/>
        <v>Used Vehicle</v>
      </c>
      <c r="R105" s="315" t="str">
        <f t="shared" si="15"/>
        <v>Used VehicleOverall UV retail gross profit p.u.</v>
      </c>
      <c r="S105" s="199"/>
      <c r="T105" s="199"/>
      <c r="U105" s="199"/>
    </row>
    <row r="106" spans="1:21" x14ac:dyDescent="0.25">
      <c r="A106" t="s">
        <v>996</v>
      </c>
      <c r="B106" t="s">
        <v>997</v>
      </c>
      <c r="C106" t="s">
        <v>1005</v>
      </c>
      <c r="D106">
        <v>3209</v>
      </c>
      <c r="E106">
        <v>220</v>
      </c>
      <c r="F106" t="s">
        <v>1059</v>
      </c>
      <c r="G106" t="s">
        <v>1060</v>
      </c>
      <c r="H106" s="315" t="s">
        <v>30</v>
      </c>
      <c r="I106" s="315" t="s">
        <v>1052</v>
      </c>
      <c r="J106" s="315" t="str">
        <f t="shared" si="11"/>
        <v>Used VehicleOverall UV retail gross profit p.u.</v>
      </c>
      <c r="K106" s="315" t="str">
        <f t="shared" si="12"/>
        <v>220Toyota Non-FP UV retail revenue</v>
      </c>
      <c r="L106" s="311">
        <f>+SUMIF('TUNZ Extracted TB'!M:M,$P106,'TUNZ Extracted TB'!G:G)</f>
        <v>-523757.36</v>
      </c>
      <c r="M106" s="311"/>
      <c r="N106" s="311">
        <f>+SUMIF('Input Sheet'!$AE:$AE,P106,'Input Sheet'!$X:$X)</f>
        <v>-810000</v>
      </c>
      <c r="O106" s="311"/>
      <c r="P106" t="str">
        <f t="shared" si="13"/>
        <v>220-3209</v>
      </c>
      <c r="Q106" s="315" t="str">
        <f t="shared" si="14"/>
        <v>Used Vehicle</v>
      </c>
      <c r="R106" s="315" t="str">
        <f t="shared" si="15"/>
        <v>Used VehicleOverall UV retail gross profit p.u.</v>
      </c>
    </row>
    <row r="107" spans="1:21" x14ac:dyDescent="0.25">
      <c r="A107" t="s">
        <v>996</v>
      </c>
      <c r="B107" t="s">
        <v>997</v>
      </c>
      <c r="C107" t="s">
        <v>997</v>
      </c>
      <c r="D107">
        <v>3209</v>
      </c>
      <c r="E107">
        <v>122</v>
      </c>
      <c r="F107" t="s">
        <v>1050</v>
      </c>
      <c r="G107" t="s">
        <v>1051</v>
      </c>
      <c r="H107" s="315" t="s">
        <v>1041</v>
      </c>
      <c r="I107" s="315" t="s">
        <v>1052</v>
      </c>
      <c r="J107" s="315" t="str">
        <f t="shared" si="11"/>
        <v>LEX Used VehicleOverall UV retail gross profit p.u.</v>
      </c>
      <c r="K107" s="315" t="str">
        <f t="shared" si="12"/>
        <v>122Lexus UV Retail revenue</v>
      </c>
      <c r="L107" s="311">
        <f>+SUMIF('TUNZ Extracted TB'!M:M,$P107,'TUNZ Extracted TB'!G:G)</f>
        <v>-223026.09</v>
      </c>
      <c r="M107" s="311"/>
      <c r="N107" s="311">
        <f>+SUMIF('Input Sheet'!$AE:$AE,P107,'Input Sheet'!$X:$X)</f>
        <v>-225000</v>
      </c>
      <c r="O107" s="311"/>
      <c r="P107" t="str">
        <f t="shared" si="13"/>
        <v>122-3209</v>
      </c>
      <c r="Q107" s="315" t="str">
        <f t="shared" si="14"/>
        <v>LEX Used Vehicle</v>
      </c>
      <c r="R107" s="315" t="str">
        <f t="shared" si="15"/>
        <v>LEX Used VehicleOverall UV retail gross profit p.u.</v>
      </c>
    </row>
    <row r="108" spans="1:21" x14ac:dyDescent="0.25">
      <c r="A108" t="s">
        <v>996</v>
      </c>
      <c r="B108" t="s">
        <v>997</v>
      </c>
      <c r="C108" t="s">
        <v>997</v>
      </c>
      <c r="D108">
        <v>3209</v>
      </c>
      <c r="E108">
        <v>120</v>
      </c>
      <c r="F108" t="s">
        <v>1059</v>
      </c>
      <c r="G108" t="s">
        <v>1060</v>
      </c>
      <c r="H108" s="315" t="s">
        <v>30</v>
      </c>
      <c r="I108" s="315" t="s">
        <v>1052</v>
      </c>
      <c r="J108" s="315" t="str">
        <f t="shared" si="11"/>
        <v>Used VehicleOverall UV retail gross profit p.u.</v>
      </c>
      <c r="K108" s="315" t="str">
        <f t="shared" si="12"/>
        <v>120Toyota Non-FP UV retail revenue</v>
      </c>
      <c r="L108" s="311">
        <f>+SUMIF('TUNZ Extracted TB'!M:M,$P108,'TUNZ Extracted TB'!G:G)</f>
        <v>-1383745.55</v>
      </c>
      <c r="M108" s="311"/>
      <c r="N108" s="311">
        <f>+SUMIF('Input Sheet'!$AE:$AE,P108,'Input Sheet'!$X:$X)</f>
        <v>-1590000</v>
      </c>
      <c r="O108" s="311"/>
      <c r="P108" t="str">
        <f t="shared" si="13"/>
        <v>120-3209</v>
      </c>
      <c r="Q108" s="315" t="str">
        <f t="shared" si="14"/>
        <v>Used Vehicle</v>
      </c>
      <c r="R108" s="315" t="str">
        <f t="shared" si="15"/>
        <v>Used VehicleOverall UV retail gross profit p.u.</v>
      </c>
    </row>
    <row r="109" spans="1:21" x14ac:dyDescent="0.25">
      <c r="A109" t="s">
        <v>996</v>
      </c>
      <c r="B109" t="s">
        <v>997</v>
      </c>
      <c r="C109" t="s">
        <v>997</v>
      </c>
      <c r="D109">
        <v>3210</v>
      </c>
      <c r="E109">
        <v>122</v>
      </c>
      <c r="F109" t="s">
        <v>1050</v>
      </c>
      <c r="G109" t="s">
        <v>1051</v>
      </c>
      <c r="H109" s="315" t="s">
        <v>1041</v>
      </c>
      <c r="I109" s="315" t="s">
        <v>1052</v>
      </c>
      <c r="J109" s="315" t="str">
        <f t="shared" si="11"/>
        <v>LEX Used VehicleOverall UV retail gross profit p.u.</v>
      </c>
      <c r="K109" s="315" t="str">
        <f t="shared" si="12"/>
        <v>122Lexus UV Retail revenue</v>
      </c>
      <c r="L109" s="311">
        <f>+SUMIF('TUNZ Extracted TB'!M:M,$P109,'TUNZ Extracted TB'!G:G)</f>
        <v>0</v>
      </c>
      <c r="M109" s="311"/>
      <c r="N109" s="311">
        <f>+SUMIF('Input Sheet'!$AE:$AE,P109,'Input Sheet'!$X:$X)</f>
        <v>0</v>
      </c>
      <c r="O109" s="311"/>
      <c r="P109" t="str">
        <f t="shared" si="13"/>
        <v>122-3210</v>
      </c>
      <c r="Q109" s="315" t="str">
        <f t="shared" si="14"/>
        <v>LEX Used Vehicle</v>
      </c>
      <c r="R109" s="315" t="str">
        <f t="shared" si="15"/>
        <v>LEX Used VehicleOverall UV retail gross profit p.u.</v>
      </c>
      <c r="S109" s="199"/>
      <c r="T109" s="199"/>
      <c r="U109" s="199"/>
    </row>
    <row r="110" spans="1:21" x14ac:dyDescent="0.25">
      <c r="A110" t="s">
        <v>996</v>
      </c>
      <c r="B110" t="s">
        <v>997</v>
      </c>
      <c r="C110" t="s">
        <v>1005</v>
      </c>
      <c r="D110">
        <v>3210</v>
      </c>
      <c r="E110">
        <v>220</v>
      </c>
      <c r="F110" t="s">
        <v>1059</v>
      </c>
      <c r="G110" t="s">
        <v>1060</v>
      </c>
      <c r="H110" s="315" t="s">
        <v>30</v>
      </c>
      <c r="I110" s="315" t="s">
        <v>1052</v>
      </c>
      <c r="J110" s="315" t="str">
        <f t="shared" si="11"/>
        <v>Used VehicleOverall UV retail gross profit p.u.</v>
      </c>
      <c r="K110" s="315" t="str">
        <f t="shared" si="12"/>
        <v>220Toyota Non-FP UV retail revenue</v>
      </c>
      <c r="L110" s="311">
        <f>+SUMIF('TUNZ Extracted TB'!M:M,$P110,'TUNZ Extracted TB'!G:G)</f>
        <v>0</v>
      </c>
      <c r="M110" s="311"/>
      <c r="N110" s="311">
        <f>+SUMIF('Input Sheet'!$AE:$AE,P110,'Input Sheet'!$X:$X)</f>
        <v>0</v>
      </c>
      <c r="O110" s="311"/>
      <c r="P110" t="str">
        <f t="shared" si="13"/>
        <v>220-3210</v>
      </c>
      <c r="Q110" s="315" t="str">
        <f t="shared" si="14"/>
        <v>Used Vehicle</v>
      </c>
      <c r="R110" s="315" t="str">
        <f t="shared" si="15"/>
        <v>Used VehicleOverall UV retail gross profit p.u.</v>
      </c>
      <c r="S110" s="199"/>
      <c r="T110" s="199"/>
      <c r="U110" s="199"/>
    </row>
    <row r="111" spans="1:21" x14ac:dyDescent="0.25">
      <c r="A111" t="s">
        <v>996</v>
      </c>
      <c r="B111" t="s">
        <v>997</v>
      </c>
      <c r="C111" t="s">
        <v>1005</v>
      </c>
      <c r="D111">
        <v>3210</v>
      </c>
      <c r="E111">
        <v>221</v>
      </c>
      <c r="F111" t="s">
        <v>1059</v>
      </c>
      <c r="G111" t="s">
        <v>1060</v>
      </c>
      <c r="H111" s="315" t="s">
        <v>30</v>
      </c>
      <c r="I111" s="315" t="s">
        <v>1052</v>
      </c>
      <c r="J111" s="315" t="str">
        <f t="shared" si="11"/>
        <v>Used VehicleOverall UV retail gross profit p.u.</v>
      </c>
      <c r="K111" s="315" t="str">
        <f t="shared" si="12"/>
        <v>221Toyota Non-FP UV retail revenue</v>
      </c>
      <c r="L111" s="311">
        <f>+SUMIF('TUNZ Extracted TB'!M:M,$P111,'TUNZ Extracted TB'!G:G)</f>
        <v>0</v>
      </c>
      <c r="M111" s="311"/>
      <c r="N111" s="311">
        <f>+SUMIF('Input Sheet'!$AE:$AE,P111,'Input Sheet'!$X:$X)</f>
        <v>0</v>
      </c>
      <c r="O111" s="311"/>
      <c r="P111" t="str">
        <f t="shared" si="13"/>
        <v>221-3210</v>
      </c>
      <c r="Q111" s="315" t="str">
        <f t="shared" si="14"/>
        <v>Used Vehicle</v>
      </c>
      <c r="R111" s="315" t="str">
        <f t="shared" si="15"/>
        <v>Used VehicleOverall UV retail gross profit p.u.</v>
      </c>
      <c r="S111" s="199"/>
      <c r="T111" s="199"/>
      <c r="U111" s="199"/>
    </row>
    <row r="112" spans="1:21" x14ac:dyDescent="0.25">
      <c r="A112" t="s">
        <v>996</v>
      </c>
      <c r="B112" t="s">
        <v>997</v>
      </c>
      <c r="C112" t="s">
        <v>1012</v>
      </c>
      <c r="D112">
        <v>3210</v>
      </c>
      <c r="E112">
        <v>420</v>
      </c>
      <c r="F112" t="s">
        <v>1059</v>
      </c>
      <c r="G112" t="s">
        <v>1060</v>
      </c>
      <c r="H112" s="315" t="s">
        <v>30</v>
      </c>
      <c r="I112" s="315" t="s">
        <v>1052</v>
      </c>
      <c r="J112" s="315" t="str">
        <f t="shared" si="11"/>
        <v>Used VehicleOverall UV retail gross profit p.u.</v>
      </c>
      <c r="K112" s="315" t="str">
        <f t="shared" si="12"/>
        <v>420Toyota Non-FP UV retail revenue</v>
      </c>
      <c r="L112" s="311">
        <f>+SUMIF('TUNZ Extracted TB'!M:M,$P112,'TUNZ Extracted TB'!G:G)</f>
        <v>0</v>
      </c>
      <c r="M112" s="311"/>
      <c r="N112" s="311">
        <f>+SUMIF('Input Sheet'!$AE:$AE,P112,'Input Sheet'!$X:$X)</f>
        <v>0</v>
      </c>
      <c r="O112" s="311"/>
      <c r="P112" t="str">
        <f t="shared" si="13"/>
        <v>420-3210</v>
      </c>
      <c r="Q112" s="315" t="str">
        <f t="shared" si="14"/>
        <v>Used Vehicle</v>
      </c>
      <c r="R112" s="315" t="str">
        <f t="shared" si="15"/>
        <v>Used VehicleOverall UV retail gross profit p.u.</v>
      </c>
      <c r="S112" s="199"/>
      <c r="T112" s="199"/>
      <c r="U112" s="199"/>
    </row>
    <row r="113" spans="1:21" x14ac:dyDescent="0.25">
      <c r="A113" t="s">
        <v>996</v>
      </c>
      <c r="B113" t="s">
        <v>997</v>
      </c>
      <c r="C113" t="s">
        <v>1012</v>
      </c>
      <c r="D113">
        <v>3210</v>
      </c>
      <c r="E113">
        <v>421</v>
      </c>
      <c r="F113" t="s">
        <v>1059</v>
      </c>
      <c r="G113" t="s">
        <v>1060</v>
      </c>
      <c r="H113" s="315" t="s">
        <v>30</v>
      </c>
      <c r="I113" s="315" t="s">
        <v>1052</v>
      </c>
      <c r="J113" s="315" t="str">
        <f t="shared" si="11"/>
        <v>Used VehicleOverall UV retail gross profit p.u.</v>
      </c>
      <c r="K113" s="315" t="str">
        <f t="shared" si="12"/>
        <v>421Toyota Non-FP UV retail revenue</v>
      </c>
      <c r="L113" s="311">
        <f>+SUMIF('TUNZ Extracted TB'!M:M,$P113,'TUNZ Extracted TB'!G:G)</f>
        <v>0</v>
      </c>
      <c r="M113" s="311"/>
      <c r="N113" s="311">
        <f>+SUMIF('Input Sheet'!$AE:$AE,P113,'Input Sheet'!$X:$X)</f>
        <v>0</v>
      </c>
      <c r="O113" s="311"/>
      <c r="P113" t="str">
        <f t="shared" si="13"/>
        <v>421-3210</v>
      </c>
      <c r="Q113" s="315" t="str">
        <f t="shared" si="14"/>
        <v>Used Vehicle</v>
      </c>
      <c r="R113" s="315" t="str">
        <f t="shared" si="15"/>
        <v>Used VehicleOverall UV retail gross profit p.u.</v>
      </c>
      <c r="S113" s="199"/>
      <c r="T113" s="199"/>
      <c r="U113" s="199"/>
    </row>
    <row r="114" spans="1:21" x14ac:dyDescent="0.25">
      <c r="A114" t="s">
        <v>996</v>
      </c>
      <c r="B114" t="s">
        <v>997</v>
      </c>
      <c r="C114" t="s">
        <v>1013</v>
      </c>
      <c r="D114">
        <v>3210</v>
      </c>
      <c r="E114">
        <v>320</v>
      </c>
      <c r="F114" t="s">
        <v>1059</v>
      </c>
      <c r="G114" t="s">
        <v>1060</v>
      </c>
      <c r="H114" s="315" t="s">
        <v>30</v>
      </c>
      <c r="I114" s="315" t="s">
        <v>1052</v>
      </c>
      <c r="J114" s="315" t="str">
        <f t="shared" si="11"/>
        <v>Used VehicleOverall UV retail gross profit p.u.</v>
      </c>
      <c r="K114" s="315" t="str">
        <f t="shared" si="12"/>
        <v>320Toyota Non-FP UV retail revenue</v>
      </c>
      <c r="L114" s="311">
        <f>+SUMIF('TUNZ Extracted TB'!M:M,$P114,'TUNZ Extracted TB'!G:G)</f>
        <v>0</v>
      </c>
      <c r="M114" s="311"/>
      <c r="N114" s="311">
        <f>+SUMIF('Input Sheet'!$AE:$AE,P114,'Input Sheet'!$X:$X)</f>
        <v>0</v>
      </c>
      <c r="O114" s="311"/>
      <c r="P114" t="str">
        <f t="shared" si="13"/>
        <v>320-3210</v>
      </c>
      <c r="Q114" s="315" t="str">
        <f t="shared" si="14"/>
        <v>Used Vehicle</v>
      </c>
      <c r="R114" s="315" t="str">
        <f t="shared" si="15"/>
        <v>Used VehicleOverall UV retail gross profit p.u.</v>
      </c>
      <c r="S114" s="199"/>
      <c r="T114" s="199"/>
      <c r="U114" s="199"/>
    </row>
    <row r="115" spans="1:21" x14ac:dyDescent="0.25">
      <c r="A115" t="s">
        <v>996</v>
      </c>
      <c r="B115" t="s">
        <v>997</v>
      </c>
      <c r="C115" t="s">
        <v>1013</v>
      </c>
      <c r="D115">
        <v>3210</v>
      </c>
      <c r="E115">
        <v>321</v>
      </c>
      <c r="F115" t="s">
        <v>1059</v>
      </c>
      <c r="G115" t="s">
        <v>1060</v>
      </c>
      <c r="H115" s="315" t="s">
        <v>30</v>
      </c>
      <c r="I115" s="315" t="s">
        <v>1052</v>
      </c>
      <c r="J115" s="315" t="str">
        <f t="shared" si="11"/>
        <v>Used VehicleOverall UV retail gross profit p.u.</v>
      </c>
      <c r="K115" s="315" t="str">
        <f t="shared" si="12"/>
        <v>321Toyota Non-FP UV retail revenue</v>
      </c>
      <c r="L115" s="311">
        <f>+SUMIF('TUNZ Extracted TB'!M:M,$P115,'TUNZ Extracted TB'!G:G)</f>
        <v>0</v>
      </c>
      <c r="M115" s="311"/>
      <c r="N115" s="311">
        <f>+SUMIF('Input Sheet'!$AE:$AE,P115,'Input Sheet'!$X:$X)</f>
        <v>0</v>
      </c>
      <c r="O115" s="311"/>
      <c r="P115" t="str">
        <f t="shared" si="13"/>
        <v>321-3210</v>
      </c>
      <c r="Q115" s="315" t="str">
        <f t="shared" si="14"/>
        <v>Used Vehicle</v>
      </c>
      <c r="R115" s="315" t="str">
        <f t="shared" si="15"/>
        <v>Used VehicleOverall UV retail gross profit p.u.</v>
      </c>
      <c r="S115" s="199"/>
      <c r="T115" s="199"/>
      <c r="U115" s="199"/>
    </row>
    <row r="116" spans="1:21" x14ac:dyDescent="0.25">
      <c r="A116" t="s">
        <v>996</v>
      </c>
      <c r="B116" t="s">
        <v>997</v>
      </c>
      <c r="C116" t="s">
        <v>997</v>
      </c>
      <c r="D116">
        <v>3210</v>
      </c>
      <c r="E116">
        <v>120</v>
      </c>
      <c r="F116" t="s">
        <v>1059</v>
      </c>
      <c r="G116" t="s">
        <v>1060</v>
      </c>
      <c r="H116" s="315" t="s">
        <v>30</v>
      </c>
      <c r="I116" s="315" t="s">
        <v>1052</v>
      </c>
      <c r="J116" s="315" t="str">
        <f t="shared" si="11"/>
        <v>Used VehicleOverall UV retail gross profit p.u.</v>
      </c>
      <c r="K116" s="315" t="str">
        <f t="shared" si="12"/>
        <v>120Toyota Non-FP UV retail revenue</v>
      </c>
      <c r="L116" s="311">
        <f>+SUMIF('TUNZ Extracted TB'!M:M,$P116,'TUNZ Extracted TB'!G:G)</f>
        <v>0</v>
      </c>
      <c r="M116" s="311"/>
      <c r="N116" s="311">
        <f>+SUMIF('Input Sheet'!$AE:$AE,P116,'Input Sheet'!$X:$X)</f>
        <v>0</v>
      </c>
      <c r="O116" s="311"/>
      <c r="P116" t="str">
        <f t="shared" si="13"/>
        <v>120-3210</v>
      </c>
      <c r="Q116" s="315" t="str">
        <f t="shared" si="14"/>
        <v>Used Vehicle</v>
      </c>
      <c r="R116" s="315" t="str">
        <f t="shared" si="15"/>
        <v>Used VehicleOverall UV retail gross profit p.u.</v>
      </c>
      <c r="S116" s="199"/>
      <c r="T116" s="199"/>
      <c r="U116" s="199"/>
    </row>
    <row r="117" spans="1:21" x14ac:dyDescent="0.25">
      <c r="A117" t="s">
        <v>996</v>
      </c>
      <c r="B117" t="s">
        <v>997</v>
      </c>
      <c r="C117" t="s">
        <v>997</v>
      </c>
      <c r="D117">
        <v>3211</v>
      </c>
      <c r="E117">
        <v>122</v>
      </c>
      <c r="F117" t="s">
        <v>1050</v>
      </c>
      <c r="G117" t="s">
        <v>1051</v>
      </c>
      <c r="H117" s="315" t="s">
        <v>1041</v>
      </c>
      <c r="I117" s="315" t="s">
        <v>1052</v>
      </c>
      <c r="J117" s="315" t="str">
        <f t="shared" si="11"/>
        <v>LEX Used VehicleOverall UV retail gross profit p.u.</v>
      </c>
      <c r="K117" s="315" t="str">
        <f t="shared" si="12"/>
        <v>122Lexus UV Retail revenue</v>
      </c>
      <c r="L117" s="311">
        <f>+SUMIF('TUNZ Extracted TB'!M:M,$P117,'TUNZ Extracted TB'!G:G)</f>
        <v>0</v>
      </c>
      <c r="M117" s="311"/>
      <c r="N117" s="311">
        <f>+SUMIF('Input Sheet'!$AE:$AE,P117,'Input Sheet'!$X:$X)</f>
        <v>0</v>
      </c>
      <c r="O117" s="311"/>
      <c r="P117" t="str">
        <f t="shared" si="13"/>
        <v>122-3211</v>
      </c>
      <c r="Q117" s="315" t="str">
        <f t="shared" si="14"/>
        <v>LEX Used Vehicle</v>
      </c>
      <c r="R117" s="315" t="str">
        <f t="shared" si="15"/>
        <v>LEX Used VehicleOverall UV retail gross profit p.u.</v>
      </c>
      <c r="S117" s="199"/>
      <c r="T117" s="199"/>
      <c r="U117" s="199"/>
    </row>
    <row r="118" spans="1:21" x14ac:dyDescent="0.25">
      <c r="A118" t="s">
        <v>996</v>
      </c>
      <c r="B118" t="s">
        <v>997</v>
      </c>
      <c r="C118" t="s">
        <v>1005</v>
      </c>
      <c r="D118">
        <v>3211</v>
      </c>
      <c r="E118">
        <v>221</v>
      </c>
      <c r="F118" t="s">
        <v>1059</v>
      </c>
      <c r="G118" t="s">
        <v>1060</v>
      </c>
      <c r="H118" s="315" t="s">
        <v>30</v>
      </c>
      <c r="I118" s="315" t="s">
        <v>1052</v>
      </c>
      <c r="J118" s="315" t="str">
        <f t="shared" si="11"/>
        <v>Used VehicleOverall UV retail gross profit p.u.</v>
      </c>
      <c r="K118" s="315" t="str">
        <f t="shared" si="12"/>
        <v>221Toyota Non-FP UV retail revenue</v>
      </c>
      <c r="L118" s="311">
        <f>+SUMIF('TUNZ Extracted TB'!M:M,$P118,'TUNZ Extracted TB'!G:G)</f>
        <v>0</v>
      </c>
      <c r="M118" s="311"/>
      <c r="N118" s="311">
        <f>+SUMIF('Input Sheet'!$AE:$AE,P118,'Input Sheet'!$X:$X)</f>
        <v>0</v>
      </c>
      <c r="O118" s="311"/>
      <c r="P118" t="str">
        <f t="shared" si="13"/>
        <v>221-3211</v>
      </c>
      <c r="Q118" s="315" t="str">
        <f t="shared" si="14"/>
        <v>Used Vehicle</v>
      </c>
      <c r="R118" s="315" t="str">
        <f t="shared" si="15"/>
        <v>Used VehicleOverall UV retail gross profit p.u.</v>
      </c>
      <c r="S118" s="199"/>
      <c r="T118" s="199"/>
      <c r="U118" s="199"/>
    </row>
    <row r="119" spans="1:21" x14ac:dyDescent="0.25">
      <c r="A119" t="s">
        <v>996</v>
      </c>
      <c r="B119" t="s">
        <v>997</v>
      </c>
      <c r="C119" t="s">
        <v>1012</v>
      </c>
      <c r="D119">
        <v>3211</v>
      </c>
      <c r="E119">
        <v>420</v>
      </c>
      <c r="F119" t="s">
        <v>1059</v>
      </c>
      <c r="G119" t="s">
        <v>1060</v>
      </c>
      <c r="H119" s="315" t="s">
        <v>30</v>
      </c>
      <c r="I119" s="315" t="s">
        <v>1052</v>
      </c>
      <c r="J119" s="315" t="str">
        <f t="shared" si="11"/>
        <v>Used VehicleOverall UV retail gross profit p.u.</v>
      </c>
      <c r="K119" s="315" t="str">
        <f t="shared" si="12"/>
        <v>420Toyota Non-FP UV retail revenue</v>
      </c>
      <c r="L119" s="311">
        <f>+SUMIF('TUNZ Extracted TB'!M:M,$P119,'TUNZ Extracted TB'!G:G)</f>
        <v>0</v>
      </c>
      <c r="M119" s="311"/>
      <c r="N119" s="311">
        <f>+SUMIF('Input Sheet'!$AE:$AE,P119,'Input Sheet'!$X:$X)</f>
        <v>0</v>
      </c>
      <c r="O119" s="311"/>
      <c r="P119" t="str">
        <f t="shared" si="13"/>
        <v>420-3211</v>
      </c>
      <c r="Q119" s="315" t="str">
        <f t="shared" si="14"/>
        <v>Used Vehicle</v>
      </c>
      <c r="R119" s="315" t="str">
        <f t="shared" si="15"/>
        <v>Used VehicleOverall UV retail gross profit p.u.</v>
      </c>
      <c r="S119" s="199"/>
      <c r="T119" s="199"/>
      <c r="U119" s="199"/>
    </row>
    <row r="120" spans="1:21" x14ac:dyDescent="0.25">
      <c r="A120" t="s">
        <v>996</v>
      </c>
      <c r="B120" t="s">
        <v>997</v>
      </c>
      <c r="C120" t="s">
        <v>1012</v>
      </c>
      <c r="D120">
        <v>3211</v>
      </c>
      <c r="E120">
        <v>421</v>
      </c>
      <c r="F120" t="s">
        <v>1059</v>
      </c>
      <c r="G120" t="s">
        <v>1060</v>
      </c>
      <c r="H120" s="315" t="s">
        <v>30</v>
      </c>
      <c r="I120" s="315" t="s">
        <v>1052</v>
      </c>
      <c r="J120" s="315" t="str">
        <f t="shared" ref="J120:J151" si="16">+H120&amp;I120</f>
        <v>Used VehicleOverall UV retail gross profit p.u.</v>
      </c>
      <c r="K120" s="315" t="str">
        <f t="shared" ref="K120:K151" si="17">+E120&amp;G120</f>
        <v>421Toyota Non-FP UV retail revenue</v>
      </c>
      <c r="L120" s="311">
        <f>+SUMIF('TUNZ Extracted TB'!M:M,$P120,'TUNZ Extracted TB'!G:G)</f>
        <v>0</v>
      </c>
      <c r="M120" s="311"/>
      <c r="N120" s="311">
        <f>+SUMIF('Input Sheet'!$AE:$AE,P120,'Input Sheet'!$X:$X)</f>
        <v>0</v>
      </c>
      <c r="O120" s="311"/>
      <c r="P120" t="str">
        <f t="shared" ref="P120:P151" si="18">+E120&amp;"-"&amp;D120</f>
        <v>421-3211</v>
      </c>
      <c r="Q120" s="315" t="str">
        <f t="shared" ref="Q120:Q151" si="19">H120</f>
        <v>Used Vehicle</v>
      </c>
      <c r="R120" s="315" t="str">
        <f t="shared" ref="R120:R151" si="20">J120</f>
        <v>Used VehicleOverall UV retail gross profit p.u.</v>
      </c>
      <c r="S120" s="199"/>
      <c r="T120" s="199"/>
      <c r="U120" s="199"/>
    </row>
    <row r="121" spans="1:21" x14ac:dyDescent="0.25">
      <c r="A121" t="s">
        <v>996</v>
      </c>
      <c r="B121" t="s">
        <v>997</v>
      </c>
      <c r="C121" t="s">
        <v>1013</v>
      </c>
      <c r="D121">
        <v>3211</v>
      </c>
      <c r="E121">
        <v>320</v>
      </c>
      <c r="F121" t="s">
        <v>1059</v>
      </c>
      <c r="G121" t="s">
        <v>1060</v>
      </c>
      <c r="H121" s="315" t="s">
        <v>30</v>
      </c>
      <c r="I121" s="315" t="s">
        <v>1052</v>
      </c>
      <c r="J121" s="315" t="str">
        <f t="shared" si="16"/>
        <v>Used VehicleOverall UV retail gross profit p.u.</v>
      </c>
      <c r="K121" s="315" t="str">
        <f t="shared" si="17"/>
        <v>320Toyota Non-FP UV retail revenue</v>
      </c>
      <c r="L121" s="311">
        <f>+SUMIF('TUNZ Extracted TB'!M:M,$P121,'TUNZ Extracted TB'!G:G)</f>
        <v>0</v>
      </c>
      <c r="M121" s="311"/>
      <c r="N121" s="311">
        <f>+SUMIF('Input Sheet'!$AE:$AE,P121,'Input Sheet'!$X:$X)</f>
        <v>0</v>
      </c>
      <c r="O121" s="311"/>
      <c r="P121" t="str">
        <f t="shared" si="18"/>
        <v>320-3211</v>
      </c>
      <c r="Q121" s="315" t="str">
        <f t="shared" si="19"/>
        <v>Used Vehicle</v>
      </c>
      <c r="R121" s="315" t="str">
        <f t="shared" si="20"/>
        <v>Used VehicleOverall UV retail gross profit p.u.</v>
      </c>
      <c r="S121" s="199"/>
      <c r="T121" s="199"/>
      <c r="U121" s="199"/>
    </row>
    <row r="122" spans="1:21" x14ac:dyDescent="0.25">
      <c r="A122" t="s">
        <v>996</v>
      </c>
      <c r="B122" t="s">
        <v>997</v>
      </c>
      <c r="C122" t="s">
        <v>1013</v>
      </c>
      <c r="D122">
        <v>3211</v>
      </c>
      <c r="E122">
        <v>321</v>
      </c>
      <c r="F122" t="s">
        <v>1059</v>
      </c>
      <c r="G122" t="s">
        <v>1060</v>
      </c>
      <c r="H122" s="315" t="s">
        <v>30</v>
      </c>
      <c r="I122" s="315" t="s">
        <v>1052</v>
      </c>
      <c r="J122" s="315" t="str">
        <f t="shared" si="16"/>
        <v>Used VehicleOverall UV retail gross profit p.u.</v>
      </c>
      <c r="K122" s="315" t="str">
        <f t="shared" si="17"/>
        <v>321Toyota Non-FP UV retail revenue</v>
      </c>
      <c r="L122" s="311">
        <f>+SUMIF('TUNZ Extracted TB'!M:M,$P122,'TUNZ Extracted TB'!G:G)</f>
        <v>0</v>
      </c>
      <c r="M122" s="311"/>
      <c r="N122" s="311">
        <f>+SUMIF('Input Sheet'!$AE:$AE,P122,'Input Sheet'!$X:$X)</f>
        <v>0</v>
      </c>
      <c r="O122" s="311"/>
      <c r="P122" t="str">
        <f t="shared" si="18"/>
        <v>321-3211</v>
      </c>
      <c r="Q122" s="315" t="str">
        <f t="shared" si="19"/>
        <v>Used Vehicle</v>
      </c>
      <c r="R122" s="315" t="str">
        <f t="shared" si="20"/>
        <v>Used VehicleOverall UV retail gross profit p.u.</v>
      </c>
      <c r="S122" s="199"/>
      <c r="T122" s="199"/>
      <c r="U122" s="199"/>
    </row>
    <row r="123" spans="1:21" x14ac:dyDescent="0.25">
      <c r="A123" t="s">
        <v>996</v>
      </c>
      <c r="B123" t="s">
        <v>997</v>
      </c>
      <c r="C123" t="s">
        <v>997</v>
      </c>
      <c r="D123">
        <v>3211</v>
      </c>
      <c r="E123">
        <v>121</v>
      </c>
      <c r="F123" t="s">
        <v>1059</v>
      </c>
      <c r="G123" t="s">
        <v>1060</v>
      </c>
      <c r="H123" s="315" t="s">
        <v>30</v>
      </c>
      <c r="I123" s="315" t="s">
        <v>1052</v>
      </c>
      <c r="J123" s="315" t="str">
        <f t="shared" si="16"/>
        <v>Used VehicleOverall UV retail gross profit p.u.</v>
      </c>
      <c r="K123" s="315" t="str">
        <f t="shared" si="17"/>
        <v>121Toyota Non-FP UV retail revenue</v>
      </c>
      <c r="L123" s="311">
        <f>+SUMIF('TUNZ Extracted TB'!M:M,$P123,'TUNZ Extracted TB'!G:G)</f>
        <v>0</v>
      </c>
      <c r="M123" s="311"/>
      <c r="N123" s="311">
        <f>+SUMIF('Input Sheet'!$AE:$AE,P123,'Input Sheet'!$X:$X)</f>
        <v>0</v>
      </c>
      <c r="O123" s="311"/>
      <c r="P123" t="str">
        <f t="shared" si="18"/>
        <v>121-3211</v>
      </c>
      <c r="Q123" s="315" t="str">
        <f t="shared" si="19"/>
        <v>Used Vehicle</v>
      </c>
      <c r="R123" s="315" t="str">
        <f t="shared" si="20"/>
        <v>Used VehicleOverall UV retail gross profit p.u.</v>
      </c>
      <c r="S123" s="199"/>
      <c r="T123" s="199"/>
      <c r="U123" s="199"/>
    </row>
    <row r="124" spans="1:21" x14ac:dyDescent="0.25">
      <c r="A124" t="s">
        <v>996</v>
      </c>
      <c r="B124" t="s">
        <v>997</v>
      </c>
      <c r="C124" t="s">
        <v>1005</v>
      </c>
      <c r="D124">
        <v>3211</v>
      </c>
      <c r="E124">
        <v>220</v>
      </c>
      <c r="F124" t="s">
        <v>1059</v>
      </c>
      <c r="G124" t="s">
        <v>1060</v>
      </c>
      <c r="H124" s="315" t="s">
        <v>30</v>
      </c>
      <c r="I124" s="315" t="s">
        <v>1052</v>
      </c>
      <c r="J124" s="315" t="str">
        <f t="shared" si="16"/>
        <v>Used VehicleOverall UV retail gross profit p.u.</v>
      </c>
      <c r="K124" s="315" t="str">
        <f t="shared" si="17"/>
        <v>220Toyota Non-FP UV retail revenue</v>
      </c>
      <c r="L124" s="311">
        <f>+SUMIF('TUNZ Extracted TB'!M:M,$P124,'TUNZ Extracted TB'!G:G)</f>
        <v>-50913.919999999998</v>
      </c>
      <c r="M124" s="311"/>
      <c r="N124" s="311">
        <f>+SUMIF('Input Sheet'!$AE:$AE,P124,'Input Sheet'!$X:$X)</f>
        <v>0</v>
      </c>
      <c r="O124" s="311"/>
      <c r="P124" t="str">
        <f t="shared" si="18"/>
        <v>220-3211</v>
      </c>
      <c r="Q124" s="315" t="str">
        <f t="shared" si="19"/>
        <v>Used Vehicle</v>
      </c>
      <c r="R124" s="315" t="str">
        <f t="shared" si="20"/>
        <v>Used VehicleOverall UV retail gross profit p.u.</v>
      </c>
      <c r="S124" s="199"/>
      <c r="T124" s="199"/>
      <c r="U124" s="199"/>
    </row>
    <row r="125" spans="1:21" x14ac:dyDescent="0.25">
      <c r="A125" t="s">
        <v>996</v>
      </c>
      <c r="B125" t="s">
        <v>997</v>
      </c>
      <c r="C125" t="s">
        <v>997</v>
      </c>
      <c r="D125">
        <v>3211</v>
      </c>
      <c r="E125">
        <v>120</v>
      </c>
      <c r="F125" t="s">
        <v>1059</v>
      </c>
      <c r="G125" t="s">
        <v>1060</v>
      </c>
      <c r="H125" s="315" t="s">
        <v>30</v>
      </c>
      <c r="I125" s="315" t="s">
        <v>1052</v>
      </c>
      <c r="J125" s="315" t="str">
        <f t="shared" si="16"/>
        <v>Used VehicleOverall UV retail gross profit p.u.</v>
      </c>
      <c r="K125" s="315" t="str">
        <f t="shared" si="17"/>
        <v>120Toyota Non-FP UV retail revenue</v>
      </c>
      <c r="L125" s="311">
        <f>+SUMIF('TUNZ Extracted TB'!M:M,$P125,'TUNZ Extracted TB'!G:G)</f>
        <v>-38260.870000000003</v>
      </c>
      <c r="M125" s="311"/>
      <c r="N125" s="311">
        <f>+SUMIF('Input Sheet'!$AE:$AE,P125,'Input Sheet'!$X:$X)</f>
        <v>0</v>
      </c>
      <c r="O125" s="311"/>
      <c r="P125" t="str">
        <f t="shared" si="18"/>
        <v>120-3211</v>
      </c>
      <c r="Q125" s="315" t="str">
        <f t="shared" si="19"/>
        <v>Used Vehicle</v>
      </c>
      <c r="R125" s="315" t="str">
        <f t="shared" si="20"/>
        <v>Used VehicleOverall UV retail gross profit p.u.</v>
      </c>
    </row>
    <row r="126" spans="1:21" x14ac:dyDescent="0.25">
      <c r="A126" t="s">
        <v>996</v>
      </c>
      <c r="B126" t="s">
        <v>997</v>
      </c>
      <c r="C126" t="s">
        <v>997</v>
      </c>
      <c r="D126">
        <v>3212</v>
      </c>
      <c r="E126">
        <v>122</v>
      </c>
      <c r="F126" t="s">
        <v>1050</v>
      </c>
      <c r="G126" t="s">
        <v>1051</v>
      </c>
      <c r="H126" s="315" t="s">
        <v>1041</v>
      </c>
      <c r="I126" s="315" t="s">
        <v>1052</v>
      </c>
      <c r="J126" s="315" t="str">
        <f t="shared" si="16"/>
        <v>LEX Used VehicleOverall UV retail gross profit p.u.</v>
      </c>
      <c r="K126" s="315" t="str">
        <f t="shared" si="17"/>
        <v>122Lexus UV Retail revenue</v>
      </c>
      <c r="L126" s="311">
        <f>+SUMIF('TUNZ Extracted TB'!M:M,$P126,'TUNZ Extracted TB'!G:G)</f>
        <v>0</v>
      </c>
      <c r="M126" s="311"/>
      <c r="N126" s="311">
        <f>+SUMIF('Input Sheet'!$AE:$AE,P126,'Input Sheet'!$X:$X)</f>
        <v>0</v>
      </c>
      <c r="O126" s="311"/>
      <c r="P126" t="str">
        <f t="shared" si="18"/>
        <v>122-3212</v>
      </c>
      <c r="Q126" s="315" t="str">
        <f t="shared" si="19"/>
        <v>LEX Used Vehicle</v>
      </c>
      <c r="R126" s="315" t="str">
        <f t="shared" si="20"/>
        <v>LEX Used VehicleOverall UV retail gross profit p.u.</v>
      </c>
      <c r="S126" s="199"/>
      <c r="T126" s="199"/>
      <c r="U126" s="199"/>
    </row>
    <row r="127" spans="1:21" x14ac:dyDescent="0.25">
      <c r="A127" t="s">
        <v>996</v>
      </c>
      <c r="B127" t="s">
        <v>997</v>
      </c>
      <c r="C127" t="s">
        <v>1005</v>
      </c>
      <c r="D127">
        <v>3212</v>
      </c>
      <c r="E127">
        <v>220</v>
      </c>
      <c r="F127" t="s">
        <v>1059</v>
      </c>
      <c r="G127" t="s">
        <v>1060</v>
      </c>
      <c r="H127" s="315" t="s">
        <v>30</v>
      </c>
      <c r="I127" s="315" t="s">
        <v>1052</v>
      </c>
      <c r="J127" s="315" t="str">
        <f t="shared" si="16"/>
        <v>Used VehicleOverall UV retail gross profit p.u.</v>
      </c>
      <c r="K127" s="315" t="str">
        <f t="shared" si="17"/>
        <v>220Toyota Non-FP UV retail revenue</v>
      </c>
      <c r="L127" s="311">
        <f>+SUMIF('TUNZ Extracted TB'!M:M,$P127,'TUNZ Extracted TB'!G:G)</f>
        <v>0</v>
      </c>
      <c r="M127" s="311"/>
      <c r="N127" s="311">
        <f>+SUMIF('Input Sheet'!$AE:$AE,P127,'Input Sheet'!$X:$X)</f>
        <v>0</v>
      </c>
      <c r="O127" s="311"/>
      <c r="P127" t="str">
        <f t="shared" si="18"/>
        <v>220-3212</v>
      </c>
      <c r="Q127" s="315" t="str">
        <f t="shared" si="19"/>
        <v>Used Vehicle</v>
      </c>
      <c r="R127" s="315" t="str">
        <f t="shared" si="20"/>
        <v>Used VehicleOverall UV retail gross profit p.u.</v>
      </c>
      <c r="S127" s="199"/>
      <c r="T127" s="199"/>
      <c r="U127" s="199"/>
    </row>
    <row r="128" spans="1:21" x14ac:dyDescent="0.25">
      <c r="A128" t="s">
        <v>996</v>
      </c>
      <c r="B128" t="s">
        <v>997</v>
      </c>
      <c r="C128" t="s">
        <v>1005</v>
      </c>
      <c r="D128">
        <v>3212</v>
      </c>
      <c r="E128">
        <v>221</v>
      </c>
      <c r="F128" t="s">
        <v>1059</v>
      </c>
      <c r="G128" t="s">
        <v>1060</v>
      </c>
      <c r="H128" s="315" t="s">
        <v>30</v>
      </c>
      <c r="I128" s="315" t="s">
        <v>1052</v>
      </c>
      <c r="J128" s="315" t="str">
        <f t="shared" si="16"/>
        <v>Used VehicleOverall UV retail gross profit p.u.</v>
      </c>
      <c r="K128" s="315" t="str">
        <f t="shared" si="17"/>
        <v>221Toyota Non-FP UV retail revenue</v>
      </c>
      <c r="L128" s="311">
        <f>+SUMIF('TUNZ Extracted TB'!M:M,$P128,'TUNZ Extracted TB'!G:G)</f>
        <v>0</v>
      </c>
      <c r="M128" s="311"/>
      <c r="N128" s="311">
        <f>+SUMIF('Input Sheet'!$AE:$AE,P128,'Input Sheet'!$X:$X)</f>
        <v>0</v>
      </c>
      <c r="O128" s="311"/>
      <c r="P128" t="str">
        <f t="shared" si="18"/>
        <v>221-3212</v>
      </c>
      <c r="Q128" s="315" t="str">
        <f t="shared" si="19"/>
        <v>Used Vehicle</v>
      </c>
      <c r="R128" s="315" t="str">
        <f t="shared" si="20"/>
        <v>Used VehicleOverall UV retail gross profit p.u.</v>
      </c>
      <c r="S128" s="199"/>
      <c r="T128" s="199"/>
      <c r="U128" s="199"/>
    </row>
    <row r="129" spans="1:21" x14ac:dyDescent="0.25">
      <c r="A129" t="s">
        <v>996</v>
      </c>
      <c r="B129" t="s">
        <v>997</v>
      </c>
      <c r="C129" t="s">
        <v>1012</v>
      </c>
      <c r="D129">
        <v>3212</v>
      </c>
      <c r="E129">
        <v>420</v>
      </c>
      <c r="F129" t="s">
        <v>1059</v>
      </c>
      <c r="G129" t="s">
        <v>1060</v>
      </c>
      <c r="H129" s="315" t="s">
        <v>30</v>
      </c>
      <c r="I129" s="315" t="s">
        <v>1052</v>
      </c>
      <c r="J129" s="315" t="str">
        <f t="shared" si="16"/>
        <v>Used VehicleOverall UV retail gross profit p.u.</v>
      </c>
      <c r="K129" s="315" t="str">
        <f t="shared" si="17"/>
        <v>420Toyota Non-FP UV retail revenue</v>
      </c>
      <c r="L129" s="311">
        <f>+SUMIF('TUNZ Extracted TB'!M:M,$P129,'TUNZ Extracted TB'!G:G)</f>
        <v>0</v>
      </c>
      <c r="M129" s="311"/>
      <c r="N129" s="311">
        <f>+SUMIF('Input Sheet'!$AE:$AE,P129,'Input Sheet'!$X:$X)</f>
        <v>0</v>
      </c>
      <c r="O129" s="311"/>
      <c r="P129" t="str">
        <f t="shared" si="18"/>
        <v>420-3212</v>
      </c>
      <c r="Q129" s="315" t="str">
        <f t="shared" si="19"/>
        <v>Used Vehicle</v>
      </c>
      <c r="R129" s="315" t="str">
        <f t="shared" si="20"/>
        <v>Used VehicleOverall UV retail gross profit p.u.</v>
      </c>
      <c r="S129" s="199"/>
      <c r="T129" s="199"/>
      <c r="U129" s="199"/>
    </row>
    <row r="130" spans="1:21" x14ac:dyDescent="0.25">
      <c r="A130" t="s">
        <v>996</v>
      </c>
      <c r="B130" t="s">
        <v>997</v>
      </c>
      <c r="C130" t="s">
        <v>1012</v>
      </c>
      <c r="D130">
        <v>3212</v>
      </c>
      <c r="E130">
        <v>421</v>
      </c>
      <c r="F130" t="s">
        <v>1059</v>
      </c>
      <c r="G130" t="s">
        <v>1060</v>
      </c>
      <c r="H130" s="315" t="s">
        <v>30</v>
      </c>
      <c r="I130" s="315" t="s">
        <v>1052</v>
      </c>
      <c r="J130" s="315" t="str">
        <f t="shared" si="16"/>
        <v>Used VehicleOverall UV retail gross profit p.u.</v>
      </c>
      <c r="K130" s="315" t="str">
        <f t="shared" si="17"/>
        <v>421Toyota Non-FP UV retail revenue</v>
      </c>
      <c r="L130" s="311">
        <f>+SUMIF('TUNZ Extracted TB'!M:M,$P130,'TUNZ Extracted TB'!G:G)</f>
        <v>0</v>
      </c>
      <c r="M130" s="311"/>
      <c r="N130" s="311">
        <f>+SUMIF('Input Sheet'!$AE:$AE,P130,'Input Sheet'!$X:$X)</f>
        <v>0</v>
      </c>
      <c r="O130" s="311"/>
      <c r="P130" t="str">
        <f t="shared" si="18"/>
        <v>421-3212</v>
      </c>
      <c r="Q130" s="315" t="str">
        <f t="shared" si="19"/>
        <v>Used Vehicle</v>
      </c>
      <c r="R130" s="315" t="str">
        <f t="shared" si="20"/>
        <v>Used VehicleOverall UV retail gross profit p.u.</v>
      </c>
      <c r="S130" s="199"/>
      <c r="T130" s="199"/>
      <c r="U130" s="199"/>
    </row>
    <row r="131" spans="1:21" x14ac:dyDescent="0.25">
      <c r="A131" t="s">
        <v>996</v>
      </c>
      <c r="B131" t="s">
        <v>997</v>
      </c>
      <c r="C131" t="s">
        <v>1013</v>
      </c>
      <c r="D131">
        <v>3212</v>
      </c>
      <c r="E131">
        <v>320</v>
      </c>
      <c r="F131" t="s">
        <v>1059</v>
      </c>
      <c r="G131" t="s">
        <v>1060</v>
      </c>
      <c r="H131" s="315" t="s">
        <v>30</v>
      </c>
      <c r="I131" s="315" t="s">
        <v>1052</v>
      </c>
      <c r="J131" s="315" t="str">
        <f t="shared" si="16"/>
        <v>Used VehicleOverall UV retail gross profit p.u.</v>
      </c>
      <c r="K131" s="315" t="str">
        <f t="shared" si="17"/>
        <v>320Toyota Non-FP UV retail revenue</v>
      </c>
      <c r="L131" s="311">
        <f>+SUMIF('TUNZ Extracted TB'!M:M,$P131,'TUNZ Extracted TB'!G:G)</f>
        <v>0</v>
      </c>
      <c r="M131" s="311"/>
      <c r="N131" s="311">
        <f>+SUMIF('Input Sheet'!$AE:$AE,P131,'Input Sheet'!$X:$X)</f>
        <v>0</v>
      </c>
      <c r="O131" s="311"/>
      <c r="P131" t="str">
        <f t="shared" si="18"/>
        <v>320-3212</v>
      </c>
      <c r="Q131" s="315" t="str">
        <f t="shared" si="19"/>
        <v>Used Vehicle</v>
      </c>
      <c r="R131" s="315" t="str">
        <f t="shared" si="20"/>
        <v>Used VehicleOverall UV retail gross profit p.u.</v>
      </c>
      <c r="S131" s="199"/>
      <c r="T131" s="199"/>
      <c r="U131" s="199"/>
    </row>
    <row r="132" spans="1:21" x14ac:dyDescent="0.25">
      <c r="A132" t="s">
        <v>996</v>
      </c>
      <c r="B132" t="s">
        <v>997</v>
      </c>
      <c r="C132" t="s">
        <v>1013</v>
      </c>
      <c r="D132">
        <v>3212</v>
      </c>
      <c r="E132">
        <v>321</v>
      </c>
      <c r="F132" t="s">
        <v>1059</v>
      </c>
      <c r="G132" t="s">
        <v>1060</v>
      </c>
      <c r="H132" s="315" t="s">
        <v>30</v>
      </c>
      <c r="I132" s="315" t="s">
        <v>1052</v>
      </c>
      <c r="J132" s="315" t="str">
        <f t="shared" si="16"/>
        <v>Used VehicleOverall UV retail gross profit p.u.</v>
      </c>
      <c r="K132" s="315" t="str">
        <f t="shared" si="17"/>
        <v>321Toyota Non-FP UV retail revenue</v>
      </c>
      <c r="L132" s="311">
        <f>+SUMIF('TUNZ Extracted TB'!M:M,$P132,'TUNZ Extracted TB'!G:G)</f>
        <v>0</v>
      </c>
      <c r="M132" s="311"/>
      <c r="N132" s="311">
        <f>+SUMIF('Input Sheet'!$AE:$AE,P132,'Input Sheet'!$X:$X)</f>
        <v>0</v>
      </c>
      <c r="O132" s="311"/>
      <c r="P132" t="str">
        <f t="shared" si="18"/>
        <v>321-3212</v>
      </c>
      <c r="Q132" s="315" t="str">
        <f t="shared" si="19"/>
        <v>Used Vehicle</v>
      </c>
      <c r="R132" s="315" t="str">
        <f t="shared" si="20"/>
        <v>Used VehicleOverall UV retail gross profit p.u.</v>
      </c>
      <c r="S132" s="199"/>
      <c r="T132" s="199"/>
      <c r="U132" s="199"/>
    </row>
    <row r="133" spans="1:21" x14ac:dyDescent="0.25">
      <c r="A133" t="s">
        <v>996</v>
      </c>
      <c r="B133" t="s">
        <v>997</v>
      </c>
      <c r="C133" t="s">
        <v>997</v>
      </c>
      <c r="D133">
        <v>3212</v>
      </c>
      <c r="E133">
        <v>120</v>
      </c>
      <c r="F133" t="s">
        <v>1059</v>
      </c>
      <c r="G133" t="s">
        <v>1060</v>
      </c>
      <c r="H133" s="315" t="s">
        <v>30</v>
      </c>
      <c r="I133" s="315" t="s">
        <v>1052</v>
      </c>
      <c r="J133" s="315" t="str">
        <f t="shared" si="16"/>
        <v>Used VehicleOverall UV retail gross profit p.u.</v>
      </c>
      <c r="K133" s="315" t="str">
        <f t="shared" si="17"/>
        <v>120Toyota Non-FP UV retail revenue</v>
      </c>
      <c r="L133" s="311">
        <f>+SUMIF('TUNZ Extracted TB'!M:M,$P133,'TUNZ Extracted TB'!G:G)</f>
        <v>0</v>
      </c>
      <c r="M133" s="311"/>
      <c r="N133" s="311">
        <f>+SUMIF('Input Sheet'!$AE:$AE,P133,'Input Sheet'!$X:$X)</f>
        <v>0</v>
      </c>
      <c r="O133" s="311"/>
      <c r="P133" t="str">
        <f t="shared" si="18"/>
        <v>120-3212</v>
      </c>
      <c r="Q133" s="315" t="str">
        <f t="shared" si="19"/>
        <v>Used Vehicle</v>
      </c>
      <c r="R133" s="315" t="str">
        <f t="shared" si="20"/>
        <v>Used VehicleOverall UV retail gross profit p.u.</v>
      </c>
      <c r="S133" s="199"/>
      <c r="T133" s="199"/>
      <c r="U133" s="199"/>
    </row>
    <row r="134" spans="1:21" x14ac:dyDescent="0.25">
      <c r="A134" t="s">
        <v>996</v>
      </c>
      <c r="B134" t="s">
        <v>997</v>
      </c>
      <c r="C134" t="s">
        <v>997</v>
      </c>
      <c r="D134">
        <v>3230</v>
      </c>
      <c r="E134">
        <v>122</v>
      </c>
      <c r="F134" t="s">
        <v>1061</v>
      </c>
      <c r="G134" t="s">
        <v>1062</v>
      </c>
      <c r="H134" s="315" t="s">
        <v>1041</v>
      </c>
      <c r="I134" s="315" t="s">
        <v>1063</v>
      </c>
      <c r="J134" s="315" t="str">
        <f t="shared" si="16"/>
        <v>LEX Used VehicleGross profit per wholesale unit</v>
      </c>
      <c r="K134" s="315" t="str">
        <f t="shared" si="17"/>
        <v>122Lexus UV Wholesale revenue</v>
      </c>
      <c r="L134" s="311">
        <f>+SUMIF('TUNZ Extracted TB'!M:M,$P134,'TUNZ Extracted TB'!G:G)</f>
        <v>0</v>
      </c>
      <c r="M134" s="311"/>
      <c r="N134" s="311">
        <f>+SUMIF('Input Sheet'!$AE:$AE,P134,'Input Sheet'!$X:$X)</f>
        <v>0</v>
      </c>
      <c r="O134" s="311"/>
      <c r="P134" t="str">
        <f t="shared" si="18"/>
        <v>122-3230</v>
      </c>
      <c r="Q134" s="315" t="str">
        <f t="shared" si="19"/>
        <v>LEX Used Vehicle</v>
      </c>
      <c r="R134" s="315" t="str">
        <f t="shared" si="20"/>
        <v>LEX Used VehicleGross profit per wholesale unit</v>
      </c>
      <c r="S134" s="199"/>
      <c r="T134" s="199"/>
      <c r="U134" s="199"/>
    </row>
    <row r="135" spans="1:21" x14ac:dyDescent="0.25">
      <c r="A135" t="s">
        <v>996</v>
      </c>
      <c r="B135" t="s">
        <v>997</v>
      </c>
      <c r="C135" t="s">
        <v>1005</v>
      </c>
      <c r="D135">
        <v>3230</v>
      </c>
      <c r="E135">
        <v>221</v>
      </c>
      <c r="F135" t="s">
        <v>1064</v>
      </c>
      <c r="G135" t="s">
        <v>1065</v>
      </c>
      <c r="H135" s="315" t="s">
        <v>30</v>
      </c>
      <c r="I135" s="315" t="s">
        <v>1063</v>
      </c>
      <c r="J135" s="315" t="str">
        <f t="shared" si="16"/>
        <v>Used VehicleGross profit per wholesale unit</v>
      </c>
      <c r="K135" s="315" t="str">
        <f t="shared" si="17"/>
        <v>221Toyota UV Wholesale revenue</v>
      </c>
      <c r="L135" s="311">
        <f>+SUMIF('TUNZ Extracted TB'!M:M,$P135,'TUNZ Extracted TB'!G:G)</f>
        <v>0</v>
      </c>
      <c r="M135" s="311"/>
      <c r="N135" s="311">
        <f>+SUMIF('Input Sheet'!$AE:$AE,P135,'Input Sheet'!$X:$X)</f>
        <v>0</v>
      </c>
      <c r="O135" s="311"/>
      <c r="P135" t="str">
        <f t="shared" si="18"/>
        <v>221-3230</v>
      </c>
      <c r="Q135" s="315" t="str">
        <f t="shared" si="19"/>
        <v>Used Vehicle</v>
      </c>
      <c r="R135" s="315" t="str">
        <f t="shared" si="20"/>
        <v>Used VehicleGross profit per wholesale unit</v>
      </c>
      <c r="S135" s="199"/>
      <c r="T135" s="199"/>
      <c r="U135" s="199"/>
    </row>
    <row r="136" spans="1:21" x14ac:dyDescent="0.25">
      <c r="A136" t="s">
        <v>996</v>
      </c>
      <c r="B136" t="s">
        <v>997</v>
      </c>
      <c r="C136" t="s">
        <v>1012</v>
      </c>
      <c r="D136">
        <v>3230</v>
      </c>
      <c r="E136">
        <v>420</v>
      </c>
      <c r="F136" t="s">
        <v>1064</v>
      </c>
      <c r="G136" t="s">
        <v>1065</v>
      </c>
      <c r="H136" s="315" t="s">
        <v>30</v>
      </c>
      <c r="I136" s="315" t="s">
        <v>1063</v>
      </c>
      <c r="J136" s="315" t="str">
        <f t="shared" si="16"/>
        <v>Used VehicleGross profit per wholesale unit</v>
      </c>
      <c r="K136" s="315" t="str">
        <f t="shared" si="17"/>
        <v>420Toyota UV Wholesale revenue</v>
      </c>
      <c r="L136" s="311">
        <f>+SUMIF('TUNZ Extracted TB'!M:M,$P136,'TUNZ Extracted TB'!G:G)</f>
        <v>0</v>
      </c>
      <c r="M136" s="311"/>
      <c r="N136" s="311">
        <f>+SUMIF('Input Sheet'!$AE:$AE,P136,'Input Sheet'!$X:$X)</f>
        <v>0</v>
      </c>
      <c r="O136" s="311"/>
      <c r="P136" t="str">
        <f t="shared" si="18"/>
        <v>420-3230</v>
      </c>
      <c r="Q136" s="315" t="str">
        <f t="shared" si="19"/>
        <v>Used Vehicle</v>
      </c>
      <c r="R136" s="315" t="str">
        <f t="shared" si="20"/>
        <v>Used VehicleGross profit per wholesale unit</v>
      </c>
      <c r="S136" s="199"/>
      <c r="T136" s="199"/>
      <c r="U136" s="199"/>
    </row>
    <row r="137" spans="1:21" x14ac:dyDescent="0.25">
      <c r="A137" t="s">
        <v>996</v>
      </c>
      <c r="B137" t="s">
        <v>997</v>
      </c>
      <c r="C137" t="s">
        <v>1012</v>
      </c>
      <c r="D137">
        <v>3230</v>
      </c>
      <c r="E137">
        <v>421</v>
      </c>
      <c r="F137" t="s">
        <v>1064</v>
      </c>
      <c r="G137" t="s">
        <v>1065</v>
      </c>
      <c r="H137" s="315" t="s">
        <v>30</v>
      </c>
      <c r="I137" s="315" t="s">
        <v>1063</v>
      </c>
      <c r="J137" s="315" t="str">
        <f t="shared" si="16"/>
        <v>Used VehicleGross profit per wholesale unit</v>
      </c>
      <c r="K137" s="315" t="str">
        <f t="shared" si="17"/>
        <v>421Toyota UV Wholesale revenue</v>
      </c>
      <c r="L137" s="311">
        <f>+SUMIF('TUNZ Extracted TB'!M:M,$P137,'TUNZ Extracted TB'!G:G)</f>
        <v>0</v>
      </c>
      <c r="M137" s="311"/>
      <c r="N137" s="311">
        <f>+SUMIF('Input Sheet'!$AE:$AE,P137,'Input Sheet'!$X:$X)</f>
        <v>0</v>
      </c>
      <c r="O137" s="311"/>
      <c r="P137" t="str">
        <f t="shared" si="18"/>
        <v>421-3230</v>
      </c>
      <c r="Q137" s="315" t="str">
        <f t="shared" si="19"/>
        <v>Used Vehicle</v>
      </c>
      <c r="R137" s="315" t="str">
        <f t="shared" si="20"/>
        <v>Used VehicleGross profit per wholesale unit</v>
      </c>
      <c r="S137" s="199"/>
      <c r="T137" s="199"/>
      <c r="U137" s="199"/>
    </row>
    <row r="138" spans="1:21" x14ac:dyDescent="0.25">
      <c r="A138" t="s">
        <v>996</v>
      </c>
      <c r="B138" t="s">
        <v>997</v>
      </c>
      <c r="C138" t="s">
        <v>1013</v>
      </c>
      <c r="D138">
        <v>3230</v>
      </c>
      <c r="E138">
        <v>320</v>
      </c>
      <c r="F138" t="s">
        <v>1064</v>
      </c>
      <c r="G138" t="s">
        <v>1065</v>
      </c>
      <c r="H138" s="315" t="s">
        <v>30</v>
      </c>
      <c r="I138" s="315" t="s">
        <v>1063</v>
      </c>
      <c r="J138" s="315" t="str">
        <f t="shared" si="16"/>
        <v>Used VehicleGross profit per wholesale unit</v>
      </c>
      <c r="K138" s="315" t="str">
        <f t="shared" si="17"/>
        <v>320Toyota UV Wholesale revenue</v>
      </c>
      <c r="L138" s="311">
        <f>+SUMIF('TUNZ Extracted TB'!M:M,$P138,'TUNZ Extracted TB'!G:G)</f>
        <v>0</v>
      </c>
      <c r="M138" s="311"/>
      <c r="N138" s="311">
        <f>+SUMIF('Input Sheet'!$AE:$AE,P138,'Input Sheet'!$X:$X)</f>
        <v>0</v>
      </c>
      <c r="O138" s="311"/>
      <c r="P138" t="str">
        <f t="shared" si="18"/>
        <v>320-3230</v>
      </c>
      <c r="Q138" s="315" t="str">
        <f t="shared" si="19"/>
        <v>Used Vehicle</v>
      </c>
      <c r="R138" s="315" t="str">
        <f t="shared" si="20"/>
        <v>Used VehicleGross profit per wholesale unit</v>
      </c>
      <c r="S138" s="199"/>
      <c r="T138" s="199"/>
      <c r="U138" s="199"/>
    </row>
    <row r="139" spans="1:21" x14ac:dyDescent="0.25">
      <c r="A139" t="s">
        <v>996</v>
      </c>
      <c r="B139" t="s">
        <v>997</v>
      </c>
      <c r="C139" t="s">
        <v>1013</v>
      </c>
      <c r="D139">
        <v>3230</v>
      </c>
      <c r="E139">
        <v>321</v>
      </c>
      <c r="F139" t="s">
        <v>1064</v>
      </c>
      <c r="G139" t="s">
        <v>1065</v>
      </c>
      <c r="H139" s="315" t="s">
        <v>30</v>
      </c>
      <c r="I139" s="315" t="s">
        <v>1063</v>
      </c>
      <c r="J139" s="315" t="str">
        <f t="shared" si="16"/>
        <v>Used VehicleGross profit per wholesale unit</v>
      </c>
      <c r="K139" s="315" t="str">
        <f t="shared" si="17"/>
        <v>321Toyota UV Wholesale revenue</v>
      </c>
      <c r="L139" s="311">
        <f>+SUMIF('TUNZ Extracted TB'!M:M,$P139,'TUNZ Extracted TB'!G:G)</f>
        <v>0</v>
      </c>
      <c r="M139" s="311"/>
      <c r="N139" s="311">
        <f>+SUMIF('Input Sheet'!$AE:$AE,P139,'Input Sheet'!$X:$X)</f>
        <v>0</v>
      </c>
      <c r="O139" s="311"/>
      <c r="P139" t="str">
        <f t="shared" si="18"/>
        <v>321-3230</v>
      </c>
      <c r="Q139" s="315" t="str">
        <f t="shared" si="19"/>
        <v>Used Vehicle</v>
      </c>
      <c r="R139" s="315" t="str">
        <f t="shared" si="20"/>
        <v>Used VehicleGross profit per wholesale unit</v>
      </c>
      <c r="S139" s="199"/>
      <c r="T139" s="199"/>
      <c r="U139" s="199"/>
    </row>
    <row r="140" spans="1:21" x14ac:dyDescent="0.25">
      <c r="A140" t="s">
        <v>996</v>
      </c>
      <c r="B140" t="s">
        <v>997</v>
      </c>
      <c r="C140" t="s">
        <v>997</v>
      </c>
      <c r="D140">
        <v>3230</v>
      </c>
      <c r="E140">
        <v>121</v>
      </c>
      <c r="F140" t="s">
        <v>1064</v>
      </c>
      <c r="G140" t="s">
        <v>1065</v>
      </c>
      <c r="H140" s="315" t="s">
        <v>30</v>
      </c>
      <c r="I140" s="315" t="s">
        <v>1063</v>
      </c>
      <c r="J140" s="315" t="str">
        <f t="shared" si="16"/>
        <v>Used VehicleGross profit per wholesale unit</v>
      </c>
      <c r="K140" s="315" t="str">
        <f t="shared" si="17"/>
        <v>121Toyota UV Wholesale revenue</v>
      </c>
      <c r="L140" s="311">
        <f>+SUMIF('TUNZ Extracted TB'!M:M,$P140,'TUNZ Extracted TB'!G:G)</f>
        <v>0</v>
      </c>
      <c r="M140" s="311"/>
      <c r="N140" s="311">
        <f>+SUMIF('Input Sheet'!$AE:$AE,P140,'Input Sheet'!$X:$X)</f>
        <v>0</v>
      </c>
      <c r="O140" s="311"/>
      <c r="P140" t="str">
        <f t="shared" si="18"/>
        <v>121-3230</v>
      </c>
      <c r="Q140" s="315" t="str">
        <f t="shared" si="19"/>
        <v>Used Vehicle</v>
      </c>
      <c r="R140" s="315" t="str">
        <f t="shared" si="20"/>
        <v>Used VehicleGross profit per wholesale unit</v>
      </c>
      <c r="S140" s="199"/>
      <c r="T140" s="199"/>
      <c r="U140" s="199"/>
    </row>
    <row r="141" spans="1:21" x14ac:dyDescent="0.25">
      <c r="A141" t="s">
        <v>996</v>
      </c>
      <c r="B141" t="s">
        <v>997</v>
      </c>
      <c r="C141" t="s">
        <v>1005</v>
      </c>
      <c r="D141">
        <v>3230</v>
      </c>
      <c r="E141">
        <v>220</v>
      </c>
      <c r="F141" t="s">
        <v>1064</v>
      </c>
      <c r="G141" t="s">
        <v>1065</v>
      </c>
      <c r="H141" s="315" t="s">
        <v>30</v>
      </c>
      <c r="I141" s="315" t="s">
        <v>1063</v>
      </c>
      <c r="J141" s="315" t="str">
        <f t="shared" si="16"/>
        <v>Used VehicleGross profit per wholesale unit</v>
      </c>
      <c r="K141" s="315" t="str">
        <f t="shared" si="17"/>
        <v>220Toyota UV Wholesale revenue</v>
      </c>
      <c r="L141" s="311">
        <f>+SUMIF('TUNZ Extracted TB'!M:M,$P141,'TUNZ Extracted TB'!G:G)</f>
        <v>-96921.73</v>
      </c>
      <c r="M141" s="311"/>
      <c r="N141" s="311">
        <f>+SUMIF('Input Sheet'!$AE:$AE,P141,'Input Sheet'!$X:$X)</f>
        <v>0</v>
      </c>
      <c r="O141" s="311"/>
      <c r="P141" t="str">
        <f t="shared" si="18"/>
        <v>220-3230</v>
      </c>
      <c r="Q141" s="315" t="str">
        <f t="shared" si="19"/>
        <v>Used Vehicle</v>
      </c>
      <c r="R141" s="315" t="str">
        <f t="shared" si="20"/>
        <v>Used VehicleGross profit per wholesale unit</v>
      </c>
      <c r="S141" s="199"/>
      <c r="T141" s="199"/>
      <c r="U141" s="199"/>
    </row>
    <row r="142" spans="1:21" x14ac:dyDescent="0.25">
      <c r="A142" t="s">
        <v>996</v>
      </c>
      <c r="B142" t="s">
        <v>997</v>
      </c>
      <c r="C142" t="s">
        <v>997</v>
      </c>
      <c r="D142">
        <v>3230</v>
      </c>
      <c r="E142">
        <v>120</v>
      </c>
      <c r="F142" t="s">
        <v>1064</v>
      </c>
      <c r="G142" t="s">
        <v>1065</v>
      </c>
      <c r="H142" s="315" t="s">
        <v>30</v>
      </c>
      <c r="I142" s="315" t="s">
        <v>1063</v>
      </c>
      <c r="J142" s="315" t="str">
        <f t="shared" si="16"/>
        <v>Used VehicleGross profit per wholesale unit</v>
      </c>
      <c r="K142" s="315" t="str">
        <f t="shared" si="17"/>
        <v>120Toyota UV Wholesale revenue</v>
      </c>
      <c r="L142" s="311">
        <f>+SUMIF('TUNZ Extracted TB'!M:M,$P142,'TUNZ Extracted TB'!G:G)</f>
        <v>-71347.839999999997</v>
      </c>
      <c r="M142" s="311"/>
      <c r="N142" s="311">
        <f>+SUMIF('Input Sheet'!$AE:$AE,P142,'Input Sheet'!$X:$X)</f>
        <v>0</v>
      </c>
      <c r="O142" s="311"/>
      <c r="P142" t="str">
        <f t="shared" si="18"/>
        <v>120-3230</v>
      </c>
      <c r="Q142" s="315" t="str">
        <f t="shared" si="19"/>
        <v>Used Vehicle</v>
      </c>
      <c r="R142" s="315" t="str">
        <f t="shared" si="20"/>
        <v>Used VehicleGross profit per wholesale unit</v>
      </c>
    </row>
    <row r="143" spans="1:21" x14ac:dyDescent="0.25">
      <c r="A143" t="s">
        <v>996</v>
      </c>
      <c r="B143" t="s">
        <v>997</v>
      </c>
      <c r="C143" t="s">
        <v>997</v>
      </c>
      <c r="D143">
        <v>3231</v>
      </c>
      <c r="E143">
        <v>122</v>
      </c>
      <c r="F143" t="s">
        <v>1061</v>
      </c>
      <c r="G143" t="s">
        <v>1062</v>
      </c>
      <c r="H143" s="315" t="s">
        <v>1041</v>
      </c>
      <c r="I143" s="315" t="s">
        <v>1063</v>
      </c>
      <c r="J143" s="315" t="str">
        <f t="shared" si="16"/>
        <v>LEX Used VehicleGross profit per wholesale unit</v>
      </c>
      <c r="K143" s="315" t="str">
        <f t="shared" si="17"/>
        <v>122Lexus UV Wholesale revenue</v>
      </c>
      <c r="L143" s="311">
        <f>+SUMIF('TUNZ Extracted TB'!M:M,$P143,'TUNZ Extracted TB'!G:G)</f>
        <v>0</v>
      </c>
      <c r="M143" s="311"/>
      <c r="N143" s="311">
        <f>+SUMIF('Input Sheet'!$AE:$AE,P143,'Input Sheet'!$X:$X)</f>
        <v>0</v>
      </c>
      <c r="O143" s="311"/>
      <c r="P143" t="str">
        <f t="shared" si="18"/>
        <v>122-3231</v>
      </c>
      <c r="Q143" s="315" t="str">
        <f t="shared" si="19"/>
        <v>LEX Used Vehicle</v>
      </c>
      <c r="R143" s="315" t="str">
        <f t="shared" si="20"/>
        <v>LEX Used VehicleGross profit per wholesale unit</v>
      </c>
      <c r="S143" s="199"/>
      <c r="T143" s="199"/>
      <c r="U143" s="199"/>
    </row>
    <row r="144" spans="1:21" x14ac:dyDescent="0.25">
      <c r="A144" t="s">
        <v>996</v>
      </c>
      <c r="B144" t="s">
        <v>997</v>
      </c>
      <c r="C144" t="s">
        <v>1005</v>
      </c>
      <c r="D144">
        <v>3231</v>
      </c>
      <c r="E144">
        <v>220</v>
      </c>
      <c r="F144" t="s">
        <v>1064</v>
      </c>
      <c r="G144" t="s">
        <v>1065</v>
      </c>
      <c r="H144" s="315" t="s">
        <v>30</v>
      </c>
      <c r="I144" s="315" t="s">
        <v>1063</v>
      </c>
      <c r="J144" s="315" t="str">
        <f t="shared" si="16"/>
        <v>Used VehicleGross profit per wholesale unit</v>
      </c>
      <c r="K144" s="315" t="str">
        <f t="shared" si="17"/>
        <v>220Toyota UV Wholesale revenue</v>
      </c>
      <c r="L144" s="311">
        <f>+SUMIF('TUNZ Extracted TB'!M:M,$P144,'TUNZ Extracted TB'!G:G)</f>
        <v>0</v>
      </c>
      <c r="M144" s="311"/>
      <c r="N144" s="311">
        <f>+SUMIF('Input Sheet'!$AE:$AE,P144,'Input Sheet'!$X:$X)</f>
        <v>0</v>
      </c>
      <c r="O144" s="311"/>
      <c r="P144" t="str">
        <f t="shared" si="18"/>
        <v>220-3231</v>
      </c>
      <c r="Q144" s="315" t="str">
        <f t="shared" si="19"/>
        <v>Used Vehicle</v>
      </c>
      <c r="R144" s="315" t="str">
        <f t="shared" si="20"/>
        <v>Used VehicleGross profit per wholesale unit</v>
      </c>
      <c r="S144" s="199"/>
      <c r="T144" s="199"/>
      <c r="U144" s="199"/>
    </row>
    <row r="145" spans="1:21" x14ac:dyDescent="0.25">
      <c r="A145" t="s">
        <v>996</v>
      </c>
      <c r="B145" t="s">
        <v>997</v>
      </c>
      <c r="C145" t="s">
        <v>1005</v>
      </c>
      <c r="D145">
        <v>3231</v>
      </c>
      <c r="E145">
        <v>221</v>
      </c>
      <c r="F145" t="s">
        <v>1064</v>
      </c>
      <c r="G145" t="s">
        <v>1065</v>
      </c>
      <c r="H145" s="315" t="s">
        <v>30</v>
      </c>
      <c r="I145" s="315" t="s">
        <v>1063</v>
      </c>
      <c r="J145" s="315" t="str">
        <f t="shared" si="16"/>
        <v>Used VehicleGross profit per wholesale unit</v>
      </c>
      <c r="K145" s="315" t="str">
        <f t="shared" si="17"/>
        <v>221Toyota UV Wholesale revenue</v>
      </c>
      <c r="L145" s="311">
        <f>+SUMIF('TUNZ Extracted TB'!M:M,$P145,'TUNZ Extracted TB'!G:G)</f>
        <v>0</v>
      </c>
      <c r="M145" s="311"/>
      <c r="N145" s="311">
        <f>+SUMIF('Input Sheet'!$AE:$AE,P145,'Input Sheet'!$X:$X)</f>
        <v>0</v>
      </c>
      <c r="O145" s="311"/>
      <c r="P145" t="str">
        <f t="shared" si="18"/>
        <v>221-3231</v>
      </c>
      <c r="Q145" s="315" t="str">
        <f t="shared" si="19"/>
        <v>Used Vehicle</v>
      </c>
      <c r="R145" s="315" t="str">
        <f t="shared" si="20"/>
        <v>Used VehicleGross profit per wholesale unit</v>
      </c>
      <c r="S145" s="199"/>
      <c r="T145" s="199"/>
      <c r="U145" s="199"/>
    </row>
    <row r="146" spans="1:21" x14ac:dyDescent="0.25">
      <c r="A146" t="s">
        <v>996</v>
      </c>
      <c r="B146" t="s">
        <v>997</v>
      </c>
      <c r="C146" t="s">
        <v>1012</v>
      </c>
      <c r="D146">
        <v>3231</v>
      </c>
      <c r="E146">
        <v>420</v>
      </c>
      <c r="F146" t="s">
        <v>1064</v>
      </c>
      <c r="G146" t="s">
        <v>1065</v>
      </c>
      <c r="H146" s="315" t="s">
        <v>30</v>
      </c>
      <c r="I146" s="315" t="s">
        <v>1063</v>
      </c>
      <c r="J146" s="315" t="str">
        <f t="shared" si="16"/>
        <v>Used VehicleGross profit per wholesale unit</v>
      </c>
      <c r="K146" s="315" t="str">
        <f t="shared" si="17"/>
        <v>420Toyota UV Wholesale revenue</v>
      </c>
      <c r="L146" s="311">
        <f>+SUMIF('TUNZ Extracted TB'!M:M,$P146,'TUNZ Extracted TB'!G:G)</f>
        <v>0</v>
      </c>
      <c r="M146" s="311"/>
      <c r="N146" s="311">
        <f>+SUMIF('Input Sheet'!$AE:$AE,P146,'Input Sheet'!$X:$X)</f>
        <v>0</v>
      </c>
      <c r="O146" s="311"/>
      <c r="P146" t="str">
        <f t="shared" si="18"/>
        <v>420-3231</v>
      </c>
      <c r="Q146" s="315" t="str">
        <f t="shared" si="19"/>
        <v>Used Vehicle</v>
      </c>
      <c r="R146" s="315" t="str">
        <f t="shared" si="20"/>
        <v>Used VehicleGross profit per wholesale unit</v>
      </c>
      <c r="S146" s="199"/>
      <c r="T146" s="199"/>
      <c r="U146" s="199"/>
    </row>
    <row r="147" spans="1:21" x14ac:dyDescent="0.25">
      <c r="A147" t="s">
        <v>996</v>
      </c>
      <c r="B147" t="s">
        <v>997</v>
      </c>
      <c r="C147" t="s">
        <v>1012</v>
      </c>
      <c r="D147">
        <v>3231</v>
      </c>
      <c r="E147">
        <v>421</v>
      </c>
      <c r="F147" t="s">
        <v>1064</v>
      </c>
      <c r="G147" t="s">
        <v>1065</v>
      </c>
      <c r="H147" s="315" t="s">
        <v>30</v>
      </c>
      <c r="I147" s="315" t="s">
        <v>1063</v>
      </c>
      <c r="J147" s="315" t="str">
        <f t="shared" si="16"/>
        <v>Used VehicleGross profit per wholesale unit</v>
      </c>
      <c r="K147" s="315" t="str">
        <f t="shared" si="17"/>
        <v>421Toyota UV Wholesale revenue</v>
      </c>
      <c r="L147" s="311">
        <f>+SUMIF('TUNZ Extracted TB'!M:M,$P147,'TUNZ Extracted TB'!G:G)</f>
        <v>0</v>
      </c>
      <c r="M147" s="311"/>
      <c r="N147" s="311">
        <f>+SUMIF('Input Sheet'!$AE:$AE,P147,'Input Sheet'!$X:$X)</f>
        <v>0</v>
      </c>
      <c r="O147" s="311"/>
      <c r="P147" t="str">
        <f t="shared" si="18"/>
        <v>421-3231</v>
      </c>
      <c r="Q147" s="315" t="str">
        <f t="shared" si="19"/>
        <v>Used Vehicle</v>
      </c>
      <c r="R147" s="315" t="str">
        <f t="shared" si="20"/>
        <v>Used VehicleGross profit per wholesale unit</v>
      </c>
      <c r="S147" s="199"/>
      <c r="T147" s="199"/>
      <c r="U147" s="199"/>
    </row>
    <row r="148" spans="1:21" x14ac:dyDescent="0.25">
      <c r="A148" t="s">
        <v>996</v>
      </c>
      <c r="B148" t="s">
        <v>997</v>
      </c>
      <c r="C148" t="s">
        <v>1013</v>
      </c>
      <c r="D148">
        <v>3231</v>
      </c>
      <c r="E148">
        <v>320</v>
      </c>
      <c r="F148" t="s">
        <v>1064</v>
      </c>
      <c r="G148" t="s">
        <v>1065</v>
      </c>
      <c r="H148" s="315" t="s">
        <v>30</v>
      </c>
      <c r="I148" s="315" t="s">
        <v>1063</v>
      </c>
      <c r="J148" s="315" t="str">
        <f t="shared" si="16"/>
        <v>Used VehicleGross profit per wholesale unit</v>
      </c>
      <c r="K148" s="315" t="str">
        <f t="shared" si="17"/>
        <v>320Toyota UV Wholesale revenue</v>
      </c>
      <c r="L148" s="311">
        <f>+SUMIF('TUNZ Extracted TB'!M:M,$P148,'TUNZ Extracted TB'!G:G)</f>
        <v>0</v>
      </c>
      <c r="M148" s="311"/>
      <c r="N148" s="311">
        <f>+SUMIF('Input Sheet'!$AE:$AE,P148,'Input Sheet'!$X:$X)</f>
        <v>0</v>
      </c>
      <c r="O148" s="311"/>
      <c r="P148" t="str">
        <f t="shared" si="18"/>
        <v>320-3231</v>
      </c>
      <c r="Q148" s="315" t="str">
        <f t="shared" si="19"/>
        <v>Used Vehicle</v>
      </c>
      <c r="R148" s="315" t="str">
        <f t="shared" si="20"/>
        <v>Used VehicleGross profit per wholesale unit</v>
      </c>
      <c r="S148" s="199"/>
      <c r="T148" s="199"/>
      <c r="U148" s="199"/>
    </row>
    <row r="149" spans="1:21" x14ac:dyDescent="0.25">
      <c r="A149" t="s">
        <v>996</v>
      </c>
      <c r="B149" t="s">
        <v>997</v>
      </c>
      <c r="C149" t="s">
        <v>1013</v>
      </c>
      <c r="D149">
        <v>3231</v>
      </c>
      <c r="E149">
        <v>321</v>
      </c>
      <c r="F149" t="s">
        <v>1064</v>
      </c>
      <c r="G149" t="s">
        <v>1065</v>
      </c>
      <c r="H149" s="315" t="s">
        <v>30</v>
      </c>
      <c r="I149" s="315" t="s">
        <v>1063</v>
      </c>
      <c r="J149" s="315" t="str">
        <f t="shared" si="16"/>
        <v>Used VehicleGross profit per wholesale unit</v>
      </c>
      <c r="K149" s="315" t="str">
        <f t="shared" si="17"/>
        <v>321Toyota UV Wholesale revenue</v>
      </c>
      <c r="L149" s="311">
        <f>+SUMIF('TUNZ Extracted TB'!M:M,$P149,'TUNZ Extracted TB'!G:G)</f>
        <v>0</v>
      </c>
      <c r="M149" s="311"/>
      <c r="N149" s="311">
        <f>+SUMIF('Input Sheet'!$AE:$AE,P149,'Input Sheet'!$X:$X)</f>
        <v>0</v>
      </c>
      <c r="O149" s="311"/>
      <c r="P149" t="str">
        <f t="shared" si="18"/>
        <v>321-3231</v>
      </c>
      <c r="Q149" s="315" t="str">
        <f t="shared" si="19"/>
        <v>Used Vehicle</v>
      </c>
      <c r="R149" s="315" t="str">
        <f t="shared" si="20"/>
        <v>Used VehicleGross profit per wholesale unit</v>
      </c>
      <c r="S149" s="199"/>
      <c r="T149" s="199"/>
      <c r="U149" s="199"/>
    </row>
    <row r="150" spans="1:21" x14ac:dyDescent="0.25">
      <c r="A150" t="s">
        <v>996</v>
      </c>
      <c r="B150" t="s">
        <v>997</v>
      </c>
      <c r="C150" t="s">
        <v>997</v>
      </c>
      <c r="D150">
        <v>3231</v>
      </c>
      <c r="E150">
        <v>120</v>
      </c>
      <c r="F150" t="s">
        <v>1064</v>
      </c>
      <c r="G150" t="s">
        <v>1065</v>
      </c>
      <c r="H150" s="315" t="s">
        <v>30</v>
      </c>
      <c r="I150" s="315" t="s">
        <v>1063</v>
      </c>
      <c r="J150" s="315" t="str">
        <f t="shared" si="16"/>
        <v>Used VehicleGross profit per wholesale unit</v>
      </c>
      <c r="K150" s="315" t="str">
        <f t="shared" si="17"/>
        <v>120Toyota UV Wholesale revenue</v>
      </c>
      <c r="L150" s="311">
        <f>+SUMIF('TUNZ Extracted TB'!M:M,$P150,'TUNZ Extracted TB'!G:G)</f>
        <v>0</v>
      </c>
      <c r="M150" s="311"/>
      <c r="N150" s="311">
        <f>+SUMIF('Input Sheet'!$AE:$AE,P150,'Input Sheet'!$X:$X)</f>
        <v>0</v>
      </c>
      <c r="O150" s="311"/>
      <c r="P150" t="str">
        <f t="shared" si="18"/>
        <v>120-3231</v>
      </c>
      <c r="Q150" s="315" t="str">
        <f t="shared" si="19"/>
        <v>Used Vehicle</v>
      </c>
      <c r="R150" s="315" t="str">
        <f t="shared" si="20"/>
        <v>Used VehicleGross profit per wholesale unit</v>
      </c>
      <c r="S150" s="199"/>
      <c r="T150" s="199"/>
      <c r="U150" s="199"/>
    </row>
    <row r="151" spans="1:21" x14ac:dyDescent="0.25">
      <c r="A151" t="s">
        <v>996</v>
      </c>
      <c r="B151" t="s">
        <v>997</v>
      </c>
      <c r="C151" t="s">
        <v>997</v>
      </c>
      <c r="D151">
        <v>3232</v>
      </c>
      <c r="E151">
        <v>122</v>
      </c>
      <c r="F151" t="s">
        <v>1061</v>
      </c>
      <c r="G151" t="s">
        <v>1062</v>
      </c>
      <c r="H151" s="315" t="s">
        <v>1041</v>
      </c>
      <c r="I151" s="315" t="s">
        <v>1063</v>
      </c>
      <c r="J151" s="315" t="str">
        <f t="shared" si="16"/>
        <v>LEX Used VehicleGross profit per wholesale unit</v>
      </c>
      <c r="K151" s="315" t="str">
        <f t="shared" si="17"/>
        <v>122Lexus UV Wholesale revenue</v>
      </c>
      <c r="L151" s="311">
        <f>+SUMIF('TUNZ Extracted TB'!M:M,$P151,'TUNZ Extracted TB'!G:G)</f>
        <v>0</v>
      </c>
      <c r="M151" s="311"/>
      <c r="N151" s="311">
        <f>+SUMIF('Input Sheet'!$AE:$AE,P151,'Input Sheet'!$X:$X)</f>
        <v>0</v>
      </c>
      <c r="O151" s="311"/>
      <c r="P151" t="str">
        <f t="shared" si="18"/>
        <v>122-3232</v>
      </c>
      <c r="Q151" s="315" t="str">
        <f t="shared" si="19"/>
        <v>LEX Used Vehicle</v>
      </c>
      <c r="R151" s="315" t="str">
        <f t="shared" si="20"/>
        <v>LEX Used VehicleGross profit per wholesale unit</v>
      </c>
      <c r="S151" s="199"/>
      <c r="T151" s="199"/>
      <c r="U151" s="199"/>
    </row>
    <row r="152" spans="1:21" x14ac:dyDescent="0.25">
      <c r="A152" t="s">
        <v>996</v>
      </c>
      <c r="B152" t="s">
        <v>997</v>
      </c>
      <c r="C152" t="s">
        <v>1005</v>
      </c>
      <c r="D152">
        <v>3232</v>
      </c>
      <c r="E152">
        <v>221</v>
      </c>
      <c r="F152" t="s">
        <v>1064</v>
      </c>
      <c r="G152" t="s">
        <v>1065</v>
      </c>
      <c r="H152" s="315" t="s">
        <v>30</v>
      </c>
      <c r="I152" s="315" t="s">
        <v>1063</v>
      </c>
      <c r="J152" s="315" t="str">
        <f t="shared" ref="J152:J183" si="21">+H152&amp;I152</f>
        <v>Used VehicleGross profit per wholesale unit</v>
      </c>
      <c r="K152" s="315" t="str">
        <f t="shared" ref="K152:K183" si="22">+E152&amp;G152</f>
        <v>221Toyota UV Wholesale revenue</v>
      </c>
      <c r="L152" s="311">
        <f>+SUMIF('TUNZ Extracted TB'!M:M,$P152,'TUNZ Extracted TB'!G:G)</f>
        <v>0</v>
      </c>
      <c r="M152" s="311"/>
      <c r="N152" s="311">
        <f>+SUMIF('Input Sheet'!$AE:$AE,P152,'Input Sheet'!$X:$X)</f>
        <v>0</v>
      </c>
      <c r="O152" s="311"/>
      <c r="P152" t="str">
        <f t="shared" ref="P152:P183" si="23">+E152&amp;"-"&amp;D152</f>
        <v>221-3232</v>
      </c>
      <c r="Q152" s="315" t="str">
        <f t="shared" ref="Q152:Q183" si="24">H152</f>
        <v>Used Vehicle</v>
      </c>
      <c r="R152" s="315" t="str">
        <f t="shared" ref="R152:R183" si="25">J152</f>
        <v>Used VehicleGross profit per wholesale unit</v>
      </c>
      <c r="S152" s="199"/>
      <c r="T152" s="199"/>
      <c r="U152" s="199"/>
    </row>
    <row r="153" spans="1:21" x14ac:dyDescent="0.25">
      <c r="A153" t="s">
        <v>996</v>
      </c>
      <c r="B153" t="s">
        <v>997</v>
      </c>
      <c r="C153" t="s">
        <v>1012</v>
      </c>
      <c r="D153">
        <v>3232</v>
      </c>
      <c r="E153">
        <v>420</v>
      </c>
      <c r="F153" t="s">
        <v>1064</v>
      </c>
      <c r="G153" t="s">
        <v>1065</v>
      </c>
      <c r="H153" s="315" t="s">
        <v>30</v>
      </c>
      <c r="I153" s="315" t="s">
        <v>1063</v>
      </c>
      <c r="J153" s="315" t="str">
        <f t="shared" si="21"/>
        <v>Used VehicleGross profit per wholesale unit</v>
      </c>
      <c r="K153" s="315" t="str">
        <f t="shared" si="22"/>
        <v>420Toyota UV Wholesale revenue</v>
      </c>
      <c r="L153" s="311">
        <f>+SUMIF('TUNZ Extracted TB'!M:M,$P153,'TUNZ Extracted TB'!G:G)</f>
        <v>0</v>
      </c>
      <c r="M153" s="311"/>
      <c r="N153" s="311">
        <f>+SUMIF('Input Sheet'!$AE:$AE,P153,'Input Sheet'!$X:$X)</f>
        <v>0</v>
      </c>
      <c r="O153" s="311"/>
      <c r="P153" t="str">
        <f t="shared" si="23"/>
        <v>420-3232</v>
      </c>
      <c r="Q153" s="315" t="str">
        <f t="shared" si="24"/>
        <v>Used Vehicle</v>
      </c>
      <c r="R153" s="315" t="str">
        <f t="shared" si="25"/>
        <v>Used VehicleGross profit per wholesale unit</v>
      </c>
      <c r="S153" s="199"/>
      <c r="T153" s="199"/>
      <c r="U153" s="199"/>
    </row>
    <row r="154" spans="1:21" x14ac:dyDescent="0.25">
      <c r="A154" t="s">
        <v>996</v>
      </c>
      <c r="B154" t="s">
        <v>997</v>
      </c>
      <c r="C154" t="s">
        <v>1012</v>
      </c>
      <c r="D154">
        <v>3232</v>
      </c>
      <c r="E154">
        <v>421</v>
      </c>
      <c r="F154" t="s">
        <v>1064</v>
      </c>
      <c r="G154" t="s">
        <v>1065</v>
      </c>
      <c r="H154" s="315" t="s">
        <v>30</v>
      </c>
      <c r="I154" s="315" t="s">
        <v>1063</v>
      </c>
      <c r="J154" s="315" t="str">
        <f t="shared" si="21"/>
        <v>Used VehicleGross profit per wholesale unit</v>
      </c>
      <c r="K154" s="315" t="str">
        <f t="shared" si="22"/>
        <v>421Toyota UV Wholesale revenue</v>
      </c>
      <c r="L154" s="311">
        <f>+SUMIF('TUNZ Extracted TB'!M:M,$P154,'TUNZ Extracted TB'!G:G)</f>
        <v>0</v>
      </c>
      <c r="M154" s="311"/>
      <c r="N154" s="311">
        <f>+SUMIF('Input Sheet'!$AE:$AE,P154,'Input Sheet'!$X:$X)</f>
        <v>0</v>
      </c>
      <c r="O154" s="311"/>
      <c r="P154" t="str">
        <f t="shared" si="23"/>
        <v>421-3232</v>
      </c>
      <c r="Q154" s="315" t="str">
        <f t="shared" si="24"/>
        <v>Used Vehicle</v>
      </c>
      <c r="R154" s="315" t="str">
        <f t="shared" si="25"/>
        <v>Used VehicleGross profit per wholesale unit</v>
      </c>
      <c r="S154" s="199"/>
      <c r="T154" s="199"/>
      <c r="U154" s="199"/>
    </row>
    <row r="155" spans="1:21" x14ac:dyDescent="0.25">
      <c r="A155" t="s">
        <v>996</v>
      </c>
      <c r="B155" t="s">
        <v>997</v>
      </c>
      <c r="C155" t="s">
        <v>1013</v>
      </c>
      <c r="D155">
        <v>3232</v>
      </c>
      <c r="E155">
        <v>320</v>
      </c>
      <c r="F155" t="s">
        <v>1064</v>
      </c>
      <c r="G155" t="s">
        <v>1065</v>
      </c>
      <c r="H155" s="315" t="s">
        <v>30</v>
      </c>
      <c r="I155" s="315" t="s">
        <v>1063</v>
      </c>
      <c r="J155" s="315" t="str">
        <f t="shared" si="21"/>
        <v>Used VehicleGross profit per wholesale unit</v>
      </c>
      <c r="K155" s="315" t="str">
        <f t="shared" si="22"/>
        <v>320Toyota UV Wholesale revenue</v>
      </c>
      <c r="L155" s="311">
        <f>+SUMIF('TUNZ Extracted TB'!M:M,$P155,'TUNZ Extracted TB'!G:G)</f>
        <v>0</v>
      </c>
      <c r="M155" s="311"/>
      <c r="N155" s="311">
        <f>+SUMIF('Input Sheet'!$AE:$AE,P155,'Input Sheet'!$X:$X)</f>
        <v>0</v>
      </c>
      <c r="O155" s="311"/>
      <c r="P155" t="str">
        <f t="shared" si="23"/>
        <v>320-3232</v>
      </c>
      <c r="Q155" s="315" t="str">
        <f t="shared" si="24"/>
        <v>Used Vehicle</v>
      </c>
      <c r="R155" s="315" t="str">
        <f t="shared" si="25"/>
        <v>Used VehicleGross profit per wholesale unit</v>
      </c>
      <c r="S155" s="199"/>
      <c r="T155" s="199"/>
      <c r="U155" s="199"/>
    </row>
    <row r="156" spans="1:21" x14ac:dyDescent="0.25">
      <c r="A156" t="s">
        <v>996</v>
      </c>
      <c r="B156" t="s">
        <v>997</v>
      </c>
      <c r="C156" t="s">
        <v>1013</v>
      </c>
      <c r="D156">
        <v>3232</v>
      </c>
      <c r="E156">
        <v>321</v>
      </c>
      <c r="F156" t="s">
        <v>1064</v>
      </c>
      <c r="G156" t="s">
        <v>1065</v>
      </c>
      <c r="H156" s="315" t="s">
        <v>30</v>
      </c>
      <c r="I156" s="315" t="s">
        <v>1063</v>
      </c>
      <c r="J156" s="315" t="str">
        <f t="shared" si="21"/>
        <v>Used VehicleGross profit per wholesale unit</v>
      </c>
      <c r="K156" s="315" t="str">
        <f t="shared" si="22"/>
        <v>321Toyota UV Wholesale revenue</v>
      </c>
      <c r="L156" s="311">
        <f>+SUMIF('TUNZ Extracted TB'!M:M,$P156,'TUNZ Extracted TB'!G:G)</f>
        <v>0</v>
      </c>
      <c r="M156" s="311"/>
      <c r="N156" s="311">
        <f>+SUMIF('Input Sheet'!$AE:$AE,P156,'Input Sheet'!$X:$X)</f>
        <v>0</v>
      </c>
      <c r="O156" s="311"/>
      <c r="P156" t="str">
        <f t="shared" si="23"/>
        <v>321-3232</v>
      </c>
      <c r="Q156" s="315" t="str">
        <f t="shared" si="24"/>
        <v>Used Vehicle</v>
      </c>
      <c r="R156" s="315" t="str">
        <f t="shared" si="25"/>
        <v>Used VehicleGross profit per wholesale unit</v>
      </c>
      <c r="S156" s="199"/>
      <c r="T156" s="199"/>
      <c r="U156" s="199"/>
    </row>
    <row r="157" spans="1:21" x14ac:dyDescent="0.25">
      <c r="A157" t="s">
        <v>996</v>
      </c>
      <c r="B157" t="s">
        <v>997</v>
      </c>
      <c r="C157" t="s">
        <v>997</v>
      </c>
      <c r="D157">
        <v>3232</v>
      </c>
      <c r="E157">
        <v>121</v>
      </c>
      <c r="F157" t="s">
        <v>1064</v>
      </c>
      <c r="G157" t="s">
        <v>1065</v>
      </c>
      <c r="H157" s="315" t="s">
        <v>30</v>
      </c>
      <c r="I157" s="315" t="s">
        <v>1063</v>
      </c>
      <c r="J157" s="315" t="str">
        <f t="shared" si="21"/>
        <v>Used VehicleGross profit per wholesale unit</v>
      </c>
      <c r="K157" s="315" t="str">
        <f t="shared" si="22"/>
        <v>121Toyota UV Wholesale revenue</v>
      </c>
      <c r="L157" s="311">
        <f>+SUMIF('TUNZ Extracted TB'!M:M,$P157,'TUNZ Extracted TB'!G:G)</f>
        <v>0</v>
      </c>
      <c r="M157" s="311"/>
      <c r="N157" s="311">
        <f>+SUMIF('Input Sheet'!$AE:$AE,P157,'Input Sheet'!$X:$X)</f>
        <v>0</v>
      </c>
      <c r="O157" s="311"/>
      <c r="P157" t="str">
        <f t="shared" si="23"/>
        <v>121-3232</v>
      </c>
      <c r="Q157" s="315" t="str">
        <f t="shared" si="24"/>
        <v>Used Vehicle</v>
      </c>
      <c r="R157" s="315" t="str">
        <f t="shared" si="25"/>
        <v>Used VehicleGross profit per wholesale unit</v>
      </c>
      <c r="S157" s="199"/>
      <c r="T157" s="199"/>
      <c r="U157" s="199"/>
    </row>
    <row r="158" spans="1:21" x14ac:dyDescent="0.25">
      <c r="A158" t="s">
        <v>996</v>
      </c>
      <c r="B158" t="s">
        <v>997</v>
      </c>
      <c r="C158" t="s">
        <v>1005</v>
      </c>
      <c r="D158">
        <v>3232</v>
      </c>
      <c r="E158">
        <v>220</v>
      </c>
      <c r="F158" t="s">
        <v>1064</v>
      </c>
      <c r="G158" t="s">
        <v>1065</v>
      </c>
      <c r="H158" s="315" t="s">
        <v>30</v>
      </c>
      <c r="I158" s="315" t="s">
        <v>1063</v>
      </c>
      <c r="J158" s="315" t="str">
        <f t="shared" si="21"/>
        <v>Used VehicleGross profit per wholesale unit</v>
      </c>
      <c r="K158" s="315" t="str">
        <f t="shared" si="22"/>
        <v>220Toyota UV Wholesale revenue</v>
      </c>
      <c r="L158" s="311">
        <f>+SUMIF('TUNZ Extracted TB'!M:M,$P158,'TUNZ Extracted TB'!G:G)</f>
        <v>0</v>
      </c>
      <c r="M158" s="311"/>
      <c r="N158" s="311">
        <f>+SUMIF('Input Sheet'!$AE:$AE,P158,'Input Sheet'!$X:$X)</f>
        <v>0</v>
      </c>
      <c r="O158" s="311"/>
      <c r="P158" t="str">
        <f t="shared" si="23"/>
        <v>220-3232</v>
      </c>
      <c r="Q158" s="315" t="str">
        <f t="shared" si="24"/>
        <v>Used Vehicle</v>
      </c>
      <c r="R158" s="315" t="str">
        <f t="shared" si="25"/>
        <v>Used VehicleGross profit per wholesale unit</v>
      </c>
      <c r="S158" s="199"/>
      <c r="T158" s="199"/>
      <c r="U158" s="199"/>
    </row>
    <row r="159" spans="1:21" x14ac:dyDescent="0.25">
      <c r="A159" t="s">
        <v>996</v>
      </c>
      <c r="B159" t="s">
        <v>997</v>
      </c>
      <c r="C159" t="s">
        <v>997</v>
      </c>
      <c r="D159">
        <v>3232</v>
      </c>
      <c r="E159">
        <v>120</v>
      </c>
      <c r="F159" t="s">
        <v>1064</v>
      </c>
      <c r="G159" t="s">
        <v>1065</v>
      </c>
      <c r="H159" s="315" t="s">
        <v>30</v>
      </c>
      <c r="I159" s="315" t="s">
        <v>1063</v>
      </c>
      <c r="J159" s="315" t="str">
        <f t="shared" si="21"/>
        <v>Used VehicleGross profit per wholesale unit</v>
      </c>
      <c r="K159" s="315" t="str">
        <f t="shared" si="22"/>
        <v>120Toyota UV Wholesale revenue</v>
      </c>
      <c r="L159" s="311">
        <f>+SUMIF('TUNZ Extracted TB'!M:M,$P159,'TUNZ Extracted TB'!G:G)</f>
        <v>0</v>
      </c>
      <c r="M159" s="311"/>
      <c r="N159" s="311">
        <f>+SUMIF('Input Sheet'!$AE:$AE,P159,'Input Sheet'!$X:$X)</f>
        <v>0</v>
      </c>
      <c r="O159" s="311"/>
      <c r="P159" t="str">
        <f t="shared" si="23"/>
        <v>120-3232</v>
      </c>
      <c r="Q159" s="315" t="str">
        <f t="shared" si="24"/>
        <v>Used Vehicle</v>
      </c>
      <c r="R159" s="315" t="str">
        <f t="shared" si="25"/>
        <v>Used VehicleGross profit per wholesale unit</v>
      </c>
      <c r="S159" s="199"/>
      <c r="T159" s="199"/>
      <c r="U159" s="199"/>
    </row>
    <row r="160" spans="1:21" x14ac:dyDescent="0.25">
      <c r="A160" t="s">
        <v>996</v>
      </c>
      <c r="B160" t="s">
        <v>997</v>
      </c>
      <c r="C160" t="s">
        <v>997</v>
      </c>
      <c r="D160">
        <v>3233</v>
      </c>
      <c r="E160">
        <v>122</v>
      </c>
      <c r="F160" t="s">
        <v>1061</v>
      </c>
      <c r="G160" t="s">
        <v>1062</v>
      </c>
      <c r="H160" s="315" t="s">
        <v>1041</v>
      </c>
      <c r="I160" s="315" t="s">
        <v>1063</v>
      </c>
      <c r="J160" s="315" t="str">
        <f t="shared" si="21"/>
        <v>LEX Used VehicleGross profit per wholesale unit</v>
      </c>
      <c r="K160" s="315" t="str">
        <f t="shared" si="22"/>
        <v>122Lexus UV Wholesale revenue</v>
      </c>
      <c r="L160" s="311">
        <f>+SUMIF('TUNZ Extracted TB'!M:M,$P160,'TUNZ Extracted TB'!G:G)</f>
        <v>0</v>
      </c>
      <c r="M160" s="311"/>
      <c r="N160" s="311">
        <f>+SUMIF('Input Sheet'!$AE:$AE,P160,'Input Sheet'!$X:$X)</f>
        <v>0</v>
      </c>
      <c r="O160" s="311"/>
      <c r="P160" t="str">
        <f t="shared" si="23"/>
        <v>122-3233</v>
      </c>
      <c r="Q160" s="315" t="str">
        <f t="shared" si="24"/>
        <v>LEX Used Vehicle</v>
      </c>
      <c r="R160" s="315" t="str">
        <f t="shared" si="25"/>
        <v>LEX Used VehicleGross profit per wholesale unit</v>
      </c>
      <c r="S160" s="199"/>
      <c r="T160" s="199"/>
      <c r="U160" s="199"/>
    </row>
    <row r="161" spans="1:21" x14ac:dyDescent="0.25">
      <c r="A161" t="s">
        <v>996</v>
      </c>
      <c r="B161" t="s">
        <v>997</v>
      </c>
      <c r="C161" t="s">
        <v>1005</v>
      </c>
      <c r="D161">
        <v>3233</v>
      </c>
      <c r="E161">
        <v>220</v>
      </c>
      <c r="F161" t="s">
        <v>1064</v>
      </c>
      <c r="G161" t="s">
        <v>1065</v>
      </c>
      <c r="H161" s="315" t="s">
        <v>30</v>
      </c>
      <c r="I161" s="315" t="s">
        <v>1063</v>
      </c>
      <c r="J161" s="315" t="str">
        <f t="shared" si="21"/>
        <v>Used VehicleGross profit per wholesale unit</v>
      </c>
      <c r="K161" s="315" t="str">
        <f t="shared" si="22"/>
        <v>220Toyota UV Wholesale revenue</v>
      </c>
      <c r="L161" s="311">
        <f>+SUMIF('TUNZ Extracted TB'!M:M,$P161,'TUNZ Extracted TB'!G:G)</f>
        <v>0</v>
      </c>
      <c r="M161" s="311"/>
      <c r="N161" s="311">
        <f>+SUMIF('Input Sheet'!$AE:$AE,P161,'Input Sheet'!$X:$X)</f>
        <v>0</v>
      </c>
      <c r="O161" s="311"/>
      <c r="P161" t="str">
        <f t="shared" si="23"/>
        <v>220-3233</v>
      </c>
      <c r="Q161" s="315" t="str">
        <f t="shared" si="24"/>
        <v>Used Vehicle</v>
      </c>
      <c r="R161" s="315" t="str">
        <f t="shared" si="25"/>
        <v>Used VehicleGross profit per wholesale unit</v>
      </c>
      <c r="S161" s="199"/>
      <c r="T161" s="199"/>
      <c r="U161" s="199"/>
    </row>
    <row r="162" spans="1:21" x14ac:dyDescent="0.25">
      <c r="A162" t="s">
        <v>996</v>
      </c>
      <c r="B162" t="s">
        <v>997</v>
      </c>
      <c r="C162" t="s">
        <v>1005</v>
      </c>
      <c r="D162">
        <v>3233</v>
      </c>
      <c r="E162">
        <v>221</v>
      </c>
      <c r="F162" t="s">
        <v>1064</v>
      </c>
      <c r="G162" t="s">
        <v>1065</v>
      </c>
      <c r="H162" s="315" t="s">
        <v>30</v>
      </c>
      <c r="I162" s="315" t="s">
        <v>1063</v>
      </c>
      <c r="J162" s="315" t="str">
        <f t="shared" si="21"/>
        <v>Used VehicleGross profit per wholesale unit</v>
      </c>
      <c r="K162" s="315" t="str">
        <f t="shared" si="22"/>
        <v>221Toyota UV Wholesale revenue</v>
      </c>
      <c r="L162" s="311">
        <f>+SUMIF('TUNZ Extracted TB'!M:M,$P162,'TUNZ Extracted TB'!G:G)</f>
        <v>0</v>
      </c>
      <c r="M162" s="311"/>
      <c r="N162" s="311">
        <f>+SUMIF('Input Sheet'!$AE:$AE,P162,'Input Sheet'!$X:$X)</f>
        <v>0</v>
      </c>
      <c r="O162" s="311"/>
      <c r="P162" t="str">
        <f t="shared" si="23"/>
        <v>221-3233</v>
      </c>
      <c r="Q162" s="315" t="str">
        <f t="shared" si="24"/>
        <v>Used Vehicle</v>
      </c>
      <c r="R162" s="315" t="str">
        <f t="shared" si="25"/>
        <v>Used VehicleGross profit per wholesale unit</v>
      </c>
      <c r="S162" s="199"/>
      <c r="T162" s="199"/>
      <c r="U162" s="199"/>
    </row>
    <row r="163" spans="1:21" x14ac:dyDescent="0.25">
      <c r="A163" t="s">
        <v>996</v>
      </c>
      <c r="B163" t="s">
        <v>997</v>
      </c>
      <c r="C163" t="s">
        <v>1012</v>
      </c>
      <c r="D163">
        <v>3233</v>
      </c>
      <c r="E163">
        <v>420</v>
      </c>
      <c r="F163" t="s">
        <v>1064</v>
      </c>
      <c r="G163" t="s">
        <v>1065</v>
      </c>
      <c r="H163" s="315" t="s">
        <v>30</v>
      </c>
      <c r="I163" s="315" t="s">
        <v>1063</v>
      </c>
      <c r="J163" s="315" t="str">
        <f t="shared" si="21"/>
        <v>Used VehicleGross profit per wholesale unit</v>
      </c>
      <c r="K163" s="315" t="str">
        <f t="shared" si="22"/>
        <v>420Toyota UV Wholesale revenue</v>
      </c>
      <c r="L163" s="311">
        <f>+SUMIF('TUNZ Extracted TB'!M:M,$P163,'TUNZ Extracted TB'!G:G)</f>
        <v>0</v>
      </c>
      <c r="M163" s="311"/>
      <c r="N163" s="311">
        <f>+SUMIF('Input Sheet'!$AE:$AE,P163,'Input Sheet'!$X:$X)</f>
        <v>0</v>
      </c>
      <c r="O163" s="311"/>
      <c r="P163" t="str">
        <f t="shared" si="23"/>
        <v>420-3233</v>
      </c>
      <c r="Q163" s="315" t="str">
        <f t="shared" si="24"/>
        <v>Used Vehicle</v>
      </c>
      <c r="R163" s="315" t="str">
        <f t="shared" si="25"/>
        <v>Used VehicleGross profit per wholesale unit</v>
      </c>
      <c r="S163" s="199"/>
      <c r="T163" s="199"/>
      <c r="U163" s="199"/>
    </row>
    <row r="164" spans="1:21" x14ac:dyDescent="0.25">
      <c r="A164" t="s">
        <v>996</v>
      </c>
      <c r="B164" t="s">
        <v>997</v>
      </c>
      <c r="C164" t="s">
        <v>1012</v>
      </c>
      <c r="D164">
        <v>3233</v>
      </c>
      <c r="E164">
        <v>421</v>
      </c>
      <c r="F164" t="s">
        <v>1064</v>
      </c>
      <c r="G164" t="s">
        <v>1065</v>
      </c>
      <c r="H164" s="315" t="s">
        <v>30</v>
      </c>
      <c r="I164" s="315" t="s">
        <v>1063</v>
      </c>
      <c r="J164" s="315" t="str">
        <f t="shared" si="21"/>
        <v>Used VehicleGross profit per wholesale unit</v>
      </c>
      <c r="K164" s="315" t="str">
        <f t="shared" si="22"/>
        <v>421Toyota UV Wholesale revenue</v>
      </c>
      <c r="L164" s="311">
        <f>+SUMIF('TUNZ Extracted TB'!M:M,$P164,'TUNZ Extracted TB'!G:G)</f>
        <v>0</v>
      </c>
      <c r="M164" s="311"/>
      <c r="N164" s="311">
        <f>+SUMIF('Input Sheet'!$AE:$AE,P164,'Input Sheet'!$X:$X)</f>
        <v>0</v>
      </c>
      <c r="O164" s="311"/>
      <c r="P164" t="str">
        <f t="shared" si="23"/>
        <v>421-3233</v>
      </c>
      <c r="Q164" s="315" t="str">
        <f t="shared" si="24"/>
        <v>Used Vehicle</v>
      </c>
      <c r="R164" s="315" t="str">
        <f t="shared" si="25"/>
        <v>Used VehicleGross profit per wholesale unit</v>
      </c>
      <c r="S164" s="199"/>
      <c r="T164" s="199"/>
      <c r="U164" s="199"/>
    </row>
    <row r="165" spans="1:21" x14ac:dyDescent="0.25">
      <c r="A165" t="s">
        <v>996</v>
      </c>
      <c r="B165" t="s">
        <v>997</v>
      </c>
      <c r="C165" t="s">
        <v>1013</v>
      </c>
      <c r="D165">
        <v>3233</v>
      </c>
      <c r="E165">
        <v>320</v>
      </c>
      <c r="F165" t="s">
        <v>1064</v>
      </c>
      <c r="G165" t="s">
        <v>1065</v>
      </c>
      <c r="H165" s="315" t="s">
        <v>30</v>
      </c>
      <c r="I165" s="315" t="s">
        <v>1063</v>
      </c>
      <c r="J165" s="315" t="str">
        <f t="shared" si="21"/>
        <v>Used VehicleGross profit per wholesale unit</v>
      </c>
      <c r="K165" s="315" t="str">
        <f t="shared" si="22"/>
        <v>320Toyota UV Wholesale revenue</v>
      </c>
      <c r="L165" s="311">
        <f>+SUMIF('TUNZ Extracted TB'!M:M,$P165,'TUNZ Extracted TB'!G:G)</f>
        <v>0</v>
      </c>
      <c r="M165" s="311"/>
      <c r="N165" s="311">
        <f>+SUMIF('Input Sheet'!$AE:$AE,P165,'Input Sheet'!$X:$X)</f>
        <v>0</v>
      </c>
      <c r="O165" s="311"/>
      <c r="P165" t="str">
        <f t="shared" si="23"/>
        <v>320-3233</v>
      </c>
      <c r="Q165" s="315" t="str">
        <f t="shared" si="24"/>
        <v>Used Vehicle</v>
      </c>
      <c r="R165" s="315" t="str">
        <f t="shared" si="25"/>
        <v>Used VehicleGross profit per wholesale unit</v>
      </c>
      <c r="S165" s="199"/>
      <c r="T165" s="199"/>
      <c r="U165" s="199"/>
    </row>
    <row r="166" spans="1:21" x14ac:dyDescent="0.25">
      <c r="A166" t="s">
        <v>996</v>
      </c>
      <c r="B166" t="s">
        <v>997</v>
      </c>
      <c r="C166" t="s">
        <v>1013</v>
      </c>
      <c r="D166">
        <v>3233</v>
      </c>
      <c r="E166">
        <v>321</v>
      </c>
      <c r="F166" t="s">
        <v>1064</v>
      </c>
      <c r="G166" t="s">
        <v>1065</v>
      </c>
      <c r="H166" s="315" t="s">
        <v>30</v>
      </c>
      <c r="I166" s="315" t="s">
        <v>1063</v>
      </c>
      <c r="J166" s="315" t="str">
        <f t="shared" si="21"/>
        <v>Used VehicleGross profit per wholesale unit</v>
      </c>
      <c r="K166" s="315" t="str">
        <f t="shared" si="22"/>
        <v>321Toyota UV Wholesale revenue</v>
      </c>
      <c r="L166" s="311">
        <f>+SUMIF('TUNZ Extracted TB'!M:M,$P166,'TUNZ Extracted TB'!G:G)</f>
        <v>0</v>
      </c>
      <c r="M166" s="311"/>
      <c r="N166" s="311">
        <f>+SUMIF('Input Sheet'!$AE:$AE,P166,'Input Sheet'!$X:$X)</f>
        <v>0</v>
      </c>
      <c r="O166" s="311"/>
      <c r="P166" t="str">
        <f t="shared" si="23"/>
        <v>321-3233</v>
      </c>
      <c r="Q166" s="315" t="str">
        <f t="shared" si="24"/>
        <v>Used Vehicle</v>
      </c>
      <c r="R166" s="315" t="str">
        <f t="shared" si="25"/>
        <v>Used VehicleGross profit per wholesale unit</v>
      </c>
      <c r="S166" s="199"/>
      <c r="T166" s="199"/>
      <c r="U166" s="199"/>
    </row>
    <row r="167" spans="1:21" x14ac:dyDescent="0.25">
      <c r="A167" t="s">
        <v>996</v>
      </c>
      <c r="B167" t="s">
        <v>997</v>
      </c>
      <c r="C167" t="s">
        <v>997</v>
      </c>
      <c r="D167">
        <v>3233</v>
      </c>
      <c r="E167">
        <v>120</v>
      </c>
      <c r="F167" t="s">
        <v>1064</v>
      </c>
      <c r="G167" t="s">
        <v>1065</v>
      </c>
      <c r="H167" s="315" t="s">
        <v>30</v>
      </c>
      <c r="I167" s="315" t="s">
        <v>1063</v>
      </c>
      <c r="J167" s="315" t="str">
        <f t="shared" si="21"/>
        <v>Used VehicleGross profit per wholesale unit</v>
      </c>
      <c r="K167" s="315" t="str">
        <f t="shared" si="22"/>
        <v>120Toyota UV Wholesale revenue</v>
      </c>
      <c r="L167" s="311">
        <f>+SUMIF('TUNZ Extracted TB'!M:M,$P167,'TUNZ Extracted TB'!G:G)</f>
        <v>0</v>
      </c>
      <c r="M167" s="311"/>
      <c r="N167" s="311">
        <f>+SUMIF('Input Sheet'!$AE:$AE,P167,'Input Sheet'!$X:$X)</f>
        <v>0</v>
      </c>
      <c r="O167" s="311"/>
      <c r="P167" t="str">
        <f t="shared" si="23"/>
        <v>120-3233</v>
      </c>
      <c r="Q167" s="315" t="str">
        <f t="shared" si="24"/>
        <v>Used Vehicle</v>
      </c>
      <c r="R167" s="315" t="str">
        <f t="shared" si="25"/>
        <v>Used VehicleGross profit per wholesale unit</v>
      </c>
      <c r="S167" s="199"/>
      <c r="T167" s="199"/>
      <c r="U167" s="199"/>
    </row>
    <row r="168" spans="1:21" x14ac:dyDescent="0.25">
      <c r="A168" t="s">
        <v>996</v>
      </c>
      <c r="B168" t="s">
        <v>997</v>
      </c>
      <c r="C168" t="s">
        <v>997</v>
      </c>
      <c r="D168">
        <v>3150</v>
      </c>
      <c r="E168">
        <v>200</v>
      </c>
      <c r="F168" t="s">
        <v>1043</v>
      </c>
      <c r="G168" t="s">
        <v>1044</v>
      </c>
      <c r="H168" s="315" t="s">
        <v>29</v>
      </c>
      <c r="I168" s="315" t="s">
        <v>1036</v>
      </c>
      <c r="J168" s="315" t="str">
        <f t="shared" si="21"/>
        <v>New VehicleIncentive p.u.</v>
      </c>
      <c r="K168" s="315" t="str">
        <f t="shared" si="22"/>
        <v>200New Vehicle Incentive - Toyota</v>
      </c>
      <c r="L168" s="311">
        <f>+SUMIF('TUNZ Extracted TB'!M:M,$P168,'TUNZ Extracted TB'!G:G)</f>
        <v>0</v>
      </c>
      <c r="M168" s="311"/>
      <c r="N168" s="311">
        <f>+SUMIF('Input Sheet'!$AE:$AE,P168,'Input Sheet'!$X:$X)</f>
        <v>0</v>
      </c>
      <c r="O168" s="311"/>
      <c r="P168" t="str">
        <f t="shared" si="23"/>
        <v>200-3150</v>
      </c>
      <c r="Q168" s="315" t="str">
        <f t="shared" si="24"/>
        <v>New Vehicle</v>
      </c>
      <c r="R168" s="315" t="str">
        <f t="shared" si="25"/>
        <v>New VehicleIncentive p.u.</v>
      </c>
      <c r="S168" s="199"/>
      <c r="T168" s="199"/>
      <c r="U168" s="199"/>
    </row>
    <row r="169" spans="1:21" x14ac:dyDescent="0.25">
      <c r="A169" t="s">
        <v>996</v>
      </c>
      <c r="B169" t="s">
        <v>997</v>
      </c>
      <c r="C169" t="s">
        <v>1005</v>
      </c>
      <c r="D169">
        <v>3150</v>
      </c>
      <c r="E169">
        <v>400</v>
      </c>
      <c r="F169" t="s">
        <v>1043</v>
      </c>
      <c r="G169" t="s">
        <v>1044</v>
      </c>
      <c r="H169" s="315" t="s">
        <v>29</v>
      </c>
      <c r="I169" s="315" t="s">
        <v>1036</v>
      </c>
      <c r="J169" s="315" t="str">
        <f t="shared" si="21"/>
        <v>New VehicleIncentive p.u.</v>
      </c>
      <c r="K169" s="315" t="str">
        <f t="shared" si="22"/>
        <v>400New Vehicle Incentive - Toyota</v>
      </c>
      <c r="L169" s="311">
        <f>+SUMIF('TUNZ Extracted TB'!M:M,$P169,'TUNZ Extracted TB'!G:G)</f>
        <v>0</v>
      </c>
      <c r="M169" s="311"/>
      <c r="N169" s="311">
        <f>+SUMIF('Input Sheet'!$AE:$AE,P169,'Input Sheet'!$X:$X)</f>
        <v>0</v>
      </c>
      <c r="O169" s="311"/>
      <c r="P169" t="str">
        <f t="shared" si="23"/>
        <v>400-3150</v>
      </c>
      <c r="Q169" s="315" t="str">
        <f t="shared" si="24"/>
        <v>New Vehicle</v>
      </c>
      <c r="R169" s="315" t="str">
        <f t="shared" si="25"/>
        <v>New VehicleIncentive p.u.</v>
      </c>
      <c r="S169" s="199"/>
      <c r="T169" s="199"/>
      <c r="U169" s="199"/>
    </row>
    <row r="170" spans="1:21" x14ac:dyDescent="0.25">
      <c r="A170" t="s">
        <v>996</v>
      </c>
      <c r="B170" t="s">
        <v>997</v>
      </c>
      <c r="C170" t="s">
        <v>1012</v>
      </c>
      <c r="D170">
        <v>3150</v>
      </c>
      <c r="E170">
        <v>410</v>
      </c>
      <c r="F170" t="s">
        <v>1043</v>
      </c>
      <c r="G170" t="s">
        <v>1044</v>
      </c>
      <c r="H170" s="315" t="s">
        <v>29</v>
      </c>
      <c r="I170" s="315" t="s">
        <v>1036</v>
      </c>
      <c r="J170" s="315" t="str">
        <f t="shared" si="21"/>
        <v>New VehicleIncentive p.u.</v>
      </c>
      <c r="K170" s="315" t="str">
        <f t="shared" si="22"/>
        <v>410New Vehicle Incentive - Toyota</v>
      </c>
      <c r="L170" s="311">
        <f>+SUMIF('TUNZ Extracted TB'!M:M,$P170,'TUNZ Extracted TB'!G:G)</f>
        <v>0</v>
      </c>
      <c r="M170" s="311"/>
      <c r="N170" s="311">
        <f>+SUMIF('Input Sheet'!$AE:$AE,P170,'Input Sheet'!$X:$X)</f>
        <v>0</v>
      </c>
      <c r="O170" s="311"/>
      <c r="P170" t="str">
        <f t="shared" si="23"/>
        <v>410-3150</v>
      </c>
      <c r="Q170" s="315" t="str">
        <f t="shared" si="24"/>
        <v>New Vehicle</v>
      </c>
      <c r="R170" s="315" t="str">
        <f t="shared" si="25"/>
        <v>New VehicleIncentive p.u.</v>
      </c>
      <c r="S170" s="199"/>
      <c r="T170" s="199"/>
      <c r="U170" s="199"/>
    </row>
    <row r="171" spans="1:21" x14ac:dyDescent="0.25">
      <c r="A171" t="s">
        <v>996</v>
      </c>
      <c r="B171" t="s">
        <v>997</v>
      </c>
      <c r="C171" t="s">
        <v>1012</v>
      </c>
      <c r="D171">
        <v>3150</v>
      </c>
      <c r="E171">
        <v>300</v>
      </c>
      <c r="F171" t="s">
        <v>1043</v>
      </c>
      <c r="G171" t="s">
        <v>1044</v>
      </c>
      <c r="H171" s="315" t="s">
        <v>29</v>
      </c>
      <c r="I171" s="315" t="s">
        <v>1036</v>
      </c>
      <c r="J171" s="315" t="str">
        <f t="shared" si="21"/>
        <v>New VehicleIncentive p.u.</v>
      </c>
      <c r="K171" s="315" t="str">
        <f t="shared" si="22"/>
        <v>300New Vehicle Incentive - Toyota</v>
      </c>
      <c r="L171" s="311">
        <f>+SUMIF('TUNZ Extracted TB'!M:M,$P171,'TUNZ Extracted TB'!G:G)</f>
        <v>0</v>
      </c>
      <c r="M171" s="311"/>
      <c r="N171" s="311">
        <f>+SUMIF('Input Sheet'!$AE:$AE,P171,'Input Sheet'!$X:$X)</f>
        <v>0</v>
      </c>
      <c r="O171" s="311"/>
      <c r="P171" t="str">
        <f t="shared" si="23"/>
        <v>300-3150</v>
      </c>
      <c r="Q171" s="315" t="str">
        <f t="shared" si="24"/>
        <v>New Vehicle</v>
      </c>
      <c r="R171" s="315" t="str">
        <f t="shared" si="25"/>
        <v>New VehicleIncentive p.u.</v>
      </c>
      <c r="S171" s="199"/>
      <c r="T171" s="199"/>
      <c r="U171" s="199"/>
    </row>
    <row r="172" spans="1:21" x14ac:dyDescent="0.25">
      <c r="A172" t="s">
        <v>996</v>
      </c>
      <c r="B172" t="s">
        <v>997</v>
      </c>
      <c r="C172" t="s">
        <v>1013</v>
      </c>
      <c r="D172">
        <v>3150</v>
      </c>
      <c r="E172">
        <v>310</v>
      </c>
      <c r="F172" t="s">
        <v>1043</v>
      </c>
      <c r="G172" t="s">
        <v>1044</v>
      </c>
      <c r="H172" s="315" t="s">
        <v>29</v>
      </c>
      <c r="I172" s="315" t="s">
        <v>1036</v>
      </c>
      <c r="J172" s="315" t="str">
        <f t="shared" si="21"/>
        <v>New VehicleIncentive p.u.</v>
      </c>
      <c r="K172" s="315" t="str">
        <f t="shared" si="22"/>
        <v>310New Vehicle Incentive - Toyota</v>
      </c>
      <c r="L172" s="311">
        <f>+SUMIF('TUNZ Extracted TB'!M:M,$P172,'TUNZ Extracted TB'!G:G)</f>
        <v>0</v>
      </c>
      <c r="M172" s="311"/>
      <c r="N172" s="311">
        <f>+SUMIF('Input Sheet'!$AE:$AE,P172,'Input Sheet'!$X:$X)</f>
        <v>0</v>
      </c>
      <c r="O172" s="311"/>
      <c r="P172" t="str">
        <f t="shared" si="23"/>
        <v>310-3150</v>
      </c>
      <c r="Q172" s="315" t="str">
        <f t="shared" si="24"/>
        <v>New Vehicle</v>
      </c>
      <c r="R172" s="315" t="str">
        <f t="shared" si="25"/>
        <v>New VehicleIncentive p.u.</v>
      </c>
      <c r="S172" s="199"/>
      <c r="T172" s="199"/>
      <c r="U172" s="199"/>
    </row>
    <row r="173" spans="1:21" x14ac:dyDescent="0.25">
      <c r="A173" t="s">
        <v>996</v>
      </c>
      <c r="B173" t="s">
        <v>997</v>
      </c>
      <c r="C173" t="s">
        <v>1013</v>
      </c>
      <c r="D173">
        <v>3150</v>
      </c>
      <c r="E173">
        <v>210</v>
      </c>
      <c r="F173" t="s">
        <v>1043</v>
      </c>
      <c r="G173" t="s">
        <v>1044</v>
      </c>
      <c r="H173" s="315" t="s">
        <v>29</v>
      </c>
      <c r="I173" s="315" t="s">
        <v>1036</v>
      </c>
      <c r="J173" s="315" t="str">
        <f t="shared" si="21"/>
        <v>New VehicleIncentive p.u.</v>
      </c>
      <c r="K173" s="315" t="str">
        <f t="shared" si="22"/>
        <v>210New Vehicle Incentive - Toyota</v>
      </c>
      <c r="L173" s="311">
        <f>+SUMIF('TUNZ Extracted TB'!M:M,$P173,'TUNZ Extracted TB'!G:G)</f>
        <v>0</v>
      </c>
      <c r="M173" s="311"/>
      <c r="N173" s="311">
        <f>+SUMIF('Input Sheet'!$AE:$AE,P173,'Input Sheet'!$X:$X)</f>
        <v>0</v>
      </c>
      <c r="O173" s="311"/>
      <c r="P173" t="str">
        <f t="shared" si="23"/>
        <v>210-3150</v>
      </c>
      <c r="Q173" s="315" t="str">
        <f t="shared" si="24"/>
        <v>New Vehicle</v>
      </c>
      <c r="R173" s="315" t="str">
        <f t="shared" si="25"/>
        <v>New VehicleIncentive p.u.</v>
      </c>
      <c r="S173" s="199"/>
      <c r="T173" s="199"/>
      <c r="U173" s="199"/>
    </row>
    <row r="174" spans="1:21" x14ac:dyDescent="0.25">
      <c r="A174" t="s">
        <v>996</v>
      </c>
      <c r="B174" t="s">
        <v>997</v>
      </c>
      <c r="C174" t="s">
        <v>997</v>
      </c>
      <c r="D174">
        <v>3248</v>
      </c>
      <c r="E174">
        <v>100</v>
      </c>
      <c r="F174" t="s">
        <v>1043</v>
      </c>
      <c r="G174" t="s">
        <v>1044</v>
      </c>
      <c r="H174" s="315" t="s">
        <v>29</v>
      </c>
      <c r="I174" s="315" t="s">
        <v>1036</v>
      </c>
      <c r="J174" s="315" t="str">
        <f t="shared" si="21"/>
        <v>New VehicleIncentive p.u.</v>
      </c>
      <c r="K174" s="315" t="str">
        <f t="shared" si="22"/>
        <v>100New Vehicle Incentive - Toyota</v>
      </c>
      <c r="L174" s="311">
        <f>+SUMIF('TUNZ Extracted TB'!M:M,$P174,'TUNZ Extracted TB'!G:G)</f>
        <v>0</v>
      </c>
      <c r="M174" s="311"/>
      <c r="N174" s="311">
        <f>+SUMIF('Input Sheet'!$AE:$AE,P174,'Input Sheet'!$X:$X)</f>
        <v>0</v>
      </c>
      <c r="O174" s="311"/>
      <c r="P174" t="str">
        <f t="shared" si="23"/>
        <v>100-3248</v>
      </c>
      <c r="Q174" s="315" t="str">
        <f t="shared" si="24"/>
        <v>New Vehicle</v>
      </c>
      <c r="R174" s="315" t="str">
        <f t="shared" si="25"/>
        <v>New VehicleIncentive p.u.</v>
      </c>
      <c r="S174" s="199"/>
      <c r="T174" s="199"/>
      <c r="U174" s="199"/>
    </row>
    <row r="175" spans="1:21" x14ac:dyDescent="0.25">
      <c r="A175" t="s">
        <v>996</v>
      </c>
      <c r="B175" t="s">
        <v>997</v>
      </c>
      <c r="C175" t="s">
        <v>1005</v>
      </c>
      <c r="D175">
        <v>3248</v>
      </c>
      <c r="E175">
        <v>110</v>
      </c>
      <c r="F175" t="s">
        <v>1043</v>
      </c>
      <c r="G175" t="s">
        <v>1044</v>
      </c>
      <c r="H175" s="315" t="s">
        <v>29</v>
      </c>
      <c r="I175" s="315" t="s">
        <v>1036</v>
      </c>
      <c r="J175" s="315" t="str">
        <f t="shared" si="21"/>
        <v>New VehicleIncentive p.u.</v>
      </c>
      <c r="K175" s="315" t="str">
        <f t="shared" si="22"/>
        <v>110New Vehicle Incentive - Toyota</v>
      </c>
      <c r="L175" s="311">
        <f>+SUMIF('TUNZ Extracted TB'!M:M,$P175,'TUNZ Extracted TB'!G:G)</f>
        <v>0</v>
      </c>
      <c r="M175" s="311"/>
      <c r="N175" s="311">
        <f>+SUMIF('Input Sheet'!$AE:$AE,P175,'Input Sheet'!$X:$X)</f>
        <v>0</v>
      </c>
      <c r="O175" s="311"/>
      <c r="P175" t="str">
        <f t="shared" si="23"/>
        <v>110-3248</v>
      </c>
      <c r="Q175" s="315" t="str">
        <f t="shared" si="24"/>
        <v>New Vehicle</v>
      </c>
      <c r="R175" s="315" t="str">
        <f t="shared" si="25"/>
        <v>New VehicleIncentive p.u.</v>
      </c>
      <c r="S175" s="199"/>
      <c r="T175" s="199"/>
      <c r="U175" s="199"/>
    </row>
    <row r="176" spans="1:21" x14ac:dyDescent="0.25">
      <c r="A176" t="s">
        <v>996</v>
      </c>
      <c r="B176" t="s">
        <v>997</v>
      </c>
      <c r="C176" t="s">
        <v>997</v>
      </c>
      <c r="D176">
        <v>3248</v>
      </c>
      <c r="E176">
        <v>200</v>
      </c>
      <c r="F176" t="s">
        <v>1043</v>
      </c>
      <c r="G176" t="s">
        <v>1044</v>
      </c>
      <c r="H176" s="315" t="s">
        <v>29</v>
      </c>
      <c r="I176" s="315" t="s">
        <v>1036</v>
      </c>
      <c r="J176" s="315" t="str">
        <f t="shared" si="21"/>
        <v>New VehicleIncentive p.u.</v>
      </c>
      <c r="K176" s="315" t="str">
        <f t="shared" si="22"/>
        <v>200New Vehicle Incentive - Toyota</v>
      </c>
      <c r="L176" s="311">
        <f>+SUMIF('TUNZ Extracted TB'!M:M,$P176,'TUNZ Extracted TB'!G:G)</f>
        <v>0</v>
      </c>
      <c r="M176" s="311"/>
      <c r="N176" s="311">
        <f>+SUMIF('Input Sheet'!$AE:$AE,P176,'Input Sheet'!$X:$X)</f>
        <v>0</v>
      </c>
      <c r="O176" s="311"/>
      <c r="P176" t="str">
        <f t="shared" si="23"/>
        <v>200-3248</v>
      </c>
      <c r="Q176" s="315" t="str">
        <f t="shared" si="24"/>
        <v>New Vehicle</v>
      </c>
      <c r="R176" s="315" t="str">
        <f t="shared" si="25"/>
        <v>New VehicleIncentive p.u.</v>
      </c>
      <c r="S176" s="199"/>
      <c r="T176" s="199"/>
      <c r="U176" s="199"/>
    </row>
    <row r="177" spans="1:21" x14ac:dyDescent="0.25">
      <c r="A177" t="s">
        <v>996</v>
      </c>
      <c r="B177" t="s">
        <v>997</v>
      </c>
      <c r="C177" t="s">
        <v>997</v>
      </c>
      <c r="D177">
        <v>3248</v>
      </c>
      <c r="E177">
        <v>210</v>
      </c>
      <c r="F177" t="s">
        <v>1043</v>
      </c>
      <c r="G177" t="s">
        <v>1044</v>
      </c>
      <c r="H177" s="315" t="s">
        <v>29</v>
      </c>
      <c r="I177" s="315" t="s">
        <v>1036</v>
      </c>
      <c r="J177" s="315" t="str">
        <f t="shared" si="21"/>
        <v>New VehicleIncentive p.u.</v>
      </c>
      <c r="K177" s="315" t="str">
        <f t="shared" si="22"/>
        <v>210New Vehicle Incentive - Toyota</v>
      </c>
      <c r="L177" s="311">
        <f>+SUMIF('TUNZ Extracted TB'!M:M,$P177,'TUNZ Extracted TB'!G:G)</f>
        <v>0</v>
      </c>
      <c r="M177" s="311"/>
      <c r="N177" s="311">
        <f>+SUMIF('Input Sheet'!$AE:$AE,P177,'Input Sheet'!$X:$X)</f>
        <v>0</v>
      </c>
      <c r="O177" s="311"/>
      <c r="P177" t="str">
        <f t="shared" si="23"/>
        <v>210-3248</v>
      </c>
      <c r="Q177" s="315" t="str">
        <f t="shared" si="24"/>
        <v>New Vehicle</v>
      </c>
      <c r="R177" s="315" t="str">
        <f t="shared" si="25"/>
        <v>New VehicleIncentive p.u.</v>
      </c>
      <c r="S177" s="199"/>
      <c r="T177" s="199"/>
      <c r="U177" s="199"/>
    </row>
    <row r="178" spans="1:21" x14ac:dyDescent="0.25">
      <c r="A178" t="s">
        <v>996</v>
      </c>
      <c r="B178" t="s">
        <v>997</v>
      </c>
      <c r="C178" t="s">
        <v>1005</v>
      </c>
      <c r="D178">
        <v>3160</v>
      </c>
      <c r="E178">
        <v>130</v>
      </c>
      <c r="F178" t="s">
        <v>1066</v>
      </c>
      <c r="G178" t="s">
        <v>1067</v>
      </c>
      <c r="H178" s="315" t="s">
        <v>5</v>
      </c>
      <c r="I178" s="315" t="s">
        <v>60</v>
      </c>
      <c r="J178" s="315" t="str">
        <f t="shared" si="21"/>
        <v>PartsIncentive</v>
      </c>
      <c r="K178" s="315" t="str">
        <f t="shared" si="22"/>
        <v>130Parts Incentive - Toyota</v>
      </c>
      <c r="L178" s="311">
        <f>+SUMIF('TUNZ Extracted TB'!M:M,$P178,'TUNZ Extracted TB'!G:G)</f>
        <v>0</v>
      </c>
      <c r="M178" s="311"/>
      <c r="N178" s="311">
        <f>+SUMIF('Input Sheet'!$AE:$AE,P178,'Input Sheet'!$X:$X)</f>
        <v>0</v>
      </c>
      <c r="O178" s="311"/>
      <c r="P178" t="str">
        <f t="shared" si="23"/>
        <v>130-3160</v>
      </c>
      <c r="Q178" s="315" t="str">
        <f t="shared" si="24"/>
        <v>Parts</v>
      </c>
      <c r="R178" s="315" t="str">
        <f t="shared" si="25"/>
        <v>PartsIncentive</v>
      </c>
      <c r="S178" s="199"/>
      <c r="T178" s="199"/>
      <c r="U178" s="199"/>
    </row>
    <row r="179" spans="1:21" x14ac:dyDescent="0.25">
      <c r="A179" t="s">
        <v>996</v>
      </c>
      <c r="B179" t="s">
        <v>997</v>
      </c>
      <c r="C179" t="s">
        <v>1012</v>
      </c>
      <c r="D179">
        <v>3160</v>
      </c>
      <c r="E179">
        <v>330</v>
      </c>
      <c r="F179" t="s">
        <v>1066</v>
      </c>
      <c r="G179" t="s">
        <v>1067</v>
      </c>
      <c r="H179" s="315" t="s">
        <v>5</v>
      </c>
      <c r="I179" s="315" t="s">
        <v>60</v>
      </c>
      <c r="J179" s="315" t="str">
        <f t="shared" si="21"/>
        <v>PartsIncentive</v>
      </c>
      <c r="K179" s="315" t="str">
        <f t="shared" si="22"/>
        <v>330Parts Incentive - Toyota</v>
      </c>
      <c r="L179" s="311">
        <f>+SUMIF('TUNZ Extracted TB'!M:M,$P179,'TUNZ Extracted TB'!G:G)</f>
        <v>0</v>
      </c>
      <c r="M179" s="311"/>
      <c r="N179" s="311">
        <f>+SUMIF('Input Sheet'!$AE:$AE,P179,'Input Sheet'!$X:$X)</f>
        <v>0</v>
      </c>
      <c r="O179" s="311"/>
      <c r="P179" t="str">
        <f t="shared" si="23"/>
        <v>330-3160</v>
      </c>
      <c r="Q179" s="315" t="str">
        <f t="shared" si="24"/>
        <v>Parts</v>
      </c>
      <c r="R179" s="315" t="str">
        <f t="shared" si="25"/>
        <v>PartsIncentive</v>
      </c>
      <c r="S179" s="199"/>
      <c r="T179" s="199"/>
      <c r="U179" s="199"/>
    </row>
    <row r="180" spans="1:21" x14ac:dyDescent="0.25">
      <c r="A180" t="s">
        <v>996</v>
      </c>
      <c r="B180" t="s">
        <v>997</v>
      </c>
      <c r="C180" t="s">
        <v>1012</v>
      </c>
      <c r="D180">
        <v>3160</v>
      </c>
      <c r="E180">
        <v>430</v>
      </c>
      <c r="F180" t="s">
        <v>1066</v>
      </c>
      <c r="G180" t="s">
        <v>1067</v>
      </c>
      <c r="H180" s="315" t="s">
        <v>5</v>
      </c>
      <c r="I180" s="315" t="s">
        <v>60</v>
      </c>
      <c r="J180" s="315" t="str">
        <f t="shared" si="21"/>
        <v>PartsIncentive</v>
      </c>
      <c r="K180" s="315" t="str">
        <f t="shared" si="22"/>
        <v>430Parts Incentive - Toyota</v>
      </c>
      <c r="L180" s="311">
        <f>+SUMIF('TUNZ Extracted TB'!M:M,$P180,'TUNZ Extracted TB'!G:G)</f>
        <v>0</v>
      </c>
      <c r="M180" s="311"/>
      <c r="N180" s="311">
        <f>+SUMIF('Input Sheet'!$AE:$AE,P180,'Input Sheet'!$X:$X)</f>
        <v>0</v>
      </c>
      <c r="O180" s="311"/>
      <c r="P180" t="str">
        <f t="shared" si="23"/>
        <v>430-3160</v>
      </c>
      <c r="Q180" s="315" t="str">
        <f t="shared" si="24"/>
        <v>Parts</v>
      </c>
      <c r="R180" s="315" t="str">
        <f t="shared" si="25"/>
        <v>PartsIncentive</v>
      </c>
      <c r="S180" s="199"/>
      <c r="T180" s="199"/>
      <c r="U180" s="199"/>
    </row>
    <row r="181" spans="1:21" x14ac:dyDescent="0.25">
      <c r="A181" t="s">
        <v>996</v>
      </c>
      <c r="B181" t="s">
        <v>997</v>
      </c>
      <c r="C181" t="s">
        <v>1013</v>
      </c>
      <c r="D181">
        <v>3160</v>
      </c>
      <c r="E181">
        <v>230</v>
      </c>
      <c r="F181" t="s">
        <v>1066</v>
      </c>
      <c r="G181" t="s">
        <v>1067</v>
      </c>
      <c r="H181" s="315" t="s">
        <v>5</v>
      </c>
      <c r="I181" s="315" t="s">
        <v>60</v>
      </c>
      <c r="J181" s="315" t="str">
        <f t="shared" si="21"/>
        <v>PartsIncentive</v>
      </c>
      <c r="K181" s="315" t="str">
        <f t="shared" si="22"/>
        <v>230Parts Incentive - Toyota</v>
      </c>
      <c r="L181" s="311">
        <f>+SUMIF('TUNZ Extracted TB'!M:M,$P181,'TUNZ Extracted TB'!G:G)</f>
        <v>0</v>
      </c>
      <c r="M181" s="311"/>
      <c r="N181" s="311">
        <f>+SUMIF('Input Sheet'!$AE:$AE,P181,'Input Sheet'!$X:$X)</f>
        <v>0</v>
      </c>
      <c r="O181" s="311"/>
      <c r="P181" t="str">
        <f t="shared" si="23"/>
        <v>230-3160</v>
      </c>
      <c r="Q181" s="315" t="str">
        <f t="shared" si="24"/>
        <v>Parts</v>
      </c>
      <c r="R181" s="315" t="str">
        <f t="shared" si="25"/>
        <v>PartsIncentive</v>
      </c>
      <c r="S181" s="199"/>
      <c r="T181" s="199"/>
      <c r="U181" s="199"/>
    </row>
    <row r="182" spans="1:21" x14ac:dyDescent="0.25">
      <c r="A182" t="s">
        <v>996</v>
      </c>
      <c r="B182" t="s">
        <v>997</v>
      </c>
      <c r="C182" t="s">
        <v>1013</v>
      </c>
      <c r="D182">
        <v>3248</v>
      </c>
      <c r="E182">
        <v>130</v>
      </c>
      <c r="F182" t="s">
        <v>1066</v>
      </c>
      <c r="G182" t="s">
        <v>1067</v>
      </c>
      <c r="H182" s="315" t="s">
        <v>5</v>
      </c>
      <c r="I182" s="315" t="s">
        <v>60</v>
      </c>
      <c r="J182" s="315" t="str">
        <f t="shared" si="21"/>
        <v>PartsIncentive</v>
      </c>
      <c r="K182" s="315" t="str">
        <f t="shared" si="22"/>
        <v>130Parts Incentive - Toyota</v>
      </c>
      <c r="L182" s="311">
        <f>+SUMIF('TUNZ Extracted TB'!M:M,$P182,'TUNZ Extracted TB'!G:G)</f>
        <v>0</v>
      </c>
      <c r="M182" s="311"/>
      <c r="N182" s="311">
        <f>+SUMIF('Input Sheet'!$AE:$AE,P182,'Input Sheet'!$X:$X)</f>
        <v>0</v>
      </c>
      <c r="O182" s="311"/>
      <c r="P182" t="str">
        <f t="shared" si="23"/>
        <v>130-3248</v>
      </c>
      <c r="Q182" s="315" t="str">
        <f t="shared" si="24"/>
        <v>Parts</v>
      </c>
      <c r="R182" s="315" t="str">
        <f t="shared" si="25"/>
        <v>PartsIncentive</v>
      </c>
      <c r="S182" s="199"/>
      <c r="T182" s="199"/>
      <c r="U182" s="199"/>
    </row>
    <row r="183" spans="1:21" x14ac:dyDescent="0.25">
      <c r="A183" t="s">
        <v>996</v>
      </c>
      <c r="B183" t="s">
        <v>997</v>
      </c>
      <c r="C183" t="s">
        <v>997</v>
      </c>
      <c r="D183">
        <v>3248</v>
      </c>
      <c r="E183">
        <v>140</v>
      </c>
      <c r="F183" t="s">
        <v>1066</v>
      </c>
      <c r="G183" t="s">
        <v>1067</v>
      </c>
      <c r="H183" s="315" t="s">
        <v>5</v>
      </c>
      <c r="I183" s="315" t="s">
        <v>60</v>
      </c>
      <c r="J183" s="315" t="str">
        <f t="shared" si="21"/>
        <v>PartsIncentive</v>
      </c>
      <c r="K183" s="315" t="str">
        <f t="shared" si="22"/>
        <v>140Parts Incentive - Toyota</v>
      </c>
      <c r="L183" s="311">
        <f>+SUMIF('TUNZ Extracted TB'!M:M,$P183,'TUNZ Extracted TB'!G:G)</f>
        <v>0</v>
      </c>
      <c r="M183" s="311"/>
      <c r="N183" s="311">
        <f>+SUMIF('Input Sheet'!$AE:$AE,P183,'Input Sheet'!$X:$X)</f>
        <v>0</v>
      </c>
      <c r="O183" s="311"/>
      <c r="P183" t="str">
        <f t="shared" si="23"/>
        <v>140-3248</v>
      </c>
      <c r="Q183" s="315" t="str">
        <f t="shared" si="24"/>
        <v>Parts</v>
      </c>
      <c r="R183" s="315" t="str">
        <f t="shared" si="25"/>
        <v>PartsIncentive</v>
      </c>
      <c r="S183" s="199"/>
      <c r="T183" s="199"/>
      <c r="U183" s="199"/>
    </row>
    <row r="184" spans="1:21" x14ac:dyDescent="0.25">
      <c r="A184" t="s">
        <v>996</v>
      </c>
      <c r="B184" t="s">
        <v>997</v>
      </c>
      <c r="C184" t="s">
        <v>1005</v>
      </c>
      <c r="D184">
        <v>3248</v>
      </c>
      <c r="E184">
        <v>440</v>
      </c>
      <c r="G184" t="s">
        <v>451</v>
      </c>
      <c r="H184" s="315" t="s">
        <v>5</v>
      </c>
      <c r="I184" s="315" t="s">
        <v>60</v>
      </c>
      <c r="J184" s="315" t="str">
        <f t="shared" ref="J184:J215" si="26">+H184&amp;I184</f>
        <v>PartsIncentive</v>
      </c>
      <c r="K184" s="315" t="str">
        <f t="shared" ref="K184:K215" si="27">+E184&amp;G184</f>
        <v>440Sales - Incentive KPI</v>
      </c>
      <c r="L184" s="311">
        <f>+SUMIF('TUNZ Extracted TB'!M:M,$P184,'TUNZ Extracted TB'!G:G)</f>
        <v>0</v>
      </c>
      <c r="M184" s="311"/>
      <c r="N184" s="311">
        <f>+SUMIF('Input Sheet'!$AE:$AE,P184,'Input Sheet'!$X:$X)</f>
        <v>0</v>
      </c>
      <c r="O184" s="311"/>
      <c r="P184" t="str">
        <f t="shared" ref="P184:P215" si="28">+E184&amp;"-"&amp;D184</f>
        <v>440-3248</v>
      </c>
      <c r="Q184" s="315" t="str">
        <f t="shared" ref="Q184:Q215" si="29">H184</f>
        <v>Parts</v>
      </c>
      <c r="R184" s="315" t="str">
        <f t="shared" ref="R184:R215" si="30">J184</f>
        <v>PartsIncentive</v>
      </c>
      <c r="S184" s="199"/>
      <c r="T184" s="199"/>
      <c r="U184" s="199"/>
    </row>
    <row r="185" spans="1:21" x14ac:dyDescent="0.25">
      <c r="A185" t="s">
        <v>996</v>
      </c>
      <c r="B185" t="s">
        <v>997</v>
      </c>
      <c r="C185" t="s">
        <v>997</v>
      </c>
      <c r="D185">
        <v>3248</v>
      </c>
      <c r="E185">
        <v>330</v>
      </c>
      <c r="F185" t="s">
        <v>1066</v>
      </c>
      <c r="G185" t="s">
        <v>1067</v>
      </c>
      <c r="H185" s="315" t="s">
        <v>5</v>
      </c>
      <c r="I185" s="315" t="s">
        <v>60</v>
      </c>
      <c r="J185" s="315" t="str">
        <f t="shared" si="26"/>
        <v>PartsIncentive</v>
      </c>
      <c r="K185" s="315" t="str">
        <f t="shared" si="27"/>
        <v>330Parts Incentive - Toyota</v>
      </c>
      <c r="L185" s="311">
        <f>+SUMIF('TUNZ Extracted TB'!M:M,$P185,'TUNZ Extracted TB'!G:G)</f>
        <v>0</v>
      </c>
      <c r="M185" s="311"/>
      <c r="N185" s="311">
        <f>+SUMIF('Input Sheet'!$AE:$AE,P185,'Input Sheet'!$X:$X)</f>
        <v>0</v>
      </c>
      <c r="O185" s="311"/>
      <c r="P185" t="str">
        <f t="shared" si="28"/>
        <v>330-3248</v>
      </c>
      <c r="Q185" s="315" t="str">
        <f t="shared" si="29"/>
        <v>Parts</v>
      </c>
      <c r="R185" s="315" t="str">
        <f t="shared" si="30"/>
        <v>PartsIncentive</v>
      </c>
      <c r="S185" s="199"/>
      <c r="T185" s="199"/>
      <c r="U185" s="199"/>
    </row>
    <row r="186" spans="1:21" x14ac:dyDescent="0.25">
      <c r="A186" s="316">
        <v>44986</v>
      </c>
      <c r="B186" t="s">
        <v>997</v>
      </c>
      <c r="C186" t="s">
        <v>997</v>
      </c>
      <c r="D186">
        <v>3248</v>
      </c>
      <c r="E186">
        <v>430</v>
      </c>
      <c r="F186" t="s">
        <v>1066</v>
      </c>
      <c r="G186" t="s">
        <v>1067</v>
      </c>
      <c r="H186" s="315" t="s">
        <v>5</v>
      </c>
      <c r="I186" s="315" t="s">
        <v>60</v>
      </c>
      <c r="J186" s="315" t="str">
        <f t="shared" si="26"/>
        <v>PartsIncentive</v>
      </c>
      <c r="K186" s="315" t="str">
        <f t="shared" si="27"/>
        <v>430Parts Incentive - Toyota</v>
      </c>
      <c r="L186" s="311">
        <f>+SUMIF('TUNZ Extracted TB'!M:M,$P186,'TUNZ Extracted TB'!G:G)</f>
        <v>0</v>
      </c>
      <c r="M186" s="311"/>
      <c r="N186" s="311">
        <f>+SUMIF('Input Sheet'!$AE:$AE,P186,'Input Sheet'!$X:$X)</f>
        <v>0</v>
      </c>
      <c r="O186" s="311"/>
      <c r="P186" t="str">
        <f t="shared" si="28"/>
        <v>430-3248</v>
      </c>
      <c r="Q186" s="315" t="str">
        <f t="shared" si="29"/>
        <v>Parts</v>
      </c>
      <c r="R186" s="315" t="str">
        <f t="shared" si="30"/>
        <v>PartsIncentive</v>
      </c>
      <c r="S186" s="199"/>
      <c r="T186" s="199"/>
      <c r="U186" s="199"/>
    </row>
    <row r="187" spans="1:21" x14ac:dyDescent="0.25">
      <c r="A187" s="316">
        <v>44986</v>
      </c>
      <c r="B187" t="s">
        <v>997</v>
      </c>
      <c r="C187" t="s">
        <v>997</v>
      </c>
      <c r="D187">
        <v>3248</v>
      </c>
      <c r="E187">
        <v>230</v>
      </c>
      <c r="F187" t="s">
        <v>1066</v>
      </c>
      <c r="G187" t="s">
        <v>1067</v>
      </c>
      <c r="H187" s="315" t="s">
        <v>5</v>
      </c>
      <c r="I187" s="315" t="s">
        <v>60</v>
      </c>
      <c r="J187" s="315" t="str">
        <f t="shared" si="26"/>
        <v>PartsIncentive</v>
      </c>
      <c r="K187" s="315" t="str">
        <f t="shared" si="27"/>
        <v>230Parts Incentive - Toyota</v>
      </c>
      <c r="L187" s="311">
        <f>+SUMIF('TUNZ Extracted TB'!M:M,$P187,'TUNZ Extracted TB'!G:G)</f>
        <v>0</v>
      </c>
      <c r="M187" s="311"/>
      <c r="N187" s="311">
        <f>+SUMIF('Input Sheet'!$AE:$AE,P187,'Input Sheet'!$X:$X)</f>
        <v>0</v>
      </c>
      <c r="O187" s="311"/>
      <c r="P187" t="str">
        <f t="shared" si="28"/>
        <v>230-3248</v>
      </c>
      <c r="Q187" s="315" t="str">
        <f t="shared" si="29"/>
        <v>Parts</v>
      </c>
      <c r="R187" s="315" t="str">
        <f t="shared" si="30"/>
        <v>PartsIncentive</v>
      </c>
      <c r="S187" s="199"/>
      <c r="T187" s="199"/>
      <c r="U187" s="199"/>
    </row>
    <row r="188" spans="1:21" x14ac:dyDescent="0.25">
      <c r="A188" t="s">
        <v>996</v>
      </c>
      <c r="B188" t="s">
        <v>997</v>
      </c>
      <c r="C188" t="s">
        <v>997</v>
      </c>
      <c r="D188">
        <v>3248</v>
      </c>
      <c r="E188">
        <v>240</v>
      </c>
      <c r="F188" t="s">
        <v>1066</v>
      </c>
      <c r="G188" t="s">
        <v>1067</v>
      </c>
      <c r="H188" s="315" t="s">
        <v>5</v>
      </c>
      <c r="I188" s="315" t="s">
        <v>60</v>
      </c>
      <c r="J188" s="315" t="str">
        <f t="shared" si="26"/>
        <v>PartsIncentive</v>
      </c>
      <c r="K188" s="315" t="str">
        <f t="shared" si="27"/>
        <v>240Parts Incentive - Toyota</v>
      </c>
      <c r="L188" s="311">
        <f>+SUMIF('TUNZ Extracted TB'!M:M,$P188,'TUNZ Extracted TB'!G:G)</f>
        <v>0</v>
      </c>
      <c r="M188" s="311"/>
      <c r="N188" s="311">
        <f>+SUMIF('Input Sheet'!$AE:$AE,P188,'Input Sheet'!$X:$X)</f>
        <v>0</v>
      </c>
      <c r="O188" s="311"/>
      <c r="P188" t="str">
        <f t="shared" si="28"/>
        <v>240-3248</v>
      </c>
      <c r="Q188" s="315" t="str">
        <f t="shared" si="29"/>
        <v>Parts</v>
      </c>
      <c r="R188" s="315" t="str">
        <f t="shared" si="30"/>
        <v>PartsIncentive</v>
      </c>
      <c r="S188" s="199"/>
      <c r="T188" s="199"/>
      <c r="U188" s="199"/>
    </row>
    <row r="189" spans="1:21" x14ac:dyDescent="0.25">
      <c r="A189" t="s">
        <v>996</v>
      </c>
      <c r="B189" t="s">
        <v>997</v>
      </c>
      <c r="C189" t="s">
        <v>997</v>
      </c>
      <c r="D189">
        <v>3248</v>
      </c>
      <c r="E189">
        <v>340</v>
      </c>
      <c r="F189" t="s">
        <v>1066</v>
      </c>
      <c r="G189" t="s">
        <v>1067</v>
      </c>
      <c r="H189" s="315" t="s">
        <v>5</v>
      </c>
      <c r="I189" s="315" t="s">
        <v>60</v>
      </c>
      <c r="J189" s="315" t="str">
        <f t="shared" si="26"/>
        <v>PartsIncentive</v>
      </c>
      <c r="K189" s="315" t="str">
        <f t="shared" si="27"/>
        <v>340Parts Incentive - Toyota</v>
      </c>
      <c r="L189" s="311">
        <f>+SUMIF('TUNZ Extracted TB'!M:M,$P189,'TUNZ Extracted TB'!G:G)</f>
        <v>0</v>
      </c>
      <c r="M189" s="311"/>
      <c r="N189" s="311">
        <f>+SUMIF('Input Sheet'!$AE:$AE,P189,'Input Sheet'!$X:$X)</f>
        <v>0</v>
      </c>
      <c r="O189" s="311"/>
      <c r="P189" t="str">
        <f t="shared" si="28"/>
        <v>340-3248</v>
      </c>
      <c r="Q189" s="315" t="str">
        <f t="shared" si="29"/>
        <v>Parts</v>
      </c>
      <c r="R189" s="315" t="str">
        <f t="shared" si="30"/>
        <v>PartsIncentive</v>
      </c>
      <c r="S189" s="199"/>
      <c r="T189" s="199"/>
      <c r="U189" s="199"/>
    </row>
    <row r="190" spans="1:21" x14ac:dyDescent="0.25">
      <c r="A190" t="s">
        <v>996</v>
      </c>
      <c r="B190" t="s">
        <v>997</v>
      </c>
      <c r="C190" t="s">
        <v>997</v>
      </c>
      <c r="D190">
        <v>3150</v>
      </c>
      <c r="E190">
        <v>220</v>
      </c>
      <c r="F190" t="s">
        <v>1068</v>
      </c>
      <c r="G190" t="s">
        <v>1069</v>
      </c>
      <c r="H190" s="315" t="s">
        <v>30</v>
      </c>
      <c r="I190" s="315" t="s">
        <v>1070</v>
      </c>
      <c r="J190" s="315" t="str">
        <f t="shared" si="26"/>
        <v>Used VehicleOT/SIG Class total gross p.u. incl. incentives</v>
      </c>
      <c r="K190" s="315" t="str">
        <f t="shared" si="27"/>
        <v>220Toyota UV incentive income</v>
      </c>
      <c r="L190" s="311">
        <f>+SUMIF('TUNZ Extracted TB'!M:M,$P190,'TUNZ Extracted TB'!G:G)</f>
        <v>0</v>
      </c>
      <c r="M190" s="311"/>
      <c r="N190" s="311">
        <f>+SUMIF('Input Sheet'!$AE:$AE,P190,'Input Sheet'!$X:$X)</f>
        <v>0</v>
      </c>
      <c r="O190" s="311"/>
      <c r="P190" t="str">
        <f t="shared" si="28"/>
        <v>220-3150</v>
      </c>
      <c r="Q190" s="315" t="str">
        <f t="shared" si="29"/>
        <v>Used Vehicle</v>
      </c>
      <c r="R190" s="315" t="str">
        <f t="shared" si="30"/>
        <v>Used VehicleOT/SIG Class total gross p.u. incl. incentives</v>
      </c>
      <c r="S190" s="199"/>
      <c r="T190" s="199"/>
      <c r="U190" s="199"/>
    </row>
    <row r="191" spans="1:21" x14ac:dyDescent="0.25">
      <c r="A191" s="316">
        <v>44896</v>
      </c>
      <c r="B191" t="s">
        <v>997</v>
      </c>
      <c r="C191" t="s">
        <v>997</v>
      </c>
      <c r="D191">
        <v>3150</v>
      </c>
      <c r="E191">
        <v>121</v>
      </c>
      <c r="F191" t="s">
        <v>1068</v>
      </c>
      <c r="G191" t="s">
        <v>1069</v>
      </c>
      <c r="H191" s="315" t="s">
        <v>30</v>
      </c>
      <c r="I191" s="315" t="s">
        <v>1070</v>
      </c>
      <c r="J191" s="315" t="str">
        <f t="shared" si="26"/>
        <v>Used VehicleOT/SIG Class total gross p.u. incl. incentives</v>
      </c>
      <c r="K191" s="315" t="str">
        <f t="shared" si="27"/>
        <v>121Toyota UV incentive income</v>
      </c>
      <c r="L191" s="311">
        <f>+SUMIF('TUNZ Extracted TB'!M:M,$P191,'TUNZ Extracted TB'!G:G)</f>
        <v>0</v>
      </c>
      <c r="M191" s="311"/>
      <c r="N191" s="311">
        <f>+SUMIF('Input Sheet'!$AE:$AE,P191,'Input Sheet'!$X:$X)</f>
        <v>0</v>
      </c>
      <c r="O191" s="311"/>
      <c r="P191" t="str">
        <f t="shared" si="28"/>
        <v>121-3150</v>
      </c>
      <c r="Q191" s="315" t="str">
        <f t="shared" si="29"/>
        <v>Used Vehicle</v>
      </c>
      <c r="R191" s="315" t="str">
        <f t="shared" si="30"/>
        <v>Used VehicleOT/SIG Class total gross p.u. incl. incentives</v>
      </c>
      <c r="S191" s="199"/>
      <c r="T191" s="199"/>
      <c r="U191" s="199"/>
    </row>
    <row r="192" spans="1:21" x14ac:dyDescent="0.25">
      <c r="A192" t="s">
        <v>996</v>
      </c>
      <c r="B192" t="s">
        <v>997</v>
      </c>
      <c r="C192" t="s">
        <v>997</v>
      </c>
      <c r="D192">
        <v>3246</v>
      </c>
      <c r="E192">
        <v>221</v>
      </c>
      <c r="F192" t="s">
        <v>1068</v>
      </c>
      <c r="G192" t="s">
        <v>1069</v>
      </c>
      <c r="H192" s="315" t="s">
        <v>30</v>
      </c>
      <c r="I192" s="315" t="s">
        <v>1070</v>
      </c>
      <c r="J192" s="315" t="str">
        <f t="shared" si="26"/>
        <v>Used VehicleOT/SIG Class total gross p.u. incl. incentives</v>
      </c>
      <c r="K192" s="315" t="str">
        <f t="shared" si="27"/>
        <v>221Toyota UV incentive income</v>
      </c>
      <c r="L192" s="311">
        <f>+SUMIF('TUNZ Extracted TB'!M:M,$P192,'TUNZ Extracted TB'!G:G)</f>
        <v>0</v>
      </c>
      <c r="M192" s="311"/>
      <c r="N192" s="311">
        <f>+SUMIF('Input Sheet'!$AE:$AE,P192,'Input Sheet'!$X:$X)</f>
        <v>0</v>
      </c>
      <c r="O192" s="311"/>
      <c r="P192" t="str">
        <f t="shared" si="28"/>
        <v>221-3246</v>
      </c>
      <c r="Q192" s="315" t="str">
        <f t="shared" si="29"/>
        <v>Used Vehicle</v>
      </c>
      <c r="R192" s="315" t="str">
        <f t="shared" si="30"/>
        <v>Used VehicleOT/SIG Class total gross p.u. incl. incentives</v>
      </c>
      <c r="S192" s="199"/>
      <c r="T192" s="199"/>
      <c r="U192" s="199"/>
    </row>
    <row r="193" spans="1:21" x14ac:dyDescent="0.25">
      <c r="A193" t="s">
        <v>996</v>
      </c>
      <c r="B193" t="s">
        <v>997</v>
      </c>
      <c r="C193" t="s">
        <v>997</v>
      </c>
      <c r="D193">
        <v>3246</v>
      </c>
      <c r="E193">
        <v>420</v>
      </c>
      <c r="F193" t="s">
        <v>1068</v>
      </c>
      <c r="G193" t="s">
        <v>1069</v>
      </c>
      <c r="H193" s="315" t="s">
        <v>30</v>
      </c>
      <c r="I193" s="315" t="s">
        <v>1070</v>
      </c>
      <c r="J193" s="315" t="str">
        <f t="shared" si="26"/>
        <v>Used VehicleOT/SIG Class total gross p.u. incl. incentives</v>
      </c>
      <c r="K193" s="315" t="str">
        <f t="shared" si="27"/>
        <v>420Toyota UV incentive income</v>
      </c>
      <c r="L193" s="311">
        <f>+SUMIF('TUNZ Extracted TB'!M:M,$P193,'TUNZ Extracted TB'!G:G)</f>
        <v>0</v>
      </c>
      <c r="M193" s="311"/>
      <c r="N193" s="311">
        <f>+SUMIF('Input Sheet'!$AE:$AE,P193,'Input Sheet'!$X:$X)</f>
        <v>0</v>
      </c>
      <c r="O193" s="311"/>
      <c r="P193" t="str">
        <f t="shared" si="28"/>
        <v>420-3246</v>
      </c>
      <c r="Q193" s="315" t="str">
        <f t="shared" si="29"/>
        <v>Used Vehicle</v>
      </c>
      <c r="R193" s="315" t="str">
        <f t="shared" si="30"/>
        <v>Used VehicleOT/SIG Class total gross p.u. incl. incentives</v>
      </c>
      <c r="S193" s="199"/>
      <c r="T193" s="199"/>
      <c r="U193" s="199"/>
    </row>
    <row r="194" spans="1:21" x14ac:dyDescent="0.25">
      <c r="A194" t="s">
        <v>996</v>
      </c>
      <c r="B194" t="s">
        <v>997</v>
      </c>
      <c r="C194" t="s">
        <v>997</v>
      </c>
      <c r="D194">
        <v>3246</v>
      </c>
      <c r="E194">
        <v>421</v>
      </c>
      <c r="F194" t="s">
        <v>1068</v>
      </c>
      <c r="G194" t="s">
        <v>1069</v>
      </c>
      <c r="H194" s="315" t="s">
        <v>30</v>
      </c>
      <c r="I194" s="315" t="s">
        <v>1070</v>
      </c>
      <c r="J194" s="315" t="str">
        <f t="shared" si="26"/>
        <v>Used VehicleOT/SIG Class total gross p.u. incl. incentives</v>
      </c>
      <c r="K194" s="315" t="str">
        <f t="shared" si="27"/>
        <v>421Toyota UV incentive income</v>
      </c>
      <c r="L194" s="311">
        <f>+SUMIF('TUNZ Extracted TB'!M:M,$P194,'TUNZ Extracted TB'!G:G)</f>
        <v>0</v>
      </c>
      <c r="M194" s="311"/>
      <c r="N194" s="311">
        <f>+SUMIF('Input Sheet'!$AE:$AE,P194,'Input Sheet'!$X:$X)</f>
        <v>0</v>
      </c>
      <c r="O194" s="311"/>
      <c r="P194" t="str">
        <f t="shared" si="28"/>
        <v>421-3246</v>
      </c>
      <c r="Q194" s="315" t="str">
        <f t="shared" si="29"/>
        <v>Used Vehicle</v>
      </c>
      <c r="R194" s="315" t="str">
        <f t="shared" si="30"/>
        <v>Used VehicleOT/SIG Class total gross p.u. incl. incentives</v>
      </c>
      <c r="S194" s="199"/>
      <c r="T194" s="199"/>
      <c r="U194" s="199"/>
    </row>
    <row r="195" spans="1:21" x14ac:dyDescent="0.25">
      <c r="A195" t="s">
        <v>996</v>
      </c>
      <c r="B195" t="s">
        <v>997</v>
      </c>
      <c r="C195" t="s">
        <v>1005</v>
      </c>
      <c r="D195">
        <v>3246</v>
      </c>
      <c r="E195">
        <v>320</v>
      </c>
      <c r="F195" t="s">
        <v>1068</v>
      </c>
      <c r="G195" t="s">
        <v>1069</v>
      </c>
      <c r="H195" s="315" t="s">
        <v>30</v>
      </c>
      <c r="I195" s="315" t="s">
        <v>1070</v>
      </c>
      <c r="J195" s="315" t="str">
        <f t="shared" si="26"/>
        <v>Used VehicleOT/SIG Class total gross p.u. incl. incentives</v>
      </c>
      <c r="K195" s="315" t="str">
        <f t="shared" si="27"/>
        <v>320Toyota UV incentive income</v>
      </c>
      <c r="L195" s="311">
        <f>+SUMIF('TUNZ Extracted TB'!M:M,$P195,'TUNZ Extracted TB'!G:G)</f>
        <v>0</v>
      </c>
      <c r="M195" s="311"/>
      <c r="N195" s="311">
        <f>+SUMIF('Input Sheet'!$AE:$AE,P195,'Input Sheet'!$X:$X)</f>
        <v>0</v>
      </c>
      <c r="O195" s="311"/>
      <c r="P195" t="str">
        <f t="shared" si="28"/>
        <v>320-3246</v>
      </c>
      <c r="Q195" s="315" t="str">
        <f t="shared" si="29"/>
        <v>Used Vehicle</v>
      </c>
      <c r="R195" s="315" t="str">
        <f t="shared" si="30"/>
        <v>Used VehicleOT/SIG Class total gross p.u. incl. incentives</v>
      </c>
      <c r="S195" s="199"/>
      <c r="T195" s="199"/>
      <c r="U195" s="199"/>
    </row>
    <row r="196" spans="1:21" x14ac:dyDescent="0.25">
      <c r="A196" t="s">
        <v>996</v>
      </c>
      <c r="B196" t="s">
        <v>997</v>
      </c>
      <c r="C196" t="s">
        <v>997</v>
      </c>
      <c r="D196">
        <v>3246</v>
      </c>
      <c r="E196">
        <v>321</v>
      </c>
      <c r="F196" t="s">
        <v>1068</v>
      </c>
      <c r="G196" t="s">
        <v>1069</v>
      </c>
      <c r="H196" s="315" t="s">
        <v>30</v>
      </c>
      <c r="I196" s="315" t="s">
        <v>1070</v>
      </c>
      <c r="J196" s="315" t="str">
        <f t="shared" si="26"/>
        <v>Used VehicleOT/SIG Class total gross p.u. incl. incentives</v>
      </c>
      <c r="K196" s="315" t="str">
        <f t="shared" si="27"/>
        <v>321Toyota UV incentive income</v>
      </c>
      <c r="L196" s="311">
        <f>+SUMIF('TUNZ Extracted TB'!M:M,$P196,'TUNZ Extracted TB'!G:G)</f>
        <v>0</v>
      </c>
      <c r="M196" s="311"/>
      <c r="N196" s="311">
        <f>+SUMIF('Input Sheet'!$AE:$AE,P196,'Input Sheet'!$X:$X)</f>
        <v>0</v>
      </c>
      <c r="O196" s="311"/>
      <c r="P196" t="str">
        <f t="shared" si="28"/>
        <v>321-3246</v>
      </c>
      <c r="Q196" s="315" t="str">
        <f t="shared" si="29"/>
        <v>Used Vehicle</v>
      </c>
      <c r="R196" s="315" t="str">
        <f t="shared" si="30"/>
        <v>Used VehicleOT/SIG Class total gross p.u. incl. incentives</v>
      </c>
      <c r="S196" s="199"/>
      <c r="T196" s="199"/>
      <c r="U196" s="199"/>
    </row>
    <row r="197" spans="1:21" x14ac:dyDescent="0.25">
      <c r="A197" t="s">
        <v>996</v>
      </c>
      <c r="B197" t="s">
        <v>997</v>
      </c>
      <c r="C197" t="s">
        <v>997</v>
      </c>
      <c r="D197">
        <v>3246</v>
      </c>
      <c r="E197">
        <v>120</v>
      </c>
      <c r="F197" t="s">
        <v>1068</v>
      </c>
      <c r="G197" t="s">
        <v>1069</v>
      </c>
      <c r="H197" s="315" t="s">
        <v>30</v>
      </c>
      <c r="I197" s="315" t="s">
        <v>1070</v>
      </c>
      <c r="J197" s="315" t="str">
        <f t="shared" si="26"/>
        <v>Used VehicleOT/SIG Class total gross p.u. incl. incentives</v>
      </c>
      <c r="K197" s="315" t="str">
        <f t="shared" si="27"/>
        <v>120Toyota UV incentive income</v>
      </c>
      <c r="L197" s="311">
        <f>+SUMIF('TUNZ Extracted TB'!M:M,$P197,'TUNZ Extracted TB'!G:G)</f>
        <v>0</v>
      </c>
      <c r="M197" s="311"/>
      <c r="N197" s="311">
        <f>+SUMIF('Input Sheet'!$AE:$AE,P197,'Input Sheet'!$X:$X)</f>
        <v>0</v>
      </c>
      <c r="O197" s="311"/>
      <c r="P197" t="str">
        <f t="shared" si="28"/>
        <v>120-3246</v>
      </c>
      <c r="Q197" s="315" t="str">
        <f t="shared" si="29"/>
        <v>Used Vehicle</v>
      </c>
      <c r="R197" s="315" t="str">
        <f t="shared" si="30"/>
        <v>Used VehicleOT/SIG Class total gross p.u. incl. incentives</v>
      </c>
      <c r="S197" s="199"/>
      <c r="T197" s="199"/>
      <c r="U197" s="199"/>
    </row>
    <row r="198" spans="1:21" x14ac:dyDescent="0.25">
      <c r="A198" t="s">
        <v>996</v>
      </c>
      <c r="B198" t="s">
        <v>997</v>
      </c>
      <c r="C198" t="s">
        <v>1005</v>
      </c>
      <c r="D198">
        <v>3246</v>
      </c>
      <c r="E198">
        <v>220</v>
      </c>
      <c r="F198" t="s">
        <v>1068</v>
      </c>
      <c r="G198" t="s">
        <v>1069</v>
      </c>
      <c r="H198" s="315" t="s">
        <v>30</v>
      </c>
      <c r="I198" s="315" t="s">
        <v>1070</v>
      </c>
      <c r="J198" s="315" t="str">
        <f t="shared" si="26"/>
        <v>Used VehicleOT/SIG Class total gross p.u. incl. incentives</v>
      </c>
      <c r="K198" s="315" t="str">
        <f t="shared" si="27"/>
        <v>220Toyota UV incentive income</v>
      </c>
      <c r="L198" s="311">
        <f>+SUMIF('TUNZ Extracted TB'!M:M,$P198,'TUNZ Extracted TB'!G:G)</f>
        <v>0</v>
      </c>
      <c r="M198" s="311"/>
      <c r="N198" s="311">
        <f>+SUMIF('Input Sheet'!$AE:$AE,P198,'Input Sheet'!$X:$X)</f>
        <v>0</v>
      </c>
      <c r="O198" s="311"/>
      <c r="P198" t="str">
        <f t="shared" si="28"/>
        <v>220-3246</v>
      </c>
      <c r="Q198" s="315" t="str">
        <f t="shared" si="29"/>
        <v>Used Vehicle</v>
      </c>
      <c r="R198" s="315" t="str">
        <f t="shared" si="30"/>
        <v>Used VehicleOT/SIG Class total gross p.u. incl. incentives</v>
      </c>
      <c r="S198" s="199"/>
      <c r="T198" s="199"/>
      <c r="U198" s="199"/>
    </row>
    <row r="199" spans="1:21" x14ac:dyDescent="0.25">
      <c r="A199" t="s">
        <v>996</v>
      </c>
      <c r="B199" t="s">
        <v>997</v>
      </c>
      <c r="C199" t="s">
        <v>1005</v>
      </c>
      <c r="D199">
        <v>3246</v>
      </c>
      <c r="E199">
        <v>121</v>
      </c>
      <c r="F199" t="s">
        <v>1068</v>
      </c>
      <c r="G199" t="s">
        <v>1069</v>
      </c>
      <c r="H199" s="315" t="s">
        <v>30</v>
      </c>
      <c r="I199" s="315" t="s">
        <v>1070</v>
      </c>
      <c r="J199" s="315" t="str">
        <f t="shared" si="26"/>
        <v>Used VehicleOT/SIG Class total gross p.u. incl. incentives</v>
      </c>
      <c r="K199" s="315" t="str">
        <f t="shared" si="27"/>
        <v>121Toyota UV incentive income</v>
      </c>
      <c r="L199" s="311">
        <f>+SUMIF('TUNZ Extracted TB'!M:M,$P199,'TUNZ Extracted TB'!G:G)</f>
        <v>0</v>
      </c>
      <c r="M199" s="311"/>
      <c r="N199" s="311">
        <f>+SUMIF('Input Sheet'!$AE:$AE,P199,'Input Sheet'!$X:$X)</f>
        <v>0</v>
      </c>
      <c r="O199" s="311"/>
      <c r="P199" t="str">
        <f t="shared" si="28"/>
        <v>121-3246</v>
      </c>
      <c r="Q199" s="315" t="str">
        <f t="shared" si="29"/>
        <v>Used Vehicle</v>
      </c>
      <c r="R199" s="315" t="str">
        <f t="shared" si="30"/>
        <v>Used VehicleOT/SIG Class total gross p.u. incl. incentives</v>
      </c>
      <c r="S199" s="199"/>
      <c r="T199" s="199"/>
      <c r="U199" s="199"/>
    </row>
    <row r="200" spans="1:21" x14ac:dyDescent="0.25">
      <c r="A200" t="s">
        <v>996</v>
      </c>
      <c r="B200" t="s">
        <v>997</v>
      </c>
      <c r="C200" t="s">
        <v>1013</v>
      </c>
      <c r="D200">
        <v>3247</v>
      </c>
      <c r="E200">
        <v>221</v>
      </c>
      <c r="F200" t="s">
        <v>1068</v>
      </c>
      <c r="G200" t="s">
        <v>1069</v>
      </c>
      <c r="H200" s="315" t="s">
        <v>30</v>
      </c>
      <c r="I200" s="315" t="s">
        <v>1070</v>
      </c>
      <c r="J200" s="315" t="str">
        <f t="shared" si="26"/>
        <v>Used VehicleOT/SIG Class total gross p.u. incl. incentives</v>
      </c>
      <c r="K200" s="315" t="str">
        <f t="shared" si="27"/>
        <v>221Toyota UV incentive income</v>
      </c>
      <c r="L200" s="311">
        <f>+SUMIF('TUNZ Extracted TB'!M:M,$P200,'TUNZ Extracted TB'!G:G)</f>
        <v>0</v>
      </c>
      <c r="M200" s="311"/>
      <c r="N200" s="311">
        <f>+SUMIF('Input Sheet'!$AE:$AE,P200,'Input Sheet'!$X:$X)</f>
        <v>0</v>
      </c>
      <c r="O200" s="311"/>
      <c r="P200" t="str">
        <f t="shared" si="28"/>
        <v>221-3247</v>
      </c>
      <c r="Q200" s="315" t="str">
        <f t="shared" si="29"/>
        <v>Used Vehicle</v>
      </c>
      <c r="R200" s="315" t="str">
        <f t="shared" si="30"/>
        <v>Used VehicleOT/SIG Class total gross p.u. incl. incentives</v>
      </c>
      <c r="S200" s="199"/>
      <c r="T200" s="199"/>
      <c r="U200" s="199"/>
    </row>
    <row r="201" spans="1:21" x14ac:dyDescent="0.25">
      <c r="A201" t="s">
        <v>996</v>
      </c>
      <c r="B201" t="s">
        <v>997</v>
      </c>
      <c r="C201" t="s">
        <v>1005</v>
      </c>
      <c r="D201">
        <v>3247</v>
      </c>
      <c r="E201">
        <v>420</v>
      </c>
      <c r="F201" t="s">
        <v>1068</v>
      </c>
      <c r="G201" t="s">
        <v>1069</v>
      </c>
      <c r="H201" s="315" t="s">
        <v>30</v>
      </c>
      <c r="I201" s="315" t="s">
        <v>1070</v>
      </c>
      <c r="J201" s="315" t="str">
        <f t="shared" si="26"/>
        <v>Used VehicleOT/SIG Class total gross p.u. incl. incentives</v>
      </c>
      <c r="K201" s="315" t="str">
        <f t="shared" si="27"/>
        <v>420Toyota UV incentive income</v>
      </c>
      <c r="L201" s="311">
        <f>+SUMIF('TUNZ Extracted TB'!M:M,$P201,'TUNZ Extracted TB'!G:G)</f>
        <v>0</v>
      </c>
      <c r="M201" s="311"/>
      <c r="N201" s="311">
        <f>+SUMIF('Input Sheet'!$AE:$AE,P201,'Input Sheet'!$X:$X)</f>
        <v>0</v>
      </c>
      <c r="O201" s="311"/>
      <c r="P201" t="str">
        <f t="shared" si="28"/>
        <v>420-3247</v>
      </c>
      <c r="Q201" s="315" t="str">
        <f t="shared" si="29"/>
        <v>Used Vehicle</v>
      </c>
      <c r="R201" s="315" t="str">
        <f t="shared" si="30"/>
        <v>Used VehicleOT/SIG Class total gross p.u. incl. incentives</v>
      </c>
      <c r="S201" s="199"/>
      <c r="T201" s="199"/>
      <c r="U201" s="199"/>
    </row>
    <row r="202" spans="1:21" x14ac:dyDescent="0.25">
      <c r="A202" t="s">
        <v>996</v>
      </c>
      <c r="B202" t="s">
        <v>997</v>
      </c>
      <c r="C202" t="s">
        <v>1005</v>
      </c>
      <c r="D202">
        <v>3247</v>
      </c>
      <c r="E202">
        <v>421</v>
      </c>
      <c r="F202" t="s">
        <v>1068</v>
      </c>
      <c r="G202" t="s">
        <v>1069</v>
      </c>
      <c r="H202" s="315" t="s">
        <v>30</v>
      </c>
      <c r="I202" s="315" t="s">
        <v>1070</v>
      </c>
      <c r="J202" s="315" t="str">
        <f t="shared" si="26"/>
        <v>Used VehicleOT/SIG Class total gross p.u. incl. incentives</v>
      </c>
      <c r="K202" s="315" t="str">
        <f t="shared" si="27"/>
        <v>421Toyota UV incentive income</v>
      </c>
      <c r="L202" s="311">
        <f>+SUMIF('TUNZ Extracted TB'!M:M,$P202,'TUNZ Extracted TB'!G:G)</f>
        <v>0</v>
      </c>
      <c r="M202" s="311"/>
      <c r="N202" s="311">
        <f>+SUMIF('Input Sheet'!$AE:$AE,P202,'Input Sheet'!$X:$X)</f>
        <v>0</v>
      </c>
      <c r="O202" s="311"/>
      <c r="P202" t="str">
        <f t="shared" si="28"/>
        <v>421-3247</v>
      </c>
      <c r="Q202" s="315" t="str">
        <f t="shared" si="29"/>
        <v>Used Vehicle</v>
      </c>
      <c r="R202" s="315" t="str">
        <f t="shared" si="30"/>
        <v>Used VehicleOT/SIG Class total gross p.u. incl. incentives</v>
      </c>
      <c r="S202" s="199"/>
      <c r="T202" s="199"/>
      <c r="U202" s="199"/>
    </row>
    <row r="203" spans="1:21" x14ac:dyDescent="0.25">
      <c r="A203" t="s">
        <v>996</v>
      </c>
      <c r="B203" t="s">
        <v>997</v>
      </c>
      <c r="C203" t="s">
        <v>1005</v>
      </c>
      <c r="D203">
        <v>3247</v>
      </c>
      <c r="E203">
        <v>320</v>
      </c>
      <c r="F203" t="s">
        <v>1068</v>
      </c>
      <c r="G203" t="s">
        <v>1069</v>
      </c>
      <c r="H203" s="315" t="s">
        <v>30</v>
      </c>
      <c r="I203" s="315" t="s">
        <v>1070</v>
      </c>
      <c r="J203" s="315" t="str">
        <f t="shared" si="26"/>
        <v>Used VehicleOT/SIG Class total gross p.u. incl. incentives</v>
      </c>
      <c r="K203" s="315" t="str">
        <f t="shared" si="27"/>
        <v>320Toyota UV incentive income</v>
      </c>
      <c r="L203" s="311">
        <f>+SUMIF('TUNZ Extracted TB'!M:M,$P203,'TUNZ Extracted TB'!G:G)</f>
        <v>0</v>
      </c>
      <c r="M203" s="311"/>
      <c r="N203" s="311">
        <f>+SUMIF('Input Sheet'!$AE:$AE,P203,'Input Sheet'!$X:$X)</f>
        <v>0</v>
      </c>
      <c r="O203" s="311"/>
      <c r="P203" t="str">
        <f t="shared" si="28"/>
        <v>320-3247</v>
      </c>
      <c r="Q203" s="315" t="str">
        <f t="shared" si="29"/>
        <v>Used Vehicle</v>
      </c>
      <c r="R203" s="315" t="str">
        <f t="shared" si="30"/>
        <v>Used VehicleOT/SIG Class total gross p.u. incl. incentives</v>
      </c>
      <c r="S203" s="199"/>
      <c r="T203" s="199"/>
      <c r="U203" s="199"/>
    </row>
    <row r="204" spans="1:21" x14ac:dyDescent="0.25">
      <c r="A204" t="s">
        <v>996</v>
      </c>
      <c r="B204" t="s">
        <v>997</v>
      </c>
      <c r="C204" t="s">
        <v>1013</v>
      </c>
      <c r="D204">
        <v>3247</v>
      </c>
      <c r="E204">
        <v>321</v>
      </c>
      <c r="F204" t="s">
        <v>1068</v>
      </c>
      <c r="G204" t="s">
        <v>1069</v>
      </c>
      <c r="H204" s="315" t="s">
        <v>30</v>
      </c>
      <c r="I204" s="315" t="s">
        <v>1070</v>
      </c>
      <c r="J204" s="315" t="str">
        <f t="shared" si="26"/>
        <v>Used VehicleOT/SIG Class total gross p.u. incl. incentives</v>
      </c>
      <c r="K204" s="315" t="str">
        <f t="shared" si="27"/>
        <v>321Toyota UV incentive income</v>
      </c>
      <c r="L204" s="311">
        <f>+SUMIF('TUNZ Extracted TB'!M:M,$P204,'TUNZ Extracted TB'!G:G)</f>
        <v>0</v>
      </c>
      <c r="M204" s="311"/>
      <c r="N204" s="311">
        <f>+SUMIF('Input Sheet'!$AE:$AE,P204,'Input Sheet'!$X:$X)</f>
        <v>0</v>
      </c>
      <c r="O204" s="311"/>
      <c r="P204" t="str">
        <f t="shared" si="28"/>
        <v>321-3247</v>
      </c>
      <c r="Q204" s="315" t="str">
        <f t="shared" si="29"/>
        <v>Used Vehicle</v>
      </c>
      <c r="R204" s="315" t="str">
        <f t="shared" si="30"/>
        <v>Used VehicleOT/SIG Class total gross p.u. incl. incentives</v>
      </c>
      <c r="S204" s="199"/>
      <c r="T204" s="199"/>
      <c r="U204" s="199"/>
    </row>
    <row r="205" spans="1:21" x14ac:dyDescent="0.25">
      <c r="A205" t="s">
        <v>996</v>
      </c>
      <c r="B205" t="s">
        <v>997</v>
      </c>
      <c r="C205" t="s">
        <v>1005</v>
      </c>
      <c r="D205">
        <v>3247</v>
      </c>
      <c r="E205">
        <v>120</v>
      </c>
      <c r="F205" t="s">
        <v>1068</v>
      </c>
      <c r="G205" t="s">
        <v>1069</v>
      </c>
      <c r="H205" s="315" t="s">
        <v>30</v>
      </c>
      <c r="I205" s="315" t="s">
        <v>1070</v>
      </c>
      <c r="J205" s="315" t="str">
        <f t="shared" si="26"/>
        <v>Used VehicleOT/SIG Class total gross p.u. incl. incentives</v>
      </c>
      <c r="K205" s="315" t="str">
        <f t="shared" si="27"/>
        <v>120Toyota UV incentive income</v>
      </c>
      <c r="L205" s="311">
        <f>+SUMIF('TUNZ Extracted TB'!M:M,$P205,'TUNZ Extracted TB'!G:G)</f>
        <v>0</v>
      </c>
      <c r="M205" s="311"/>
      <c r="N205" s="311">
        <f>+SUMIF('Input Sheet'!$AE:$AE,P205,'Input Sheet'!$X:$X)</f>
        <v>0</v>
      </c>
      <c r="O205" s="311"/>
      <c r="P205" t="str">
        <f t="shared" si="28"/>
        <v>120-3247</v>
      </c>
      <c r="Q205" s="315" t="str">
        <f t="shared" si="29"/>
        <v>Used Vehicle</v>
      </c>
      <c r="R205" s="315" t="str">
        <f t="shared" si="30"/>
        <v>Used VehicleOT/SIG Class total gross p.u. incl. incentives</v>
      </c>
      <c r="S205" s="199"/>
      <c r="T205" s="199"/>
      <c r="U205" s="199"/>
    </row>
    <row r="206" spans="1:21" x14ac:dyDescent="0.25">
      <c r="A206" t="s">
        <v>996</v>
      </c>
      <c r="B206" t="s">
        <v>997</v>
      </c>
      <c r="C206" t="s">
        <v>1012</v>
      </c>
      <c r="D206">
        <v>3247</v>
      </c>
      <c r="E206">
        <v>220</v>
      </c>
      <c r="F206" t="s">
        <v>1068</v>
      </c>
      <c r="G206" t="s">
        <v>1069</v>
      </c>
      <c r="H206" s="315" t="s">
        <v>30</v>
      </c>
      <c r="I206" s="315" t="s">
        <v>1070</v>
      </c>
      <c r="J206" s="315" t="str">
        <f t="shared" si="26"/>
        <v>Used VehicleOT/SIG Class total gross p.u. incl. incentives</v>
      </c>
      <c r="K206" s="315" t="str">
        <f t="shared" si="27"/>
        <v>220Toyota UV incentive income</v>
      </c>
      <c r="L206" s="311">
        <f>+SUMIF('TUNZ Extracted TB'!M:M,$P206,'TUNZ Extracted TB'!G:G)</f>
        <v>0</v>
      </c>
      <c r="M206" s="311"/>
      <c r="N206" s="311">
        <f>+SUMIF('Input Sheet'!$AE:$AE,P206,'Input Sheet'!$X:$X)</f>
        <v>0</v>
      </c>
      <c r="O206" s="311"/>
      <c r="P206" t="str">
        <f t="shared" si="28"/>
        <v>220-3247</v>
      </c>
      <c r="Q206" s="315" t="str">
        <f t="shared" si="29"/>
        <v>Used Vehicle</v>
      </c>
      <c r="R206" s="315" t="str">
        <f t="shared" si="30"/>
        <v>Used VehicleOT/SIG Class total gross p.u. incl. incentives</v>
      </c>
      <c r="S206" s="199"/>
      <c r="T206" s="199"/>
      <c r="U206" s="199"/>
    </row>
    <row r="207" spans="1:21" x14ac:dyDescent="0.25">
      <c r="A207" t="s">
        <v>996</v>
      </c>
      <c r="B207" t="s">
        <v>997</v>
      </c>
      <c r="C207" t="s">
        <v>1012</v>
      </c>
      <c r="D207">
        <v>3247</v>
      </c>
      <c r="E207">
        <v>121</v>
      </c>
      <c r="F207" t="s">
        <v>1068</v>
      </c>
      <c r="G207" t="s">
        <v>1069</v>
      </c>
      <c r="H207" s="315" t="s">
        <v>30</v>
      </c>
      <c r="I207" s="315" t="s">
        <v>1070</v>
      </c>
      <c r="J207" s="315" t="str">
        <f t="shared" si="26"/>
        <v>Used VehicleOT/SIG Class total gross p.u. incl. incentives</v>
      </c>
      <c r="K207" s="315" t="str">
        <f t="shared" si="27"/>
        <v>121Toyota UV incentive income</v>
      </c>
      <c r="L207" s="311">
        <f>+SUMIF('TUNZ Extracted TB'!M:M,$P207,'TUNZ Extracted TB'!G:G)</f>
        <v>0</v>
      </c>
      <c r="M207" s="311"/>
      <c r="N207" s="311">
        <f>+SUMIF('Input Sheet'!$AE:$AE,P207,'Input Sheet'!$X:$X)</f>
        <v>0</v>
      </c>
      <c r="O207" s="311"/>
      <c r="P207" t="str">
        <f t="shared" si="28"/>
        <v>121-3247</v>
      </c>
      <c r="Q207" s="315" t="str">
        <f t="shared" si="29"/>
        <v>Used Vehicle</v>
      </c>
      <c r="R207" s="315" t="str">
        <f t="shared" si="30"/>
        <v>Used VehicleOT/SIG Class total gross p.u. incl. incentives</v>
      </c>
      <c r="S207" s="199"/>
      <c r="T207" s="199"/>
      <c r="U207" s="199"/>
    </row>
    <row r="208" spans="1:21" x14ac:dyDescent="0.25">
      <c r="A208" t="s">
        <v>996</v>
      </c>
      <c r="B208" t="s">
        <v>997</v>
      </c>
      <c r="C208" t="s">
        <v>1013</v>
      </c>
      <c r="D208">
        <v>3248</v>
      </c>
      <c r="E208">
        <v>221</v>
      </c>
      <c r="F208" t="s">
        <v>1068</v>
      </c>
      <c r="G208" t="s">
        <v>1069</v>
      </c>
      <c r="H208" s="315" t="s">
        <v>30</v>
      </c>
      <c r="I208" s="315" t="s">
        <v>1070</v>
      </c>
      <c r="J208" s="315" t="str">
        <f t="shared" si="26"/>
        <v>Used VehicleOT/SIG Class total gross p.u. incl. incentives</v>
      </c>
      <c r="K208" s="315" t="str">
        <f t="shared" si="27"/>
        <v>221Toyota UV incentive income</v>
      </c>
      <c r="L208" s="311">
        <f>+SUMIF('TUNZ Extracted TB'!M:M,$P208,'TUNZ Extracted TB'!G:G)</f>
        <v>0</v>
      </c>
      <c r="M208" s="311"/>
      <c r="N208" s="311">
        <f>+SUMIF('Input Sheet'!$AE:$AE,P208,'Input Sheet'!$X:$X)</f>
        <v>0</v>
      </c>
      <c r="O208" s="311"/>
      <c r="P208" t="str">
        <f t="shared" si="28"/>
        <v>221-3248</v>
      </c>
      <c r="Q208" s="315" t="str">
        <f t="shared" si="29"/>
        <v>Used Vehicle</v>
      </c>
      <c r="R208" s="315" t="str">
        <f t="shared" si="30"/>
        <v>Used VehicleOT/SIG Class total gross p.u. incl. incentives</v>
      </c>
      <c r="S208" s="199"/>
      <c r="T208" s="199"/>
      <c r="U208" s="199"/>
    </row>
    <row r="209" spans="1:21" x14ac:dyDescent="0.25">
      <c r="A209" t="s">
        <v>996</v>
      </c>
      <c r="B209" t="s">
        <v>997</v>
      </c>
      <c r="C209" t="s">
        <v>1013</v>
      </c>
      <c r="D209">
        <v>3248</v>
      </c>
      <c r="E209">
        <v>420</v>
      </c>
      <c r="F209" t="s">
        <v>1068</v>
      </c>
      <c r="G209" t="s">
        <v>1069</v>
      </c>
      <c r="H209" s="315" t="s">
        <v>30</v>
      </c>
      <c r="I209" s="315" t="s">
        <v>1070</v>
      </c>
      <c r="J209" s="315" t="str">
        <f t="shared" si="26"/>
        <v>Used VehicleOT/SIG Class total gross p.u. incl. incentives</v>
      </c>
      <c r="K209" s="315" t="str">
        <f t="shared" si="27"/>
        <v>420Toyota UV incentive income</v>
      </c>
      <c r="L209" s="311">
        <f>+SUMIF('TUNZ Extracted TB'!M:M,$P209,'TUNZ Extracted TB'!G:G)</f>
        <v>0</v>
      </c>
      <c r="M209" s="311"/>
      <c r="N209" s="311">
        <f>+SUMIF('Input Sheet'!$AE:$AE,P209,'Input Sheet'!$X:$X)</f>
        <v>0</v>
      </c>
      <c r="O209" s="311"/>
      <c r="P209" t="str">
        <f t="shared" si="28"/>
        <v>420-3248</v>
      </c>
      <c r="Q209" s="315" t="str">
        <f t="shared" si="29"/>
        <v>Used Vehicle</v>
      </c>
      <c r="R209" s="315" t="str">
        <f t="shared" si="30"/>
        <v>Used VehicleOT/SIG Class total gross p.u. incl. incentives</v>
      </c>
      <c r="S209" s="199"/>
      <c r="T209" s="199"/>
      <c r="U209" s="199"/>
    </row>
    <row r="210" spans="1:21" x14ac:dyDescent="0.25">
      <c r="A210" t="s">
        <v>996</v>
      </c>
      <c r="B210" t="s">
        <v>997</v>
      </c>
      <c r="C210" t="s">
        <v>997</v>
      </c>
      <c r="D210">
        <v>3248</v>
      </c>
      <c r="E210">
        <v>421</v>
      </c>
      <c r="F210" t="s">
        <v>1068</v>
      </c>
      <c r="G210" t="s">
        <v>1069</v>
      </c>
      <c r="H210" s="315" t="s">
        <v>30</v>
      </c>
      <c r="I210" s="315" t="s">
        <v>1070</v>
      </c>
      <c r="J210" s="315" t="str">
        <f t="shared" si="26"/>
        <v>Used VehicleOT/SIG Class total gross p.u. incl. incentives</v>
      </c>
      <c r="K210" s="315" t="str">
        <f t="shared" si="27"/>
        <v>421Toyota UV incentive income</v>
      </c>
      <c r="L210" s="311">
        <f>+SUMIF('TUNZ Extracted TB'!M:M,$P210,'TUNZ Extracted TB'!G:G)</f>
        <v>0</v>
      </c>
      <c r="M210" s="311"/>
      <c r="N210" s="311">
        <f>+SUMIF('Input Sheet'!$AE:$AE,P210,'Input Sheet'!$X:$X)</f>
        <v>0</v>
      </c>
      <c r="O210" s="311"/>
      <c r="P210" t="str">
        <f t="shared" si="28"/>
        <v>421-3248</v>
      </c>
      <c r="Q210" s="315" t="str">
        <f t="shared" si="29"/>
        <v>Used Vehicle</v>
      </c>
      <c r="R210" s="315" t="str">
        <f t="shared" si="30"/>
        <v>Used VehicleOT/SIG Class total gross p.u. incl. incentives</v>
      </c>
      <c r="S210" s="199"/>
      <c r="T210" s="199"/>
      <c r="U210" s="199"/>
    </row>
    <row r="211" spans="1:21" x14ac:dyDescent="0.25">
      <c r="A211" t="s">
        <v>996</v>
      </c>
      <c r="B211" t="s">
        <v>997</v>
      </c>
      <c r="C211" t="s">
        <v>1005</v>
      </c>
      <c r="D211">
        <v>3248</v>
      </c>
      <c r="E211">
        <v>320</v>
      </c>
      <c r="F211" t="s">
        <v>1068</v>
      </c>
      <c r="G211" t="s">
        <v>1069</v>
      </c>
      <c r="H211" s="315" t="s">
        <v>30</v>
      </c>
      <c r="I211" s="315" t="s">
        <v>1070</v>
      </c>
      <c r="J211" s="315" t="str">
        <f t="shared" si="26"/>
        <v>Used VehicleOT/SIG Class total gross p.u. incl. incentives</v>
      </c>
      <c r="K211" s="315" t="str">
        <f t="shared" si="27"/>
        <v>320Toyota UV incentive income</v>
      </c>
      <c r="L211" s="311">
        <f>+SUMIF('TUNZ Extracted TB'!M:M,$P211,'TUNZ Extracted TB'!G:G)</f>
        <v>0</v>
      </c>
      <c r="M211" s="311"/>
      <c r="N211" s="311">
        <f>+SUMIF('Input Sheet'!$AE:$AE,P211,'Input Sheet'!$X:$X)</f>
        <v>0</v>
      </c>
      <c r="O211" s="311"/>
      <c r="P211" t="str">
        <f t="shared" si="28"/>
        <v>320-3248</v>
      </c>
      <c r="Q211" s="315" t="str">
        <f t="shared" si="29"/>
        <v>Used Vehicle</v>
      </c>
      <c r="R211" s="315" t="str">
        <f t="shared" si="30"/>
        <v>Used VehicleOT/SIG Class total gross p.u. incl. incentives</v>
      </c>
      <c r="S211" s="199"/>
      <c r="T211" s="199"/>
      <c r="U211" s="199"/>
    </row>
    <row r="212" spans="1:21" x14ac:dyDescent="0.25">
      <c r="A212" t="s">
        <v>996</v>
      </c>
      <c r="B212" t="s">
        <v>997</v>
      </c>
      <c r="C212" t="s">
        <v>997</v>
      </c>
      <c r="D212">
        <v>3248</v>
      </c>
      <c r="E212">
        <v>321</v>
      </c>
      <c r="F212" t="s">
        <v>1068</v>
      </c>
      <c r="G212" t="s">
        <v>1069</v>
      </c>
      <c r="H212" s="315" t="s">
        <v>30</v>
      </c>
      <c r="I212" s="315" t="s">
        <v>1070</v>
      </c>
      <c r="J212" s="315" t="str">
        <f t="shared" si="26"/>
        <v>Used VehicleOT/SIG Class total gross p.u. incl. incentives</v>
      </c>
      <c r="K212" s="315" t="str">
        <f t="shared" si="27"/>
        <v>321Toyota UV incentive income</v>
      </c>
      <c r="L212" s="311">
        <f>+SUMIF('TUNZ Extracted TB'!M:M,$P212,'TUNZ Extracted TB'!G:G)</f>
        <v>0</v>
      </c>
      <c r="M212" s="311"/>
      <c r="N212" s="311">
        <f>+SUMIF('Input Sheet'!$AE:$AE,P212,'Input Sheet'!$X:$X)</f>
        <v>0</v>
      </c>
      <c r="O212" s="311"/>
      <c r="P212" t="str">
        <f t="shared" si="28"/>
        <v>321-3248</v>
      </c>
      <c r="Q212" s="315" t="str">
        <f t="shared" si="29"/>
        <v>Used Vehicle</v>
      </c>
      <c r="R212" s="315" t="str">
        <f t="shared" si="30"/>
        <v>Used VehicleOT/SIG Class total gross p.u. incl. incentives</v>
      </c>
      <c r="S212" s="199"/>
      <c r="T212" s="199"/>
      <c r="U212" s="199"/>
    </row>
    <row r="213" spans="1:21" x14ac:dyDescent="0.25">
      <c r="A213" s="316">
        <v>45108</v>
      </c>
      <c r="B213" t="s">
        <v>997</v>
      </c>
      <c r="C213" t="s">
        <v>997</v>
      </c>
      <c r="D213">
        <v>3248</v>
      </c>
      <c r="E213">
        <v>120</v>
      </c>
      <c r="F213" t="s">
        <v>1068</v>
      </c>
      <c r="G213" t="s">
        <v>1069</v>
      </c>
      <c r="H213" s="315" t="s">
        <v>30</v>
      </c>
      <c r="I213" s="315" t="s">
        <v>1070</v>
      </c>
      <c r="J213" s="315" t="str">
        <f t="shared" si="26"/>
        <v>Used VehicleOT/SIG Class total gross p.u. incl. incentives</v>
      </c>
      <c r="K213" s="315" t="str">
        <f t="shared" si="27"/>
        <v>120Toyota UV incentive income</v>
      </c>
      <c r="L213" s="311">
        <f>+SUMIF('TUNZ Extracted TB'!M:M,$P213,'TUNZ Extracted TB'!G:G)</f>
        <v>0</v>
      </c>
      <c r="M213" s="311"/>
      <c r="N213" s="311">
        <f>+SUMIF('Input Sheet'!$AE:$AE,P213,'Input Sheet'!$X:$X)</f>
        <v>0</v>
      </c>
      <c r="O213" s="311"/>
      <c r="P213" t="str">
        <f t="shared" si="28"/>
        <v>120-3248</v>
      </c>
      <c r="Q213" s="315" t="str">
        <f t="shared" si="29"/>
        <v>Used Vehicle</v>
      </c>
      <c r="R213" s="315" t="str">
        <f t="shared" si="30"/>
        <v>Used VehicleOT/SIG Class total gross p.u. incl. incentives</v>
      </c>
      <c r="S213" s="199"/>
      <c r="T213" s="199"/>
      <c r="U213" s="199"/>
    </row>
    <row r="214" spans="1:21" x14ac:dyDescent="0.25">
      <c r="A214" s="316">
        <v>45108</v>
      </c>
      <c r="B214" t="s">
        <v>997</v>
      </c>
      <c r="C214" t="s">
        <v>997</v>
      </c>
      <c r="D214">
        <v>3248</v>
      </c>
      <c r="E214">
        <v>220</v>
      </c>
      <c r="F214" t="s">
        <v>1068</v>
      </c>
      <c r="G214" t="s">
        <v>1069</v>
      </c>
      <c r="H214" s="315" t="s">
        <v>30</v>
      </c>
      <c r="I214" s="315" t="s">
        <v>1070</v>
      </c>
      <c r="J214" s="315" t="str">
        <f t="shared" si="26"/>
        <v>Used VehicleOT/SIG Class total gross p.u. incl. incentives</v>
      </c>
      <c r="K214" s="315" t="str">
        <f t="shared" si="27"/>
        <v>220Toyota UV incentive income</v>
      </c>
      <c r="L214" s="311">
        <f>+SUMIF('TUNZ Extracted TB'!M:M,$P214,'TUNZ Extracted TB'!G:G)</f>
        <v>0</v>
      </c>
      <c r="M214" s="311"/>
      <c r="N214" s="311">
        <f>+SUMIF('Input Sheet'!$AE:$AE,P214,'Input Sheet'!$X:$X)</f>
        <v>0</v>
      </c>
      <c r="O214" s="311"/>
      <c r="P214" t="str">
        <f t="shared" si="28"/>
        <v>220-3248</v>
      </c>
      <c r="Q214" s="315" t="str">
        <f t="shared" si="29"/>
        <v>Used Vehicle</v>
      </c>
      <c r="R214" s="315" t="str">
        <f t="shared" si="30"/>
        <v>Used VehicleOT/SIG Class total gross p.u. incl. incentives</v>
      </c>
      <c r="S214" s="199"/>
      <c r="T214" s="199"/>
      <c r="U214" s="199"/>
    </row>
    <row r="215" spans="1:21" x14ac:dyDescent="0.25">
      <c r="A215" t="s">
        <v>996</v>
      </c>
      <c r="B215" t="s">
        <v>997</v>
      </c>
      <c r="C215" t="s">
        <v>997</v>
      </c>
      <c r="D215">
        <v>3248</v>
      </c>
      <c r="E215">
        <v>121</v>
      </c>
      <c r="F215" t="s">
        <v>1068</v>
      </c>
      <c r="G215" t="s">
        <v>1069</v>
      </c>
      <c r="H215" s="315" t="s">
        <v>30</v>
      </c>
      <c r="I215" s="315" t="s">
        <v>1070</v>
      </c>
      <c r="J215" s="315" t="str">
        <f t="shared" si="26"/>
        <v>Used VehicleOT/SIG Class total gross p.u. incl. incentives</v>
      </c>
      <c r="K215" s="315" t="str">
        <f t="shared" si="27"/>
        <v>121Toyota UV incentive income</v>
      </c>
      <c r="L215" s="311">
        <f>+SUMIF('TUNZ Extracted TB'!M:M,$P215,'TUNZ Extracted TB'!G:G)</f>
        <v>0</v>
      </c>
      <c r="M215" s="311"/>
      <c r="N215" s="311">
        <f>+SUMIF('Input Sheet'!$AE:$AE,P215,'Input Sheet'!$X:$X)</f>
        <v>0</v>
      </c>
      <c r="O215" s="311"/>
      <c r="P215" t="str">
        <f t="shared" si="28"/>
        <v>121-3248</v>
      </c>
      <c r="Q215" s="315" t="str">
        <f t="shared" si="29"/>
        <v>Used Vehicle</v>
      </c>
      <c r="R215" s="315" t="str">
        <f t="shared" si="30"/>
        <v>Used VehicleOT/SIG Class total gross p.u. incl. incentives</v>
      </c>
      <c r="S215" s="199"/>
      <c r="T215" s="199"/>
      <c r="U215" s="199"/>
    </row>
    <row r="216" spans="1:21" x14ac:dyDescent="0.25">
      <c r="A216" t="s">
        <v>996</v>
      </c>
      <c r="B216" t="s">
        <v>997</v>
      </c>
      <c r="C216" t="s">
        <v>997</v>
      </c>
      <c r="D216">
        <v>3255</v>
      </c>
      <c r="E216">
        <v>122</v>
      </c>
      <c r="F216" t="s">
        <v>1071</v>
      </c>
      <c r="G216" t="s">
        <v>1072</v>
      </c>
      <c r="H216" s="315" t="s">
        <v>1041</v>
      </c>
      <c r="I216" s="315" t="s">
        <v>1073</v>
      </c>
      <c r="J216" s="315" t="str">
        <f t="shared" ref="J216:J258" si="31">+H216&amp;I216</f>
        <v>LEX Used VehicleOther UV retail gross profit p.u.</v>
      </c>
      <c r="K216" s="315" t="str">
        <f t="shared" ref="K216:K258" si="32">+E216&amp;G216</f>
        <v>122Lexus UV Cost of Sales</v>
      </c>
      <c r="L216" s="311">
        <f>+SUMIF('TUNZ Extracted TB'!M:M,$P216,'TUNZ Extracted TB'!G:G)</f>
        <v>0</v>
      </c>
      <c r="M216" s="311"/>
      <c r="N216" s="311">
        <f>+SUMIF('Input Sheet'!$AE:$AE,P216,'Input Sheet'!$X:$X)</f>
        <v>0</v>
      </c>
      <c r="O216" s="311"/>
      <c r="P216" t="str">
        <f t="shared" ref="P216:P258" si="33">+E216&amp;"-"&amp;D216</f>
        <v>122-3255</v>
      </c>
      <c r="Q216" s="315" t="str">
        <f t="shared" ref="Q216:Q258" si="34">H216</f>
        <v>LEX Used Vehicle</v>
      </c>
      <c r="R216" s="315" t="str">
        <f t="shared" ref="R216:R258" si="35">J216</f>
        <v>LEX Used VehicleOther UV retail gross profit p.u.</v>
      </c>
      <c r="S216" s="199"/>
      <c r="T216" s="199"/>
      <c r="U216" s="199"/>
    </row>
    <row r="217" spans="1:21" x14ac:dyDescent="0.25">
      <c r="A217" t="s">
        <v>996</v>
      </c>
      <c r="B217" t="s">
        <v>997</v>
      </c>
      <c r="C217" t="s">
        <v>1012</v>
      </c>
      <c r="D217">
        <v>3260</v>
      </c>
      <c r="E217">
        <v>460</v>
      </c>
      <c r="F217" t="s">
        <v>1074</v>
      </c>
      <c r="G217" t="s">
        <v>1075</v>
      </c>
      <c r="H217" s="315" t="s">
        <v>16</v>
      </c>
      <c r="I217" s="315" t="s">
        <v>1076</v>
      </c>
      <c r="J217" s="315" t="str">
        <f t="shared" si="31"/>
        <v>F&amp;IFinance Income per vehicle retailed</v>
      </c>
      <c r="K217" s="315" t="str">
        <f t="shared" si="32"/>
        <v>460Finance income - Used Toyota</v>
      </c>
      <c r="L217" s="311">
        <f>+SUMIF('TUNZ Extracted TB'!M:M,$P217,'TUNZ Extracted TB'!G:G)</f>
        <v>0</v>
      </c>
      <c r="M217" s="311"/>
      <c r="N217" s="311">
        <f>+SUMIF('Input Sheet'!$AE:$AE,P217,'Input Sheet'!$X:$X)</f>
        <v>0</v>
      </c>
      <c r="O217" s="311"/>
      <c r="P217" t="str">
        <f t="shared" si="33"/>
        <v>460-3260</v>
      </c>
      <c r="Q217" s="315" t="str">
        <f t="shared" si="34"/>
        <v>F&amp;I</v>
      </c>
      <c r="R217" s="315" t="str">
        <f t="shared" si="35"/>
        <v>F&amp;IFinance Income per vehicle retailed</v>
      </c>
      <c r="S217" s="199"/>
      <c r="T217" s="199"/>
      <c r="U217" s="199"/>
    </row>
    <row r="218" spans="1:21" x14ac:dyDescent="0.25">
      <c r="A218" t="s">
        <v>996</v>
      </c>
      <c r="B218" t="s">
        <v>997</v>
      </c>
      <c r="C218" t="s">
        <v>1013</v>
      </c>
      <c r="D218">
        <v>3260</v>
      </c>
      <c r="E218">
        <v>360</v>
      </c>
      <c r="F218" t="s">
        <v>1074</v>
      </c>
      <c r="G218" t="s">
        <v>1075</v>
      </c>
      <c r="H218" s="315" t="s">
        <v>16</v>
      </c>
      <c r="I218" s="315" t="s">
        <v>1076</v>
      </c>
      <c r="J218" s="315" t="str">
        <f t="shared" si="31"/>
        <v>F&amp;IFinance Income per vehicle retailed</v>
      </c>
      <c r="K218" s="315" t="str">
        <f t="shared" si="32"/>
        <v>360Finance income - Used Toyota</v>
      </c>
      <c r="L218" s="311">
        <f>+SUMIF('TUNZ Extracted TB'!M:M,$P218,'TUNZ Extracted TB'!G:G)</f>
        <v>0</v>
      </c>
      <c r="M218" s="311"/>
      <c r="N218" s="311">
        <f>+SUMIF('Input Sheet'!$AE:$AE,P218,'Input Sheet'!$X:$X)</f>
        <v>0</v>
      </c>
      <c r="O218" s="311"/>
      <c r="P218" t="str">
        <f t="shared" si="33"/>
        <v>360-3260</v>
      </c>
      <c r="Q218" s="315" t="str">
        <f t="shared" si="34"/>
        <v>F&amp;I</v>
      </c>
      <c r="R218" s="315" t="str">
        <f t="shared" si="35"/>
        <v>F&amp;IFinance Income per vehicle retailed</v>
      </c>
      <c r="S218" s="199"/>
      <c r="T218" s="199"/>
      <c r="U218" s="199"/>
    </row>
    <row r="219" spans="1:21" x14ac:dyDescent="0.25">
      <c r="A219" t="s">
        <v>996</v>
      </c>
      <c r="B219" t="s">
        <v>997</v>
      </c>
      <c r="C219" t="s">
        <v>997</v>
      </c>
      <c r="D219">
        <v>3260</v>
      </c>
      <c r="E219">
        <v>170</v>
      </c>
      <c r="F219" t="s">
        <v>1074</v>
      </c>
      <c r="G219" t="s">
        <v>1075</v>
      </c>
      <c r="H219" s="315" t="s">
        <v>16</v>
      </c>
      <c r="I219" s="315" t="s">
        <v>1076</v>
      </c>
      <c r="J219" s="315" t="str">
        <f t="shared" si="31"/>
        <v>F&amp;IFinance Income per vehicle retailed</v>
      </c>
      <c r="K219" s="315" t="str">
        <f t="shared" si="32"/>
        <v>170Finance income - Used Toyota</v>
      </c>
      <c r="L219" s="311">
        <f>+SUMIF('TUNZ Extracted TB'!M:M,$P219,'TUNZ Extracted TB'!G:G)</f>
        <v>0</v>
      </c>
      <c r="M219" s="311"/>
      <c r="N219" s="311">
        <f>+SUMIF('Input Sheet'!$AE:$AE,P219,'Input Sheet'!$X:$X)</f>
        <v>0</v>
      </c>
      <c r="O219" s="311"/>
      <c r="P219" t="str">
        <f t="shared" si="33"/>
        <v>170-3260</v>
      </c>
      <c r="Q219" s="315" t="str">
        <f t="shared" si="34"/>
        <v>F&amp;I</v>
      </c>
      <c r="R219" s="315" t="str">
        <f t="shared" si="35"/>
        <v>F&amp;IFinance Income per vehicle retailed</v>
      </c>
      <c r="S219" s="199"/>
      <c r="T219" s="199"/>
      <c r="U219" s="199"/>
    </row>
    <row r="220" spans="1:21" x14ac:dyDescent="0.25">
      <c r="A220" t="s">
        <v>996</v>
      </c>
      <c r="B220" t="s">
        <v>997</v>
      </c>
      <c r="C220" t="s">
        <v>997</v>
      </c>
      <c r="D220">
        <v>3260</v>
      </c>
      <c r="E220">
        <v>162</v>
      </c>
      <c r="F220" t="s">
        <v>1077</v>
      </c>
      <c r="G220" t="s">
        <v>1078</v>
      </c>
      <c r="H220" s="315" t="s">
        <v>142</v>
      </c>
      <c r="I220" s="315" t="s">
        <v>1076</v>
      </c>
      <c r="J220" s="315" t="str">
        <f t="shared" si="31"/>
        <v>LEX F&amp;IFinance Income per vehicle retailed</v>
      </c>
      <c r="K220" s="315" t="str">
        <f t="shared" si="32"/>
        <v>162Finance income - Used Lexus</v>
      </c>
      <c r="L220" s="311">
        <f>+SUMIF('TUNZ Extracted TB'!M:M,$P220,'TUNZ Extracted TB'!G:G)</f>
        <v>2367.06</v>
      </c>
      <c r="M220" s="311"/>
      <c r="N220" s="311">
        <f>+SUMIF('Input Sheet'!$AE:$AE,P220,'Input Sheet'!$X:$X)</f>
        <v>0</v>
      </c>
      <c r="O220" s="311"/>
      <c r="P220" t="str">
        <f t="shared" si="33"/>
        <v>162-3260</v>
      </c>
      <c r="Q220" s="315" t="str">
        <f t="shared" si="34"/>
        <v>LEX F&amp;I</v>
      </c>
      <c r="R220" s="315" t="str">
        <f t="shared" si="35"/>
        <v>LEX F&amp;IFinance Income per vehicle retailed</v>
      </c>
      <c r="S220" s="199"/>
      <c r="T220" s="199"/>
      <c r="U220" s="199"/>
    </row>
    <row r="221" spans="1:21" x14ac:dyDescent="0.25">
      <c r="A221" t="s">
        <v>996</v>
      </c>
      <c r="B221" t="s">
        <v>997</v>
      </c>
      <c r="C221" t="s">
        <v>1005</v>
      </c>
      <c r="D221">
        <v>3260</v>
      </c>
      <c r="E221">
        <v>260</v>
      </c>
      <c r="F221" t="s">
        <v>1074</v>
      </c>
      <c r="G221" t="s">
        <v>1075</v>
      </c>
      <c r="H221" s="315" t="s">
        <v>16</v>
      </c>
      <c r="I221" s="315" t="s">
        <v>1076</v>
      </c>
      <c r="J221" s="315" t="str">
        <f t="shared" si="31"/>
        <v>F&amp;IFinance Income per vehicle retailed</v>
      </c>
      <c r="K221" s="315" t="str">
        <f t="shared" si="32"/>
        <v>260Finance income - Used Toyota</v>
      </c>
      <c r="L221" s="311">
        <f>+SUMIF('TUNZ Extracted TB'!M:M,$P221,'TUNZ Extracted TB'!G:G)</f>
        <v>-6601.42</v>
      </c>
      <c r="M221" s="311"/>
      <c r="N221" s="311">
        <f>+SUMIF('Input Sheet'!$AE:$AE,P221,'Input Sheet'!$X:$X)</f>
        <v>0</v>
      </c>
      <c r="O221" s="311"/>
      <c r="P221" t="str">
        <f t="shared" si="33"/>
        <v>260-3260</v>
      </c>
      <c r="Q221" s="315" t="str">
        <f t="shared" si="34"/>
        <v>F&amp;I</v>
      </c>
      <c r="R221" s="315" t="str">
        <f t="shared" si="35"/>
        <v>F&amp;IFinance Income per vehicle retailed</v>
      </c>
      <c r="S221" s="199"/>
      <c r="T221" s="199"/>
      <c r="U221" s="199"/>
    </row>
    <row r="222" spans="1:21" x14ac:dyDescent="0.25">
      <c r="A222" t="s">
        <v>996</v>
      </c>
      <c r="B222" t="s">
        <v>997</v>
      </c>
      <c r="C222" t="s">
        <v>997</v>
      </c>
      <c r="D222">
        <v>3260</v>
      </c>
      <c r="E222">
        <v>160</v>
      </c>
      <c r="F222" t="s">
        <v>1074</v>
      </c>
      <c r="G222" t="s">
        <v>1075</v>
      </c>
      <c r="H222" s="315" t="s">
        <v>16</v>
      </c>
      <c r="I222" s="315" t="s">
        <v>1076</v>
      </c>
      <c r="J222" s="315" t="str">
        <f t="shared" si="31"/>
        <v>F&amp;IFinance Income per vehicle retailed</v>
      </c>
      <c r="K222" s="315" t="str">
        <f t="shared" si="32"/>
        <v>160Finance income - Used Toyota</v>
      </c>
      <c r="L222" s="311">
        <f>+SUMIF('TUNZ Extracted TB'!M:M,$P222,'TUNZ Extracted TB'!G:G)</f>
        <v>-15625.31</v>
      </c>
      <c r="M222" s="311"/>
      <c r="N222" s="311">
        <f>+SUMIF('Input Sheet'!$AE:$AE,P222,'Input Sheet'!$X:$X)</f>
        <v>0</v>
      </c>
      <c r="O222" s="311"/>
      <c r="P222" t="str">
        <f t="shared" si="33"/>
        <v>160-3260</v>
      </c>
      <c r="Q222" s="315" t="str">
        <f t="shared" si="34"/>
        <v>F&amp;I</v>
      </c>
      <c r="R222" s="315" t="str">
        <f t="shared" si="35"/>
        <v>F&amp;IFinance Income per vehicle retailed</v>
      </c>
      <c r="S222" s="199"/>
      <c r="T222" s="199"/>
      <c r="U222" s="199"/>
    </row>
    <row r="223" spans="1:21" x14ac:dyDescent="0.25">
      <c r="A223" t="s">
        <v>996</v>
      </c>
      <c r="B223" t="s">
        <v>997</v>
      </c>
      <c r="C223" t="s">
        <v>997</v>
      </c>
      <c r="D223">
        <v>3261</v>
      </c>
      <c r="E223">
        <v>162</v>
      </c>
      <c r="F223" t="s">
        <v>1079</v>
      </c>
      <c r="G223" t="s">
        <v>1080</v>
      </c>
      <c r="H223" s="315" t="s">
        <v>142</v>
      </c>
      <c r="I223" s="315" t="s">
        <v>1076</v>
      </c>
      <c r="J223" s="315" t="str">
        <f t="shared" si="31"/>
        <v>LEX F&amp;IFinance Income per vehicle retailed</v>
      </c>
      <c r="K223" s="315" t="str">
        <f t="shared" si="32"/>
        <v>162Finance income - New Lexus</v>
      </c>
      <c r="L223" s="311">
        <f>+SUMIF('TUNZ Extracted TB'!M:M,$P223,'TUNZ Extracted TB'!G:G)</f>
        <v>0</v>
      </c>
      <c r="M223" s="311"/>
      <c r="N223" s="311">
        <f>+SUMIF('Input Sheet'!$AE:$AE,P223,'Input Sheet'!$X:$X)</f>
        <v>0</v>
      </c>
      <c r="O223" s="311"/>
      <c r="P223" t="str">
        <f t="shared" si="33"/>
        <v>162-3261</v>
      </c>
      <c r="Q223" s="315" t="str">
        <f t="shared" si="34"/>
        <v>LEX F&amp;I</v>
      </c>
      <c r="R223" s="315" t="str">
        <f t="shared" si="35"/>
        <v>LEX F&amp;IFinance Income per vehicle retailed</v>
      </c>
      <c r="S223" s="199"/>
      <c r="T223" s="199"/>
      <c r="U223" s="199"/>
    </row>
    <row r="224" spans="1:21" x14ac:dyDescent="0.25">
      <c r="A224" t="s">
        <v>996</v>
      </c>
      <c r="B224" t="s">
        <v>997</v>
      </c>
      <c r="C224" t="s">
        <v>1005</v>
      </c>
      <c r="D224">
        <v>3261</v>
      </c>
      <c r="E224">
        <v>260</v>
      </c>
      <c r="F224" t="s">
        <v>1074</v>
      </c>
      <c r="G224" t="s">
        <v>1075</v>
      </c>
      <c r="H224" s="315" t="s">
        <v>16</v>
      </c>
      <c r="I224" s="315" t="s">
        <v>1076</v>
      </c>
      <c r="J224" s="315" t="str">
        <f t="shared" si="31"/>
        <v>F&amp;IFinance Income per vehicle retailed</v>
      </c>
      <c r="K224" s="315" t="str">
        <f t="shared" si="32"/>
        <v>260Finance income - Used Toyota</v>
      </c>
      <c r="L224" s="311">
        <f>+SUMIF('TUNZ Extracted TB'!M:M,$P224,'TUNZ Extracted TB'!G:G)</f>
        <v>0</v>
      </c>
      <c r="M224" s="311"/>
      <c r="N224" s="311">
        <f>+SUMIF('Input Sheet'!$AE:$AE,P224,'Input Sheet'!$X:$X)</f>
        <v>0</v>
      </c>
      <c r="O224" s="311"/>
      <c r="P224" t="str">
        <f t="shared" si="33"/>
        <v>260-3261</v>
      </c>
      <c r="Q224" s="315" t="str">
        <f t="shared" si="34"/>
        <v>F&amp;I</v>
      </c>
      <c r="R224" s="315" t="str">
        <f t="shared" si="35"/>
        <v>F&amp;IFinance Income per vehicle retailed</v>
      </c>
      <c r="S224" s="199"/>
      <c r="T224" s="199"/>
      <c r="U224" s="199"/>
    </row>
    <row r="225" spans="1:21" x14ac:dyDescent="0.25">
      <c r="A225" t="s">
        <v>996</v>
      </c>
      <c r="B225" t="s">
        <v>997</v>
      </c>
      <c r="C225" t="s">
        <v>1012</v>
      </c>
      <c r="D225">
        <v>3261</v>
      </c>
      <c r="E225">
        <v>460</v>
      </c>
      <c r="F225" t="s">
        <v>1074</v>
      </c>
      <c r="G225" t="s">
        <v>1075</v>
      </c>
      <c r="H225" s="315" t="s">
        <v>16</v>
      </c>
      <c r="I225" s="315" t="s">
        <v>1076</v>
      </c>
      <c r="J225" s="315" t="str">
        <f t="shared" si="31"/>
        <v>F&amp;IFinance Income per vehicle retailed</v>
      </c>
      <c r="K225" s="315" t="str">
        <f t="shared" si="32"/>
        <v>460Finance income - Used Toyota</v>
      </c>
      <c r="L225" s="311">
        <f>+SUMIF('TUNZ Extracted TB'!M:M,$P225,'TUNZ Extracted TB'!G:G)</f>
        <v>0</v>
      </c>
      <c r="M225" s="311"/>
      <c r="N225" s="311">
        <f>+SUMIF('Input Sheet'!$AE:$AE,P225,'Input Sheet'!$X:$X)</f>
        <v>0</v>
      </c>
      <c r="O225" s="311"/>
      <c r="P225" t="str">
        <f t="shared" si="33"/>
        <v>460-3261</v>
      </c>
      <c r="Q225" s="315" t="str">
        <f t="shared" si="34"/>
        <v>F&amp;I</v>
      </c>
      <c r="R225" s="315" t="str">
        <f t="shared" si="35"/>
        <v>F&amp;IFinance Income per vehicle retailed</v>
      </c>
      <c r="S225" s="199"/>
      <c r="T225" s="199"/>
      <c r="U225" s="199"/>
    </row>
    <row r="226" spans="1:21" x14ac:dyDescent="0.25">
      <c r="A226" t="s">
        <v>996</v>
      </c>
      <c r="B226" t="s">
        <v>997</v>
      </c>
      <c r="C226" t="s">
        <v>1013</v>
      </c>
      <c r="D226">
        <v>3261</v>
      </c>
      <c r="E226">
        <v>360</v>
      </c>
      <c r="F226" t="s">
        <v>1074</v>
      </c>
      <c r="G226" t="s">
        <v>1075</v>
      </c>
      <c r="H226" s="315" t="s">
        <v>16</v>
      </c>
      <c r="I226" s="315" t="s">
        <v>1076</v>
      </c>
      <c r="J226" s="315" t="str">
        <f t="shared" si="31"/>
        <v>F&amp;IFinance Income per vehicle retailed</v>
      </c>
      <c r="K226" s="315" t="str">
        <f t="shared" si="32"/>
        <v>360Finance income - Used Toyota</v>
      </c>
      <c r="L226" s="311">
        <f>+SUMIF('TUNZ Extracted TB'!M:M,$P226,'TUNZ Extracted TB'!G:G)</f>
        <v>0</v>
      </c>
      <c r="M226" s="311"/>
      <c r="N226" s="311">
        <f>+SUMIF('Input Sheet'!$AE:$AE,P226,'Input Sheet'!$X:$X)</f>
        <v>0</v>
      </c>
      <c r="O226" s="311"/>
      <c r="P226" t="str">
        <f t="shared" si="33"/>
        <v>360-3261</v>
      </c>
      <c r="Q226" s="315" t="str">
        <f t="shared" si="34"/>
        <v>F&amp;I</v>
      </c>
      <c r="R226" s="315" t="str">
        <f t="shared" si="35"/>
        <v>F&amp;IFinance Income per vehicle retailed</v>
      </c>
      <c r="S226" s="199"/>
      <c r="T226" s="199"/>
      <c r="U226" s="199"/>
    </row>
    <row r="227" spans="1:21" x14ac:dyDescent="0.25">
      <c r="A227" t="s">
        <v>996</v>
      </c>
      <c r="B227" t="s">
        <v>997</v>
      </c>
      <c r="C227" t="s">
        <v>997</v>
      </c>
      <c r="D227">
        <v>3261</v>
      </c>
      <c r="E227">
        <v>160</v>
      </c>
      <c r="F227" t="s">
        <v>1074</v>
      </c>
      <c r="G227" t="s">
        <v>1075</v>
      </c>
      <c r="H227" s="315" t="s">
        <v>16</v>
      </c>
      <c r="I227" s="315" t="s">
        <v>1076</v>
      </c>
      <c r="J227" s="315" t="str">
        <f t="shared" si="31"/>
        <v>F&amp;IFinance Income per vehicle retailed</v>
      </c>
      <c r="K227" s="315" t="str">
        <f t="shared" si="32"/>
        <v>160Finance income - Used Toyota</v>
      </c>
      <c r="L227" s="311">
        <f>+SUMIF('TUNZ Extracted TB'!M:M,$P227,'TUNZ Extracted TB'!G:G)</f>
        <v>-7181.89</v>
      </c>
      <c r="M227" s="311"/>
      <c r="N227" s="311">
        <f>+SUMIF('Input Sheet'!$AE:$AE,P227,'Input Sheet'!$X:$X)</f>
        <v>0</v>
      </c>
      <c r="O227" s="311"/>
      <c r="P227" t="str">
        <f t="shared" si="33"/>
        <v>160-3261</v>
      </c>
      <c r="Q227" s="315" t="str">
        <f t="shared" si="34"/>
        <v>F&amp;I</v>
      </c>
      <c r="R227" s="315" t="str">
        <f t="shared" si="35"/>
        <v>F&amp;IFinance Income per vehicle retailed</v>
      </c>
      <c r="S227" s="199"/>
      <c r="T227" s="199"/>
      <c r="U227" s="199"/>
    </row>
    <row r="228" spans="1:21" x14ac:dyDescent="0.25">
      <c r="A228" t="s">
        <v>996</v>
      </c>
      <c r="B228" t="s">
        <v>997</v>
      </c>
      <c r="C228" t="s">
        <v>997</v>
      </c>
      <c r="D228">
        <v>3265</v>
      </c>
      <c r="E228">
        <v>162</v>
      </c>
      <c r="F228" t="s">
        <v>1077</v>
      </c>
      <c r="G228" t="s">
        <v>1078</v>
      </c>
      <c r="H228" s="315" t="s">
        <v>142</v>
      </c>
      <c r="I228" s="315" t="s">
        <v>1076</v>
      </c>
      <c r="J228" s="315" t="str">
        <f t="shared" si="31"/>
        <v>LEX F&amp;IFinance Income per vehicle retailed</v>
      </c>
      <c r="K228" s="315" t="str">
        <f t="shared" si="32"/>
        <v>162Finance income - Used Lexus</v>
      </c>
      <c r="L228" s="311">
        <f>+SUMIF('TUNZ Extracted TB'!M:M,$P228,'TUNZ Extracted TB'!G:G)</f>
        <v>0</v>
      </c>
      <c r="M228" s="311"/>
      <c r="N228" s="311">
        <f>+SUMIF('Input Sheet'!$AE:$AE,P228,'Input Sheet'!$X:$X)</f>
        <v>0</v>
      </c>
      <c r="O228" s="311"/>
      <c r="P228" t="str">
        <f t="shared" si="33"/>
        <v>162-3265</v>
      </c>
      <c r="Q228" s="315" t="str">
        <f t="shared" si="34"/>
        <v>LEX F&amp;I</v>
      </c>
      <c r="R228" s="315" t="str">
        <f t="shared" si="35"/>
        <v>LEX F&amp;IFinance Income per vehicle retailed</v>
      </c>
      <c r="S228" s="199"/>
      <c r="T228" s="199"/>
      <c r="U228" s="199"/>
    </row>
    <row r="229" spans="1:21" x14ac:dyDescent="0.25">
      <c r="A229" t="s">
        <v>996</v>
      </c>
      <c r="B229" t="s">
        <v>997</v>
      </c>
      <c r="C229" t="s">
        <v>1005</v>
      </c>
      <c r="D229">
        <v>3265</v>
      </c>
      <c r="E229">
        <v>260</v>
      </c>
      <c r="F229" t="s">
        <v>1074</v>
      </c>
      <c r="G229" t="s">
        <v>1075</v>
      </c>
      <c r="H229" s="315" t="s">
        <v>16</v>
      </c>
      <c r="I229" s="315" t="s">
        <v>1076</v>
      </c>
      <c r="J229" s="315" t="str">
        <f t="shared" si="31"/>
        <v>F&amp;IFinance Income per vehicle retailed</v>
      </c>
      <c r="K229" s="315" t="str">
        <f t="shared" si="32"/>
        <v>260Finance income - Used Toyota</v>
      </c>
      <c r="L229" s="311">
        <f>+SUMIF('TUNZ Extracted TB'!M:M,$P229,'TUNZ Extracted TB'!G:G)</f>
        <v>0</v>
      </c>
      <c r="M229" s="311"/>
      <c r="N229" s="311">
        <f>+SUMIF('Input Sheet'!$AE:$AE,P229,'Input Sheet'!$X:$X)</f>
        <v>0</v>
      </c>
      <c r="O229" s="311"/>
      <c r="P229" t="str">
        <f t="shared" si="33"/>
        <v>260-3265</v>
      </c>
      <c r="Q229" s="315" t="str">
        <f t="shared" si="34"/>
        <v>F&amp;I</v>
      </c>
      <c r="R229" s="315" t="str">
        <f t="shared" si="35"/>
        <v>F&amp;IFinance Income per vehicle retailed</v>
      </c>
      <c r="S229" s="199"/>
      <c r="T229" s="199"/>
      <c r="U229" s="199"/>
    </row>
    <row r="230" spans="1:21" x14ac:dyDescent="0.25">
      <c r="A230" t="s">
        <v>996</v>
      </c>
      <c r="B230" t="s">
        <v>997</v>
      </c>
      <c r="C230" t="s">
        <v>1012</v>
      </c>
      <c r="D230">
        <v>3265</v>
      </c>
      <c r="E230">
        <v>460</v>
      </c>
      <c r="F230" t="s">
        <v>1074</v>
      </c>
      <c r="G230" t="s">
        <v>1075</v>
      </c>
      <c r="H230" s="315" t="s">
        <v>16</v>
      </c>
      <c r="I230" s="315" t="s">
        <v>1076</v>
      </c>
      <c r="J230" s="315" t="str">
        <f t="shared" si="31"/>
        <v>F&amp;IFinance Income per vehicle retailed</v>
      </c>
      <c r="K230" s="315" t="str">
        <f t="shared" si="32"/>
        <v>460Finance income - Used Toyota</v>
      </c>
      <c r="L230" s="311">
        <f>+SUMIF('TUNZ Extracted TB'!M:M,$P230,'TUNZ Extracted TB'!G:G)</f>
        <v>0</v>
      </c>
      <c r="M230" s="311"/>
      <c r="N230" s="311">
        <f>+SUMIF('Input Sheet'!$AE:$AE,P230,'Input Sheet'!$X:$X)</f>
        <v>0</v>
      </c>
      <c r="O230" s="311"/>
      <c r="P230" t="str">
        <f t="shared" si="33"/>
        <v>460-3265</v>
      </c>
      <c r="Q230" s="315" t="str">
        <f t="shared" si="34"/>
        <v>F&amp;I</v>
      </c>
      <c r="R230" s="315" t="str">
        <f t="shared" si="35"/>
        <v>F&amp;IFinance Income per vehicle retailed</v>
      </c>
      <c r="S230" s="199"/>
      <c r="T230" s="199"/>
      <c r="U230" s="199"/>
    </row>
    <row r="231" spans="1:21" x14ac:dyDescent="0.25">
      <c r="A231" t="s">
        <v>996</v>
      </c>
      <c r="B231" t="s">
        <v>997</v>
      </c>
      <c r="C231" t="s">
        <v>1013</v>
      </c>
      <c r="D231">
        <v>3265</v>
      </c>
      <c r="E231">
        <v>360</v>
      </c>
      <c r="F231" t="s">
        <v>1074</v>
      </c>
      <c r="G231" t="s">
        <v>1075</v>
      </c>
      <c r="H231" s="315" t="s">
        <v>16</v>
      </c>
      <c r="I231" s="315" t="s">
        <v>1076</v>
      </c>
      <c r="J231" s="315" t="str">
        <f t="shared" si="31"/>
        <v>F&amp;IFinance Income per vehicle retailed</v>
      </c>
      <c r="K231" s="315" t="str">
        <f t="shared" si="32"/>
        <v>360Finance income - Used Toyota</v>
      </c>
      <c r="L231" s="311">
        <f>+SUMIF('TUNZ Extracted TB'!M:M,$P231,'TUNZ Extracted TB'!G:G)</f>
        <v>0</v>
      </c>
      <c r="M231" s="311"/>
      <c r="N231" s="311">
        <f>+SUMIF('Input Sheet'!$AE:$AE,P231,'Input Sheet'!$X:$X)</f>
        <v>0</v>
      </c>
      <c r="O231" s="311"/>
      <c r="P231" t="str">
        <f t="shared" si="33"/>
        <v>360-3265</v>
      </c>
      <c r="Q231" s="315" t="str">
        <f t="shared" si="34"/>
        <v>F&amp;I</v>
      </c>
      <c r="R231" s="315" t="str">
        <f t="shared" si="35"/>
        <v>F&amp;IFinance Income per vehicle retailed</v>
      </c>
      <c r="S231" s="199"/>
      <c r="T231" s="199"/>
      <c r="U231" s="199"/>
    </row>
    <row r="232" spans="1:21" x14ac:dyDescent="0.25">
      <c r="A232" t="s">
        <v>996</v>
      </c>
      <c r="B232" t="s">
        <v>997</v>
      </c>
      <c r="C232" t="s">
        <v>997</v>
      </c>
      <c r="D232">
        <v>3265</v>
      </c>
      <c r="E232">
        <v>160</v>
      </c>
      <c r="F232" t="s">
        <v>1074</v>
      </c>
      <c r="G232" t="s">
        <v>1075</v>
      </c>
      <c r="H232" s="315" t="s">
        <v>16</v>
      </c>
      <c r="I232" s="315" t="s">
        <v>1076</v>
      </c>
      <c r="J232" s="315" t="str">
        <f t="shared" si="31"/>
        <v>F&amp;IFinance Income per vehicle retailed</v>
      </c>
      <c r="K232" s="315" t="str">
        <f t="shared" si="32"/>
        <v>160Finance income - Used Toyota</v>
      </c>
      <c r="L232" s="311">
        <f>+SUMIF('TUNZ Extracted TB'!M:M,$P232,'TUNZ Extracted TB'!G:G)</f>
        <v>0</v>
      </c>
      <c r="M232" s="311"/>
      <c r="N232" s="311">
        <f>+SUMIF('Input Sheet'!$AE:$AE,P232,'Input Sheet'!$X:$X)</f>
        <v>0</v>
      </c>
      <c r="O232" s="311"/>
      <c r="P232" t="str">
        <f t="shared" si="33"/>
        <v>160-3265</v>
      </c>
      <c r="Q232" s="315" t="str">
        <f t="shared" si="34"/>
        <v>F&amp;I</v>
      </c>
      <c r="R232" s="315" t="str">
        <f t="shared" si="35"/>
        <v>F&amp;IFinance Income per vehicle retailed</v>
      </c>
      <c r="S232" s="199"/>
      <c r="T232" s="199"/>
      <c r="U232" s="199"/>
    </row>
    <row r="233" spans="1:21" x14ac:dyDescent="0.25">
      <c r="A233" t="s">
        <v>996</v>
      </c>
      <c r="B233" t="s">
        <v>997</v>
      </c>
      <c r="C233" t="s">
        <v>997</v>
      </c>
      <c r="D233">
        <v>3266</v>
      </c>
      <c r="E233">
        <v>162</v>
      </c>
      <c r="F233" t="s">
        <v>1077</v>
      </c>
      <c r="G233" t="s">
        <v>1078</v>
      </c>
      <c r="H233" s="315" t="s">
        <v>142</v>
      </c>
      <c r="I233" s="315" t="s">
        <v>1076</v>
      </c>
      <c r="J233" s="315" t="str">
        <f t="shared" si="31"/>
        <v>LEX F&amp;IFinance Income per vehicle retailed</v>
      </c>
      <c r="K233" s="315" t="str">
        <f t="shared" si="32"/>
        <v>162Finance income - Used Lexus</v>
      </c>
      <c r="L233" s="311">
        <f>+SUMIF('TUNZ Extracted TB'!M:M,$P233,'TUNZ Extracted TB'!G:G)</f>
        <v>0</v>
      </c>
      <c r="M233" s="311"/>
      <c r="N233" s="311">
        <f>+SUMIF('Input Sheet'!$AE:$AE,P233,'Input Sheet'!$X:$X)</f>
        <v>0</v>
      </c>
      <c r="O233" s="311"/>
      <c r="P233" t="str">
        <f t="shared" si="33"/>
        <v>162-3266</v>
      </c>
      <c r="Q233" s="315" t="str">
        <f t="shared" si="34"/>
        <v>LEX F&amp;I</v>
      </c>
      <c r="R233" s="315" t="str">
        <f t="shared" si="35"/>
        <v>LEX F&amp;IFinance Income per vehicle retailed</v>
      </c>
      <c r="S233" s="199"/>
      <c r="T233" s="199"/>
      <c r="U233" s="199"/>
    </row>
    <row r="234" spans="1:21" x14ac:dyDescent="0.25">
      <c r="A234" t="s">
        <v>996</v>
      </c>
      <c r="B234" t="s">
        <v>997</v>
      </c>
      <c r="C234" t="s">
        <v>1005</v>
      </c>
      <c r="D234">
        <v>3266</v>
      </c>
      <c r="E234">
        <v>260</v>
      </c>
      <c r="F234" t="s">
        <v>1074</v>
      </c>
      <c r="G234" t="s">
        <v>1075</v>
      </c>
      <c r="H234" s="315" t="s">
        <v>16</v>
      </c>
      <c r="I234" s="315" t="s">
        <v>1076</v>
      </c>
      <c r="J234" s="315" t="str">
        <f t="shared" si="31"/>
        <v>F&amp;IFinance Income per vehicle retailed</v>
      </c>
      <c r="K234" s="315" t="str">
        <f t="shared" si="32"/>
        <v>260Finance income - Used Toyota</v>
      </c>
      <c r="L234" s="311">
        <f>+SUMIF('TUNZ Extracted TB'!M:M,$P234,'TUNZ Extracted TB'!G:G)</f>
        <v>0</v>
      </c>
      <c r="M234" s="311"/>
      <c r="N234" s="311">
        <f>+SUMIF('Input Sheet'!$AE:$AE,P234,'Input Sheet'!$X:$X)</f>
        <v>0</v>
      </c>
      <c r="O234" s="311"/>
      <c r="P234" t="str">
        <f t="shared" si="33"/>
        <v>260-3266</v>
      </c>
      <c r="Q234" s="315" t="str">
        <f t="shared" si="34"/>
        <v>F&amp;I</v>
      </c>
      <c r="R234" s="315" t="str">
        <f t="shared" si="35"/>
        <v>F&amp;IFinance Income per vehicle retailed</v>
      </c>
      <c r="S234" s="199"/>
      <c r="T234" s="199"/>
      <c r="U234" s="199"/>
    </row>
    <row r="235" spans="1:21" x14ac:dyDescent="0.25">
      <c r="A235" t="s">
        <v>996</v>
      </c>
      <c r="B235" t="s">
        <v>997</v>
      </c>
      <c r="C235" t="s">
        <v>1012</v>
      </c>
      <c r="D235">
        <v>3266</v>
      </c>
      <c r="E235">
        <v>460</v>
      </c>
      <c r="F235" t="s">
        <v>1074</v>
      </c>
      <c r="G235" t="s">
        <v>1075</v>
      </c>
      <c r="H235" s="315" t="s">
        <v>16</v>
      </c>
      <c r="I235" s="315" t="s">
        <v>1076</v>
      </c>
      <c r="J235" s="315" t="str">
        <f t="shared" si="31"/>
        <v>F&amp;IFinance Income per vehicle retailed</v>
      </c>
      <c r="K235" s="315" t="str">
        <f t="shared" si="32"/>
        <v>460Finance income - Used Toyota</v>
      </c>
      <c r="L235" s="311">
        <f>+SUMIF('TUNZ Extracted TB'!M:M,$P235,'TUNZ Extracted TB'!G:G)</f>
        <v>0</v>
      </c>
      <c r="M235" s="311"/>
      <c r="N235" s="311">
        <f>+SUMIF('Input Sheet'!$AE:$AE,P235,'Input Sheet'!$X:$X)</f>
        <v>0</v>
      </c>
      <c r="O235" s="311"/>
      <c r="P235" t="str">
        <f t="shared" si="33"/>
        <v>460-3266</v>
      </c>
      <c r="Q235" s="315" t="str">
        <f t="shared" si="34"/>
        <v>F&amp;I</v>
      </c>
      <c r="R235" s="315" t="str">
        <f t="shared" si="35"/>
        <v>F&amp;IFinance Income per vehicle retailed</v>
      </c>
      <c r="S235" s="199"/>
      <c r="T235" s="199"/>
      <c r="U235" s="199"/>
    </row>
    <row r="236" spans="1:21" x14ac:dyDescent="0.25">
      <c r="A236" t="s">
        <v>996</v>
      </c>
      <c r="B236" t="s">
        <v>997</v>
      </c>
      <c r="C236" t="s">
        <v>1013</v>
      </c>
      <c r="D236">
        <v>3266</v>
      </c>
      <c r="E236">
        <v>360</v>
      </c>
      <c r="F236" t="s">
        <v>1074</v>
      </c>
      <c r="G236" t="s">
        <v>1075</v>
      </c>
      <c r="H236" s="315" t="s">
        <v>16</v>
      </c>
      <c r="I236" s="315" t="s">
        <v>1076</v>
      </c>
      <c r="J236" s="315" t="str">
        <f t="shared" si="31"/>
        <v>F&amp;IFinance Income per vehicle retailed</v>
      </c>
      <c r="K236" s="315" t="str">
        <f t="shared" si="32"/>
        <v>360Finance income - Used Toyota</v>
      </c>
      <c r="L236" s="311">
        <f>+SUMIF('TUNZ Extracted TB'!M:M,$P236,'TUNZ Extracted TB'!G:G)</f>
        <v>0</v>
      </c>
      <c r="M236" s="311"/>
      <c r="N236" s="311">
        <f>+SUMIF('Input Sheet'!$AE:$AE,P236,'Input Sheet'!$X:$X)</f>
        <v>0</v>
      </c>
      <c r="O236" s="311"/>
      <c r="P236" t="str">
        <f t="shared" si="33"/>
        <v>360-3266</v>
      </c>
      <c r="Q236" s="315" t="str">
        <f t="shared" si="34"/>
        <v>F&amp;I</v>
      </c>
      <c r="R236" s="315" t="str">
        <f t="shared" si="35"/>
        <v>F&amp;IFinance Income per vehicle retailed</v>
      </c>
      <c r="S236" s="199"/>
      <c r="T236" s="199"/>
      <c r="U236" s="199"/>
    </row>
    <row r="237" spans="1:21" x14ac:dyDescent="0.25">
      <c r="A237" t="s">
        <v>996</v>
      </c>
      <c r="B237" t="s">
        <v>997</v>
      </c>
      <c r="C237" t="s">
        <v>997</v>
      </c>
      <c r="D237">
        <v>3266</v>
      </c>
      <c r="E237">
        <v>160</v>
      </c>
      <c r="F237" t="s">
        <v>1074</v>
      </c>
      <c r="G237" t="s">
        <v>1075</v>
      </c>
      <c r="H237" s="315" t="s">
        <v>16</v>
      </c>
      <c r="I237" s="315" t="s">
        <v>1076</v>
      </c>
      <c r="J237" s="315" t="str">
        <f t="shared" si="31"/>
        <v>F&amp;IFinance Income per vehicle retailed</v>
      </c>
      <c r="K237" s="315" t="str">
        <f t="shared" si="32"/>
        <v>160Finance income - Used Toyota</v>
      </c>
      <c r="L237" s="311">
        <f>+SUMIF('TUNZ Extracted TB'!M:M,$P237,'TUNZ Extracted TB'!G:G)</f>
        <v>0</v>
      </c>
      <c r="M237" s="311"/>
      <c r="N237" s="311">
        <f>+SUMIF('Input Sheet'!$AE:$AE,P237,'Input Sheet'!$X:$X)</f>
        <v>0</v>
      </c>
      <c r="O237" s="311"/>
      <c r="P237" t="str">
        <f t="shared" si="33"/>
        <v>160-3266</v>
      </c>
      <c r="Q237" s="315" t="str">
        <f t="shared" si="34"/>
        <v>F&amp;I</v>
      </c>
      <c r="R237" s="315" t="str">
        <f t="shared" si="35"/>
        <v>F&amp;IFinance Income per vehicle retailed</v>
      </c>
      <c r="S237" s="199"/>
      <c r="T237" s="199"/>
      <c r="U237" s="199"/>
    </row>
    <row r="238" spans="1:21" x14ac:dyDescent="0.25">
      <c r="A238" t="s">
        <v>996</v>
      </c>
      <c r="B238" t="s">
        <v>997</v>
      </c>
      <c r="C238" t="s">
        <v>1012</v>
      </c>
      <c r="D238">
        <v>3270</v>
      </c>
      <c r="E238">
        <v>460</v>
      </c>
      <c r="F238" t="s">
        <v>1081</v>
      </c>
      <c r="G238" t="s">
        <v>1082</v>
      </c>
      <c r="H238" s="315" t="s">
        <v>16</v>
      </c>
      <c r="I238" s="315" t="s">
        <v>1083</v>
      </c>
      <c r="J238" s="315" t="str">
        <f t="shared" si="31"/>
        <v>F&amp;IInsurance Income per vehicle retailed</v>
      </c>
      <c r="K238" s="315" t="str">
        <f t="shared" si="32"/>
        <v>460Insurance income - Used Toyota</v>
      </c>
      <c r="L238" s="311">
        <f>+SUMIF('TUNZ Extracted TB'!M:M,$P238,'TUNZ Extracted TB'!G:G)</f>
        <v>0</v>
      </c>
      <c r="M238" s="311"/>
      <c r="N238" s="311">
        <f>+SUMIF('Input Sheet'!$AE:$AE,P238,'Input Sheet'!$X:$X)</f>
        <v>0</v>
      </c>
      <c r="O238" s="311"/>
      <c r="P238" t="str">
        <f t="shared" si="33"/>
        <v>460-3270</v>
      </c>
      <c r="Q238" s="315" t="str">
        <f t="shared" si="34"/>
        <v>F&amp;I</v>
      </c>
      <c r="R238" s="315" t="str">
        <f t="shared" si="35"/>
        <v>F&amp;IInsurance Income per vehicle retailed</v>
      </c>
      <c r="S238" s="199"/>
      <c r="T238" s="199"/>
      <c r="U238" s="199"/>
    </row>
    <row r="239" spans="1:21" x14ac:dyDescent="0.25">
      <c r="A239" t="s">
        <v>996</v>
      </c>
      <c r="B239" t="s">
        <v>997</v>
      </c>
      <c r="C239" t="s">
        <v>1013</v>
      </c>
      <c r="D239">
        <v>3270</v>
      </c>
      <c r="E239">
        <v>360</v>
      </c>
      <c r="F239" t="s">
        <v>1081</v>
      </c>
      <c r="G239" t="s">
        <v>1082</v>
      </c>
      <c r="H239" s="315" t="s">
        <v>16</v>
      </c>
      <c r="I239" s="315" t="s">
        <v>1083</v>
      </c>
      <c r="J239" s="315" t="str">
        <f t="shared" si="31"/>
        <v>F&amp;IInsurance Income per vehicle retailed</v>
      </c>
      <c r="K239" s="315" t="str">
        <f t="shared" si="32"/>
        <v>360Insurance income - Used Toyota</v>
      </c>
      <c r="L239" s="311">
        <f>+SUMIF('TUNZ Extracted TB'!M:M,$P239,'TUNZ Extracted TB'!G:G)</f>
        <v>0</v>
      </c>
      <c r="M239" s="311"/>
      <c r="N239" s="311">
        <f>+SUMIF('Input Sheet'!$AE:$AE,P239,'Input Sheet'!$X:$X)</f>
        <v>0</v>
      </c>
      <c r="O239" s="311"/>
      <c r="P239" t="str">
        <f t="shared" si="33"/>
        <v>360-3270</v>
      </c>
      <c r="Q239" s="315" t="str">
        <f t="shared" si="34"/>
        <v>F&amp;I</v>
      </c>
      <c r="R239" s="315" t="str">
        <f t="shared" si="35"/>
        <v>F&amp;IInsurance Income per vehicle retailed</v>
      </c>
      <c r="S239" s="199"/>
      <c r="T239" s="199"/>
      <c r="U239" s="199"/>
    </row>
    <row r="240" spans="1:21" x14ac:dyDescent="0.25">
      <c r="A240" t="s">
        <v>996</v>
      </c>
      <c r="B240" t="s">
        <v>997</v>
      </c>
      <c r="C240" t="s">
        <v>997</v>
      </c>
      <c r="D240">
        <v>3270</v>
      </c>
      <c r="E240">
        <v>170</v>
      </c>
      <c r="F240" t="s">
        <v>1081</v>
      </c>
      <c r="G240" t="s">
        <v>1082</v>
      </c>
      <c r="H240" s="315" t="s">
        <v>16</v>
      </c>
      <c r="I240" s="315" t="s">
        <v>1083</v>
      </c>
      <c r="J240" s="315" t="str">
        <f t="shared" si="31"/>
        <v>F&amp;IInsurance Income per vehicle retailed</v>
      </c>
      <c r="K240" s="315" t="str">
        <f t="shared" si="32"/>
        <v>170Insurance income - Used Toyota</v>
      </c>
      <c r="L240" s="311">
        <f>+SUMIF('TUNZ Extracted TB'!M:M,$P240,'TUNZ Extracted TB'!G:G)</f>
        <v>0</v>
      </c>
      <c r="M240" s="311"/>
      <c r="N240" s="311">
        <f>+SUMIF('Input Sheet'!$AE:$AE,P240,'Input Sheet'!$X:$X)</f>
        <v>0</v>
      </c>
      <c r="O240" s="311"/>
      <c r="P240" t="str">
        <f t="shared" si="33"/>
        <v>170-3270</v>
      </c>
      <c r="Q240" s="315" t="str">
        <f t="shared" si="34"/>
        <v>F&amp;I</v>
      </c>
      <c r="R240" s="315" t="str">
        <f t="shared" si="35"/>
        <v>F&amp;IInsurance Income per vehicle retailed</v>
      </c>
      <c r="S240" s="199"/>
      <c r="T240" s="199"/>
      <c r="U240" s="199"/>
    </row>
    <row r="241" spans="1:21" x14ac:dyDescent="0.25">
      <c r="A241" t="s">
        <v>996</v>
      </c>
      <c r="B241" t="s">
        <v>997</v>
      </c>
      <c r="C241" t="s">
        <v>997</v>
      </c>
      <c r="D241">
        <v>3270</v>
      </c>
      <c r="E241">
        <v>160</v>
      </c>
      <c r="F241" t="s">
        <v>1081</v>
      </c>
      <c r="G241" t="s">
        <v>1082</v>
      </c>
      <c r="H241" s="315" t="s">
        <v>16</v>
      </c>
      <c r="I241" s="315" t="s">
        <v>1083</v>
      </c>
      <c r="J241" s="315" t="str">
        <f t="shared" si="31"/>
        <v>F&amp;IInsurance Income per vehicle retailed</v>
      </c>
      <c r="K241" s="315" t="str">
        <f t="shared" si="32"/>
        <v>160Insurance income - Used Toyota</v>
      </c>
      <c r="L241" s="311">
        <f>+SUMIF('TUNZ Extracted TB'!M:M,$P241,'TUNZ Extracted TB'!G:G)</f>
        <v>-2358.13</v>
      </c>
      <c r="M241" s="311"/>
      <c r="N241" s="311">
        <f>+SUMIF('Input Sheet'!$AE:$AE,P241,'Input Sheet'!$X:$X)</f>
        <v>0</v>
      </c>
      <c r="O241" s="311"/>
      <c r="P241" t="str">
        <f t="shared" si="33"/>
        <v>160-3270</v>
      </c>
      <c r="Q241" s="315" t="str">
        <f t="shared" si="34"/>
        <v>F&amp;I</v>
      </c>
      <c r="R241" s="315" t="str">
        <f t="shared" si="35"/>
        <v>F&amp;IInsurance Income per vehicle retailed</v>
      </c>
      <c r="S241" s="199"/>
      <c r="T241" s="199"/>
      <c r="U241" s="199"/>
    </row>
    <row r="242" spans="1:21" x14ac:dyDescent="0.25">
      <c r="A242" t="s">
        <v>996</v>
      </c>
      <c r="B242" t="s">
        <v>997</v>
      </c>
      <c r="C242" t="s">
        <v>997</v>
      </c>
      <c r="D242">
        <v>3270</v>
      </c>
      <c r="E242">
        <v>162</v>
      </c>
      <c r="F242" t="s">
        <v>1084</v>
      </c>
      <c r="G242" t="s">
        <v>1085</v>
      </c>
      <c r="H242" s="315" t="s">
        <v>142</v>
      </c>
      <c r="I242" s="315" t="s">
        <v>1083</v>
      </c>
      <c r="J242" s="315" t="str">
        <f t="shared" si="31"/>
        <v>LEX F&amp;IInsurance Income per vehicle retailed</v>
      </c>
      <c r="K242" s="315" t="str">
        <f t="shared" si="32"/>
        <v>162Insurance income - Used Lexus</v>
      </c>
      <c r="L242" s="311">
        <f>+SUMIF('TUNZ Extracted TB'!M:M,$P242,'TUNZ Extracted TB'!G:G)</f>
        <v>-428.75</v>
      </c>
      <c r="M242" s="311"/>
      <c r="N242" s="311">
        <f>+SUMIF('Input Sheet'!$AE:$AE,P242,'Input Sheet'!$X:$X)</f>
        <v>0</v>
      </c>
      <c r="O242" s="311"/>
      <c r="P242" t="str">
        <f t="shared" si="33"/>
        <v>162-3270</v>
      </c>
      <c r="Q242" s="315" t="str">
        <f t="shared" si="34"/>
        <v>LEX F&amp;I</v>
      </c>
      <c r="R242" s="315" t="str">
        <f t="shared" si="35"/>
        <v>LEX F&amp;IInsurance Income per vehicle retailed</v>
      </c>
      <c r="S242" s="199"/>
      <c r="T242" s="199"/>
      <c r="U242" s="199"/>
    </row>
    <row r="243" spans="1:21" x14ac:dyDescent="0.25">
      <c r="A243" t="s">
        <v>996</v>
      </c>
      <c r="B243" t="s">
        <v>997</v>
      </c>
      <c r="C243" t="s">
        <v>1005</v>
      </c>
      <c r="D243">
        <v>3270</v>
      </c>
      <c r="E243">
        <v>260</v>
      </c>
      <c r="F243" t="s">
        <v>1081</v>
      </c>
      <c r="G243" t="s">
        <v>1082</v>
      </c>
      <c r="H243" s="315" t="s">
        <v>16</v>
      </c>
      <c r="I243" s="315" t="s">
        <v>1083</v>
      </c>
      <c r="J243" s="315" t="str">
        <f t="shared" si="31"/>
        <v>F&amp;IInsurance Income per vehicle retailed</v>
      </c>
      <c r="K243" s="315" t="str">
        <f t="shared" si="32"/>
        <v>260Insurance income - Used Toyota</v>
      </c>
      <c r="L243" s="311">
        <f>+SUMIF('TUNZ Extracted TB'!M:M,$P243,'TUNZ Extracted TB'!G:G)</f>
        <v>-1625.36</v>
      </c>
      <c r="M243" s="311"/>
      <c r="N243" s="311">
        <f>+SUMIF('Input Sheet'!$AE:$AE,P243,'Input Sheet'!$X:$X)</f>
        <v>0</v>
      </c>
      <c r="O243" s="311"/>
      <c r="P243" t="str">
        <f t="shared" si="33"/>
        <v>260-3270</v>
      </c>
      <c r="Q243" s="315" t="str">
        <f t="shared" si="34"/>
        <v>F&amp;I</v>
      </c>
      <c r="R243" s="315" t="str">
        <f t="shared" si="35"/>
        <v>F&amp;IInsurance Income per vehicle retailed</v>
      </c>
      <c r="S243" s="199"/>
      <c r="T243" s="199"/>
      <c r="U243" s="199"/>
    </row>
    <row r="244" spans="1:21" x14ac:dyDescent="0.25">
      <c r="A244" t="s">
        <v>996</v>
      </c>
      <c r="B244" t="s">
        <v>997</v>
      </c>
      <c r="C244" t="s">
        <v>997</v>
      </c>
      <c r="D244">
        <v>3271</v>
      </c>
      <c r="E244">
        <v>162</v>
      </c>
      <c r="F244" t="s">
        <v>1084</v>
      </c>
      <c r="G244" t="s">
        <v>1085</v>
      </c>
      <c r="H244" s="315" t="s">
        <v>142</v>
      </c>
      <c r="I244" s="315" t="s">
        <v>1083</v>
      </c>
      <c r="J244" s="315" t="str">
        <f t="shared" si="31"/>
        <v>LEX F&amp;IInsurance Income per vehicle retailed</v>
      </c>
      <c r="K244" s="315" t="str">
        <f t="shared" si="32"/>
        <v>162Insurance income - Used Lexus</v>
      </c>
      <c r="L244" s="311">
        <f>+SUMIF('TUNZ Extracted TB'!M:M,$P244,'TUNZ Extracted TB'!G:G)</f>
        <v>0</v>
      </c>
      <c r="M244" s="311"/>
      <c r="N244" s="311">
        <f>+SUMIF('Input Sheet'!$AE:$AE,P244,'Input Sheet'!$X:$X)</f>
        <v>0</v>
      </c>
      <c r="O244" s="311"/>
      <c r="P244" t="str">
        <f t="shared" si="33"/>
        <v>162-3271</v>
      </c>
      <c r="Q244" s="315" t="str">
        <f t="shared" si="34"/>
        <v>LEX F&amp;I</v>
      </c>
      <c r="R244" s="315" t="str">
        <f t="shared" si="35"/>
        <v>LEX F&amp;IInsurance Income per vehicle retailed</v>
      </c>
      <c r="S244" s="199"/>
      <c r="T244" s="199"/>
      <c r="U244" s="199"/>
    </row>
    <row r="245" spans="1:21" x14ac:dyDescent="0.25">
      <c r="A245" t="s">
        <v>996</v>
      </c>
      <c r="B245" t="s">
        <v>997</v>
      </c>
      <c r="C245" t="s">
        <v>1005</v>
      </c>
      <c r="D245">
        <v>3271</v>
      </c>
      <c r="E245">
        <v>260</v>
      </c>
      <c r="F245" t="s">
        <v>1081</v>
      </c>
      <c r="G245" t="s">
        <v>1082</v>
      </c>
      <c r="H245" s="315" t="s">
        <v>16</v>
      </c>
      <c r="I245" s="315" t="s">
        <v>1083</v>
      </c>
      <c r="J245" s="315" t="str">
        <f t="shared" si="31"/>
        <v>F&amp;IInsurance Income per vehicle retailed</v>
      </c>
      <c r="K245" s="315" t="str">
        <f t="shared" si="32"/>
        <v>260Insurance income - Used Toyota</v>
      </c>
      <c r="L245" s="311">
        <f>+SUMIF('TUNZ Extracted TB'!M:M,$P245,'TUNZ Extracted TB'!G:G)</f>
        <v>0</v>
      </c>
      <c r="M245" s="311"/>
      <c r="N245" s="311">
        <f>+SUMIF('Input Sheet'!$AE:$AE,P245,'Input Sheet'!$X:$X)</f>
        <v>0</v>
      </c>
      <c r="O245" s="311"/>
      <c r="P245" t="str">
        <f t="shared" si="33"/>
        <v>260-3271</v>
      </c>
      <c r="Q245" s="315" t="str">
        <f t="shared" si="34"/>
        <v>F&amp;I</v>
      </c>
      <c r="R245" s="315" t="str">
        <f t="shared" si="35"/>
        <v>F&amp;IInsurance Income per vehicle retailed</v>
      </c>
      <c r="S245" s="199"/>
      <c r="T245" s="199"/>
      <c r="U245" s="199"/>
    </row>
    <row r="246" spans="1:21" x14ac:dyDescent="0.25">
      <c r="A246" t="s">
        <v>996</v>
      </c>
      <c r="B246" t="s">
        <v>997</v>
      </c>
      <c r="C246" t="s">
        <v>1012</v>
      </c>
      <c r="D246">
        <v>3271</v>
      </c>
      <c r="E246">
        <v>460</v>
      </c>
      <c r="F246" t="s">
        <v>1081</v>
      </c>
      <c r="G246" t="s">
        <v>1082</v>
      </c>
      <c r="H246" s="315" t="s">
        <v>16</v>
      </c>
      <c r="I246" s="315" t="s">
        <v>1083</v>
      </c>
      <c r="J246" s="315" t="str">
        <f t="shared" si="31"/>
        <v>F&amp;IInsurance Income per vehicle retailed</v>
      </c>
      <c r="K246" s="315" t="str">
        <f t="shared" si="32"/>
        <v>460Insurance income - Used Toyota</v>
      </c>
      <c r="L246" s="311">
        <f>+SUMIF('TUNZ Extracted TB'!M:M,$P246,'TUNZ Extracted TB'!G:G)</f>
        <v>0</v>
      </c>
      <c r="M246" s="311"/>
      <c r="N246" s="311">
        <f>+SUMIF('Input Sheet'!$AE:$AE,P246,'Input Sheet'!$X:$X)</f>
        <v>0</v>
      </c>
      <c r="O246" s="311"/>
      <c r="P246" t="str">
        <f t="shared" si="33"/>
        <v>460-3271</v>
      </c>
      <c r="Q246" s="315" t="str">
        <f t="shared" si="34"/>
        <v>F&amp;I</v>
      </c>
      <c r="R246" s="315" t="str">
        <f t="shared" si="35"/>
        <v>F&amp;IInsurance Income per vehicle retailed</v>
      </c>
      <c r="S246" s="199"/>
      <c r="T246" s="199"/>
      <c r="U246" s="199"/>
    </row>
    <row r="247" spans="1:21" x14ac:dyDescent="0.25">
      <c r="A247" t="s">
        <v>996</v>
      </c>
      <c r="B247" t="s">
        <v>997</v>
      </c>
      <c r="C247" t="s">
        <v>1013</v>
      </c>
      <c r="D247">
        <v>3271</v>
      </c>
      <c r="E247">
        <v>360</v>
      </c>
      <c r="F247" t="s">
        <v>1081</v>
      </c>
      <c r="G247" t="s">
        <v>1082</v>
      </c>
      <c r="H247" s="315" t="s">
        <v>16</v>
      </c>
      <c r="I247" s="315" t="s">
        <v>1083</v>
      </c>
      <c r="J247" s="315" t="str">
        <f t="shared" si="31"/>
        <v>F&amp;IInsurance Income per vehicle retailed</v>
      </c>
      <c r="K247" s="315" t="str">
        <f t="shared" si="32"/>
        <v>360Insurance income - Used Toyota</v>
      </c>
      <c r="L247" s="311">
        <f>+SUMIF('TUNZ Extracted TB'!M:M,$P247,'TUNZ Extracted TB'!G:G)</f>
        <v>0</v>
      </c>
      <c r="M247" s="311"/>
      <c r="N247" s="311">
        <f>+SUMIF('Input Sheet'!$AE:$AE,P247,'Input Sheet'!$X:$X)</f>
        <v>0</v>
      </c>
      <c r="O247" s="311"/>
      <c r="P247" t="str">
        <f t="shared" si="33"/>
        <v>360-3271</v>
      </c>
      <c r="Q247" s="315" t="str">
        <f t="shared" si="34"/>
        <v>F&amp;I</v>
      </c>
      <c r="R247" s="315" t="str">
        <f t="shared" si="35"/>
        <v>F&amp;IInsurance Income per vehicle retailed</v>
      </c>
      <c r="S247" s="199"/>
      <c r="T247" s="199"/>
      <c r="U247" s="199"/>
    </row>
    <row r="248" spans="1:21" x14ac:dyDescent="0.25">
      <c r="A248" t="s">
        <v>996</v>
      </c>
      <c r="B248" t="s">
        <v>997</v>
      </c>
      <c r="C248" t="s">
        <v>997</v>
      </c>
      <c r="D248">
        <v>3271</v>
      </c>
      <c r="E248">
        <v>160</v>
      </c>
      <c r="F248" t="s">
        <v>1081</v>
      </c>
      <c r="G248" t="s">
        <v>1082</v>
      </c>
      <c r="H248" s="315" t="s">
        <v>16</v>
      </c>
      <c r="I248" s="315" t="s">
        <v>1083</v>
      </c>
      <c r="J248" s="315" t="str">
        <f t="shared" si="31"/>
        <v>F&amp;IInsurance Income per vehicle retailed</v>
      </c>
      <c r="K248" s="315" t="str">
        <f t="shared" si="32"/>
        <v>160Insurance income - Used Toyota</v>
      </c>
      <c r="L248" s="311">
        <f>+SUMIF('TUNZ Extracted TB'!M:M,$P248,'TUNZ Extracted TB'!G:G)</f>
        <v>0</v>
      </c>
      <c r="M248" s="311"/>
      <c r="N248" s="311">
        <f>+SUMIF('Input Sheet'!$AE:$AE,P248,'Input Sheet'!$X:$X)</f>
        <v>0</v>
      </c>
      <c r="O248" s="311"/>
      <c r="P248" t="str">
        <f t="shared" si="33"/>
        <v>160-3271</v>
      </c>
      <c r="Q248" s="315" t="str">
        <f t="shared" si="34"/>
        <v>F&amp;I</v>
      </c>
      <c r="R248" s="315" t="str">
        <f t="shared" si="35"/>
        <v>F&amp;IInsurance Income per vehicle retailed</v>
      </c>
      <c r="S248" s="199"/>
      <c r="T248" s="199"/>
      <c r="U248" s="199"/>
    </row>
    <row r="249" spans="1:21" x14ac:dyDescent="0.25">
      <c r="A249" t="s">
        <v>996</v>
      </c>
      <c r="B249" t="s">
        <v>997</v>
      </c>
      <c r="C249" t="s">
        <v>997</v>
      </c>
      <c r="D249">
        <v>3271</v>
      </c>
      <c r="E249">
        <v>170</v>
      </c>
      <c r="F249" t="s">
        <v>1081</v>
      </c>
      <c r="G249" t="s">
        <v>1082</v>
      </c>
      <c r="H249" s="315" t="s">
        <v>16</v>
      </c>
      <c r="I249" s="315" t="s">
        <v>1083</v>
      </c>
      <c r="J249" s="315" t="str">
        <f t="shared" si="31"/>
        <v>F&amp;IInsurance Income per vehicle retailed</v>
      </c>
      <c r="K249" s="315" t="str">
        <f t="shared" si="32"/>
        <v>170Insurance income - Used Toyota</v>
      </c>
      <c r="L249" s="311">
        <f>+SUMIF('TUNZ Extracted TB'!M:M,$P249,'TUNZ Extracted TB'!G:G)</f>
        <v>0</v>
      </c>
      <c r="M249" s="311"/>
      <c r="N249" s="311">
        <f>+SUMIF('Input Sheet'!$AE:$AE,P249,'Input Sheet'!$X:$X)</f>
        <v>0</v>
      </c>
      <c r="O249" s="311"/>
      <c r="P249" t="str">
        <f t="shared" si="33"/>
        <v>170-3271</v>
      </c>
      <c r="Q249" s="315" t="str">
        <f t="shared" si="34"/>
        <v>F&amp;I</v>
      </c>
      <c r="R249" s="315" t="str">
        <f t="shared" si="35"/>
        <v>F&amp;IInsurance Income per vehicle retailed</v>
      </c>
      <c r="S249" s="199"/>
      <c r="T249" s="199"/>
      <c r="U249" s="199"/>
    </row>
    <row r="250" spans="1:21" x14ac:dyDescent="0.25">
      <c r="A250" t="s">
        <v>996</v>
      </c>
      <c r="B250" t="s">
        <v>997</v>
      </c>
      <c r="C250" t="s">
        <v>997</v>
      </c>
      <c r="D250">
        <v>3272</v>
      </c>
      <c r="E250">
        <v>162</v>
      </c>
      <c r="F250" t="s">
        <v>1084</v>
      </c>
      <c r="G250" t="s">
        <v>1085</v>
      </c>
      <c r="H250" s="315" t="s">
        <v>142</v>
      </c>
      <c r="I250" s="315" t="s">
        <v>1083</v>
      </c>
      <c r="J250" s="315" t="str">
        <f t="shared" si="31"/>
        <v>LEX F&amp;IInsurance Income per vehicle retailed</v>
      </c>
      <c r="K250" s="315" t="str">
        <f t="shared" si="32"/>
        <v>162Insurance income - Used Lexus</v>
      </c>
      <c r="L250" s="311">
        <f>+SUMIF('TUNZ Extracted TB'!M:M,$P250,'TUNZ Extracted TB'!G:G)</f>
        <v>0</v>
      </c>
      <c r="M250" s="311"/>
      <c r="N250" s="311">
        <f>+SUMIF('Input Sheet'!$AE:$AE,P250,'Input Sheet'!$X:$X)</f>
        <v>0</v>
      </c>
      <c r="O250" s="311"/>
      <c r="P250" t="str">
        <f t="shared" si="33"/>
        <v>162-3272</v>
      </c>
      <c r="Q250" s="315" t="str">
        <f t="shared" si="34"/>
        <v>LEX F&amp;I</v>
      </c>
      <c r="R250" s="315" t="str">
        <f t="shared" si="35"/>
        <v>LEX F&amp;IInsurance Income per vehicle retailed</v>
      </c>
      <c r="S250" s="199"/>
      <c r="T250" s="199"/>
      <c r="U250" s="199"/>
    </row>
    <row r="251" spans="1:21" x14ac:dyDescent="0.25">
      <c r="A251" t="s">
        <v>996</v>
      </c>
      <c r="B251" t="s">
        <v>997</v>
      </c>
      <c r="C251" t="s">
        <v>1005</v>
      </c>
      <c r="D251">
        <v>3272</v>
      </c>
      <c r="E251">
        <v>260</v>
      </c>
      <c r="F251" t="s">
        <v>1081</v>
      </c>
      <c r="G251" t="s">
        <v>1082</v>
      </c>
      <c r="H251" s="315" t="s">
        <v>16</v>
      </c>
      <c r="I251" s="315" t="s">
        <v>1083</v>
      </c>
      <c r="J251" s="315" t="str">
        <f t="shared" si="31"/>
        <v>F&amp;IInsurance Income per vehicle retailed</v>
      </c>
      <c r="K251" s="315" t="str">
        <f t="shared" si="32"/>
        <v>260Insurance income - Used Toyota</v>
      </c>
      <c r="L251" s="311">
        <f>+SUMIF('TUNZ Extracted TB'!M:M,$P251,'TUNZ Extracted TB'!G:G)</f>
        <v>0</v>
      </c>
      <c r="M251" s="311"/>
      <c r="N251" s="311">
        <f>+SUMIF('Input Sheet'!$AE:$AE,P251,'Input Sheet'!$X:$X)</f>
        <v>0</v>
      </c>
      <c r="O251" s="311"/>
      <c r="P251" t="str">
        <f t="shared" si="33"/>
        <v>260-3272</v>
      </c>
      <c r="Q251" s="315" t="str">
        <f t="shared" si="34"/>
        <v>F&amp;I</v>
      </c>
      <c r="R251" s="315" t="str">
        <f t="shared" si="35"/>
        <v>F&amp;IInsurance Income per vehicle retailed</v>
      </c>
      <c r="S251" s="199"/>
      <c r="T251" s="199"/>
      <c r="U251" s="199"/>
    </row>
    <row r="252" spans="1:21" x14ac:dyDescent="0.25">
      <c r="A252" t="s">
        <v>996</v>
      </c>
      <c r="B252" t="s">
        <v>997</v>
      </c>
      <c r="C252" t="s">
        <v>1012</v>
      </c>
      <c r="D252">
        <v>3272</v>
      </c>
      <c r="E252">
        <v>460</v>
      </c>
      <c r="F252" t="s">
        <v>1081</v>
      </c>
      <c r="G252" t="s">
        <v>1082</v>
      </c>
      <c r="H252" s="315" t="s">
        <v>16</v>
      </c>
      <c r="I252" s="315" t="s">
        <v>1083</v>
      </c>
      <c r="J252" s="315" t="str">
        <f t="shared" si="31"/>
        <v>F&amp;IInsurance Income per vehicle retailed</v>
      </c>
      <c r="K252" s="315" t="str">
        <f t="shared" si="32"/>
        <v>460Insurance income - Used Toyota</v>
      </c>
      <c r="L252" s="311">
        <f>+SUMIF('TUNZ Extracted TB'!M:M,$P252,'TUNZ Extracted TB'!G:G)</f>
        <v>0</v>
      </c>
      <c r="M252" s="311"/>
      <c r="N252" s="311">
        <f>+SUMIF('Input Sheet'!$AE:$AE,P252,'Input Sheet'!$X:$X)</f>
        <v>0</v>
      </c>
      <c r="O252" s="311"/>
      <c r="P252" t="str">
        <f t="shared" si="33"/>
        <v>460-3272</v>
      </c>
      <c r="Q252" s="315" t="str">
        <f t="shared" si="34"/>
        <v>F&amp;I</v>
      </c>
      <c r="R252" s="315" t="str">
        <f t="shared" si="35"/>
        <v>F&amp;IInsurance Income per vehicle retailed</v>
      </c>
      <c r="S252" s="199"/>
      <c r="T252" s="199"/>
      <c r="U252" s="199"/>
    </row>
    <row r="253" spans="1:21" x14ac:dyDescent="0.25">
      <c r="A253" t="s">
        <v>996</v>
      </c>
      <c r="B253" t="s">
        <v>997</v>
      </c>
      <c r="C253" t="s">
        <v>1013</v>
      </c>
      <c r="D253">
        <v>3272</v>
      </c>
      <c r="E253">
        <v>360</v>
      </c>
      <c r="F253" t="s">
        <v>1081</v>
      </c>
      <c r="G253" t="s">
        <v>1082</v>
      </c>
      <c r="H253" s="315" t="s">
        <v>16</v>
      </c>
      <c r="I253" s="315" t="s">
        <v>1083</v>
      </c>
      <c r="J253" s="315" t="str">
        <f t="shared" si="31"/>
        <v>F&amp;IInsurance Income per vehicle retailed</v>
      </c>
      <c r="K253" s="315" t="str">
        <f t="shared" si="32"/>
        <v>360Insurance income - Used Toyota</v>
      </c>
      <c r="L253" s="311">
        <f>+SUMIF('TUNZ Extracted TB'!M:M,$P253,'TUNZ Extracted TB'!G:G)</f>
        <v>0</v>
      </c>
      <c r="M253" s="311"/>
      <c r="N253" s="311">
        <f>+SUMIF('Input Sheet'!$AE:$AE,P253,'Input Sheet'!$X:$X)</f>
        <v>0</v>
      </c>
      <c r="O253" s="311"/>
      <c r="P253" t="str">
        <f t="shared" si="33"/>
        <v>360-3272</v>
      </c>
      <c r="Q253" s="315" t="str">
        <f t="shared" si="34"/>
        <v>F&amp;I</v>
      </c>
      <c r="R253" s="315" t="str">
        <f t="shared" si="35"/>
        <v>F&amp;IInsurance Income per vehicle retailed</v>
      </c>
      <c r="S253" s="199"/>
      <c r="T253" s="199"/>
      <c r="U253" s="199"/>
    </row>
    <row r="254" spans="1:21" x14ac:dyDescent="0.25">
      <c r="A254" t="s">
        <v>996</v>
      </c>
      <c r="B254" t="s">
        <v>997</v>
      </c>
      <c r="C254" t="s">
        <v>997</v>
      </c>
      <c r="D254">
        <v>3272</v>
      </c>
      <c r="E254">
        <v>160</v>
      </c>
      <c r="F254" t="s">
        <v>1081</v>
      </c>
      <c r="G254" t="s">
        <v>1082</v>
      </c>
      <c r="H254" s="315" t="s">
        <v>16</v>
      </c>
      <c r="I254" s="315" t="s">
        <v>1083</v>
      </c>
      <c r="J254" s="315" t="str">
        <f t="shared" si="31"/>
        <v>F&amp;IInsurance Income per vehicle retailed</v>
      </c>
      <c r="K254" s="315" t="str">
        <f t="shared" si="32"/>
        <v>160Insurance income - Used Toyota</v>
      </c>
      <c r="L254" s="311">
        <f>+SUMIF('TUNZ Extracted TB'!M:M,$P254,'TUNZ Extracted TB'!G:G)</f>
        <v>-2358.13</v>
      </c>
      <c r="M254" s="311"/>
      <c r="N254" s="311">
        <f>+SUMIF('Input Sheet'!$AE:$AE,P254,'Input Sheet'!$X:$X)</f>
        <v>0</v>
      </c>
      <c r="O254" s="311"/>
      <c r="P254" t="str">
        <f t="shared" si="33"/>
        <v>160-3272</v>
      </c>
      <c r="Q254" s="315" t="str">
        <f t="shared" si="34"/>
        <v>F&amp;I</v>
      </c>
      <c r="R254" s="315" t="str">
        <f t="shared" si="35"/>
        <v>F&amp;IInsurance Income per vehicle retailed</v>
      </c>
      <c r="S254" s="199"/>
      <c r="T254" s="199"/>
      <c r="U254" s="199"/>
    </row>
    <row r="255" spans="1:21" x14ac:dyDescent="0.25">
      <c r="A255" t="s">
        <v>996</v>
      </c>
      <c r="B255" t="s">
        <v>997</v>
      </c>
      <c r="C255" t="s">
        <v>1005</v>
      </c>
      <c r="D255">
        <v>3273</v>
      </c>
      <c r="E255">
        <v>260</v>
      </c>
      <c r="F255" t="s">
        <v>1086</v>
      </c>
      <c r="G255" t="s">
        <v>1087</v>
      </c>
      <c r="H255" s="315" t="s">
        <v>16</v>
      </c>
      <c r="I255" s="315" t="s">
        <v>1083</v>
      </c>
      <c r="J255" s="315" t="str">
        <f t="shared" si="31"/>
        <v>F&amp;IInsurance Income per vehicle retailed</v>
      </c>
      <c r="K255" s="315" t="str">
        <f t="shared" si="32"/>
        <v>260Insurance income - New Toyota</v>
      </c>
      <c r="L255" s="311">
        <f>+SUMIF('TUNZ Extracted TB'!M:M,$P255,'TUNZ Extracted TB'!G:G)</f>
        <v>0</v>
      </c>
      <c r="M255" s="311"/>
      <c r="N255" s="311">
        <f>+SUMIF('Input Sheet'!$AE:$AE,P255,'Input Sheet'!$X:$X)</f>
        <v>0</v>
      </c>
      <c r="O255" s="311"/>
      <c r="P255" t="str">
        <f t="shared" si="33"/>
        <v>260-3273</v>
      </c>
      <c r="Q255" s="315" t="str">
        <f t="shared" si="34"/>
        <v>F&amp;I</v>
      </c>
      <c r="R255" s="315" t="str">
        <f t="shared" si="35"/>
        <v>F&amp;IInsurance Income per vehicle retailed</v>
      </c>
      <c r="S255" s="199"/>
      <c r="T255" s="199"/>
      <c r="U255" s="199"/>
    </row>
    <row r="256" spans="1:21" x14ac:dyDescent="0.25">
      <c r="A256" t="s">
        <v>996</v>
      </c>
      <c r="B256" t="s">
        <v>997</v>
      </c>
      <c r="C256" t="s">
        <v>1012</v>
      </c>
      <c r="D256">
        <v>3273</v>
      </c>
      <c r="E256">
        <v>460</v>
      </c>
      <c r="F256" t="s">
        <v>1086</v>
      </c>
      <c r="G256" t="s">
        <v>1087</v>
      </c>
      <c r="H256" s="315" t="s">
        <v>16</v>
      </c>
      <c r="I256" s="315" t="s">
        <v>1083</v>
      </c>
      <c r="J256" s="315" t="str">
        <f t="shared" si="31"/>
        <v>F&amp;IInsurance Income per vehicle retailed</v>
      </c>
      <c r="K256" s="315" t="str">
        <f t="shared" si="32"/>
        <v>460Insurance income - New Toyota</v>
      </c>
      <c r="L256" s="311">
        <f>+SUMIF('TUNZ Extracted TB'!M:M,$P256,'TUNZ Extracted TB'!G:G)</f>
        <v>0</v>
      </c>
      <c r="M256" s="311"/>
      <c r="N256" s="311">
        <f>+SUMIF('Input Sheet'!$AE:$AE,P256,'Input Sheet'!$X:$X)</f>
        <v>0</v>
      </c>
      <c r="O256" s="311"/>
      <c r="P256" t="str">
        <f t="shared" si="33"/>
        <v>460-3273</v>
      </c>
      <c r="Q256" s="315" t="str">
        <f t="shared" si="34"/>
        <v>F&amp;I</v>
      </c>
      <c r="R256" s="315" t="str">
        <f t="shared" si="35"/>
        <v>F&amp;IInsurance Income per vehicle retailed</v>
      </c>
      <c r="S256" s="199"/>
      <c r="T256" s="199"/>
      <c r="U256" s="199"/>
    </row>
    <row r="257" spans="1:21" x14ac:dyDescent="0.25">
      <c r="A257" t="s">
        <v>996</v>
      </c>
      <c r="B257" t="s">
        <v>997</v>
      </c>
      <c r="C257" t="s">
        <v>1013</v>
      </c>
      <c r="D257">
        <v>3273</v>
      </c>
      <c r="E257">
        <v>360</v>
      </c>
      <c r="F257" t="s">
        <v>1086</v>
      </c>
      <c r="G257" t="s">
        <v>1087</v>
      </c>
      <c r="H257" s="315" t="s">
        <v>16</v>
      </c>
      <c r="I257" s="315" t="s">
        <v>1083</v>
      </c>
      <c r="J257" s="315" t="str">
        <f t="shared" si="31"/>
        <v>F&amp;IInsurance Income per vehicle retailed</v>
      </c>
      <c r="K257" s="315" t="str">
        <f t="shared" si="32"/>
        <v>360Insurance income - New Toyota</v>
      </c>
      <c r="L257" s="311">
        <f>+SUMIF('TUNZ Extracted TB'!M:M,$P257,'TUNZ Extracted TB'!G:G)</f>
        <v>0</v>
      </c>
      <c r="M257" s="311"/>
      <c r="N257" s="311">
        <f>+SUMIF('Input Sheet'!$AE:$AE,P257,'Input Sheet'!$X:$X)</f>
        <v>0</v>
      </c>
      <c r="O257" s="311"/>
      <c r="P257" t="str">
        <f t="shared" si="33"/>
        <v>360-3273</v>
      </c>
      <c r="Q257" s="315" t="str">
        <f t="shared" si="34"/>
        <v>F&amp;I</v>
      </c>
      <c r="R257" s="315" t="str">
        <f t="shared" si="35"/>
        <v>F&amp;IInsurance Income per vehicle retailed</v>
      </c>
      <c r="S257" s="199"/>
      <c r="T257" s="199"/>
      <c r="U257" s="199"/>
    </row>
    <row r="258" spans="1:21" x14ac:dyDescent="0.25">
      <c r="A258" t="s">
        <v>996</v>
      </c>
      <c r="B258" t="s">
        <v>997</v>
      </c>
      <c r="C258" t="s">
        <v>997</v>
      </c>
      <c r="D258">
        <v>3273</v>
      </c>
      <c r="E258">
        <v>160</v>
      </c>
      <c r="F258" t="s">
        <v>1086</v>
      </c>
      <c r="G258" t="s">
        <v>1087</v>
      </c>
      <c r="H258" s="315" t="s">
        <v>16</v>
      </c>
      <c r="I258" s="315" t="s">
        <v>1083</v>
      </c>
      <c r="J258" s="315" t="str">
        <f t="shared" si="31"/>
        <v>F&amp;IInsurance Income per vehicle retailed</v>
      </c>
      <c r="K258" s="315" t="str">
        <f t="shared" si="32"/>
        <v>160Insurance income - New Toyota</v>
      </c>
      <c r="L258" s="311">
        <f>+SUMIF('TUNZ Extracted TB'!M:M,$P258,'TUNZ Extracted TB'!G:G)</f>
        <v>0</v>
      </c>
      <c r="M258" s="311"/>
      <c r="N258" s="311">
        <f>+SUMIF('Input Sheet'!$AE:$AE,P258,'Input Sheet'!$X:$X)</f>
        <v>0</v>
      </c>
      <c r="O258" s="311"/>
      <c r="P258" t="str">
        <f t="shared" si="33"/>
        <v>160-3273</v>
      </c>
      <c r="Q258" s="315" t="str">
        <f t="shared" si="34"/>
        <v>F&amp;I</v>
      </c>
      <c r="R258" s="315" t="str">
        <f t="shared" si="35"/>
        <v>F&amp;IInsurance Income per vehicle retailed</v>
      </c>
      <c r="S258" s="199"/>
      <c r="T258" s="199"/>
      <c r="U258" s="199"/>
    </row>
    <row r="259" spans="1:21" x14ac:dyDescent="0.25">
      <c r="A259" t="s">
        <v>996</v>
      </c>
      <c r="B259" t="s">
        <v>997</v>
      </c>
      <c r="C259" t="s">
        <v>997</v>
      </c>
      <c r="D259">
        <v>3273</v>
      </c>
      <c r="E259">
        <v>162</v>
      </c>
      <c r="F259" t="s">
        <v>1084</v>
      </c>
      <c r="G259" t="s">
        <v>1085</v>
      </c>
      <c r="H259" s="315" t="s">
        <v>142</v>
      </c>
      <c r="I259" s="315" t="s">
        <v>1083</v>
      </c>
      <c r="J259" s="315" t="str">
        <f t="shared" ref="J259:J322" si="36">+H259&amp;I259</f>
        <v>LEX F&amp;IInsurance Income per vehicle retailed</v>
      </c>
      <c r="K259" s="315" t="str">
        <f t="shared" ref="K259:K322" si="37">+E259&amp;G259</f>
        <v>162Insurance income - Used Lexus</v>
      </c>
      <c r="L259" s="311">
        <f>+SUMIF('TUNZ Extracted TB'!M:M,$P259,'TUNZ Extracted TB'!G:G)</f>
        <v>0</v>
      </c>
      <c r="M259" s="311"/>
      <c r="N259" s="311">
        <f>+SUMIF('Input Sheet'!$AE:$AE,P259,'Input Sheet'!$X:$X)</f>
        <v>0</v>
      </c>
      <c r="O259" s="311"/>
      <c r="P259" t="str">
        <f t="shared" ref="P259:P322" si="38">+E259&amp;"-"&amp;D259</f>
        <v>162-3273</v>
      </c>
      <c r="Q259" s="315" t="str">
        <f t="shared" ref="Q259:Q322" si="39">H259</f>
        <v>LEX F&amp;I</v>
      </c>
      <c r="R259" s="315" t="str">
        <f t="shared" ref="R259:R322" si="40">J259</f>
        <v>LEX F&amp;IInsurance Income per vehicle retailed</v>
      </c>
      <c r="S259" s="199"/>
      <c r="T259" s="199"/>
      <c r="U259" s="199"/>
    </row>
    <row r="260" spans="1:21" x14ac:dyDescent="0.25">
      <c r="A260" t="s">
        <v>996</v>
      </c>
      <c r="B260" t="s">
        <v>997</v>
      </c>
      <c r="C260" t="s">
        <v>997</v>
      </c>
      <c r="D260">
        <v>3275</v>
      </c>
      <c r="E260">
        <v>160</v>
      </c>
      <c r="F260" t="s">
        <v>1088</v>
      </c>
      <c r="G260" t="s">
        <v>1089</v>
      </c>
      <c r="H260" s="315" t="s">
        <v>16</v>
      </c>
      <c r="I260" s="315" t="s">
        <v>1090</v>
      </c>
      <c r="J260" s="315" t="str">
        <f t="shared" si="36"/>
        <v>F&amp;IToyota Care Income per vehicle retailed</v>
      </c>
      <c r="K260" s="315" t="str">
        <f t="shared" si="37"/>
        <v>160Toyota Care Sales - Toyota</v>
      </c>
      <c r="L260" s="311">
        <f>+SUMIF('TUNZ Extracted TB'!M:M,$P260,'TUNZ Extracted TB'!G:G)</f>
        <v>-3692.44</v>
      </c>
      <c r="M260" s="311"/>
      <c r="N260" s="311">
        <f>+SUMIF('Input Sheet'!$AE:$AE,P260,'Input Sheet'!$X:$X)</f>
        <v>0</v>
      </c>
      <c r="O260" s="311"/>
      <c r="P260" t="str">
        <f t="shared" si="38"/>
        <v>160-3275</v>
      </c>
      <c r="Q260" s="315" t="str">
        <f t="shared" si="39"/>
        <v>F&amp;I</v>
      </c>
      <c r="R260" s="315" t="str">
        <f t="shared" si="40"/>
        <v>F&amp;IToyota Care Income per vehicle retailed</v>
      </c>
      <c r="S260" s="199"/>
      <c r="T260" s="199"/>
      <c r="U260" s="199"/>
    </row>
    <row r="261" spans="1:21" x14ac:dyDescent="0.25">
      <c r="A261" t="s">
        <v>996</v>
      </c>
      <c r="B261" t="s">
        <v>997</v>
      </c>
      <c r="C261" t="s">
        <v>1005</v>
      </c>
      <c r="D261">
        <v>3275</v>
      </c>
      <c r="E261">
        <v>260</v>
      </c>
      <c r="F261" t="s">
        <v>1088</v>
      </c>
      <c r="G261" t="s">
        <v>1089</v>
      </c>
      <c r="H261" s="315" t="s">
        <v>16</v>
      </c>
      <c r="I261" s="315" t="s">
        <v>1090</v>
      </c>
      <c r="J261" s="315" t="str">
        <f t="shared" si="36"/>
        <v>F&amp;IToyota Care Income per vehicle retailed</v>
      </c>
      <c r="K261" s="315" t="str">
        <f t="shared" si="37"/>
        <v>260Toyota Care Sales - Toyota</v>
      </c>
      <c r="L261" s="311">
        <f>+SUMIF('TUNZ Extracted TB'!M:M,$P261,'TUNZ Extracted TB'!G:G)</f>
        <v>3837.1</v>
      </c>
      <c r="M261" s="311"/>
      <c r="N261" s="311">
        <f>+SUMIF('Input Sheet'!$AE:$AE,P261,'Input Sheet'!$X:$X)</f>
        <v>0</v>
      </c>
      <c r="O261" s="311"/>
      <c r="P261" t="str">
        <f t="shared" si="38"/>
        <v>260-3275</v>
      </c>
      <c r="Q261" s="315" t="str">
        <f t="shared" si="39"/>
        <v>F&amp;I</v>
      </c>
      <c r="R261" s="315" t="str">
        <f t="shared" si="40"/>
        <v>F&amp;IToyota Care Income per vehicle retailed</v>
      </c>
      <c r="S261" s="199"/>
      <c r="T261" s="199"/>
      <c r="U261" s="199"/>
    </row>
    <row r="262" spans="1:21" x14ac:dyDescent="0.25">
      <c r="A262" t="s">
        <v>996</v>
      </c>
      <c r="B262" t="s">
        <v>997</v>
      </c>
      <c r="C262" t="s">
        <v>997</v>
      </c>
      <c r="D262">
        <v>3275</v>
      </c>
      <c r="E262">
        <v>170</v>
      </c>
      <c r="F262" t="s">
        <v>1088</v>
      </c>
      <c r="G262" t="s">
        <v>1089</v>
      </c>
      <c r="H262" s="315" t="s">
        <v>16</v>
      </c>
      <c r="I262" s="315" t="s">
        <v>1090</v>
      </c>
      <c r="J262" s="315" t="str">
        <f t="shared" si="36"/>
        <v>F&amp;IToyota Care Income per vehicle retailed</v>
      </c>
      <c r="K262" s="315" t="str">
        <f t="shared" si="37"/>
        <v>170Toyota Care Sales - Toyota</v>
      </c>
      <c r="L262" s="311">
        <f>+SUMIF('TUNZ Extracted TB'!M:M,$P262,'TUNZ Extracted TB'!G:G)</f>
        <v>0</v>
      </c>
      <c r="M262" s="311"/>
      <c r="N262" s="311">
        <f>+SUMIF('Input Sheet'!$AE:$AE,P262,'Input Sheet'!$X:$X)</f>
        <v>0</v>
      </c>
      <c r="O262" s="311"/>
      <c r="P262" t="str">
        <f t="shared" si="38"/>
        <v>170-3275</v>
      </c>
      <c r="Q262" s="315" t="str">
        <f t="shared" si="39"/>
        <v>F&amp;I</v>
      </c>
      <c r="R262" s="315" t="str">
        <f t="shared" si="40"/>
        <v>F&amp;IToyota Care Income per vehicle retailed</v>
      </c>
      <c r="S262" s="199"/>
      <c r="T262" s="199"/>
      <c r="U262" s="199"/>
    </row>
    <row r="263" spans="1:21" x14ac:dyDescent="0.25">
      <c r="A263" t="s">
        <v>996</v>
      </c>
      <c r="B263" t="s">
        <v>997</v>
      </c>
      <c r="C263" t="s">
        <v>1012</v>
      </c>
      <c r="D263">
        <v>3275</v>
      </c>
      <c r="E263">
        <v>460</v>
      </c>
      <c r="F263" t="s">
        <v>1088</v>
      </c>
      <c r="G263" t="s">
        <v>1089</v>
      </c>
      <c r="H263" s="315" t="s">
        <v>16</v>
      </c>
      <c r="I263" s="315" t="s">
        <v>1090</v>
      </c>
      <c r="J263" s="315" t="str">
        <f t="shared" si="36"/>
        <v>F&amp;IToyota Care Income per vehicle retailed</v>
      </c>
      <c r="K263" s="315" t="str">
        <f t="shared" si="37"/>
        <v>460Toyota Care Sales - Toyota</v>
      </c>
      <c r="L263" s="311">
        <f>+SUMIF('TUNZ Extracted TB'!M:M,$P263,'TUNZ Extracted TB'!G:G)</f>
        <v>0</v>
      </c>
      <c r="M263" s="311"/>
      <c r="N263" s="311">
        <f>+SUMIF('Input Sheet'!$AE:$AE,P263,'Input Sheet'!$X:$X)</f>
        <v>0</v>
      </c>
      <c r="O263" s="311"/>
      <c r="P263" t="str">
        <f t="shared" si="38"/>
        <v>460-3275</v>
      </c>
      <c r="Q263" s="315" t="str">
        <f t="shared" si="39"/>
        <v>F&amp;I</v>
      </c>
      <c r="R263" s="315" t="str">
        <f t="shared" si="40"/>
        <v>F&amp;IToyota Care Income per vehicle retailed</v>
      </c>
      <c r="S263" s="199"/>
      <c r="T263" s="199"/>
      <c r="U263" s="199"/>
    </row>
    <row r="264" spans="1:21" x14ac:dyDescent="0.25">
      <c r="A264" t="s">
        <v>996</v>
      </c>
      <c r="B264" t="s">
        <v>997</v>
      </c>
      <c r="C264" t="s">
        <v>1013</v>
      </c>
      <c r="D264">
        <v>3275</v>
      </c>
      <c r="E264">
        <v>360</v>
      </c>
      <c r="F264" t="s">
        <v>1088</v>
      </c>
      <c r="G264" t="s">
        <v>1089</v>
      </c>
      <c r="H264" s="315" t="s">
        <v>16</v>
      </c>
      <c r="I264" s="315" t="s">
        <v>1090</v>
      </c>
      <c r="J264" s="315" t="str">
        <f t="shared" si="36"/>
        <v>F&amp;IToyota Care Income per vehicle retailed</v>
      </c>
      <c r="K264" s="315" t="str">
        <f t="shared" si="37"/>
        <v>360Toyota Care Sales - Toyota</v>
      </c>
      <c r="L264" s="311">
        <f>+SUMIF('TUNZ Extracted TB'!M:M,$P264,'TUNZ Extracted TB'!G:G)</f>
        <v>0</v>
      </c>
      <c r="M264" s="311"/>
      <c r="N264" s="311">
        <f>+SUMIF('Input Sheet'!$AE:$AE,P264,'Input Sheet'!$X:$X)</f>
        <v>0</v>
      </c>
      <c r="O264" s="311"/>
      <c r="P264" t="str">
        <f t="shared" si="38"/>
        <v>360-3275</v>
      </c>
      <c r="Q264" s="315" t="str">
        <f t="shared" si="39"/>
        <v>F&amp;I</v>
      </c>
      <c r="R264" s="315" t="str">
        <f t="shared" si="40"/>
        <v>F&amp;IToyota Care Income per vehicle retailed</v>
      </c>
      <c r="S264" s="199"/>
      <c r="T264" s="199"/>
      <c r="U264" s="199"/>
    </row>
    <row r="265" spans="1:21" x14ac:dyDescent="0.25">
      <c r="A265" t="s">
        <v>996</v>
      </c>
      <c r="B265" t="s">
        <v>997</v>
      </c>
      <c r="C265" t="s">
        <v>997</v>
      </c>
      <c r="D265">
        <v>3275</v>
      </c>
      <c r="E265">
        <v>162</v>
      </c>
      <c r="F265" t="s">
        <v>1091</v>
      </c>
      <c r="G265" t="s">
        <v>1092</v>
      </c>
      <c r="H265" s="315" t="s">
        <v>142</v>
      </c>
      <c r="I265" s="315" t="s">
        <v>1090</v>
      </c>
      <c r="J265" s="315" t="str">
        <f t="shared" si="36"/>
        <v>LEX F&amp;IToyota Care Income per vehicle retailed</v>
      </c>
      <c r="K265" s="315" t="str">
        <f t="shared" si="37"/>
        <v>162Toyota Care Sales - Lexus</v>
      </c>
      <c r="L265" s="311">
        <f>+SUMIF('TUNZ Extracted TB'!M:M,$P265,'TUNZ Extracted TB'!G:G)</f>
        <v>-362.32</v>
      </c>
      <c r="M265" s="311"/>
      <c r="N265" s="311">
        <f>+SUMIF('Input Sheet'!$AE:$AE,P265,'Input Sheet'!$X:$X)</f>
        <v>0</v>
      </c>
      <c r="O265" s="311"/>
      <c r="P265" t="str">
        <f t="shared" si="38"/>
        <v>162-3275</v>
      </c>
      <c r="Q265" s="315" t="str">
        <f t="shared" si="39"/>
        <v>LEX F&amp;I</v>
      </c>
      <c r="R265" s="315" t="str">
        <f t="shared" si="40"/>
        <v>LEX F&amp;IToyota Care Income per vehicle retailed</v>
      </c>
      <c r="S265" s="199"/>
      <c r="T265" s="199"/>
      <c r="U265" s="199"/>
    </row>
    <row r="266" spans="1:21" x14ac:dyDescent="0.25">
      <c r="A266" t="s">
        <v>996</v>
      </c>
      <c r="B266" t="s">
        <v>997</v>
      </c>
      <c r="C266" t="s">
        <v>997</v>
      </c>
      <c r="D266">
        <v>3276</v>
      </c>
      <c r="E266">
        <v>162</v>
      </c>
      <c r="F266" t="s">
        <v>1091</v>
      </c>
      <c r="G266" t="s">
        <v>1092</v>
      </c>
      <c r="H266" s="315" t="s">
        <v>142</v>
      </c>
      <c r="I266" s="315" t="s">
        <v>1090</v>
      </c>
      <c r="J266" s="315" t="str">
        <f t="shared" si="36"/>
        <v>LEX F&amp;IToyota Care Income per vehicle retailed</v>
      </c>
      <c r="K266" s="315" t="str">
        <f t="shared" si="37"/>
        <v>162Toyota Care Sales - Lexus</v>
      </c>
      <c r="L266" s="311">
        <f>+SUMIF('TUNZ Extracted TB'!M:M,$P266,'TUNZ Extracted TB'!G:G)</f>
        <v>0</v>
      </c>
      <c r="M266" s="311"/>
      <c r="N266" s="311">
        <f>+SUMIF('Input Sheet'!$AE:$AE,P266,'Input Sheet'!$X:$X)</f>
        <v>0</v>
      </c>
      <c r="O266" s="311"/>
      <c r="P266" t="str">
        <f t="shared" si="38"/>
        <v>162-3276</v>
      </c>
      <c r="Q266" s="315" t="str">
        <f t="shared" si="39"/>
        <v>LEX F&amp;I</v>
      </c>
      <c r="R266" s="315" t="str">
        <f t="shared" si="40"/>
        <v>LEX F&amp;IToyota Care Income per vehicle retailed</v>
      </c>
      <c r="S266" s="199"/>
      <c r="T266" s="199"/>
      <c r="U266" s="199"/>
    </row>
    <row r="267" spans="1:21" x14ac:dyDescent="0.25">
      <c r="A267" t="s">
        <v>996</v>
      </c>
      <c r="B267" t="s">
        <v>997</v>
      </c>
      <c r="C267" t="s">
        <v>1005</v>
      </c>
      <c r="D267">
        <v>3276</v>
      </c>
      <c r="E267">
        <v>260</v>
      </c>
      <c r="F267" t="s">
        <v>1088</v>
      </c>
      <c r="G267" t="s">
        <v>1089</v>
      </c>
      <c r="H267" s="315" t="s">
        <v>16</v>
      </c>
      <c r="I267" s="315" t="s">
        <v>1090</v>
      </c>
      <c r="J267" s="315" t="str">
        <f t="shared" si="36"/>
        <v>F&amp;IToyota Care Income per vehicle retailed</v>
      </c>
      <c r="K267" s="315" t="str">
        <f t="shared" si="37"/>
        <v>260Toyota Care Sales - Toyota</v>
      </c>
      <c r="L267" s="311">
        <f>+SUMIF('TUNZ Extracted TB'!M:M,$P267,'TUNZ Extracted TB'!G:G)</f>
        <v>0</v>
      </c>
      <c r="M267" s="311"/>
      <c r="N267" s="311">
        <f>+SUMIF('Input Sheet'!$AE:$AE,P267,'Input Sheet'!$X:$X)</f>
        <v>0</v>
      </c>
      <c r="O267" s="311"/>
      <c r="P267" t="str">
        <f t="shared" si="38"/>
        <v>260-3276</v>
      </c>
      <c r="Q267" s="315" t="str">
        <f t="shared" si="39"/>
        <v>F&amp;I</v>
      </c>
      <c r="R267" s="315" t="str">
        <f t="shared" si="40"/>
        <v>F&amp;IToyota Care Income per vehicle retailed</v>
      </c>
      <c r="S267" s="199"/>
      <c r="T267" s="199"/>
      <c r="U267" s="199"/>
    </row>
    <row r="268" spans="1:21" x14ac:dyDescent="0.25">
      <c r="A268" t="s">
        <v>996</v>
      </c>
      <c r="B268" t="s">
        <v>997</v>
      </c>
      <c r="C268" t="s">
        <v>1012</v>
      </c>
      <c r="D268">
        <v>3276</v>
      </c>
      <c r="E268">
        <v>460</v>
      </c>
      <c r="F268" t="s">
        <v>1088</v>
      </c>
      <c r="G268" t="s">
        <v>1089</v>
      </c>
      <c r="H268" s="315" t="s">
        <v>16</v>
      </c>
      <c r="I268" s="315" t="s">
        <v>1090</v>
      </c>
      <c r="J268" s="315" t="str">
        <f t="shared" si="36"/>
        <v>F&amp;IToyota Care Income per vehicle retailed</v>
      </c>
      <c r="K268" s="315" t="str">
        <f t="shared" si="37"/>
        <v>460Toyota Care Sales - Toyota</v>
      </c>
      <c r="L268" s="311">
        <f>+SUMIF('TUNZ Extracted TB'!M:M,$P268,'TUNZ Extracted TB'!G:G)</f>
        <v>0</v>
      </c>
      <c r="M268" s="311"/>
      <c r="N268" s="311">
        <f>+SUMIF('Input Sheet'!$AE:$AE,P268,'Input Sheet'!$X:$X)</f>
        <v>0</v>
      </c>
      <c r="O268" s="311"/>
      <c r="P268" t="str">
        <f t="shared" si="38"/>
        <v>460-3276</v>
      </c>
      <c r="Q268" s="315" t="str">
        <f t="shared" si="39"/>
        <v>F&amp;I</v>
      </c>
      <c r="R268" s="315" t="str">
        <f t="shared" si="40"/>
        <v>F&amp;IToyota Care Income per vehicle retailed</v>
      </c>
      <c r="S268" s="199"/>
      <c r="T268" s="199"/>
      <c r="U268" s="199"/>
    </row>
    <row r="269" spans="1:21" x14ac:dyDescent="0.25">
      <c r="A269" t="s">
        <v>996</v>
      </c>
      <c r="B269" t="s">
        <v>997</v>
      </c>
      <c r="C269" t="s">
        <v>1013</v>
      </c>
      <c r="D269">
        <v>3276</v>
      </c>
      <c r="E269">
        <v>360</v>
      </c>
      <c r="F269" t="s">
        <v>1088</v>
      </c>
      <c r="G269" t="s">
        <v>1089</v>
      </c>
      <c r="H269" s="315" t="s">
        <v>16</v>
      </c>
      <c r="I269" s="315" t="s">
        <v>1090</v>
      </c>
      <c r="J269" s="315" t="str">
        <f t="shared" si="36"/>
        <v>F&amp;IToyota Care Income per vehicle retailed</v>
      </c>
      <c r="K269" s="315" t="str">
        <f t="shared" si="37"/>
        <v>360Toyota Care Sales - Toyota</v>
      </c>
      <c r="L269" s="311">
        <f>+SUMIF('TUNZ Extracted TB'!M:M,$P269,'TUNZ Extracted TB'!G:G)</f>
        <v>0</v>
      </c>
      <c r="M269" s="311"/>
      <c r="N269" s="311">
        <f>+SUMIF('Input Sheet'!$AE:$AE,P269,'Input Sheet'!$X:$X)</f>
        <v>0</v>
      </c>
      <c r="O269" s="311"/>
      <c r="P269" t="str">
        <f t="shared" si="38"/>
        <v>360-3276</v>
      </c>
      <c r="Q269" s="315" t="str">
        <f t="shared" si="39"/>
        <v>F&amp;I</v>
      </c>
      <c r="R269" s="315" t="str">
        <f t="shared" si="40"/>
        <v>F&amp;IToyota Care Income per vehicle retailed</v>
      </c>
      <c r="S269" s="199"/>
      <c r="T269" s="199"/>
      <c r="U269" s="199"/>
    </row>
    <row r="270" spans="1:21" x14ac:dyDescent="0.25">
      <c r="A270" t="s">
        <v>996</v>
      </c>
      <c r="B270" t="s">
        <v>997</v>
      </c>
      <c r="C270" t="s">
        <v>997</v>
      </c>
      <c r="D270">
        <v>3276</v>
      </c>
      <c r="E270">
        <v>160</v>
      </c>
      <c r="F270" t="s">
        <v>1088</v>
      </c>
      <c r="G270" t="s">
        <v>1089</v>
      </c>
      <c r="H270" s="315" t="s">
        <v>16</v>
      </c>
      <c r="I270" s="315" t="s">
        <v>1090</v>
      </c>
      <c r="J270" s="315" t="str">
        <f t="shared" si="36"/>
        <v>F&amp;IToyota Care Income per vehicle retailed</v>
      </c>
      <c r="K270" s="315" t="str">
        <f t="shared" si="37"/>
        <v>160Toyota Care Sales - Toyota</v>
      </c>
      <c r="L270" s="311">
        <f>+SUMIF('TUNZ Extracted TB'!M:M,$P270,'TUNZ Extracted TB'!G:G)</f>
        <v>419.1</v>
      </c>
      <c r="M270" s="311"/>
      <c r="N270" s="311">
        <f>+SUMIF('Input Sheet'!$AE:$AE,P270,'Input Sheet'!$X:$X)</f>
        <v>0</v>
      </c>
      <c r="O270" s="311"/>
      <c r="P270" t="str">
        <f t="shared" si="38"/>
        <v>160-3276</v>
      </c>
      <c r="Q270" s="315" t="str">
        <f t="shared" si="39"/>
        <v>F&amp;I</v>
      </c>
      <c r="R270" s="315" t="str">
        <f t="shared" si="40"/>
        <v>F&amp;IToyota Care Income per vehicle retailed</v>
      </c>
      <c r="S270" s="199"/>
      <c r="T270" s="199"/>
      <c r="U270" s="199"/>
    </row>
    <row r="271" spans="1:21" x14ac:dyDescent="0.25">
      <c r="A271" t="s">
        <v>996</v>
      </c>
      <c r="B271" t="s">
        <v>997</v>
      </c>
      <c r="C271" t="s">
        <v>997</v>
      </c>
      <c r="D271">
        <v>3280</v>
      </c>
      <c r="E271">
        <v>162</v>
      </c>
      <c r="F271" t="s">
        <v>1091</v>
      </c>
      <c r="G271" t="s">
        <v>1092</v>
      </c>
      <c r="H271" s="315" t="s">
        <v>142</v>
      </c>
      <c r="I271" s="315" t="s">
        <v>1090</v>
      </c>
      <c r="J271" s="315" t="str">
        <f t="shared" si="36"/>
        <v>LEX F&amp;IToyota Care Income per vehicle retailed</v>
      </c>
      <c r="K271" s="315" t="str">
        <f t="shared" si="37"/>
        <v>162Toyota Care Sales - Lexus</v>
      </c>
      <c r="L271" s="311">
        <f>+SUMIF('TUNZ Extracted TB'!M:M,$P271,'TUNZ Extracted TB'!G:G)</f>
        <v>0</v>
      </c>
      <c r="M271" s="311"/>
      <c r="N271" s="311">
        <f>+SUMIF('Input Sheet'!$AE:$AE,P271,'Input Sheet'!$X:$X)</f>
        <v>0</v>
      </c>
      <c r="O271" s="311"/>
      <c r="P271" t="str">
        <f t="shared" si="38"/>
        <v>162-3280</v>
      </c>
      <c r="Q271" s="315" t="str">
        <f t="shared" si="39"/>
        <v>LEX F&amp;I</v>
      </c>
      <c r="R271" s="315" t="str">
        <f t="shared" si="40"/>
        <v>LEX F&amp;IToyota Care Income per vehicle retailed</v>
      </c>
      <c r="S271" s="199"/>
      <c r="T271" s="199"/>
      <c r="U271" s="199"/>
    </row>
    <row r="272" spans="1:21" x14ac:dyDescent="0.25">
      <c r="A272" t="s">
        <v>996</v>
      </c>
      <c r="B272" t="s">
        <v>997</v>
      </c>
      <c r="C272" t="s">
        <v>997</v>
      </c>
      <c r="D272">
        <v>3280</v>
      </c>
      <c r="E272">
        <v>160</v>
      </c>
      <c r="F272" t="s">
        <v>1088</v>
      </c>
      <c r="G272" t="s">
        <v>1089</v>
      </c>
      <c r="H272" s="315" t="s">
        <v>16</v>
      </c>
      <c r="I272" s="315" t="s">
        <v>1090</v>
      </c>
      <c r="J272" s="315" t="str">
        <f t="shared" si="36"/>
        <v>F&amp;IToyota Care Income per vehicle retailed</v>
      </c>
      <c r="K272" s="315" t="str">
        <f t="shared" si="37"/>
        <v>160Toyota Care Sales - Toyota</v>
      </c>
      <c r="L272" s="311">
        <f>+SUMIF('TUNZ Extracted TB'!M:M,$P272,'TUNZ Extracted TB'!G:G)</f>
        <v>0</v>
      </c>
      <c r="M272" s="311"/>
      <c r="N272" s="311">
        <f>+SUMIF('Input Sheet'!$AE:$AE,P272,'Input Sheet'!$X:$X)</f>
        <v>0</v>
      </c>
      <c r="O272" s="311"/>
      <c r="P272" t="str">
        <f t="shared" si="38"/>
        <v>160-3280</v>
      </c>
      <c r="Q272" s="315" t="str">
        <f t="shared" si="39"/>
        <v>F&amp;I</v>
      </c>
      <c r="R272" s="315" t="str">
        <f t="shared" si="40"/>
        <v>F&amp;IToyota Care Income per vehicle retailed</v>
      </c>
      <c r="S272" s="199"/>
      <c r="T272" s="199"/>
      <c r="U272" s="199"/>
    </row>
    <row r="273" spans="1:21" x14ac:dyDescent="0.25">
      <c r="A273" t="s">
        <v>996</v>
      </c>
      <c r="B273" t="s">
        <v>997</v>
      </c>
      <c r="C273" t="s">
        <v>1005</v>
      </c>
      <c r="D273">
        <v>3280</v>
      </c>
      <c r="E273">
        <v>260</v>
      </c>
      <c r="F273" t="s">
        <v>1088</v>
      </c>
      <c r="G273" t="s">
        <v>1089</v>
      </c>
      <c r="H273" s="315" t="s">
        <v>16</v>
      </c>
      <c r="I273" s="315" t="s">
        <v>1090</v>
      </c>
      <c r="J273" s="315" t="str">
        <f t="shared" si="36"/>
        <v>F&amp;IToyota Care Income per vehicle retailed</v>
      </c>
      <c r="K273" s="315" t="str">
        <f t="shared" si="37"/>
        <v>260Toyota Care Sales - Toyota</v>
      </c>
      <c r="L273" s="311">
        <f>+SUMIF('TUNZ Extracted TB'!M:M,$P273,'TUNZ Extracted TB'!G:G)</f>
        <v>0</v>
      </c>
      <c r="M273" s="311"/>
      <c r="N273" s="311">
        <f>+SUMIF('Input Sheet'!$AE:$AE,P273,'Input Sheet'!$X:$X)</f>
        <v>0</v>
      </c>
      <c r="O273" s="311"/>
      <c r="P273" t="str">
        <f t="shared" si="38"/>
        <v>260-3280</v>
      </c>
      <c r="Q273" s="315" t="str">
        <f t="shared" si="39"/>
        <v>F&amp;I</v>
      </c>
      <c r="R273" s="315" t="str">
        <f t="shared" si="40"/>
        <v>F&amp;IToyota Care Income per vehicle retailed</v>
      </c>
      <c r="S273" s="199"/>
      <c r="T273" s="199"/>
      <c r="U273" s="199"/>
    </row>
    <row r="274" spans="1:21" x14ac:dyDescent="0.25">
      <c r="A274" t="s">
        <v>996</v>
      </c>
      <c r="B274" t="s">
        <v>997</v>
      </c>
      <c r="C274" t="s">
        <v>1012</v>
      </c>
      <c r="D274">
        <v>3280</v>
      </c>
      <c r="E274">
        <v>460</v>
      </c>
      <c r="F274" t="s">
        <v>1088</v>
      </c>
      <c r="G274" t="s">
        <v>1089</v>
      </c>
      <c r="H274" s="315" t="s">
        <v>16</v>
      </c>
      <c r="I274" s="315" t="s">
        <v>1090</v>
      </c>
      <c r="J274" s="315" t="str">
        <f t="shared" si="36"/>
        <v>F&amp;IToyota Care Income per vehicle retailed</v>
      </c>
      <c r="K274" s="315" t="str">
        <f t="shared" si="37"/>
        <v>460Toyota Care Sales - Toyota</v>
      </c>
      <c r="L274" s="311">
        <f>+SUMIF('TUNZ Extracted TB'!M:M,$P274,'TUNZ Extracted TB'!G:G)</f>
        <v>0</v>
      </c>
      <c r="M274" s="311"/>
      <c r="N274" s="311">
        <f>+SUMIF('Input Sheet'!$AE:$AE,P274,'Input Sheet'!$X:$X)</f>
        <v>0</v>
      </c>
      <c r="O274" s="311"/>
      <c r="P274" t="str">
        <f t="shared" si="38"/>
        <v>460-3280</v>
      </c>
      <c r="Q274" s="315" t="str">
        <f t="shared" si="39"/>
        <v>F&amp;I</v>
      </c>
      <c r="R274" s="315" t="str">
        <f t="shared" si="40"/>
        <v>F&amp;IToyota Care Income per vehicle retailed</v>
      </c>
      <c r="S274" s="199"/>
      <c r="T274" s="199"/>
      <c r="U274" s="199"/>
    </row>
    <row r="275" spans="1:21" x14ac:dyDescent="0.25">
      <c r="A275" t="s">
        <v>996</v>
      </c>
      <c r="B275" t="s">
        <v>997</v>
      </c>
      <c r="C275" t="s">
        <v>1013</v>
      </c>
      <c r="D275">
        <v>3280</v>
      </c>
      <c r="E275">
        <v>360</v>
      </c>
      <c r="F275" t="s">
        <v>1088</v>
      </c>
      <c r="G275" t="s">
        <v>1089</v>
      </c>
      <c r="H275" s="315" t="s">
        <v>16</v>
      </c>
      <c r="I275" s="315" t="s">
        <v>1090</v>
      </c>
      <c r="J275" s="315" t="str">
        <f t="shared" si="36"/>
        <v>F&amp;IToyota Care Income per vehicle retailed</v>
      </c>
      <c r="K275" s="315" t="str">
        <f t="shared" si="37"/>
        <v>360Toyota Care Sales - Toyota</v>
      </c>
      <c r="L275" s="311">
        <f>+SUMIF('TUNZ Extracted TB'!M:M,$P275,'TUNZ Extracted TB'!G:G)</f>
        <v>0</v>
      </c>
      <c r="M275" s="311"/>
      <c r="N275" s="311">
        <f>+SUMIF('Input Sheet'!$AE:$AE,P275,'Input Sheet'!$X:$X)</f>
        <v>0</v>
      </c>
      <c r="O275" s="311"/>
      <c r="P275" t="str">
        <f t="shared" si="38"/>
        <v>360-3280</v>
      </c>
      <c r="Q275" s="315" t="str">
        <f t="shared" si="39"/>
        <v>F&amp;I</v>
      </c>
      <c r="R275" s="315" t="str">
        <f t="shared" si="40"/>
        <v>F&amp;IToyota Care Income per vehicle retailed</v>
      </c>
      <c r="S275" s="199"/>
      <c r="T275" s="199"/>
      <c r="U275" s="199"/>
    </row>
    <row r="276" spans="1:21" x14ac:dyDescent="0.25">
      <c r="A276" t="s">
        <v>996</v>
      </c>
      <c r="B276" t="s">
        <v>997</v>
      </c>
      <c r="C276" t="s">
        <v>997</v>
      </c>
      <c r="D276">
        <v>3280</v>
      </c>
      <c r="E276">
        <v>170</v>
      </c>
      <c r="F276" t="s">
        <v>1088</v>
      </c>
      <c r="G276" t="s">
        <v>1089</v>
      </c>
      <c r="H276" s="315" t="s">
        <v>16</v>
      </c>
      <c r="I276" s="315" t="s">
        <v>1090</v>
      </c>
      <c r="J276" s="315" t="str">
        <f t="shared" si="36"/>
        <v>F&amp;IToyota Care Income per vehicle retailed</v>
      </c>
      <c r="K276" s="315" t="str">
        <f t="shared" si="37"/>
        <v>170Toyota Care Sales - Toyota</v>
      </c>
      <c r="L276" s="311">
        <f>+SUMIF('TUNZ Extracted TB'!M:M,$P276,'TUNZ Extracted TB'!G:G)</f>
        <v>0</v>
      </c>
      <c r="M276" s="311"/>
      <c r="N276" s="311">
        <f>+SUMIF('Input Sheet'!$AE:$AE,P276,'Input Sheet'!$X:$X)</f>
        <v>0</v>
      </c>
      <c r="O276" s="311"/>
      <c r="P276" t="str">
        <f t="shared" si="38"/>
        <v>170-3280</v>
      </c>
      <c r="Q276" s="315" t="str">
        <f t="shared" si="39"/>
        <v>F&amp;I</v>
      </c>
      <c r="R276" s="315" t="str">
        <f t="shared" si="40"/>
        <v>F&amp;IToyota Care Income per vehicle retailed</v>
      </c>
      <c r="S276" s="199"/>
      <c r="T276" s="199"/>
      <c r="U276" s="199"/>
    </row>
    <row r="277" spans="1:21" x14ac:dyDescent="0.25">
      <c r="A277" t="s">
        <v>996</v>
      </c>
      <c r="B277" t="s">
        <v>997</v>
      </c>
      <c r="C277" t="s">
        <v>1005</v>
      </c>
      <c r="D277">
        <v>3281</v>
      </c>
      <c r="E277">
        <v>260</v>
      </c>
      <c r="F277" t="s">
        <v>1086</v>
      </c>
      <c r="G277" t="s">
        <v>1087</v>
      </c>
      <c r="H277" s="315" t="s">
        <v>16</v>
      </c>
      <c r="I277" s="315" t="s">
        <v>1083</v>
      </c>
      <c r="J277" s="315" t="str">
        <f t="shared" si="36"/>
        <v>F&amp;IInsurance Income per vehicle retailed</v>
      </c>
      <c r="K277" s="315" t="str">
        <f t="shared" si="37"/>
        <v>260Insurance income - New Toyota</v>
      </c>
      <c r="L277" s="311">
        <f>+SUMIF('TUNZ Extracted TB'!M:M,$P277,'TUNZ Extracted TB'!G:G)</f>
        <v>0</v>
      </c>
      <c r="M277" s="311"/>
      <c r="N277" s="311">
        <f>+SUMIF('Input Sheet'!$AE:$AE,P277,'Input Sheet'!$X:$X)</f>
        <v>0</v>
      </c>
      <c r="O277" s="311"/>
      <c r="P277" t="str">
        <f t="shared" si="38"/>
        <v>260-3281</v>
      </c>
      <c r="Q277" s="315" t="str">
        <f t="shared" si="39"/>
        <v>F&amp;I</v>
      </c>
      <c r="R277" s="315" t="str">
        <f t="shared" si="40"/>
        <v>F&amp;IInsurance Income per vehicle retailed</v>
      </c>
      <c r="S277" s="199"/>
      <c r="T277" s="199"/>
      <c r="U277" s="199"/>
    </row>
    <row r="278" spans="1:21" x14ac:dyDescent="0.25">
      <c r="A278" t="s">
        <v>996</v>
      </c>
      <c r="B278" t="s">
        <v>997</v>
      </c>
      <c r="C278" t="s">
        <v>1012</v>
      </c>
      <c r="D278">
        <v>3281</v>
      </c>
      <c r="E278">
        <v>460</v>
      </c>
      <c r="F278" t="s">
        <v>1086</v>
      </c>
      <c r="G278" t="s">
        <v>1087</v>
      </c>
      <c r="H278" s="315" t="s">
        <v>16</v>
      </c>
      <c r="I278" s="315" t="s">
        <v>1083</v>
      </c>
      <c r="J278" s="315" t="str">
        <f t="shared" si="36"/>
        <v>F&amp;IInsurance Income per vehicle retailed</v>
      </c>
      <c r="K278" s="315" t="str">
        <f t="shared" si="37"/>
        <v>460Insurance income - New Toyota</v>
      </c>
      <c r="L278" s="311">
        <f>+SUMIF('TUNZ Extracted TB'!M:M,$P278,'TUNZ Extracted TB'!G:G)</f>
        <v>0</v>
      </c>
      <c r="M278" s="311"/>
      <c r="N278" s="311">
        <f>+SUMIF('Input Sheet'!$AE:$AE,P278,'Input Sheet'!$X:$X)</f>
        <v>0</v>
      </c>
      <c r="O278" s="311"/>
      <c r="P278" t="str">
        <f t="shared" si="38"/>
        <v>460-3281</v>
      </c>
      <c r="Q278" s="315" t="str">
        <f t="shared" si="39"/>
        <v>F&amp;I</v>
      </c>
      <c r="R278" s="315" t="str">
        <f t="shared" si="40"/>
        <v>F&amp;IInsurance Income per vehicle retailed</v>
      </c>
      <c r="S278" s="199"/>
      <c r="T278" s="199"/>
      <c r="U278" s="199"/>
    </row>
    <row r="279" spans="1:21" x14ac:dyDescent="0.25">
      <c r="A279" t="s">
        <v>996</v>
      </c>
      <c r="B279" t="s">
        <v>997</v>
      </c>
      <c r="C279" t="s">
        <v>1013</v>
      </c>
      <c r="D279">
        <v>3281</v>
      </c>
      <c r="E279">
        <v>360</v>
      </c>
      <c r="F279" t="s">
        <v>1086</v>
      </c>
      <c r="G279" t="s">
        <v>1087</v>
      </c>
      <c r="H279" s="315" t="s">
        <v>16</v>
      </c>
      <c r="I279" s="315" t="s">
        <v>1083</v>
      </c>
      <c r="J279" s="315" t="str">
        <f t="shared" si="36"/>
        <v>F&amp;IInsurance Income per vehicle retailed</v>
      </c>
      <c r="K279" s="315" t="str">
        <f t="shared" si="37"/>
        <v>360Insurance income - New Toyota</v>
      </c>
      <c r="L279" s="311">
        <f>+SUMIF('TUNZ Extracted TB'!M:M,$P279,'TUNZ Extracted TB'!G:G)</f>
        <v>0</v>
      </c>
      <c r="M279" s="311"/>
      <c r="N279" s="311">
        <f>+SUMIF('Input Sheet'!$AE:$AE,P279,'Input Sheet'!$X:$X)</f>
        <v>0</v>
      </c>
      <c r="O279" s="311"/>
      <c r="P279" t="str">
        <f t="shared" si="38"/>
        <v>360-3281</v>
      </c>
      <c r="Q279" s="315" t="str">
        <f t="shared" si="39"/>
        <v>F&amp;I</v>
      </c>
      <c r="R279" s="315" t="str">
        <f t="shared" si="40"/>
        <v>F&amp;IInsurance Income per vehicle retailed</v>
      </c>
      <c r="S279" s="199"/>
      <c r="T279" s="199"/>
      <c r="U279" s="199"/>
    </row>
    <row r="280" spans="1:21" x14ac:dyDescent="0.25">
      <c r="A280" t="s">
        <v>996</v>
      </c>
      <c r="B280" t="s">
        <v>997</v>
      </c>
      <c r="C280" t="s">
        <v>997</v>
      </c>
      <c r="D280">
        <v>3281</v>
      </c>
      <c r="E280">
        <v>160</v>
      </c>
      <c r="F280" t="s">
        <v>1086</v>
      </c>
      <c r="G280" t="s">
        <v>1087</v>
      </c>
      <c r="H280" s="315" t="s">
        <v>16</v>
      </c>
      <c r="I280" s="315" t="s">
        <v>1083</v>
      </c>
      <c r="J280" s="315" t="str">
        <f t="shared" si="36"/>
        <v>F&amp;IInsurance Income per vehicle retailed</v>
      </c>
      <c r="K280" s="315" t="str">
        <f t="shared" si="37"/>
        <v>160Insurance income - New Toyota</v>
      </c>
      <c r="L280" s="311">
        <f>+SUMIF('TUNZ Extracted TB'!M:M,$P280,'TUNZ Extracted TB'!G:G)</f>
        <v>0</v>
      </c>
      <c r="M280" s="311"/>
      <c r="N280" s="311">
        <f>+SUMIF('Input Sheet'!$AE:$AE,P280,'Input Sheet'!$X:$X)</f>
        <v>0</v>
      </c>
      <c r="O280" s="311"/>
      <c r="P280" t="str">
        <f t="shared" si="38"/>
        <v>160-3281</v>
      </c>
      <c r="Q280" s="315" t="str">
        <f t="shared" si="39"/>
        <v>F&amp;I</v>
      </c>
      <c r="R280" s="315" t="str">
        <f t="shared" si="40"/>
        <v>F&amp;IInsurance Income per vehicle retailed</v>
      </c>
      <c r="S280" s="199"/>
      <c r="T280" s="199"/>
      <c r="U280" s="199"/>
    </row>
    <row r="281" spans="1:21" x14ac:dyDescent="0.25">
      <c r="A281" t="s">
        <v>996</v>
      </c>
      <c r="B281" t="s">
        <v>997</v>
      </c>
      <c r="C281" t="s">
        <v>997</v>
      </c>
      <c r="D281">
        <v>3281</v>
      </c>
      <c r="E281">
        <v>162</v>
      </c>
      <c r="F281" t="s">
        <v>1091</v>
      </c>
      <c r="G281" t="s">
        <v>1092</v>
      </c>
      <c r="H281" s="315" t="s">
        <v>142</v>
      </c>
      <c r="I281" s="315" t="s">
        <v>1047</v>
      </c>
      <c r="J281" s="315" t="str">
        <f t="shared" si="36"/>
        <v>LEX F&amp;IPaint &amp; Fab income per vehicle retailed</v>
      </c>
      <c r="K281" s="315" t="str">
        <f t="shared" si="37"/>
        <v>162Toyota Care Sales - Lexus</v>
      </c>
      <c r="L281" s="311">
        <f>+SUMIF('TUNZ Extracted TB'!M:M,$P281,'TUNZ Extracted TB'!G:G)</f>
        <v>0</v>
      </c>
      <c r="M281" s="311"/>
      <c r="N281" s="311">
        <f>+SUMIF('Input Sheet'!$AE:$AE,P281,'Input Sheet'!$X:$X)</f>
        <v>0</v>
      </c>
      <c r="O281" s="311"/>
      <c r="P281" t="str">
        <f t="shared" si="38"/>
        <v>162-3281</v>
      </c>
      <c r="Q281" s="315" t="str">
        <f t="shared" si="39"/>
        <v>LEX F&amp;I</v>
      </c>
      <c r="R281" s="315" t="str">
        <f t="shared" si="40"/>
        <v>LEX F&amp;IPaint &amp; Fab income per vehicle retailed</v>
      </c>
      <c r="S281" s="199"/>
      <c r="T281" s="199"/>
      <c r="U281" s="199"/>
    </row>
    <row r="282" spans="1:21" x14ac:dyDescent="0.25">
      <c r="A282" t="s">
        <v>996</v>
      </c>
      <c r="B282" t="s">
        <v>997</v>
      </c>
      <c r="C282" t="s">
        <v>1012</v>
      </c>
      <c r="D282">
        <v>3290</v>
      </c>
      <c r="E282">
        <v>460</v>
      </c>
      <c r="F282" t="s">
        <v>1045</v>
      </c>
      <c r="G282" t="s">
        <v>1046</v>
      </c>
      <c r="H282" s="315" t="s">
        <v>16</v>
      </c>
      <c r="I282" s="315" t="s">
        <v>1047</v>
      </c>
      <c r="J282" s="315" t="str">
        <f t="shared" si="36"/>
        <v>F&amp;IPaint &amp; Fab income per vehicle retailed</v>
      </c>
      <c r="K282" s="315" t="str">
        <f t="shared" si="37"/>
        <v>460Paint &amp; Fab Sales - Toyota</v>
      </c>
      <c r="L282" s="311">
        <f>+SUMIF('TUNZ Extracted TB'!M:M,$P282,'TUNZ Extracted TB'!G:G)</f>
        <v>0</v>
      </c>
      <c r="M282" s="311"/>
      <c r="N282" s="311">
        <f>+SUMIF('Input Sheet'!$AE:$AE,P282,'Input Sheet'!$X:$X)</f>
        <v>0</v>
      </c>
      <c r="O282" s="311"/>
      <c r="P282" t="str">
        <f t="shared" si="38"/>
        <v>460-3290</v>
      </c>
      <c r="Q282" s="315" t="str">
        <f t="shared" si="39"/>
        <v>F&amp;I</v>
      </c>
      <c r="R282" s="315" t="str">
        <f t="shared" si="40"/>
        <v>F&amp;IPaint &amp; Fab income per vehicle retailed</v>
      </c>
      <c r="S282" s="199"/>
      <c r="T282" s="199"/>
      <c r="U282" s="199"/>
    </row>
    <row r="283" spans="1:21" x14ac:dyDescent="0.25">
      <c r="A283" t="s">
        <v>996</v>
      </c>
      <c r="B283" t="s">
        <v>997</v>
      </c>
      <c r="C283" t="s">
        <v>1013</v>
      </c>
      <c r="D283">
        <v>3290</v>
      </c>
      <c r="E283">
        <v>360</v>
      </c>
      <c r="F283" t="s">
        <v>1045</v>
      </c>
      <c r="G283" t="s">
        <v>1046</v>
      </c>
      <c r="H283" s="315" t="s">
        <v>16</v>
      </c>
      <c r="I283" s="315" t="s">
        <v>1047</v>
      </c>
      <c r="J283" s="315" t="str">
        <f t="shared" si="36"/>
        <v>F&amp;IPaint &amp; Fab income per vehicle retailed</v>
      </c>
      <c r="K283" s="315" t="str">
        <f t="shared" si="37"/>
        <v>360Paint &amp; Fab Sales - Toyota</v>
      </c>
      <c r="L283" s="311">
        <f>+SUMIF('TUNZ Extracted TB'!M:M,$P283,'TUNZ Extracted TB'!G:G)</f>
        <v>0</v>
      </c>
      <c r="M283" s="311"/>
      <c r="N283" s="311">
        <f>+SUMIF('Input Sheet'!$AE:$AE,P283,'Input Sheet'!$X:$X)</f>
        <v>0</v>
      </c>
      <c r="O283" s="311"/>
      <c r="P283" t="str">
        <f t="shared" si="38"/>
        <v>360-3290</v>
      </c>
      <c r="Q283" s="315" t="str">
        <f t="shared" si="39"/>
        <v>F&amp;I</v>
      </c>
      <c r="R283" s="315" t="str">
        <f t="shared" si="40"/>
        <v>F&amp;IPaint &amp; Fab income per vehicle retailed</v>
      </c>
      <c r="S283" s="199"/>
      <c r="T283" s="199"/>
      <c r="U283" s="199"/>
    </row>
    <row r="284" spans="1:21" x14ac:dyDescent="0.25">
      <c r="A284" t="s">
        <v>996</v>
      </c>
      <c r="B284" t="s">
        <v>997</v>
      </c>
      <c r="C284" t="s">
        <v>997</v>
      </c>
      <c r="D284">
        <v>3290</v>
      </c>
      <c r="E284">
        <v>170</v>
      </c>
      <c r="F284" t="s">
        <v>1045</v>
      </c>
      <c r="G284" t="s">
        <v>1046</v>
      </c>
      <c r="H284" s="315" t="s">
        <v>16</v>
      </c>
      <c r="I284" s="315" t="s">
        <v>1047</v>
      </c>
      <c r="J284" s="315" t="str">
        <f t="shared" si="36"/>
        <v>F&amp;IPaint &amp; Fab income per vehicle retailed</v>
      </c>
      <c r="K284" s="315" t="str">
        <f t="shared" si="37"/>
        <v>170Paint &amp; Fab Sales - Toyota</v>
      </c>
      <c r="L284" s="311">
        <f>+SUMIF('TUNZ Extracted TB'!M:M,$P284,'TUNZ Extracted TB'!G:G)</f>
        <v>0</v>
      </c>
      <c r="M284" s="311"/>
      <c r="N284" s="311">
        <f>+SUMIF('Input Sheet'!$AE:$AE,P284,'Input Sheet'!$X:$X)</f>
        <v>0</v>
      </c>
      <c r="O284" s="311"/>
      <c r="P284" t="str">
        <f t="shared" si="38"/>
        <v>170-3290</v>
      </c>
      <c r="Q284" s="315" t="str">
        <f t="shared" si="39"/>
        <v>F&amp;I</v>
      </c>
      <c r="R284" s="315" t="str">
        <f t="shared" si="40"/>
        <v>F&amp;IPaint &amp; Fab income per vehicle retailed</v>
      </c>
      <c r="S284" s="199"/>
      <c r="T284" s="199"/>
      <c r="U284" s="199"/>
    </row>
    <row r="285" spans="1:21" x14ac:dyDescent="0.25">
      <c r="A285" t="s">
        <v>996</v>
      </c>
      <c r="B285" t="s">
        <v>997</v>
      </c>
      <c r="C285" t="s">
        <v>1005</v>
      </c>
      <c r="D285">
        <v>3290</v>
      </c>
      <c r="E285">
        <v>260</v>
      </c>
      <c r="F285" t="s">
        <v>1045</v>
      </c>
      <c r="G285" t="s">
        <v>1046</v>
      </c>
      <c r="H285" s="315" t="s">
        <v>16</v>
      </c>
      <c r="I285" s="315" t="s">
        <v>1047</v>
      </c>
      <c r="J285" s="315" t="str">
        <f t="shared" si="36"/>
        <v>F&amp;IPaint &amp; Fab income per vehicle retailed</v>
      </c>
      <c r="K285" s="315" t="str">
        <f t="shared" si="37"/>
        <v>260Paint &amp; Fab Sales - Toyota</v>
      </c>
      <c r="L285" s="311">
        <f>+SUMIF('TUNZ Extracted TB'!M:M,$P285,'TUNZ Extracted TB'!G:G)</f>
        <v>-679.13</v>
      </c>
      <c r="M285" s="311"/>
      <c r="N285" s="311">
        <f>+SUMIF('Input Sheet'!$AE:$AE,P285,'Input Sheet'!$X:$X)</f>
        <v>0</v>
      </c>
      <c r="O285" s="311"/>
      <c r="P285" t="str">
        <f t="shared" si="38"/>
        <v>260-3290</v>
      </c>
      <c r="Q285" s="315" t="str">
        <f t="shared" si="39"/>
        <v>F&amp;I</v>
      </c>
      <c r="R285" s="315" t="str">
        <f t="shared" si="40"/>
        <v>F&amp;IPaint &amp; Fab income per vehicle retailed</v>
      </c>
      <c r="S285" s="199"/>
      <c r="T285" s="199"/>
      <c r="U285" s="199"/>
    </row>
    <row r="286" spans="1:21" x14ac:dyDescent="0.25">
      <c r="A286" t="s">
        <v>996</v>
      </c>
      <c r="B286" t="s">
        <v>997</v>
      </c>
      <c r="C286" t="s">
        <v>997</v>
      </c>
      <c r="D286">
        <v>3290</v>
      </c>
      <c r="E286">
        <v>162</v>
      </c>
      <c r="F286" t="s">
        <v>1048</v>
      </c>
      <c r="G286" t="s">
        <v>1049</v>
      </c>
      <c r="H286" s="315" t="s">
        <v>142</v>
      </c>
      <c r="I286" s="315" t="s">
        <v>1047</v>
      </c>
      <c r="J286" s="315" t="str">
        <f t="shared" si="36"/>
        <v>LEX F&amp;IPaint &amp; Fab income per vehicle retailed</v>
      </c>
      <c r="K286" s="315" t="str">
        <f t="shared" si="37"/>
        <v>162Paint &amp; Fab Sales - Lexus</v>
      </c>
      <c r="L286" s="311">
        <f>+SUMIF('TUNZ Extracted TB'!M:M,$P286,'TUNZ Extracted TB'!G:G)</f>
        <v>-769.57</v>
      </c>
      <c r="M286" s="311"/>
      <c r="N286" s="311">
        <f>+SUMIF('Input Sheet'!$AE:$AE,P286,'Input Sheet'!$X:$X)</f>
        <v>0</v>
      </c>
      <c r="O286" s="311"/>
      <c r="P286" t="str">
        <f t="shared" si="38"/>
        <v>162-3290</v>
      </c>
      <c r="Q286" s="315" t="str">
        <f t="shared" si="39"/>
        <v>LEX F&amp;I</v>
      </c>
      <c r="R286" s="315" t="str">
        <f t="shared" si="40"/>
        <v>LEX F&amp;IPaint &amp; Fab income per vehicle retailed</v>
      </c>
      <c r="S286" s="199"/>
      <c r="T286" s="199"/>
      <c r="U286" s="199"/>
    </row>
    <row r="287" spans="1:21" x14ac:dyDescent="0.25">
      <c r="A287" t="s">
        <v>996</v>
      </c>
      <c r="B287" t="s">
        <v>997</v>
      </c>
      <c r="C287" t="s">
        <v>997</v>
      </c>
      <c r="D287">
        <v>3290</v>
      </c>
      <c r="E287">
        <v>160</v>
      </c>
      <c r="F287" t="s">
        <v>1045</v>
      </c>
      <c r="G287" t="s">
        <v>1046</v>
      </c>
      <c r="H287" s="315" t="s">
        <v>16</v>
      </c>
      <c r="I287" s="315" t="s">
        <v>1047</v>
      </c>
      <c r="J287" s="315" t="str">
        <f t="shared" si="36"/>
        <v>F&amp;IPaint &amp; Fab income per vehicle retailed</v>
      </c>
      <c r="K287" s="315" t="str">
        <f t="shared" si="37"/>
        <v>160Paint &amp; Fab Sales - Toyota</v>
      </c>
      <c r="L287" s="311">
        <f>+SUMIF('TUNZ Extracted TB'!M:M,$P287,'TUNZ Extracted TB'!G:G)</f>
        <v>-4435.92</v>
      </c>
      <c r="M287" s="311"/>
      <c r="N287" s="311">
        <f>+SUMIF('Input Sheet'!$AE:$AE,P287,'Input Sheet'!$X:$X)</f>
        <v>0</v>
      </c>
      <c r="O287" s="311"/>
      <c r="P287" t="str">
        <f t="shared" si="38"/>
        <v>160-3290</v>
      </c>
      <c r="Q287" s="315" t="str">
        <f t="shared" si="39"/>
        <v>F&amp;I</v>
      </c>
      <c r="R287" s="315" t="str">
        <f t="shared" si="40"/>
        <v>F&amp;IPaint &amp; Fab income per vehicle retailed</v>
      </c>
      <c r="S287" s="199"/>
      <c r="T287" s="199"/>
      <c r="U287" s="199"/>
    </row>
    <row r="288" spans="1:21" x14ac:dyDescent="0.25">
      <c r="A288" t="s">
        <v>996</v>
      </c>
      <c r="B288" t="s">
        <v>997</v>
      </c>
      <c r="C288" t="s">
        <v>997</v>
      </c>
      <c r="D288">
        <v>3291</v>
      </c>
      <c r="E288">
        <v>162</v>
      </c>
      <c r="F288" t="s">
        <v>1048</v>
      </c>
      <c r="G288" t="s">
        <v>1049</v>
      </c>
      <c r="H288" s="315" t="s">
        <v>142</v>
      </c>
      <c r="I288" s="315" t="s">
        <v>1047</v>
      </c>
      <c r="J288" s="315" t="str">
        <f t="shared" si="36"/>
        <v>LEX F&amp;IPaint &amp; Fab income per vehicle retailed</v>
      </c>
      <c r="K288" s="315" t="str">
        <f t="shared" si="37"/>
        <v>162Paint &amp; Fab Sales - Lexus</v>
      </c>
      <c r="L288" s="311">
        <f>+SUMIF('TUNZ Extracted TB'!M:M,$P288,'TUNZ Extracted TB'!G:G)</f>
        <v>0</v>
      </c>
      <c r="M288" s="311"/>
      <c r="N288" s="311">
        <f>+SUMIF('Input Sheet'!$AE:$AE,P288,'Input Sheet'!$X:$X)</f>
        <v>0</v>
      </c>
      <c r="O288" s="311"/>
      <c r="P288" t="str">
        <f t="shared" si="38"/>
        <v>162-3291</v>
      </c>
      <c r="Q288" s="315" t="str">
        <f t="shared" si="39"/>
        <v>LEX F&amp;I</v>
      </c>
      <c r="R288" s="315" t="str">
        <f t="shared" si="40"/>
        <v>LEX F&amp;IPaint &amp; Fab income per vehicle retailed</v>
      </c>
      <c r="S288" s="199"/>
      <c r="T288" s="199"/>
      <c r="U288" s="199"/>
    </row>
    <row r="289" spans="1:21" x14ac:dyDescent="0.25">
      <c r="A289" t="s">
        <v>996</v>
      </c>
      <c r="B289" t="s">
        <v>997</v>
      </c>
      <c r="C289" t="s">
        <v>1005</v>
      </c>
      <c r="D289">
        <v>3291</v>
      </c>
      <c r="E289">
        <v>260</v>
      </c>
      <c r="F289" t="s">
        <v>1045</v>
      </c>
      <c r="G289" t="s">
        <v>1046</v>
      </c>
      <c r="H289" s="315" t="s">
        <v>16</v>
      </c>
      <c r="I289" s="315" t="s">
        <v>1047</v>
      </c>
      <c r="J289" s="315" t="str">
        <f t="shared" si="36"/>
        <v>F&amp;IPaint &amp; Fab income per vehicle retailed</v>
      </c>
      <c r="K289" s="315" t="str">
        <f t="shared" si="37"/>
        <v>260Paint &amp; Fab Sales - Toyota</v>
      </c>
      <c r="L289" s="311">
        <f>+SUMIF('TUNZ Extracted TB'!M:M,$P289,'TUNZ Extracted TB'!G:G)</f>
        <v>0</v>
      </c>
      <c r="M289" s="311"/>
      <c r="N289" s="311">
        <f>+SUMIF('Input Sheet'!$AE:$AE,P289,'Input Sheet'!$X:$X)</f>
        <v>0</v>
      </c>
      <c r="O289" s="311"/>
      <c r="P289" t="str">
        <f t="shared" si="38"/>
        <v>260-3291</v>
      </c>
      <c r="Q289" s="315" t="str">
        <f t="shared" si="39"/>
        <v>F&amp;I</v>
      </c>
      <c r="R289" s="315" t="str">
        <f t="shared" si="40"/>
        <v>F&amp;IPaint &amp; Fab income per vehicle retailed</v>
      </c>
      <c r="S289" s="199"/>
      <c r="T289" s="199"/>
      <c r="U289" s="199"/>
    </row>
    <row r="290" spans="1:21" x14ac:dyDescent="0.25">
      <c r="A290" t="s">
        <v>996</v>
      </c>
      <c r="B290" t="s">
        <v>997</v>
      </c>
      <c r="C290" t="s">
        <v>1012</v>
      </c>
      <c r="D290">
        <v>3291</v>
      </c>
      <c r="E290">
        <v>460</v>
      </c>
      <c r="F290" t="s">
        <v>1045</v>
      </c>
      <c r="G290" t="s">
        <v>1046</v>
      </c>
      <c r="H290" s="315" t="s">
        <v>16</v>
      </c>
      <c r="I290" s="315" t="s">
        <v>1047</v>
      </c>
      <c r="J290" s="315" t="str">
        <f t="shared" si="36"/>
        <v>F&amp;IPaint &amp; Fab income per vehicle retailed</v>
      </c>
      <c r="K290" s="315" t="str">
        <f t="shared" si="37"/>
        <v>460Paint &amp; Fab Sales - Toyota</v>
      </c>
      <c r="L290" s="311">
        <f>+SUMIF('TUNZ Extracted TB'!M:M,$P290,'TUNZ Extracted TB'!G:G)</f>
        <v>0</v>
      </c>
      <c r="M290" s="311"/>
      <c r="N290" s="311">
        <f>+SUMIF('Input Sheet'!$AE:$AE,P290,'Input Sheet'!$X:$X)</f>
        <v>0</v>
      </c>
      <c r="O290" s="311"/>
      <c r="P290" t="str">
        <f t="shared" si="38"/>
        <v>460-3291</v>
      </c>
      <c r="Q290" s="315" t="str">
        <f t="shared" si="39"/>
        <v>F&amp;I</v>
      </c>
      <c r="R290" s="315" t="str">
        <f t="shared" si="40"/>
        <v>F&amp;IPaint &amp; Fab income per vehicle retailed</v>
      </c>
      <c r="S290" s="199"/>
      <c r="T290" s="199"/>
      <c r="U290" s="199"/>
    </row>
    <row r="291" spans="1:21" x14ac:dyDescent="0.25">
      <c r="A291" t="s">
        <v>996</v>
      </c>
      <c r="B291" t="s">
        <v>997</v>
      </c>
      <c r="C291" t="s">
        <v>1013</v>
      </c>
      <c r="D291">
        <v>3291</v>
      </c>
      <c r="E291">
        <v>360</v>
      </c>
      <c r="F291" t="s">
        <v>1045</v>
      </c>
      <c r="G291" t="s">
        <v>1046</v>
      </c>
      <c r="H291" s="315" t="s">
        <v>16</v>
      </c>
      <c r="I291" s="315" t="s">
        <v>1047</v>
      </c>
      <c r="J291" s="315" t="str">
        <f t="shared" si="36"/>
        <v>F&amp;IPaint &amp; Fab income per vehicle retailed</v>
      </c>
      <c r="K291" s="315" t="str">
        <f t="shared" si="37"/>
        <v>360Paint &amp; Fab Sales - Toyota</v>
      </c>
      <c r="L291" s="311">
        <f>+SUMIF('TUNZ Extracted TB'!M:M,$P291,'TUNZ Extracted TB'!G:G)</f>
        <v>0</v>
      </c>
      <c r="M291" s="311"/>
      <c r="N291" s="311">
        <f>+SUMIF('Input Sheet'!$AE:$AE,P291,'Input Sheet'!$X:$X)</f>
        <v>0</v>
      </c>
      <c r="O291" s="311"/>
      <c r="P291" t="str">
        <f t="shared" si="38"/>
        <v>360-3291</v>
      </c>
      <c r="Q291" s="315" t="str">
        <f t="shared" si="39"/>
        <v>F&amp;I</v>
      </c>
      <c r="R291" s="315" t="str">
        <f t="shared" si="40"/>
        <v>F&amp;IPaint &amp; Fab income per vehicle retailed</v>
      </c>
      <c r="S291" s="199"/>
      <c r="T291" s="199"/>
      <c r="U291" s="199"/>
    </row>
    <row r="292" spans="1:21" x14ac:dyDescent="0.25">
      <c r="A292" t="s">
        <v>996</v>
      </c>
      <c r="B292" t="s">
        <v>997</v>
      </c>
      <c r="C292" t="s">
        <v>997</v>
      </c>
      <c r="D292">
        <v>3291</v>
      </c>
      <c r="E292">
        <v>160</v>
      </c>
      <c r="F292" t="s">
        <v>1045</v>
      </c>
      <c r="G292" t="s">
        <v>1046</v>
      </c>
      <c r="H292" s="315" t="s">
        <v>16</v>
      </c>
      <c r="I292" s="315" t="s">
        <v>1047</v>
      </c>
      <c r="J292" s="315" t="str">
        <f t="shared" si="36"/>
        <v>F&amp;IPaint &amp; Fab income per vehicle retailed</v>
      </c>
      <c r="K292" s="315" t="str">
        <f t="shared" si="37"/>
        <v>160Paint &amp; Fab Sales - Toyota</v>
      </c>
      <c r="L292" s="311">
        <f>+SUMIF('TUNZ Extracted TB'!M:M,$P292,'TUNZ Extracted TB'!G:G)</f>
        <v>-7617.53</v>
      </c>
      <c r="M292" s="311"/>
      <c r="N292" s="311">
        <f>+SUMIF('Input Sheet'!$AE:$AE,P292,'Input Sheet'!$X:$X)</f>
        <v>0</v>
      </c>
      <c r="O292" s="311"/>
      <c r="P292" t="str">
        <f t="shared" si="38"/>
        <v>160-3291</v>
      </c>
      <c r="Q292" s="315" t="str">
        <f t="shared" si="39"/>
        <v>F&amp;I</v>
      </c>
      <c r="R292" s="315" t="str">
        <f t="shared" si="40"/>
        <v>F&amp;IPaint &amp; Fab income per vehicle retailed</v>
      </c>
      <c r="S292" s="199"/>
      <c r="T292" s="199"/>
      <c r="U292" s="199"/>
    </row>
    <row r="293" spans="1:21" x14ac:dyDescent="0.25">
      <c r="A293" t="s">
        <v>996</v>
      </c>
      <c r="B293" t="s">
        <v>997</v>
      </c>
      <c r="C293" t="s">
        <v>997</v>
      </c>
      <c r="D293">
        <v>3295</v>
      </c>
      <c r="E293">
        <v>162</v>
      </c>
      <c r="F293" t="s">
        <v>1077</v>
      </c>
      <c r="G293" t="s">
        <v>1078</v>
      </c>
      <c r="H293" s="315" t="s">
        <v>142</v>
      </c>
      <c r="I293" s="315" t="s">
        <v>1076</v>
      </c>
      <c r="J293" s="315" t="str">
        <f t="shared" si="36"/>
        <v>LEX F&amp;IFinance Income per vehicle retailed</v>
      </c>
      <c r="K293" s="315" t="str">
        <f t="shared" si="37"/>
        <v>162Finance income - Used Lexus</v>
      </c>
      <c r="L293" s="311">
        <f>+SUMIF('TUNZ Extracted TB'!M:M,$P293,'TUNZ Extracted TB'!G:G)</f>
        <v>0</v>
      </c>
      <c r="M293" s="311"/>
      <c r="N293" s="311">
        <f>+SUMIF('Input Sheet'!$AE:$AE,P293,'Input Sheet'!$X:$X)</f>
        <v>0</v>
      </c>
      <c r="O293" s="311"/>
      <c r="P293" t="str">
        <f t="shared" si="38"/>
        <v>162-3295</v>
      </c>
      <c r="Q293" s="315" t="str">
        <f t="shared" si="39"/>
        <v>LEX F&amp;I</v>
      </c>
      <c r="R293" s="315" t="str">
        <f t="shared" si="40"/>
        <v>LEX F&amp;IFinance Income per vehicle retailed</v>
      </c>
      <c r="S293" s="199"/>
      <c r="T293" s="199"/>
      <c r="U293" s="199"/>
    </row>
    <row r="294" spans="1:21" x14ac:dyDescent="0.25">
      <c r="A294" t="s">
        <v>996</v>
      </c>
      <c r="B294" t="s">
        <v>997</v>
      </c>
      <c r="C294" t="s">
        <v>1012</v>
      </c>
      <c r="D294">
        <v>3295</v>
      </c>
      <c r="E294">
        <v>460</v>
      </c>
      <c r="F294" t="s">
        <v>1074</v>
      </c>
      <c r="G294" t="s">
        <v>1075</v>
      </c>
      <c r="H294" s="315" t="s">
        <v>16</v>
      </c>
      <c r="I294" s="315" t="s">
        <v>1076</v>
      </c>
      <c r="J294" s="315" t="str">
        <f t="shared" si="36"/>
        <v>F&amp;IFinance Income per vehicle retailed</v>
      </c>
      <c r="K294" s="315" t="str">
        <f t="shared" si="37"/>
        <v>460Finance income - Used Toyota</v>
      </c>
      <c r="L294" s="311">
        <f>+SUMIF('TUNZ Extracted TB'!M:M,$P294,'TUNZ Extracted TB'!G:G)</f>
        <v>0</v>
      </c>
      <c r="M294" s="311"/>
      <c r="N294" s="311">
        <f>+SUMIF('Input Sheet'!$AE:$AE,P294,'Input Sheet'!$X:$X)</f>
        <v>0</v>
      </c>
      <c r="O294" s="311"/>
      <c r="P294" t="str">
        <f t="shared" si="38"/>
        <v>460-3295</v>
      </c>
      <c r="Q294" s="315" t="str">
        <f t="shared" si="39"/>
        <v>F&amp;I</v>
      </c>
      <c r="R294" s="315" t="str">
        <f t="shared" si="40"/>
        <v>F&amp;IFinance Income per vehicle retailed</v>
      </c>
      <c r="S294" s="199"/>
      <c r="T294" s="199"/>
      <c r="U294" s="199"/>
    </row>
    <row r="295" spans="1:21" x14ac:dyDescent="0.25">
      <c r="A295" t="s">
        <v>996</v>
      </c>
      <c r="B295" t="s">
        <v>997</v>
      </c>
      <c r="C295" t="s">
        <v>1013</v>
      </c>
      <c r="D295">
        <v>3295</v>
      </c>
      <c r="E295">
        <v>360</v>
      </c>
      <c r="F295" t="s">
        <v>1074</v>
      </c>
      <c r="G295" t="s">
        <v>1075</v>
      </c>
      <c r="H295" s="315" t="s">
        <v>16</v>
      </c>
      <c r="I295" s="315" t="s">
        <v>1076</v>
      </c>
      <c r="J295" s="315" t="str">
        <f t="shared" si="36"/>
        <v>F&amp;IFinance Income per vehicle retailed</v>
      </c>
      <c r="K295" s="315" t="str">
        <f t="shared" si="37"/>
        <v>360Finance income - Used Toyota</v>
      </c>
      <c r="L295" s="311">
        <f>+SUMIF('TUNZ Extracted TB'!M:M,$P295,'TUNZ Extracted TB'!G:G)</f>
        <v>0</v>
      </c>
      <c r="M295" s="311"/>
      <c r="N295" s="311">
        <f>+SUMIF('Input Sheet'!$AE:$AE,P295,'Input Sheet'!$X:$X)</f>
        <v>0</v>
      </c>
      <c r="O295" s="311"/>
      <c r="P295" t="str">
        <f t="shared" si="38"/>
        <v>360-3295</v>
      </c>
      <c r="Q295" s="315" t="str">
        <f t="shared" si="39"/>
        <v>F&amp;I</v>
      </c>
      <c r="R295" s="315" t="str">
        <f t="shared" si="40"/>
        <v>F&amp;IFinance Income per vehicle retailed</v>
      </c>
      <c r="S295" s="199"/>
      <c r="T295" s="199"/>
      <c r="U295" s="199"/>
    </row>
    <row r="296" spans="1:21" x14ac:dyDescent="0.25">
      <c r="A296" t="s">
        <v>996</v>
      </c>
      <c r="B296" t="s">
        <v>997</v>
      </c>
      <c r="C296" t="s">
        <v>997</v>
      </c>
      <c r="D296">
        <v>3295</v>
      </c>
      <c r="E296">
        <v>160</v>
      </c>
      <c r="F296" t="s">
        <v>1074</v>
      </c>
      <c r="G296" t="s">
        <v>1075</v>
      </c>
      <c r="H296" s="315" t="s">
        <v>16</v>
      </c>
      <c r="I296" s="315" t="s">
        <v>1076</v>
      </c>
      <c r="J296" s="315" t="str">
        <f t="shared" si="36"/>
        <v>F&amp;IFinance Income per vehicle retailed</v>
      </c>
      <c r="K296" s="315" t="str">
        <f t="shared" si="37"/>
        <v>160Finance income - Used Toyota</v>
      </c>
      <c r="L296" s="311">
        <f>+SUMIF('TUNZ Extracted TB'!M:M,$P296,'TUNZ Extracted TB'!G:G)</f>
        <v>0</v>
      </c>
      <c r="M296" s="311"/>
      <c r="N296" s="311">
        <f>+SUMIF('Input Sheet'!$AE:$AE,P296,'Input Sheet'!$X:$X)</f>
        <v>0</v>
      </c>
      <c r="O296" s="311"/>
      <c r="P296" t="str">
        <f t="shared" si="38"/>
        <v>160-3295</v>
      </c>
      <c r="Q296" s="315" t="str">
        <f t="shared" si="39"/>
        <v>F&amp;I</v>
      </c>
      <c r="R296" s="315" t="str">
        <f t="shared" si="40"/>
        <v>F&amp;IFinance Income per vehicle retailed</v>
      </c>
      <c r="S296" s="199"/>
      <c r="T296" s="199"/>
      <c r="U296" s="199"/>
    </row>
    <row r="297" spans="1:21" x14ac:dyDescent="0.25">
      <c r="A297" t="s">
        <v>996</v>
      </c>
      <c r="B297" t="s">
        <v>997</v>
      </c>
      <c r="C297" t="s">
        <v>1005</v>
      </c>
      <c r="D297">
        <v>3295</v>
      </c>
      <c r="E297">
        <v>260</v>
      </c>
      <c r="F297" t="s">
        <v>1074</v>
      </c>
      <c r="G297" t="s">
        <v>1075</v>
      </c>
      <c r="H297" s="315" t="s">
        <v>16</v>
      </c>
      <c r="I297" s="315" t="s">
        <v>1076</v>
      </c>
      <c r="J297" s="315" t="str">
        <f t="shared" si="36"/>
        <v>F&amp;IFinance Income per vehicle retailed</v>
      </c>
      <c r="K297" s="315" t="str">
        <f t="shared" si="37"/>
        <v>260Finance income - Used Toyota</v>
      </c>
      <c r="L297" s="311">
        <f>+SUMIF('TUNZ Extracted TB'!M:M,$P297,'TUNZ Extracted TB'!G:G)</f>
        <v>-2783.69</v>
      </c>
      <c r="M297" s="311"/>
      <c r="N297" s="311">
        <f>+SUMIF('Input Sheet'!$AE:$AE,P297,'Input Sheet'!$X:$X)</f>
        <v>0</v>
      </c>
      <c r="O297" s="311"/>
      <c r="P297" t="str">
        <f t="shared" si="38"/>
        <v>260-3295</v>
      </c>
      <c r="Q297" s="315" t="str">
        <f t="shared" si="39"/>
        <v>F&amp;I</v>
      </c>
      <c r="R297" s="315" t="str">
        <f t="shared" si="40"/>
        <v>F&amp;IFinance Income per vehicle retailed</v>
      </c>
      <c r="S297" s="199"/>
      <c r="T297" s="199"/>
      <c r="U297" s="199"/>
    </row>
    <row r="298" spans="1:21" x14ac:dyDescent="0.25">
      <c r="A298" t="s">
        <v>996</v>
      </c>
      <c r="B298" t="s">
        <v>997</v>
      </c>
      <c r="C298" t="s">
        <v>997</v>
      </c>
      <c r="D298">
        <v>3296</v>
      </c>
      <c r="E298">
        <v>162</v>
      </c>
      <c r="F298" t="s">
        <v>1077</v>
      </c>
      <c r="G298" t="s">
        <v>1078</v>
      </c>
      <c r="H298" s="315" t="s">
        <v>142</v>
      </c>
      <c r="I298" s="315" t="s">
        <v>1076</v>
      </c>
      <c r="J298" s="315" t="str">
        <f t="shared" si="36"/>
        <v>LEX F&amp;IFinance Income per vehicle retailed</v>
      </c>
      <c r="K298" s="315" t="str">
        <f t="shared" si="37"/>
        <v>162Finance income - Used Lexus</v>
      </c>
      <c r="L298" s="311">
        <f>+SUMIF('TUNZ Extracted TB'!M:M,$P298,'TUNZ Extracted TB'!G:G)</f>
        <v>0</v>
      </c>
      <c r="M298" s="311"/>
      <c r="N298" s="311">
        <f>+SUMIF('Input Sheet'!$AE:$AE,P298,'Input Sheet'!$X:$X)</f>
        <v>0</v>
      </c>
      <c r="O298" s="311"/>
      <c r="P298" t="str">
        <f t="shared" si="38"/>
        <v>162-3296</v>
      </c>
      <c r="Q298" s="315" t="str">
        <f t="shared" si="39"/>
        <v>LEX F&amp;I</v>
      </c>
      <c r="R298" s="315" t="str">
        <f t="shared" si="40"/>
        <v>LEX F&amp;IFinance Income per vehicle retailed</v>
      </c>
      <c r="S298" s="199"/>
      <c r="T298" s="199"/>
      <c r="U298" s="199"/>
    </row>
    <row r="299" spans="1:21" x14ac:dyDescent="0.25">
      <c r="A299" t="s">
        <v>996</v>
      </c>
      <c r="B299" t="s">
        <v>997</v>
      </c>
      <c r="C299" t="s">
        <v>1005</v>
      </c>
      <c r="D299">
        <v>3296</v>
      </c>
      <c r="E299">
        <v>260</v>
      </c>
      <c r="F299" t="s">
        <v>1074</v>
      </c>
      <c r="G299" t="s">
        <v>1075</v>
      </c>
      <c r="H299" s="315" t="s">
        <v>16</v>
      </c>
      <c r="I299" s="315" t="s">
        <v>1076</v>
      </c>
      <c r="J299" s="315" t="str">
        <f t="shared" si="36"/>
        <v>F&amp;IFinance Income per vehicle retailed</v>
      </c>
      <c r="K299" s="315" t="str">
        <f t="shared" si="37"/>
        <v>260Finance income - Used Toyota</v>
      </c>
      <c r="L299" s="311">
        <f>+SUMIF('TUNZ Extracted TB'!M:M,$P299,'TUNZ Extracted TB'!G:G)</f>
        <v>0</v>
      </c>
      <c r="M299" s="311"/>
      <c r="N299" s="311">
        <f>+SUMIF('Input Sheet'!$AE:$AE,P299,'Input Sheet'!$X:$X)</f>
        <v>0</v>
      </c>
      <c r="O299" s="311"/>
      <c r="P299" t="str">
        <f t="shared" si="38"/>
        <v>260-3296</v>
      </c>
      <c r="Q299" s="315" t="str">
        <f t="shared" si="39"/>
        <v>F&amp;I</v>
      </c>
      <c r="R299" s="315" t="str">
        <f t="shared" si="40"/>
        <v>F&amp;IFinance Income per vehicle retailed</v>
      </c>
      <c r="S299" s="199"/>
      <c r="T299" s="199"/>
      <c r="U299" s="199"/>
    </row>
    <row r="300" spans="1:21" x14ac:dyDescent="0.25">
      <c r="A300" t="s">
        <v>996</v>
      </c>
      <c r="B300" t="s">
        <v>997</v>
      </c>
      <c r="C300" t="s">
        <v>1012</v>
      </c>
      <c r="D300">
        <v>3296</v>
      </c>
      <c r="E300">
        <v>460</v>
      </c>
      <c r="F300" t="s">
        <v>1074</v>
      </c>
      <c r="G300" t="s">
        <v>1075</v>
      </c>
      <c r="H300" s="315" t="s">
        <v>16</v>
      </c>
      <c r="I300" s="315" t="s">
        <v>1076</v>
      </c>
      <c r="J300" s="315" t="str">
        <f t="shared" si="36"/>
        <v>F&amp;IFinance Income per vehicle retailed</v>
      </c>
      <c r="K300" s="315" t="str">
        <f t="shared" si="37"/>
        <v>460Finance income - Used Toyota</v>
      </c>
      <c r="L300" s="311">
        <f>+SUMIF('TUNZ Extracted TB'!M:M,$P300,'TUNZ Extracted TB'!G:G)</f>
        <v>0</v>
      </c>
      <c r="M300" s="311"/>
      <c r="N300" s="311">
        <f>+SUMIF('Input Sheet'!$AE:$AE,P300,'Input Sheet'!$X:$X)</f>
        <v>0</v>
      </c>
      <c r="O300" s="311"/>
      <c r="P300" t="str">
        <f t="shared" si="38"/>
        <v>460-3296</v>
      </c>
      <c r="Q300" s="315" t="str">
        <f t="shared" si="39"/>
        <v>F&amp;I</v>
      </c>
      <c r="R300" s="315" t="str">
        <f t="shared" si="40"/>
        <v>F&amp;IFinance Income per vehicle retailed</v>
      </c>
      <c r="S300" s="199"/>
      <c r="T300" s="199"/>
      <c r="U300" s="199"/>
    </row>
    <row r="301" spans="1:21" x14ac:dyDescent="0.25">
      <c r="A301" t="s">
        <v>996</v>
      </c>
      <c r="B301" t="s">
        <v>997</v>
      </c>
      <c r="C301" t="s">
        <v>1013</v>
      </c>
      <c r="D301">
        <v>3296</v>
      </c>
      <c r="E301">
        <v>360</v>
      </c>
      <c r="F301" t="s">
        <v>1074</v>
      </c>
      <c r="G301" t="s">
        <v>1075</v>
      </c>
      <c r="H301" s="315" t="s">
        <v>16</v>
      </c>
      <c r="I301" s="315" t="s">
        <v>1076</v>
      </c>
      <c r="J301" s="315" t="str">
        <f t="shared" si="36"/>
        <v>F&amp;IFinance Income per vehicle retailed</v>
      </c>
      <c r="K301" s="315" t="str">
        <f t="shared" si="37"/>
        <v>360Finance income - Used Toyota</v>
      </c>
      <c r="L301" s="311">
        <f>+SUMIF('TUNZ Extracted TB'!M:M,$P301,'TUNZ Extracted TB'!G:G)</f>
        <v>0</v>
      </c>
      <c r="M301" s="311"/>
      <c r="N301" s="311">
        <f>+SUMIF('Input Sheet'!$AE:$AE,P301,'Input Sheet'!$X:$X)</f>
        <v>0</v>
      </c>
      <c r="O301" s="311"/>
      <c r="P301" t="str">
        <f t="shared" si="38"/>
        <v>360-3296</v>
      </c>
      <c r="Q301" s="315" t="str">
        <f t="shared" si="39"/>
        <v>F&amp;I</v>
      </c>
      <c r="R301" s="315" t="str">
        <f t="shared" si="40"/>
        <v>F&amp;IFinance Income per vehicle retailed</v>
      </c>
      <c r="S301" s="199"/>
      <c r="T301" s="199"/>
      <c r="U301" s="199"/>
    </row>
    <row r="302" spans="1:21" x14ac:dyDescent="0.25">
      <c r="A302" t="s">
        <v>996</v>
      </c>
      <c r="B302" t="s">
        <v>997</v>
      </c>
      <c r="C302" t="s">
        <v>997</v>
      </c>
      <c r="D302">
        <v>3296</v>
      </c>
      <c r="E302">
        <v>160</v>
      </c>
      <c r="F302" t="s">
        <v>1074</v>
      </c>
      <c r="G302" t="s">
        <v>1075</v>
      </c>
      <c r="H302" s="315" t="s">
        <v>16</v>
      </c>
      <c r="I302" s="315" t="s">
        <v>1076</v>
      </c>
      <c r="J302" s="315" t="str">
        <f t="shared" si="36"/>
        <v>F&amp;IFinance Income per vehicle retailed</v>
      </c>
      <c r="K302" s="315" t="str">
        <f t="shared" si="37"/>
        <v>160Finance income - Used Toyota</v>
      </c>
      <c r="L302" s="311">
        <f>+SUMIF('TUNZ Extracted TB'!M:M,$P302,'TUNZ Extracted TB'!G:G)</f>
        <v>0</v>
      </c>
      <c r="M302" s="311"/>
      <c r="N302" s="311">
        <f>+SUMIF('Input Sheet'!$AE:$AE,P302,'Input Sheet'!$X:$X)</f>
        <v>0</v>
      </c>
      <c r="O302" s="311"/>
      <c r="P302" t="str">
        <f t="shared" si="38"/>
        <v>160-3296</v>
      </c>
      <c r="Q302" s="315" t="str">
        <f t="shared" si="39"/>
        <v>F&amp;I</v>
      </c>
      <c r="R302" s="315" t="str">
        <f t="shared" si="40"/>
        <v>F&amp;IFinance Income per vehicle retailed</v>
      </c>
      <c r="S302" s="199"/>
      <c r="T302" s="199"/>
      <c r="U302" s="199"/>
    </row>
    <row r="303" spans="1:21" x14ac:dyDescent="0.25">
      <c r="A303" t="s">
        <v>996</v>
      </c>
      <c r="B303" t="s">
        <v>997</v>
      </c>
      <c r="C303" t="s">
        <v>997</v>
      </c>
      <c r="D303">
        <v>3300</v>
      </c>
      <c r="E303">
        <v>140</v>
      </c>
      <c r="F303" t="s">
        <v>1093</v>
      </c>
      <c r="G303" t="s">
        <v>1094</v>
      </c>
      <c r="H303" s="315" t="s">
        <v>17</v>
      </c>
      <c r="I303" s="315" t="s">
        <v>1095</v>
      </c>
      <c r="J303" s="315" t="str">
        <f t="shared" si="36"/>
        <v>ServiceRetail % of Labour Sales</v>
      </c>
      <c r="K303" s="315" t="str">
        <f t="shared" si="37"/>
        <v>140Service Retail labour Sales - Toyota</v>
      </c>
      <c r="L303" s="311">
        <f>+SUMIF('TUNZ Extracted TB'!M:M,$P303,'TUNZ Extracted TB'!G:G)</f>
        <v>-175800.15</v>
      </c>
      <c r="M303" s="311"/>
      <c r="N303" s="311">
        <f>+SUMIF('Input Sheet'!$AE:$AE,P303,'Input Sheet'!$X:$X)</f>
        <v>-199135.23664923583</v>
      </c>
      <c r="O303" s="311"/>
      <c r="P303" t="str">
        <f t="shared" si="38"/>
        <v>140-3300</v>
      </c>
      <c r="Q303" s="315" t="str">
        <f t="shared" si="39"/>
        <v>Service</v>
      </c>
      <c r="R303" s="315" t="str">
        <f t="shared" si="40"/>
        <v>ServiceRetail % of Labour Sales</v>
      </c>
      <c r="S303" s="199"/>
      <c r="T303" s="199"/>
      <c r="U303" s="199"/>
    </row>
    <row r="304" spans="1:21" x14ac:dyDescent="0.25">
      <c r="A304" t="s">
        <v>996</v>
      </c>
      <c r="B304" t="s">
        <v>997</v>
      </c>
      <c r="C304" t="s">
        <v>997</v>
      </c>
      <c r="D304">
        <v>3300</v>
      </c>
      <c r="E304">
        <v>142</v>
      </c>
      <c r="F304" t="s">
        <v>1096</v>
      </c>
      <c r="G304" t="s">
        <v>1097</v>
      </c>
      <c r="H304" s="315" t="s">
        <v>1022</v>
      </c>
      <c r="I304" s="315" t="s">
        <v>1095</v>
      </c>
      <c r="J304" s="315" t="str">
        <f t="shared" si="36"/>
        <v>Lex ServiceRetail % of Labour Sales</v>
      </c>
      <c r="K304" s="315" t="str">
        <f t="shared" si="37"/>
        <v>142Service Retail labour Sales - Lexus</v>
      </c>
      <c r="L304" s="311">
        <f>+SUMIF('TUNZ Extracted TB'!M:M,$P304,'TUNZ Extracted TB'!G:G)</f>
        <v>-23413.65</v>
      </c>
      <c r="M304" s="311"/>
      <c r="N304" s="311">
        <f>+SUMIF('Input Sheet'!$AE:$AE,P304,'Input Sheet'!$X:$X)</f>
        <v>-27200.000000000004</v>
      </c>
      <c r="O304" s="311"/>
      <c r="P304" t="str">
        <f t="shared" si="38"/>
        <v>142-3300</v>
      </c>
      <c r="Q304" s="315" t="str">
        <f t="shared" si="39"/>
        <v>Lex Service</v>
      </c>
      <c r="R304" s="315" t="str">
        <f t="shared" si="40"/>
        <v>Lex ServiceRetail % of Labour Sales</v>
      </c>
      <c r="S304" s="199"/>
      <c r="T304" s="199"/>
      <c r="U304" s="199"/>
    </row>
    <row r="305" spans="1:21" x14ac:dyDescent="0.25">
      <c r="A305" t="s">
        <v>996</v>
      </c>
      <c r="B305" t="s">
        <v>997</v>
      </c>
      <c r="C305" t="s">
        <v>997</v>
      </c>
      <c r="D305">
        <v>3300</v>
      </c>
      <c r="E305">
        <v>170</v>
      </c>
      <c r="F305" t="s">
        <v>1093</v>
      </c>
      <c r="G305" t="s">
        <v>1094</v>
      </c>
      <c r="H305" s="315" t="s">
        <v>17</v>
      </c>
      <c r="I305" s="315" t="s">
        <v>1095</v>
      </c>
      <c r="J305" s="315" t="str">
        <f t="shared" si="36"/>
        <v>ServiceRetail % of Labour Sales</v>
      </c>
      <c r="K305" s="315" t="str">
        <f t="shared" si="37"/>
        <v>170Service Retail labour Sales - Toyota</v>
      </c>
      <c r="L305" s="311">
        <f>+SUMIF('TUNZ Extracted TB'!M:M,$P305,'TUNZ Extracted TB'!G:G)</f>
        <v>0</v>
      </c>
      <c r="M305" s="311"/>
      <c r="N305" s="311">
        <f>+SUMIF('Input Sheet'!$AE:$AE,P305,'Input Sheet'!$X:$X)</f>
        <v>0</v>
      </c>
      <c r="O305" s="311"/>
      <c r="P305" t="str">
        <f t="shared" si="38"/>
        <v>170-3300</v>
      </c>
      <c r="Q305" s="315" t="str">
        <f t="shared" si="39"/>
        <v>Service</v>
      </c>
      <c r="R305" s="315" t="str">
        <f t="shared" si="40"/>
        <v>ServiceRetail % of Labour Sales</v>
      </c>
      <c r="S305" s="199"/>
      <c r="T305" s="199"/>
      <c r="U305" s="199"/>
    </row>
    <row r="306" spans="1:21" x14ac:dyDescent="0.25">
      <c r="A306" t="s">
        <v>996</v>
      </c>
      <c r="B306" t="s">
        <v>997</v>
      </c>
      <c r="C306" t="s">
        <v>997</v>
      </c>
      <c r="D306">
        <v>3300</v>
      </c>
      <c r="E306">
        <v>147</v>
      </c>
      <c r="F306" t="s">
        <v>1093</v>
      </c>
      <c r="G306" t="s">
        <v>1094</v>
      </c>
      <c r="H306" s="315" t="s">
        <v>17</v>
      </c>
      <c r="I306" s="315" t="s">
        <v>1095</v>
      </c>
      <c r="J306" s="315" t="str">
        <f t="shared" si="36"/>
        <v>ServiceRetail % of Labour Sales</v>
      </c>
      <c r="K306" s="315" t="str">
        <f t="shared" si="37"/>
        <v>147Service Retail labour Sales - Toyota</v>
      </c>
      <c r="L306" s="311">
        <f>+SUMIF('TUNZ Extracted TB'!M:M,$P306,'TUNZ Extracted TB'!G:G)</f>
        <v>0</v>
      </c>
      <c r="M306" s="311"/>
      <c r="N306" s="311">
        <f>+SUMIF('Input Sheet'!$AE:$AE,P306,'Input Sheet'!$X:$X)</f>
        <v>-119.32826536378981</v>
      </c>
      <c r="O306" s="311"/>
      <c r="P306" t="str">
        <f t="shared" si="38"/>
        <v>147-3300</v>
      </c>
      <c r="Q306" s="315" t="str">
        <f t="shared" si="39"/>
        <v>Service</v>
      </c>
      <c r="R306" s="315" t="str">
        <f t="shared" si="40"/>
        <v>ServiceRetail % of Labour Sales</v>
      </c>
      <c r="S306" s="199"/>
      <c r="T306" s="199"/>
      <c r="U306" s="199"/>
    </row>
    <row r="307" spans="1:21" x14ac:dyDescent="0.25">
      <c r="A307" t="s">
        <v>996</v>
      </c>
      <c r="B307" t="s">
        <v>997</v>
      </c>
      <c r="C307" t="s">
        <v>997</v>
      </c>
      <c r="D307">
        <v>3300</v>
      </c>
      <c r="E307">
        <v>150</v>
      </c>
      <c r="F307" t="s">
        <v>1096</v>
      </c>
      <c r="G307" t="s">
        <v>1097</v>
      </c>
      <c r="H307" s="315" t="s">
        <v>145</v>
      </c>
      <c r="I307" s="315" t="s">
        <v>1095</v>
      </c>
      <c r="J307" s="315" t="str">
        <f t="shared" si="36"/>
        <v>Retail DetailingRetail % of Labour Sales</v>
      </c>
      <c r="K307" s="315" t="str">
        <f t="shared" si="37"/>
        <v>150Service Retail labour Sales - Lexus</v>
      </c>
      <c r="L307" s="311">
        <f>+SUMIF('TUNZ Extracted TB'!M:M,$P307,'TUNZ Extracted TB'!G:G)</f>
        <v>-12300</v>
      </c>
      <c r="M307" s="311"/>
      <c r="N307" s="311">
        <f>+SUMIF('Input Sheet'!$AE:$AE,P307,'Input Sheet'!$X:$X)</f>
        <v>-27000</v>
      </c>
      <c r="O307" s="311"/>
      <c r="P307" t="str">
        <f t="shared" si="38"/>
        <v>150-3300</v>
      </c>
      <c r="Q307" s="315" t="str">
        <f t="shared" si="39"/>
        <v>Retail Detailing</v>
      </c>
      <c r="R307" s="315" t="str">
        <f t="shared" si="40"/>
        <v>Retail DetailingRetail % of Labour Sales</v>
      </c>
      <c r="S307" s="199"/>
      <c r="T307" s="199"/>
      <c r="U307" s="199"/>
    </row>
    <row r="308" spans="1:21" x14ac:dyDescent="0.25">
      <c r="A308" t="s">
        <v>996</v>
      </c>
      <c r="B308" t="s">
        <v>997</v>
      </c>
      <c r="C308" t="s">
        <v>1012</v>
      </c>
      <c r="D308">
        <v>3300</v>
      </c>
      <c r="E308">
        <v>440</v>
      </c>
      <c r="F308" t="s">
        <v>1093</v>
      </c>
      <c r="G308" t="s">
        <v>1094</v>
      </c>
      <c r="H308" s="315" t="s">
        <v>17</v>
      </c>
      <c r="I308" s="315" t="s">
        <v>1095</v>
      </c>
      <c r="J308" s="315" t="str">
        <f t="shared" si="36"/>
        <v>ServiceRetail % of Labour Sales</v>
      </c>
      <c r="K308" s="315" t="str">
        <f t="shared" si="37"/>
        <v>440Service Retail labour Sales - Toyota</v>
      </c>
      <c r="L308" s="311">
        <f>+SUMIF('TUNZ Extracted TB'!M:M,$P308,'TUNZ Extracted TB'!G:G)</f>
        <v>-43251.48</v>
      </c>
      <c r="M308" s="311"/>
      <c r="N308" s="311">
        <f>+SUMIF('Input Sheet'!$AE:$AE,P308,'Input Sheet'!$X:$X)</f>
        <v>-29963.938862901177</v>
      </c>
      <c r="O308" s="311"/>
      <c r="P308" t="str">
        <f t="shared" si="38"/>
        <v>440-3300</v>
      </c>
      <c r="Q308" s="315" t="str">
        <f t="shared" si="39"/>
        <v>Service</v>
      </c>
      <c r="R308" s="315" t="str">
        <f t="shared" si="40"/>
        <v>ServiceRetail % of Labour Sales</v>
      </c>
      <c r="S308" s="199"/>
      <c r="T308" s="199"/>
      <c r="U308" s="199"/>
    </row>
    <row r="309" spans="1:21" x14ac:dyDescent="0.25">
      <c r="A309" t="s">
        <v>996</v>
      </c>
      <c r="B309" t="s">
        <v>997</v>
      </c>
      <c r="C309" t="s">
        <v>1013</v>
      </c>
      <c r="D309">
        <v>3300</v>
      </c>
      <c r="E309">
        <v>340</v>
      </c>
      <c r="F309" t="s">
        <v>1093</v>
      </c>
      <c r="G309" t="s">
        <v>1094</v>
      </c>
      <c r="H309" s="315" t="s">
        <v>17</v>
      </c>
      <c r="I309" s="315" t="s">
        <v>1095</v>
      </c>
      <c r="J309" s="315" t="str">
        <f t="shared" si="36"/>
        <v>ServiceRetail % of Labour Sales</v>
      </c>
      <c r="K309" s="315" t="str">
        <f t="shared" si="37"/>
        <v>340Service Retail labour Sales - Toyota</v>
      </c>
      <c r="L309" s="311">
        <f>+SUMIF('TUNZ Extracted TB'!M:M,$P309,'TUNZ Extracted TB'!G:G)</f>
        <v>-63241.89</v>
      </c>
      <c r="M309" s="311"/>
      <c r="N309" s="311">
        <f>+SUMIF('Input Sheet'!$AE:$AE,P309,'Input Sheet'!$X:$X)</f>
        <v>-86422.878292868365</v>
      </c>
      <c r="O309" s="311"/>
      <c r="P309" t="str">
        <f t="shared" si="38"/>
        <v>340-3300</v>
      </c>
      <c r="Q309" s="315" t="str">
        <f t="shared" si="39"/>
        <v>Service</v>
      </c>
      <c r="R309" s="315" t="str">
        <f t="shared" si="40"/>
        <v>ServiceRetail % of Labour Sales</v>
      </c>
    </row>
    <row r="310" spans="1:21" x14ac:dyDescent="0.25">
      <c r="A310" t="s">
        <v>996</v>
      </c>
      <c r="B310" t="s">
        <v>997</v>
      </c>
      <c r="C310" t="s">
        <v>1005</v>
      </c>
      <c r="D310">
        <v>3300</v>
      </c>
      <c r="E310">
        <v>240</v>
      </c>
      <c r="F310" t="s">
        <v>1093</v>
      </c>
      <c r="G310" t="s">
        <v>1094</v>
      </c>
      <c r="H310" s="315" t="s">
        <v>17</v>
      </c>
      <c r="I310" s="315" t="s">
        <v>1095</v>
      </c>
      <c r="J310" s="315" t="str">
        <f t="shared" si="36"/>
        <v>ServiceRetail % of Labour Sales</v>
      </c>
      <c r="K310" s="315" t="str">
        <f t="shared" si="37"/>
        <v>240Service Retail labour Sales - Toyota</v>
      </c>
      <c r="L310" s="311">
        <f>+SUMIF('TUNZ Extracted TB'!M:M,$P310,'TUNZ Extracted TB'!G:G)</f>
        <v>-80677.37</v>
      </c>
      <c r="M310" s="311"/>
      <c r="N310" s="311">
        <f>+SUMIF('Input Sheet'!$AE:$AE,P310,'Input Sheet'!$X:$X)</f>
        <v>-111817.32295208285</v>
      </c>
      <c r="O310" s="311"/>
      <c r="P310" t="str">
        <f t="shared" si="38"/>
        <v>240-3300</v>
      </c>
      <c r="Q310" s="315" t="str">
        <f t="shared" si="39"/>
        <v>Service</v>
      </c>
      <c r="R310" s="315" t="str">
        <f t="shared" si="40"/>
        <v>ServiceRetail % of Labour Sales</v>
      </c>
    </row>
    <row r="311" spans="1:21" x14ac:dyDescent="0.25">
      <c r="A311" t="s">
        <v>996</v>
      </c>
      <c r="B311" t="s">
        <v>997</v>
      </c>
      <c r="C311" t="s">
        <v>997</v>
      </c>
      <c r="D311">
        <v>3301</v>
      </c>
      <c r="E311">
        <v>140</v>
      </c>
      <c r="F311" t="s">
        <v>1093</v>
      </c>
      <c r="G311" t="s">
        <v>1094</v>
      </c>
      <c r="H311" s="315" t="s">
        <v>17</v>
      </c>
      <c r="I311" s="315" t="s">
        <v>1095</v>
      </c>
      <c r="J311" s="315" t="str">
        <f t="shared" si="36"/>
        <v>ServiceRetail % of Labour Sales</v>
      </c>
      <c r="K311" s="315" t="str">
        <f t="shared" si="37"/>
        <v>140Service Retail labour Sales - Toyota</v>
      </c>
      <c r="L311" s="311">
        <f>+SUMIF('TUNZ Extracted TB'!M:M,$P311,'TUNZ Extracted TB'!G:G)</f>
        <v>-11943.74</v>
      </c>
      <c r="M311" s="311"/>
      <c r="N311" s="311">
        <f>+SUMIF('Input Sheet'!$AE:$AE,P311,'Input Sheet'!$X:$X)</f>
        <v>0</v>
      </c>
      <c r="O311" s="311"/>
      <c r="P311" t="str">
        <f t="shared" si="38"/>
        <v>140-3301</v>
      </c>
      <c r="Q311" s="315" t="str">
        <f t="shared" si="39"/>
        <v>Service</v>
      </c>
      <c r="R311" s="315" t="str">
        <f t="shared" si="40"/>
        <v>ServiceRetail % of Labour Sales</v>
      </c>
    </row>
    <row r="312" spans="1:21" x14ac:dyDescent="0.25">
      <c r="A312" t="s">
        <v>996</v>
      </c>
      <c r="B312" t="s">
        <v>997</v>
      </c>
      <c r="C312" t="s">
        <v>997</v>
      </c>
      <c r="D312">
        <v>3301</v>
      </c>
      <c r="E312">
        <v>142</v>
      </c>
      <c r="F312" t="s">
        <v>1096</v>
      </c>
      <c r="G312" t="s">
        <v>1097</v>
      </c>
      <c r="H312" s="315" t="s">
        <v>1022</v>
      </c>
      <c r="I312" s="315" t="s">
        <v>1095</v>
      </c>
      <c r="J312" s="315" t="str">
        <f t="shared" si="36"/>
        <v>Lex ServiceRetail % of Labour Sales</v>
      </c>
      <c r="K312" s="315" t="str">
        <f t="shared" si="37"/>
        <v>142Service Retail labour Sales - Lexus</v>
      </c>
      <c r="L312" s="311">
        <f>+SUMIF('TUNZ Extracted TB'!M:M,$P312,'TUNZ Extracted TB'!G:G)</f>
        <v>-14965.26</v>
      </c>
      <c r="M312" s="311"/>
      <c r="N312" s="311">
        <f>+SUMIF('Input Sheet'!$AE:$AE,P312,'Input Sheet'!$X:$X)</f>
        <v>0</v>
      </c>
      <c r="O312" s="311"/>
      <c r="P312" t="str">
        <f t="shared" si="38"/>
        <v>142-3301</v>
      </c>
      <c r="Q312" s="315" t="str">
        <f t="shared" si="39"/>
        <v>Lex Service</v>
      </c>
      <c r="R312" s="315" t="str">
        <f t="shared" si="40"/>
        <v>Lex ServiceRetail % of Labour Sales</v>
      </c>
      <c r="S312" s="199"/>
      <c r="T312" s="199"/>
      <c r="U312" s="199"/>
    </row>
    <row r="313" spans="1:21" x14ac:dyDescent="0.25">
      <c r="A313" t="s">
        <v>996</v>
      </c>
      <c r="B313" t="s">
        <v>997</v>
      </c>
      <c r="C313" t="s">
        <v>997</v>
      </c>
      <c r="D313">
        <v>3301</v>
      </c>
      <c r="E313">
        <v>147</v>
      </c>
      <c r="F313" t="s">
        <v>1093</v>
      </c>
      <c r="G313" t="s">
        <v>1094</v>
      </c>
      <c r="H313" s="315" t="s">
        <v>17</v>
      </c>
      <c r="I313" s="315" t="s">
        <v>1095</v>
      </c>
      <c r="J313" s="315" t="str">
        <f t="shared" si="36"/>
        <v>ServiceRetail % of Labour Sales</v>
      </c>
      <c r="K313" s="315" t="str">
        <f t="shared" si="37"/>
        <v>147Service Retail labour Sales - Toyota</v>
      </c>
      <c r="L313" s="311">
        <f>+SUMIF('TUNZ Extracted TB'!M:M,$P313,'TUNZ Extracted TB'!G:G)</f>
        <v>0</v>
      </c>
      <c r="M313" s="311"/>
      <c r="N313" s="311">
        <f>+SUMIF('Input Sheet'!$AE:$AE,P313,'Input Sheet'!$X:$X)</f>
        <v>0</v>
      </c>
      <c r="O313" s="311"/>
      <c r="P313" t="str">
        <f t="shared" si="38"/>
        <v>147-3301</v>
      </c>
      <c r="Q313" s="315" t="str">
        <f t="shared" si="39"/>
        <v>Service</v>
      </c>
      <c r="R313" s="315" t="str">
        <f t="shared" si="40"/>
        <v>ServiceRetail % of Labour Sales</v>
      </c>
      <c r="S313" s="199"/>
      <c r="T313" s="199"/>
      <c r="U313" s="199"/>
    </row>
    <row r="314" spans="1:21" x14ac:dyDescent="0.25">
      <c r="A314" t="s">
        <v>996</v>
      </c>
      <c r="B314" t="s">
        <v>997</v>
      </c>
      <c r="C314" t="s">
        <v>997</v>
      </c>
      <c r="D314">
        <v>3301</v>
      </c>
      <c r="E314">
        <v>170</v>
      </c>
      <c r="F314" t="s">
        <v>1088</v>
      </c>
      <c r="G314" t="s">
        <v>1089</v>
      </c>
      <c r="H314" s="315" t="s">
        <v>16</v>
      </c>
      <c r="I314" s="315" t="s">
        <v>1090</v>
      </c>
      <c r="J314" s="315" t="str">
        <f t="shared" si="36"/>
        <v>F&amp;IToyota Care Income per vehicle retailed</v>
      </c>
      <c r="K314" s="315" t="str">
        <f t="shared" si="37"/>
        <v>170Toyota Care Sales - Toyota</v>
      </c>
      <c r="L314" s="311">
        <f>+SUMIF('TUNZ Extracted TB'!M:M,$P314,'TUNZ Extracted TB'!G:G)</f>
        <v>0</v>
      </c>
      <c r="M314" s="311"/>
      <c r="N314" s="311">
        <f>+SUMIF('Input Sheet'!$AE:$AE,P314,'Input Sheet'!$X:$X)</f>
        <v>0</v>
      </c>
      <c r="O314" s="311"/>
      <c r="P314" t="str">
        <f t="shared" si="38"/>
        <v>170-3301</v>
      </c>
      <c r="Q314" s="315" t="str">
        <f t="shared" si="39"/>
        <v>F&amp;I</v>
      </c>
      <c r="R314" s="315" t="str">
        <f t="shared" si="40"/>
        <v>F&amp;IToyota Care Income per vehicle retailed</v>
      </c>
      <c r="S314" s="199"/>
      <c r="T314" s="199"/>
      <c r="U314" s="199"/>
    </row>
    <row r="315" spans="1:21" x14ac:dyDescent="0.25">
      <c r="A315" t="s">
        <v>996</v>
      </c>
      <c r="B315" t="s">
        <v>997</v>
      </c>
      <c r="C315" t="s">
        <v>1012</v>
      </c>
      <c r="D315">
        <v>3301</v>
      </c>
      <c r="E315">
        <v>440</v>
      </c>
      <c r="F315" t="s">
        <v>1093</v>
      </c>
      <c r="G315" t="s">
        <v>1094</v>
      </c>
      <c r="H315" s="315" t="s">
        <v>17</v>
      </c>
      <c r="I315" s="315" t="s">
        <v>1095</v>
      </c>
      <c r="J315" s="315" t="str">
        <f t="shared" si="36"/>
        <v>ServiceRetail % of Labour Sales</v>
      </c>
      <c r="K315" s="315" t="str">
        <f t="shared" si="37"/>
        <v>440Service Retail labour Sales - Toyota</v>
      </c>
      <c r="L315" s="311">
        <f>+SUMIF('TUNZ Extracted TB'!M:M,$P315,'TUNZ Extracted TB'!G:G)</f>
        <v>-3708.56</v>
      </c>
      <c r="M315" s="311"/>
      <c r="N315" s="311">
        <f>+SUMIF('Input Sheet'!$AE:$AE,P315,'Input Sheet'!$X:$X)</f>
        <v>0</v>
      </c>
      <c r="O315" s="311"/>
      <c r="P315" t="str">
        <f t="shared" si="38"/>
        <v>440-3301</v>
      </c>
      <c r="Q315" s="315" t="str">
        <f t="shared" si="39"/>
        <v>Service</v>
      </c>
      <c r="R315" s="315" t="str">
        <f t="shared" si="40"/>
        <v>ServiceRetail % of Labour Sales</v>
      </c>
      <c r="S315" s="199"/>
      <c r="T315" s="199"/>
      <c r="U315" s="199"/>
    </row>
    <row r="316" spans="1:21" x14ac:dyDescent="0.25">
      <c r="A316" t="s">
        <v>996</v>
      </c>
      <c r="B316" t="s">
        <v>997</v>
      </c>
      <c r="C316" t="s">
        <v>1005</v>
      </c>
      <c r="D316">
        <v>3301</v>
      </c>
      <c r="E316">
        <v>240</v>
      </c>
      <c r="F316" t="s">
        <v>1093</v>
      </c>
      <c r="G316" t="s">
        <v>1094</v>
      </c>
      <c r="H316" s="315" t="s">
        <v>17</v>
      </c>
      <c r="I316" s="315" t="s">
        <v>1095</v>
      </c>
      <c r="J316" s="315" t="str">
        <f t="shared" si="36"/>
        <v>ServiceRetail % of Labour Sales</v>
      </c>
      <c r="K316" s="315" t="str">
        <f t="shared" si="37"/>
        <v>240Service Retail labour Sales - Toyota</v>
      </c>
      <c r="L316" s="311">
        <f>+SUMIF('TUNZ Extracted TB'!M:M,$P316,'TUNZ Extracted TB'!G:G)</f>
        <v>-8978.85</v>
      </c>
      <c r="M316" s="311"/>
      <c r="N316" s="311">
        <f>+SUMIF('Input Sheet'!$AE:$AE,P316,'Input Sheet'!$X:$X)</f>
        <v>0</v>
      </c>
      <c r="O316" s="311"/>
      <c r="P316" t="str">
        <f t="shared" si="38"/>
        <v>240-3301</v>
      </c>
      <c r="Q316" s="315" t="str">
        <f t="shared" si="39"/>
        <v>Service</v>
      </c>
      <c r="R316" s="315" t="str">
        <f t="shared" si="40"/>
        <v>ServiceRetail % of Labour Sales</v>
      </c>
      <c r="S316" s="199"/>
      <c r="T316" s="199"/>
      <c r="U316" s="199"/>
    </row>
    <row r="317" spans="1:21" x14ac:dyDescent="0.25">
      <c r="A317" t="s">
        <v>996</v>
      </c>
      <c r="B317" t="s">
        <v>997</v>
      </c>
      <c r="C317" t="s">
        <v>1013</v>
      </c>
      <c r="D317">
        <v>3301</v>
      </c>
      <c r="E317">
        <v>340</v>
      </c>
      <c r="F317" t="s">
        <v>1093</v>
      </c>
      <c r="G317" t="s">
        <v>1094</v>
      </c>
      <c r="H317" s="315" t="s">
        <v>17</v>
      </c>
      <c r="I317" s="315" t="s">
        <v>1095</v>
      </c>
      <c r="J317" s="315" t="str">
        <f t="shared" si="36"/>
        <v>ServiceRetail % of Labour Sales</v>
      </c>
      <c r="K317" s="315" t="str">
        <f t="shared" si="37"/>
        <v>340Service Retail labour Sales - Toyota</v>
      </c>
      <c r="L317" s="311">
        <f>+SUMIF('TUNZ Extracted TB'!M:M,$P317,'TUNZ Extracted TB'!G:G)</f>
        <v>-5038.0600000000004</v>
      </c>
      <c r="M317" s="311"/>
      <c r="N317" s="311">
        <f>+SUMIF('Input Sheet'!$AE:$AE,P317,'Input Sheet'!$X:$X)</f>
        <v>0</v>
      </c>
      <c r="O317" s="311"/>
      <c r="P317" t="str">
        <f t="shared" si="38"/>
        <v>340-3301</v>
      </c>
      <c r="Q317" s="315" t="str">
        <f t="shared" si="39"/>
        <v>Service</v>
      </c>
      <c r="R317" s="315" t="str">
        <f t="shared" si="40"/>
        <v>ServiceRetail % of Labour Sales</v>
      </c>
      <c r="S317" s="199"/>
      <c r="T317" s="199"/>
      <c r="U317" s="199"/>
    </row>
    <row r="318" spans="1:21" x14ac:dyDescent="0.25">
      <c r="A318" t="s">
        <v>996</v>
      </c>
      <c r="B318" t="s">
        <v>997</v>
      </c>
      <c r="C318" t="s">
        <v>997</v>
      </c>
      <c r="D318">
        <v>3302</v>
      </c>
      <c r="E318">
        <v>140</v>
      </c>
      <c r="F318" t="s">
        <v>1093</v>
      </c>
      <c r="G318" t="s">
        <v>1094</v>
      </c>
      <c r="H318" s="315" t="s">
        <v>17</v>
      </c>
      <c r="I318" s="315" t="s">
        <v>1095</v>
      </c>
      <c r="J318" s="315" t="str">
        <f t="shared" si="36"/>
        <v>ServiceRetail % of Labour Sales</v>
      </c>
      <c r="K318" s="315" t="str">
        <f t="shared" si="37"/>
        <v>140Service Retail labour Sales - Toyota</v>
      </c>
      <c r="L318" s="311">
        <f>+SUMIF('TUNZ Extracted TB'!M:M,$P318,'TUNZ Extracted TB'!G:G)</f>
        <v>-3030.89</v>
      </c>
      <c r="M318" s="311"/>
      <c r="N318" s="311">
        <f>+SUMIF('Input Sheet'!$AE:$AE,P318,'Input Sheet'!$X:$X)</f>
        <v>0</v>
      </c>
      <c r="O318" s="311"/>
      <c r="P318" t="str">
        <f t="shared" si="38"/>
        <v>140-3302</v>
      </c>
      <c r="Q318" s="315" t="str">
        <f t="shared" si="39"/>
        <v>Service</v>
      </c>
      <c r="R318" s="315" t="str">
        <f t="shared" si="40"/>
        <v>ServiceRetail % of Labour Sales</v>
      </c>
      <c r="S318" s="199"/>
      <c r="T318" s="199"/>
      <c r="U318" s="199"/>
    </row>
    <row r="319" spans="1:21" x14ac:dyDescent="0.25">
      <c r="A319" t="s">
        <v>996</v>
      </c>
      <c r="B319" t="s">
        <v>997</v>
      </c>
      <c r="C319" t="s">
        <v>997</v>
      </c>
      <c r="D319">
        <v>3302</v>
      </c>
      <c r="E319">
        <v>142</v>
      </c>
      <c r="F319" t="s">
        <v>1096</v>
      </c>
      <c r="G319" t="s">
        <v>1097</v>
      </c>
      <c r="H319" s="315" t="s">
        <v>1022</v>
      </c>
      <c r="I319" s="315" t="s">
        <v>1095</v>
      </c>
      <c r="J319" s="315" t="str">
        <f t="shared" si="36"/>
        <v>Lex ServiceRetail % of Labour Sales</v>
      </c>
      <c r="K319" s="315" t="str">
        <f t="shared" si="37"/>
        <v>142Service Retail labour Sales - Lexus</v>
      </c>
      <c r="L319" s="311">
        <f>+SUMIF('TUNZ Extracted TB'!M:M,$P319,'TUNZ Extracted TB'!G:G)</f>
        <v>-65.209999999999994</v>
      </c>
      <c r="M319" s="311"/>
      <c r="N319" s="311">
        <f>+SUMIF('Input Sheet'!$AE:$AE,P319,'Input Sheet'!$X:$X)</f>
        <v>0</v>
      </c>
      <c r="O319" s="311"/>
      <c r="P319" t="str">
        <f t="shared" si="38"/>
        <v>142-3302</v>
      </c>
      <c r="Q319" s="315" t="str">
        <f t="shared" si="39"/>
        <v>Lex Service</v>
      </c>
      <c r="R319" s="315" t="str">
        <f t="shared" si="40"/>
        <v>Lex ServiceRetail % of Labour Sales</v>
      </c>
      <c r="S319" s="199"/>
      <c r="T319" s="199"/>
      <c r="U319" s="199"/>
    </row>
    <row r="320" spans="1:21" x14ac:dyDescent="0.25">
      <c r="A320" t="s">
        <v>996</v>
      </c>
      <c r="B320" t="s">
        <v>997</v>
      </c>
      <c r="C320" t="s">
        <v>997</v>
      </c>
      <c r="D320">
        <v>3302</v>
      </c>
      <c r="E320">
        <v>170</v>
      </c>
      <c r="F320" t="s">
        <v>1098</v>
      </c>
      <c r="G320" t="s">
        <v>1099</v>
      </c>
      <c r="H320" s="315" t="s">
        <v>1000</v>
      </c>
      <c r="I320" s="315" t="s">
        <v>1001</v>
      </c>
      <c r="J320" s="315" t="str">
        <f t="shared" si="36"/>
        <v>Admin &amp; OtherOther Overheads as % of Total Gross Profit</v>
      </c>
      <c r="K320" s="315" t="str">
        <f t="shared" si="37"/>
        <v>170Other Income - Toyota</v>
      </c>
      <c r="L320" s="311">
        <f>+SUMIF('TUNZ Extracted TB'!M:M,$P320,'TUNZ Extracted TB'!G:G)</f>
        <v>0</v>
      </c>
      <c r="M320" s="311"/>
      <c r="N320" s="311">
        <f>+SUMIF('Input Sheet'!$AE:$AE,P320,'Input Sheet'!$X:$X)</f>
        <v>0</v>
      </c>
      <c r="O320" s="311"/>
      <c r="P320" t="str">
        <f t="shared" si="38"/>
        <v>170-3302</v>
      </c>
      <c r="Q320" s="315" t="str">
        <f t="shared" si="39"/>
        <v>Admin &amp; Other</v>
      </c>
      <c r="R320" s="315" t="str">
        <f t="shared" si="40"/>
        <v>Admin &amp; OtherOther Overheads as % of Total Gross Profit</v>
      </c>
      <c r="S320" s="199"/>
      <c r="T320" s="199"/>
      <c r="U320" s="199"/>
    </row>
    <row r="321" spans="1:21" x14ac:dyDescent="0.25">
      <c r="A321" t="s">
        <v>996</v>
      </c>
      <c r="B321" t="s">
        <v>997</v>
      </c>
      <c r="C321" t="s">
        <v>997</v>
      </c>
      <c r="D321">
        <v>3302</v>
      </c>
      <c r="E321">
        <v>147</v>
      </c>
      <c r="F321" t="s">
        <v>1093</v>
      </c>
      <c r="G321" t="s">
        <v>1094</v>
      </c>
      <c r="H321" s="315" t="s">
        <v>17</v>
      </c>
      <c r="I321" s="315" t="s">
        <v>1095</v>
      </c>
      <c r="J321" s="315" t="str">
        <f t="shared" si="36"/>
        <v>ServiceRetail % of Labour Sales</v>
      </c>
      <c r="K321" s="315" t="str">
        <f t="shared" si="37"/>
        <v>147Service Retail labour Sales - Toyota</v>
      </c>
      <c r="L321" s="311">
        <f>+SUMIF('TUNZ Extracted TB'!M:M,$P321,'TUNZ Extracted TB'!G:G)</f>
        <v>0</v>
      </c>
      <c r="M321" s="311"/>
      <c r="N321" s="311">
        <f>+SUMIF('Input Sheet'!$AE:$AE,P321,'Input Sheet'!$X:$X)</f>
        <v>0</v>
      </c>
      <c r="O321" s="311"/>
      <c r="P321" t="str">
        <f t="shared" si="38"/>
        <v>147-3302</v>
      </c>
      <c r="Q321" s="315" t="str">
        <f t="shared" si="39"/>
        <v>Service</v>
      </c>
      <c r="R321" s="315" t="str">
        <f t="shared" si="40"/>
        <v>ServiceRetail % of Labour Sales</v>
      </c>
      <c r="S321" s="199"/>
      <c r="T321" s="199"/>
      <c r="U321" s="199"/>
    </row>
    <row r="322" spans="1:21" x14ac:dyDescent="0.25">
      <c r="A322" t="s">
        <v>996</v>
      </c>
      <c r="B322" t="s">
        <v>997</v>
      </c>
      <c r="C322" t="s">
        <v>1005</v>
      </c>
      <c r="D322">
        <v>3302</v>
      </c>
      <c r="E322">
        <v>240</v>
      </c>
      <c r="F322" t="s">
        <v>1093</v>
      </c>
      <c r="G322" t="s">
        <v>1094</v>
      </c>
      <c r="H322" s="315" t="s">
        <v>17</v>
      </c>
      <c r="I322" s="315" t="s">
        <v>1095</v>
      </c>
      <c r="J322" s="315" t="str">
        <f t="shared" si="36"/>
        <v>ServiceRetail % of Labour Sales</v>
      </c>
      <c r="K322" s="315" t="str">
        <f t="shared" si="37"/>
        <v>240Service Retail labour Sales - Toyota</v>
      </c>
      <c r="L322" s="311">
        <f>+SUMIF('TUNZ Extracted TB'!M:M,$P322,'TUNZ Extracted TB'!G:G)</f>
        <v>-117.39</v>
      </c>
      <c r="M322" s="311"/>
      <c r="N322" s="311">
        <f>+SUMIF('Input Sheet'!$AE:$AE,P322,'Input Sheet'!$X:$X)</f>
        <v>0</v>
      </c>
      <c r="O322" s="311"/>
      <c r="P322" t="str">
        <f t="shared" si="38"/>
        <v>240-3302</v>
      </c>
      <c r="Q322" s="315" t="str">
        <f t="shared" si="39"/>
        <v>Service</v>
      </c>
      <c r="R322" s="315" t="str">
        <f t="shared" si="40"/>
        <v>ServiceRetail % of Labour Sales</v>
      </c>
      <c r="S322" s="199"/>
      <c r="T322" s="199"/>
      <c r="U322" s="199"/>
    </row>
    <row r="323" spans="1:21" x14ac:dyDescent="0.25">
      <c r="A323" t="s">
        <v>996</v>
      </c>
      <c r="B323" t="s">
        <v>997</v>
      </c>
      <c r="C323" t="s">
        <v>1012</v>
      </c>
      <c r="D323">
        <v>3302</v>
      </c>
      <c r="E323">
        <v>440</v>
      </c>
      <c r="F323" t="s">
        <v>1093</v>
      </c>
      <c r="G323" t="s">
        <v>1094</v>
      </c>
      <c r="H323" s="315" t="s">
        <v>17</v>
      </c>
      <c r="I323" s="315" t="s">
        <v>1095</v>
      </c>
      <c r="J323" s="315" t="str">
        <f t="shared" ref="J323:J386" si="41">+H323&amp;I323</f>
        <v>ServiceRetail % of Labour Sales</v>
      </c>
      <c r="K323" s="315" t="str">
        <f t="shared" ref="K323:K386" si="42">+E323&amp;G323</f>
        <v>440Service Retail labour Sales - Toyota</v>
      </c>
      <c r="L323" s="311">
        <f>+SUMIF('TUNZ Extracted TB'!M:M,$P323,'TUNZ Extracted TB'!G:G)</f>
        <v>-1304.4000000000001</v>
      </c>
      <c r="M323" s="311"/>
      <c r="N323" s="311">
        <f>+SUMIF('Input Sheet'!$AE:$AE,P323,'Input Sheet'!$X:$X)</f>
        <v>0</v>
      </c>
      <c r="O323" s="311"/>
      <c r="P323" t="str">
        <f t="shared" ref="P323:P386" si="43">+E323&amp;"-"&amp;D323</f>
        <v>440-3302</v>
      </c>
      <c r="Q323" s="315" t="str">
        <f t="shared" ref="Q323:Q386" si="44">H323</f>
        <v>Service</v>
      </c>
      <c r="R323" s="315" t="str">
        <f t="shared" ref="R323:R386" si="45">J323</f>
        <v>ServiceRetail % of Labour Sales</v>
      </c>
      <c r="S323" s="199"/>
      <c r="T323" s="199"/>
      <c r="U323" s="199"/>
    </row>
    <row r="324" spans="1:21" x14ac:dyDescent="0.25">
      <c r="A324" t="s">
        <v>996</v>
      </c>
      <c r="B324" t="s">
        <v>997</v>
      </c>
      <c r="C324" t="s">
        <v>1013</v>
      </c>
      <c r="D324">
        <v>3302</v>
      </c>
      <c r="E324">
        <v>340</v>
      </c>
      <c r="F324" t="s">
        <v>1093</v>
      </c>
      <c r="G324" t="s">
        <v>1094</v>
      </c>
      <c r="H324" s="315" t="s">
        <v>17</v>
      </c>
      <c r="I324" s="315" t="s">
        <v>1095</v>
      </c>
      <c r="J324" s="315" t="str">
        <f t="shared" si="41"/>
        <v>ServiceRetail % of Labour Sales</v>
      </c>
      <c r="K324" s="315" t="str">
        <f t="shared" si="42"/>
        <v>340Service Retail labour Sales - Toyota</v>
      </c>
      <c r="L324" s="311">
        <f>+SUMIF('TUNZ Extracted TB'!M:M,$P324,'TUNZ Extracted TB'!G:G)</f>
        <v>-511.32</v>
      </c>
      <c r="M324" s="311"/>
      <c r="N324" s="311">
        <f>+SUMIF('Input Sheet'!$AE:$AE,P324,'Input Sheet'!$X:$X)</f>
        <v>0</v>
      </c>
      <c r="O324" s="311"/>
      <c r="P324" t="str">
        <f t="shared" si="43"/>
        <v>340-3302</v>
      </c>
      <c r="Q324" s="315" t="str">
        <f t="shared" si="44"/>
        <v>Service</v>
      </c>
      <c r="R324" s="315" t="str">
        <f t="shared" si="45"/>
        <v>ServiceRetail % of Labour Sales</v>
      </c>
      <c r="S324" s="199"/>
      <c r="T324" s="199"/>
      <c r="U324" s="199"/>
    </row>
    <row r="325" spans="1:21" x14ac:dyDescent="0.25">
      <c r="A325" t="s">
        <v>996</v>
      </c>
      <c r="B325" t="s">
        <v>997</v>
      </c>
      <c r="C325" t="s">
        <v>997</v>
      </c>
      <c r="D325">
        <v>3303</v>
      </c>
      <c r="E325">
        <v>140</v>
      </c>
      <c r="F325" t="s">
        <v>1093</v>
      </c>
      <c r="G325" t="s">
        <v>1094</v>
      </c>
      <c r="H325" s="315" t="s">
        <v>17</v>
      </c>
      <c r="I325" s="315" t="s">
        <v>1095</v>
      </c>
      <c r="J325" s="315" t="str">
        <f t="shared" si="41"/>
        <v>ServiceRetail % of Labour Sales</v>
      </c>
      <c r="K325" s="315" t="str">
        <f t="shared" si="42"/>
        <v>140Service Retail labour Sales - Toyota</v>
      </c>
      <c r="L325" s="311">
        <f>+SUMIF('TUNZ Extracted TB'!M:M,$P325,'TUNZ Extracted TB'!G:G)</f>
        <v>0</v>
      </c>
      <c r="M325" s="311"/>
      <c r="N325" s="311">
        <f>+SUMIF('Input Sheet'!$AE:$AE,P325,'Input Sheet'!$X:$X)</f>
        <v>0</v>
      </c>
      <c r="O325" s="311"/>
      <c r="P325" t="str">
        <f t="shared" si="43"/>
        <v>140-3303</v>
      </c>
      <c r="Q325" s="315" t="str">
        <f t="shared" si="44"/>
        <v>Service</v>
      </c>
      <c r="R325" s="315" t="str">
        <f t="shared" si="45"/>
        <v>ServiceRetail % of Labour Sales</v>
      </c>
      <c r="S325" s="199"/>
      <c r="T325" s="199"/>
      <c r="U325" s="199"/>
    </row>
    <row r="326" spans="1:21" x14ac:dyDescent="0.25">
      <c r="A326" t="s">
        <v>996</v>
      </c>
      <c r="B326" t="s">
        <v>997</v>
      </c>
      <c r="C326" t="s">
        <v>997</v>
      </c>
      <c r="D326">
        <v>3303</v>
      </c>
      <c r="E326">
        <v>142</v>
      </c>
      <c r="F326" t="s">
        <v>1096</v>
      </c>
      <c r="G326" t="s">
        <v>1097</v>
      </c>
      <c r="H326" s="315" t="s">
        <v>1022</v>
      </c>
      <c r="I326" s="315" t="s">
        <v>1095</v>
      </c>
      <c r="J326" s="315" t="str">
        <f t="shared" si="41"/>
        <v>Lex ServiceRetail % of Labour Sales</v>
      </c>
      <c r="K326" s="315" t="str">
        <f t="shared" si="42"/>
        <v>142Service Retail labour Sales - Lexus</v>
      </c>
      <c r="L326" s="311">
        <f>+SUMIF('TUNZ Extracted TB'!M:M,$P326,'TUNZ Extracted TB'!G:G)</f>
        <v>0</v>
      </c>
      <c r="M326" s="311"/>
      <c r="N326" s="311">
        <f>+SUMIF('Input Sheet'!$AE:$AE,P326,'Input Sheet'!$X:$X)</f>
        <v>0</v>
      </c>
      <c r="O326" s="311"/>
      <c r="P326" t="str">
        <f t="shared" si="43"/>
        <v>142-3303</v>
      </c>
      <c r="Q326" s="315" t="str">
        <f t="shared" si="44"/>
        <v>Lex Service</v>
      </c>
      <c r="R326" s="315" t="str">
        <f t="shared" si="45"/>
        <v>Lex ServiceRetail % of Labour Sales</v>
      </c>
      <c r="S326" s="199"/>
      <c r="T326" s="199"/>
      <c r="U326" s="199"/>
    </row>
    <row r="327" spans="1:21" x14ac:dyDescent="0.25">
      <c r="A327" t="s">
        <v>996</v>
      </c>
      <c r="B327" t="s">
        <v>997</v>
      </c>
      <c r="C327" t="s">
        <v>997</v>
      </c>
      <c r="D327">
        <v>3303</v>
      </c>
      <c r="E327">
        <v>936</v>
      </c>
      <c r="F327" t="s">
        <v>1100</v>
      </c>
      <c r="G327" t="s">
        <v>1101</v>
      </c>
      <c r="H327" s="315" t="s">
        <v>58</v>
      </c>
      <c r="I327" s="315" t="s">
        <v>1095</v>
      </c>
      <c r="J327" s="315" t="str">
        <f t="shared" si="41"/>
        <v>BridgestoneRetail % of Labour Sales</v>
      </c>
      <c r="K327" s="315" t="str">
        <f t="shared" si="42"/>
        <v>936Other franchise/business revenue</v>
      </c>
      <c r="L327" s="311">
        <f>+SUMIF('TUNZ Extracted TB'!M:M,$P327,'TUNZ Extracted TB'!G:G)</f>
        <v>0</v>
      </c>
      <c r="M327" s="311"/>
      <c r="N327" s="311">
        <f>+SUMIF('Input Sheet'!$AE:$AE,P327,'Input Sheet'!$X:$X)</f>
        <v>0</v>
      </c>
      <c r="O327" s="311"/>
      <c r="P327" t="str">
        <f t="shared" si="43"/>
        <v>936-3303</v>
      </c>
      <c r="Q327" s="315" t="str">
        <f t="shared" si="44"/>
        <v>Bridgestone</v>
      </c>
      <c r="R327" s="315" t="str">
        <f t="shared" si="45"/>
        <v>BridgestoneRetail % of Labour Sales</v>
      </c>
      <c r="S327" s="199"/>
      <c r="T327" s="199"/>
      <c r="U327" s="199"/>
    </row>
    <row r="328" spans="1:21" x14ac:dyDescent="0.25">
      <c r="A328" t="s">
        <v>996</v>
      </c>
      <c r="B328" t="s">
        <v>997</v>
      </c>
      <c r="C328" t="s">
        <v>997</v>
      </c>
      <c r="D328">
        <v>3303</v>
      </c>
      <c r="E328">
        <v>935</v>
      </c>
      <c r="F328" t="s">
        <v>1100</v>
      </c>
      <c r="G328" t="s">
        <v>1101</v>
      </c>
      <c r="H328" s="315" t="s">
        <v>58</v>
      </c>
      <c r="I328" s="315" t="s">
        <v>1095</v>
      </c>
      <c r="J328" s="315" t="str">
        <f t="shared" si="41"/>
        <v>BridgestoneRetail % of Labour Sales</v>
      </c>
      <c r="K328" s="315" t="str">
        <f t="shared" si="42"/>
        <v>935Other franchise/business revenue</v>
      </c>
      <c r="L328" s="311">
        <f>+SUMIF('TUNZ Extracted TB'!M:M,$P328,'TUNZ Extracted TB'!G:G)</f>
        <v>0</v>
      </c>
      <c r="M328" s="311"/>
      <c r="N328" s="311">
        <f>+SUMIF('Input Sheet'!$AE:$AE,P328,'Input Sheet'!$X:$X)</f>
        <v>0</v>
      </c>
      <c r="O328" s="311"/>
      <c r="P328" t="str">
        <f t="shared" si="43"/>
        <v>935-3303</v>
      </c>
      <c r="Q328" s="315" t="str">
        <f t="shared" si="44"/>
        <v>Bridgestone</v>
      </c>
      <c r="R328" s="315" t="str">
        <f t="shared" si="45"/>
        <v>BridgestoneRetail % of Labour Sales</v>
      </c>
      <c r="S328" s="199"/>
      <c r="T328" s="199"/>
      <c r="U328" s="199"/>
    </row>
    <row r="329" spans="1:21" x14ac:dyDescent="0.25">
      <c r="A329" t="s">
        <v>996</v>
      </c>
      <c r="B329" t="s">
        <v>997</v>
      </c>
      <c r="C329" t="s">
        <v>997</v>
      </c>
      <c r="D329">
        <v>3303</v>
      </c>
      <c r="E329">
        <v>170</v>
      </c>
      <c r="F329" t="s">
        <v>1098</v>
      </c>
      <c r="G329" t="s">
        <v>1099</v>
      </c>
      <c r="H329" s="315" t="s">
        <v>1000</v>
      </c>
      <c r="I329" s="315" t="s">
        <v>1001</v>
      </c>
      <c r="J329" s="315" t="str">
        <f t="shared" si="41"/>
        <v>Admin &amp; OtherOther Overheads as % of Total Gross Profit</v>
      </c>
      <c r="K329" s="315" t="str">
        <f t="shared" si="42"/>
        <v>170Other Income - Toyota</v>
      </c>
      <c r="L329" s="311">
        <f>+SUMIF('TUNZ Extracted TB'!M:M,$P329,'TUNZ Extracted TB'!G:G)</f>
        <v>0</v>
      </c>
      <c r="M329" s="311"/>
      <c r="N329" s="311">
        <f>+SUMIF('Input Sheet'!$AE:$AE,P329,'Input Sheet'!$X:$X)</f>
        <v>0</v>
      </c>
      <c r="O329" s="311"/>
      <c r="P329" t="str">
        <f t="shared" si="43"/>
        <v>170-3303</v>
      </c>
      <c r="Q329" s="315" t="str">
        <f t="shared" si="44"/>
        <v>Admin &amp; Other</v>
      </c>
      <c r="R329" s="315" t="str">
        <f t="shared" si="45"/>
        <v>Admin &amp; OtherOther Overheads as % of Total Gross Profit</v>
      </c>
      <c r="S329" s="199"/>
      <c r="T329" s="199"/>
      <c r="U329" s="199"/>
    </row>
    <row r="330" spans="1:21" x14ac:dyDescent="0.25">
      <c r="A330" t="s">
        <v>996</v>
      </c>
      <c r="B330" t="s">
        <v>997</v>
      </c>
      <c r="C330" t="s">
        <v>1005</v>
      </c>
      <c r="D330">
        <v>3303</v>
      </c>
      <c r="E330">
        <v>240</v>
      </c>
      <c r="F330" t="s">
        <v>1093</v>
      </c>
      <c r="G330" t="s">
        <v>1094</v>
      </c>
      <c r="H330" s="315" t="s">
        <v>17</v>
      </c>
      <c r="I330" s="315" t="s">
        <v>1095</v>
      </c>
      <c r="J330" s="315" t="str">
        <f t="shared" si="41"/>
        <v>ServiceRetail % of Labour Sales</v>
      </c>
      <c r="K330" s="315" t="str">
        <f t="shared" si="42"/>
        <v>240Service Retail labour Sales - Toyota</v>
      </c>
      <c r="L330" s="311">
        <f>+SUMIF('TUNZ Extracted TB'!M:M,$P330,'TUNZ Extracted TB'!G:G)</f>
        <v>0</v>
      </c>
      <c r="M330" s="311"/>
      <c r="N330" s="311">
        <f>+SUMIF('Input Sheet'!$AE:$AE,P330,'Input Sheet'!$X:$X)</f>
        <v>0</v>
      </c>
      <c r="O330" s="311"/>
      <c r="P330" t="str">
        <f t="shared" si="43"/>
        <v>240-3303</v>
      </c>
      <c r="Q330" s="315" t="str">
        <f t="shared" si="44"/>
        <v>Service</v>
      </c>
      <c r="R330" s="315" t="str">
        <f t="shared" si="45"/>
        <v>ServiceRetail % of Labour Sales</v>
      </c>
      <c r="S330" s="199"/>
      <c r="T330" s="199"/>
      <c r="U330" s="199"/>
    </row>
    <row r="331" spans="1:21" x14ac:dyDescent="0.25">
      <c r="A331" t="s">
        <v>996</v>
      </c>
      <c r="B331" t="s">
        <v>997</v>
      </c>
      <c r="C331" t="s">
        <v>1012</v>
      </c>
      <c r="D331">
        <v>3303</v>
      </c>
      <c r="E331">
        <v>440</v>
      </c>
      <c r="F331" t="s">
        <v>1093</v>
      </c>
      <c r="G331" t="s">
        <v>1094</v>
      </c>
      <c r="H331" s="315" t="s">
        <v>17</v>
      </c>
      <c r="I331" s="315" t="s">
        <v>1095</v>
      </c>
      <c r="J331" s="315" t="str">
        <f t="shared" si="41"/>
        <v>ServiceRetail % of Labour Sales</v>
      </c>
      <c r="K331" s="315" t="str">
        <f t="shared" si="42"/>
        <v>440Service Retail labour Sales - Toyota</v>
      </c>
      <c r="L331" s="311">
        <f>+SUMIF('TUNZ Extracted TB'!M:M,$P331,'TUNZ Extracted TB'!G:G)</f>
        <v>0</v>
      </c>
      <c r="M331" s="311"/>
      <c r="N331" s="311">
        <f>+SUMIF('Input Sheet'!$AE:$AE,P331,'Input Sheet'!$X:$X)</f>
        <v>0</v>
      </c>
      <c r="O331" s="311"/>
      <c r="P331" t="str">
        <f t="shared" si="43"/>
        <v>440-3303</v>
      </c>
      <c r="Q331" s="315" t="str">
        <f t="shared" si="44"/>
        <v>Service</v>
      </c>
      <c r="R331" s="315" t="str">
        <f t="shared" si="45"/>
        <v>ServiceRetail % of Labour Sales</v>
      </c>
      <c r="S331" s="199"/>
      <c r="T331" s="199"/>
      <c r="U331" s="199"/>
    </row>
    <row r="332" spans="1:21" x14ac:dyDescent="0.25">
      <c r="A332" t="s">
        <v>996</v>
      </c>
      <c r="B332" t="s">
        <v>997</v>
      </c>
      <c r="C332" t="s">
        <v>1013</v>
      </c>
      <c r="D332">
        <v>3303</v>
      </c>
      <c r="E332">
        <v>340</v>
      </c>
      <c r="F332" t="s">
        <v>1093</v>
      </c>
      <c r="G332" t="s">
        <v>1094</v>
      </c>
      <c r="H332" s="315" t="s">
        <v>17</v>
      </c>
      <c r="I332" s="315" t="s">
        <v>1095</v>
      </c>
      <c r="J332" s="315" t="str">
        <f t="shared" si="41"/>
        <v>ServiceRetail % of Labour Sales</v>
      </c>
      <c r="K332" s="315" t="str">
        <f t="shared" si="42"/>
        <v>340Service Retail labour Sales - Toyota</v>
      </c>
      <c r="L332" s="311">
        <f>+SUMIF('TUNZ Extracted TB'!M:M,$P332,'TUNZ Extracted TB'!G:G)</f>
        <v>0</v>
      </c>
      <c r="M332" s="311"/>
      <c r="N332" s="311">
        <f>+SUMIF('Input Sheet'!$AE:$AE,P332,'Input Sheet'!$X:$X)</f>
        <v>0</v>
      </c>
      <c r="O332" s="311"/>
      <c r="P332" t="str">
        <f t="shared" si="43"/>
        <v>340-3303</v>
      </c>
      <c r="Q332" s="315" t="str">
        <f t="shared" si="44"/>
        <v>Service</v>
      </c>
      <c r="R332" s="315" t="str">
        <f t="shared" si="45"/>
        <v>ServiceRetail % of Labour Sales</v>
      </c>
      <c r="S332" s="199"/>
      <c r="T332" s="199"/>
      <c r="U332" s="199"/>
    </row>
    <row r="333" spans="1:21" x14ac:dyDescent="0.25">
      <c r="A333" t="s">
        <v>996</v>
      </c>
      <c r="B333" t="s">
        <v>997</v>
      </c>
      <c r="C333" t="s">
        <v>997</v>
      </c>
      <c r="D333">
        <v>3303</v>
      </c>
      <c r="E333">
        <v>147</v>
      </c>
      <c r="F333" t="s">
        <v>1093</v>
      </c>
      <c r="G333" t="s">
        <v>1094</v>
      </c>
      <c r="H333" s="315" t="s">
        <v>17</v>
      </c>
      <c r="I333" s="315" t="s">
        <v>1095</v>
      </c>
      <c r="J333" s="315" t="str">
        <f t="shared" si="41"/>
        <v>ServiceRetail % of Labour Sales</v>
      </c>
      <c r="K333" s="315" t="str">
        <f t="shared" si="42"/>
        <v>147Service Retail labour Sales - Toyota</v>
      </c>
      <c r="L333" s="311">
        <f>+SUMIF('TUNZ Extracted TB'!M:M,$P333,'TUNZ Extracted TB'!G:G)</f>
        <v>0</v>
      </c>
      <c r="M333" s="311"/>
      <c r="N333" s="311">
        <f>+SUMIF('Input Sheet'!$AE:$AE,P333,'Input Sheet'!$X:$X)</f>
        <v>0</v>
      </c>
      <c r="O333" s="311"/>
      <c r="P333" t="str">
        <f t="shared" si="43"/>
        <v>147-3303</v>
      </c>
      <c r="Q333" s="315" t="str">
        <f t="shared" si="44"/>
        <v>Service</v>
      </c>
      <c r="R333" s="315" t="str">
        <f t="shared" si="45"/>
        <v>ServiceRetail % of Labour Sales</v>
      </c>
      <c r="S333" s="199"/>
      <c r="T333" s="199"/>
      <c r="U333" s="199"/>
    </row>
    <row r="334" spans="1:21" x14ac:dyDescent="0.25">
      <c r="A334" t="s">
        <v>996</v>
      </c>
      <c r="B334" t="s">
        <v>997</v>
      </c>
      <c r="C334" t="s">
        <v>997</v>
      </c>
      <c r="D334">
        <v>3304</v>
      </c>
      <c r="E334">
        <v>140</v>
      </c>
      <c r="F334" t="s">
        <v>1093</v>
      </c>
      <c r="G334" t="s">
        <v>1094</v>
      </c>
      <c r="H334" s="315" t="s">
        <v>17</v>
      </c>
      <c r="I334" s="315" t="s">
        <v>1095</v>
      </c>
      <c r="J334" s="315" t="str">
        <f t="shared" si="41"/>
        <v>ServiceRetail % of Labour Sales</v>
      </c>
      <c r="K334" s="315" t="str">
        <f t="shared" si="42"/>
        <v>140Service Retail labour Sales - Toyota</v>
      </c>
      <c r="L334" s="311">
        <f>+SUMIF('TUNZ Extracted TB'!M:M,$P334,'TUNZ Extracted TB'!G:G)</f>
        <v>-2698.12</v>
      </c>
      <c r="M334" s="311"/>
      <c r="N334" s="311">
        <f>+SUMIF('Input Sheet'!$AE:$AE,P334,'Input Sheet'!$X:$X)</f>
        <v>0</v>
      </c>
      <c r="O334" s="311"/>
      <c r="P334" t="str">
        <f t="shared" si="43"/>
        <v>140-3304</v>
      </c>
      <c r="Q334" s="315" t="str">
        <f t="shared" si="44"/>
        <v>Service</v>
      </c>
      <c r="R334" s="315" t="str">
        <f t="shared" si="45"/>
        <v>ServiceRetail % of Labour Sales</v>
      </c>
      <c r="S334" s="199"/>
      <c r="T334" s="199"/>
      <c r="U334" s="199"/>
    </row>
    <row r="335" spans="1:21" x14ac:dyDescent="0.25">
      <c r="A335" t="s">
        <v>996</v>
      </c>
      <c r="B335" t="s">
        <v>997</v>
      </c>
      <c r="C335" t="s">
        <v>997</v>
      </c>
      <c r="D335">
        <v>3304</v>
      </c>
      <c r="E335">
        <v>142</v>
      </c>
      <c r="F335" t="s">
        <v>1096</v>
      </c>
      <c r="G335" t="s">
        <v>1097</v>
      </c>
      <c r="H335" s="315" t="s">
        <v>1022</v>
      </c>
      <c r="I335" s="315" t="s">
        <v>1095</v>
      </c>
      <c r="J335" s="315" t="str">
        <f t="shared" si="41"/>
        <v>Lex ServiceRetail % of Labour Sales</v>
      </c>
      <c r="K335" s="315" t="str">
        <f t="shared" si="42"/>
        <v>142Service Retail labour Sales - Lexus</v>
      </c>
      <c r="L335" s="311">
        <f>+SUMIF('TUNZ Extracted TB'!M:M,$P335,'TUNZ Extracted TB'!G:G)</f>
        <v>0</v>
      </c>
      <c r="M335" s="311"/>
      <c r="N335" s="311">
        <f>+SUMIF('Input Sheet'!$AE:$AE,P335,'Input Sheet'!$X:$X)</f>
        <v>0</v>
      </c>
      <c r="O335" s="311"/>
      <c r="P335" t="str">
        <f t="shared" si="43"/>
        <v>142-3304</v>
      </c>
      <c r="Q335" s="315" t="str">
        <f t="shared" si="44"/>
        <v>Lex Service</v>
      </c>
      <c r="R335" s="315" t="str">
        <f t="shared" si="45"/>
        <v>Lex ServiceRetail % of Labour Sales</v>
      </c>
      <c r="S335" s="199"/>
      <c r="T335" s="199"/>
      <c r="U335" s="199"/>
    </row>
    <row r="336" spans="1:21" x14ac:dyDescent="0.25">
      <c r="A336" t="s">
        <v>996</v>
      </c>
      <c r="B336" t="s">
        <v>997</v>
      </c>
      <c r="C336" t="s">
        <v>997</v>
      </c>
      <c r="D336">
        <v>3304</v>
      </c>
      <c r="E336">
        <v>147</v>
      </c>
      <c r="F336" t="s">
        <v>1093</v>
      </c>
      <c r="G336" t="s">
        <v>1094</v>
      </c>
      <c r="H336" s="315" t="s">
        <v>17</v>
      </c>
      <c r="I336" s="315" t="s">
        <v>1095</v>
      </c>
      <c r="J336" s="315" t="str">
        <f t="shared" si="41"/>
        <v>ServiceRetail % of Labour Sales</v>
      </c>
      <c r="K336" s="315" t="str">
        <f t="shared" si="42"/>
        <v>147Service Retail labour Sales - Toyota</v>
      </c>
      <c r="L336" s="311">
        <f>+SUMIF('TUNZ Extracted TB'!M:M,$P336,'TUNZ Extracted TB'!G:G)</f>
        <v>0</v>
      </c>
      <c r="M336" s="311"/>
      <c r="N336" s="311">
        <f>+SUMIF('Input Sheet'!$AE:$AE,P336,'Input Sheet'!$X:$X)</f>
        <v>0</v>
      </c>
      <c r="O336" s="311"/>
      <c r="P336" t="str">
        <f t="shared" si="43"/>
        <v>147-3304</v>
      </c>
      <c r="Q336" s="315" t="str">
        <f t="shared" si="44"/>
        <v>Service</v>
      </c>
      <c r="R336" s="315" t="str">
        <f t="shared" si="45"/>
        <v>ServiceRetail % of Labour Sales</v>
      </c>
      <c r="S336" s="199"/>
      <c r="T336" s="199"/>
      <c r="U336" s="199"/>
    </row>
    <row r="337" spans="1:21" x14ac:dyDescent="0.25">
      <c r="A337" t="s">
        <v>996</v>
      </c>
      <c r="B337" t="s">
        <v>997</v>
      </c>
      <c r="C337" t="s">
        <v>997</v>
      </c>
      <c r="D337">
        <v>3304</v>
      </c>
      <c r="E337">
        <v>170</v>
      </c>
      <c r="F337" t="s">
        <v>1088</v>
      </c>
      <c r="G337" t="s">
        <v>1089</v>
      </c>
      <c r="H337" s="315" t="s">
        <v>16</v>
      </c>
      <c r="I337" s="315" t="s">
        <v>1090</v>
      </c>
      <c r="J337" s="315" t="str">
        <f t="shared" si="41"/>
        <v>F&amp;IToyota Care Income per vehicle retailed</v>
      </c>
      <c r="K337" s="315" t="str">
        <f t="shared" si="42"/>
        <v>170Toyota Care Sales - Toyota</v>
      </c>
      <c r="L337" s="311">
        <f>+SUMIF('TUNZ Extracted TB'!M:M,$P337,'TUNZ Extracted TB'!G:G)</f>
        <v>0</v>
      </c>
      <c r="M337" s="311"/>
      <c r="N337" s="311">
        <f>+SUMIF('Input Sheet'!$AE:$AE,P337,'Input Sheet'!$X:$X)</f>
        <v>0</v>
      </c>
      <c r="O337" s="311"/>
      <c r="P337" t="str">
        <f t="shared" si="43"/>
        <v>170-3304</v>
      </c>
      <c r="Q337" s="315" t="str">
        <f t="shared" si="44"/>
        <v>F&amp;I</v>
      </c>
      <c r="R337" s="315" t="str">
        <f t="shared" si="45"/>
        <v>F&amp;IToyota Care Income per vehicle retailed</v>
      </c>
      <c r="S337" s="199"/>
      <c r="T337" s="199"/>
      <c r="U337" s="199"/>
    </row>
    <row r="338" spans="1:21" x14ac:dyDescent="0.25">
      <c r="A338" t="s">
        <v>996</v>
      </c>
      <c r="B338" t="s">
        <v>997</v>
      </c>
      <c r="C338" t="s">
        <v>1012</v>
      </c>
      <c r="D338">
        <v>3304</v>
      </c>
      <c r="E338">
        <v>440</v>
      </c>
      <c r="F338" t="s">
        <v>1093</v>
      </c>
      <c r="G338" t="s">
        <v>1094</v>
      </c>
      <c r="H338" s="315" t="s">
        <v>17</v>
      </c>
      <c r="I338" s="315" t="s">
        <v>1095</v>
      </c>
      <c r="J338" s="315" t="str">
        <f t="shared" si="41"/>
        <v>ServiceRetail % of Labour Sales</v>
      </c>
      <c r="K338" s="315" t="str">
        <f t="shared" si="42"/>
        <v>440Service Retail labour Sales - Toyota</v>
      </c>
      <c r="L338" s="311">
        <f>+SUMIF('TUNZ Extracted TB'!M:M,$P338,'TUNZ Extracted TB'!G:G)</f>
        <v>-1945.62</v>
      </c>
      <c r="M338" s="311"/>
      <c r="N338" s="311">
        <f>+SUMIF('Input Sheet'!$AE:$AE,P338,'Input Sheet'!$X:$X)</f>
        <v>0</v>
      </c>
      <c r="O338" s="311"/>
      <c r="P338" t="str">
        <f t="shared" si="43"/>
        <v>440-3304</v>
      </c>
      <c r="Q338" s="315" t="str">
        <f t="shared" si="44"/>
        <v>Service</v>
      </c>
      <c r="R338" s="315" t="str">
        <f t="shared" si="45"/>
        <v>ServiceRetail % of Labour Sales</v>
      </c>
      <c r="S338" s="199"/>
      <c r="T338" s="199"/>
      <c r="U338" s="199"/>
    </row>
    <row r="339" spans="1:21" x14ac:dyDescent="0.25">
      <c r="A339" t="s">
        <v>996</v>
      </c>
      <c r="B339" t="s">
        <v>997</v>
      </c>
      <c r="C339" t="s">
        <v>1013</v>
      </c>
      <c r="D339">
        <v>3304</v>
      </c>
      <c r="E339">
        <v>340</v>
      </c>
      <c r="F339" t="s">
        <v>1093</v>
      </c>
      <c r="G339" t="s">
        <v>1094</v>
      </c>
      <c r="H339" s="315" t="s">
        <v>17</v>
      </c>
      <c r="I339" s="315" t="s">
        <v>1095</v>
      </c>
      <c r="J339" s="315" t="str">
        <f t="shared" si="41"/>
        <v>ServiceRetail % of Labour Sales</v>
      </c>
      <c r="K339" s="315" t="str">
        <f t="shared" si="42"/>
        <v>340Service Retail labour Sales - Toyota</v>
      </c>
      <c r="L339" s="311">
        <f>+SUMIF('TUNZ Extracted TB'!M:M,$P339,'TUNZ Extracted TB'!G:G)</f>
        <v>-672.7</v>
      </c>
      <c r="M339" s="311"/>
      <c r="N339" s="311">
        <f>+SUMIF('Input Sheet'!$AE:$AE,P339,'Input Sheet'!$X:$X)</f>
        <v>0</v>
      </c>
      <c r="O339" s="311"/>
      <c r="P339" t="str">
        <f t="shared" si="43"/>
        <v>340-3304</v>
      </c>
      <c r="Q339" s="315" t="str">
        <f t="shared" si="44"/>
        <v>Service</v>
      </c>
      <c r="R339" s="315" t="str">
        <f t="shared" si="45"/>
        <v>ServiceRetail % of Labour Sales</v>
      </c>
      <c r="S339" s="199"/>
      <c r="T339" s="199"/>
      <c r="U339" s="199"/>
    </row>
    <row r="340" spans="1:21" x14ac:dyDescent="0.25">
      <c r="A340" t="s">
        <v>996</v>
      </c>
      <c r="B340" t="s">
        <v>997</v>
      </c>
      <c r="C340" t="s">
        <v>1005</v>
      </c>
      <c r="D340">
        <v>3304</v>
      </c>
      <c r="E340">
        <v>240</v>
      </c>
      <c r="F340" t="s">
        <v>1093</v>
      </c>
      <c r="G340" t="s">
        <v>1094</v>
      </c>
      <c r="H340" s="315" t="s">
        <v>17</v>
      </c>
      <c r="I340" s="315" t="s">
        <v>1095</v>
      </c>
      <c r="J340" s="315" t="str">
        <f t="shared" si="41"/>
        <v>ServiceRetail % of Labour Sales</v>
      </c>
      <c r="K340" s="315" t="str">
        <f t="shared" si="42"/>
        <v>240Service Retail labour Sales - Toyota</v>
      </c>
      <c r="L340" s="311">
        <f>+SUMIF('TUNZ Extracted TB'!M:M,$P340,'TUNZ Extracted TB'!G:G)</f>
        <v>-2523.83</v>
      </c>
      <c r="M340" s="311"/>
      <c r="N340" s="311">
        <f>+SUMIF('Input Sheet'!$AE:$AE,P340,'Input Sheet'!$X:$X)</f>
        <v>0</v>
      </c>
      <c r="O340" s="311"/>
      <c r="P340" t="str">
        <f t="shared" si="43"/>
        <v>240-3304</v>
      </c>
      <c r="Q340" s="315" t="str">
        <f t="shared" si="44"/>
        <v>Service</v>
      </c>
      <c r="R340" s="315" t="str">
        <f t="shared" si="45"/>
        <v>ServiceRetail % of Labour Sales</v>
      </c>
      <c r="S340" s="199"/>
      <c r="T340" s="199"/>
      <c r="U340" s="199"/>
    </row>
    <row r="341" spans="1:21" x14ac:dyDescent="0.25">
      <c r="A341" t="s">
        <v>996</v>
      </c>
      <c r="B341" t="s">
        <v>997</v>
      </c>
      <c r="C341" t="s">
        <v>997</v>
      </c>
      <c r="D341">
        <v>3305</v>
      </c>
      <c r="E341">
        <v>140</v>
      </c>
      <c r="F341" t="s">
        <v>1093</v>
      </c>
      <c r="G341" t="s">
        <v>1094</v>
      </c>
      <c r="H341" s="315" t="s">
        <v>17</v>
      </c>
      <c r="I341" s="315" t="s">
        <v>1095</v>
      </c>
      <c r="J341" s="315" t="str">
        <f t="shared" si="41"/>
        <v>ServiceRetail % of Labour Sales</v>
      </c>
      <c r="K341" s="315" t="str">
        <f t="shared" si="42"/>
        <v>140Service Retail labour Sales - Toyota</v>
      </c>
      <c r="L341" s="311">
        <f>+SUMIF('TUNZ Extracted TB'!M:M,$P341,'TUNZ Extracted TB'!G:G)</f>
        <v>92.31</v>
      </c>
      <c r="M341" s="311"/>
      <c r="N341" s="311">
        <f>+SUMIF('Input Sheet'!$AE:$AE,P341,'Input Sheet'!$X:$X)</f>
        <v>0</v>
      </c>
      <c r="O341" s="311"/>
      <c r="P341" t="str">
        <f t="shared" si="43"/>
        <v>140-3305</v>
      </c>
      <c r="Q341" s="315" t="str">
        <f t="shared" si="44"/>
        <v>Service</v>
      </c>
      <c r="R341" s="315" t="str">
        <f t="shared" si="45"/>
        <v>ServiceRetail % of Labour Sales</v>
      </c>
      <c r="S341" s="199"/>
      <c r="T341" s="199"/>
      <c r="U341" s="199"/>
    </row>
    <row r="342" spans="1:21" x14ac:dyDescent="0.25">
      <c r="A342" t="s">
        <v>996</v>
      </c>
      <c r="B342" t="s">
        <v>997</v>
      </c>
      <c r="C342" t="s">
        <v>997</v>
      </c>
      <c r="D342">
        <v>3305</v>
      </c>
      <c r="E342">
        <v>142</v>
      </c>
      <c r="F342" t="s">
        <v>1096</v>
      </c>
      <c r="G342" t="s">
        <v>1097</v>
      </c>
      <c r="H342" s="315" t="s">
        <v>1022</v>
      </c>
      <c r="I342" s="315" t="s">
        <v>1095</v>
      </c>
      <c r="J342" s="315" t="str">
        <f t="shared" si="41"/>
        <v>Lex ServiceRetail % of Labour Sales</v>
      </c>
      <c r="K342" s="315" t="str">
        <f t="shared" si="42"/>
        <v>142Service Retail labour Sales - Lexus</v>
      </c>
      <c r="L342" s="311">
        <f>+SUMIF('TUNZ Extracted TB'!M:M,$P342,'TUNZ Extracted TB'!G:G)</f>
        <v>0</v>
      </c>
      <c r="M342" s="311"/>
      <c r="N342" s="311">
        <f>+SUMIF('Input Sheet'!$AE:$AE,P342,'Input Sheet'!$X:$X)</f>
        <v>0</v>
      </c>
      <c r="O342" s="311"/>
      <c r="P342" t="str">
        <f t="shared" si="43"/>
        <v>142-3305</v>
      </c>
      <c r="Q342" s="315" t="str">
        <f t="shared" si="44"/>
        <v>Lex Service</v>
      </c>
      <c r="R342" s="315" t="str">
        <f t="shared" si="45"/>
        <v>Lex ServiceRetail % of Labour Sales</v>
      </c>
      <c r="S342" s="199"/>
      <c r="T342" s="199"/>
      <c r="U342" s="199"/>
    </row>
    <row r="343" spans="1:21" x14ac:dyDescent="0.25">
      <c r="A343" t="s">
        <v>996</v>
      </c>
      <c r="B343" t="s">
        <v>997</v>
      </c>
      <c r="C343" t="s">
        <v>1013</v>
      </c>
      <c r="D343">
        <v>3305</v>
      </c>
      <c r="E343">
        <v>340</v>
      </c>
      <c r="F343" t="s">
        <v>1093</v>
      </c>
      <c r="G343" t="s">
        <v>1094</v>
      </c>
      <c r="H343" s="315" t="s">
        <v>17</v>
      </c>
      <c r="I343" s="315" t="s">
        <v>1095</v>
      </c>
      <c r="J343" s="315" t="str">
        <f t="shared" si="41"/>
        <v>ServiceRetail % of Labour Sales</v>
      </c>
      <c r="K343" s="315" t="str">
        <f t="shared" si="42"/>
        <v>340Service Retail labour Sales - Toyota</v>
      </c>
      <c r="L343" s="311">
        <f>+SUMIF('TUNZ Extracted TB'!M:M,$P343,'TUNZ Extracted TB'!G:G)</f>
        <v>1021.35</v>
      </c>
      <c r="M343" s="311"/>
      <c r="N343" s="311">
        <f>+SUMIF('Input Sheet'!$AE:$AE,P343,'Input Sheet'!$X:$X)</f>
        <v>0</v>
      </c>
      <c r="O343" s="311"/>
      <c r="P343" t="str">
        <f t="shared" si="43"/>
        <v>340-3305</v>
      </c>
      <c r="Q343" s="315" t="str">
        <f t="shared" si="44"/>
        <v>Service</v>
      </c>
      <c r="R343" s="315" t="str">
        <f t="shared" si="45"/>
        <v>ServiceRetail % of Labour Sales</v>
      </c>
      <c r="S343" s="199"/>
      <c r="T343" s="199"/>
      <c r="U343" s="199"/>
    </row>
    <row r="344" spans="1:21" x14ac:dyDescent="0.25">
      <c r="A344" t="s">
        <v>996</v>
      </c>
      <c r="B344" t="s">
        <v>997</v>
      </c>
      <c r="C344" t="s">
        <v>1005</v>
      </c>
      <c r="D344">
        <v>3305</v>
      </c>
      <c r="E344">
        <v>240</v>
      </c>
      <c r="F344" t="s">
        <v>1093</v>
      </c>
      <c r="G344" t="s">
        <v>1094</v>
      </c>
      <c r="H344" s="315" t="s">
        <v>17</v>
      </c>
      <c r="I344" s="315" t="s">
        <v>1095</v>
      </c>
      <c r="J344" s="315" t="str">
        <f t="shared" si="41"/>
        <v>ServiceRetail % of Labour Sales</v>
      </c>
      <c r="K344" s="315" t="str">
        <f t="shared" si="42"/>
        <v>240Service Retail labour Sales - Toyota</v>
      </c>
      <c r="L344" s="311">
        <f>+SUMIF('TUNZ Extracted TB'!M:M,$P344,'TUNZ Extracted TB'!G:G)</f>
        <v>356.49</v>
      </c>
      <c r="M344" s="311"/>
      <c r="N344" s="311">
        <f>+SUMIF('Input Sheet'!$AE:$AE,P344,'Input Sheet'!$X:$X)</f>
        <v>0</v>
      </c>
      <c r="O344" s="311"/>
      <c r="P344" t="str">
        <f t="shared" si="43"/>
        <v>240-3305</v>
      </c>
      <c r="Q344" s="315" t="str">
        <f t="shared" si="44"/>
        <v>Service</v>
      </c>
      <c r="R344" s="315" t="str">
        <f t="shared" si="45"/>
        <v>ServiceRetail % of Labour Sales</v>
      </c>
      <c r="S344" s="199"/>
      <c r="T344" s="199"/>
      <c r="U344" s="199"/>
    </row>
    <row r="345" spans="1:21" x14ac:dyDescent="0.25">
      <c r="A345" t="s">
        <v>996</v>
      </c>
      <c r="B345" t="s">
        <v>997</v>
      </c>
      <c r="C345" t="s">
        <v>1012</v>
      </c>
      <c r="D345">
        <v>3305</v>
      </c>
      <c r="E345">
        <v>440</v>
      </c>
      <c r="F345" t="s">
        <v>1093</v>
      </c>
      <c r="G345" t="s">
        <v>1094</v>
      </c>
      <c r="H345" s="315" t="s">
        <v>17</v>
      </c>
      <c r="I345" s="315" t="s">
        <v>1095</v>
      </c>
      <c r="J345" s="315" t="str">
        <f t="shared" si="41"/>
        <v>ServiceRetail % of Labour Sales</v>
      </c>
      <c r="K345" s="315" t="str">
        <f t="shared" si="42"/>
        <v>440Service Retail labour Sales - Toyota</v>
      </c>
      <c r="L345" s="311">
        <f>+SUMIF('TUNZ Extracted TB'!M:M,$P345,'TUNZ Extracted TB'!G:G)</f>
        <v>80.790000000000006</v>
      </c>
      <c r="M345" s="311"/>
      <c r="N345" s="311">
        <f>+SUMIF('Input Sheet'!$AE:$AE,P345,'Input Sheet'!$X:$X)</f>
        <v>0</v>
      </c>
      <c r="O345" s="311"/>
      <c r="P345" t="str">
        <f t="shared" si="43"/>
        <v>440-3305</v>
      </c>
      <c r="Q345" s="315" t="str">
        <f t="shared" si="44"/>
        <v>Service</v>
      </c>
      <c r="R345" s="315" t="str">
        <f t="shared" si="45"/>
        <v>ServiceRetail % of Labour Sales</v>
      </c>
      <c r="S345" s="199"/>
      <c r="T345" s="199"/>
      <c r="U345" s="199"/>
    </row>
    <row r="346" spans="1:21" x14ac:dyDescent="0.25">
      <c r="A346" t="s">
        <v>996</v>
      </c>
      <c r="B346" t="s">
        <v>997</v>
      </c>
      <c r="C346" t="s">
        <v>997</v>
      </c>
      <c r="D346">
        <v>3305</v>
      </c>
      <c r="E346">
        <v>170</v>
      </c>
      <c r="F346" t="s">
        <v>1098</v>
      </c>
      <c r="G346" t="s">
        <v>1099</v>
      </c>
      <c r="H346" s="315" t="s">
        <v>1000</v>
      </c>
      <c r="I346" s="315" t="s">
        <v>1001</v>
      </c>
      <c r="J346" s="315" t="str">
        <f t="shared" si="41"/>
        <v>Admin &amp; OtherOther Overheads as % of Total Gross Profit</v>
      </c>
      <c r="K346" s="315" t="str">
        <f t="shared" si="42"/>
        <v>170Other Income - Toyota</v>
      </c>
      <c r="L346" s="311">
        <f>+SUMIF('TUNZ Extracted TB'!M:M,$P346,'TUNZ Extracted TB'!G:G)</f>
        <v>0</v>
      </c>
      <c r="M346" s="311"/>
      <c r="N346" s="311">
        <f>+SUMIF('Input Sheet'!$AE:$AE,P346,'Input Sheet'!$X:$X)</f>
        <v>0</v>
      </c>
      <c r="O346" s="311"/>
      <c r="P346" t="str">
        <f t="shared" si="43"/>
        <v>170-3305</v>
      </c>
      <c r="Q346" s="315" t="str">
        <f t="shared" si="44"/>
        <v>Admin &amp; Other</v>
      </c>
      <c r="R346" s="315" t="str">
        <f t="shared" si="45"/>
        <v>Admin &amp; OtherOther Overheads as % of Total Gross Profit</v>
      </c>
      <c r="S346" s="199"/>
      <c r="T346" s="199"/>
      <c r="U346" s="199"/>
    </row>
    <row r="347" spans="1:21" x14ac:dyDescent="0.25">
      <c r="A347" t="s">
        <v>996</v>
      </c>
      <c r="B347" t="s">
        <v>997</v>
      </c>
      <c r="C347" t="s">
        <v>997</v>
      </c>
      <c r="D347">
        <v>3305</v>
      </c>
      <c r="E347">
        <v>147</v>
      </c>
      <c r="F347" t="s">
        <v>1093</v>
      </c>
      <c r="G347" t="s">
        <v>1094</v>
      </c>
      <c r="H347" s="315" t="s">
        <v>17</v>
      </c>
      <c r="I347" s="315" t="s">
        <v>1095</v>
      </c>
      <c r="J347" s="315" t="str">
        <f t="shared" si="41"/>
        <v>ServiceRetail % of Labour Sales</v>
      </c>
      <c r="K347" s="315" t="str">
        <f t="shared" si="42"/>
        <v>147Service Retail labour Sales - Toyota</v>
      </c>
      <c r="L347" s="311">
        <f>+SUMIF('TUNZ Extracted TB'!M:M,$P347,'TUNZ Extracted TB'!G:G)</f>
        <v>0</v>
      </c>
      <c r="M347" s="311"/>
      <c r="N347" s="311">
        <f>+SUMIF('Input Sheet'!$AE:$AE,P347,'Input Sheet'!$X:$X)</f>
        <v>0</v>
      </c>
      <c r="O347" s="311"/>
      <c r="P347" t="str">
        <f t="shared" si="43"/>
        <v>147-3305</v>
      </c>
      <c r="Q347" s="315" t="str">
        <f t="shared" si="44"/>
        <v>Service</v>
      </c>
      <c r="R347" s="315" t="str">
        <f t="shared" si="45"/>
        <v>ServiceRetail % of Labour Sales</v>
      </c>
      <c r="S347" s="199"/>
      <c r="T347" s="199"/>
      <c r="U347" s="199"/>
    </row>
    <row r="348" spans="1:21" x14ac:dyDescent="0.25">
      <c r="A348" t="s">
        <v>996</v>
      </c>
      <c r="B348" t="s">
        <v>997</v>
      </c>
      <c r="C348" t="s">
        <v>997</v>
      </c>
      <c r="D348">
        <v>3306</v>
      </c>
      <c r="E348">
        <v>140</v>
      </c>
      <c r="F348" t="s">
        <v>1093</v>
      </c>
      <c r="G348" t="s">
        <v>1094</v>
      </c>
      <c r="H348" s="315" t="s">
        <v>17</v>
      </c>
      <c r="I348" s="315" t="s">
        <v>1095</v>
      </c>
      <c r="J348" s="315" t="str">
        <f t="shared" si="41"/>
        <v>ServiceRetail % of Labour Sales</v>
      </c>
      <c r="K348" s="315" t="str">
        <f t="shared" si="42"/>
        <v>140Service Retail labour Sales - Toyota</v>
      </c>
      <c r="L348" s="311">
        <f>+SUMIF('TUNZ Extracted TB'!M:M,$P348,'TUNZ Extracted TB'!G:G)</f>
        <v>0</v>
      </c>
      <c r="M348" s="311"/>
      <c r="N348" s="311">
        <f>+SUMIF('Input Sheet'!$AE:$AE,P348,'Input Sheet'!$X:$X)</f>
        <v>0</v>
      </c>
      <c r="O348" s="311"/>
      <c r="P348" t="str">
        <f t="shared" si="43"/>
        <v>140-3306</v>
      </c>
      <c r="Q348" s="315" t="str">
        <f t="shared" si="44"/>
        <v>Service</v>
      </c>
      <c r="R348" s="315" t="str">
        <f t="shared" si="45"/>
        <v>ServiceRetail % of Labour Sales</v>
      </c>
      <c r="S348" s="199"/>
      <c r="T348" s="199"/>
      <c r="U348" s="199"/>
    </row>
    <row r="349" spans="1:21" x14ac:dyDescent="0.25">
      <c r="A349" t="s">
        <v>996</v>
      </c>
      <c r="B349" t="s">
        <v>997</v>
      </c>
      <c r="C349" t="s">
        <v>997</v>
      </c>
      <c r="D349">
        <v>3306</v>
      </c>
      <c r="E349">
        <v>142</v>
      </c>
      <c r="F349" t="s">
        <v>1096</v>
      </c>
      <c r="G349" t="s">
        <v>1097</v>
      </c>
      <c r="H349" s="315" t="s">
        <v>1022</v>
      </c>
      <c r="I349" s="315" t="s">
        <v>1095</v>
      </c>
      <c r="J349" s="315" t="str">
        <f t="shared" si="41"/>
        <v>Lex ServiceRetail % of Labour Sales</v>
      </c>
      <c r="K349" s="315" t="str">
        <f t="shared" si="42"/>
        <v>142Service Retail labour Sales - Lexus</v>
      </c>
      <c r="L349" s="311">
        <f>+SUMIF('TUNZ Extracted TB'!M:M,$P349,'TUNZ Extracted TB'!G:G)</f>
        <v>0</v>
      </c>
      <c r="M349" s="311"/>
      <c r="N349" s="311">
        <f>+SUMIF('Input Sheet'!$AE:$AE,P349,'Input Sheet'!$X:$X)</f>
        <v>0</v>
      </c>
      <c r="O349" s="311"/>
      <c r="P349" t="str">
        <f t="shared" si="43"/>
        <v>142-3306</v>
      </c>
      <c r="Q349" s="315" t="str">
        <f t="shared" si="44"/>
        <v>Lex Service</v>
      </c>
      <c r="R349" s="315" t="str">
        <f t="shared" si="45"/>
        <v>Lex ServiceRetail % of Labour Sales</v>
      </c>
      <c r="S349" s="199"/>
      <c r="T349" s="199"/>
      <c r="U349" s="199"/>
    </row>
    <row r="350" spans="1:21" x14ac:dyDescent="0.25">
      <c r="A350" t="s">
        <v>996</v>
      </c>
      <c r="B350" t="s">
        <v>997</v>
      </c>
      <c r="C350" t="s">
        <v>997</v>
      </c>
      <c r="D350">
        <v>3306</v>
      </c>
      <c r="E350">
        <v>170</v>
      </c>
      <c r="F350" t="s">
        <v>1098</v>
      </c>
      <c r="G350" t="s">
        <v>1099</v>
      </c>
      <c r="H350" s="315" t="s">
        <v>1000</v>
      </c>
      <c r="I350" s="315" t="s">
        <v>1001</v>
      </c>
      <c r="J350" s="315" t="str">
        <f t="shared" si="41"/>
        <v>Admin &amp; OtherOther Overheads as % of Total Gross Profit</v>
      </c>
      <c r="K350" s="315" t="str">
        <f t="shared" si="42"/>
        <v>170Other Income - Toyota</v>
      </c>
      <c r="L350" s="311">
        <f>+SUMIF('TUNZ Extracted TB'!M:M,$P350,'TUNZ Extracted TB'!G:G)</f>
        <v>0</v>
      </c>
      <c r="M350" s="311"/>
      <c r="N350" s="311">
        <f>+SUMIF('Input Sheet'!$AE:$AE,P350,'Input Sheet'!$X:$X)</f>
        <v>0</v>
      </c>
      <c r="O350" s="311"/>
      <c r="P350" t="str">
        <f t="shared" si="43"/>
        <v>170-3306</v>
      </c>
      <c r="Q350" s="315" t="str">
        <f t="shared" si="44"/>
        <v>Admin &amp; Other</v>
      </c>
      <c r="R350" s="315" t="str">
        <f t="shared" si="45"/>
        <v>Admin &amp; OtherOther Overheads as % of Total Gross Profit</v>
      </c>
      <c r="S350" s="199"/>
      <c r="T350" s="199"/>
      <c r="U350" s="199"/>
    </row>
    <row r="351" spans="1:21" x14ac:dyDescent="0.25">
      <c r="A351" t="s">
        <v>996</v>
      </c>
      <c r="B351" t="s">
        <v>997</v>
      </c>
      <c r="C351" t="s">
        <v>1005</v>
      </c>
      <c r="D351">
        <v>3306</v>
      </c>
      <c r="E351">
        <v>240</v>
      </c>
      <c r="F351" t="s">
        <v>1093</v>
      </c>
      <c r="G351" t="s">
        <v>1094</v>
      </c>
      <c r="H351" s="315" t="s">
        <v>17</v>
      </c>
      <c r="I351" s="315" t="s">
        <v>1095</v>
      </c>
      <c r="J351" s="315" t="str">
        <f t="shared" si="41"/>
        <v>ServiceRetail % of Labour Sales</v>
      </c>
      <c r="K351" s="315" t="str">
        <f t="shared" si="42"/>
        <v>240Service Retail labour Sales - Toyota</v>
      </c>
      <c r="L351" s="311">
        <f>+SUMIF('TUNZ Extracted TB'!M:M,$P351,'TUNZ Extracted TB'!G:G)</f>
        <v>0</v>
      </c>
      <c r="M351" s="311"/>
      <c r="N351" s="311">
        <f>+SUMIF('Input Sheet'!$AE:$AE,P351,'Input Sheet'!$X:$X)</f>
        <v>0</v>
      </c>
      <c r="O351" s="311"/>
      <c r="P351" t="str">
        <f t="shared" si="43"/>
        <v>240-3306</v>
      </c>
      <c r="Q351" s="315" t="str">
        <f t="shared" si="44"/>
        <v>Service</v>
      </c>
      <c r="R351" s="315" t="str">
        <f t="shared" si="45"/>
        <v>ServiceRetail % of Labour Sales</v>
      </c>
      <c r="S351" s="199"/>
      <c r="T351" s="199"/>
      <c r="U351" s="199"/>
    </row>
    <row r="352" spans="1:21" x14ac:dyDescent="0.25">
      <c r="A352" t="s">
        <v>996</v>
      </c>
      <c r="B352" t="s">
        <v>997</v>
      </c>
      <c r="C352" t="s">
        <v>1012</v>
      </c>
      <c r="D352">
        <v>3306</v>
      </c>
      <c r="E352">
        <v>440</v>
      </c>
      <c r="F352" t="s">
        <v>1093</v>
      </c>
      <c r="G352" t="s">
        <v>1094</v>
      </c>
      <c r="H352" s="315" t="s">
        <v>17</v>
      </c>
      <c r="I352" s="315" t="s">
        <v>1095</v>
      </c>
      <c r="J352" s="315" t="str">
        <f t="shared" si="41"/>
        <v>ServiceRetail % of Labour Sales</v>
      </c>
      <c r="K352" s="315" t="str">
        <f t="shared" si="42"/>
        <v>440Service Retail labour Sales - Toyota</v>
      </c>
      <c r="L352" s="311">
        <f>+SUMIF('TUNZ Extracted TB'!M:M,$P352,'TUNZ Extracted TB'!G:G)</f>
        <v>0</v>
      </c>
      <c r="M352" s="311"/>
      <c r="N352" s="311">
        <f>+SUMIF('Input Sheet'!$AE:$AE,P352,'Input Sheet'!$X:$X)</f>
        <v>0</v>
      </c>
      <c r="O352" s="311"/>
      <c r="P352" t="str">
        <f t="shared" si="43"/>
        <v>440-3306</v>
      </c>
      <c r="Q352" s="315" t="str">
        <f t="shared" si="44"/>
        <v>Service</v>
      </c>
      <c r="R352" s="315" t="str">
        <f t="shared" si="45"/>
        <v>ServiceRetail % of Labour Sales</v>
      </c>
      <c r="S352" s="199"/>
      <c r="T352" s="199"/>
      <c r="U352" s="199"/>
    </row>
    <row r="353" spans="1:21" x14ac:dyDescent="0.25">
      <c r="A353" t="s">
        <v>996</v>
      </c>
      <c r="B353" t="s">
        <v>997</v>
      </c>
      <c r="C353" t="s">
        <v>1013</v>
      </c>
      <c r="D353">
        <v>3306</v>
      </c>
      <c r="E353">
        <v>340</v>
      </c>
      <c r="F353" t="s">
        <v>1093</v>
      </c>
      <c r="G353" t="s">
        <v>1094</v>
      </c>
      <c r="H353" s="315" t="s">
        <v>17</v>
      </c>
      <c r="I353" s="315" t="s">
        <v>1095</v>
      </c>
      <c r="J353" s="315" t="str">
        <f t="shared" si="41"/>
        <v>ServiceRetail % of Labour Sales</v>
      </c>
      <c r="K353" s="315" t="str">
        <f t="shared" si="42"/>
        <v>340Service Retail labour Sales - Toyota</v>
      </c>
      <c r="L353" s="311">
        <f>+SUMIF('TUNZ Extracted TB'!M:M,$P353,'TUNZ Extracted TB'!G:G)</f>
        <v>0</v>
      </c>
      <c r="M353" s="311"/>
      <c r="N353" s="311">
        <f>+SUMIF('Input Sheet'!$AE:$AE,P353,'Input Sheet'!$X:$X)</f>
        <v>0</v>
      </c>
      <c r="O353" s="311"/>
      <c r="P353" t="str">
        <f t="shared" si="43"/>
        <v>340-3306</v>
      </c>
      <c r="Q353" s="315" t="str">
        <f t="shared" si="44"/>
        <v>Service</v>
      </c>
      <c r="R353" s="315" t="str">
        <f t="shared" si="45"/>
        <v>ServiceRetail % of Labour Sales</v>
      </c>
      <c r="S353" s="199"/>
      <c r="T353" s="199"/>
      <c r="U353" s="199"/>
    </row>
    <row r="354" spans="1:21" x14ac:dyDescent="0.25">
      <c r="A354" t="s">
        <v>996</v>
      </c>
      <c r="B354" t="s">
        <v>997</v>
      </c>
      <c r="C354" t="s">
        <v>997</v>
      </c>
      <c r="D354">
        <v>3306</v>
      </c>
      <c r="E354">
        <v>147</v>
      </c>
      <c r="F354" t="s">
        <v>1093</v>
      </c>
      <c r="G354" t="s">
        <v>1094</v>
      </c>
      <c r="H354" s="315" t="s">
        <v>17</v>
      </c>
      <c r="I354" s="315" t="s">
        <v>1095</v>
      </c>
      <c r="J354" s="315" t="str">
        <f t="shared" si="41"/>
        <v>ServiceRetail % of Labour Sales</v>
      </c>
      <c r="K354" s="315" t="str">
        <f t="shared" si="42"/>
        <v>147Service Retail labour Sales - Toyota</v>
      </c>
      <c r="L354" s="311">
        <f>+SUMIF('TUNZ Extracted TB'!M:M,$P354,'TUNZ Extracted TB'!G:G)</f>
        <v>0</v>
      </c>
      <c r="M354" s="311"/>
      <c r="N354" s="311">
        <f>+SUMIF('Input Sheet'!$AE:$AE,P354,'Input Sheet'!$X:$X)</f>
        <v>0</v>
      </c>
      <c r="O354" s="311"/>
      <c r="P354" t="str">
        <f t="shared" si="43"/>
        <v>147-3306</v>
      </c>
      <c r="Q354" s="315" t="str">
        <f t="shared" si="44"/>
        <v>Service</v>
      </c>
      <c r="R354" s="315" t="str">
        <f t="shared" si="45"/>
        <v>ServiceRetail % of Labour Sales</v>
      </c>
      <c r="S354" s="199"/>
      <c r="T354" s="199"/>
      <c r="U354" s="199"/>
    </row>
    <row r="355" spans="1:21" x14ac:dyDescent="0.25">
      <c r="A355" t="s">
        <v>996</v>
      </c>
      <c r="B355" t="s">
        <v>997</v>
      </c>
      <c r="C355" t="s">
        <v>997</v>
      </c>
      <c r="D355">
        <v>3312</v>
      </c>
      <c r="E355">
        <v>140</v>
      </c>
      <c r="F355" t="s">
        <v>1093</v>
      </c>
      <c r="G355" t="s">
        <v>1094</v>
      </c>
      <c r="H355" s="315" t="s">
        <v>17</v>
      </c>
      <c r="I355" s="315" t="s">
        <v>1095</v>
      </c>
      <c r="J355" s="315" t="str">
        <f t="shared" si="41"/>
        <v>ServiceRetail % of Labour Sales</v>
      </c>
      <c r="K355" s="315" t="str">
        <f t="shared" si="42"/>
        <v>140Service Retail labour Sales - Toyota</v>
      </c>
      <c r="L355" s="311">
        <f>+SUMIF('TUNZ Extracted TB'!M:M,$P355,'TUNZ Extracted TB'!G:G)</f>
        <v>-831.53</v>
      </c>
      <c r="M355" s="311"/>
      <c r="N355" s="311">
        <f>+SUMIF('Input Sheet'!$AE:$AE,P355,'Input Sheet'!$X:$X)</f>
        <v>0</v>
      </c>
      <c r="O355" s="311"/>
      <c r="P355" t="str">
        <f t="shared" si="43"/>
        <v>140-3312</v>
      </c>
      <c r="Q355" s="315" t="str">
        <f t="shared" si="44"/>
        <v>Service</v>
      </c>
      <c r="R355" s="315" t="str">
        <f t="shared" si="45"/>
        <v>ServiceRetail % of Labour Sales</v>
      </c>
      <c r="S355" s="199"/>
      <c r="T355" s="199"/>
      <c r="U355" s="199"/>
    </row>
    <row r="356" spans="1:21" x14ac:dyDescent="0.25">
      <c r="A356" t="s">
        <v>996</v>
      </c>
      <c r="B356" t="s">
        <v>997</v>
      </c>
      <c r="C356" t="s">
        <v>997</v>
      </c>
      <c r="D356">
        <v>3312</v>
      </c>
      <c r="E356">
        <v>142</v>
      </c>
      <c r="F356" t="s">
        <v>1096</v>
      </c>
      <c r="G356" t="s">
        <v>1097</v>
      </c>
      <c r="H356" s="315" t="s">
        <v>1022</v>
      </c>
      <c r="I356" s="315" t="s">
        <v>1095</v>
      </c>
      <c r="J356" s="315" t="str">
        <f t="shared" si="41"/>
        <v>Lex ServiceRetail % of Labour Sales</v>
      </c>
      <c r="K356" s="315" t="str">
        <f t="shared" si="42"/>
        <v>142Service Retail labour Sales - Lexus</v>
      </c>
      <c r="L356" s="311">
        <f>+SUMIF('TUNZ Extracted TB'!M:M,$P356,'TUNZ Extracted TB'!G:G)</f>
        <v>0</v>
      </c>
      <c r="M356" s="311"/>
      <c r="N356" s="311">
        <f>+SUMIF('Input Sheet'!$AE:$AE,P356,'Input Sheet'!$X:$X)</f>
        <v>0</v>
      </c>
      <c r="O356" s="311"/>
      <c r="P356" t="str">
        <f t="shared" si="43"/>
        <v>142-3312</v>
      </c>
      <c r="Q356" s="315" t="str">
        <f t="shared" si="44"/>
        <v>Lex Service</v>
      </c>
      <c r="R356" s="315" t="str">
        <f t="shared" si="45"/>
        <v>Lex ServiceRetail % of Labour Sales</v>
      </c>
      <c r="S356" s="199"/>
      <c r="T356" s="199"/>
      <c r="U356" s="199"/>
    </row>
    <row r="357" spans="1:21" x14ac:dyDescent="0.25">
      <c r="A357" t="s">
        <v>996</v>
      </c>
      <c r="B357" t="s">
        <v>997</v>
      </c>
      <c r="C357" t="s">
        <v>997</v>
      </c>
      <c r="D357">
        <v>3312</v>
      </c>
      <c r="E357">
        <v>170</v>
      </c>
      <c r="F357" t="s">
        <v>1098</v>
      </c>
      <c r="G357" t="s">
        <v>1099</v>
      </c>
      <c r="H357" s="315" t="s">
        <v>1000</v>
      </c>
      <c r="I357" s="315" t="s">
        <v>1001</v>
      </c>
      <c r="J357" s="315" t="str">
        <f t="shared" si="41"/>
        <v>Admin &amp; OtherOther Overheads as % of Total Gross Profit</v>
      </c>
      <c r="K357" s="315" t="str">
        <f t="shared" si="42"/>
        <v>170Other Income - Toyota</v>
      </c>
      <c r="L357" s="311">
        <f>+SUMIF('TUNZ Extracted TB'!M:M,$P357,'TUNZ Extracted TB'!G:G)</f>
        <v>0</v>
      </c>
      <c r="M357" s="311"/>
      <c r="N357" s="311">
        <f>+SUMIF('Input Sheet'!$AE:$AE,P357,'Input Sheet'!$X:$X)</f>
        <v>0</v>
      </c>
      <c r="O357" s="311"/>
      <c r="P357" t="str">
        <f t="shared" si="43"/>
        <v>170-3312</v>
      </c>
      <c r="Q357" s="315" t="str">
        <f t="shared" si="44"/>
        <v>Admin &amp; Other</v>
      </c>
      <c r="R357" s="315" t="str">
        <f t="shared" si="45"/>
        <v>Admin &amp; OtherOther Overheads as % of Total Gross Profit</v>
      </c>
      <c r="S357" s="199"/>
      <c r="T357" s="199"/>
      <c r="U357" s="199"/>
    </row>
    <row r="358" spans="1:21" x14ac:dyDescent="0.25">
      <c r="A358" t="s">
        <v>996</v>
      </c>
      <c r="B358" t="s">
        <v>997</v>
      </c>
      <c r="C358" t="s">
        <v>997</v>
      </c>
      <c r="D358">
        <v>3312</v>
      </c>
      <c r="E358">
        <v>147</v>
      </c>
      <c r="F358" t="s">
        <v>1093</v>
      </c>
      <c r="G358" t="s">
        <v>1094</v>
      </c>
      <c r="H358" s="315" t="s">
        <v>17</v>
      </c>
      <c r="I358" s="315" t="s">
        <v>1095</v>
      </c>
      <c r="J358" s="315" t="str">
        <f t="shared" si="41"/>
        <v>ServiceRetail % of Labour Sales</v>
      </c>
      <c r="K358" s="315" t="str">
        <f t="shared" si="42"/>
        <v>147Service Retail labour Sales - Toyota</v>
      </c>
      <c r="L358" s="311">
        <f>+SUMIF('TUNZ Extracted TB'!M:M,$P358,'TUNZ Extracted TB'!G:G)</f>
        <v>0</v>
      </c>
      <c r="M358" s="311"/>
      <c r="N358" s="311">
        <f>+SUMIF('Input Sheet'!$AE:$AE,P358,'Input Sheet'!$X:$X)</f>
        <v>0</v>
      </c>
      <c r="O358" s="311"/>
      <c r="P358" t="str">
        <f t="shared" si="43"/>
        <v>147-3312</v>
      </c>
      <c r="Q358" s="315" t="str">
        <f t="shared" si="44"/>
        <v>Service</v>
      </c>
      <c r="R358" s="315" t="str">
        <f t="shared" si="45"/>
        <v>ServiceRetail % of Labour Sales</v>
      </c>
      <c r="S358" s="199"/>
      <c r="T358" s="199"/>
      <c r="U358" s="199"/>
    </row>
    <row r="359" spans="1:21" x14ac:dyDescent="0.25">
      <c r="A359" t="s">
        <v>996</v>
      </c>
      <c r="B359" t="s">
        <v>997</v>
      </c>
      <c r="C359" t="s">
        <v>1005</v>
      </c>
      <c r="D359">
        <v>3312</v>
      </c>
      <c r="E359">
        <v>240</v>
      </c>
      <c r="F359" t="s">
        <v>1093</v>
      </c>
      <c r="G359" t="s">
        <v>1094</v>
      </c>
      <c r="H359" s="315" t="s">
        <v>17</v>
      </c>
      <c r="I359" s="315" t="s">
        <v>1095</v>
      </c>
      <c r="J359" s="315" t="str">
        <f t="shared" si="41"/>
        <v>ServiceRetail % of Labour Sales</v>
      </c>
      <c r="K359" s="315" t="str">
        <f t="shared" si="42"/>
        <v>240Service Retail labour Sales - Toyota</v>
      </c>
      <c r="L359" s="311">
        <f>+SUMIF('TUNZ Extracted TB'!M:M,$P359,'TUNZ Extracted TB'!G:G)</f>
        <v>-911.52</v>
      </c>
      <c r="M359" s="311"/>
      <c r="N359" s="311">
        <f>+SUMIF('Input Sheet'!$AE:$AE,P359,'Input Sheet'!$X:$X)</f>
        <v>0</v>
      </c>
      <c r="O359" s="311"/>
      <c r="P359" t="str">
        <f t="shared" si="43"/>
        <v>240-3312</v>
      </c>
      <c r="Q359" s="315" t="str">
        <f t="shared" si="44"/>
        <v>Service</v>
      </c>
      <c r="R359" s="315" t="str">
        <f t="shared" si="45"/>
        <v>ServiceRetail % of Labour Sales</v>
      </c>
      <c r="S359" s="199"/>
      <c r="T359" s="199"/>
      <c r="U359" s="199"/>
    </row>
    <row r="360" spans="1:21" x14ac:dyDescent="0.25">
      <c r="A360" t="s">
        <v>996</v>
      </c>
      <c r="B360" t="s">
        <v>997</v>
      </c>
      <c r="C360" t="s">
        <v>1013</v>
      </c>
      <c r="D360">
        <v>3312</v>
      </c>
      <c r="E360">
        <v>340</v>
      </c>
      <c r="F360" t="s">
        <v>1093</v>
      </c>
      <c r="G360" t="s">
        <v>1094</v>
      </c>
      <c r="H360" s="315" t="s">
        <v>17</v>
      </c>
      <c r="I360" s="315" t="s">
        <v>1095</v>
      </c>
      <c r="J360" s="315" t="str">
        <f t="shared" si="41"/>
        <v>ServiceRetail % of Labour Sales</v>
      </c>
      <c r="K360" s="315" t="str">
        <f t="shared" si="42"/>
        <v>340Service Retail labour Sales - Toyota</v>
      </c>
      <c r="L360" s="311">
        <f>+SUMIF('TUNZ Extracted TB'!M:M,$P360,'TUNZ Extracted TB'!G:G)</f>
        <v>-2545.12</v>
      </c>
      <c r="M360" s="311"/>
      <c r="N360" s="311">
        <f>+SUMIF('Input Sheet'!$AE:$AE,P360,'Input Sheet'!$X:$X)</f>
        <v>0</v>
      </c>
      <c r="O360" s="311"/>
      <c r="P360" t="str">
        <f t="shared" si="43"/>
        <v>340-3312</v>
      </c>
      <c r="Q360" s="315" t="str">
        <f t="shared" si="44"/>
        <v>Service</v>
      </c>
      <c r="R360" s="315" t="str">
        <f t="shared" si="45"/>
        <v>ServiceRetail % of Labour Sales</v>
      </c>
      <c r="S360" s="199"/>
      <c r="T360" s="199"/>
      <c r="U360" s="199"/>
    </row>
    <row r="361" spans="1:21" x14ac:dyDescent="0.25">
      <c r="A361" t="s">
        <v>996</v>
      </c>
      <c r="B361" t="s">
        <v>997</v>
      </c>
      <c r="C361" t="s">
        <v>1012</v>
      </c>
      <c r="D361">
        <v>3312</v>
      </c>
      <c r="E361">
        <v>440</v>
      </c>
      <c r="F361" t="s">
        <v>1093</v>
      </c>
      <c r="G361" t="s">
        <v>1094</v>
      </c>
      <c r="H361" s="315" t="s">
        <v>17</v>
      </c>
      <c r="I361" s="315" t="s">
        <v>1095</v>
      </c>
      <c r="J361" s="315" t="str">
        <f t="shared" si="41"/>
        <v>ServiceRetail % of Labour Sales</v>
      </c>
      <c r="K361" s="315" t="str">
        <f t="shared" si="42"/>
        <v>440Service Retail labour Sales - Toyota</v>
      </c>
      <c r="L361" s="311">
        <f>+SUMIF('TUNZ Extracted TB'!M:M,$P361,'TUNZ Extracted TB'!G:G)</f>
        <v>-4531.38</v>
      </c>
      <c r="M361" s="311"/>
      <c r="N361" s="311">
        <f>+SUMIF('Input Sheet'!$AE:$AE,P361,'Input Sheet'!$X:$X)</f>
        <v>0</v>
      </c>
      <c r="O361" s="311"/>
      <c r="P361" t="str">
        <f t="shared" si="43"/>
        <v>440-3312</v>
      </c>
      <c r="Q361" s="315" t="str">
        <f t="shared" si="44"/>
        <v>Service</v>
      </c>
      <c r="R361" s="315" t="str">
        <f t="shared" si="45"/>
        <v>ServiceRetail % of Labour Sales</v>
      </c>
      <c r="S361" s="199"/>
      <c r="T361" s="199"/>
      <c r="U361" s="199"/>
    </row>
    <row r="362" spans="1:21" x14ac:dyDescent="0.25">
      <c r="A362" t="s">
        <v>996</v>
      </c>
      <c r="B362" t="s">
        <v>997</v>
      </c>
      <c r="C362" t="s">
        <v>997</v>
      </c>
      <c r="D362">
        <v>3320</v>
      </c>
      <c r="E362">
        <v>140</v>
      </c>
      <c r="F362" t="s">
        <v>1102</v>
      </c>
      <c r="G362" t="s">
        <v>1103</v>
      </c>
      <c r="H362" s="315" t="s">
        <v>17</v>
      </c>
      <c r="I362" s="315" t="s">
        <v>1104</v>
      </c>
      <c r="J362" s="315" t="str">
        <f t="shared" si="41"/>
        <v>ServiceWarranty % of Labour Sales</v>
      </c>
      <c r="K362" s="315" t="str">
        <f t="shared" si="42"/>
        <v>140Service Warranty labour Sales - Toyota</v>
      </c>
      <c r="L362" s="311">
        <f>+SUMIF('TUNZ Extracted TB'!M:M,$P362,'TUNZ Extracted TB'!G:G)</f>
        <v>-13851.57</v>
      </c>
      <c r="M362" s="311"/>
      <c r="N362" s="311">
        <f>+SUMIF('Input Sheet'!$AE:$AE,P362,'Input Sheet'!$X:$X)</f>
        <v>-25336.276614640967</v>
      </c>
      <c r="O362" s="311"/>
      <c r="P362" t="str">
        <f t="shared" si="43"/>
        <v>140-3320</v>
      </c>
      <c r="Q362" s="315" t="str">
        <f t="shared" si="44"/>
        <v>Service</v>
      </c>
      <c r="R362" s="315" t="str">
        <f t="shared" si="45"/>
        <v>ServiceWarranty % of Labour Sales</v>
      </c>
      <c r="S362" s="199"/>
      <c r="T362" s="199"/>
      <c r="U362" s="199"/>
    </row>
    <row r="363" spans="1:21" x14ac:dyDescent="0.25">
      <c r="A363" t="s">
        <v>996</v>
      </c>
      <c r="B363" t="s">
        <v>997</v>
      </c>
      <c r="C363" t="s">
        <v>997</v>
      </c>
      <c r="D363">
        <v>3320</v>
      </c>
      <c r="E363">
        <v>142</v>
      </c>
      <c r="F363" t="s">
        <v>1105</v>
      </c>
      <c r="G363" t="s">
        <v>1106</v>
      </c>
      <c r="H363" s="315" t="s">
        <v>1022</v>
      </c>
      <c r="I363" s="315" t="s">
        <v>1104</v>
      </c>
      <c r="J363" s="315" t="str">
        <f t="shared" si="41"/>
        <v>Lex ServiceWarranty % of Labour Sales</v>
      </c>
      <c r="K363" s="315" t="str">
        <f t="shared" si="42"/>
        <v>142Service Warranty labour Sales - Lexus</v>
      </c>
      <c r="L363" s="311">
        <f>+SUMIF('TUNZ Extracted TB'!M:M,$P363,'TUNZ Extracted TB'!G:G)</f>
        <v>-4925.9799999999996</v>
      </c>
      <c r="M363" s="311"/>
      <c r="N363" s="311">
        <f>+SUMIF('Input Sheet'!$AE:$AE,P363,'Input Sheet'!$X:$X)</f>
        <v>-31200</v>
      </c>
      <c r="O363" s="311"/>
      <c r="P363" t="str">
        <f t="shared" si="43"/>
        <v>142-3320</v>
      </c>
      <c r="Q363" s="315" t="str">
        <f t="shared" si="44"/>
        <v>Lex Service</v>
      </c>
      <c r="R363" s="315" t="str">
        <f t="shared" si="45"/>
        <v>Lex ServiceWarranty % of Labour Sales</v>
      </c>
      <c r="S363" s="199"/>
      <c r="T363" s="199"/>
      <c r="U363" s="199"/>
    </row>
    <row r="364" spans="1:21" x14ac:dyDescent="0.25">
      <c r="A364" t="s">
        <v>996</v>
      </c>
      <c r="B364" t="s">
        <v>997</v>
      </c>
      <c r="C364" t="s">
        <v>997</v>
      </c>
      <c r="D364">
        <v>3320</v>
      </c>
      <c r="E364">
        <v>170</v>
      </c>
      <c r="F364" t="s">
        <v>1098</v>
      </c>
      <c r="G364" t="s">
        <v>1099</v>
      </c>
      <c r="H364" s="315" t="s">
        <v>1000</v>
      </c>
      <c r="I364" s="315" t="s">
        <v>1001</v>
      </c>
      <c r="J364" s="315" t="str">
        <f t="shared" si="41"/>
        <v>Admin &amp; OtherOther Overheads as % of Total Gross Profit</v>
      </c>
      <c r="K364" s="315" t="str">
        <f t="shared" si="42"/>
        <v>170Other Income - Toyota</v>
      </c>
      <c r="L364" s="311">
        <f>+SUMIF('TUNZ Extracted TB'!M:M,$P364,'TUNZ Extracted TB'!G:G)</f>
        <v>0</v>
      </c>
      <c r="M364" s="311"/>
      <c r="N364" s="311">
        <f>+SUMIF('Input Sheet'!$AE:$AE,P364,'Input Sheet'!$X:$X)</f>
        <v>0</v>
      </c>
      <c r="O364" s="311"/>
      <c r="P364" t="str">
        <f t="shared" si="43"/>
        <v>170-3320</v>
      </c>
      <c r="Q364" s="315" t="str">
        <f t="shared" si="44"/>
        <v>Admin &amp; Other</v>
      </c>
      <c r="R364" s="315" t="str">
        <f t="shared" si="45"/>
        <v>Admin &amp; OtherOther Overheads as % of Total Gross Profit</v>
      </c>
      <c r="S364" s="199"/>
      <c r="T364" s="199"/>
      <c r="U364" s="199"/>
    </row>
    <row r="365" spans="1:21" x14ac:dyDescent="0.25">
      <c r="A365" t="s">
        <v>996</v>
      </c>
      <c r="B365" t="s">
        <v>997</v>
      </c>
      <c r="C365" t="s">
        <v>997</v>
      </c>
      <c r="D365">
        <v>3320</v>
      </c>
      <c r="E365">
        <v>147</v>
      </c>
      <c r="F365" t="s">
        <v>1102</v>
      </c>
      <c r="G365" t="s">
        <v>1103</v>
      </c>
      <c r="H365" s="315" t="s">
        <v>17</v>
      </c>
      <c r="I365" s="315" t="s">
        <v>1104</v>
      </c>
      <c r="J365" s="315" t="str">
        <f t="shared" si="41"/>
        <v>ServiceWarranty % of Labour Sales</v>
      </c>
      <c r="K365" s="315" t="str">
        <f t="shared" si="42"/>
        <v>147Service Warranty labour Sales - Toyota</v>
      </c>
      <c r="L365" s="311">
        <f>+SUMIF('TUNZ Extracted TB'!M:M,$P365,'TUNZ Extracted TB'!G:G)</f>
        <v>0</v>
      </c>
      <c r="M365" s="311"/>
      <c r="N365" s="311">
        <f>+SUMIF('Input Sheet'!$AE:$AE,P365,'Input Sheet'!$X:$X)</f>
        <v>-10.64008766887725</v>
      </c>
      <c r="O365" s="311"/>
      <c r="P365" t="str">
        <f t="shared" si="43"/>
        <v>147-3320</v>
      </c>
      <c r="Q365" s="315" t="str">
        <f t="shared" si="44"/>
        <v>Service</v>
      </c>
      <c r="R365" s="315" t="str">
        <f t="shared" si="45"/>
        <v>ServiceWarranty % of Labour Sales</v>
      </c>
      <c r="S365" s="199"/>
      <c r="T365" s="199"/>
      <c r="U365" s="199"/>
    </row>
    <row r="366" spans="1:21" x14ac:dyDescent="0.25">
      <c r="A366" t="s">
        <v>996</v>
      </c>
      <c r="B366" t="s">
        <v>997</v>
      </c>
      <c r="C366" t="s">
        <v>1012</v>
      </c>
      <c r="D366">
        <v>3320</v>
      </c>
      <c r="E366">
        <v>440</v>
      </c>
      <c r="F366" t="s">
        <v>1102</v>
      </c>
      <c r="G366" t="s">
        <v>1103</v>
      </c>
      <c r="H366" s="315" t="s">
        <v>17</v>
      </c>
      <c r="I366" s="315" t="s">
        <v>1104</v>
      </c>
      <c r="J366" s="315" t="str">
        <f t="shared" si="41"/>
        <v>ServiceWarranty % of Labour Sales</v>
      </c>
      <c r="K366" s="315" t="str">
        <f t="shared" si="42"/>
        <v>440Service Warranty labour Sales - Toyota</v>
      </c>
      <c r="L366" s="311">
        <f>+SUMIF('TUNZ Extracted TB'!M:M,$P366,'TUNZ Extracted TB'!G:G)</f>
        <v>-3289.84</v>
      </c>
      <c r="M366" s="311"/>
      <c r="N366" s="311">
        <f>+SUMIF('Input Sheet'!$AE:$AE,P366,'Input Sheet'!$X:$X)</f>
        <v>-2318.2054650234313</v>
      </c>
      <c r="O366" s="311"/>
      <c r="P366" t="str">
        <f t="shared" si="43"/>
        <v>440-3320</v>
      </c>
      <c r="Q366" s="315" t="str">
        <f t="shared" si="44"/>
        <v>Service</v>
      </c>
      <c r="R366" s="315" t="str">
        <f t="shared" si="45"/>
        <v>ServiceWarranty % of Labour Sales</v>
      </c>
      <c r="S366" s="199"/>
      <c r="T366" s="199"/>
      <c r="U366" s="199"/>
    </row>
    <row r="367" spans="1:21" x14ac:dyDescent="0.25">
      <c r="A367" t="s">
        <v>996</v>
      </c>
      <c r="B367" t="s">
        <v>997</v>
      </c>
      <c r="C367" t="s">
        <v>1013</v>
      </c>
      <c r="D367">
        <v>3320</v>
      </c>
      <c r="E367">
        <v>340</v>
      </c>
      <c r="F367" t="s">
        <v>1102</v>
      </c>
      <c r="G367" t="s">
        <v>1103</v>
      </c>
      <c r="H367" s="315" t="s">
        <v>17</v>
      </c>
      <c r="I367" s="315" t="s">
        <v>1104</v>
      </c>
      <c r="J367" s="315" t="str">
        <f t="shared" si="41"/>
        <v>ServiceWarranty % of Labour Sales</v>
      </c>
      <c r="K367" s="315" t="str">
        <f t="shared" si="42"/>
        <v>340Service Warranty labour Sales - Toyota</v>
      </c>
      <c r="L367" s="311">
        <f>+SUMIF('TUNZ Extracted TB'!M:M,$P367,'TUNZ Extracted TB'!G:G)</f>
        <v>-2908.84</v>
      </c>
      <c r="M367" s="311"/>
      <c r="N367" s="311">
        <f>+SUMIF('Input Sheet'!$AE:$AE,P367,'Input Sheet'!$X:$X)</f>
        <v>-6846.3190905597412</v>
      </c>
      <c r="O367" s="311"/>
      <c r="P367" t="str">
        <f t="shared" si="43"/>
        <v>340-3320</v>
      </c>
      <c r="Q367" s="315" t="str">
        <f t="shared" si="44"/>
        <v>Service</v>
      </c>
      <c r="R367" s="315" t="str">
        <f t="shared" si="45"/>
        <v>ServiceWarranty % of Labour Sales</v>
      </c>
      <c r="S367" s="199"/>
      <c r="T367" s="199"/>
      <c r="U367" s="199"/>
    </row>
    <row r="368" spans="1:21" x14ac:dyDescent="0.25">
      <c r="A368" t="s">
        <v>996</v>
      </c>
      <c r="B368" t="s">
        <v>997</v>
      </c>
      <c r="C368" t="s">
        <v>1005</v>
      </c>
      <c r="D368">
        <v>3320</v>
      </c>
      <c r="E368">
        <v>240</v>
      </c>
      <c r="F368" t="s">
        <v>1102</v>
      </c>
      <c r="G368" t="s">
        <v>1103</v>
      </c>
      <c r="H368" s="315" t="s">
        <v>17</v>
      </c>
      <c r="I368" s="315" t="s">
        <v>1104</v>
      </c>
      <c r="J368" s="315" t="str">
        <f t="shared" si="41"/>
        <v>ServiceWarranty % of Labour Sales</v>
      </c>
      <c r="K368" s="315" t="str">
        <f t="shared" si="42"/>
        <v>240Service Warranty labour Sales - Toyota</v>
      </c>
      <c r="L368" s="311">
        <f>+SUMIF('TUNZ Extracted TB'!M:M,$P368,'TUNZ Extracted TB'!G:G)</f>
        <v>-7124.88</v>
      </c>
      <c r="M368" s="311"/>
      <c r="N368" s="311">
        <f>+SUMIF('Input Sheet'!$AE:$AE,P368,'Input Sheet'!$X:$X)</f>
        <v>-14016.743628411927</v>
      </c>
      <c r="O368" s="311"/>
      <c r="P368" t="str">
        <f t="shared" si="43"/>
        <v>240-3320</v>
      </c>
      <c r="Q368" s="315" t="str">
        <f t="shared" si="44"/>
        <v>Service</v>
      </c>
      <c r="R368" s="315" t="str">
        <f t="shared" si="45"/>
        <v>ServiceWarranty % of Labour Sales</v>
      </c>
      <c r="S368" s="199"/>
      <c r="T368" s="199"/>
      <c r="U368" s="199"/>
    </row>
    <row r="369" spans="1:21" x14ac:dyDescent="0.25">
      <c r="A369" t="s">
        <v>996</v>
      </c>
      <c r="B369" t="s">
        <v>997</v>
      </c>
      <c r="C369" t="s">
        <v>997</v>
      </c>
      <c r="D369">
        <v>3340</v>
      </c>
      <c r="E369">
        <v>140</v>
      </c>
      <c r="F369" t="s">
        <v>1107</v>
      </c>
      <c r="G369" t="s">
        <v>1108</v>
      </c>
      <c r="H369" s="315" t="s">
        <v>17</v>
      </c>
      <c r="I369" s="315" t="s">
        <v>1109</v>
      </c>
      <c r="J369" s="315" t="str">
        <f t="shared" si="41"/>
        <v>ServiceInternal % of Labour Sales</v>
      </c>
      <c r="K369" s="315" t="str">
        <f t="shared" si="42"/>
        <v>140Service Internal labour Sales - Toyota</v>
      </c>
      <c r="L369" s="311">
        <f>+SUMIF('TUNZ Extracted TB'!M:M,$P369,'TUNZ Extracted TB'!G:G)</f>
        <v>-37603.839999999997</v>
      </c>
      <c r="M369" s="311"/>
      <c r="N369" s="311">
        <f>+SUMIF('Input Sheet'!$AE:$AE,P369,'Input Sheet'!$X:$X)</f>
        <v>-18980.853466769524</v>
      </c>
      <c r="O369" s="311"/>
      <c r="P369" t="str">
        <f t="shared" si="43"/>
        <v>140-3340</v>
      </c>
      <c r="Q369" s="315" t="str">
        <f t="shared" si="44"/>
        <v>Service</v>
      </c>
      <c r="R369" s="315" t="str">
        <f t="shared" si="45"/>
        <v>ServiceInternal % of Labour Sales</v>
      </c>
      <c r="S369" s="199"/>
      <c r="T369" s="199"/>
      <c r="U369" s="199"/>
    </row>
    <row r="370" spans="1:21" x14ac:dyDescent="0.25">
      <c r="A370" t="s">
        <v>996</v>
      </c>
      <c r="B370" t="s">
        <v>997</v>
      </c>
      <c r="C370" t="s">
        <v>997</v>
      </c>
      <c r="D370">
        <v>3340</v>
      </c>
      <c r="E370">
        <v>142</v>
      </c>
      <c r="F370" t="s">
        <v>1110</v>
      </c>
      <c r="G370" t="s">
        <v>1111</v>
      </c>
      <c r="H370" s="315" t="s">
        <v>1022</v>
      </c>
      <c r="I370" s="315" t="s">
        <v>1109</v>
      </c>
      <c r="J370" s="315" t="str">
        <f t="shared" si="41"/>
        <v>Lex ServiceInternal % of Labour Sales</v>
      </c>
      <c r="K370" s="315" t="str">
        <f t="shared" si="42"/>
        <v>142Service Internal labour Sales - Lexus</v>
      </c>
      <c r="L370" s="311">
        <f>+SUMIF('TUNZ Extracted TB'!M:M,$P370,'TUNZ Extracted TB'!G:G)</f>
        <v>-24483.17</v>
      </c>
      <c r="M370" s="311"/>
      <c r="N370" s="311">
        <f>+SUMIF('Input Sheet'!$AE:$AE,P370,'Input Sheet'!$X:$X)</f>
        <v>-21600</v>
      </c>
      <c r="O370" s="311"/>
      <c r="P370" t="str">
        <f t="shared" si="43"/>
        <v>142-3340</v>
      </c>
      <c r="Q370" s="315" t="str">
        <f t="shared" si="44"/>
        <v>Lex Service</v>
      </c>
      <c r="R370" s="315" t="str">
        <f t="shared" si="45"/>
        <v>Lex ServiceInternal % of Labour Sales</v>
      </c>
      <c r="S370" s="199"/>
      <c r="T370" s="199"/>
      <c r="U370" s="199"/>
    </row>
    <row r="371" spans="1:21" x14ac:dyDescent="0.25">
      <c r="A371" t="s">
        <v>996</v>
      </c>
      <c r="B371" t="s">
        <v>997</v>
      </c>
      <c r="C371" t="s">
        <v>997</v>
      </c>
      <c r="D371">
        <v>3340</v>
      </c>
      <c r="E371">
        <v>170</v>
      </c>
      <c r="F371" t="s">
        <v>1098</v>
      </c>
      <c r="G371" t="s">
        <v>1099</v>
      </c>
      <c r="H371" s="315" t="s">
        <v>1000</v>
      </c>
      <c r="I371" s="315" t="s">
        <v>1001</v>
      </c>
      <c r="J371" s="315" t="str">
        <f t="shared" si="41"/>
        <v>Admin &amp; OtherOther Overheads as % of Total Gross Profit</v>
      </c>
      <c r="K371" s="315" t="str">
        <f t="shared" si="42"/>
        <v>170Other Income - Toyota</v>
      </c>
      <c r="L371" s="311">
        <f>+SUMIF('TUNZ Extracted TB'!M:M,$P371,'TUNZ Extracted TB'!G:G)</f>
        <v>0</v>
      </c>
      <c r="M371" s="311"/>
      <c r="N371" s="311">
        <f>+SUMIF('Input Sheet'!$AE:$AE,P371,'Input Sheet'!$X:$X)</f>
        <v>0</v>
      </c>
      <c r="O371" s="311"/>
      <c r="P371" t="str">
        <f t="shared" si="43"/>
        <v>170-3340</v>
      </c>
      <c r="Q371" s="315" t="str">
        <f t="shared" si="44"/>
        <v>Admin &amp; Other</v>
      </c>
      <c r="R371" s="315" t="str">
        <f t="shared" si="45"/>
        <v>Admin &amp; OtherOther Overheads as % of Total Gross Profit</v>
      </c>
      <c r="S371" s="199"/>
      <c r="T371" s="199"/>
      <c r="U371" s="199"/>
    </row>
    <row r="372" spans="1:21" x14ac:dyDescent="0.25">
      <c r="A372" t="s">
        <v>996</v>
      </c>
      <c r="B372" t="s">
        <v>997</v>
      </c>
      <c r="C372" t="s">
        <v>997</v>
      </c>
      <c r="D372">
        <v>3340</v>
      </c>
      <c r="E372">
        <v>147</v>
      </c>
      <c r="F372" t="s">
        <v>1107</v>
      </c>
      <c r="G372" t="s">
        <v>1108</v>
      </c>
      <c r="H372" s="315" t="s">
        <v>17</v>
      </c>
      <c r="I372" s="315" t="s">
        <v>1109</v>
      </c>
      <c r="J372" s="315" t="str">
        <f t="shared" si="41"/>
        <v>ServiceInternal % of Labour Sales</v>
      </c>
      <c r="K372" s="315" t="str">
        <f t="shared" si="42"/>
        <v>147Service Internal labour Sales - Toyota</v>
      </c>
      <c r="L372" s="311">
        <f>+SUMIF('TUNZ Extracted TB'!M:M,$P372,'TUNZ Extracted TB'!G:G)</f>
        <v>0</v>
      </c>
      <c r="M372" s="311"/>
      <c r="N372" s="311">
        <f>+SUMIF('Input Sheet'!$AE:$AE,P372,'Input Sheet'!$X:$X)</f>
        <v>-177.6298108562703</v>
      </c>
      <c r="O372" s="311"/>
      <c r="P372" t="str">
        <f t="shared" si="43"/>
        <v>147-3340</v>
      </c>
      <c r="Q372" s="315" t="str">
        <f t="shared" si="44"/>
        <v>Service</v>
      </c>
      <c r="R372" s="315" t="str">
        <f t="shared" si="45"/>
        <v>ServiceInternal % of Labour Sales</v>
      </c>
      <c r="S372" s="199"/>
      <c r="T372" s="199"/>
      <c r="U372" s="199"/>
    </row>
    <row r="373" spans="1:21" x14ac:dyDescent="0.25">
      <c r="A373" t="s">
        <v>996</v>
      </c>
      <c r="B373" t="s">
        <v>997</v>
      </c>
      <c r="C373" t="s">
        <v>1013</v>
      </c>
      <c r="D373">
        <v>3340</v>
      </c>
      <c r="E373">
        <v>340</v>
      </c>
      <c r="F373" t="s">
        <v>1107</v>
      </c>
      <c r="G373" t="s">
        <v>1108</v>
      </c>
      <c r="H373" s="315" t="s">
        <v>17</v>
      </c>
      <c r="I373" s="315" t="s">
        <v>1109</v>
      </c>
      <c r="J373" s="315" t="str">
        <f t="shared" si="41"/>
        <v>ServiceInternal % of Labour Sales</v>
      </c>
      <c r="K373" s="315" t="str">
        <f t="shared" si="42"/>
        <v>340Service Internal labour Sales - Toyota</v>
      </c>
      <c r="L373" s="311">
        <f>+SUMIF('TUNZ Extracted TB'!M:M,$P373,'TUNZ Extracted TB'!G:G)</f>
        <v>-7349.52</v>
      </c>
      <c r="M373" s="311"/>
      <c r="N373" s="311">
        <f>+SUMIF('Input Sheet'!$AE:$AE,P373,'Input Sheet'!$X:$X)</f>
        <v>-7568.7808960319753</v>
      </c>
      <c r="O373" s="311"/>
      <c r="P373" t="str">
        <f t="shared" si="43"/>
        <v>340-3340</v>
      </c>
      <c r="Q373" s="315" t="str">
        <f t="shared" si="44"/>
        <v>Service</v>
      </c>
      <c r="R373" s="315" t="str">
        <f t="shared" si="45"/>
        <v>ServiceInternal % of Labour Sales</v>
      </c>
      <c r="S373" s="199"/>
      <c r="T373" s="199"/>
      <c r="U373" s="199"/>
    </row>
    <row r="374" spans="1:21" x14ac:dyDescent="0.25">
      <c r="A374" t="s">
        <v>996</v>
      </c>
      <c r="B374" t="s">
        <v>997</v>
      </c>
      <c r="C374" t="s">
        <v>1005</v>
      </c>
      <c r="D374">
        <v>3340</v>
      </c>
      <c r="E374">
        <v>240</v>
      </c>
      <c r="F374" t="s">
        <v>1107</v>
      </c>
      <c r="G374" t="s">
        <v>1108</v>
      </c>
      <c r="H374" s="315" t="s">
        <v>17</v>
      </c>
      <c r="I374" s="315" t="s">
        <v>1109</v>
      </c>
      <c r="J374" s="315" t="str">
        <f t="shared" si="41"/>
        <v>ServiceInternal % of Labour Sales</v>
      </c>
      <c r="K374" s="315" t="str">
        <f t="shared" si="42"/>
        <v>240Service Internal labour Sales - Toyota</v>
      </c>
      <c r="L374" s="311">
        <f>+SUMIF('TUNZ Extracted TB'!M:M,$P374,'TUNZ Extracted TB'!G:G)</f>
        <v>-13907.07</v>
      </c>
      <c r="M374" s="311"/>
      <c r="N374" s="311">
        <f>+SUMIF('Input Sheet'!$AE:$AE,P374,'Input Sheet'!$X:$X)</f>
        <v>-13555.870355584992</v>
      </c>
      <c r="O374" s="311"/>
      <c r="P374" t="str">
        <f t="shared" si="43"/>
        <v>240-3340</v>
      </c>
      <c r="Q374" s="315" t="str">
        <f t="shared" si="44"/>
        <v>Service</v>
      </c>
      <c r="R374" s="315" t="str">
        <f t="shared" si="45"/>
        <v>ServiceInternal % of Labour Sales</v>
      </c>
      <c r="S374" s="199"/>
      <c r="T374" s="199"/>
      <c r="U374" s="199"/>
    </row>
    <row r="375" spans="1:21" x14ac:dyDescent="0.25">
      <c r="A375" t="s">
        <v>996</v>
      </c>
      <c r="B375" t="s">
        <v>997</v>
      </c>
      <c r="C375" t="s">
        <v>997</v>
      </c>
      <c r="D375">
        <v>3340</v>
      </c>
      <c r="E375">
        <v>150</v>
      </c>
      <c r="F375" t="s">
        <v>1107</v>
      </c>
      <c r="G375" t="s">
        <v>1108</v>
      </c>
      <c r="H375" s="315" t="s">
        <v>145</v>
      </c>
      <c r="I375" s="315" t="s">
        <v>1109</v>
      </c>
      <c r="J375" s="315" t="str">
        <f t="shared" si="41"/>
        <v>Retail DetailingInternal % of Labour Sales</v>
      </c>
      <c r="K375" s="315" t="str">
        <f t="shared" si="42"/>
        <v>150Service Internal labour Sales - Toyota</v>
      </c>
      <c r="L375" s="311">
        <f>+SUMIF('TUNZ Extracted TB'!M:M,$P375,'TUNZ Extracted TB'!G:G)</f>
        <v>-18152</v>
      </c>
      <c r="M375" s="311"/>
      <c r="N375" s="311">
        <f>+SUMIF('Input Sheet'!$AE:$AE,P375,'Input Sheet'!$X:$X)</f>
        <v>-22312.266666666666</v>
      </c>
      <c r="O375" s="311"/>
      <c r="P375" t="str">
        <f t="shared" si="43"/>
        <v>150-3340</v>
      </c>
      <c r="Q375" s="315" t="str">
        <f t="shared" si="44"/>
        <v>Retail Detailing</v>
      </c>
      <c r="R375" s="315" t="str">
        <f t="shared" si="45"/>
        <v>Retail DetailingInternal % of Labour Sales</v>
      </c>
      <c r="S375" s="199"/>
      <c r="T375" s="199"/>
      <c r="U375" s="199"/>
    </row>
    <row r="376" spans="1:21" x14ac:dyDescent="0.25">
      <c r="A376" t="s">
        <v>996</v>
      </c>
      <c r="B376" t="s">
        <v>997</v>
      </c>
      <c r="C376" t="s">
        <v>1012</v>
      </c>
      <c r="D376">
        <v>3340</v>
      </c>
      <c r="E376">
        <v>440</v>
      </c>
      <c r="F376" t="s">
        <v>1107</v>
      </c>
      <c r="G376" t="s">
        <v>1108</v>
      </c>
      <c r="H376" s="315" t="s">
        <v>17</v>
      </c>
      <c r="I376" s="315" t="s">
        <v>1109</v>
      </c>
      <c r="J376" s="315" t="str">
        <f t="shared" si="41"/>
        <v>ServiceInternal % of Labour Sales</v>
      </c>
      <c r="K376" s="315" t="str">
        <f t="shared" si="42"/>
        <v>440Service Internal labour Sales - Toyota</v>
      </c>
      <c r="L376" s="311">
        <f>+SUMIF('TUNZ Extracted TB'!M:M,$P376,'TUNZ Extracted TB'!G:G)</f>
        <v>-65575.33</v>
      </c>
      <c r="M376" s="311"/>
      <c r="N376" s="311">
        <f>+SUMIF('Input Sheet'!$AE:$AE,P376,'Input Sheet'!$X:$X)</f>
        <v>-59729.975562000305</v>
      </c>
      <c r="O376" s="311"/>
      <c r="P376" t="str">
        <f t="shared" si="43"/>
        <v>440-3340</v>
      </c>
      <c r="Q376" s="315" t="str">
        <f t="shared" si="44"/>
        <v>Service</v>
      </c>
      <c r="R376" s="315" t="str">
        <f t="shared" si="45"/>
        <v>ServiceInternal % of Labour Sales</v>
      </c>
      <c r="S376" s="199"/>
      <c r="T376" s="199"/>
      <c r="U376" s="199"/>
    </row>
    <row r="377" spans="1:21" x14ac:dyDescent="0.25">
      <c r="A377" t="s">
        <v>996</v>
      </c>
      <c r="B377" t="s">
        <v>997</v>
      </c>
      <c r="C377" t="s">
        <v>997</v>
      </c>
      <c r="D377">
        <v>3350</v>
      </c>
      <c r="E377">
        <v>140</v>
      </c>
      <c r="F377" t="s">
        <v>1107</v>
      </c>
      <c r="G377" t="s">
        <v>1108</v>
      </c>
      <c r="H377" s="315" t="s">
        <v>17</v>
      </c>
      <c r="I377" s="315" t="s">
        <v>1109</v>
      </c>
      <c r="J377" s="315" t="str">
        <f t="shared" si="41"/>
        <v>ServiceInternal % of Labour Sales</v>
      </c>
      <c r="K377" s="315" t="str">
        <f t="shared" si="42"/>
        <v>140Service Internal labour Sales - Toyota</v>
      </c>
      <c r="L377" s="311">
        <f>+SUMIF('TUNZ Extracted TB'!M:M,$P377,'TUNZ Extracted TB'!G:G)</f>
        <v>0</v>
      </c>
      <c r="M377" s="311"/>
      <c r="N377" s="311">
        <f>+SUMIF('Input Sheet'!$AE:$AE,P377,'Input Sheet'!$X:$X)</f>
        <v>0</v>
      </c>
      <c r="O377" s="311"/>
      <c r="P377" t="str">
        <f t="shared" si="43"/>
        <v>140-3350</v>
      </c>
      <c r="Q377" s="315" t="str">
        <f t="shared" si="44"/>
        <v>Service</v>
      </c>
      <c r="R377" s="315" t="str">
        <f t="shared" si="45"/>
        <v>ServiceInternal % of Labour Sales</v>
      </c>
      <c r="S377" s="199"/>
      <c r="T377" s="199"/>
      <c r="U377" s="199"/>
    </row>
    <row r="378" spans="1:21" x14ac:dyDescent="0.25">
      <c r="A378" t="s">
        <v>996</v>
      </c>
      <c r="B378" t="s">
        <v>997</v>
      </c>
      <c r="C378" t="s">
        <v>997</v>
      </c>
      <c r="D378">
        <v>3350</v>
      </c>
      <c r="E378">
        <v>142</v>
      </c>
      <c r="F378" t="s">
        <v>1110</v>
      </c>
      <c r="G378" t="s">
        <v>1111</v>
      </c>
      <c r="H378" s="315" t="s">
        <v>1022</v>
      </c>
      <c r="I378" s="315" t="s">
        <v>1109</v>
      </c>
      <c r="J378" s="315" t="str">
        <f t="shared" si="41"/>
        <v>Lex ServiceInternal % of Labour Sales</v>
      </c>
      <c r="K378" s="315" t="str">
        <f t="shared" si="42"/>
        <v>142Service Internal labour Sales - Lexus</v>
      </c>
      <c r="L378" s="311">
        <f>+SUMIF('TUNZ Extracted TB'!M:M,$P378,'TUNZ Extracted TB'!G:G)</f>
        <v>0</v>
      </c>
      <c r="M378" s="311"/>
      <c r="N378" s="311">
        <f>+SUMIF('Input Sheet'!$AE:$AE,P378,'Input Sheet'!$X:$X)</f>
        <v>0</v>
      </c>
      <c r="O378" s="311"/>
      <c r="P378" t="str">
        <f t="shared" si="43"/>
        <v>142-3350</v>
      </c>
      <c r="Q378" s="315" t="str">
        <f t="shared" si="44"/>
        <v>Lex Service</v>
      </c>
      <c r="R378" s="315" t="str">
        <f t="shared" si="45"/>
        <v>Lex ServiceInternal % of Labour Sales</v>
      </c>
      <c r="S378" s="199"/>
      <c r="T378" s="199"/>
      <c r="U378" s="199"/>
    </row>
    <row r="379" spans="1:21" x14ac:dyDescent="0.25">
      <c r="A379" t="s">
        <v>996</v>
      </c>
      <c r="B379" t="s">
        <v>997</v>
      </c>
      <c r="C379" t="s">
        <v>997</v>
      </c>
      <c r="D379">
        <v>3350</v>
      </c>
      <c r="E379">
        <v>170</v>
      </c>
      <c r="F379" t="s">
        <v>1098</v>
      </c>
      <c r="G379" t="s">
        <v>1099</v>
      </c>
      <c r="H379" s="315" t="s">
        <v>1000</v>
      </c>
      <c r="I379" s="315" t="s">
        <v>1001</v>
      </c>
      <c r="J379" s="315" t="str">
        <f t="shared" si="41"/>
        <v>Admin &amp; OtherOther Overheads as % of Total Gross Profit</v>
      </c>
      <c r="K379" s="315" t="str">
        <f t="shared" si="42"/>
        <v>170Other Income - Toyota</v>
      </c>
      <c r="L379" s="311">
        <f>+SUMIF('TUNZ Extracted TB'!M:M,$P379,'TUNZ Extracted TB'!G:G)</f>
        <v>0</v>
      </c>
      <c r="M379" s="311"/>
      <c r="N379" s="311">
        <f>+SUMIF('Input Sheet'!$AE:$AE,P379,'Input Sheet'!$X:$X)</f>
        <v>0</v>
      </c>
      <c r="O379" s="311"/>
      <c r="P379" t="str">
        <f t="shared" si="43"/>
        <v>170-3350</v>
      </c>
      <c r="Q379" s="315" t="str">
        <f t="shared" si="44"/>
        <v>Admin &amp; Other</v>
      </c>
      <c r="R379" s="315" t="str">
        <f t="shared" si="45"/>
        <v>Admin &amp; OtherOther Overheads as % of Total Gross Profit</v>
      </c>
      <c r="S379" s="199"/>
      <c r="T379" s="199"/>
      <c r="U379" s="199"/>
    </row>
    <row r="380" spans="1:21" x14ac:dyDescent="0.25">
      <c r="A380" t="s">
        <v>996</v>
      </c>
      <c r="B380" t="s">
        <v>997</v>
      </c>
      <c r="C380" t="s">
        <v>1005</v>
      </c>
      <c r="D380">
        <v>3350</v>
      </c>
      <c r="E380">
        <v>240</v>
      </c>
      <c r="F380" t="s">
        <v>1107</v>
      </c>
      <c r="G380" t="s">
        <v>1108</v>
      </c>
      <c r="H380" s="315" t="s">
        <v>17</v>
      </c>
      <c r="I380" s="315" t="s">
        <v>1109</v>
      </c>
      <c r="J380" s="315" t="str">
        <f t="shared" si="41"/>
        <v>ServiceInternal % of Labour Sales</v>
      </c>
      <c r="K380" s="315" t="str">
        <f t="shared" si="42"/>
        <v>240Service Internal labour Sales - Toyota</v>
      </c>
      <c r="L380" s="311">
        <f>+SUMIF('TUNZ Extracted TB'!M:M,$P380,'TUNZ Extracted TB'!G:G)</f>
        <v>0</v>
      </c>
      <c r="M380" s="311"/>
      <c r="N380" s="311">
        <f>+SUMIF('Input Sheet'!$AE:$AE,P380,'Input Sheet'!$X:$X)</f>
        <v>0</v>
      </c>
      <c r="O380" s="311"/>
      <c r="P380" t="str">
        <f t="shared" si="43"/>
        <v>240-3350</v>
      </c>
      <c r="Q380" s="315" t="str">
        <f t="shared" si="44"/>
        <v>Service</v>
      </c>
      <c r="R380" s="315" t="str">
        <f t="shared" si="45"/>
        <v>ServiceInternal % of Labour Sales</v>
      </c>
      <c r="S380" s="199"/>
      <c r="T380" s="199"/>
      <c r="U380" s="199"/>
    </row>
    <row r="381" spans="1:21" x14ac:dyDescent="0.25">
      <c r="A381" t="s">
        <v>996</v>
      </c>
      <c r="B381" t="s">
        <v>997</v>
      </c>
      <c r="C381" t="s">
        <v>1012</v>
      </c>
      <c r="D381">
        <v>3350</v>
      </c>
      <c r="E381">
        <v>440</v>
      </c>
      <c r="F381" t="s">
        <v>1107</v>
      </c>
      <c r="G381" t="s">
        <v>1108</v>
      </c>
      <c r="H381" s="315" t="s">
        <v>17</v>
      </c>
      <c r="I381" s="315" t="s">
        <v>1109</v>
      </c>
      <c r="J381" s="315" t="str">
        <f t="shared" si="41"/>
        <v>ServiceInternal % of Labour Sales</v>
      </c>
      <c r="K381" s="315" t="str">
        <f t="shared" si="42"/>
        <v>440Service Internal labour Sales - Toyota</v>
      </c>
      <c r="L381" s="311">
        <f>+SUMIF('TUNZ Extracted TB'!M:M,$P381,'TUNZ Extracted TB'!G:G)</f>
        <v>0</v>
      </c>
      <c r="M381" s="311"/>
      <c r="N381" s="311">
        <f>+SUMIF('Input Sheet'!$AE:$AE,P381,'Input Sheet'!$X:$X)</f>
        <v>0</v>
      </c>
      <c r="O381" s="311"/>
      <c r="P381" t="str">
        <f t="shared" si="43"/>
        <v>440-3350</v>
      </c>
      <c r="Q381" s="315" t="str">
        <f t="shared" si="44"/>
        <v>Service</v>
      </c>
      <c r="R381" s="315" t="str">
        <f t="shared" si="45"/>
        <v>ServiceInternal % of Labour Sales</v>
      </c>
      <c r="S381" s="199"/>
      <c r="T381" s="199"/>
      <c r="U381" s="199"/>
    </row>
    <row r="382" spans="1:21" x14ac:dyDescent="0.25">
      <c r="A382" t="s">
        <v>996</v>
      </c>
      <c r="B382" t="s">
        <v>997</v>
      </c>
      <c r="C382" t="s">
        <v>1013</v>
      </c>
      <c r="D382">
        <v>3350</v>
      </c>
      <c r="E382">
        <v>340</v>
      </c>
      <c r="F382" t="s">
        <v>1107</v>
      </c>
      <c r="G382" t="s">
        <v>1108</v>
      </c>
      <c r="H382" s="315" t="s">
        <v>17</v>
      </c>
      <c r="I382" s="315" t="s">
        <v>1109</v>
      </c>
      <c r="J382" s="315" t="str">
        <f t="shared" si="41"/>
        <v>ServiceInternal % of Labour Sales</v>
      </c>
      <c r="K382" s="315" t="str">
        <f t="shared" si="42"/>
        <v>340Service Internal labour Sales - Toyota</v>
      </c>
      <c r="L382" s="311">
        <f>+SUMIF('TUNZ Extracted TB'!M:M,$P382,'TUNZ Extracted TB'!G:G)</f>
        <v>0</v>
      </c>
      <c r="M382" s="311"/>
      <c r="N382" s="311">
        <f>+SUMIF('Input Sheet'!$AE:$AE,P382,'Input Sheet'!$X:$X)</f>
        <v>0</v>
      </c>
      <c r="O382" s="311"/>
      <c r="P382" t="str">
        <f t="shared" si="43"/>
        <v>340-3350</v>
      </c>
      <c r="Q382" s="315" t="str">
        <f t="shared" si="44"/>
        <v>Service</v>
      </c>
      <c r="R382" s="315" t="str">
        <f t="shared" si="45"/>
        <v>ServiceInternal % of Labour Sales</v>
      </c>
      <c r="S382" s="199"/>
      <c r="T382" s="199"/>
      <c r="U382" s="199"/>
    </row>
    <row r="383" spans="1:21" x14ac:dyDescent="0.25">
      <c r="A383" t="s">
        <v>996</v>
      </c>
      <c r="B383" t="s">
        <v>997</v>
      </c>
      <c r="C383" t="s">
        <v>997</v>
      </c>
      <c r="D383">
        <v>3350</v>
      </c>
      <c r="E383">
        <v>147</v>
      </c>
      <c r="F383" t="s">
        <v>1107</v>
      </c>
      <c r="G383" t="s">
        <v>1108</v>
      </c>
      <c r="H383" s="315" t="s">
        <v>17</v>
      </c>
      <c r="I383" s="315" t="s">
        <v>1109</v>
      </c>
      <c r="J383" s="315" t="str">
        <f t="shared" si="41"/>
        <v>ServiceInternal % of Labour Sales</v>
      </c>
      <c r="K383" s="315" t="str">
        <f t="shared" si="42"/>
        <v>147Service Internal labour Sales - Toyota</v>
      </c>
      <c r="L383" s="311">
        <f>+SUMIF('TUNZ Extracted TB'!M:M,$P383,'TUNZ Extracted TB'!G:G)</f>
        <v>0</v>
      </c>
      <c r="M383" s="311"/>
      <c r="N383" s="311">
        <f>+SUMIF('Input Sheet'!$AE:$AE,P383,'Input Sheet'!$X:$X)</f>
        <v>0</v>
      </c>
      <c r="O383" s="311"/>
      <c r="P383" t="str">
        <f t="shared" si="43"/>
        <v>147-3350</v>
      </c>
      <c r="Q383" s="315" t="str">
        <f t="shared" si="44"/>
        <v>Service</v>
      </c>
      <c r="R383" s="315" t="str">
        <f t="shared" si="45"/>
        <v>ServiceInternal % of Labour Sales</v>
      </c>
      <c r="S383" s="199"/>
      <c r="T383" s="199"/>
      <c r="U383" s="199"/>
    </row>
    <row r="384" spans="1:21" x14ac:dyDescent="0.25">
      <c r="A384" t="s">
        <v>996</v>
      </c>
      <c r="B384" t="s">
        <v>997</v>
      </c>
      <c r="C384" t="s">
        <v>997</v>
      </c>
      <c r="D384">
        <v>3370</v>
      </c>
      <c r="E384">
        <v>170</v>
      </c>
      <c r="F384" t="s">
        <v>1098</v>
      </c>
      <c r="G384" t="s">
        <v>1099</v>
      </c>
      <c r="H384" s="315" t="s">
        <v>1000</v>
      </c>
      <c r="I384" s="315" t="s">
        <v>1001</v>
      </c>
      <c r="J384" s="315" t="str">
        <f t="shared" si="41"/>
        <v>Admin &amp; OtherOther Overheads as % of Total Gross Profit</v>
      </c>
      <c r="K384" s="315" t="str">
        <f t="shared" si="42"/>
        <v>170Other Income - Toyota</v>
      </c>
      <c r="L384" s="311">
        <f>+SUMIF('TUNZ Extracted TB'!M:M,$P384,'TUNZ Extracted TB'!G:G)</f>
        <v>0</v>
      </c>
      <c r="M384" s="311"/>
      <c r="N384" s="311">
        <f>+SUMIF('Input Sheet'!$AE:$AE,P384,'Input Sheet'!$X:$X)</f>
        <v>0</v>
      </c>
      <c r="O384" s="311"/>
      <c r="P384" t="str">
        <f t="shared" si="43"/>
        <v>170-3370</v>
      </c>
      <c r="Q384" s="315" t="str">
        <f t="shared" si="44"/>
        <v>Admin &amp; Other</v>
      </c>
      <c r="R384" s="315" t="str">
        <f t="shared" si="45"/>
        <v>Admin &amp; OtherOther Overheads as % of Total Gross Profit</v>
      </c>
      <c r="S384" s="199"/>
      <c r="T384" s="199"/>
      <c r="U384" s="199"/>
    </row>
    <row r="385" spans="1:21" x14ac:dyDescent="0.25">
      <c r="A385" t="s">
        <v>996</v>
      </c>
      <c r="B385" t="s">
        <v>997</v>
      </c>
      <c r="C385" t="s">
        <v>1012</v>
      </c>
      <c r="D385">
        <v>3370</v>
      </c>
      <c r="E385">
        <v>440</v>
      </c>
      <c r="F385" t="s">
        <v>1112</v>
      </c>
      <c r="G385" t="s">
        <v>1113</v>
      </c>
      <c r="H385" s="315" t="s">
        <v>17</v>
      </c>
      <c r="I385" s="315" t="s">
        <v>1114</v>
      </c>
      <c r="J385" s="315" t="str">
        <f t="shared" si="41"/>
        <v>ServiceUnsold Labour  as % of Labour COS</v>
      </c>
      <c r="K385" s="315" t="str">
        <f t="shared" si="42"/>
        <v>440Service Unsold Labour - Toyota</v>
      </c>
      <c r="L385" s="311">
        <f>+SUMIF('TUNZ Extracted TB'!M:M,$P385,'TUNZ Extracted TB'!G:G)</f>
        <v>0</v>
      </c>
      <c r="M385" s="311"/>
      <c r="N385" s="311">
        <f>+SUMIF('Input Sheet'!$AE:$AE,P385,'Input Sheet'!$X:$X)</f>
        <v>0</v>
      </c>
      <c r="O385" s="311"/>
      <c r="P385" t="str">
        <f t="shared" si="43"/>
        <v>440-3370</v>
      </c>
      <c r="Q385" s="315" t="str">
        <f t="shared" si="44"/>
        <v>Service</v>
      </c>
      <c r="R385" s="315" t="str">
        <f t="shared" si="45"/>
        <v>ServiceUnsold Labour  as % of Labour COS</v>
      </c>
      <c r="S385" s="199"/>
      <c r="T385" s="199"/>
      <c r="U385" s="199"/>
    </row>
    <row r="386" spans="1:21" x14ac:dyDescent="0.25">
      <c r="A386" t="s">
        <v>996</v>
      </c>
      <c r="B386" t="s">
        <v>997</v>
      </c>
      <c r="C386" t="s">
        <v>997</v>
      </c>
      <c r="D386">
        <v>3370</v>
      </c>
      <c r="E386">
        <v>147</v>
      </c>
      <c r="F386" t="s">
        <v>1112</v>
      </c>
      <c r="G386" t="s">
        <v>1113</v>
      </c>
      <c r="H386" s="315" t="s">
        <v>17</v>
      </c>
      <c r="I386" s="315" t="s">
        <v>1114</v>
      </c>
      <c r="J386" s="315" t="str">
        <f t="shared" si="41"/>
        <v>ServiceUnsold Labour  as % of Labour COS</v>
      </c>
      <c r="K386" s="315" t="str">
        <f t="shared" si="42"/>
        <v>147Service Unsold Labour - Toyota</v>
      </c>
      <c r="L386" s="311">
        <f>+SUMIF('TUNZ Extracted TB'!M:M,$P386,'TUNZ Extracted TB'!G:G)</f>
        <v>0</v>
      </c>
      <c r="M386" s="311"/>
      <c r="N386" s="311">
        <f>+SUMIF('Input Sheet'!$AE:$AE,P386,'Input Sheet'!$X:$X)</f>
        <v>0</v>
      </c>
      <c r="O386" s="311"/>
      <c r="P386" t="str">
        <f t="shared" si="43"/>
        <v>147-3370</v>
      </c>
      <c r="Q386" s="315" t="str">
        <f t="shared" si="44"/>
        <v>Service</v>
      </c>
      <c r="R386" s="315" t="str">
        <f t="shared" si="45"/>
        <v>ServiceUnsold Labour  as % of Labour COS</v>
      </c>
      <c r="S386" s="199"/>
      <c r="T386" s="199"/>
      <c r="U386" s="199"/>
    </row>
    <row r="387" spans="1:21" x14ac:dyDescent="0.25">
      <c r="A387" t="s">
        <v>996</v>
      </c>
      <c r="B387" t="s">
        <v>997</v>
      </c>
      <c r="C387" t="s">
        <v>997</v>
      </c>
      <c r="D387">
        <v>3390</v>
      </c>
      <c r="E387">
        <v>140</v>
      </c>
      <c r="F387" t="s">
        <v>1115</v>
      </c>
      <c r="G387" t="s">
        <v>1116</v>
      </c>
      <c r="H387" s="315" t="s">
        <v>17</v>
      </c>
      <c r="I387" s="315" t="s">
        <v>1117</v>
      </c>
      <c r="J387" s="315" t="str">
        <f t="shared" ref="J387:J450" si="46">+H387&amp;I387</f>
        <v>ServiceSublet % of Total Sales</v>
      </c>
      <c r="K387" s="315" t="str">
        <f t="shared" ref="K387:K450" si="47">+E387&amp;G387</f>
        <v>140Service Sublet Sales - Toyota</v>
      </c>
      <c r="L387" s="311">
        <f>+SUMIF('TUNZ Extracted TB'!M:M,$P387,'TUNZ Extracted TB'!G:G)</f>
        <v>-36487.53</v>
      </c>
      <c r="M387" s="311"/>
      <c r="N387" s="311">
        <f>+SUMIF('Input Sheet'!$AE:$AE,P387,'Input Sheet'!$X:$X)</f>
        <v>-95204.790409499314</v>
      </c>
      <c r="O387" s="311"/>
      <c r="P387" t="str">
        <f t="shared" ref="P387:P450" si="48">+E387&amp;"-"&amp;D387</f>
        <v>140-3390</v>
      </c>
      <c r="Q387" s="315" t="str">
        <f t="shared" ref="Q387:Q450" si="49">H387</f>
        <v>Service</v>
      </c>
      <c r="R387" s="315" t="str">
        <f t="shared" ref="R387:R450" si="50">J387</f>
        <v>ServiceSublet % of Total Sales</v>
      </c>
      <c r="S387" s="199"/>
      <c r="T387" s="199"/>
      <c r="U387" s="199"/>
    </row>
    <row r="388" spans="1:21" x14ac:dyDescent="0.25">
      <c r="A388" t="s">
        <v>996</v>
      </c>
      <c r="B388" t="s">
        <v>997</v>
      </c>
      <c r="C388" t="s">
        <v>997</v>
      </c>
      <c r="D388">
        <v>3390</v>
      </c>
      <c r="E388">
        <v>142</v>
      </c>
      <c r="F388" t="s">
        <v>1118</v>
      </c>
      <c r="G388" t="s">
        <v>1119</v>
      </c>
      <c r="H388" s="315" t="s">
        <v>1022</v>
      </c>
      <c r="I388" s="315" t="s">
        <v>1117</v>
      </c>
      <c r="J388" s="315" t="str">
        <f t="shared" si="46"/>
        <v>Lex ServiceSublet % of Total Sales</v>
      </c>
      <c r="K388" s="315" t="str">
        <f t="shared" si="47"/>
        <v>142Service Sublet Sales - Lexus</v>
      </c>
      <c r="L388" s="311">
        <f>+SUMIF('TUNZ Extracted TB'!M:M,$P388,'TUNZ Extracted TB'!G:G)</f>
        <v>-16423.37</v>
      </c>
      <c r="M388" s="311"/>
      <c r="N388" s="311">
        <f>+SUMIF('Input Sheet'!$AE:$AE,P388,'Input Sheet'!$X:$X)</f>
        <v>-31360</v>
      </c>
      <c r="O388" s="311"/>
      <c r="P388" t="str">
        <f t="shared" si="48"/>
        <v>142-3390</v>
      </c>
      <c r="Q388" s="315" t="str">
        <f t="shared" si="49"/>
        <v>Lex Service</v>
      </c>
      <c r="R388" s="315" t="str">
        <f t="shared" si="50"/>
        <v>Lex ServiceSublet % of Total Sales</v>
      </c>
      <c r="S388" s="199"/>
      <c r="T388" s="199"/>
      <c r="U388" s="199"/>
    </row>
    <row r="389" spans="1:21" x14ac:dyDescent="0.25">
      <c r="A389" t="s">
        <v>996</v>
      </c>
      <c r="B389" t="s">
        <v>997</v>
      </c>
      <c r="C389" t="s">
        <v>997</v>
      </c>
      <c r="D389">
        <v>3390</v>
      </c>
      <c r="E389">
        <v>170</v>
      </c>
      <c r="F389" t="s">
        <v>1098</v>
      </c>
      <c r="G389" t="s">
        <v>1099</v>
      </c>
      <c r="H389" s="315" t="s">
        <v>1000</v>
      </c>
      <c r="I389" s="315" t="s">
        <v>1001</v>
      </c>
      <c r="J389" s="315" t="str">
        <f t="shared" si="46"/>
        <v>Admin &amp; OtherOther Overheads as % of Total Gross Profit</v>
      </c>
      <c r="K389" s="315" t="str">
        <f t="shared" si="47"/>
        <v>170Other Income - Toyota</v>
      </c>
      <c r="L389" s="311">
        <f>+SUMIF('TUNZ Extracted TB'!M:M,$P389,'TUNZ Extracted TB'!G:G)</f>
        <v>0</v>
      </c>
      <c r="M389" s="311"/>
      <c r="N389" s="311">
        <f>+SUMIF('Input Sheet'!$AE:$AE,P389,'Input Sheet'!$X:$X)</f>
        <v>0</v>
      </c>
      <c r="O389" s="311"/>
      <c r="P389" t="str">
        <f t="shared" si="48"/>
        <v>170-3390</v>
      </c>
      <c r="Q389" s="315" t="str">
        <f t="shared" si="49"/>
        <v>Admin &amp; Other</v>
      </c>
      <c r="R389" s="315" t="str">
        <f t="shared" si="50"/>
        <v>Admin &amp; OtherOther Overheads as % of Total Gross Profit</v>
      </c>
      <c r="S389" s="199"/>
      <c r="T389" s="199"/>
      <c r="U389" s="199"/>
    </row>
    <row r="390" spans="1:21" x14ac:dyDescent="0.25">
      <c r="A390" t="s">
        <v>996</v>
      </c>
      <c r="B390" t="s">
        <v>997</v>
      </c>
      <c r="C390" t="s">
        <v>997</v>
      </c>
      <c r="D390">
        <v>3390</v>
      </c>
      <c r="E390">
        <v>147</v>
      </c>
      <c r="F390" t="s">
        <v>1115</v>
      </c>
      <c r="G390" t="s">
        <v>1116</v>
      </c>
      <c r="H390" s="315" t="s">
        <v>17</v>
      </c>
      <c r="I390" s="315" t="s">
        <v>1117</v>
      </c>
      <c r="J390" s="315" t="str">
        <f t="shared" si="46"/>
        <v>ServiceSublet % of Total Sales</v>
      </c>
      <c r="K390" s="315" t="str">
        <f t="shared" si="47"/>
        <v>147Service Sublet Sales - Toyota</v>
      </c>
      <c r="L390" s="311">
        <f>+SUMIF('TUNZ Extracted TB'!M:M,$P390,'TUNZ Extracted TB'!G:G)</f>
        <v>0</v>
      </c>
      <c r="M390" s="311"/>
      <c r="N390" s="311">
        <f>+SUMIF('Input Sheet'!$AE:$AE,P390,'Input Sheet'!$X:$X)</f>
        <v>-118.84533571075933</v>
      </c>
      <c r="O390" s="311"/>
      <c r="P390" t="str">
        <f t="shared" si="48"/>
        <v>147-3390</v>
      </c>
      <c r="Q390" s="315" t="str">
        <f t="shared" si="49"/>
        <v>Service</v>
      </c>
      <c r="R390" s="315" t="str">
        <f t="shared" si="50"/>
        <v>ServiceSublet % of Total Sales</v>
      </c>
      <c r="S390" s="199"/>
      <c r="T390" s="199"/>
      <c r="U390" s="199"/>
    </row>
    <row r="391" spans="1:21" x14ac:dyDescent="0.25">
      <c r="A391" t="s">
        <v>996</v>
      </c>
      <c r="B391" t="s">
        <v>997</v>
      </c>
      <c r="C391" t="s">
        <v>1005</v>
      </c>
      <c r="D391">
        <v>3390</v>
      </c>
      <c r="E391">
        <v>240</v>
      </c>
      <c r="F391" t="s">
        <v>1115</v>
      </c>
      <c r="G391" t="s">
        <v>1116</v>
      </c>
      <c r="H391" s="315" t="s">
        <v>17</v>
      </c>
      <c r="I391" s="315" t="s">
        <v>1117</v>
      </c>
      <c r="J391" s="315" t="str">
        <f t="shared" si="46"/>
        <v>ServiceSublet % of Total Sales</v>
      </c>
      <c r="K391" s="315" t="str">
        <f t="shared" si="47"/>
        <v>240Service Sublet Sales - Toyota</v>
      </c>
      <c r="L391" s="311">
        <f>+SUMIF('TUNZ Extracted TB'!M:M,$P391,'TUNZ Extracted TB'!G:G)</f>
        <v>-6492.48</v>
      </c>
      <c r="M391" s="311"/>
      <c r="N391" s="311">
        <f>+SUMIF('Input Sheet'!$AE:$AE,P391,'Input Sheet'!$X:$X)</f>
        <v>-46823.848342027784</v>
      </c>
      <c r="O391" s="311"/>
      <c r="P391" t="str">
        <f t="shared" si="48"/>
        <v>240-3390</v>
      </c>
      <c r="Q391" s="315" t="str">
        <f t="shared" si="49"/>
        <v>Service</v>
      </c>
      <c r="R391" s="315" t="str">
        <f t="shared" si="50"/>
        <v>ServiceSublet % of Total Sales</v>
      </c>
      <c r="S391" s="199"/>
      <c r="T391" s="199"/>
      <c r="U391" s="199"/>
    </row>
    <row r="392" spans="1:21" x14ac:dyDescent="0.25">
      <c r="A392" t="s">
        <v>996</v>
      </c>
      <c r="B392" t="s">
        <v>997</v>
      </c>
      <c r="C392" t="s">
        <v>1012</v>
      </c>
      <c r="D392">
        <v>3390</v>
      </c>
      <c r="E392">
        <v>440</v>
      </c>
      <c r="F392" t="s">
        <v>1115</v>
      </c>
      <c r="G392" t="s">
        <v>1116</v>
      </c>
      <c r="H392" s="315" t="s">
        <v>17</v>
      </c>
      <c r="I392" s="315" t="s">
        <v>1117</v>
      </c>
      <c r="J392" s="315" t="str">
        <f t="shared" si="46"/>
        <v>ServiceSublet % of Total Sales</v>
      </c>
      <c r="K392" s="315" t="str">
        <f t="shared" si="47"/>
        <v>440Service Sublet Sales - Toyota</v>
      </c>
      <c r="L392" s="311">
        <f>+SUMIF('TUNZ Extracted TB'!M:M,$P392,'TUNZ Extracted TB'!G:G)</f>
        <v>-4462.21</v>
      </c>
      <c r="M392" s="311"/>
      <c r="N392" s="311">
        <f>+SUMIF('Input Sheet'!$AE:$AE,P392,'Input Sheet'!$X:$X)</f>
        <v>-33842.549430935323</v>
      </c>
      <c r="O392" s="311"/>
      <c r="P392" t="str">
        <f t="shared" si="48"/>
        <v>440-3390</v>
      </c>
      <c r="Q392" s="315" t="str">
        <f t="shared" si="49"/>
        <v>Service</v>
      </c>
      <c r="R392" s="315" t="str">
        <f t="shared" si="50"/>
        <v>ServiceSublet % of Total Sales</v>
      </c>
      <c r="S392" s="199"/>
      <c r="T392" s="199"/>
      <c r="U392" s="199"/>
    </row>
    <row r="393" spans="1:21" x14ac:dyDescent="0.25">
      <c r="A393" t="s">
        <v>996</v>
      </c>
      <c r="B393" t="s">
        <v>997</v>
      </c>
      <c r="C393" t="s">
        <v>1013</v>
      </c>
      <c r="D393">
        <v>3390</v>
      </c>
      <c r="E393">
        <v>340</v>
      </c>
      <c r="F393" t="s">
        <v>1115</v>
      </c>
      <c r="G393" t="s">
        <v>1116</v>
      </c>
      <c r="H393" s="315" t="s">
        <v>17</v>
      </c>
      <c r="I393" s="315" t="s">
        <v>1117</v>
      </c>
      <c r="J393" s="315" t="str">
        <f t="shared" si="46"/>
        <v>ServiceSublet % of Total Sales</v>
      </c>
      <c r="K393" s="315" t="str">
        <f t="shared" si="47"/>
        <v>340Service Sublet Sales - Toyota</v>
      </c>
      <c r="L393" s="311">
        <f>+SUMIF('TUNZ Extracted TB'!M:M,$P393,'TUNZ Extracted TB'!G:G)</f>
        <v>-10653.01</v>
      </c>
      <c r="M393" s="311"/>
      <c r="N393" s="311">
        <f>+SUMIF('Input Sheet'!$AE:$AE,P393,'Input Sheet'!$X:$X)</f>
        <v>-37621.967600888318</v>
      </c>
      <c r="O393" s="311"/>
      <c r="P393" t="str">
        <f t="shared" si="48"/>
        <v>340-3390</v>
      </c>
      <c r="Q393" s="315" t="str">
        <f t="shared" si="49"/>
        <v>Service</v>
      </c>
      <c r="R393" s="315" t="str">
        <f t="shared" si="50"/>
        <v>ServiceSublet % of Total Sales</v>
      </c>
      <c r="S393" s="199"/>
      <c r="T393" s="199"/>
      <c r="U393" s="199"/>
    </row>
    <row r="394" spans="1:21" x14ac:dyDescent="0.25">
      <c r="A394" t="s">
        <v>996</v>
      </c>
      <c r="B394" t="s">
        <v>997</v>
      </c>
      <c r="C394" t="s">
        <v>997</v>
      </c>
      <c r="D394">
        <v>3395</v>
      </c>
      <c r="E394">
        <v>170</v>
      </c>
      <c r="F394" t="s">
        <v>1098</v>
      </c>
      <c r="G394" t="s">
        <v>1099</v>
      </c>
      <c r="H394" s="315" t="s">
        <v>1000</v>
      </c>
      <c r="I394" s="315" t="s">
        <v>1001</v>
      </c>
      <c r="J394" s="315" t="str">
        <f t="shared" si="46"/>
        <v>Admin &amp; OtherOther Overheads as % of Total Gross Profit</v>
      </c>
      <c r="K394" s="315" t="str">
        <f t="shared" si="47"/>
        <v>170Other Income - Toyota</v>
      </c>
      <c r="L394" s="311">
        <f>+SUMIF('TUNZ Extracted TB'!M:M,$P394,'TUNZ Extracted TB'!G:G)</f>
        <v>0</v>
      </c>
      <c r="M394" s="311"/>
      <c r="N394" s="311">
        <f>+SUMIF('Input Sheet'!$AE:$AE,P394,'Input Sheet'!$X:$X)</f>
        <v>0</v>
      </c>
      <c r="O394" s="311"/>
      <c r="P394" t="str">
        <f t="shared" si="48"/>
        <v>170-3395</v>
      </c>
      <c r="Q394" s="315" t="str">
        <f t="shared" si="49"/>
        <v>Admin &amp; Other</v>
      </c>
      <c r="R394" s="315" t="str">
        <f t="shared" si="50"/>
        <v>Admin &amp; OtherOther Overheads as % of Total Gross Profit</v>
      </c>
      <c r="S394" s="199"/>
      <c r="T394" s="199"/>
      <c r="U394" s="199"/>
    </row>
    <row r="395" spans="1:21" x14ac:dyDescent="0.25">
      <c r="A395" t="s">
        <v>996</v>
      </c>
      <c r="B395" t="s">
        <v>997</v>
      </c>
      <c r="C395" t="s">
        <v>1012</v>
      </c>
      <c r="D395">
        <v>3395</v>
      </c>
      <c r="E395">
        <v>440</v>
      </c>
      <c r="F395" t="s">
        <v>1115</v>
      </c>
      <c r="G395" t="s">
        <v>1116</v>
      </c>
      <c r="H395" s="315" t="s">
        <v>17</v>
      </c>
      <c r="I395" s="315" t="s">
        <v>1117</v>
      </c>
      <c r="J395" s="315" t="str">
        <f t="shared" si="46"/>
        <v>ServiceSublet % of Total Sales</v>
      </c>
      <c r="K395" s="315" t="str">
        <f t="shared" si="47"/>
        <v>440Service Sublet Sales - Toyota</v>
      </c>
      <c r="L395" s="311">
        <f>+SUMIF('TUNZ Extracted TB'!M:M,$P395,'TUNZ Extracted TB'!G:G)</f>
        <v>0</v>
      </c>
      <c r="M395" s="311"/>
      <c r="N395" s="311">
        <f>+SUMIF('Input Sheet'!$AE:$AE,P395,'Input Sheet'!$X:$X)</f>
        <v>0</v>
      </c>
      <c r="O395" s="311"/>
      <c r="P395" t="str">
        <f t="shared" si="48"/>
        <v>440-3395</v>
      </c>
      <c r="Q395" s="315" t="str">
        <f t="shared" si="49"/>
        <v>Service</v>
      </c>
      <c r="R395" s="315" t="str">
        <f t="shared" si="50"/>
        <v>ServiceSublet % of Total Sales</v>
      </c>
      <c r="S395" s="199"/>
      <c r="T395" s="199"/>
      <c r="U395" s="199"/>
    </row>
    <row r="396" spans="1:21" x14ac:dyDescent="0.25">
      <c r="A396" t="s">
        <v>996</v>
      </c>
      <c r="B396" t="s">
        <v>997</v>
      </c>
      <c r="C396" t="s">
        <v>997</v>
      </c>
      <c r="D396">
        <v>3395</v>
      </c>
      <c r="E396">
        <v>147</v>
      </c>
      <c r="F396" t="s">
        <v>1115</v>
      </c>
      <c r="G396" t="s">
        <v>1116</v>
      </c>
      <c r="H396" s="315" t="s">
        <v>17</v>
      </c>
      <c r="I396" s="315" t="s">
        <v>1117</v>
      </c>
      <c r="J396" s="315" t="str">
        <f t="shared" si="46"/>
        <v>ServiceSublet % of Total Sales</v>
      </c>
      <c r="K396" s="315" t="str">
        <f t="shared" si="47"/>
        <v>147Service Sublet Sales - Toyota</v>
      </c>
      <c r="L396" s="311">
        <f>+SUMIF('TUNZ Extracted TB'!M:M,$P396,'TUNZ Extracted TB'!G:G)</f>
        <v>0</v>
      </c>
      <c r="M396" s="311"/>
      <c r="N396" s="311">
        <f>+SUMIF('Input Sheet'!$AE:$AE,P396,'Input Sheet'!$X:$X)</f>
        <v>0</v>
      </c>
      <c r="O396" s="311"/>
      <c r="P396" t="str">
        <f t="shared" si="48"/>
        <v>147-3395</v>
      </c>
      <c r="Q396" s="315" t="str">
        <f t="shared" si="49"/>
        <v>Service</v>
      </c>
      <c r="R396" s="315" t="str">
        <f t="shared" si="50"/>
        <v>ServiceSublet % of Total Sales</v>
      </c>
      <c r="S396" s="199"/>
      <c r="T396" s="199"/>
      <c r="U396" s="199"/>
    </row>
    <row r="397" spans="1:21" x14ac:dyDescent="0.25">
      <c r="A397" t="s">
        <v>996</v>
      </c>
      <c r="B397" t="s">
        <v>997</v>
      </c>
      <c r="C397" t="s">
        <v>997</v>
      </c>
      <c r="D397">
        <v>3400</v>
      </c>
      <c r="E397">
        <v>140</v>
      </c>
      <c r="F397" t="s">
        <v>1017</v>
      </c>
      <c r="G397" t="s">
        <v>1018</v>
      </c>
      <c r="H397" s="315" t="s">
        <v>17</v>
      </c>
      <c r="I397" s="315" t="s">
        <v>1019</v>
      </c>
      <c r="J397" s="315" t="str">
        <f t="shared" si="46"/>
        <v>ServiceMiscellaneous % of Total Sales</v>
      </c>
      <c r="K397" s="315" t="str">
        <f t="shared" si="47"/>
        <v>140Service Miscellaneous Sales - Toyota</v>
      </c>
      <c r="L397" s="311">
        <f>+SUMIF('TUNZ Extracted TB'!M:M,$P397,'TUNZ Extracted TB'!G:G)</f>
        <v>-70158.880000000005</v>
      </c>
      <c r="M397" s="311"/>
      <c r="N397" s="311">
        <f>+SUMIF('Input Sheet'!$AE:$AE,P397,'Input Sheet'!$X:$X)</f>
        <v>0</v>
      </c>
      <c r="O397" s="311"/>
      <c r="P397" t="str">
        <f t="shared" si="48"/>
        <v>140-3400</v>
      </c>
      <c r="Q397" s="315" t="str">
        <f t="shared" si="49"/>
        <v>Service</v>
      </c>
      <c r="R397" s="315" t="str">
        <f t="shared" si="50"/>
        <v>ServiceMiscellaneous % of Total Sales</v>
      </c>
      <c r="S397" s="199"/>
      <c r="T397" s="199"/>
      <c r="U397" s="199"/>
    </row>
    <row r="398" spans="1:21" x14ac:dyDescent="0.25">
      <c r="A398" t="s">
        <v>996</v>
      </c>
      <c r="B398" t="s">
        <v>997</v>
      </c>
      <c r="C398" t="s">
        <v>997</v>
      </c>
      <c r="D398">
        <v>3400</v>
      </c>
      <c r="E398">
        <v>142</v>
      </c>
      <c r="F398" t="s">
        <v>1020</v>
      </c>
      <c r="G398" t="s">
        <v>1021</v>
      </c>
      <c r="H398" s="315" t="s">
        <v>1022</v>
      </c>
      <c r="I398" s="315" t="s">
        <v>1019</v>
      </c>
      <c r="J398" s="315" t="str">
        <f t="shared" si="46"/>
        <v>Lex ServiceMiscellaneous % of Total Sales</v>
      </c>
      <c r="K398" s="315" t="str">
        <f t="shared" si="47"/>
        <v>142Service Miscellaneous Sales - Lexus</v>
      </c>
      <c r="L398" s="311">
        <f>+SUMIF('TUNZ Extracted TB'!M:M,$P398,'TUNZ Extracted TB'!G:G)</f>
        <v>-15953.9</v>
      </c>
      <c r="M398" s="311"/>
      <c r="N398" s="311">
        <f>+SUMIF('Input Sheet'!$AE:$AE,P398,'Input Sheet'!$X:$X)</f>
        <v>0</v>
      </c>
      <c r="O398" s="311"/>
      <c r="P398" t="str">
        <f t="shared" si="48"/>
        <v>142-3400</v>
      </c>
      <c r="Q398" s="315" t="str">
        <f t="shared" si="49"/>
        <v>Lex Service</v>
      </c>
      <c r="R398" s="315" t="str">
        <f t="shared" si="50"/>
        <v>Lex ServiceMiscellaneous % of Total Sales</v>
      </c>
      <c r="S398" s="199"/>
      <c r="T398" s="199"/>
      <c r="U398" s="199"/>
    </row>
    <row r="399" spans="1:21" x14ac:dyDescent="0.25">
      <c r="A399" t="s">
        <v>996</v>
      </c>
      <c r="B399" t="s">
        <v>997</v>
      </c>
      <c r="C399" t="s">
        <v>997</v>
      </c>
      <c r="D399">
        <v>3400</v>
      </c>
      <c r="E399">
        <v>170</v>
      </c>
      <c r="F399" t="s">
        <v>1098</v>
      </c>
      <c r="G399" t="s">
        <v>1099</v>
      </c>
      <c r="H399" s="315" t="s">
        <v>1000</v>
      </c>
      <c r="I399" s="315" t="s">
        <v>1001</v>
      </c>
      <c r="J399" s="315" t="str">
        <f t="shared" si="46"/>
        <v>Admin &amp; OtherOther Overheads as % of Total Gross Profit</v>
      </c>
      <c r="K399" s="315" t="str">
        <f t="shared" si="47"/>
        <v>170Other Income - Toyota</v>
      </c>
      <c r="L399" s="311">
        <f>+SUMIF('TUNZ Extracted TB'!M:M,$P399,'TUNZ Extracted TB'!G:G)</f>
        <v>0</v>
      </c>
      <c r="M399" s="311"/>
      <c r="N399" s="311">
        <f>+SUMIF('Input Sheet'!$AE:$AE,P399,'Input Sheet'!$X:$X)</f>
        <v>0</v>
      </c>
      <c r="O399" s="311"/>
      <c r="P399" t="str">
        <f t="shared" si="48"/>
        <v>170-3400</v>
      </c>
      <c r="Q399" s="315" t="str">
        <f t="shared" si="49"/>
        <v>Admin &amp; Other</v>
      </c>
      <c r="R399" s="315" t="str">
        <f t="shared" si="50"/>
        <v>Admin &amp; OtherOther Overheads as % of Total Gross Profit</v>
      </c>
      <c r="S399" s="199"/>
      <c r="T399" s="199"/>
      <c r="U399" s="199"/>
    </row>
    <row r="400" spans="1:21" x14ac:dyDescent="0.25">
      <c r="A400" t="s">
        <v>996</v>
      </c>
      <c r="B400" t="s">
        <v>997</v>
      </c>
      <c r="C400" t="s">
        <v>997</v>
      </c>
      <c r="D400">
        <v>3400</v>
      </c>
      <c r="E400">
        <v>147</v>
      </c>
      <c r="F400" t="s">
        <v>1017</v>
      </c>
      <c r="G400" t="s">
        <v>1018</v>
      </c>
      <c r="H400" s="315" t="s">
        <v>17</v>
      </c>
      <c r="I400" s="315" t="s">
        <v>1019</v>
      </c>
      <c r="J400" s="315" t="str">
        <f t="shared" si="46"/>
        <v>ServiceMiscellaneous % of Total Sales</v>
      </c>
      <c r="K400" s="315" t="str">
        <f t="shared" si="47"/>
        <v>147Service Miscellaneous Sales - Toyota</v>
      </c>
      <c r="L400" s="311">
        <f>+SUMIF('TUNZ Extracted TB'!M:M,$P400,'TUNZ Extracted TB'!G:G)</f>
        <v>0</v>
      </c>
      <c r="M400" s="311"/>
      <c r="N400" s="311">
        <f>+SUMIF('Input Sheet'!$AE:$AE,P400,'Input Sheet'!$X:$X)</f>
        <v>0</v>
      </c>
      <c r="O400" s="311"/>
      <c r="P400" t="str">
        <f t="shared" si="48"/>
        <v>147-3400</v>
      </c>
      <c r="Q400" s="315" t="str">
        <f t="shared" si="49"/>
        <v>Service</v>
      </c>
      <c r="R400" s="315" t="str">
        <f t="shared" si="50"/>
        <v>ServiceMiscellaneous % of Total Sales</v>
      </c>
      <c r="S400" s="199"/>
      <c r="T400" s="199"/>
      <c r="U400" s="199"/>
    </row>
    <row r="401" spans="1:21" x14ac:dyDescent="0.25">
      <c r="A401" t="s">
        <v>996</v>
      </c>
      <c r="B401" t="s">
        <v>997</v>
      </c>
      <c r="C401" t="s">
        <v>1012</v>
      </c>
      <c r="D401">
        <v>3400</v>
      </c>
      <c r="E401">
        <v>440</v>
      </c>
      <c r="F401" t="s">
        <v>1017</v>
      </c>
      <c r="G401" t="s">
        <v>1018</v>
      </c>
      <c r="H401" s="315" t="s">
        <v>17</v>
      </c>
      <c r="I401" s="315" t="s">
        <v>1019</v>
      </c>
      <c r="J401" s="315" t="str">
        <f t="shared" si="46"/>
        <v>ServiceMiscellaneous % of Total Sales</v>
      </c>
      <c r="K401" s="315" t="str">
        <f t="shared" si="47"/>
        <v>440Service Miscellaneous Sales - Toyota</v>
      </c>
      <c r="L401" s="311">
        <f>+SUMIF('TUNZ Extracted TB'!M:M,$P401,'TUNZ Extracted TB'!G:G)</f>
        <v>-17338.55</v>
      </c>
      <c r="M401" s="311"/>
      <c r="N401" s="311">
        <f>+SUMIF('Input Sheet'!$AE:$AE,P401,'Input Sheet'!$X:$X)</f>
        <v>0</v>
      </c>
      <c r="O401" s="311"/>
      <c r="P401" t="str">
        <f t="shared" si="48"/>
        <v>440-3400</v>
      </c>
      <c r="Q401" s="315" t="str">
        <f t="shared" si="49"/>
        <v>Service</v>
      </c>
      <c r="R401" s="315" t="str">
        <f t="shared" si="50"/>
        <v>ServiceMiscellaneous % of Total Sales</v>
      </c>
      <c r="S401" s="199"/>
      <c r="T401" s="199"/>
      <c r="U401" s="199"/>
    </row>
    <row r="402" spans="1:21" x14ac:dyDescent="0.25">
      <c r="A402" t="s">
        <v>996</v>
      </c>
      <c r="B402" t="s">
        <v>997</v>
      </c>
      <c r="C402" t="s">
        <v>1013</v>
      </c>
      <c r="D402">
        <v>3400</v>
      </c>
      <c r="E402">
        <v>340</v>
      </c>
      <c r="F402" t="s">
        <v>1017</v>
      </c>
      <c r="G402" t="s">
        <v>1018</v>
      </c>
      <c r="H402" s="315" t="s">
        <v>17</v>
      </c>
      <c r="I402" s="315" t="s">
        <v>1019</v>
      </c>
      <c r="J402" s="315" t="str">
        <f t="shared" si="46"/>
        <v>ServiceMiscellaneous % of Total Sales</v>
      </c>
      <c r="K402" s="315" t="str">
        <f t="shared" si="47"/>
        <v>340Service Miscellaneous Sales - Toyota</v>
      </c>
      <c r="L402" s="311">
        <f>+SUMIF('TUNZ Extracted TB'!M:M,$P402,'TUNZ Extracted TB'!G:G)</f>
        <v>-21551.46</v>
      </c>
      <c r="M402" s="311"/>
      <c r="N402" s="311">
        <f>+SUMIF('Input Sheet'!$AE:$AE,P402,'Input Sheet'!$X:$X)</f>
        <v>0</v>
      </c>
      <c r="O402" s="311"/>
      <c r="P402" t="str">
        <f t="shared" si="48"/>
        <v>340-3400</v>
      </c>
      <c r="Q402" s="315" t="str">
        <f t="shared" si="49"/>
        <v>Service</v>
      </c>
      <c r="R402" s="315" t="str">
        <f t="shared" si="50"/>
        <v>ServiceMiscellaneous % of Total Sales</v>
      </c>
      <c r="S402" s="199"/>
      <c r="T402" s="199"/>
      <c r="U402" s="199"/>
    </row>
    <row r="403" spans="1:21" x14ac:dyDescent="0.25">
      <c r="A403" t="s">
        <v>996</v>
      </c>
      <c r="B403" t="s">
        <v>997</v>
      </c>
      <c r="C403" t="s">
        <v>1005</v>
      </c>
      <c r="D403">
        <v>3400</v>
      </c>
      <c r="E403">
        <v>240</v>
      </c>
      <c r="F403" t="s">
        <v>1017</v>
      </c>
      <c r="G403" t="s">
        <v>1018</v>
      </c>
      <c r="H403" s="315" t="s">
        <v>17</v>
      </c>
      <c r="I403" s="315" t="s">
        <v>1019</v>
      </c>
      <c r="J403" s="315" t="str">
        <f t="shared" si="46"/>
        <v>ServiceMiscellaneous % of Total Sales</v>
      </c>
      <c r="K403" s="315" t="str">
        <f t="shared" si="47"/>
        <v>240Service Miscellaneous Sales - Toyota</v>
      </c>
      <c r="L403" s="311">
        <f>+SUMIF('TUNZ Extracted TB'!M:M,$P403,'TUNZ Extracted TB'!G:G)</f>
        <v>-39406.19</v>
      </c>
      <c r="M403" s="311"/>
      <c r="N403" s="311">
        <f>+SUMIF('Input Sheet'!$AE:$AE,P403,'Input Sheet'!$X:$X)</f>
        <v>0</v>
      </c>
      <c r="O403" s="311"/>
      <c r="P403" t="str">
        <f t="shared" si="48"/>
        <v>240-3400</v>
      </c>
      <c r="Q403" s="315" t="str">
        <f t="shared" si="49"/>
        <v>Service</v>
      </c>
      <c r="R403" s="315" t="str">
        <f t="shared" si="50"/>
        <v>ServiceMiscellaneous % of Total Sales</v>
      </c>
      <c r="S403" s="199"/>
      <c r="T403" s="199"/>
      <c r="U403" s="199"/>
    </row>
    <row r="404" spans="1:21" x14ac:dyDescent="0.25">
      <c r="A404" t="s">
        <v>996</v>
      </c>
      <c r="B404" t="s">
        <v>997</v>
      </c>
      <c r="C404" t="s">
        <v>997</v>
      </c>
      <c r="D404">
        <v>3410</v>
      </c>
      <c r="E404">
        <v>140</v>
      </c>
      <c r="F404" t="s">
        <v>1017</v>
      </c>
      <c r="G404" t="s">
        <v>1018</v>
      </c>
      <c r="H404" s="315" t="s">
        <v>17</v>
      </c>
      <c r="I404" s="315" t="s">
        <v>1019</v>
      </c>
      <c r="J404" s="315" t="str">
        <f t="shared" si="46"/>
        <v>ServiceMiscellaneous % of Total Sales</v>
      </c>
      <c r="K404" s="315" t="str">
        <f t="shared" si="47"/>
        <v>140Service Miscellaneous Sales - Toyota</v>
      </c>
      <c r="L404" s="311">
        <f>+SUMIF('TUNZ Extracted TB'!M:M,$P404,'TUNZ Extracted TB'!G:G)</f>
        <v>-4897.2299999999996</v>
      </c>
      <c r="M404" s="311"/>
      <c r="N404" s="311">
        <f>+SUMIF('Input Sheet'!$AE:$AE,P404,'Input Sheet'!$X:$X)</f>
        <v>0</v>
      </c>
      <c r="O404" s="311"/>
      <c r="P404" t="str">
        <f t="shared" si="48"/>
        <v>140-3410</v>
      </c>
      <c r="Q404" s="315" t="str">
        <f t="shared" si="49"/>
        <v>Service</v>
      </c>
      <c r="R404" s="315" t="str">
        <f t="shared" si="50"/>
        <v>ServiceMiscellaneous % of Total Sales</v>
      </c>
    </row>
    <row r="405" spans="1:21" x14ac:dyDescent="0.25">
      <c r="A405" t="s">
        <v>996</v>
      </c>
      <c r="B405" t="s">
        <v>997</v>
      </c>
      <c r="C405" t="s">
        <v>997</v>
      </c>
      <c r="D405">
        <v>3410</v>
      </c>
      <c r="E405">
        <v>142</v>
      </c>
      <c r="F405" t="s">
        <v>1020</v>
      </c>
      <c r="G405" t="s">
        <v>1021</v>
      </c>
      <c r="H405" s="315" t="s">
        <v>1022</v>
      </c>
      <c r="I405" s="315" t="s">
        <v>1019</v>
      </c>
      <c r="J405" s="315" t="str">
        <f t="shared" si="46"/>
        <v>Lex ServiceMiscellaneous % of Total Sales</v>
      </c>
      <c r="K405" s="315" t="str">
        <f t="shared" si="47"/>
        <v>142Service Miscellaneous Sales - Lexus</v>
      </c>
      <c r="L405" s="311">
        <f>+SUMIF('TUNZ Extracted TB'!M:M,$P405,'TUNZ Extracted TB'!G:G)</f>
        <v>0</v>
      </c>
      <c r="M405" s="311"/>
      <c r="N405" s="311">
        <f>+SUMIF('Input Sheet'!$AE:$AE,P405,'Input Sheet'!$X:$X)</f>
        <v>0</v>
      </c>
      <c r="O405" s="311"/>
      <c r="P405" t="str">
        <f t="shared" si="48"/>
        <v>142-3410</v>
      </c>
      <c r="Q405" s="315" t="str">
        <f t="shared" si="49"/>
        <v>Lex Service</v>
      </c>
      <c r="R405" s="315" t="str">
        <f t="shared" si="50"/>
        <v>Lex ServiceMiscellaneous % of Total Sales</v>
      </c>
      <c r="S405" s="199"/>
      <c r="T405" s="199"/>
      <c r="U405" s="199"/>
    </row>
    <row r="406" spans="1:21" x14ac:dyDescent="0.25">
      <c r="A406" t="s">
        <v>996</v>
      </c>
      <c r="B406" t="s">
        <v>997</v>
      </c>
      <c r="C406" t="s">
        <v>997</v>
      </c>
      <c r="D406">
        <v>3410</v>
      </c>
      <c r="E406">
        <v>170</v>
      </c>
      <c r="F406" t="s">
        <v>1045</v>
      </c>
      <c r="G406" t="s">
        <v>1046</v>
      </c>
      <c r="H406" s="315" t="s">
        <v>16</v>
      </c>
      <c r="I406" s="315" t="s">
        <v>1047</v>
      </c>
      <c r="J406" s="315" t="str">
        <f t="shared" si="46"/>
        <v>F&amp;IPaint &amp; Fab income per vehicle retailed</v>
      </c>
      <c r="K406" s="315" t="str">
        <f t="shared" si="47"/>
        <v>170Paint &amp; Fab Sales - Toyota</v>
      </c>
      <c r="L406" s="311">
        <f>+SUMIF('TUNZ Extracted TB'!M:M,$P406,'TUNZ Extracted TB'!G:G)</f>
        <v>0</v>
      </c>
      <c r="M406" s="311"/>
      <c r="N406" s="311">
        <f>+SUMIF('Input Sheet'!$AE:$AE,P406,'Input Sheet'!$X:$X)</f>
        <v>0</v>
      </c>
      <c r="O406" s="311"/>
      <c r="P406" t="str">
        <f t="shared" si="48"/>
        <v>170-3410</v>
      </c>
      <c r="Q406" s="315" t="str">
        <f t="shared" si="49"/>
        <v>F&amp;I</v>
      </c>
      <c r="R406" s="315" t="str">
        <f t="shared" si="50"/>
        <v>F&amp;IPaint &amp; Fab income per vehicle retailed</v>
      </c>
      <c r="S406" s="199"/>
      <c r="T406" s="199"/>
      <c r="U406" s="199"/>
    </row>
    <row r="407" spans="1:21" x14ac:dyDescent="0.25">
      <c r="A407" t="s">
        <v>996</v>
      </c>
      <c r="B407" t="s">
        <v>997</v>
      </c>
      <c r="C407" t="s">
        <v>1005</v>
      </c>
      <c r="D407">
        <v>3410</v>
      </c>
      <c r="E407">
        <v>240</v>
      </c>
      <c r="F407" t="s">
        <v>1017</v>
      </c>
      <c r="G407" t="s">
        <v>1018</v>
      </c>
      <c r="H407" s="315" t="s">
        <v>17</v>
      </c>
      <c r="I407" s="315" t="s">
        <v>1019</v>
      </c>
      <c r="J407" s="315" t="str">
        <f t="shared" si="46"/>
        <v>ServiceMiscellaneous % of Total Sales</v>
      </c>
      <c r="K407" s="315" t="str">
        <f t="shared" si="47"/>
        <v>240Service Miscellaneous Sales - Toyota</v>
      </c>
      <c r="L407" s="311">
        <f>+SUMIF('TUNZ Extracted TB'!M:M,$P407,'TUNZ Extracted TB'!G:G)</f>
        <v>0</v>
      </c>
      <c r="M407" s="311"/>
      <c r="N407" s="311">
        <f>+SUMIF('Input Sheet'!$AE:$AE,P407,'Input Sheet'!$X:$X)</f>
        <v>0</v>
      </c>
      <c r="O407" s="311"/>
      <c r="P407" t="str">
        <f t="shared" si="48"/>
        <v>240-3410</v>
      </c>
      <c r="Q407" s="315" t="str">
        <f t="shared" si="49"/>
        <v>Service</v>
      </c>
      <c r="R407" s="315" t="str">
        <f t="shared" si="50"/>
        <v>ServiceMiscellaneous % of Total Sales</v>
      </c>
      <c r="S407" s="199"/>
      <c r="T407" s="199"/>
      <c r="U407" s="199"/>
    </row>
    <row r="408" spans="1:21" x14ac:dyDescent="0.25">
      <c r="A408" t="s">
        <v>996</v>
      </c>
      <c r="B408" t="s">
        <v>997</v>
      </c>
      <c r="C408" t="s">
        <v>1013</v>
      </c>
      <c r="D408">
        <v>3410</v>
      </c>
      <c r="E408">
        <v>340</v>
      </c>
      <c r="F408" t="s">
        <v>1017</v>
      </c>
      <c r="G408" t="s">
        <v>1018</v>
      </c>
      <c r="H408" s="315" t="s">
        <v>17</v>
      </c>
      <c r="I408" s="315" t="s">
        <v>1019</v>
      </c>
      <c r="J408" s="315" t="str">
        <f t="shared" si="46"/>
        <v>ServiceMiscellaneous % of Total Sales</v>
      </c>
      <c r="K408" s="315" t="str">
        <f t="shared" si="47"/>
        <v>340Service Miscellaneous Sales - Toyota</v>
      </c>
      <c r="L408" s="311">
        <f>+SUMIF('TUNZ Extracted TB'!M:M,$P408,'TUNZ Extracted TB'!G:G)</f>
        <v>0</v>
      </c>
      <c r="M408" s="311"/>
      <c r="N408" s="311">
        <f>+SUMIF('Input Sheet'!$AE:$AE,P408,'Input Sheet'!$X:$X)</f>
        <v>0</v>
      </c>
      <c r="O408" s="311"/>
      <c r="P408" t="str">
        <f t="shared" si="48"/>
        <v>340-3410</v>
      </c>
      <c r="Q408" s="315" t="str">
        <f t="shared" si="49"/>
        <v>Service</v>
      </c>
      <c r="R408" s="315" t="str">
        <f t="shared" si="50"/>
        <v>ServiceMiscellaneous % of Total Sales</v>
      </c>
      <c r="S408" s="199"/>
      <c r="T408" s="199"/>
      <c r="U408" s="199"/>
    </row>
    <row r="409" spans="1:21" x14ac:dyDescent="0.25">
      <c r="A409" t="s">
        <v>996</v>
      </c>
      <c r="B409" t="s">
        <v>997</v>
      </c>
      <c r="C409" t="s">
        <v>997</v>
      </c>
      <c r="D409">
        <v>3410</v>
      </c>
      <c r="E409">
        <v>147</v>
      </c>
      <c r="F409" t="s">
        <v>1017</v>
      </c>
      <c r="G409" t="s">
        <v>1018</v>
      </c>
      <c r="H409" s="315" t="s">
        <v>17</v>
      </c>
      <c r="I409" s="315" t="s">
        <v>1019</v>
      </c>
      <c r="J409" s="315" t="str">
        <f t="shared" si="46"/>
        <v>ServiceMiscellaneous % of Total Sales</v>
      </c>
      <c r="K409" s="315" t="str">
        <f t="shared" si="47"/>
        <v>147Service Miscellaneous Sales - Toyota</v>
      </c>
      <c r="L409" s="311">
        <f>+SUMIF('TUNZ Extracted TB'!M:M,$P409,'TUNZ Extracted TB'!G:G)</f>
        <v>0</v>
      </c>
      <c r="M409" s="311"/>
      <c r="N409" s="311">
        <f>+SUMIF('Input Sheet'!$AE:$AE,P409,'Input Sheet'!$X:$X)</f>
        <v>0</v>
      </c>
      <c r="O409" s="311"/>
      <c r="P409" t="str">
        <f t="shared" si="48"/>
        <v>147-3410</v>
      </c>
      <c r="Q409" s="315" t="str">
        <f t="shared" si="49"/>
        <v>Service</v>
      </c>
      <c r="R409" s="315" t="str">
        <f t="shared" si="50"/>
        <v>ServiceMiscellaneous % of Total Sales</v>
      </c>
      <c r="S409" s="199"/>
      <c r="T409" s="199"/>
      <c r="U409" s="199"/>
    </row>
    <row r="410" spans="1:21" x14ac:dyDescent="0.25">
      <c r="A410" t="s">
        <v>996</v>
      </c>
      <c r="B410" t="s">
        <v>997</v>
      </c>
      <c r="C410" t="s">
        <v>1012</v>
      </c>
      <c r="D410">
        <v>3410</v>
      </c>
      <c r="E410">
        <v>440</v>
      </c>
      <c r="F410" t="s">
        <v>1017</v>
      </c>
      <c r="G410" t="s">
        <v>1018</v>
      </c>
      <c r="H410" s="315" t="s">
        <v>17</v>
      </c>
      <c r="I410" s="315" t="s">
        <v>1019</v>
      </c>
      <c r="J410" s="315" t="str">
        <f t="shared" si="46"/>
        <v>ServiceMiscellaneous % of Total Sales</v>
      </c>
      <c r="K410" s="315" t="str">
        <f t="shared" si="47"/>
        <v>440Service Miscellaneous Sales - Toyota</v>
      </c>
      <c r="L410" s="311">
        <f>+SUMIF('TUNZ Extracted TB'!M:M,$P410,'TUNZ Extracted TB'!G:G)</f>
        <v>-1406.77</v>
      </c>
      <c r="M410" s="311"/>
      <c r="N410" s="311">
        <f>+SUMIF('Input Sheet'!$AE:$AE,P410,'Input Sheet'!$X:$X)</f>
        <v>0</v>
      </c>
      <c r="O410" s="311"/>
      <c r="P410" t="str">
        <f t="shared" si="48"/>
        <v>440-3410</v>
      </c>
      <c r="Q410" s="315" t="str">
        <f t="shared" si="49"/>
        <v>Service</v>
      </c>
      <c r="R410" s="315" t="str">
        <f t="shared" si="50"/>
        <v>ServiceMiscellaneous % of Total Sales</v>
      </c>
      <c r="S410" s="199"/>
      <c r="T410" s="199"/>
      <c r="U410" s="199"/>
    </row>
    <row r="411" spans="1:21" x14ac:dyDescent="0.25">
      <c r="A411" t="s">
        <v>996</v>
      </c>
      <c r="B411" t="s">
        <v>997</v>
      </c>
      <c r="C411" t="s">
        <v>997</v>
      </c>
      <c r="D411">
        <v>3430</v>
      </c>
      <c r="E411">
        <v>140</v>
      </c>
      <c r="F411" t="s">
        <v>1017</v>
      </c>
      <c r="G411" t="s">
        <v>1018</v>
      </c>
      <c r="H411" s="315" t="s">
        <v>17</v>
      </c>
      <c r="I411" s="315" t="s">
        <v>1019</v>
      </c>
      <c r="J411" s="315" t="str">
        <f t="shared" si="46"/>
        <v>ServiceMiscellaneous % of Total Sales</v>
      </c>
      <c r="K411" s="315" t="str">
        <f t="shared" si="47"/>
        <v>140Service Miscellaneous Sales - Toyota</v>
      </c>
      <c r="L411" s="311">
        <f>+SUMIF('TUNZ Extracted TB'!M:M,$P411,'TUNZ Extracted TB'!G:G)</f>
        <v>110.3</v>
      </c>
      <c r="M411" s="311"/>
      <c r="N411" s="311">
        <f>+SUMIF('Input Sheet'!$AE:$AE,P411,'Input Sheet'!$X:$X)</f>
        <v>-1795.7619597425903</v>
      </c>
      <c r="O411" s="311"/>
      <c r="P411" t="str">
        <f t="shared" si="48"/>
        <v>140-3430</v>
      </c>
      <c r="Q411" s="315" t="str">
        <f t="shared" si="49"/>
        <v>Service</v>
      </c>
      <c r="R411" s="315" t="str">
        <f t="shared" si="50"/>
        <v>ServiceMiscellaneous % of Total Sales</v>
      </c>
      <c r="S411" s="199"/>
      <c r="T411" s="199"/>
      <c r="U411" s="199"/>
    </row>
    <row r="412" spans="1:21" x14ac:dyDescent="0.25">
      <c r="A412" t="s">
        <v>996</v>
      </c>
      <c r="B412" t="s">
        <v>997</v>
      </c>
      <c r="C412" t="s">
        <v>997</v>
      </c>
      <c r="D412">
        <v>3430</v>
      </c>
      <c r="E412">
        <v>142</v>
      </c>
      <c r="F412" t="s">
        <v>1020</v>
      </c>
      <c r="G412" t="s">
        <v>1021</v>
      </c>
      <c r="H412" s="315" t="s">
        <v>1022</v>
      </c>
      <c r="I412" s="315" t="s">
        <v>1019</v>
      </c>
      <c r="J412" s="315" t="str">
        <f t="shared" si="46"/>
        <v>Lex ServiceMiscellaneous % of Total Sales</v>
      </c>
      <c r="K412" s="315" t="str">
        <f t="shared" si="47"/>
        <v>142Service Miscellaneous Sales - Lexus</v>
      </c>
      <c r="L412" s="311">
        <f>+SUMIF('TUNZ Extracted TB'!M:M,$P412,'TUNZ Extracted TB'!G:G)</f>
        <v>-2282.36</v>
      </c>
      <c r="M412" s="311"/>
      <c r="N412" s="311">
        <f>+SUMIF('Input Sheet'!$AE:$AE,P412,'Input Sheet'!$X:$X)</f>
        <v>-7840</v>
      </c>
      <c r="O412" s="311"/>
      <c r="P412" t="str">
        <f t="shared" si="48"/>
        <v>142-3430</v>
      </c>
      <c r="Q412" s="315" t="str">
        <f t="shared" si="49"/>
        <v>Lex Service</v>
      </c>
      <c r="R412" s="315" t="str">
        <f t="shared" si="50"/>
        <v>Lex ServiceMiscellaneous % of Total Sales</v>
      </c>
      <c r="S412" s="199"/>
      <c r="T412" s="199"/>
      <c r="U412" s="199"/>
    </row>
    <row r="413" spans="1:21" x14ac:dyDescent="0.25">
      <c r="A413" t="s">
        <v>996</v>
      </c>
      <c r="B413" t="s">
        <v>997</v>
      </c>
      <c r="C413" t="s">
        <v>997</v>
      </c>
      <c r="D413">
        <v>3430</v>
      </c>
      <c r="E413">
        <v>170</v>
      </c>
      <c r="F413" t="s">
        <v>1098</v>
      </c>
      <c r="G413" t="s">
        <v>1099</v>
      </c>
      <c r="H413" s="315" t="s">
        <v>1000</v>
      </c>
      <c r="I413" s="315" t="s">
        <v>1001</v>
      </c>
      <c r="J413" s="315" t="str">
        <f t="shared" si="46"/>
        <v>Admin &amp; OtherOther Overheads as % of Total Gross Profit</v>
      </c>
      <c r="K413" s="315" t="str">
        <f t="shared" si="47"/>
        <v>170Other Income - Toyota</v>
      </c>
      <c r="L413" s="311">
        <f>+SUMIF('TUNZ Extracted TB'!M:M,$P413,'TUNZ Extracted TB'!G:G)</f>
        <v>0</v>
      </c>
      <c r="M413" s="311"/>
      <c r="N413" s="311">
        <f>+SUMIF('Input Sheet'!$AE:$AE,P413,'Input Sheet'!$X:$X)</f>
        <v>0</v>
      </c>
      <c r="O413" s="311"/>
      <c r="P413" t="str">
        <f t="shared" si="48"/>
        <v>170-3430</v>
      </c>
      <c r="Q413" s="315" t="str">
        <f t="shared" si="49"/>
        <v>Admin &amp; Other</v>
      </c>
      <c r="R413" s="315" t="str">
        <f t="shared" si="50"/>
        <v>Admin &amp; OtherOther Overheads as % of Total Gross Profit</v>
      </c>
      <c r="S413" s="199"/>
      <c r="T413" s="199"/>
      <c r="U413" s="199"/>
    </row>
    <row r="414" spans="1:21" x14ac:dyDescent="0.25">
      <c r="A414" t="s">
        <v>996</v>
      </c>
      <c r="B414" t="s">
        <v>997</v>
      </c>
      <c r="C414" t="s">
        <v>997</v>
      </c>
      <c r="D414">
        <v>3430</v>
      </c>
      <c r="E414">
        <v>147</v>
      </c>
      <c r="F414" t="s">
        <v>1017</v>
      </c>
      <c r="G414" t="s">
        <v>1018</v>
      </c>
      <c r="H414" s="315" t="s">
        <v>17</v>
      </c>
      <c r="I414" s="315" t="s">
        <v>1019</v>
      </c>
      <c r="J414" s="315" t="str">
        <f t="shared" si="46"/>
        <v>ServiceMiscellaneous % of Total Sales</v>
      </c>
      <c r="K414" s="315" t="str">
        <f t="shared" si="47"/>
        <v>147Service Miscellaneous Sales - Toyota</v>
      </c>
      <c r="L414" s="311">
        <f>+SUMIF('TUNZ Extracted TB'!M:M,$P414,'TUNZ Extracted TB'!G:G)</f>
        <v>0</v>
      </c>
      <c r="M414" s="311"/>
      <c r="N414" s="311">
        <f>+SUMIF('Input Sheet'!$AE:$AE,P414,'Input Sheet'!$X:$X)</f>
        <v>-3.7133077137391428</v>
      </c>
      <c r="O414" s="311"/>
      <c r="P414" t="str">
        <f t="shared" si="48"/>
        <v>147-3430</v>
      </c>
      <c r="Q414" s="315" t="str">
        <f t="shared" si="49"/>
        <v>Service</v>
      </c>
      <c r="R414" s="315" t="str">
        <f t="shared" si="50"/>
        <v>ServiceMiscellaneous % of Total Sales</v>
      </c>
      <c r="S414" s="199"/>
      <c r="T414" s="199"/>
      <c r="U414" s="199"/>
    </row>
    <row r="415" spans="1:21" x14ac:dyDescent="0.25">
      <c r="A415" t="s">
        <v>996</v>
      </c>
      <c r="B415" t="s">
        <v>997</v>
      </c>
      <c r="C415" t="s">
        <v>1012</v>
      </c>
      <c r="D415">
        <v>3430</v>
      </c>
      <c r="E415">
        <v>440</v>
      </c>
      <c r="F415" t="s">
        <v>1017</v>
      </c>
      <c r="G415" t="s">
        <v>1018</v>
      </c>
      <c r="H415" s="315" t="s">
        <v>17</v>
      </c>
      <c r="I415" s="315" t="s">
        <v>1019</v>
      </c>
      <c r="J415" s="315" t="str">
        <f t="shared" si="46"/>
        <v>ServiceMiscellaneous % of Total Sales</v>
      </c>
      <c r="K415" s="315" t="str">
        <f t="shared" si="47"/>
        <v>440Service Miscellaneous Sales - Toyota</v>
      </c>
      <c r="L415" s="311">
        <f>+SUMIF('TUNZ Extracted TB'!M:M,$P415,'TUNZ Extracted TB'!G:G)</f>
        <v>-1206.8599999999999</v>
      </c>
      <c r="M415" s="311"/>
      <c r="N415" s="311">
        <f>+SUMIF('Input Sheet'!$AE:$AE,P415,'Input Sheet'!$X:$X)</f>
        <v>-2818.5295877066319</v>
      </c>
      <c r="O415" s="311"/>
      <c r="P415" t="str">
        <f t="shared" si="48"/>
        <v>440-3430</v>
      </c>
      <c r="Q415" s="315" t="str">
        <f t="shared" si="49"/>
        <v>Service</v>
      </c>
      <c r="R415" s="315" t="str">
        <f t="shared" si="50"/>
        <v>ServiceMiscellaneous % of Total Sales</v>
      </c>
      <c r="S415" s="199"/>
      <c r="T415" s="199"/>
      <c r="U415" s="199"/>
    </row>
    <row r="416" spans="1:21" x14ac:dyDescent="0.25">
      <c r="A416" t="s">
        <v>996</v>
      </c>
      <c r="B416" t="s">
        <v>997</v>
      </c>
      <c r="C416" t="s">
        <v>1013</v>
      </c>
      <c r="D416">
        <v>3430</v>
      </c>
      <c r="E416">
        <v>340</v>
      </c>
      <c r="F416" t="s">
        <v>1017</v>
      </c>
      <c r="G416" t="s">
        <v>1018</v>
      </c>
      <c r="H416" s="315" t="s">
        <v>17</v>
      </c>
      <c r="I416" s="315" t="s">
        <v>1019</v>
      </c>
      <c r="J416" s="315" t="str">
        <f t="shared" si="46"/>
        <v>ServiceMiscellaneous % of Total Sales</v>
      </c>
      <c r="K416" s="315" t="str">
        <f t="shared" si="47"/>
        <v>340Service Miscellaneous Sales - Toyota</v>
      </c>
      <c r="L416" s="311">
        <f>+SUMIF('TUNZ Extracted TB'!M:M,$P416,'TUNZ Extracted TB'!G:G)</f>
        <v>-4070.53</v>
      </c>
      <c r="M416" s="311"/>
      <c r="N416" s="311">
        <f>+SUMIF('Input Sheet'!$AE:$AE,P416,'Input Sheet'!$X:$X)</f>
        <v>-2555.6643698340558</v>
      </c>
      <c r="O416" s="311"/>
      <c r="P416" t="str">
        <f t="shared" si="48"/>
        <v>340-3430</v>
      </c>
      <c r="Q416" s="315" t="str">
        <f t="shared" si="49"/>
        <v>Service</v>
      </c>
      <c r="R416" s="315" t="str">
        <f t="shared" si="50"/>
        <v>ServiceMiscellaneous % of Total Sales</v>
      </c>
      <c r="S416" s="199"/>
      <c r="T416" s="199"/>
      <c r="U416" s="199"/>
    </row>
    <row r="417" spans="1:21" x14ac:dyDescent="0.25">
      <c r="A417" t="s">
        <v>996</v>
      </c>
      <c r="B417" t="s">
        <v>997</v>
      </c>
      <c r="C417" t="s">
        <v>1005</v>
      </c>
      <c r="D417">
        <v>3430</v>
      </c>
      <c r="E417">
        <v>240</v>
      </c>
      <c r="F417" t="s">
        <v>1017</v>
      </c>
      <c r="G417" t="s">
        <v>1018</v>
      </c>
      <c r="H417" s="315" t="s">
        <v>17</v>
      </c>
      <c r="I417" s="315" t="s">
        <v>1019</v>
      </c>
      <c r="J417" s="315" t="str">
        <f t="shared" si="46"/>
        <v>ServiceMiscellaneous % of Total Sales</v>
      </c>
      <c r="K417" s="315" t="str">
        <f t="shared" si="47"/>
        <v>240Service Miscellaneous Sales - Toyota</v>
      </c>
      <c r="L417" s="311">
        <f>+SUMIF('TUNZ Extracted TB'!M:M,$P417,'TUNZ Extracted TB'!G:G)</f>
        <v>-3906.88</v>
      </c>
      <c r="M417" s="311"/>
      <c r="N417" s="311">
        <f>+SUMIF('Input Sheet'!$AE:$AE,P417,'Input Sheet'!$X:$X)</f>
        <v>-8714.3296559414975</v>
      </c>
      <c r="O417" s="311"/>
      <c r="P417" t="str">
        <f t="shared" si="48"/>
        <v>240-3430</v>
      </c>
      <c r="Q417" s="315" t="str">
        <f t="shared" si="49"/>
        <v>Service</v>
      </c>
      <c r="R417" s="315" t="str">
        <f t="shared" si="50"/>
        <v>ServiceMiscellaneous % of Total Sales</v>
      </c>
      <c r="S417" s="199"/>
      <c r="T417" s="199"/>
      <c r="U417" s="199"/>
    </row>
    <row r="418" spans="1:21" x14ac:dyDescent="0.25">
      <c r="A418" t="s">
        <v>996</v>
      </c>
      <c r="B418" t="s">
        <v>997</v>
      </c>
      <c r="C418" t="s">
        <v>997</v>
      </c>
      <c r="D418">
        <v>3465</v>
      </c>
      <c r="E418">
        <v>132</v>
      </c>
      <c r="F418" t="s">
        <v>1120</v>
      </c>
      <c r="G418" t="s">
        <v>1121</v>
      </c>
      <c r="H418" s="315" t="s">
        <v>143</v>
      </c>
      <c r="I418" s="315" t="s">
        <v>1122</v>
      </c>
      <c r="J418" s="315" t="str">
        <f t="shared" si="46"/>
        <v>LEX PartsCounter Sales %  Sales</v>
      </c>
      <c r="K418" s="315" t="str">
        <f t="shared" si="47"/>
        <v>132Parts Counter Sales - Lexus</v>
      </c>
      <c r="L418" s="311">
        <f>+SUMIF('TUNZ Extracted TB'!M:M,$P418,'TUNZ Extracted TB'!G:G)</f>
        <v>0</v>
      </c>
      <c r="M418" s="311"/>
      <c r="N418" s="311">
        <f>+SUMIF('Input Sheet'!$AE:$AE,P418,'Input Sheet'!$X:$X)</f>
        <v>0</v>
      </c>
      <c r="O418" s="311"/>
      <c r="P418" t="str">
        <f t="shared" si="48"/>
        <v>132-3465</v>
      </c>
      <c r="Q418" s="315" t="str">
        <f t="shared" si="49"/>
        <v>LEX Parts</v>
      </c>
      <c r="R418" s="315" t="str">
        <f t="shared" si="50"/>
        <v>LEX PartsCounter Sales %  Sales</v>
      </c>
      <c r="S418" s="199"/>
      <c r="T418" s="199"/>
      <c r="U418" s="199"/>
    </row>
    <row r="419" spans="1:21" x14ac:dyDescent="0.25">
      <c r="A419" t="s">
        <v>996</v>
      </c>
      <c r="B419" t="s">
        <v>997</v>
      </c>
      <c r="C419" t="s">
        <v>997</v>
      </c>
      <c r="D419">
        <v>3465</v>
      </c>
      <c r="E419">
        <v>130</v>
      </c>
      <c r="F419" t="s">
        <v>1123</v>
      </c>
      <c r="G419" t="s">
        <v>1124</v>
      </c>
      <c r="H419" s="315" t="s">
        <v>5</v>
      </c>
      <c r="I419" s="315" t="s">
        <v>1122</v>
      </c>
      <c r="J419" s="315" t="str">
        <f t="shared" si="46"/>
        <v>PartsCounter Sales %  Sales</v>
      </c>
      <c r="K419" s="315" t="str">
        <f t="shared" si="47"/>
        <v>130Parts Counter Sales - Toyota</v>
      </c>
      <c r="L419" s="311">
        <f>+SUMIF('TUNZ Extracted TB'!M:M,$P419,'TUNZ Extracted TB'!G:G)</f>
        <v>-77676.14</v>
      </c>
      <c r="M419" s="311"/>
      <c r="N419" s="311">
        <f>+SUMIF('Input Sheet'!$AE:$AE,P419,'Input Sheet'!$X:$X)</f>
        <v>-100985.52553128025</v>
      </c>
      <c r="O419" s="311"/>
      <c r="P419" t="str">
        <f t="shared" si="48"/>
        <v>130-3465</v>
      </c>
      <c r="Q419" s="315" t="str">
        <f t="shared" si="49"/>
        <v>Parts</v>
      </c>
      <c r="R419" s="315" t="str">
        <f t="shared" si="50"/>
        <v>PartsCounter Sales %  Sales</v>
      </c>
    </row>
    <row r="420" spans="1:21" x14ac:dyDescent="0.25">
      <c r="A420" t="s">
        <v>996</v>
      </c>
      <c r="B420" t="s">
        <v>997</v>
      </c>
      <c r="C420" t="s">
        <v>1012</v>
      </c>
      <c r="D420">
        <v>3465</v>
      </c>
      <c r="E420">
        <v>430</v>
      </c>
      <c r="F420" t="s">
        <v>1123</v>
      </c>
      <c r="G420" t="s">
        <v>1124</v>
      </c>
      <c r="H420" s="315" t="s">
        <v>5</v>
      </c>
      <c r="I420" s="315" t="s">
        <v>1122</v>
      </c>
      <c r="J420" s="315" t="str">
        <f t="shared" si="46"/>
        <v>PartsCounter Sales %  Sales</v>
      </c>
      <c r="K420" s="315" t="str">
        <f t="shared" si="47"/>
        <v>430Parts Counter Sales - Toyota</v>
      </c>
      <c r="L420" s="311">
        <f>+SUMIF('TUNZ Extracted TB'!M:M,$P420,'TUNZ Extracted TB'!G:G)</f>
        <v>-24161.43</v>
      </c>
      <c r="M420" s="311"/>
      <c r="N420" s="311">
        <f>+SUMIF('Input Sheet'!$AE:$AE,P420,'Input Sheet'!$X:$X)</f>
        <v>-21955.021807340814</v>
      </c>
      <c r="O420" s="311"/>
      <c r="P420" t="str">
        <f t="shared" si="48"/>
        <v>430-3465</v>
      </c>
      <c r="Q420" s="315" t="str">
        <f t="shared" si="49"/>
        <v>Parts</v>
      </c>
      <c r="R420" s="315" t="str">
        <f t="shared" si="50"/>
        <v>PartsCounter Sales %  Sales</v>
      </c>
      <c r="S420" s="199"/>
      <c r="T420" s="199"/>
      <c r="U420" s="199"/>
    </row>
    <row r="421" spans="1:21" x14ac:dyDescent="0.25">
      <c r="A421" t="s">
        <v>996</v>
      </c>
      <c r="B421" t="s">
        <v>997</v>
      </c>
      <c r="C421" t="s">
        <v>1013</v>
      </c>
      <c r="D421">
        <v>3465</v>
      </c>
      <c r="E421">
        <v>330</v>
      </c>
      <c r="F421" t="s">
        <v>1123</v>
      </c>
      <c r="G421" t="s">
        <v>1124</v>
      </c>
      <c r="H421" s="315" t="s">
        <v>5</v>
      </c>
      <c r="I421" s="315" t="s">
        <v>1122</v>
      </c>
      <c r="J421" s="315" t="str">
        <f t="shared" si="46"/>
        <v>PartsCounter Sales %  Sales</v>
      </c>
      <c r="K421" s="315" t="str">
        <f t="shared" si="47"/>
        <v>330Parts Counter Sales - Toyota</v>
      </c>
      <c r="L421" s="311">
        <f>+SUMIF('TUNZ Extracted TB'!M:M,$P421,'TUNZ Extracted TB'!G:G)</f>
        <v>-36061.879999999997</v>
      </c>
      <c r="M421" s="311"/>
      <c r="N421" s="311">
        <f>+SUMIF('Input Sheet'!$AE:$AE,P421,'Input Sheet'!$X:$X)</f>
        <v>-22144.313212575536</v>
      </c>
      <c r="O421" s="311"/>
      <c r="P421" t="str">
        <f t="shared" si="48"/>
        <v>330-3465</v>
      </c>
      <c r="Q421" s="315" t="str">
        <f t="shared" si="49"/>
        <v>Parts</v>
      </c>
      <c r="R421" s="315" t="str">
        <f t="shared" si="50"/>
        <v>PartsCounter Sales %  Sales</v>
      </c>
      <c r="S421" s="199"/>
      <c r="T421" s="199"/>
      <c r="U421" s="199"/>
    </row>
    <row r="422" spans="1:21" x14ac:dyDescent="0.25">
      <c r="A422" t="s">
        <v>996</v>
      </c>
      <c r="B422" t="s">
        <v>997</v>
      </c>
      <c r="C422" t="s">
        <v>997</v>
      </c>
      <c r="D422">
        <v>3465</v>
      </c>
      <c r="E422">
        <v>936</v>
      </c>
      <c r="F422" t="s">
        <v>1100</v>
      </c>
      <c r="G422" t="s">
        <v>1101</v>
      </c>
      <c r="H422" s="315" t="s">
        <v>58</v>
      </c>
      <c r="I422" s="315" t="s">
        <v>1122</v>
      </c>
      <c r="J422" s="315" t="str">
        <f t="shared" si="46"/>
        <v>BridgestoneCounter Sales %  Sales</v>
      </c>
      <c r="K422" s="315" t="str">
        <f t="shared" si="47"/>
        <v>936Other franchise/business revenue</v>
      </c>
      <c r="L422" s="311">
        <f>+SUMIF('TUNZ Extracted TB'!M:M,$P422,'TUNZ Extracted TB'!G:G)</f>
        <v>-63441.88</v>
      </c>
      <c r="M422" s="311"/>
      <c r="N422" s="311">
        <f>+SUMIF('Input Sheet'!$AE:$AE,P422,'Input Sheet'!$X:$X)</f>
        <v>-53571.428571428572</v>
      </c>
      <c r="O422" s="311"/>
      <c r="P422" t="str">
        <f t="shared" si="48"/>
        <v>936-3465</v>
      </c>
      <c r="Q422" s="315" t="str">
        <f t="shared" si="49"/>
        <v>Bridgestone</v>
      </c>
      <c r="R422" s="315" t="str">
        <f t="shared" si="50"/>
        <v>BridgestoneCounter Sales %  Sales</v>
      </c>
      <c r="S422" s="199"/>
      <c r="T422" s="199"/>
      <c r="U422" s="199"/>
    </row>
    <row r="423" spans="1:21" x14ac:dyDescent="0.25">
      <c r="A423" t="s">
        <v>996</v>
      </c>
      <c r="B423" t="s">
        <v>997</v>
      </c>
      <c r="C423" t="s">
        <v>1005</v>
      </c>
      <c r="D423">
        <v>3465</v>
      </c>
      <c r="E423">
        <v>230</v>
      </c>
      <c r="F423" t="s">
        <v>1123</v>
      </c>
      <c r="G423" t="s">
        <v>1124</v>
      </c>
      <c r="H423" s="315" t="s">
        <v>5</v>
      </c>
      <c r="I423" s="315" t="s">
        <v>1122</v>
      </c>
      <c r="J423" s="315" t="str">
        <f t="shared" si="46"/>
        <v>PartsCounter Sales %  Sales</v>
      </c>
      <c r="K423" s="315" t="str">
        <f t="shared" si="47"/>
        <v>230Parts Counter Sales - Toyota</v>
      </c>
      <c r="L423" s="311">
        <f>+SUMIF('TUNZ Extracted TB'!M:M,$P423,'TUNZ Extracted TB'!G:G)</f>
        <v>-88536.98</v>
      </c>
      <c r="M423" s="311"/>
      <c r="N423" s="311">
        <f>+SUMIF('Input Sheet'!$AE:$AE,P423,'Input Sheet'!$X:$X)</f>
        <v>-107491.12452234887</v>
      </c>
      <c r="O423" s="311"/>
      <c r="P423" t="str">
        <f t="shared" si="48"/>
        <v>230-3465</v>
      </c>
      <c r="Q423" s="315" t="str">
        <f t="shared" si="49"/>
        <v>Parts</v>
      </c>
      <c r="R423" s="315" t="str">
        <f t="shared" si="50"/>
        <v>PartsCounter Sales %  Sales</v>
      </c>
    </row>
    <row r="424" spans="1:21" x14ac:dyDescent="0.25">
      <c r="A424" t="s">
        <v>996</v>
      </c>
      <c r="B424" t="s">
        <v>997</v>
      </c>
      <c r="C424" t="s">
        <v>997</v>
      </c>
      <c r="D424">
        <v>3465</v>
      </c>
      <c r="E424">
        <v>935</v>
      </c>
      <c r="F424" t="s">
        <v>1100</v>
      </c>
      <c r="G424" t="s">
        <v>1101</v>
      </c>
      <c r="H424" s="315" t="s">
        <v>58</v>
      </c>
      <c r="I424" s="315" t="s">
        <v>1122</v>
      </c>
      <c r="J424" s="315" t="str">
        <f t="shared" si="46"/>
        <v>BridgestoneCounter Sales %  Sales</v>
      </c>
      <c r="K424" s="315" t="str">
        <f t="shared" si="47"/>
        <v>935Other franchise/business revenue</v>
      </c>
      <c r="L424" s="311">
        <f>+SUMIF('TUNZ Extracted TB'!M:M,$P424,'TUNZ Extracted TB'!G:G)</f>
        <v>-109153.44</v>
      </c>
      <c r="M424" s="311"/>
      <c r="N424" s="311">
        <f>+SUMIF('Input Sheet'!$AE:$AE,P424,'Input Sheet'!$X:$X)</f>
        <v>-133928.57142857142</v>
      </c>
      <c r="O424" s="311"/>
      <c r="P424" t="str">
        <f t="shared" si="48"/>
        <v>935-3465</v>
      </c>
      <c r="Q424" s="315" t="str">
        <f t="shared" si="49"/>
        <v>Bridgestone</v>
      </c>
      <c r="R424" s="315" t="str">
        <f t="shared" si="50"/>
        <v>BridgestoneCounter Sales %  Sales</v>
      </c>
    </row>
    <row r="425" spans="1:21" x14ac:dyDescent="0.25">
      <c r="A425" t="s">
        <v>996</v>
      </c>
      <c r="B425" t="s">
        <v>997</v>
      </c>
      <c r="C425" t="s">
        <v>997</v>
      </c>
      <c r="D425">
        <v>3466</v>
      </c>
      <c r="E425">
        <v>132</v>
      </c>
      <c r="F425" t="s">
        <v>1125</v>
      </c>
      <c r="G425" t="s">
        <v>1126</v>
      </c>
      <c r="H425" s="315" t="s">
        <v>143</v>
      </c>
      <c r="I425" s="315" t="s">
        <v>1127</v>
      </c>
      <c r="J425" s="315" t="str">
        <f t="shared" si="46"/>
        <v>LEX PartsTrade Sales %  Sales</v>
      </c>
      <c r="K425" s="315" t="str">
        <f t="shared" si="47"/>
        <v>132Parts Trade Sales - Lexus</v>
      </c>
      <c r="L425" s="311">
        <f>+SUMIF('TUNZ Extracted TB'!M:M,$P425,'TUNZ Extracted TB'!G:G)</f>
        <v>0</v>
      </c>
      <c r="M425" s="311"/>
      <c r="N425" s="311">
        <f>+SUMIF('Input Sheet'!$AE:$AE,P425,'Input Sheet'!$X:$X)</f>
        <v>0</v>
      </c>
      <c r="O425" s="311"/>
      <c r="P425" t="str">
        <f t="shared" si="48"/>
        <v>132-3466</v>
      </c>
      <c r="Q425" s="315" t="str">
        <f t="shared" si="49"/>
        <v>LEX Parts</v>
      </c>
      <c r="R425" s="315" t="str">
        <f t="shared" si="50"/>
        <v>LEX PartsTrade Sales %  Sales</v>
      </c>
      <c r="S425" s="199"/>
      <c r="T425" s="199"/>
      <c r="U425" s="199"/>
    </row>
    <row r="426" spans="1:21" x14ac:dyDescent="0.25">
      <c r="A426" t="s">
        <v>996</v>
      </c>
      <c r="B426" t="s">
        <v>997</v>
      </c>
      <c r="C426" t="s">
        <v>997</v>
      </c>
      <c r="D426">
        <v>3466</v>
      </c>
      <c r="E426">
        <v>130</v>
      </c>
      <c r="F426" t="s">
        <v>1128</v>
      </c>
      <c r="G426" t="s">
        <v>1129</v>
      </c>
      <c r="H426" s="315" t="s">
        <v>5</v>
      </c>
      <c r="I426" s="315" t="s">
        <v>1127</v>
      </c>
      <c r="J426" s="315" t="str">
        <f t="shared" si="46"/>
        <v>PartsTrade Sales %  Sales</v>
      </c>
      <c r="K426" s="315" t="str">
        <f t="shared" si="47"/>
        <v>130Parts Trade Sales - Toyota</v>
      </c>
      <c r="L426" s="311">
        <f>+SUMIF('TUNZ Extracted TB'!M:M,$P426,'TUNZ Extracted TB'!G:G)</f>
        <v>-272299.45</v>
      </c>
      <c r="M426" s="311"/>
      <c r="N426" s="311">
        <f>+SUMIF('Input Sheet'!$AE:$AE,P426,'Input Sheet'!$X:$X)</f>
        <v>-306497.43797895522</v>
      </c>
      <c r="O426" s="311"/>
      <c r="P426" t="str">
        <f t="shared" si="48"/>
        <v>130-3466</v>
      </c>
      <c r="Q426" s="315" t="str">
        <f t="shared" si="49"/>
        <v>Parts</v>
      </c>
      <c r="R426" s="315" t="str">
        <f t="shared" si="50"/>
        <v>PartsTrade Sales %  Sales</v>
      </c>
    </row>
    <row r="427" spans="1:21" x14ac:dyDescent="0.25">
      <c r="A427" t="s">
        <v>996</v>
      </c>
      <c r="B427" t="s">
        <v>997</v>
      </c>
      <c r="C427" t="s">
        <v>997</v>
      </c>
      <c r="D427">
        <v>3466</v>
      </c>
      <c r="E427">
        <v>935</v>
      </c>
      <c r="F427" t="s">
        <v>1100</v>
      </c>
      <c r="G427" t="s">
        <v>1101</v>
      </c>
      <c r="H427" s="315" t="s">
        <v>58</v>
      </c>
      <c r="I427" s="315" t="s">
        <v>1127</v>
      </c>
      <c r="J427" s="315" t="str">
        <f t="shared" si="46"/>
        <v>BridgestoneTrade Sales %  Sales</v>
      </c>
      <c r="K427" s="315" t="str">
        <f t="shared" si="47"/>
        <v>935Other franchise/business revenue</v>
      </c>
      <c r="L427" s="311">
        <f>+SUMIF('TUNZ Extracted TB'!M:M,$P427,'TUNZ Extracted TB'!G:G)</f>
        <v>-4970</v>
      </c>
      <c r="M427" s="311"/>
      <c r="N427" s="311">
        <f>+SUMIF('Input Sheet'!$AE:$AE,P427,'Input Sheet'!$X:$X)</f>
        <v>-17857.142857142859</v>
      </c>
      <c r="O427" s="311"/>
      <c r="P427" t="str">
        <f t="shared" si="48"/>
        <v>935-3466</v>
      </c>
      <c r="Q427" s="315" t="str">
        <f t="shared" si="49"/>
        <v>Bridgestone</v>
      </c>
      <c r="R427" s="315" t="str">
        <f t="shared" si="50"/>
        <v>BridgestoneTrade Sales %  Sales</v>
      </c>
      <c r="S427" s="199"/>
      <c r="T427" s="199"/>
      <c r="U427" s="199"/>
    </row>
    <row r="428" spans="1:21" x14ac:dyDescent="0.25">
      <c r="A428" t="s">
        <v>996</v>
      </c>
      <c r="B428" t="s">
        <v>997</v>
      </c>
      <c r="C428" t="s">
        <v>1012</v>
      </c>
      <c r="D428">
        <v>3466</v>
      </c>
      <c r="E428">
        <v>430</v>
      </c>
      <c r="F428" t="s">
        <v>1128</v>
      </c>
      <c r="G428" t="s">
        <v>1129</v>
      </c>
      <c r="H428" s="315" t="s">
        <v>5</v>
      </c>
      <c r="I428" s="315" t="s">
        <v>1127</v>
      </c>
      <c r="J428" s="315" t="str">
        <f t="shared" si="46"/>
        <v>PartsTrade Sales %  Sales</v>
      </c>
      <c r="K428" s="315" t="str">
        <f t="shared" si="47"/>
        <v>430Parts Trade Sales - Toyota</v>
      </c>
      <c r="L428" s="311">
        <f>+SUMIF('TUNZ Extracted TB'!M:M,$P428,'TUNZ Extracted TB'!G:G)</f>
        <v>-5108.05</v>
      </c>
      <c r="M428" s="311"/>
      <c r="N428" s="311">
        <f>+SUMIF('Input Sheet'!$AE:$AE,P428,'Input Sheet'!$X:$X)</f>
        <v>-3177.3601311983393</v>
      </c>
      <c r="O428" s="311"/>
      <c r="P428" t="str">
        <f t="shared" si="48"/>
        <v>430-3466</v>
      </c>
      <c r="Q428" s="315" t="str">
        <f t="shared" si="49"/>
        <v>Parts</v>
      </c>
      <c r="R428" s="315" t="str">
        <f t="shared" si="50"/>
        <v>PartsTrade Sales %  Sales</v>
      </c>
      <c r="S428" s="199"/>
      <c r="T428" s="199"/>
      <c r="U428" s="199"/>
    </row>
    <row r="429" spans="1:21" x14ac:dyDescent="0.25">
      <c r="A429" t="s">
        <v>996</v>
      </c>
      <c r="B429" t="s">
        <v>997</v>
      </c>
      <c r="C429" t="s">
        <v>997</v>
      </c>
      <c r="D429">
        <v>3466</v>
      </c>
      <c r="E429">
        <v>936</v>
      </c>
      <c r="F429" t="s">
        <v>1100</v>
      </c>
      <c r="G429" t="s">
        <v>1101</v>
      </c>
      <c r="H429" s="315" t="s">
        <v>58</v>
      </c>
      <c r="I429" s="315" t="s">
        <v>1127</v>
      </c>
      <c r="J429" s="315" t="str">
        <f t="shared" si="46"/>
        <v>BridgestoneTrade Sales %  Sales</v>
      </c>
      <c r="K429" s="315" t="str">
        <f t="shared" si="47"/>
        <v>936Other franchise/business revenue</v>
      </c>
      <c r="L429" s="311">
        <f>+SUMIF('TUNZ Extracted TB'!M:M,$P429,'TUNZ Extracted TB'!G:G)</f>
        <v>-8119.12</v>
      </c>
      <c r="M429" s="311"/>
      <c r="N429" s="311">
        <f>+SUMIF('Input Sheet'!$AE:$AE,P429,'Input Sheet'!$X:$X)</f>
        <v>-7142.8571428571431</v>
      </c>
      <c r="O429" s="311"/>
      <c r="P429" t="str">
        <f t="shared" si="48"/>
        <v>936-3466</v>
      </c>
      <c r="Q429" s="315" t="str">
        <f t="shared" si="49"/>
        <v>Bridgestone</v>
      </c>
      <c r="R429" s="315" t="str">
        <f t="shared" si="50"/>
        <v>BridgestoneTrade Sales %  Sales</v>
      </c>
      <c r="S429" s="199"/>
      <c r="T429" s="199"/>
      <c r="U429" s="199"/>
    </row>
    <row r="430" spans="1:21" x14ac:dyDescent="0.25">
      <c r="A430" t="s">
        <v>996</v>
      </c>
      <c r="B430" t="s">
        <v>997</v>
      </c>
      <c r="C430" t="s">
        <v>1013</v>
      </c>
      <c r="D430">
        <v>3466</v>
      </c>
      <c r="E430">
        <v>330</v>
      </c>
      <c r="F430" t="s">
        <v>1128</v>
      </c>
      <c r="G430" t="s">
        <v>1129</v>
      </c>
      <c r="H430" s="315" t="s">
        <v>5</v>
      </c>
      <c r="I430" s="315" t="s">
        <v>1127</v>
      </c>
      <c r="J430" s="315" t="str">
        <f t="shared" si="46"/>
        <v>PartsTrade Sales %  Sales</v>
      </c>
      <c r="K430" s="315" t="str">
        <f t="shared" si="47"/>
        <v>330Parts Trade Sales - Toyota</v>
      </c>
      <c r="L430" s="311">
        <f>+SUMIF('TUNZ Extracted TB'!M:M,$P430,'TUNZ Extracted TB'!G:G)</f>
        <v>-41698.29</v>
      </c>
      <c r="M430" s="311"/>
      <c r="N430" s="311">
        <f>+SUMIF('Input Sheet'!$AE:$AE,P430,'Input Sheet'!$X:$X)</f>
        <v>-48535.709320990325</v>
      </c>
      <c r="O430" s="311"/>
      <c r="P430" t="str">
        <f t="shared" si="48"/>
        <v>330-3466</v>
      </c>
      <c r="Q430" s="315" t="str">
        <f t="shared" si="49"/>
        <v>Parts</v>
      </c>
      <c r="R430" s="315" t="str">
        <f t="shared" si="50"/>
        <v>PartsTrade Sales %  Sales</v>
      </c>
      <c r="S430" s="199"/>
      <c r="T430" s="199"/>
      <c r="U430" s="199"/>
    </row>
    <row r="431" spans="1:21" x14ac:dyDescent="0.25">
      <c r="A431" t="s">
        <v>996</v>
      </c>
      <c r="B431" t="s">
        <v>997</v>
      </c>
      <c r="C431" t="s">
        <v>1005</v>
      </c>
      <c r="D431">
        <v>3466</v>
      </c>
      <c r="E431">
        <v>230</v>
      </c>
      <c r="F431" t="s">
        <v>1128</v>
      </c>
      <c r="G431" t="s">
        <v>1129</v>
      </c>
      <c r="H431" s="315" t="s">
        <v>5</v>
      </c>
      <c r="I431" s="315" t="s">
        <v>1127</v>
      </c>
      <c r="J431" s="315" t="str">
        <f t="shared" si="46"/>
        <v>PartsTrade Sales %  Sales</v>
      </c>
      <c r="K431" s="315" t="str">
        <f t="shared" si="47"/>
        <v>230Parts Trade Sales - Toyota</v>
      </c>
      <c r="L431" s="311">
        <f>+SUMIF('TUNZ Extracted TB'!M:M,$P431,'TUNZ Extracted TB'!G:G)</f>
        <v>-85693.27</v>
      </c>
      <c r="M431" s="311"/>
      <c r="N431" s="311">
        <f>+SUMIF('Input Sheet'!$AE:$AE,P431,'Input Sheet'!$X:$X)</f>
        <v>-138279.25164712529</v>
      </c>
      <c r="O431" s="311"/>
      <c r="P431" t="str">
        <f t="shared" si="48"/>
        <v>230-3466</v>
      </c>
      <c r="Q431" s="315" t="str">
        <f t="shared" si="49"/>
        <v>Parts</v>
      </c>
      <c r="R431" s="315" t="str">
        <f t="shared" si="50"/>
        <v>PartsTrade Sales %  Sales</v>
      </c>
    </row>
    <row r="432" spans="1:21" x14ac:dyDescent="0.25">
      <c r="A432" t="s">
        <v>996</v>
      </c>
      <c r="B432" t="s">
        <v>997</v>
      </c>
      <c r="C432" t="s">
        <v>997</v>
      </c>
      <c r="D432">
        <v>3467</v>
      </c>
      <c r="E432">
        <v>132</v>
      </c>
      <c r="F432" t="s">
        <v>1125</v>
      </c>
      <c r="G432" t="s">
        <v>1126</v>
      </c>
      <c r="H432" s="315" t="s">
        <v>143</v>
      </c>
      <c r="I432" s="315" t="s">
        <v>1127</v>
      </c>
      <c r="J432" s="315" t="str">
        <f t="shared" si="46"/>
        <v>LEX PartsTrade Sales %  Sales</v>
      </c>
      <c r="K432" s="315" t="str">
        <f t="shared" si="47"/>
        <v>132Parts Trade Sales - Lexus</v>
      </c>
      <c r="L432" s="311">
        <f>+SUMIF('TUNZ Extracted TB'!M:M,$P432,'TUNZ Extracted TB'!G:G)</f>
        <v>0</v>
      </c>
      <c r="M432" s="311"/>
      <c r="N432" s="311">
        <f>+SUMIF('Input Sheet'!$AE:$AE,P432,'Input Sheet'!$X:$X)</f>
        <v>0</v>
      </c>
      <c r="O432" s="311"/>
      <c r="P432" t="str">
        <f t="shared" si="48"/>
        <v>132-3467</v>
      </c>
      <c r="Q432" s="315" t="str">
        <f t="shared" si="49"/>
        <v>LEX Parts</v>
      </c>
      <c r="R432" s="315" t="str">
        <f t="shared" si="50"/>
        <v>LEX PartsTrade Sales %  Sales</v>
      </c>
      <c r="S432" s="199"/>
      <c r="T432" s="199"/>
      <c r="U432" s="199"/>
    </row>
    <row r="433" spans="1:21" x14ac:dyDescent="0.25">
      <c r="A433" t="s">
        <v>996</v>
      </c>
      <c r="B433" t="s">
        <v>997</v>
      </c>
      <c r="C433" t="s">
        <v>997</v>
      </c>
      <c r="D433">
        <v>3467</v>
      </c>
      <c r="E433">
        <v>130</v>
      </c>
      <c r="F433" t="s">
        <v>1128</v>
      </c>
      <c r="G433" t="s">
        <v>1129</v>
      </c>
      <c r="H433" s="315" t="s">
        <v>5</v>
      </c>
      <c r="I433" s="315" t="s">
        <v>1127</v>
      </c>
      <c r="J433" s="315" t="str">
        <f t="shared" si="46"/>
        <v>PartsTrade Sales %  Sales</v>
      </c>
      <c r="K433" s="315" t="str">
        <f t="shared" si="47"/>
        <v>130Parts Trade Sales - Toyota</v>
      </c>
      <c r="L433" s="311">
        <f>+SUMIF('TUNZ Extracted TB'!M:M,$P433,'TUNZ Extracted TB'!G:G)</f>
        <v>-50054.11</v>
      </c>
      <c r="M433" s="311"/>
      <c r="N433" s="311">
        <f>+SUMIF('Input Sheet'!$AE:$AE,P433,'Input Sheet'!$X:$X)</f>
        <v>0</v>
      </c>
      <c r="O433" s="311"/>
      <c r="P433" t="str">
        <f t="shared" si="48"/>
        <v>130-3467</v>
      </c>
      <c r="Q433" s="315" t="str">
        <f t="shared" si="49"/>
        <v>Parts</v>
      </c>
      <c r="R433" s="315" t="str">
        <f t="shared" si="50"/>
        <v>PartsTrade Sales %  Sales</v>
      </c>
      <c r="S433" s="199"/>
      <c r="T433" s="199"/>
      <c r="U433" s="199"/>
    </row>
    <row r="434" spans="1:21" x14ac:dyDescent="0.25">
      <c r="A434" t="s">
        <v>996</v>
      </c>
      <c r="B434" t="s">
        <v>997</v>
      </c>
      <c r="C434" t="s">
        <v>1012</v>
      </c>
      <c r="D434">
        <v>3467</v>
      </c>
      <c r="E434">
        <v>430</v>
      </c>
      <c r="F434" t="s">
        <v>1128</v>
      </c>
      <c r="G434" t="s">
        <v>1129</v>
      </c>
      <c r="H434" s="315" t="s">
        <v>5</v>
      </c>
      <c r="I434" s="315" t="s">
        <v>1127</v>
      </c>
      <c r="J434" s="315" t="str">
        <f t="shared" si="46"/>
        <v>PartsTrade Sales %  Sales</v>
      </c>
      <c r="K434" s="315" t="str">
        <f t="shared" si="47"/>
        <v>430Parts Trade Sales - Toyota</v>
      </c>
      <c r="L434" s="311">
        <f>+SUMIF('TUNZ Extracted TB'!M:M,$P434,'TUNZ Extracted TB'!G:G)</f>
        <v>-170</v>
      </c>
      <c r="M434" s="311"/>
      <c r="N434" s="311">
        <f>+SUMIF('Input Sheet'!$AE:$AE,P434,'Input Sheet'!$X:$X)</f>
        <v>0</v>
      </c>
      <c r="O434" s="311"/>
      <c r="P434" t="str">
        <f t="shared" si="48"/>
        <v>430-3467</v>
      </c>
      <c r="Q434" s="315" t="str">
        <f t="shared" si="49"/>
        <v>Parts</v>
      </c>
      <c r="R434" s="315" t="str">
        <f t="shared" si="50"/>
        <v>PartsTrade Sales %  Sales</v>
      </c>
      <c r="S434" s="199"/>
      <c r="T434" s="199"/>
      <c r="U434" s="199"/>
    </row>
    <row r="435" spans="1:21" x14ac:dyDescent="0.25">
      <c r="A435" t="s">
        <v>996</v>
      </c>
      <c r="B435" t="s">
        <v>997</v>
      </c>
      <c r="C435" t="s">
        <v>1013</v>
      </c>
      <c r="D435">
        <v>3467</v>
      </c>
      <c r="E435">
        <v>330</v>
      </c>
      <c r="F435" t="s">
        <v>1128</v>
      </c>
      <c r="G435" t="s">
        <v>1129</v>
      </c>
      <c r="H435" s="315" t="s">
        <v>5</v>
      </c>
      <c r="I435" s="315" t="s">
        <v>1127</v>
      </c>
      <c r="J435" s="315" t="str">
        <f t="shared" si="46"/>
        <v>PartsTrade Sales %  Sales</v>
      </c>
      <c r="K435" s="315" t="str">
        <f t="shared" si="47"/>
        <v>330Parts Trade Sales - Toyota</v>
      </c>
      <c r="L435" s="311">
        <f>+SUMIF('TUNZ Extracted TB'!M:M,$P435,'TUNZ Extracted TB'!G:G)</f>
        <v>-237.6</v>
      </c>
      <c r="M435" s="311"/>
      <c r="N435" s="311">
        <f>+SUMIF('Input Sheet'!$AE:$AE,P435,'Input Sheet'!$X:$X)</f>
        <v>0</v>
      </c>
      <c r="O435" s="311"/>
      <c r="P435" t="str">
        <f t="shared" si="48"/>
        <v>330-3467</v>
      </c>
      <c r="Q435" s="315" t="str">
        <f t="shared" si="49"/>
        <v>Parts</v>
      </c>
      <c r="R435" s="315" t="str">
        <f t="shared" si="50"/>
        <v>PartsTrade Sales %  Sales</v>
      </c>
      <c r="S435" s="199"/>
      <c r="T435" s="199"/>
      <c r="U435" s="199"/>
    </row>
    <row r="436" spans="1:21" x14ac:dyDescent="0.25">
      <c r="A436" t="s">
        <v>996</v>
      </c>
      <c r="B436" t="s">
        <v>997</v>
      </c>
      <c r="C436" t="s">
        <v>997</v>
      </c>
      <c r="D436">
        <v>3467</v>
      </c>
      <c r="E436">
        <v>936</v>
      </c>
      <c r="F436" t="s">
        <v>1100</v>
      </c>
      <c r="G436" t="s">
        <v>1101</v>
      </c>
      <c r="H436" s="315" t="s">
        <v>58</v>
      </c>
      <c r="I436" s="315" t="s">
        <v>1127</v>
      </c>
      <c r="J436" s="315" t="str">
        <f t="shared" si="46"/>
        <v>BridgestoneTrade Sales %  Sales</v>
      </c>
      <c r="K436" s="315" t="str">
        <f t="shared" si="47"/>
        <v>936Other franchise/business revenue</v>
      </c>
      <c r="L436" s="311">
        <f>+SUMIF('TUNZ Extracted TB'!M:M,$P436,'TUNZ Extracted TB'!G:G)</f>
        <v>-2707.28</v>
      </c>
      <c r="M436" s="311"/>
      <c r="N436" s="311">
        <f>+SUMIF('Input Sheet'!$AE:$AE,P436,'Input Sheet'!$X:$X)</f>
        <v>0</v>
      </c>
      <c r="O436" s="311"/>
      <c r="P436" t="str">
        <f t="shared" si="48"/>
        <v>936-3467</v>
      </c>
      <c r="Q436" s="315" t="str">
        <f t="shared" si="49"/>
        <v>Bridgestone</v>
      </c>
      <c r="R436" s="315" t="str">
        <f t="shared" si="50"/>
        <v>BridgestoneTrade Sales %  Sales</v>
      </c>
      <c r="S436" s="199"/>
      <c r="T436" s="199"/>
      <c r="U436" s="199"/>
    </row>
    <row r="437" spans="1:21" x14ac:dyDescent="0.25">
      <c r="A437" t="s">
        <v>996</v>
      </c>
      <c r="B437" t="s">
        <v>997</v>
      </c>
      <c r="C437" t="s">
        <v>1005</v>
      </c>
      <c r="D437">
        <v>3467</v>
      </c>
      <c r="E437">
        <v>230</v>
      </c>
      <c r="F437" t="s">
        <v>1128</v>
      </c>
      <c r="G437" t="s">
        <v>1129</v>
      </c>
      <c r="H437" s="315" t="s">
        <v>5</v>
      </c>
      <c r="I437" s="315" t="s">
        <v>1127</v>
      </c>
      <c r="J437" s="315" t="str">
        <f t="shared" si="46"/>
        <v>PartsTrade Sales %  Sales</v>
      </c>
      <c r="K437" s="315" t="str">
        <f t="shared" si="47"/>
        <v>230Parts Trade Sales - Toyota</v>
      </c>
      <c r="L437" s="311">
        <f>+SUMIF('TUNZ Extracted TB'!M:M,$P437,'TUNZ Extracted TB'!G:G)</f>
        <v>-407.44</v>
      </c>
      <c r="M437" s="311"/>
      <c r="N437" s="311">
        <f>+SUMIF('Input Sheet'!$AE:$AE,P437,'Input Sheet'!$X:$X)</f>
        <v>0</v>
      </c>
      <c r="O437" s="311"/>
      <c r="P437" t="str">
        <f t="shared" si="48"/>
        <v>230-3467</v>
      </c>
      <c r="Q437" s="315" t="str">
        <f t="shared" si="49"/>
        <v>Parts</v>
      </c>
      <c r="R437" s="315" t="str">
        <f t="shared" si="50"/>
        <v>PartsTrade Sales %  Sales</v>
      </c>
      <c r="S437" s="199"/>
      <c r="T437" s="199"/>
      <c r="U437" s="199"/>
    </row>
    <row r="438" spans="1:21" x14ac:dyDescent="0.25">
      <c r="A438" t="s">
        <v>996</v>
      </c>
      <c r="B438" t="s">
        <v>997</v>
      </c>
      <c r="C438" t="s">
        <v>997</v>
      </c>
      <c r="D438">
        <v>3467</v>
      </c>
      <c r="E438">
        <v>935</v>
      </c>
      <c r="F438" t="s">
        <v>1100</v>
      </c>
      <c r="G438" t="s">
        <v>1101</v>
      </c>
      <c r="H438" s="315" t="s">
        <v>58</v>
      </c>
      <c r="I438" s="315" t="s">
        <v>1127</v>
      </c>
      <c r="J438" s="315" t="str">
        <f t="shared" si="46"/>
        <v>BridgestoneTrade Sales %  Sales</v>
      </c>
      <c r="K438" s="315" t="str">
        <f t="shared" si="47"/>
        <v>935Other franchise/business revenue</v>
      </c>
      <c r="L438" s="311">
        <f>+SUMIF('TUNZ Extracted TB'!M:M,$P438,'TUNZ Extracted TB'!G:G)</f>
        <v>-10441.120000000001</v>
      </c>
      <c r="M438" s="311"/>
      <c r="N438" s="311">
        <f>+SUMIF('Input Sheet'!$AE:$AE,P438,'Input Sheet'!$X:$X)</f>
        <v>0</v>
      </c>
      <c r="O438" s="311"/>
      <c r="P438" t="str">
        <f t="shared" si="48"/>
        <v>935-3467</v>
      </c>
      <c r="Q438" s="315" t="str">
        <f t="shared" si="49"/>
        <v>Bridgestone</v>
      </c>
      <c r="R438" s="315" t="str">
        <f t="shared" si="50"/>
        <v>BridgestoneTrade Sales %  Sales</v>
      </c>
      <c r="S438" s="199"/>
      <c r="T438" s="199"/>
      <c r="U438" s="199"/>
    </row>
    <row r="439" spans="1:21" x14ac:dyDescent="0.25">
      <c r="A439" t="s">
        <v>996</v>
      </c>
      <c r="B439" t="s">
        <v>997</v>
      </c>
      <c r="C439" t="s">
        <v>997</v>
      </c>
      <c r="D439">
        <v>3468</v>
      </c>
      <c r="E439">
        <v>132</v>
      </c>
      <c r="F439" t="s">
        <v>1120</v>
      </c>
      <c r="G439" t="s">
        <v>1121</v>
      </c>
      <c r="H439" s="315" t="s">
        <v>143</v>
      </c>
      <c r="I439" s="315" t="s">
        <v>1122</v>
      </c>
      <c r="J439" s="315" t="str">
        <f t="shared" si="46"/>
        <v>LEX PartsCounter Sales %  Sales</v>
      </c>
      <c r="K439" s="315" t="str">
        <f t="shared" si="47"/>
        <v>132Parts Counter Sales - Lexus</v>
      </c>
      <c r="L439" s="311">
        <f>+SUMIF('TUNZ Extracted TB'!M:M,$P439,'TUNZ Extracted TB'!G:G)</f>
        <v>0</v>
      </c>
      <c r="M439" s="311"/>
      <c r="N439" s="311">
        <f>+SUMIF('Input Sheet'!$AE:$AE,P439,'Input Sheet'!$X:$X)</f>
        <v>0</v>
      </c>
      <c r="O439" s="311"/>
      <c r="P439" t="str">
        <f t="shared" si="48"/>
        <v>132-3468</v>
      </c>
      <c r="Q439" s="315" t="str">
        <f t="shared" si="49"/>
        <v>LEX Parts</v>
      </c>
      <c r="R439" s="315" t="str">
        <f t="shared" si="50"/>
        <v>LEX PartsCounter Sales %  Sales</v>
      </c>
      <c r="S439" s="199"/>
      <c r="T439" s="199"/>
      <c r="U439" s="199"/>
    </row>
    <row r="440" spans="1:21" x14ac:dyDescent="0.25">
      <c r="A440" t="s">
        <v>996</v>
      </c>
      <c r="B440" t="s">
        <v>997</v>
      </c>
      <c r="C440" t="s">
        <v>997</v>
      </c>
      <c r="D440">
        <v>3468</v>
      </c>
      <c r="E440">
        <v>130</v>
      </c>
      <c r="F440" t="s">
        <v>1123</v>
      </c>
      <c r="G440" t="s">
        <v>1124</v>
      </c>
      <c r="H440" s="315" t="s">
        <v>5</v>
      </c>
      <c r="I440" s="315" t="s">
        <v>1122</v>
      </c>
      <c r="J440" s="315" t="str">
        <f t="shared" si="46"/>
        <v>PartsCounter Sales %  Sales</v>
      </c>
      <c r="K440" s="315" t="str">
        <f t="shared" si="47"/>
        <v>130Parts Counter Sales - Toyota</v>
      </c>
      <c r="L440" s="311">
        <f>+SUMIF('TUNZ Extracted TB'!M:M,$P440,'TUNZ Extracted TB'!G:G)</f>
        <v>-60582.57</v>
      </c>
      <c r="M440" s="311"/>
      <c r="N440" s="311">
        <f>+SUMIF('Input Sheet'!$AE:$AE,P440,'Input Sheet'!$X:$X)</f>
        <v>0</v>
      </c>
      <c r="O440" s="311"/>
      <c r="P440" t="str">
        <f t="shared" si="48"/>
        <v>130-3468</v>
      </c>
      <c r="Q440" s="315" t="str">
        <f t="shared" si="49"/>
        <v>Parts</v>
      </c>
      <c r="R440" s="315" t="str">
        <f t="shared" si="50"/>
        <v>PartsCounter Sales %  Sales</v>
      </c>
    </row>
    <row r="441" spans="1:21" x14ac:dyDescent="0.25">
      <c r="A441" t="s">
        <v>996</v>
      </c>
      <c r="B441" t="s">
        <v>997</v>
      </c>
      <c r="C441" t="s">
        <v>997</v>
      </c>
      <c r="D441">
        <v>3468</v>
      </c>
      <c r="E441">
        <v>935</v>
      </c>
      <c r="F441" t="s">
        <v>1100</v>
      </c>
      <c r="G441" t="s">
        <v>1101</v>
      </c>
      <c r="H441" s="315" t="s">
        <v>58</v>
      </c>
      <c r="I441" s="315" t="s">
        <v>1122</v>
      </c>
      <c r="J441" s="315" t="str">
        <f t="shared" si="46"/>
        <v>BridgestoneCounter Sales %  Sales</v>
      </c>
      <c r="K441" s="315" t="str">
        <f t="shared" si="47"/>
        <v>935Other franchise/business revenue</v>
      </c>
      <c r="L441" s="311">
        <f>+SUMIF('TUNZ Extracted TB'!M:M,$P441,'TUNZ Extracted TB'!G:G)</f>
        <v>0</v>
      </c>
      <c r="M441" s="311"/>
      <c r="N441" s="311">
        <f>+SUMIF('Input Sheet'!$AE:$AE,P441,'Input Sheet'!$X:$X)</f>
        <v>0</v>
      </c>
      <c r="O441" s="311"/>
      <c r="P441" t="str">
        <f t="shared" si="48"/>
        <v>935-3468</v>
      </c>
      <c r="Q441" s="315" t="str">
        <f t="shared" si="49"/>
        <v>Bridgestone</v>
      </c>
      <c r="R441" s="315" t="str">
        <f t="shared" si="50"/>
        <v>BridgestoneCounter Sales %  Sales</v>
      </c>
      <c r="S441" s="199"/>
      <c r="T441" s="199"/>
      <c r="U441" s="199"/>
    </row>
    <row r="442" spans="1:21" x14ac:dyDescent="0.25">
      <c r="A442" t="s">
        <v>996</v>
      </c>
      <c r="B442" t="s">
        <v>997</v>
      </c>
      <c r="C442" t="s">
        <v>997</v>
      </c>
      <c r="D442">
        <v>3468</v>
      </c>
      <c r="E442">
        <v>936</v>
      </c>
      <c r="F442" t="s">
        <v>1100</v>
      </c>
      <c r="G442" t="s">
        <v>1101</v>
      </c>
      <c r="H442" s="315" t="s">
        <v>58</v>
      </c>
      <c r="I442" s="315" t="s">
        <v>1122</v>
      </c>
      <c r="J442" s="315" t="str">
        <f t="shared" si="46"/>
        <v>BridgestoneCounter Sales %  Sales</v>
      </c>
      <c r="K442" s="315" t="str">
        <f t="shared" si="47"/>
        <v>936Other franchise/business revenue</v>
      </c>
      <c r="L442" s="311">
        <f>+SUMIF('TUNZ Extracted TB'!M:M,$P442,'TUNZ Extracted TB'!G:G)</f>
        <v>0</v>
      </c>
      <c r="M442" s="311"/>
      <c r="N442" s="311">
        <f>+SUMIF('Input Sheet'!$AE:$AE,P442,'Input Sheet'!$X:$X)</f>
        <v>0</v>
      </c>
      <c r="O442" s="311"/>
      <c r="P442" t="str">
        <f t="shared" si="48"/>
        <v>936-3468</v>
      </c>
      <c r="Q442" s="315" t="str">
        <f t="shared" si="49"/>
        <v>Bridgestone</v>
      </c>
      <c r="R442" s="315" t="str">
        <f t="shared" si="50"/>
        <v>BridgestoneCounter Sales %  Sales</v>
      </c>
      <c r="S442" s="199"/>
      <c r="T442" s="199"/>
      <c r="U442" s="199"/>
    </row>
    <row r="443" spans="1:21" x14ac:dyDescent="0.25">
      <c r="A443" t="s">
        <v>996</v>
      </c>
      <c r="B443" t="s">
        <v>997</v>
      </c>
      <c r="C443" t="s">
        <v>1013</v>
      </c>
      <c r="D443">
        <v>3468</v>
      </c>
      <c r="E443">
        <v>330</v>
      </c>
      <c r="F443" t="s">
        <v>1123</v>
      </c>
      <c r="G443" t="s">
        <v>1124</v>
      </c>
      <c r="H443" s="315" t="s">
        <v>5</v>
      </c>
      <c r="I443" s="315" t="s">
        <v>1122</v>
      </c>
      <c r="J443" s="315" t="str">
        <f t="shared" si="46"/>
        <v>PartsCounter Sales %  Sales</v>
      </c>
      <c r="K443" s="315" t="str">
        <f t="shared" si="47"/>
        <v>330Parts Counter Sales - Toyota</v>
      </c>
      <c r="L443" s="311">
        <f>+SUMIF('TUNZ Extracted TB'!M:M,$P443,'TUNZ Extracted TB'!G:G)</f>
        <v>-879.92</v>
      </c>
      <c r="M443" s="311"/>
      <c r="N443" s="311">
        <f>+SUMIF('Input Sheet'!$AE:$AE,P443,'Input Sheet'!$X:$X)</f>
        <v>0</v>
      </c>
      <c r="O443" s="311"/>
      <c r="P443" t="str">
        <f t="shared" si="48"/>
        <v>330-3468</v>
      </c>
      <c r="Q443" s="315" t="str">
        <f t="shared" si="49"/>
        <v>Parts</v>
      </c>
      <c r="R443" s="315" t="str">
        <f t="shared" si="50"/>
        <v>PartsCounter Sales %  Sales</v>
      </c>
      <c r="S443" s="199"/>
      <c r="T443" s="199"/>
      <c r="U443" s="199"/>
    </row>
    <row r="444" spans="1:21" x14ac:dyDescent="0.25">
      <c r="A444" t="s">
        <v>996</v>
      </c>
      <c r="B444" t="s">
        <v>997</v>
      </c>
      <c r="C444" t="s">
        <v>1012</v>
      </c>
      <c r="D444">
        <v>3468</v>
      </c>
      <c r="E444">
        <v>430</v>
      </c>
      <c r="F444" t="s">
        <v>1123</v>
      </c>
      <c r="G444" t="s">
        <v>1124</v>
      </c>
      <c r="H444" s="315" t="s">
        <v>5</v>
      </c>
      <c r="I444" s="315" t="s">
        <v>1122</v>
      </c>
      <c r="J444" s="315" t="str">
        <f t="shared" si="46"/>
        <v>PartsCounter Sales %  Sales</v>
      </c>
      <c r="K444" s="315" t="str">
        <f t="shared" si="47"/>
        <v>430Parts Counter Sales - Toyota</v>
      </c>
      <c r="L444" s="311">
        <f>+SUMIF('TUNZ Extracted TB'!M:M,$P444,'TUNZ Extracted TB'!G:G)</f>
        <v>-305.88</v>
      </c>
      <c r="M444" s="311"/>
      <c r="N444" s="311">
        <f>+SUMIF('Input Sheet'!$AE:$AE,P444,'Input Sheet'!$X:$X)</f>
        <v>0</v>
      </c>
      <c r="O444" s="311"/>
      <c r="P444" t="str">
        <f t="shared" si="48"/>
        <v>430-3468</v>
      </c>
      <c r="Q444" s="315" t="str">
        <f t="shared" si="49"/>
        <v>Parts</v>
      </c>
      <c r="R444" s="315" t="str">
        <f t="shared" si="50"/>
        <v>PartsCounter Sales %  Sales</v>
      </c>
      <c r="S444" s="199"/>
      <c r="T444" s="199"/>
      <c r="U444" s="199"/>
    </row>
    <row r="445" spans="1:21" x14ac:dyDescent="0.25">
      <c r="A445" t="s">
        <v>996</v>
      </c>
      <c r="B445" t="s">
        <v>997</v>
      </c>
      <c r="C445" t="s">
        <v>1005</v>
      </c>
      <c r="D445">
        <v>3468</v>
      </c>
      <c r="E445">
        <v>230</v>
      </c>
      <c r="F445" t="s">
        <v>1123</v>
      </c>
      <c r="G445" t="s">
        <v>1124</v>
      </c>
      <c r="H445" s="315" t="s">
        <v>5</v>
      </c>
      <c r="I445" s="315" t="s">
        <v>1122</v>
      </c>
      <c r="J445" s="315" t="str">
        <f t="shared" si="46"/>
        <v>PartsCounter Sales %  Sales</v>
      </c>
      <c r="K445" s="315" t="str">
        <f t="shared" si="47"/>
        <v>230Parts Counter Sales - Toyota</v>
      </c>
      <c r="L445" s="311">
        <f>+SUMIF('TUNZ Extracted TB'!M:M,$P445,'TUNZ Extracted TB'!G:G)</f>
        <v>-13185.98</v>
      </c>
      <c r="M445" s="311"/>
      <c r="N445" s="311">
        <f>+SUMIF('Input Sheet'!$AE:$AE,P445,'Input Sheet'!$X:$X)</f>
        <v>0</v>
      </c>
      <c r="O445" s="311"/>
      <c r="P445" t="str">
        <f t="shared" si="48"/>
        <v>230-3468</v>
      </c>
      <c r="Q445" s="315" t="str">
        <f t="shared" si="49"/>
        <v>Parts</v>
      </c>
      <c r="R445" s="315" t="str">
        <f t="shared" si="50"/>
        <v>PartsCounter Sales %  Sales</v>
      </c>
      <c r="S445" s="199"/>
      <c r="T445" s="199"/>
      <c r="U445" s="199"/>
    </row>
    <row r="446" spans="1:21" x14ac:dyDescent="0.25">
      <c r="A446" t="s">
        <v>996</v>
      </c>
      <c r="B446" t="s">
        <v>997</v>
      </c>
      <c r="C446" t="s">
        <v>997</v>
      </c>
      <c r="D446">
        <v>3475</v>
      </c>
      <c r="E446">
        <v>132</v>
      </c>
      <c r="F446" t="s">
        <v>1130</v>
      </c>
      <c r="G446" t="s">
        <v>1131</v>
      </c>
      <c r="H446" s="315" t="s">
        <v>143</v>
      </c>
      <c r="I446" s="315" t="s">
        <v>1132</v>
      </c>
      <c r="J446" s="315" t="str">
        <f t="shared" si="46"/>
        <v>LEX PartsWorkshop Retail Sales %  Sales</v>
      </c>
      <c r="K446" s="315" t="str">
        <f t="shared" si="47"/>
        <v>132Parts Workshop Retail Sales - Lexus</v>
      </c>
      <c r="L446" s="311">
        <f>+SUMIF('TUNZ Extracted TB'!M:M,$P446,'TUNZ Extracted TB'!G:G)</f>
        <v>-12748.15</v>
      </c>
      <c r="M446" s="311"/>
      <c r="N446" s="311">
        <f>+SUMIF('Input Sheet'!$AE:$AE,P446,'Input Sheet'!$X:$X)</f>
        <v>-6000</v>
      </c>
      <c r="O446" s="311"/>
      <c r="P446" t="str">
        <f t="shared" si="48"/>
        <v>132-3475</v>
      </c>
      <c r="Q446" s="315" t="str">
        <f t="shared" si="49"/>
        <v>LEX Parts</v>
      </c>
      <c r="R446" s="315" t="str">
        <f t="shared" si="50"/>
        <v>LEX PartsWorkshop Retail Sales %  Sales</v>
      </c>
      <c r="S446" s="199"/>
      <c r="T446" s="199"/>
      <c r="U446" s="199"/>
    </row>
    <row r="447" spans="1:21" x14ac:dyDescent="0.25">
      <c r="A447" t="s">
        <v>996</v>
      </c>
      <c r="B447" t="s">
        <v>997</v>
      </c>
      <c r="C447" t="s">
        <v>997</v>
      </c>
      <c r="D447">
        <v>3475</v>
      </c>
      <c r="E447">
        <v>130</v>
      </c>
      <c r="F447" t="s">
        <v>1133</v>
      </c>
      <c r="G447" t="s">
        <v>1134</v>
      </c>
      <c r="H447" s="315" t="s">
        <v>5</v>
      </c>
      <c r="I447" s="315" t="s">
        <v>1132</v>
      </c>
      <c r="J447" s="315" t="str">
        <f t="shared" si="46"/>
        <v>PartsWorkshop Retail Sales %  Sales</v>
      </c>
      <c r="K447" s="315" t="str">
        <f t="shared" si="47"/>
        <v>130Parts Workshop Retail Sales - Toyota</v>
      </c>
      <c r="L447" s="311">
        <f>+SUMIF('TUNZ Extracted TB'!M:M,$P447,'TUNZ Extracted TB'!G:G)</f>
        <v>-104848.68</v>
      </c>
      <c r="M447" s="311"/>
      <c r="N447" s="311">
        <f>+SUMIF('Input Sheet'!$AE:$AE,P447,'Input Sheet'!$X:$X)</f>
        <v>-137678.16538178461</v>
      </c>
      <c r="O447" s="311"/>
      <c r="P447" t="str">
        <f t="shared" si="48"/>
        <v>130-3475</v>
      </c>
      <c r="Q447" s="315" t="str">
        <f t="shared" si="49"/>
        <v>Parts</v>
      </c>
      <c r="R447" s="315" t="str">
        <f t="shared" si="50"/>
        <v>PartsWorkshop Retail Sales %  Sales</v>
      </c>
    </row>
    <row r="448" spans="1:21" x14ac:dyDescent="0.25">
      <c r="A448" t="s">
        <v>996</v>
      </c>
      <c r="B448" t="s">
        <v>997</v>
      </c>
      <c r="C448" t="s">
        <v>997</v>
      </c>
      <c r="D448">
        <v>3475</v>
      </c>
      <c r="E448">
        <v>936</v>
      </c>
      <c r="F448" t="s">
        <v>1100</v>
      </c>
      <c r="G448" t="s">
        <v>1101</v>
      </c>
      <c r="H448" s="315" t="s">
        <v>58</v>
      </c>
      <c r="I448" s="315" t="s">
        <v>1132</v>
      </c>
      <c r="J448" s="315" t="str">
        <f t="shared" si="46"/>
        <v>BridgestoneWorkshop Retail Sales %  Sales</v>
      </c>
      <c r="K448" s="315" t="str">
        <f t="shared" si="47"/>
        <v>936Other franchise/business revenue</v>
      </c>
      <c r="L448" s="311">
        <f>+SUMIF('TUNZ Extracted TB'!M:M,$P448,'TUNZ Extracted TB'!G:G)</f>
        <v>0</v>
      </c>
      <c r="M448" s="311"/>
      <c r="N448" s="311">
        <f>+SUMIF('Input Sheet'!$AE:$AE,P448,'Input Sheet'!$X:$X)</f>
        <v>0</v>
      </c>
      <c r="O448" s="311"/>
      <c r="P448" t="str">
        <f t="shared" si="48"/>
        <v>936-3475</v>
      </c>
      <c r="Q448" s="315" t="str">
        <f t="shared" si="49"/>
        <v>Bridgestone</v>
      </c>
      <c r="R448" s="315" t="str">
        <f t="shared" si="50"/>
        <v>BridgestoneWorkshop Retail Sales %  Sales</v>
      </c>
      <c r="S448" s="199"/>
      <c r="T448" s="199"/>
      <c r="U448" s="199"/>
    </row>
    <row r="449" spans="1:21" x14ac:dyDescent="0.25">
      <c r="A449" t="s">
        <v>996</v>
      </c>
      <c r="B449" t="s">
        <v>997</v>
      </c>
      <c r="C449" t="s">
        <v>997</v>
      </c>
      <c r="D449">
        <v>3475</v>
      </c>
      <c r="E449">
        <v>935</v>
      </c>
      <c r="F449" t="s">
        <v>1100</v>
      </c>
      <c r="G449" t="s">
        <v>1101</v>
      </c>
      <c r="H449" s="315" t="s">
        <v>58</v>
      </c>
      <c r="I449" s="315" t="s">
        <v>1132</v>
      </c>
      <c r="J449" s="315" t="str">
        <f t="shared" si="46"/>
        <v>BridgestoneWorkshop Retail Sales %  Sales</v>
      </c>
      <c r="K449" s="315" t="str">
        <f t="shared" si="47"/>
        <v>935Other franchise/business revenue</v>
      </c>
      <c r="L449" s="311">
        <f>+SUMIF('TUNZ Extracted TB'!M:M,$P449,'TUNZ Extracted TB'!G:G)</f>
        <v>0</v>
      </c>
      <c r="M449" s="311"/>
      <c r="N449" s="311">
        <f>+SUMIF('Input Sheet'!$AE:$AE,P449,'Input Sheet'!$X:$X)</f>
        <v>0</v>
      </c>
      <c r="O449" s="311"/>
      <c r="P449" t="str">
        <f t="shared" si="48"/>
        <v>935-3475</v>
      </c>
      <c r="Q449" s="315" t="str">
        <f t="shared" si="49"/>
        <v>Bridgestone</v>
      </c>
      <c r="R449" s="315" t="str">
        <f t="shared" si="50"/>
        <v>BridgestoneWorkshop Retail Sales %  Sales</v>
      </c>
      <c r="S449" s="199"/>
      <c r="T449" s="199"/>
      <c r="U449" s="199"/>
    </row>
    <row r="450" spans="1:21" x14ac:dyDescent="0.25">
      <c r="A450" t="s">
        <v>996</v>
      </c>
      <c r="B450" t="s">
        <v>997</v>
      </c>
      <c r="C450" t="s">
        <v>1012</v>
      </c>
      <c r="D450">
        <v>3475</v>
      </c>
      <c r="E450">
        <v>430</v>
      </c>
      <c r="F450" t="s">
        <v>1133</v>
      </c>
      <c r="G450" t="s">
        <v>1134</v>
      </c>
      <c r="H450" s="315" t="s">
        <v>5</v>
      </c>
      <c r="I450" s="315" t="s">
        <v>1132</v>
      </c>
      <c r="J450" s="315" t="str">
        <f t="shared" si="46"/>
        <v>PartsWorkshop Retail Sales %  Sales</v>
      </c>
      <c r="K450" s="315" t="str">
        <f t="shared" si="47"/>
        <v>430Parts Workshop Retail Sales - Toyota</v>
      </c>
      <c r="L450" s="311">
        <f>+SUMIF('TUNZ Extracted TB'!M:M,$P450,'TUNZ Extracted TB'!G:G)</f>
        <v>-20239.47</v>
      </c>
      <c r="M450" s="311"/>
      <c r="N450" s="311">
        <f>+SUMIF('Input Sheet'!$AE:$AE,P450,'Input Sheet'!$X:$X)</f>
        <v>-14721.114287604725</v>
      </c>
      <c r="O450" s="311"/>
      <c r="P450" t="str">
        <f t="shared" si="48"/>
        <v>430-3475</v>
      </c>
      <c r="Q450" s="315" t="str">
        <f t="shared" si="49"/>
        <v>Parts</v>
      </c>
      <c r="R450" s="315" t="str">
        <f t="shared" si="50"/>
        <v>PartsWorkshop Retail Sales %  Sales</v>
      </c>
      <c r="S450" s="199"/>
      <c r="T450" s="199"/>
      <c r="U450" s="199"/>
    </row>
    <row r="451" spans="1:21" x14ac:dyDescent="0.25">
      <c r="A451" t="s">
        <v>996</v>
      </c>
      <c r="B451" t="s">
        <v>997</v>
      </c>
      <c r="C451" t="s">
        <v>1013</v>
      </c>
      <c r="D451">
        <v>3475</v>
      </c>
      <c r="E451">
        <v>330</v>
      </c>
      <c r="F451" t="s">
        <v>1133</v>
      </c>
      <c r="G451" t="s">
        <v>1134</v>
      </c>
      <c r="H451" s="315" t="s">
        <v>5</v>
      </c>
      <c r="I451" s="315" t="s">
        <v>1132</v>
      </c>
      <c r="J451" s="315" t="str">
        <f t="shared" ref="J451:J514" si="51">+H451&amp;I451</f>
        <v>PartsWorkshop Retail Sales %  Sales</v>
      </c>
      <c r="K451" s="315" t="str">
        <f t="shared" ref="K451:K514" si="52">+E451&amp;G451</f>
        <v>330Parts Workshop Retail Sales - Toyota</v>
      </c>
      <c r="L451" s="311">
        <f>+SUMIF('TUNZ Extracted TB'!M:M,$P451,'TUNZ Extracted TB'!G:G)</f>
        <v>-35901.67</v>
      </c>
      <c r="M451" s="311"/>
      <c r="N451" s="311">
        <f>+SUMIF('Input Sheet'!$AE:$AE,P451,'Input Sheet'!$X:$X)</f>
        <v>-38173.188156219221</v>
      </c>
      <c r="O451" s="311"/>
      <c r="P451" t="str">
        <f t="shared" ref="P451:P514" si="53">+E451&amp;"-"&amp;D451</f>
        <v>330-3475</v>
      </c>
      <c r="Q451" s="315" t="str">
        <f t="shared" ref="Q451:Q514" si="54">H451</f>
        <v>Parts</v>
      </c>
      <c r="R451" s="315" t="str">
        <f t="shared" ref="R451:R514" si="55">J451</f>
        <v>PartsWorkshop Retail Sales %  Sales</v>
      </c>
      <c r="S451" s="199"/>
      <c r="T451" s="199"/>
      <c r="U451" s="199"/>
    </row>
    <row r="452" spans="1:21" x14ac:dyDescent="0.25">
      <c r="A452" t="s">
        <v>996</v>
      </c>
      <c r="B452" t="s">
        <v>997</v>
      </c>
      <c r="C452" t="s">
        <v>1005</v>
      </c>
      <c r="D452">
        <v>3475</v>
      </c>
      <c r="E452">
        <v>230</v>
      </c>
      <c r="F452" t="s">
        <v>1133</v>
      </c>
      <c r="G452" t="s">
        <v>1134</v>
      </c>
      <c r="H452" s="315" t="s">
        <v>5</v>
      </c>
      <c r="I452" s="315" t="s">
        <v>1132</v>
      </c>
      <c r="J452" s="315" t="str">
        <f t="shared" si="51"/>
        <v>PartsWorkshop Retail Sales %  Sales</v>
      </c>
      <c r="K452" s="315" t="str">
        <f t="shared" si="52"/>
        <v>230Parts Workshop Retail Sales - Toyota</v>
      </c>
      <c r="L452" s="311">
        <f>+SUMIF('TUNZ Extracted TB'!M:M,$P452,'TUNZ Extracted TB'!G:G)</f>
        <v>-32748.09</v>
      </c>
      <c r="M452" s="311"/>
      <c r="N452" s="311">
        <f>+SUMIF('Input Sheet'!$AE:$AE,P452,'Input Sheet'!$X:$X)</f>
        <v>-41565.747904462223</v>
      </c>
      <c r="O452" s="311"/>
      <c r="P452" t="str">
        <f t="shared" si="53"/>
        <v>230-3475</v>
      </c>
      <c r="Q452" s="315" t="str">
        <f t="shared" si="54"/>
        <v>Parts</v>
      </c>
      <c r="R452" s="315" t="str">
        <f t="shared" si="55"/>
        <v>PartsWorkshop Retail Sales %  Sales</v>
      </c>
      <c r="S452" s="199"/>
      <c r="T452" s="199"/>
      <c r="U452" s="199"/>
    </row>
    <row r="453" spans="1:21" x14ac:dyDescent="0.25">
      <c r="A453" t="s">
        <v>996</v>
      </c>
      <c r="B453" t="s">
        <v>997</v>
      </c>
      <c r="C453" t="s">
        <v>997</v>
      </c>
      <c r="D453">
        <v>3480</v>
      </c>
      <c r="E453">
        <v>132</v>
      </c>
      <c r="F453" t="s">
        <v>1130</v>
      </c>
      <c r="G453" t="s">
        <v>1131</v>
      </c>
      <c r="H453" s="315" t="s">
        <v>143</v>
      </c>
      <c r="I453" s="315" t="s">
        <v>1132</v>
      </c>
      <c r="J453" s="315" t="str">
        <f t="shared" si="51"/>
        <v>LEX PartsWorkshop Retail Sales %  Sales</v>
      </c>
      <c r="K453" s="315" t="str">
        <f t="shared" si="52"/>
        <v>132Parts Workshop Retail Sales - Lexus</v>
      </c>
      <c r="L453" s="311">
        <f>+SUMIF('TUNZ Extracted TB'!M:M,$P453,'TUNZ Extracted TB'!G:G)</f>
        <v>0</v>
      </c>
      <c r="M453" s="311"/>
      <c r="N453" s="311">
        <f>+SUMIF('Input Sheet'!$AE:$AE,P453,'Input Sheet'!$X:$X)</f>
        <v>0</v>
      </c>
      <c r="O453" s="311"/>
      <c r="P453" t="str">
        <f t="shared" si="53"/>
        <v>132-3480</v>
      </c>
      <c r="Q453" s="315" t="str">
        <f t="shared" si="54"/>
        <v>LEX Parts</v>
      </c>
      <c r="R453" s="315" t="str">
        <f t="shared" si="55"/>
        <v>LEX PartsWorkshop Retail Sales %  Sales</v>
      </c>
      <c r="S453" s="199"/>
      <c r="T453" s="199"/>
      <c r="U453" s="199"/>
    </row>
    <row r="454" spans="1:21" x14ac:dyDescent="0.25">
      <c r="A454" t="s">
        <v>996</v>
      </c>
      <c r="B454" t="s">
        <v>997</v>
      </c>
      <c r="C454" t="s">
        <v>997</v>
      </c>
      <c r="D454">
        <v>3480</v>
      </c>
      <c r="E454">
        <v>130</v>
      </c>
      <c r="F454" t="s">
        <v>1133</v>
      </c>
      <c r="G454" t="s">
        <v>1134</v>
      </c>
      <c r="H454" s="315" t="s">
        <v>5</v>
      </c>
      <c r="I454" s="315" t="s">
        <v>1132</v>
      </c>
      <c r="J454" s="315" t="str">
        <f t="shared" si="51"/>
        <v>PartsWorkshop Retail Sales %  Sales</v>
      </c>
      <c r="K454" s="315" t="str">
        <f t="shared" si="52"/>
        <v>130Parts Workshop Retail Sales - Toyota</v>
      </c>
      <c r="L454" s="311">
        <f>+SUMIF('TUNZ Extracted TB'!M:M,$P454,'TUNZ Extracted TB'!G:G)</f>
        <v>-9362.09</v>
      </c>
      <c r="M454" s="311"/>
      <c r="N454" s="311">
        <f>+SUMIF('Input Sheet'!$AE:$AE,P454,'Input Sheet'!$X:$X)</f>
        <v>0</v>
      </c>
      <c r="O454" s="311"/>
      <c r="P454" t="str">
        <f t="shared" si="53"/>
        <v>130-3480</v>
      </c>
      <c r="Q454" s="315" t="str">
        <f t="shared" si="54"/>
        <v>Parts</v>
      </c>
      <c r="R454" s="315" t="str">
        <f t="shared" si="55"/>
        <v>PartsWorkshop Retail Sales %  Sales</v>
      </c>
      <c r="S454" s="199"/>
      <c r="T454" s="199"/>
      <c r="U454" s="199"/>
    </row>
    <row r="455" spans="1:21" x14ac:dyDescent="0.25">
      <c r="A455" t="s">
        <v>996</v>
      </c>
      <c r="B455" t="s">
        <v>997</v>
      </c>
      <c r="C455" t="s">
        <v>997</v>
      </c>
      <c r="D455">
        <v>3480</v>
      </c>
      <c r="E455">
        <v>936</v>
      </c>
      <c r="F455" t="s">
        <v>1100</v>
      </c>
      <c r="G455" t="s">
        <v>1101</v>
      </c>
      <c r="H455" s="315" t="s">
        <v>58</v>
      </c>
      <c r="I455" s="315" t="s">
        <v>1132</v>
      </c>
      <c r="J455" s="315" t="str">
        <f t="shared" si="51"/>
        <v>BridgestoneWorkshop Retail Sales %  Sales</v>
      </c>
      <c r="K455" s="315" t="str">
        <f t="shared" si="52"/>
        <v>936Other franchise/business revenue</v>
      </c>
      <c r="L455" s="311">
        <f>+SUMIF('TUNZ Extracted TB'!M:M,$P455,'TUNZ Extracted TB'!G:G)</f>
        <v>0</v>
      </c>
      <c r="M455" s="311"/>
      <c r="N455" s="311">
        <f>+SUMIF('Input Sheet'!$AE:$AE,P455,'Input Sheet'!$X:$X)</f>
        <v>0</v>
      </c>
      <c r="O455" s="311"/>
      <c r="P455" t="str">
        <f t="shared" si="53"/>
        <v>936-3480</v>
      </c>
      <c r="Q455" s="315" t="str">
        <f t="shared" si="54"/>
        <v>Bridgestone</v>
      </c>
      <c r="R455" s="315" t="str">
        <f t="shared" si="55"/>
        <v>BridgestoneWorkshop Retail Sales %  Sales</v>
      </c>
      <c r="S455" s="199"/>
      <c r="T455" s="199"/>
      <c r="U455" s="199"/>
    </row>
    <row r="456" spans="1:21" x14ac:dyDescent="0.25">
      <c r="A456" t="s">
        <v>996</v>
      </c>
      <c r="B456" t="s">
        <v>997</v>
      </c>
      <c r="C456" t="s">
        <v>997</v>
      </c>
      <c r="D456">
        <v>3480</v>
      </c>
      <c r="E456">
        <v>935</v>
      </c>
      <c r="F456" t="s">
        <v>1100</v>
      </c>
      <c r="G456" t="s">
        <v>1101</v>
      </c>
      <c r="H456" s="315" t="s">
        <v>58</v>
      </c>
      <c r="I456" s="315" t="s">
        <v>1132</v>
      </c>
      <c r="J456" s="315" t="str">
        <f t="shared" si="51"/>
        <v>BridgestoneWorkshop Retail Sales %  Sales</v>
      </c>
      <c r="K456" s="315" t="str">
        <f t="shared" si="52"/>
        <v>935Other franchise/business revenue</v>
      </c>
      <c r="L456" s="311">
        <f>+SUMIF('TUNZ Extracted TB'!M:M,$P456,'TUNZ Extracted TB'!G:G)</f>
        <v>0</v>
      </c>
      <c r="M456" s="311"/>
      <c r="N456" s="311">
        <f>+SUMIF('Input Sheet'!$AE:$AE,P456,'Input Sheet'!$X:$X)</f>
        <v>0</v>
      </c>
      <c r="O456" s="311"/>
      <c r="P456" t="str">
        <f t="shared" si="53"/>
        <v>935-3480</v>
      </c>
      <c r="Q456" s="315" t="str">
        <f t="shared" si="54"/>
        <v>Bridgestone</v>
      </c>
      <c r="R456" s="315" t="str">
        <f t="shared" si="55"/>
        <v>BridgestoneWorkshop Retail Sales %  Sales</v>
      </c>
      <c r="S456" s="199"/>
      <c r="T456" s="199"/>
      <c r="U456" s="199"/>
    </row>
    <row r="457" spans="1:21" x14ac:dyDescent="0.25">
      <c r="A457" t="s">
        <v>996</v>
      </c>
      <c r="B457" t="s">
        <v>997</v>
      </c>
      <c r="C457" t="s">
        <v>1012</v>
      </c>
      <c r="D457">
        <v>3480</v>
      </c>
      <c r="E457">
        <v>430</v>
      </c>
      <c r="F457" t="s">
        <v>1133</v>
      </c>
      <c r="G457" t="s">
        <v>1134</v>
      </c>
      <c r="H457" s="315" t="s">
        <v>5</v>
      </c>
      <c r="I457" s="315" t="s">
        <v>1132</v>
      </c>
      <c r="J457" s="315" t="str">
        <f t="shared" si="51"/>
        <v>PartsWorkshop Retail Sales %  Sales</v>
      </c>
      <c r="K457" s="315" t="str">
        <f t="shared" si="52"/>
        <v>430Parts Workshop Retail Sales - Toyota</v>
      </c>
      <c r="L457" s="311">
        <f>+SUMIF('TUNZ Extracted TB'!M:M,$P457,'TUNZ Extracted TB'!G:G)</f>
        <v>-1974.3</v>
      </c>
      <c r="M457" s="311"/>
      <c r="N457" s="311">
        <f>+SUMIF('Input Sheet'!$AE:$AE,P457,'Input Sheet'!$X:$X)</f>
        <v>0</v>
      </c>
      <c r="O457" s="311"/>
      <c r="P457" t="str">
        <f t="shared" si="53"/>
        <v>430-3480</v>
      </c>
      <c r="Q457" s="315" t="str">
        <f t="shared" si="54"/>
        <v>Parts</v>
      </c>
      <c r="R457" s="315" t="str">
        <f t="shared" si="55"/>
        <v>PartsWorkshop Retail Sales %  Sales</v>
      </c>
      <c r="S457" s="199"/>
      <c r="T457" s="199"/>
      <c r="U457" s="199"/>
    </row>
    <row r="458" spans="1:21" x14ac:dyDescent="0.25">
      <c r="A458" t="s">
        <v>996</v>
      </c>
      <c r="B458" t="s">
        <v>997</v>
      </c>
      <c r="C458" t="s">
        <v>1013</v>
      </c>
      <c r="D458">
        <v>3480</v>
      </c>
      <c r="E458">
        <v>330</v>
      </c>
      <c r="F458" t="s">
        <v>1133</v>
      </c>
      <c r="G458" t="s">
        <v>1134</v>
      </c>
      <c r="H458" s="315" t="s">
        <v>5</v>
      </c>
      <c r="I458" s="315" t="s">
        <v>1132</v>
      </c>
      <c r="J458" s="315" t="str">
        <f t="shared" si="51"/>
        <v>PartsWorkshop Retail Sales %  Sales</v>
      </c>
      <c r="K458" s="315" t="str">
        <f t="shared" si="52"/>
        <v>330Parts Workshop Retail Sales - Toyota</v>
      </c>
      <c r="L458" s="311">
        <f>+SUMIF('TUNZ Extracted TB'!M:M,$P458,'TUNZ Extracted TB'!G:G)</f>
        <v>-16133.06</v>
      </c>
      <c r="M458" s="311"/>
      <c r="N458" s="311">
        <f>+SUMIF('Input Sheet'!$AE:$AE,P458,'Input Sheet'!$X:$X)</f>
        <v>0</v>
      </c>
      <c r="O458" s="311"/>
      <c r="P458" t="str">
        <f t="shared" si="53"/>
        <v>330-3480</v>
      </c>
      <c r="Q458" s="315" t="str">
        <f t="shared" si="54"/>
        <v>Parts</v>
      </c>
      <c r="R458" s="315" t="str">
        <f t="shared" si="55"/>
        <v>PartsWorkshop Retail Sales %  Sales</v>
      </c>
      <c r="S458" s="199"/>
      <c r="T458" s="199"/>
      <c r="U458" s="199"/>
    </row>
    <row r="459" spans="1:21" x14ac:dyDescent="0.25">
      <c r="A459" t="s">
        <v>996</v>
      </c>
      <c r="B459" t="s">
        <v>997</v>
      </c>
      <c r="C459" t="s">
        <v>1005</v>
      </c>
      <c r="D459">
        <v>3480</v>
      </c>
      <c r="E459">
        <v>230</v>
      </c>
      <c r="F459" t="s">
        <v>1133</v>
      </c>
      <c r="G459" t="s">
        <v>1134</v>
      </c>
      <c r="H459" s="315" t="s">
        <v>5</v>
      </c>
      <c r="I459" s="315" t="s">
        <v>1132</v>
      </c>
      <c r="J459" s="315" t="str">
        <f t="shared" si="51"/>
        <v>PartsWorkshop Retail Sales %  Sales</v>
      </c>
      <c r="K459" s="315" t="str">
        <f t="shared" si="52"/>
        <v>230Parts Workshop Retail Sales - Toyota</v>
      </c>
      <c r="L459" s="311">
        <f>+SUMIF('TUNZ Extracted TB'!M:M,$P459,'TUNZ Extracted TB'!G:G)</f>
        <v>-3215.73</v>
      </c>
      <c r="M459" s="311"/>
      <c r="N459" s="311">
        <f>+SUMIF('Input Sheet'!$AE:$AE,P459,'Input Sheet'!$X:$X)</f>
        <v>0</v>
      </c>
      <c r="O459" s="311"/>
      <c r="P459" t="str">
        <f t="shared" si="53"/>
        <v>230-3480</v>
      </c>
      <c r="Q459" s="315" t="str">
        <f t="shared" si="54"/>
        <v>Parts</v>
      </c>
      <c r="R459" s="315" t="str">
        <f t="shared" si="55"/>
        <v>PartsWorkshop Retail Sales %  Sales</v>
      </c>
      <c r="S459" s="199"/>
      <c r="T459" s="199"/>
      <c r="U459" s="199"/>
    </row>
    <row r="460" spans="1:21" x14ac:dyDescent="0.25">
      <c r="A460" t="s">
        <v>996</v>
      </c>
      <c r="B460" t="s">
        <v>997</v>
      </c>
      <c r="C460" t="s">
        <v>997</v>
      </c>
      <c r="D460">
        <v>3481</v>
      </c>
      <c r="E460">
        <v>132</v>
      </c>
      <c r="F460" t="s">
        <v>1130</v>
      </c>
      <c r="G460" t="s">
        <v>1131</v>
      </c>
      <c r="H460" s="315" t="s">
        <v>143</v>
      </c>
      <c r="I460" s="315" t="s">
        <v>1132</v>
      </c>
      <c r="J460" s="315" t="str">
        <f t="shared" si="51"/>
        <v>LEX PartsWorkshop Retail Sales %  Sales</v>
      </c>
      <c r="K460" s="315" t="str">
        <f t="shared" si="52"/>
        <v>132Parts Workshop Retail Sales - Lexus</v>
      </c>
      <c r="L460" s="311">
        <f>+SUMIF('TUNZ Extracted TB'!M:M,$P460,'TUNZ Extracted TB'!G:G)</f>
        <v>0</v>
      </c>
      <c r="M460" s="311"/>
      <c r="N460" s="311">
        <f>+SUMIF('Input Sheet'!$AE:$AE,P460,'Input Sheet'!$X:$X)</f>
        <v>0</v>
      </c>
      <c r="O460" s="311"/>
      <c r="P460" t="str">
        <f t="shared" si="53"/>
        <v>132-3481</v>
      </c>
      <c r="Q460" s="315" t="str">
        <f t="shared" si="54"/>
        <v>LEX Parts</v>
      </c>
      <c r="R460" s="315" t="str">
        <f t="shared" si="55"/>
        <v>LEX PartsWorkshop Retail Sales %  Sales</v>
      </c>
      <c r="S460" s="199"/>
      <c r="T460" s="199"/>
      <c r="U460" s="199"/>
    </row>
    <row r="461" spans="1:21" x14ac:dyDescent="0.25">
      <c r="A461" t="s">
        <v>996</v>
      </c>
      <c r="B461" t="s">
        <v>997</v>
      </c>
      <c r="C461" t="s">
        <v>997</v>
      </c>
      <c r="D461">
        <v>3481</v>
      </c>
      <c r="E461">
        <v>130</v>
      </c>
      <c r="F461" t="s">
        <v>1133</v>
      </c>
      <c r="G461" t="s">
        <v>1134</v>
      </c>
      <c r="H461" s="315" t="s">
        <v>5</v>
      </c>
      <c r="I461" s="315" t="s">
        <v>1132</v>
      </c>
      <c r="J461" s="315" t="str">
        <f t="shared" si="51"/>
        <v>PartsWorkshop Retail Sales %  Sales</v>
      </c>
      <c r="K461" s="315" t="str">
        <f t="shared" si="52"/>
        <v>130Parts Workshop Retail Sales - Toyota</v>
      </c>
      <c r="L461" s="311">
        <f>+SUMIF('TUNZ Extracted TB'!M:M,$P461,'TUNZ Extracted TB'!G:G)</f>
        <v>0</v>
      </c>
      <c r="M461" s="311"/>
      <c r="N461" s="311">
        <f>+SUMIF('Input Sheet'!$AE:$AE,P461,'Input Sheet'!$X:$X)</f>
        <v>0</v>
      </c>
      <c r="O461" s="311"/>
      <c r="P461" t="str">
        <f t="shared" si="53"/>
        <v>130-3481</v>
      </c>
      <c r="Q461" s="315" t="str">
        <f t="shared" si="54"/>
        <v>Parts</v>
      </c>
      <c r="R461" s="315" t="str">
        <f t="shared" si="55"/>
        <v>PartsWorkshop Retail Sales %  Sales</v>
      </c>
      <c r="S461" s="199"/>
      <c r="T461" s="199"/>
      <c r="U461" s="199"/>
    </row>
    <row r="462" spans="1:21" x14ac:dyDescent="0.25">
      <c r="A462" t="s">
        <v>996</v>
      </c>
      <c r="B462" t="s">
        <v>997</v>
      </c>
      <c r="C462" t="s">
        <v>997</v>
      </c>
      <c r="D462">
        <v>3481</v>
      </c>
      <c r="E462">
        <v>936</v>
      </c>
      <c r="F462" t="s">
        <v>1100</v>
      </c>
      <c r="G462" t="s">
        <v>1101</v>
      </c>
      <c r="H462" s="315" t="s">
        <v>58</v>
      </c>
      <c r="I462" s="315" t="s">
        <v>1132</v>
      </c>
      <c r="J462" s="315" t="str">
        <f t="shared" si="51"/>
        <v>BridgestoneWorkshop Retail Sales %  Sales</v>
      </c>
      <c r="K462" s="315" t="str">
        <f t="shared" si="52"/>
        <v>936Other franchise/business revenue</v>
      </c>
      <c r="L462" s="311">
        <f>+SUMIF('TUNZ Extracted TB'!M:M,$P462,'TUNZ Extracted TB'!G:G)</f>
        <v>0</v>
      </c>
      <c r="M462" s="311"/>
      <c r="N462" s="311">
        <f>+SUMIF('Input Sheet'!$AE:$AE,P462,'Input Sheet'!$X:$X)</f>
        <v>0</v>
      </c>
      <c r="O462" s="311"/>
      <c r="P462" t="str">
        <f t="shared" si="53"/>
        <v>936-3481</v>
      </c>
      <c r="Q462" s="315" t="str">
        <f t="shared" si="54"/>
        <v>Bridgestone</v>
      </c>
      <c r="R462" s="315" t="str">
        <f t="shared" si="55"/>
        <v>BridgestoneWorkshop Retail Sales %  Sales</v>
      </c>
      <c r="S462" s="199"/>
      <c r="T462" s="199"/>
      <c r="U462" s="199"/>
    </row>
    <row r="463" spans="1:21" x14ac:dyDescent="0.25">
      <c r="A463" t="s">
        <v>996</v>
      </c>
      <c r="B463" t="s">
        <v>997</v>
      </c>
      <c r="C463" t="s">
        <v>997</v>
      </c>
      <c r="D463">
        <v>3481</v>
      </c>
      <c r="E463">
        <v>935</v>
      </c>
      <c r="F463" t="s">
        <v>1100</v>
      </c>
      <c r="G463" t="s">
        <v>1101</v>
      </c>
      <c r="H463" s="315" t="s">
        <v>58</v>
      </c>
      <c r="I463" s="315" t="s">
        <v>1132</v>
      </c>
      <c r="J463" s="315" t="str">
        <f t="shared" si="51"/>
        <v>BridgestoneWorkshop Retail Sales %  Sales</v>
      </c>
      <c r="K463" s="315" t="str">
        <f t="shared" si="52"/>
        <v>935Other franchise/business revenue</v>
      </c>
      <c r="L463" s="311">
        <f>+SUMIF('TUNZ Extracted TB'!M:M,$P463,'TUNZ Extracted TB'!G:G)</f>
        <v>0</v>
      </c>
      <c r="M463" s="311"/>
      <c r="N463" s="311">
        <f>+SUMIF('Input Sheet'!$AE:$AE,P463,'Input Sheet'!$X:$X)</f>
        <v>0</v>
      </c>
      <c r="O463" s="311"/>
      <c r="P463" t="str">
        <f t="shared" si="53"/>
        <v>935-3481</v>
      </c>
      <c r="Q463" s="315" t="str">
        <f t="shared" si="54"/>
        <v>Bridgestone</v>
      </c>
      <c r="R463" s="315" t="str">
        <f t="shared" si="55"/>
        <v>BridgestoneWorkshop Retail Sales %  Sales</v>
      </c>
      <c r="S463" s="199"/>
      <c r="T463" s="199"/>
      <c r="U463" s="199"/>
    </row>
    <row r="464" spans="1:21" x14ac:dyDescent="0.25">
      <c r="A464" t="s">
        <v>996</v>
      </c>
      <c r="B464" t="s">
        <v>997</v>
      </c>
      <c r="C464" t="s">
        <v>1012</v>
      </c>
      <c r="D464">
        <v>3481</v>
      </c>
      <c r="E464">
        <v>430</v>
      </c>
      <c r="F464" t="s">
        <v>1133</v>
      </c>
      <c r="G464" t="s">
        <v>1134</v>
      </c>
      <c r="H464" s="315" t="s">
        <v>5</v>
      </c>
      <c r="I464" s="315" t="s">
        <v>1132</v>
      </c>
      <c r="J464" s="315" t="str">
        <f t="shared" si="51"/>
        <v>PartsWorkshop Retail Sales %  Sales</v>
      </c>
      <c r="K464" s="315" t="str">
        <f t="shared" si="52"/>
        <v>430Parts Workshop Retail Sales - Toyota</v>
      </c>
      <c r="L464" s="311">
        <f>+SUMIF('TUNZ Extracted TB'!M:M,$P464,'TUNZ Extracted TB'!G:G)</f>
        <v>-1371.04</v>
      </c>
      <c r="M464" s="311"/>
      <c r="N464" s="311">
        <f>+SUMIF('Input Sheet'!$AE:$AE,P464,'Input Sheet'!$X:$X)</f>
        <v>0</v>
      </c>
      <c r="O464" s="311"/>
      <c r="P464" t="str">
        <f t="shared" si="53"/>
        <v>430-3481</v>
      </c>
      <c r="Q464" s="315" t="str">
        <f t="shared" si="54"/>
        <v>Parts</v>
      </c>
      <c r="R464" s="315" t="str">
        <f t="shared" si="55"/>
        <v>PartsWorkshop Retail Sales %  Sales</v>
      </c>
      <c r="S464" s="199"/>
      <c r="T464" s="199"/>
      <c r="U464" s="199"/>
    </row>
    <row r="465" spans="1:21" x14ac:dyDescent="0.25">
      <c r="A465" t="s">
        <v>996</v>
      </c>
      <c r="B465" t="s">
        <v>997</v>
      </c>
      <c r="C465" t="s">
        <v>1005</v>
      </c>
      <c r="D465">
        <v>3481</v>
      </c>
      <c r="E465">
        <v>230</v>
      </c>
      <c r="F465" t="s">
        <v>1133</v>
      </c>
      <c r="G465" t="s">
        <v>1134</v>
      </c>
      <c r="H465" s="315" t="s">
        <v>5</v>
      </c>
      <c r="I465" s="315" t="s">
        <v>1132</v>
      </c>
      <c r="J465" s="315" t="str">
        <f t="shared" si="51"/>
        <v>PartsWorkshop Retail Sales %  Sales</v>
      </c>
      <c r="K465" s="315" t="str">
        <f t="shared" si="52"/>
        <v>230Parts Workshop Retail Sales - Toyota</v>
      </c>
      <c r="L465" s="311">
        <f>+SUMIF('TUNZ Extracted TB'!M:M,$P465,'TUNZ Extracted TB'!G:G)</f>
        <v>0</v>
      </c>
      <c r="M465" s="311"/>
      <c r="N465" s="311">
        <f>+SUMIF('Input Sheet'!$AE:$AE,P465,'Input Sheet'!$X:$X)</f>
        <v>0</v>
      </c>
      <c r="O465" s="311"/>
      <c r="P465" t="str">
        <f t="shared" si="53"/>
        <v>230-3481</v>
      </c>
      <c r="Q465" s="315" t="str">
        <f t="shared" si="54"/>
        <v>Parts</v>
      </c>
      <c r="R465" s="315" t="str">
        <f t="shared" si="55"/>
        <v>PartsWorkshop Retail Sales %  Sales</v>
      </c>
      <c r="S465" s="199"/>
      <c r="T465" s="199"/>
      <c r="U465" s="199"/>
    </row>
    <row r="466" spans="1:21" x14ac:dyDescent="0.25">
      <c r="A466" t="s">
        <v>996</v>
      </c>
      <c r="B466" t="s">
        <v>997</v>
      </c>
      <c r="C466" t="s">
        <v>1013</v>
      </c>
      <c r="D466">
        <v>3481</v>
      </c>
      <c r="E466">
        <v>330</v>
      </c>
      <c r="F466" t="s">
        <v>1133</v>
      </c>
      <c r="G466" t="s">
        <v>1134</v>
      </c>
      <c r="H466" s="315" t="s">
        <v>5</v>
      </c>
      <c r="I466" s="315" t="s">
        <v>1132</v>
      </c>
      <c r="J466" s="315" t="str">
        <f t="shared" si="51"/>
        <v>PartsWorkshop Retail Sales %  Sales</v>
      </c>
      <c r="K466" s="315" t="str">
        <f t="shared" si="52"/>
        <v>330Parts Workshop Retail Sales - Toyota</v>
      </c>
      <c r="L466" s="311">
        <f>+SUMIF('TUNZ Extracted TB'!M:M,$P466,'TUNZ Extracted TB'!G:G)</f>
        <v>-815</v>
      </c>
      <c r="M466" s="311"/>
      <c r="N466" s="311">
        <f>+SUMIF('Input Sheet'!$AE:$AE,P466,'Input Sheet'!$X:$X)</f>
        <v>0</v>
      </c>
      <c r="O466" s="311"/>
      <c r="P466" t="str">
        <f t="shared" si="53"/>
        <v>330-3481</v>
      </c>
      <c r="Q466" s="315" t="str">
        <f t="shared" si="54"/>
        <v>Parts</v>
      </c>
      <c r="R466" s="315" t="str">
        <f t="shared" si="55"/>
        <v>PartsWorkshop Retail Sales %  Sales</v>
      </c>
      <c r="S466" s="199"/>
      <c r="T466" s="199"/>
      <c r="U466" s="199"/>
    </row>
    <row r="467" spans="1:21" x14ac:dyDescent="0.25">
      <c r="A467" t="s">
        <v>996</v>
      </c>
      <c r="B467" t="s">
        <v>997</v>
      </c>
      <c r="C467" t="s">
        <v>997</v>
      </c>
      <c r="D467">
        <v>3482</v>
      </c>
      <c r="E467">
        <v>132</v>
      </c>
      <c r="F467" t="s">
        <v>1130</v>
      </c>
      <c r="G467" t="s">
        <v>1131</v>
      </c>
      <c r="H467" s="315" t="s">
        <v>143</v>
      </c>
      <c r="I467" s="315" t="s">
        <v>1132</v>
      </c>
      <c r="J467" s="315" t="str">
        <f t="shared" si="51"/>
        <v>LEX PartsWorkshop Retail Sales %  Sales</v>
      </c>
      <c r="K467" s="315" t="str">
        <f t="shared" si="52"/>
        <v>132Parts Workshop Retail Sales - Lexus</v>
      </c>
      <c r="L467" s="311">
        <f>+SUMIF('TUNZ Extracted TB'!M:M,$P467,'TUNZ Extracted TB'!G:G)</f>
        <v>0</v>
      </c>
      <c r="M467" s="311"/>
      <c r="N467" s="311">
        <f>+SUMIF('Input Sheet'!$AE:$AE,P467,'Input Sheet'!$X:$X)</f>
        <v>0</v>
      </c>
      <c r="O467" s="311"/>
      <c r="P467" t="str">
        <f t="shared" si="53"/>
        <v>132-3482</v>
      </c>
      <c r="Q467" s="315" t="str">
        <f t="shared" si="54"/>
        <v>LEX Parts</v>
      </c>
      <c r="R467" s="315" t="str">
        <f t="shared" si="55"/>
        <v>LEX PartsWorkshop Retail Sales %  Sales</v>
      </c>
      <c r="S467" s="199"/>
      <c r="T467" s="199"/>
      <c r="U467" s="199"/>
    </row>
    <row r="468" spans="1:21" x14ac:dyDescent="0.25">
      <c r="A468" t="s">
        <v>996</v>
      </c>
      <c r="B468" t="s">
        <v>997</v>
      </c>
      <c r="C468" t="s">
        <v>997</v>
      </c>
      <c r="D468">
        <v>3482</v>
      </c>
      <c r="E468">
        <v>130</v>
      </c>
      <c r="F468" t="s">
        <v>1133</v>
      </c>
      <c r="G468" t="s">
        <v>1134</v>
      </c>
      <c r="H468" s="315" t="s">
        <v>5</v>
      </c>
      <c r="I468" s="315" t="s">
        <v>1132</v>
      </c>
      <c r="J468" s="315" t="str">
        <f t="shared" si="51"/>
        <v>PartsWorkshop Retail Sales %  Sales</v>
      </c>
      <c r="K468" s="315" t="str">
        <f t="shared" si="52"/>
        <v>130Parts Workshop Retail Sales - Toyota</v>
      </c>
      <c r="L468" s="311">
        <f>+SUMIF('TUNZ Extracted TB'!M:M,$P468,'TUNZ Extracted TB'!G:G)</f>
        <v>-3155.88</v>
      </c>
      <c r="M468" s="311"/>
      <c r="N468" s="311">
        <f>+SUMIF('Input Sheet'!$AE:$AE,P468,'Input Sheet'!$X:$X)</f>
        <v>0</v>
      </c>
      <c r="O468" s="311"/>
      <c r="P468" t="str">
        <f t="shared" si="53"/>
        <v>130-3482</v>
      </c>
      <c r="Q468" s="315" t="str">
        <f t="shared" si="54"/>
        <v>Parts</v>
      </c>
      <c r="R468" s="315" t="str">
        <f t="shared" si="55"/>
        <v>PartsWorkshop Retail Sales %  Sales</v>
      </c>
      <c r="S468" s="199"/>
      <c r="T468" s="199"/>
      <c r="U468" s="199"/>
    </row>
    <row r="469" spans="1:21" x14ac:dyDescent="0.25">
      <c r="A469" t="s">
        <v>996</v>
      </c>
      <c r="B469" t="s">
        <v>997</v>
      </c>
      <c r="C469" t="s">
        <v>997</v>
      </c>
      <c r="D469">
        <v>3482</v>
      </c>
      <c r="E469">
        <v>936</v>
      </c>
      <c r="F469" t="s">
        <v>1100</v>
      </c>
      <c r="G469" t="s">
        <v>1101</v>
      </c>
      <c r="H469" s="315" t="s">
        <v>58</v>
      </c>
      <c r="I469" s="315" t="s">
        <v>1132</v>
      </c>
      <c r="J469" s="315" t="str">
        <f t="shared" si="51"/>
        <v>BridgestoneWorkshop Retail Sales %  Sales</v>
      </c>
      <c r="K469" s="315" t="str">
        <f t="shared" si="52"/>
        <v>936Other franchise/business revenue</v>
      </c>
      <c r="L469" s="311">
        <f>+SUMIF('TUNZ Extracted TB'!M:M,$P469,'TUNZ Extracted TB'!G:G)</f>
        <v>0</v>
      </c>
      <c r="M469" s="311"/>
      <c r="N469" s="311">
        <f>+SUMIF('Input Sheet'!$AE:$AE,P469,'Input Sheet'!$X:$X)</f>
        <v>0</v>
      </c>
      <c r="O469" s="311"/>
      <c r="P469" t="str">
        <f t="shared" si="53"/>
        <v>936-3482</v>
      </c>
      <c r="Q469" s="315" t="str">
        <f t="shared" si="54"/>
        <v>Bridgestone</v>
      </c>
      <c r="R469" s="315" t="str">
        <f t="shared" si="55"/>
        <v>BridgestoneWorkshop Retail Sales %  Sales</v>
      </c>
      <c r="S469" s="199"/>
      <c r="T469" s="199"/>
      <c r="U469" s="199"/>
    </row>
    <row r="470" spans="1:21" x14ac:dyDescent="0.25">
      <c r="A470" t="s">
        <v>996</v>
      </c>
      <c r="B470" t="s">
        <v>997</v>
      </c>
      <c r="C470" t="s">
        <v>997</v>
      </c>
      <c r="D470">
        <v>3482</v>
      </c>
      <c r="E470">
        <v>935</v>
      </c>
      <c r="F470" t="s">
        <v>1100</v>
      </c>
      <c r="G470" t="s">
        <v>1101</v>
      </c>
      <c r="H470" s="315" t="s">
        <v>58</v>
      </c>
      <c r="I470" s="315" t="s">
        <v>1132</v>
      </c>
      <c r="J470" s="315" t="str">
        <f t="shared" si="51"/>
        <v>BridgestoneWorkshop Retail Sales %  Sales</v>
      </c>
      <c r="K470" s="315" t="str">
        <f t="shared" si="52"/>
        <v>935Other franchise/business revenue</v>
      </c>
      <c r="L470" s="311">
        <f>+SUMIF('TUNZ Extracted TB'!M:M,$P470,'TUNZ Extracted TB'!G:G)</f>
        <v>0</v>
      </c>
      <c r="M470" s="311"/>
      <c r="N470" s="311">
        <f>+SUMIF('Input Sheet'!$AE:$AE,P470,'Input Sheet'!$X:$X)</f>
        <v>0</v>
      </c>
      <c r="O470" s="311"/>
      <c r="P470" t="str">
        <f t="shared" si="53"/>
        <v>935-3482</v>
      </c>
      <c r="Q470" s="315" t="str">
        <f t="shared" si="54"/>
        <v>Bridgestone</v>
      </c>
      <c r="R470" s="315" t="str">
        <f t="shared" si="55"/>
        <v>BridgestoneWorkshop Retail Sales %  Sales</v>
      </c>
      <c r="S470" s="199"/>
      <c r="T470" s="199"/>
      <c r="U470" s="199"/>
    </row>
    <row r="471" spans="1:21" x14ac:dyDescent="0.25">
      <c r="A471" t="s">
        <v>996</v>
      </c>
      <c r="B471" t="s">
        <v>997</v>
      </c>
      <c r="C471" t="s">
        <v>1005</v>
      </c>
      <c r="D471">
        <v>3482</v>
      </c>
      <c r="E471">
        <v>230</v>
      </c>
      <c r="F471" t="s">
        <v>1133</v>
      </c>
      <c r="G471" t="s">
        <v>1134</v>
      </c>
      <c r="H471" s="315" t="s">
        <v>5</v>
      </c>
      <c r="I471" s="315" t="s">
        <v>1132</v>
      </c>
      <c r="J471" s="315" t="str">
        <f t="shared" si="51"/>
        <v>PartsWorkshop Retail Sales %  Sales</v>
      </c>
      <c r="K471" s="315" t="str">
        <f t="shared" si="52"/>
        <v>230Parts Workshop Retail Sales - Toyota</v>
      </c>
      <c r="L471" s="311">
        <f>+SUMIF('TUNZ Extracted TB'!M:M,$P471,'TUNZ Extracted TB'!G:G)</f>
        <v>-859.38</v>
      </c>
      <c r="M471" s="311"/>
      <c r="N471" s="311">
        <f>+SUMIF('Input Sheet'!$AE:$AE,P471,'Input Sheet'!$X:$X)</f>
        <v>0</v>
      </c>
      <c r="O471" s="311"/>
      <c r="P471" t="str">
        <f t="shared" si="53"/>
        <v>230-3482</v>
      </c>
      <c r="Q471" s="315" t="str">
        <f t="shared" si="54"/>
        <v>Parts</v>
      </c>
      <c r="R471" s="315" t="str">
        <f t="shared" si="55"/>
        <v>PartsWorkshop Retail Sales %  Sales</v>
      </c>
      <c r="S471" s="199"/>
      <c r="T471" s="199"/>
      <c r="U471" s="199"/>
    </row>
    <row r="472" spans="1:21" x14ac:dyDescent="0.25">
      <c r="A472" t="s">
        <v>996</v>
      </c>
      <c r="B472" t="s">
        <v>997</v>
      </c>
      <c r="C472" t="s">
        <v>1013</v>
      </c>
      <c r="D472">
        <v>3482</v>
      </c>
      <c r="E472">
        <v>330</v>
      </c>
      <c r="F472" t="s">
        <v>1133</v>
      </c>
      <c r="G472" t="s">
        <v>1134</v>
      </c>
      <c r="H472" s="315" t="s">
        <v>5</v>
      </c>
      <c r="I472" s="315" t="s">
        <v>1132</v>
      </c>
      <c r="J472" s="315" t="str">
        <f t="shared" si="51"/>
        <v>PartsWorkshop Retail Sales %  Sales</v>
      </c>
      <c r="K472" s="315" t="str">
        <f t="shared" si="52"/>
        <v>330Parts Workshop Retail Sales - Toyota</v>
      </c>
      <c r="L472" s="311">
        <f>+SUMIF('TUNZ Extracted TB'!M:M,$P472,'TUNZ Extracted TB'!G:G)</f>
        <v>-1948.5</v>
      </c>
      <c r="M472" s="311"/>
      <c r="N472" s="311">
        <f>+SUMIF('Input Sheet'!$AE:$AE,P472,'Input Sheet'!$X:$X)</f>
        <v>0</v>
      </c>
      <c r="O472" s="311"/>
      <c r="P472" t="str">
        <f t="shared" si="53"/>
        <v>330-3482</v>
      </c>
      <c r="Q472" s="315" t="str">
        <f t="shared" si="54"/>
        <v>Parts</v>
      </c>
      <c r="R472" s="315" t="str">
        <f t="shared" si="55"/>
        <v>PartsWorkshop Retail Sales %  Sales</v>
      </c>
      <c r="S472" s="199"/>
      <c r="T472" s="199"/>
      <c r="U472" s="199"/>
    </row>
    <row r="473" spans="1:21" x14ac:dyDescent="0.25">
      <c r="A473" t="s">
        <v>996</v>
      </c>
      <c r="B473" t="s">
        <v>997</v>
      </c>
      <c r="C473" t="s">
        <v>1012</v>
      </c>
      <c r="D473">
        <v>3482</v>
      </c>
      <c r="E473">
        <v>430</v>
      </c>
      <c r="F473" t="s">
        <v>1133</v>
      </c>
      <c r="G473" t="s">
        <v>1134</v>
      </c>
      <c r="H473" s="315" t="s">
        <v>5</v>
      </c>
      <c r="I473" s="315" t="s">
        <v>1132</v>
      </c>
      <c r="J473" s="315" t="str">
        <f t="shared" si="51"/>
        <v>PartsWorkshop Retail Sales %  Sales</v>
      </c>
      <c r="K473" s="315" t="str">
        <f t="shared" si="52"/>
        <v>430Parts Workshop Retail Sales - Toyota</v>
      </c>
      <c r="L473" s="311">
        <f>+SUMIF('TUNZ Extracted TB'!M:M,$P473,'TUNZ Extracted TB'!G:G)</f>
        <v>-8861.4</v>
      </c>
      <c r="M473" s="311"/>
      <c r="N473" s="311">
        <f>+SUMIF('Input Sheet'!$AE:$AE,P473,'Input Sheet'!$X:$X)</f>
        <v>0</v>
      </c>
      <c r="O473" s="311"/>
      <c r="P473" t="str">
        <f t="shared" si="53"/>
        <v>430-3482</v>
      </c>
      <c r="Q473" s="315" t="str">
        <f t="shared" si="54"/>
        <v>Parts</v>
      </c>
      <c r="R473" s="315" t="str">
        <f t="shared" si="55"/>
        <v>PartsWorkshop Retail Sales %  Sales</v>
      </c>
      <c r="S473" s="199"/>
      <c r="T473" s="199"/>
      <c r="U473" s="199"/>
    </row>
    <row r="474" spans="1:21" x14ac:dyDescent="0.25">
      <c r="A474" t="s">
        <v>996</v>
      </c>
      <c r="B474" t="s">
        <v>997</v>
      </c>
      <c r="C474" t="s">
        <v>997</v>
      </c>
      <c r="D474">
        <v>3485</v>
      </c>
      <c r="E474">
        <v>132</v>
      </c>
      <c r="F474" t="s">
        <v>1125</v>
      </c>
      <c r="G474" t="s">
        <v>1126</v>
      </c>
      <c r="H474" s="315" t="s">
        <v>143</v>
      </c>
      <c r="I474" s="315" t="s">
        <v>1127</v>
      </c>
      <c r="J474" s="315" t="str">
        <f t="shared" si="51"/>
        <v>LEX PartsTrade Sales %  Sales</v>
      </c>
      <c r="K474" s="315" t="str">
        <f t="shared" si="52"/>
        <v>132Parts Trade Sales - Lexus</v>
      </c>
      <c r="L474" s="311">
        <f>+SUMIF('TUNZ Extracted TB'!M:M,$P474,'TUNZ Extracted TB'!G:G)</f>
        <v>0</v>
      </c>
      <c r="M474" s="311"/>
      <c r="N474" s="311">
        <f>+SUMIF('Input Sheet'!$AE:$AE,P474,'Input Sheet'!$X:$X)</f>
        <v>0</v>
      </c>
      <c r="O474" s="311"/>
      <c r="P474" t="str">
        <f t="shared" si="53"/>
        <v>132-3485</v>
      </c>
      <c r="Q474" s="315" t="str">
        <f t="shared" si="54"/>
        <v>LEX Parts</v>
      </c>
      <c r="R474" s="315" t="str">
        <f t="shared" si="55"/>
        <v>LEX PartsTrade Sales %  Sales</v>
      </c>
      <c r="S474" s="199"/>
      <c r="T474" s="199"/>
      <c r="U474" s="199"/>
    </row>
    <row r="475" spans="1:21" x14ac:dyDescent="0.25">
      <c r="A475" t="s">
        <v>996</v>
      </c>
      <c r="B475" t="s">
        <v>997</v>
      </c>
      <c r="C475" t="s">
        <v>997</v>
      </c>
      <c r="D475">
        <v>3485</v>
      </c>
      <c r="E475">
        <v>130</v>
      </c>
      <c r="F475" t="s">
        <v>1128</v>
      </c>
      <c r="G475" t="s">
        <v>1129</v>
      </c>
      <c r="H475" s="315" t="s">
        <v>5</v>
      </c>
      <c r="I475" s="315" t="s">
        <v>1127</v>
      </c>
      <c r="J475" s="315" t="str">
        <f t="shared" si="51"/>
        <v>PartsTrade Sales %  Sales</v>
      </c>
      <c r="K475" s="315" t="str">
        <f t="shared" si="52"/>
        <v>130Parts Trade Sales - Toyota</v>
      </c>
      <c r="L475" s="311">
        <f>+SUMIF('TUNZ Extracted TB'!M:M,$P475,'TUNZ Extracted TB'!G:G)</f>
        <v>0</v>
      </c>
      <c r="M475" s="311"/>
      <c r="N475" s="311">
        <f>+SUMIF('Input Sheet'!$AE:$AE,P475,'Input Sheet'!$X:$X)</f>
        <v>0</v>
      </c>
      <c r="O475" s="311"/>
      <c r="P475" t="str">
        <f t="shared" si="53"/>
        <v>130-3485</v>
      </c>
      <c r="Q475" s="315" t="str">
        <f t="shared" si="54"/>
        <v>Parts</v>
      </c>
      <c r="R475" s="315" t="str">
        <f t="shared" si="55"/>
        <v>PartsTrade Sales %  Sales</v>
      </c>
      <c r="S475" s="199"/>
      <c r="T475" s="199"/>
      <c r="U475" s="199"/>
    </row>
    <row r="476" spans="1:21" x14ac:dyDescent="0.25">
      <c r="A476" t="s">
        <v>996</v>
      </c>
      <c r="B476" t="s">
        <v>997</v>
      </c>
      <c r="C476" t="s">
        <v>997</v>
      </c>
      <c r="D476">
        <v>3485</v>
      </c>
      <c r="E476">
        <v>936</v>
      </c>
      <c r="F476" t="s">
        <v>1100</v>
      </c>
      <c r="G476" t="s">
        <v>1101</v>
      </c>
      <c r="H476" s="315" t="s">
        <v>58</v>
      </c>
      <c r="I476" s="315" t="s">
        <v>1127</v>
      </c>
      <c r="J476" s="315" t="str">
        <f t="shared" si="51"/>
        <v>BridgestoneTrade Sales %  Sales</v>
      </c>
      <c r="K476" s="315" t="str">
        <f t="shared" si="52"/>
        <v>936Other franchise/business revenue</v>
      </c>
      <c r="L476" s="311">
        <f>+SUMIF('TUNZ Extracted TB'!M:M,$P476,'TUNZ Extracted TB'!G:G)</f>
        <v>0</v>
      </c>
      <c r="M476" s="311"/>
      <c r="N476" s="311">
        <f>+SUMIF('Input Sheet'!$AE:$AE,P476,'Input Sheet'!$X:$X)</f>
        <v>0</v>
      </c>
      <c r="O476" s="311"/>
      <c r="P476" t="str">
        <f t="shared" si="53"/>
        <v>936-3485</v>
      </c>
      <c r="Q476" s="315" t="str">
        <f t="shared" si="54"/>
        <v>Bridgestone</v>
      </c>
      <c r="R476" s="315" t="str">
        <f t="shared" si="55"/>
        <v>BridgestoneTrade Sales %  Sales</v>
      </c>
      <c r="S476" s="199"/>
      <c r="T476" s="199"/>
      <c r="U476" s="199"/>
    </row>
    <row r="477" spans="1:21" x14ac:dyDescent="0.25">
      <c r="A477" t="s">
        <v>996</v>
      </c>
      <c r="B477" t="s">
        <v>997</v>
      </c>
      <c r="C477" t="s">
        <v>997</v>
      </c>
      <c r="D477">
        <v>3485</v>
      </c>
      <c r="E477">
        <v>935</v>
      </c>
      <c r="F477" t="s">
        <v>1100</v>
      </c>
      <c r="G477" t="s">
        <v>1101</v>
      </c>
      <c r="H477" s="315" t="s">
        <v>58</v>
      </c>
      <c r="I477" s="315" t="s">
        <v>1127</v>
      </c>
      <c r="J477" s="315" t="str">
        <f t="shared" si="51"/>
        <v>BridgestoneTrade Sales %  Sales</v>
      </c>
      <c r="K477" s="315" t="str">
        <f t="shared" si="52"/>
        <v>935Other franchise/business revenue</v>
      </c>
      <c r="L477" s="311">
        <f>+SUMIF('TUNZ Extracted TB'!M:M,$P477,'TUNZ Extracted TB'!G:G)</f>
        <v>0</v>
      </c>
      <c r="M477" s="311"/>
      <c r="N477" s="311">
        <f>+SUMIF('Input Sheet'!$AE:$AE,P477,'Input Sheet'!$X:$X)</f>
        <v>0</v>
      </c>
      <c r="O477" s="311"/>
      <c r="P477" t="str">
        <f t="shared" si="53"/>
        <v>935-3485</v>
      </c>
      <c r="Q477" s="315" t="str">
        <f t="shared" si="54"/>
        <v>Bridgestone</v>
      </c>
      <c r="R477" s="315" t="str">
        <f t="shared" si="55"/>
        <v>BridgestoneTrade Sales %  Sales</v>
      </c>
      <c r="S477" s="199"/>
      <c r="T477" s="199"/>
      <c r="U477" s="199"/>
    </row>
    <row r="478" spans="1:21" x14ac:dyDescent="0.25">
      <c r="A478" t="s">
        <v>996</v>
      </c>
      <c r="B478" t="s">
        <v>997</v>
      </c>
      <c r="C478" t="s">
        <v>1005</v>
      </c>
      <c r="D478">
        <v>3485</v>
      </c>
      <c r="E478">
        <v>230</v>
      </c>
      <c r="F478" t="s">
        <v>1128</v>
      </c>
      <c r="G478" t="s">
        <v>1129</v>
      </c>
      <c r="H478" s="315" t="s">
        <v>5</v>
      </c>
      <c r="I478" s="315" t="s">
        <v>1127</v>
      </c>
      <c r="J478" s="315" t="str">
        <f t="shared" si="51"/>
        <v>PartsTrade Sales %  Sales</v>
      </c>
      <c r="K478" s="315" t="str">
        <f t="shared" si="52"/>
        <v>230Parts Trade Sales - Toyota</v>
      </c>
      <c r="L478" s="311">
        <f>+SUMIF('TUNZ Extracted TB'!M:M,$P478,'TUNZ Extracted TB'!G:G)</f>
        <v>0</v>
      </c>
      <c r="M478" s="311"/>
      <c r="N478" s="311">
        <f>+SUMIF('Input Sheet'!$AE:$AE,P478,'Input Sheet'!$X:$X)</f>
        <v>0</v>
      </c>
      <c r="O478" s="311"/>
      <c r="P478" t="str">
        <f t="shared" si="53"/>
        <v>230-3485</v>
      </c>
      <c r="Q478" s="315" t="str">
        <f t="shared" si="54"/>
        <v>Parts</v>
      </c>
      <c r="R478" s="315" t="str">
        <f t="shared" si="55"/>
        <v>PartsTrade Sales %  Sales</v>
      </c>
      <c r="S478" s="199"/>
      <c r="T478" s="199"/>
      <c r="U478" s="199"/>
    </row>
    <row r="479" spans="1:21" x14ac:dyDescent="0.25">
      <c r="A479" t="s">
        <v>996</v>
      </c>
      <c r="B479" t="s">
        <v>997</v>
      </c>
      <c r="C479" t="s">
        <v>1012</v>
      </c>
      <c r="D479">
        <v>3485</v>
      </c>
      <c r="E479">
        <v>430</v>
      </c>
      <c r="F479" t="s">
        <v>1128</v>
      </c>
      <c r="G479" t="s">
        <v>1129</v>
      </c>
      <c r="H479" s="315" t="s">
        <v>5</v>
      </c>
      <c r="I479" s="315" t="s">
        <v>1127</v>
      </c>
      <c r="J479" s="315" t="str">
        <f t="shared" si="51"/>
        <v>PartsTrade Sales %  Sales</v>
      </c>
      <c r="K479" s="315" t="str">
        <f t="shared" si="52"/>
        <v>430Parts Trade Sales - Toyota</v>
      </c>
      <c r="L479" s="311">
        <f>+SUMIF('TUNZ Extracted TB'!M:M,$P479,'TUNZ Extracted TB'!G:G)</f>
        <v>0</v>
      </c>
      <c r="M479" s="311"/>
      <c r="N479" s="311">
        <f>+SUMIF('Input Sheet'!$AE:$AE,P479,'Input Sheet'!$X:$X)</f>
        <v>0</v>
      </c>
      <c r="O479" s="311"/>
      <c r="P479" t="str">
        <f t="shared" si="53"/>
        <v>430-3485</v>
      </c>
      <c r="Q479" s="315" t="str">
        <f t="shared" si="54"/>
        <v>Parts</v>
      </c>
      <c r="R479" s="315" t="str">
        <f t="shared" si="55"/>
        <v>PartsTrade Sales %  Sales</v>
      </c>
      <c r="S479" s="199"/>
      <c r="T479" s="199"/>
      <c r="U479" s="199"/>
    </row>
    <row r="480" spans="1:21" x14ac:dyDescent="0.25">
      <c r="A480" t="s">
        <v>996</v>
      </c>
      <c r="B480" t="s">
        <v>997</v>
      </c>
      <c r="C480" t="s">
        <v>1013</v>
      </c>
      <c r="D480">
        <v>3485</v>
      </c>
      <c r="E480">
        <v>330</v>
      </c>
      <c r="F480" t="s">
        <v>1128</v>
      </c>
      <c r="G480" t="s">
        <v>1129</v>
      </c>
      <c r="H480" s="315" t="s">
        <v>5</v>
      </c>
      <c r="I480" s="315" t="s">
        <v>1127</v>
      </c>
      <c r="J480" s="315" t="str">
        <f t="shared" si="51"/>
        <v>PartsTrade Sales %  Sales</v>
      </c>
      <c r="K480" s="315" t="str">
        <f t="shared" si="52"/>
        <v>330Parts Trade Sales - Toyota</v>
      </c>
      <c r="L480" s="311">
        <f>+SUMIF('TUNZ Extracted TB'!M:M,$P480,'TUNZ Extracted TB'!G:G)</f>
        <v>0</v>
      </c>
      <c r="M480" s="311"/>
      <c r="N480" s="311">
        <f>+SUMIF('Input Sheet'!$AE:$AE,P480,'Input Sheet'!$X:$X)</f>
        <v>0</v>
      </c>
      <c r="O480" s="311"/>
      <c r="P480" t="str">
        <f t="shared" si="53"/>
        <v>330-3485</v>
      </c>
      <c r="Q480" s="315" t="str">
        <f t="shared" si="54"/>
        <v>Parts</v>
      </c>
      <c r="R480" s="315" t="str">
        <f t="shared" si="55"/>
        <v>PartsTrade Sales %  Sales</v>
      </c>
      <c r="S480" s="199"/>
      <c r="T480" s="199"/>
      <c r="U480" s="199"/>
    </row>
    <row r="481" spans="1:21" x14ac:dyDescent="0.25">
      <c r="A481" t="s">
        <v>996</v>
      </c>
      <c r="B481" t="s">
        <v>997</v>
      </c>
      <c r="C481" t="s">
        <v>997</v>
      </c>
      <c r="D481">
        <v>3495</v>
      </c>
      <c r="E481">
        <v>130</v>
      </c>
      <c r="F481" t="s">
        <v>1135</v>
      </c>
      <c r="G481" t="s">
        <v>1136</v>
      </c>
      <c r="H481" s="315" t="s">
        <v>5</v>
      </c>
      <c r="I481" s="315" t="s">
        <v>1137</v>
      </c>
      <c r="J481" s="315" t="str">
        <f t="shared" si="51"/>
        <v>PartsOther Sales %  Sales</v>
      </c>
      <c r="K481" s="315" t="str">
        <f t="shared" si="52"/>
        <v>130Parts Other Sales - Toyota</v>
      </c>
      <c r="L481" s="311">
        <f>+SUMIF('TUNZ Extracted TB'!M:M,$P481,'TUNZ Extracted TB'!G:G)</f>
        <v>0</v>
      </c>
      <c r="M481" s="311"/>
      <c r="N481" s="311">
        <f>+SUMIF('Input Sheet'!$AE:$AE,P481,'Input Sheet'!$X:$X)</f>
        <v>0</v>
      </c>
      <c r="O481" s="311"/>
      <c r="P481" t="str">
        <f t="shared" si="53"/>
        <v>130-3495</v>
      </c>
      <c r="Q481" s="315" t="str">
        <f t="shared" si="54"/>
        <v>Parts</v>
      </c>
      <c r="R481" s="315" t="str">
        <f t="shared" si="55"/>
        <v>PartsOther Sales %  Sales</v>
      </c>
      <c r="S481" s="199"/>
      <c r="T481" s="199"/>
      <c r="U481" s="199"/>
    </row>
    <row r="482" spans="1:21" x14ac:dyDescent="0.25">
      <c r="A482" t="s">
        <v>996</v>
      </c>
      <c r="B482" t="s">
        <v>997</v>
      </c>
      <c r="C482" t="s">
        <v>997</v>
      </c>
      <c r="D482">
        <v>3495</v>
      </c>
      <c r="E482">
        <v>132</v>
      </c>
      <c r="F482" t="s">
        <v>1125</v>
      </c>
      <c r="G482" t="s">
        <v>1126</v>
      </c>
      <c r="H482" s="315" t="s">
        <v>143</v>
      </c>
      <c r="I482" s="315" t="s">
        <v>1137</v>
      </c>
      <c r="J482" s="315" t="str">
        <f t="shared" si="51"/>
        <v>LEX PartsOther Sales %  Sales</v>
      </c>
      <c r="K482" s="315" t="str">
        <f t="shared" si="52"/>
        <v>132Parts Trade Sales - Lexus</v>
      </c>
      <c r="L482" s="311">
        <f>+SUMIF('TUNZ Extracted TB'!M:M,$P482,'TUNZ Extracted TB'!G:G)</f>
        <v>0</v>
      </c>
      <c r="M482" s="311"/>
      <c r="N482" s="311">
        <f>+SUMIF('Input Sheet'!$AE:$AE,P482,'Input Sheet'!$X:$X)</f>
        <v>0</v>
      </c>
      <c r="O482" s="311"/>
      <c r="P482" t="str">
        <f t="shared" si="53"/>
        <v>132-3495</v>
      </c>
      <c r="Q482" s="315" t="str">
        <f t="shared" si="54"/>
        <v>LEX Parts</v>
      </c>
      <c r="R482" s="315" t="str">
        <f t="shared" si="55"/>
        <v>LEX PartsOther Sales %  Sales</v>
      </c>
      <c r="S482" s="199"/>
      <c r="T482" s="199"/>
      <c r="U482" s="199"/>
    </row>
    <row r="483" spans="1:21" x14ac:dyDescent="0.25">
      <c r="A483" t="s">
        <v>996</v>
      </c>
      <c r="B483" t="s">
        <v>997</v>
      </c>
      <c r="C483" t="s">
        <v>997</v>
      </c>
      <c r="D483">
        <v>3495</v>
      </c>
      <c r="E483">
        <v>936</v>
      </c>
      <c r="F483" t="s">
        <v>1100</v>
      </c>
      <c r="G483" t="s">
        <v>1101</v>
      </c>
      <c r="H483" s="315" t="s">
        <v>58</v>
      </c>
      <c r="I483" s="315" t="s">
        <v>1137</v>
      </c>
      <c r="J483" s="315" t="str">
        <f t="shared" si="51"/>
        <v>BridgestoneOther Sales %  Sales</v>
      </c>
      <c r="K483" s="315" t="str">
        <f t="shared" si="52"/>
        <v>936Other franchise/business revenue</v>
      </c>
      <c r="L483" s="311">
        <f>+SUMIF('TUNZ Extracted TB'!M:M,$P483,'TUNZ Extracted TB'!G:G)</f>
        <v>0</v>
      </c>
      <c r="M483" s="311"/>
      <c r="N483" s="311">
        <f>+SUMIF('Input Sheet'!$AE:$AE,P483,'Input Sheet'!$X:$X)</f>
        <v>0</v>
      </c>
      <c r="O483" s="311"/>
      <c r="P483" t="str">
        <f t="shared" si="53"/>
        <v>936-3495</v>
      </c>
      <c r="Q483" s="315" t="str">
        <f t="shared" si="54"/>
        <v>Bridgestone</v>
      </c>
      <c r="R483" s="315" t="str">
        <f t="shared" si="55"/>
        <v>BridgestoneOther Sales %  Sales</v>
      </c>
      <c r="S483" s="199"/>
      <c r="T483" s="199"/>
      <c r="U483" s="199"/>
    </row>
    <row r="484" spans="1:21" x14ac:dyDescent="0.25">
      <c r="A484" t="s">
        <v>996</v>
      </c>
      <c r="B484" t="s">
        <v>997</v>
      </c>
      <c r="C484" t="s">
        <v>997</v>
      </c>
      <c r="D484">
        <v>3495</v>
      </c>
      <c r="E484">
        <v>935</v>
      </c>
      <c r="F484" t="s">
        <v>1100</v>
      </c>
      <c r="G484" t="s">
        <v>1101</v>
      </c>
      <c r="H484" s="315" t="s">
        <v>58</v>
      </c>
      <c r="I484" s="315" t="s">
        <v>1137</v>
      </c>
      <c r="J484" s="315" t="str">
        <f t="shared" si="51"/>
        <v>BridgestoneOther Sales %  Sales</v>
      </c>
      <c r="K484" s="315" t="str">
        <f t="shared" si="52"/>
        <v>935Other franchise/business revenue</v>
      </c>
      <c r="L484" s="311">
        <f>+SUMIF('TUNZ Extracted TB'!M:M,$P484,'TUNZ Extracted TB'!G:G)</f>
        <v>0</v>
      </c>
      <c r="M484" s="311"/>
      <c r="N484" s="311">
        <f>+SUMIF('Input Sheet'!$AE:$AE,P484,'Input Sheet'!$X:$X)</f>
        <v>0</v>
      </c>
      <c r="O484" s="311"/>
      <c r="P484" t="str">
        <f t="shared" si="53"/>
        <v>935-3495</v>
      </c>
      <c r="Q484" s="315" t="str">
        <f t="shared" si="54"/>
        <v>Bridgestone</v>
      </c>
      <c r="R484" s="315" t="str">
        <f t="shared" si="55"/>
        <v>BridgestoneOther Sales %  Sales</v>
      </c>
      <c r="S484" s="199"/>
      <c r="T484" s="199"/>
      <c r="U484" s="199"/>
    </row>
    <row r="485" spans="1:21" x14ac:dyDescent="0.25">
      <c r="A485" t="s">
        <v>996</v>
      </c>
      <c r="B485" t="s">
        <v>997</v>
      </c>
      <c r="C485" t="s">
        <v>1005</v>
      </c>
      <c r="D485">
        <v>3495</v>
      </c>
      <c r="E485">
        <v>230</v>
      </c>
      <c r="F485" t="s">
        <v>1135</v>
      </c>
      <c r="G485" t="s">
        <v>1136</v>
      </c>
      <c r="H485" s="315" t="s">
        <v>5</v>
      </c>
      <c r="I485" s="315" t="s">
        <v>1137</v>
      </c>
      <c r="J485" s="315" t="str">
        <f t="shared" si="51"/>
        <v>PartsOther Sales %  Sales</v>
      </c>
      <c r="K485" s="315" t="str">
        <f t="shared" si="52"/>
        <v>230Parts Other Sales - Toyota</v>
      </c>
      <c r="L485" s="311">
        <f>+SUMIF('TUNZ Extracted TB'!M:M,$P485,'TUNZ Extracted TB'!G:G)</f>
        <v>0</v>
      </c>
      <c r="M485" s="311"/>
      <c r="N485" s="311">
        <f>+SUMIF('Input Sheet'!$AE:$AE,P485,'Input Sheet'!$X:$X)</f>
        <v>0</v>
      </c>
      <c r="O485" s="311"/>
      <c r="P485" t="str">
        <f t="shared" si="53"/>
        <v>230-3495</v>
      </c>
      <c r="Q485" s="315" t="str">
        <f t="shared" si="54"/>
        <v>Parts</v>
      </c>
      <c r="R485" s="315" t="str">
        <f t="shared" si="55"/>
        <v>PartsOther Sales %  Sales</v>
      </c>
      <c r="S485" s="199"/>
      <c r="T485" s="199"/>
      <c r="U485" s="199"/>
    </row>
    <row r="486" spans="1:21" x14ac:dyDescent="0.25">
      <c r="A486" t="s">
        <v>996</v>
      </c>
      <c r="B486" t="s">
        <v>997</v>
      </c>
      <c r="C486" t="s">
        <v>1012</v>
      </c>
      <c r="D486">
        <v>3495</v>
      </c>
      <c r="E486">
        <v>430</v>
      </c>
      <c r="F486" t="s">
        <v>1135</v>
      </c>
      <c r="G486" t="s">
        <v>1136</v>
      </c>
      <c r="H486" s="315" t="s">
        <v>5</v>
      </c>
      <c r="I486" s="315" t="s">
        <v>1137</v>
      </c>
      <c r="J486" s="315" t="str">
        <f t="shared" si="51"/>
        <v>PartsOther Sales %  Sales</v>
      </c>
      <c r="K486" s="315" t="str">
        <f t="shared" si="52"/>
        <v>430Parts Other Sales - Toyota</v>
      </c>
      <c r="L486" s="311">
        <f>+SUMIF('TUNZ Extracted TB'!M:M,$P486,'TUNZ Extracted TB'!G:G)</f>
        <v>0</v>
      </c>
      <c r="M486" s="311"/>
      <c r="N486" s="311">
        <f>+SUMIF('Input Sheet'!$AE:$AE,P486,'Input Sheet'!$X:$X)</f>
        <v>0</v>
      </c>
      <c r="O486" s="311"/>
      <c r="P486" t="str">
        <f t="shared" si="53"/>
        <v>430-3495</v>
      </c>
      <c r="Q486" s="315" t="str">
        <f t="shared" si="54"/>
        <v>Parts</v>
      </c>
      <c r="R486" s="315" t="str">
        <f t="shared" si="55"/>
        <v>PartsOther Sales %  Sales</v>
      </c>
      <c r="S486" s="199"/>
      <c r="T486" s="199"/>
      <c r="U486" s="199"/>
    </row>
    <row r="487" spans="1:21" x14ac:dyDescent="0.25">
      <c r="A487" t="s">
        <v>996</v>
      </c>
      <c r="B487" t="s">
        <v>997</v>
      </c>
      <c r="C487" t="s">
        <v>1013</v>
      </c>
      <c r="D487">
        <v>3495</v>
      </c>
      <c r="E487">
        <v>330</v>
      </c>
      <c r="F487" t="s">
        <v>1135</v>
      </c>
      <c r="G487" t="s">
        <v>1136</v>
      </c>
      <c r="H487" s="315" t="s">
        <v>5</v>
      </c>
      <c r="I487" s="315" t="s">
        <v>1137</v>
      </c>
      <c r="J487" s="315" t="str">
        <f t="shared" si="51"/>
        <v>PartsOther Sales %  Sales</v>
      </c>
      <c r="K487" s="315" t="str">
        <f t="shared" si="52"/>
        <v>330Parts Other Sales - Toyota</v>
      </c>
      <c r="L487" s="311">
        <f>+SUMIF('TUNZ Extracted TB'!M:M,$P487,'TUNZ Extracted TB'!G:G)</f>
        <v>0</v>
      </c>
      <c r="M487" s="311"/>
      <c r="N487" s="311">
        <f>+SUMIF('Input Sheet'!$AE:$AE,P487,'Input Sheet'!$X:$X)</f>
        <v>0</v>
      </c>
      <c r="O487" s="311"/>
      <c r="P487" t="str">
        <f t="shared" si="53"/>
        <v>330-3495</v>
      </c>
      <c r="Q487" s="315" t="str">
        <f t="shared" si="54"/>
        <v>Parts</v>
      </c>
      <c r="R487" s="315" t="str">
        <f t="shared" si="55"/>
        <v>PartsOther Sales %  Sales</v>
      </c>
      <c r="S487" s="199"/>
      <c r="T487" s="199"/>
      <c r="U487" s="199"/>
    </row>
    <row r="488" spans="1:21" x14ac:dyDescent="0.25">
      <c r="A488" t="s">
        <v>996</v>
      </c>
      <c r="B488" t="s">
        <v>997</v>
      </c>
      <c r="C488" t="s">
        <v>997</v>
      </c>
      <c r="D488">
        <v>3500</v>
      </c>
      <c r="E488">
        <v>130</v>
      </c>
      <c r="F488" t="s">
        <v>1138</v>
      </c>
      <c r="G488" t="s">
        <v>1139</v>
      </c>
      <c r="H488" s="315" t="s">
        <v>5</v>
      </c>
      <c r="I488" s="315" t="s">
        <v>1140</v>
      </c>
      <c r="J488" s="315" t="str">
        <f t="shared" si="51"/>
        <v>PartsWarranty Sales %  Sales</v>
      </c>
      <c r="K488" s="315" t="str">
        <f t="shared" si="52"/>
        <v>130Parts Warranty Sales - Toyota</v>
      </c>
      <c r="L488" s="311">
        <f>+SUMIF('TUNZ Extracted TB'!M:M,$P488,'TUNZ Extracted TB'!G:G)</f>
        <v>-5197.4799999999996</v>
      </c>
      <c r="M488" s="311"/>
      <c r="N488" s="311">
        <f>+SUMIF('Input Sheet'!$AE:$AE,P488,'Input Sheet'!$X:$X)</f>
        <v>-96345.92827550121</v>
      </c>
      <c r="O488" s="311"/>
      <c r="P488" t="str">
        <f t="shared" si="53"/>
        <v>130-3500</v>
      </c>
      <c r="Q488" s="315" t="str">
        <f t="shared" si="54"/>
        <v>Parts</v>
      </c>
      <c r="R488" s="315" t="str">
        <f t="shared" si="55"/>
        <v>PartsWarranty Sales %  Sales</v>
      </c>
      <c r="S488" s="199"/>
      <c r="T488" s="199"/>
      <c r="U488" s="199"/>
    </row>
    <row r="489" spans="1:21" x14ac:dyDescent="0.25">
      <c r="A489" t="s">
        <v>996</v>
      </c>
      <c r="B489" t="s">
        <v>997</v>
      </c>
      <c r="C489" t="s">
        <v>997</v>
      </c>
      <c r="D489">
        <v>3500</v>
      </c>
      <c r="E489">
        <v>132</v>
      </c>
      <c r="F489" t="s">
        <v>1141</v>
      </c>
      <c r="G489" t="s">
        <v>1142</v>
      </c>
      <c r="H489" s="315" t="s">
        <v>143</v>
      </c>
      <c r="I489" s="315" t="s">
        <v>1140</v>
      </c>
      <c r="J489" s="315" t="str">
        <f t="shared" si="51"/>
        <v>LEX PartsWarranty Sales %  Sales</v>
      </c>
      <c r="K489" s="315" t="str">
        <f t="shared" si="52"/>
        <v>132Parts Warranty Sales - Lexus</v>
      </c>
      <c r="L489" s="311">
        <f>+SUMIF('TUNZ Extracted TB'!M:M,$P489,'TUNZ Extracted TB'!G:G)</f>
        <v>-15742.91</v>
      </c>
      <c r="M489" s="311"/>
      <c r="N489" s="311">
        <f>+SUMIF('Input Sheet'!$AE:$AE,P489,'Input Sheet'!$X:$X)</f>
        <v>-10000</v>
      </c>
      <c r="O489" s="311"/>
      <c r="P489" t="str">
        <f t="shared" si="53"/>
        <v>132-3500</v>
      </c>
      <c r="Q489" s="315" t="str">
        <f t="shared" si="54"/>
        <v>LEX Parts</v>
      </c>
      <c r="R489" s="315" t="str">
        <f t="shared" si="55"/>
        <v>LEX PartsWarranty Sales %  Sales</v>
      </c>
      <c r="S489" s="199"/>
      <c r="T489" s="199"/>
      <c r="U489" s="199"/>
    </row>
    <row r="490" spans="1:21" x14ac:dyDescent="0.25">
      <c r="A490" t="s">
        <v>996</v>
      </c>
      <c r="B490" t="s">
        <v>997</v>
      </c>
      <c r="C490" t="s">
        <v>997</v>
      </c>
      <c r="D490">
        <v>3500</v>
      </c>
      <c r="E490">
        <v>936</v>
      </c>
      <c r="F490" t="s">
        <v>1100</v>
      </c>
      <c r="G490" t="s">
        <v>1101</v>
      </c>
      <c r="H490" s="315" t="s">
        <v>58</v>
      </c>
      <c r="I490" s="315" t="s">
        <v>1140</v>
      </c>
      <c r="J490" s="315" t="str">
        <f t="shared" si="51"/>
        <v>BridgestoneWarranty Sales %  Sales</v>
      </c>
      <c r="K490" s="315" t="str">
        <f t="shared" si="52"/>
        <v>936Other franchise/business revenue</v>
      </c>
      <c r="L490" s="311">
        <f>+SUMIF('TUNZ Extracted TB'!M:M,$P490,'TUNZ Extracted TB'!G:G)</f>
        <v>0</v>
      </c>
      <c r="M490" s="311"/>
      <c r="N490" s="311">
        <f>+SUMIF('Input Sheet'!$AE:$AE,P490,'Input Sheet'!$X:$X)</f>
        <v>0</v>
      </c>
      <c r="O490" s="311"/>
      <c r="P490" t="str">
        <f t="shared" si="53"/>
        <v>936-3500</v>
      </c>
      <c r="Q490" s="315" t="str">
        <f t="shared" si="54"/>
        <v>Bridgestone</v>
      </c>
      <c r="R490" s="315" t="str">
        <f t="shared" si="55"/>
        <v>BridgestoneWarranty Sales %  Sales</v>
      </c>
      <c r="S490" s="199"/>
      <c r="T490" s="199"/>
      <c r="U490" s="199"/>
    </row>
    <row r="491" spans="1:21" x14ac:dyDescent="0.25">
      <c r="A491" t="s">
        <v>996</v>
      </c>
      <c r="B491" t="s">
        <v>997</v>
      </c>
      <c r="C491" t="s">
        <v>997</v>
      </c>
      <c r="D491">
        <v>3500</v>
      </c>
      <c r="E491">
        <v>935</v>
      </c>
      <c r="F491" t="s">
        <v>1100</v>
      </c>
      <c r="G491" t="s">
        <v>1101</v>
      </c>
      <c r="H491" s="315" t="s">
        <v>58</v>
      </c>
      <c r="I491" s="315" t="s">
        <v>1140</v>
      </c>
      <c r="J491" s="315" t="str">
        <f t="shared" si="51"/>
        <v>BridgestoneWarranty Sales %  Sales</v>
      </c>
      <c r="K491" s="315" t="str">
        <f t="shared" si="52"/>
        <v>935Other franchise/business revenue</v>
      </c>
      <c r="L491" s="311">
        <f>+SUMIF('TUNZ Extracted TB'!M:M,$P491,'TUNZ Extracted TB'!G:G)</f>
        <v>0</v>
      </c>
      <c r="M491" s="311"/>
      <c r="N491" s="311">
        <f>+SUMIF('Input Sheet'!$AE:$AE,P491,'Input Sheet'!$X:$X)</f>
        <v>0</v>
      </c>
      <c r="O491" s="311"/>
      <c r="P491" t="str">
        <f t="shared" si="53"/>
        <v>935-3500</v>
      </c>
      <c r="Q491" s="315" t="str">
        <f t="shared" si="54"/>
        <v>Bridgestone</v>
      </c>
      <c r="R491" s="315" t="str">
        <f t="shared" si="55"/>
        <v>BridgestoneWarranty Sales %  Sales</v>
      </c>
      <c r="S491" s="199"/>
      <c r="T491" s="199"/>
      <c r="U491" s="199"/>
    </row>
    <row r="492" spans="1:21" x14ac:dyDescent="0.25">
      <c r="A492" t="s">
        <v>996</v>
      </c>
      <c r="B492" t="s">
        <v>997</v>
      </c>
      <c r="C492" t="s">
        <v>1012</v>
      </c>
      <c r="D492">
        <v>3500</v>
      </c>
      <c r="E492">
        <v>430</v>
      </c>
      <c r="F492" t="s">
        <v>1138</v>
      </c>
      <c r="G492" t="s">
        <v>1139</v>
      </c>
      <c r="H492" s="315" t="s">
        <v>5</v>
      </c>
      <c r="I492" s="315" t="s">
        <v>1140</v>
      </c>
      <c r="J492" s="315" t="str">
        <f t="shared" si="51"/>
        <v>PartsWarranty Sales %  Sales</v>
      </c>
      <c r="K492" s="315" t="str">
        <f t="shared" si="52"/>
        <v>430Parts Warranty Sales - Toyota</v>
      </c>
      <c r="L492" s="311">
        <f>+SUMIF('TUNZ Extracted TB'!M:M,$P492,'TUNZ Extracted TB'!G:G)</f>
        <v>-4269.3900000000003</v>
      </c>
      <c r="M492" s="311"/>
      <c r="N492" s="311">
        <f>+SUMIF('Input Sheet'!$AE:$AE,P492,'Input Sheet'!$X:$X)</f>
        <v>-6171.0269994151495</v>
      </c>
      <c r="O492" s="311"/>
      <c r="P492" t="str">
        <f t="shared" si="53"/>
        <v>430-3500</v>
      </c>
      <c r="Q492" s="315" t="str">
        <f t="shared" si="54"/>
        <v>Parts</v>
      </c>
      <c r="R492" s="315" t="str">
        <f t="shared" si="55"/>
        <v>PartsWarranty Sales %  Sales</v>
      </c>
      <c r="S492" s="199"/>
      <c r="T492" s="199"/>
      <c r="U492" s="199"/>
    </row>
    <row r="493" spans="1:21" x14ac:dyDescent="0.25">
      <c r="A493" t="s">
        <v>996</v>
      </c>
      <c r="B493" t="s">
        <v>997</v>
      </c>
      <c r="C493" t="s">
        <v>1013</v>
      </c>
      <c r="D493">
        <v>3500</v>
      </c>
      <c r="E493">
        <v>330</v>
      </c>
      <c r="F493" t="s">
        <v>1138</v>
      </c>
      <c r="G493" t="s">
        <v>1139</v>
      </c>
      <c r="H493" s="315" t="s">
        <v>5</v>
      </c>
      <c r="I493" s="315" t="s">
        <v>1140</v>
      </c>
      <c r="J493" s="315" t="str">
        <f t="shared" si="51"/>
        <v>PartsWarranty Sales %  Sales</v>
      </c>
      <c r="K493" s="315" t="str">
        <f t="shared" si="52"/>
        <v>330Parts Warranty Sales - Toyota</v>
      </c>
      <c r="L493" s="311">
        <f>+SUMIF('TUNZ Extracted TB'!M:M,$P493,'TUNZ Extracted TB'!G:G)</f>
        <v>-7442.7</v>
      </c>
      <c r="M493" s="311"/>
      <c r="N493" s="311">
        <f>+SUMIF('Input Sheet'!$AE:$AE,P493,'Input Sheet'!$X:$X)</f>
        <v>-20249.92213262953</v>
      </c>
      <c r="O493" s="311"/>
      <c r="P493" t="str">
        <f t="shared" si="53"/>
        <v>330-3500</v>
      </c>
      <c r="Q493" s="315" t="str">
        <f t="shared" si="54"/>
        <v>Parts</v>
      </c>
      <c r="R493" s="315" t="str">
        <f t="shared" si="55"/>
        <v>PartsWarranty Sales %  Sales</v>
      </c>
      <c r="S493" s="199"/>
      <c r="T493" s="199"/>
      <c r="U493" s="199"/>
    </row>
    <row r="494" spans="1:21" x14ac:dyDescent="0.25">
      <c r="A494" t="s">
        <v>996</v>
      </c>
      <c r="B494" t="s">
        <v>997</v>
      </c>
      <c r="C494" t="s">
        <v>1005</v>
      </c>
      <c r="D494">
        <v>3500</v>
      </c>
      <c r="E494">
        <v>230</v>
      </c>
      <c r="F494" t="s">
        <v>1138</v>
      </c>
      <c r="G494" t="s">
        <v>1139</v>
      </c>
      <c r="H494" s="315" t="s">
        <v>5</v>
      </c>
      <c r="I494" s="315" t="s">
        <v>1140</v>
      </c>
      <c r="J494" s="315" t="str">
        <f t="shared" si="51"/>
        <v>PartsWarranty Sales %  Sales</v>
      </c>
      <c r="K494" s="315" t="str">
        <f t="shared" si="52"/>
        <v>230Parts Warranty Sales - Toyota</v>
      </c>
      <c r="L494" s="311">
        <f>+SUMIF('TUNZ Extracted TB'!M:M,$P494,'TUNZ Extracted TB'!G:G)</f>
        <v>-9651.52</v>
      </c>
      <c r="M494" s="311"/>
      <c r="N494" s="311">
        <f>+SUMIF('Input Sheet'!$AE:$AE,P494,'Input Sheet'!$X:$X)</f>
        <v>-47904.488139930851</v>
      </c>
      <c r="O494" s="311"/>
      <c r="P494" t="str">
        <f t="shared" si="53"/>
        <v>230-3500</v>
      </c>
      <c r="Q494" s="315" t="str">
        <f t="shared" si="54"/>
        <v>Parts</v>
      </c>
      <c r="R494" s="315" t="str">
        <f t="shared" si="55"/>
        <v>PartsWarranty Sales %  Sales</v>
      </c>
      <c r="S494" s="199"/>
      <c r="T494" s="199"/>
      <c r="U494" s="199"/>
    </row>
    <row r="495" spans="1:21" x14ac:dyDescent="0.25">
      <c r="A495" t="s">
        <v>996</v>
      </c>
      <c r="B495" t="s">
        <v>997</v>
      </c>
      <c r="C495" t="s">
        <v>997</v>
      </c>
      <c r="D495">
        <v>3505</v>
      </c>
      <c r="E495">
        <v>132</v>
      </c>
      <c r="F495" t="s">
        <v>1143</v>
      </c>
      <c r="G495" t="s">
        <v>1144</v>
      </c>
      <c r="H495" s="315" t="s">
        <v>143</v>
      </c>
      <c r="I495" s="315" t="s">
        <v>1145</v>
      </c>
      <c r="J495" s="315" t="str">
        <f t="shared" si="51"/>
        <v>LEX PartsInternal Sales %  Sales</v>
      </c>
      <c r="K495" s="315" t="str">
        <f t="shared" si="52"/>
        <v>132Parts Internal Sales - Lexus</v>
      </c>
      <c r="L495" s="311">
        <f>+SUMIF('TUNZ Extracted TB'!M:M,$P495,'TUNZ Extracted TB'!G:G)</f>
        <v>-4255.25</v>
      </c>
      <c r="M495" s="311"/>
      <c r="N495" s="311">
        <f>+SUMIF('Input Sheet'!$AE:$AE,P495,'Input Sheet'!$X:$X)</f>
        <v>-4000</v>
      </c>
      <c r="O495" s="311"/>
      <c r="P495" t="str">
        <f t="shared" si="53"/>
        <v>132-3505</v>
      </c>
      <c r="Q495" s="315" t="str">
        <f t="shared" si="54"/>
        <v>LEX Parts</v>
      </c>
      <c r="R495" s="315" t="str">
        <f t="shared" si="55"/>
        <v>LEX PartsInternal Sales %  Sales</v>
      </c>
      <c r="S495" s="199"/>
      <c r="T495" s="199"/>
      <c r="U495" s="199"/>
    </row>
    <row r="496" spans="1:21" x14ac:dyDescent="0.25">
      <c r="A496" t="s">
        <v>996</v>
      </c>
      <c r="B496" t="s">
        <v>997</v>
      </c>
      <c r="C496" t="s">
        <v>997</v>
      </c>
      <c r="D496">
        <v>3505</v>
      </c>
      <c r="E496">
        <v>130</v>
      </c>
      <c r="F496" t="s">
        <v>1146</v>
      </c>
      <c r="G496" t="s">
        <v>1147</v>
      </c>
      <c r="H496" s="315" t="s">
        <v>5</v>
      </c>
      <c r="I496" s="315" t="s">
        <v>1145</v>
      </c>
      <c r="J496" s="315" t="str">
        <f t="shared" si="51"/>
        <v>PartsInternal Sales %  Sales</v>
      </c>
      <c r="K496" s="315" t="str">
        <f t="shared" si="52"/>
        <v>130Parts Internal Sales - Toyota</v>
      </c>
      <c r="L496" s="311">
        <f>+SUMIF('TUNZ Extracted TB'!M:M,$P496,'TUNZ Extracted TB'!G:G)</f>
        <v>-21039.599999999999</v>
      </c>
      <c r="M496" s="311"/>
      <c r="N496" s="311">
        <f>+SUMIF('Input Sheet'!$AE:$AE,P496,'Input Sheet'!$X:$X)</f>
        <v>-37355.756971402836</v>
      </c>
      <c r="O496" s="311"/>
      <c r="P496" t="str">
        <f t="shared" si="53"/>
        <v>130-3505</v>
      </c>
      <c r="Q496" s="315" t="str">
        <f t="shared" si="54"/>
        <v>Parts</v>
      </c>
      <c r="R496" s="315" t="str">
        <f t="shared" si="55"/>
        <v>PartsInternal Sales %  Sales</v>
      </c>
      <c r="S496" s="199"/>
      <c r="T496" s="199"/>
      <c r="U496" s="199"/>
    </row>
    <row r="497" spans="1:21" x14ac:dyDescent="0.25">
      <c r="A497" t="s">
        <v>996</v>
      </c>
      <c r="B497" t="s">
        <v>997</v>
      </c>
      <c r="C497" t="s">
        <v>997</v>
      </c>
      <c r="D497">
        <v>3505</v>
      </c>
      <c r="E497">
        <v>936</v>
      </c>
      <c r="F497" t="s">
        <v>1100</v>
      </c>
      <c r="G497" t="s">
        <v>1101</v>
      </c>
      <c r="H497" s="315" t="s">
        <v>58</v>
      </c>
      <c r="I497" s="315" t="s">
        <v>1145</v>
      </c>
      <c r="J497" s="315" t="str">
        <f t="shared" si="51"/>
        <v>BridgestoneInternal Sales %  Sales</v>
      </c>
      <c r="K497" s="315" t="str">
        <f t="shared" si="52"/>
        <v>936Other franchise/business revenue</v>
      </c>
      <c r="L497" s="311">
        <f>+SUMIF('TUNZ Extracted TB'!M:M,$P497,'TUNZ Extracted TB'!G:G)</f>
        <v>0</v>
      </c>
      <c r="M497" s="311"/>
      <c r="N497" s="311">
        <f>+SUMIF('Input Sheet'!$AE:$AE,P497,'Input Sheet'!$X:$X)</f>
        <v>-10714.285714285714</v>
      </c>
      <c r="O497" s="311"/>
      <c r="P497" t="str">
        <f t="shared" si="53"/>
        <v>936-3505</v>
      </c>
      <c r="Q497" s="315" t="str">
        <f t="shared" si="54"/>
        <v>Bridgestone</v>
      </c>
      <c r="R497" s="315" t="str">
        <f t="shared" si="55"/>
        <v>BridgestoneInternal Sales %  Sales</v>
      </c>
      <c r="S497" s="199"/>
      <c r="T497" s="199"/>
      <c r="U497" s="199"/>
    </row>
    <row r="498" spans="1:21" x14ac:dyDescent="0.25">
      <c r="A498" t="s">
        <v>996</v>
      </c>
      <c r="B498" t="s">
        <v>997</v>
      </c>
      <c r="C498" t="s">
        <v>1013</v>
      </c>
      <c r="D498">
        <v>3505</v>
      </c>
      <c r="E498">
        <v>330</v>
      </c>
      <c r="F498" t="s">
        <v>1146</v>
      </c>
      <c r="G498" t="s">
        <v>1147</v>
      </c>
      <c r="H498" s="315" t="s">
        <v>5</v>
      </c>
      <c r="I498" s="315" t="s">
        <v>1145</v>
      </c>
      <c r="J498" s="315" t="str">
        <f t="shared" si="51"/>
        <v>PartsInternal Sales %  Sales</v>
      </c>
      <c r="K498" s="315" t="str">
        <f t="shared" si="52"/>
        <v>330Parts Internal Sales - Toyota</v>
      </c>
      <c r="L498" s="311">
        <f>+SUMIF('TUNZ Extracted TB'!M:M,$P498,'TUNZ Extracted TB'!G:G)</f>
        <v>-4562.96</v>
      </c>
      <c r="M498" s="311"/>
      <c r="N498" s="311">
        <f>+SUMIF('Input Sheet'!$AE:$AE,P498,'Input Sheet'!$X:$X)</f>
        <v>-4320.5631154483681</v>
      </c>
      <c r="O498" s="311"/>
      <c r="P498" t="str">
        <f t="shared" si="53"/>
        <v>330-3505</v>
      </c>
      <c r="Q498" s="315" t="str">
        <f t="shared" si="54"/>
        <v>Parts</v>
      </c>
      <c r="R498" s="315" t="str">
        <f t="shared" si="55"/>
        <v>PartsInternal Sales %  Sales</v>
      </c>
      <c r="S498" s="199"/>
      <c r="T498" s="199"/>
      <c r="U498" s="199"/>
    </row>
    <row r="499" spans="1:21" x14ac:dyDescent="0.25">
      <c r="A499" t="s">
        <v>996</v>
      </c>
      <c r="B499" t="s">
        <v>997</v>
      </c>
      <c r="C499" t="s">
        <v>1005</v>
      </c>
      <c r="D499">
        <v>3505</v>
      </c>
      <c r="E499">
        <v>230</v>
      </c>
      <c r="F499" t="s">
        <v>1146</v>
      </c>
      <c r="G499" t="s">
        <v>1147</v>
      </c>
      <c r="H499" s="315" t="s">
        <v>5</v>
      </c>
      <c r="I499" s="315" t="s">
        <v>1145</v>
      </c>
      <c r="J499" s="315" t="str">
        <f t="shared" si="51"/>
        <v>PartsInternal Sales %  Sales</v>
      </c>
      <c r="K499" s="315" t="str">
        <f t="shared" si="52"/>
        <v>230Parts Internal Sales - Toyota</v>
      </c>
      <c r="L499" s="311">
        <f>+SUMIF('TUNZ Extracted TB'!M:M,$P499,'TUNZ Extracted TB'!G:G)</f>
        <v>-6435.21</v>
      </c>
      <c r="M499" s="311"/>
      <c r="N499" s="311">
        <f>+SUMIF('Input Sheet'!$AE:$AE,P499,'Input Sheet'!$X:$X)</f>
        <v>-11368.201746840847</v>
      </c>
      <c r="O499" s="311"/>
      <c r="P499" t="str">
        <f t="shared" si="53"/>
        <v>230-3505</v>
      </c>
      <c r="Q499" s="315" t="str">
        <f t="shared" si="54"/>
        <v>Parts</v>
      </c>
      <c r="R499" s="315" t="str">
        <f t="shared" si="55"/>
        <v>PartsInternal Sales %  Sales</v>
      </c>
      <c r="S499" s="199"/>
      <c r="T499" s="199"/>
      <c r="U499" s="199"/>
    </row>
    <row r="500" spans="1:21" x14ac:dyDescent="0.25">
      <c r="A500" t="s">
        <v>996</v>
      </c>
      <c r="B500" t="s">
        <v>997</v>
      </c>
      <c r="C500" t="s">
        <v>997</v>
      </c>
      <c r="D500">
        <v>3505</v>
      </c>
      <c r="E500">
        <v>935</v>
      </c>
      <c r="F500" t="s">
        <v>1100</v>
      </c>
      <c r="G500" t="s">
        <v>1101</v>
      </c>
      <c r="H500" s="315" t="s">
        <v>58</v>
      </c>
      <c r="I500" s="315" t="s">
        <v>1145</v>
      </c>
      <c r="J500" s="315" t="str">
        <f t="shared" si="51"/>
        <v>BridgestoneInternal Sales %  Sales</v>
      </c>
      <c r="K500" s="315" t="str">
        <f t="shared" si="52"/>
        <v>935Other franchise/business revenue</v>
      </c>
      <c r="L500" s="311">
        <f>+SUMIF('TUNZ Extracted TB'!M:M,$P500,'TUNZ Extracted TB'!G:G)</f>
        <v>-19919</v>
      </c>
      <c r="M500" s="311"/>
      <c r="N500" s="311">
        <f>+SUMIF('Input Sheet'!$AE:$AE,P500,'Input Sheet'!$X:$X)</f>
        <v>-26785.714285714286</v>
      </c>
      <c r="O500" s="311"/>
      <c r="P500" t="str">
        <f t="shared" si="53"/>
        <v>935-3505</v>
      </c>
      <c r="Q500" s="315" t="str">
        <f t="shared" si="54"/>
        <v>Bridgestone</v>
      </c>
      <c r="R500" s="315" t="str">
        <f t="shared" si="55"/>
        <v>BridgestoneInternal Sales %  Sales</v>
      </c>
      <c r="S500" s="199"/>
      <c r="T500" s="199"/>
      <c r="U500" s="199"/>
    </row>
    <row r="501" spans="1:21" x14ac:dyDescent="0.25">
      <c r="A501" t="s">
        <v>996</v>
      </c>
      <c r="B501" t="s">
        <v>997</v>
      </c>
      <c r="C501" t="s">
        <v>1012</v>
      </c>
      <c r="D501">
        <v>3505</v>
      </c>
      <c r="E501">
        <v>430</v>
      </c>
      <c r="F501" t="s">
        <v>1146</v>
      </c>
      <c r="G501" t="s">
        <v>1147</v>
      </c>
      <c r="H501" s="315" t="s">
        <v>5</v>
      </c>
      <c r="I501" s="315" t="s">
        <v>1145</v>
      </c>
      <c r="J501" s="315" t="str">
        <f t="shared" si="51"/>
        <v>PartsInternal Sales %  Sales</v>
      </c>
      <c r="K501" s="315" t="str">
        <f t="shared" si="52"/>
        <v>430Parts Internal Sales - Toyota</v>
      </c>
      <c r="L501" s="311">
        <f>+SUMIF('TUNZ Extracted TB'!M:M,$P501,'TUNZ Extracted TB'!G:G)</f>
        <v>-97353.19</v>
      </c>
      <c r="M501" s="311"/>
      <c r="N501" s="311">
        <f>+SUMIF('Input Sheet'!$AE:$AE,P501,'Input Sheet'!$X:$X)</f>
        <v>-160080.1527369456</v>
      </c>
      <c r="O501" s="311"/>
      <c r="P501" t="str">
        <f t="shared" si="53"/>
        <v>430-3505</v>
      </c>
      <c r="Q501" s="315" t="str">
        <f t="shared" si="54"/>
        <v>Parts</v>
      </c>
      <c r="R501" s="315" t="str">
        <f t="shared" si="55"/>
        <v>PartsInternal Sales %  Sales</v>
      </c>
    </row>
    <row r="502" spans="1:21" x14ac:dyDescent="0.25">
      <c r="A502" t="s">
        <v>996</v>
      </c>
      <c r="B502" t="s">
        <v>997</v>
      </c>
      <c r="C502" t="s">
        <v>997</v>
      </c>
      <c r="D502">
        <v>3510</v>
      </c>
      <c r="E502">
        <v>132</v>
      </c>
      <c r="F502" t="s">
        <v>1143</v>
      </c>
      <c r="G502" t="s">
        <v>1144</v>
      </c>
      <c r="H502" s="315" t="s">
        <v>143</v>
      </c>
      <c r="I502" s="315" t="s">
        <v>1145</v>
      </c>
      <c r="J502" s="315" t="str">
        <f t="shared" si="51"/>
        <v>LEX PartsInternal Sales %  Sales</v>
      </c>
      <c r="K502" s="315" t="str">
        <f t="shared" si="52"/>
        <v>132Parts Internal Sales - Lexus</v>
      </c>
      <c r="L502" s="311">
        <f>+SUMIF('TUNZ Extracted TB'!M:M,$P502,'TUNZ Extracted TB'!G:G)</f>
        <v>0</v>
      </c>
      <c r="M502" s="311"/>
      <c r="N502" s="311">
        <f>+SUMIF('Input Sheet'!$AE:$AE,P502,'Input Sheet'!$X:$X)</f>
        <v>0</v>
      </c>
      <c r="O502" s="311"/>
      <c r="P502" t="str">
        <f t="shared" si="53"/>
        <v>132-3510</v>
      </c>
      <c r="Q502" s="315" t="str">
        <f t="shared" si="54"/>
        <v>LEX Parts</v>
      </c>
      <c r="R502" s="315" t="str">
        <f t="shared" si="55"/>
        <v>LEX PartsInternal Sales %  Sales</v>
      </c>
      <c r="S502" s="199"/>
      <c r="T502" s="199"/>
      <c r="U502" s="199"/>
    </row>
    <row r="503" spans="1:21" x14ac:dyDescent="0.25">
      <c r="A503" t="s">
        <v>996</v>
      </c>
      <c r="B503" t="s">
        <v>997</v>
      </c>
      <c r="C503" t="s">
        <v>997</v>
      </c>
      <c r="D503">
        <v>3510</v>
      </c>
      <c r="E503">
        <v>130</v>
      </c>
      <c r="F503" t="s">
        <v>1146</v>
      </c>
      <c r="G503" t="s">
        <v>1147</v>
      </c>
      <c r="H503" s="315" t="s">
        <v>5</v>
      </c>
      <c r="I503" s="315" t="s">
        <v>1145</v>
      </c>
      <c r="J503" s="315" t="str">
        <f t="shared" si="51"/>
        <v>PartsInternal Sales %  Sales</v>
      </c>
      <c r="K503" s="315" t="str">
        <f t="shared" si="52"/>
        <v>130Parts Internal Sales - Toyota</v>
      </c>
      <c r="L503" s="311">
        <f>+SUMIF('TUNZ Extracted TB'!M:M,$P503,'TUNZ Extracted TB'!G:G)</f>
        <v>0</v>
      </c>
      <c r="M503" s="311"/>
      <c r="N503" s="311">
        <f>+SUMIF('Input Sheet'!$AE:$AE,P503,'Input Sheet'!$X:$X)</f>
        <v>0</v>
      </c>
      <c r="O503" s="311"/>
      <c r="P503" t="str">
        <f t="shared" si="53"/>
        <v>130-3510</v>
      </c>
      <c r="Q503" s="315" t="str">
        <f t="shared" si="54"/>
        <v>Parts</v>
      </c>
      <c r="R503" s="315" t="str">
        <f t="shared" si="55"/>
        <v>PartsInternal Sales %  Sales</v>
      </c>
      <c r="S503" s="199"/>
      <c r="T503" s="199"/>
      <c r="U503" s="199"/>
    </row>
    <row r="504" spans="1:21" x14ac:dyDescent="0.25">
      <c r="A504" t="s">
        <v>996</v>
      </c>
      <c r="B504" t="s">
        <v>997</v>
      </c>
      <c r="C504" t="s">
        <v>997</v>
      </c>
      <c r="D504">
        <v>3510</v>
      </c>
      <c r="E504">
        <v>936</v>
      </c>
      <c r="F504" t="s">
        <v>1100</v>
      </c>
      <c r="G504" t="s">
        <v>1101</v>
      </c>
      <c r="H504" s="315" t="s">
        <v>58</v>
      </c>
      <c r="I504" s="315" t="s">
        <v>1145</v>
      </c>
      <c r="J504" s="315" t="str">
        <f t="shared" si="51"/>
        <v>BridgestoneInternal Sales %  Sales</v>
      </c>
      <c r="K504" s="315" t="str">
        <f t="shared" si="52"/>
        <v>936Other franchise/business revenue</v>
      </c>
      <c r="L504" s="311">
        <f>+SUMIF('TUNZ Extracted TB'!M:M,$P504,'TUNZ Extracted TB'!G:G)</f>
        <v>0</v>
      </c>
      <c r="M504" s="311"/>
      <c r="N504" s="311">
        <f>+SUMIF('Input Sheet'!$AE:$AE,P504,'Input Sheet'!$X:$X)</f>
        <v>0</v>
      </c>
      <c r="O504" s="311"/>
      <c r="P504" t="str">
        <f t="shared" si="53"/>
        <v>936-3510</v>
      </c>
      <c r="Q504" s="315" t="str">
        <f t="shared" si="54"/>
        <v>Bridgestone</v>
      </c>
      <c r="R504" s="315" t="str">
        <f t="shared" si="55"/>
        <v>BridgestoneInternal Sales %  Sales</v>
      </c>
      <c r="S504" s="199"/>
      <c r="T504" s="199"/>
      <c r="U504" s="199"/>
    </row>
    <row r="505" spans="1:21" x14ac:dyDescent="0.25">
      <c r="A505" t="s">
        <v>996</v>
      </c>
      <c r="B505" t="s">
        <v>997</v>
      </c>
      <c r="C505" t="s">
        <v>997</v>
      </c>
      <c r="D505">
        <v>3510</v>
      </c>
      <c r="E505">
        <v>935</v>
      </c>
      <c r="F505" t="s">
        <v>1100</v>
      </c>
      <c r="G505" t="s">
        <v>1101</v>
      </c>
      <c r="H505" s="315" t="s">
        <v>58</v>
      </c>
      <c r="I505" s="315" t="s">
        <v>1145</v>
      </c>
      <c r="J505" s="315" t="str">
        <f t="shared" si="51"/>
        <v>BridgestoneInternal Sales %  Sales</v>
      </c>
      <c r="K505" s="315" t="str">
        <f t="shared" si="52"/>
        <v>935Other franchise/business revenue</v>
      </c>
      <c r="L505" s="311">
        <f>+SUMIF('TUNZ Extracted TB'!M:M,$P505,'TUNZ Extracted TB'!G:G)</f>
        <v>0</v>
      </c>
      <c r="M505" s="311"/>
      <c r="N505" s="311">
        <f>+SUMIF('Input Sheet'!$AE:$AE,P505,'Input Sheet'!$X:$X)</f>
        <v>0</v>
      </c>
      <c r="O505" s="311"/>
      <c r="P505" t="str">
        <f t="shared" si="53"/>
        <v>935-3510</v>
      </c>
      <c r="Q505" s="315" t="str">
        <f t="shared" si="54"/>
        <v>Bridgestone</v>
      </c>
      <c r="R505" s="315" t="str">
        <f t="shared" si="55"/>
        <v>BridgestoneInternal Sales %  Sales</v>
      </c>
      <c r="S505" s="199"/>
      <c r="T505" s="199"/>
      <c r="U505" s="199"/>
    </row>
    <row r="506" spans="1:21" x14ac:dyDescent="0.25">
      <c r="A506" t="s">
        <v>996</v>
      </c>
      <c r="B506" t="s">
        <v>997</v>
      </c>
      <c r="C506" t="s">
        <v>1005</v>
      </c>
      <c r="D506">
        <v>3510</v>
      </c>
      <c r="E506">
        <v>230</v>
      </c>
      <c r="F506" t="s">
        <v>1146</v>
      </c>
      <c r="G506" t="s">
        <v>1147</v>
      </c>
      <c r="H506" s="315" t="s">
        <v>5</v>
      </c>
      <c r="I506" s="315" t="s">
        <v>1145</v>
      </c>
      <c r="J506" s="315" t="str">
        <f t="shared" si="51"/>
        <v>PartsInternal Sales %  Sales</v>
      </c>
      <c r="K506" s="315" t="str">
        <f t="shared" si="52"/>
        <v>230Parts Internal Sales - Toyota</v>
      </c>
      <c r="L506" s="311">
        <f>+SUMIF('TUNZ Extracted TB'!M:M,$P506,'TUNZ Extracted TB'!G:G)</f>
        <v>0</v>
      </c>
      <c r="M506" s="311"/>
      <c r="N506" s="311">
        <f>+SUMIF('Input Sheet'!$AE:$AE,P506,'Input Sheet'!$X:$X)</f>
        <v>0</v>
      </c>
      <c r="O506" s="311"/>
      <c r="P506" t="str">
        <f t="shared" si="53"/>
        <v>230-3510</v>
      </c>
      <c r="Q506" s="315" t="str">
        <f t="shared" si="54"/>
        <v>Parts</v>
      </c>
      <c r="R506" s="315" t="str">
        <f t="shared" si="55"/>
        <v>PartsInternal Sales %  Sales</v>
      </c>
      <c r="S506" s="199"/>
      <c r="T506" s="199"/>
      <c r="U506" s="199"/>
    </row>
    <row r="507" spans="1:21" x14ac:dyDescent="0.25">
      <c r="A507" t="s">
        <v>996</v>
      </c>
      <c r="B507" t="s">
        <v>997</v>
      </c>
      <c r="C507" t="s">
        <v>1012</v>
      </c>
      <c r="D507">
        <v>3510</v>
      </c>
      <c r="E507">
        <v>430</v>
      </c>
      <c r="F507" t="s">
        <v>1146</v>
      </c>
      <c r="G507" t="s">
        <v>1147</v>
      </c>
      <c r="H507" s="315" t="s">
        <v>5</v>
      </c>
      <c r="I507" s="315" t="s">
        <v>1145</v>
      </c>
      <c r="J507" s="315" t="str">
        <f t="shared" si="51"/>
        <v>PartsInternal Sales %  Sales</v>
      </c>
      <c r="K507" s="315" t="str">
        <f t="shared" si="52"/>
        <v>430Parts Internal Sales - Toyota</v>
      </c>
      <c r="L507" s="311">
        <f>+SUMIF('TUNZ Extracted TB'!M:M,$P507,'TUNZ Extracted TB'!G:G)</f>
        <v>0</v>
      </c>
      <c r="M507" s="311"/>
      <c r="N507" s="311">
        <f>+SUMIF('Input Sheet'!$AE:$AE,P507,'Input Sheet'!$X:$X)</f>
        <v>0</v>
      </c>
      <c r="O507" s="311"/>
      <c r="P507" t="str">
        <f t="shared" si="53"/>
        <v>430-3510</v>
      </c>
      <c r="Q507" s="315" t="str">
        <f t="shared" si="54"/>
        <v>Parts</v>
      </c>
      <c r="R507" s="315" t="str">
        <f t="shared" si="55"/>
        <v>PartsInternal Sales %  Sales</v>
      </c>
      <c r="S507" s="199"/>
      <c r="T507" s="199"/>
      <c r="U507" s="199"/>
    </row>
    <row r="508" spans="1:21" x14ac:dyDescent="0.25">
      <c r="A508" t="s">
        <v>996</v>
      </c>
      <c r="B508" t="s">
        <v>997</v>
      </c>
      <c r="C508" t="s">
        <v>1013</v>
      </c>
      <c r="D508">
        <v>3510</v>
      </c>
      <c r="E508">
        <v>330</v>
      </c>
      <c r="F508" t="s">
        <v>1146</v>
      </c>
      <c r="G508" t="s">
        <v>1147</v>
      </c>
      <c r="H508" s="315" t="s">
        <v>5</v>
      </c>
      <c r="I508" s="315" t="s">
        <v>1145</v>
      </c>
      <c r="J508" s="315" t="str">
        <f t="shared" si="51"/>
        <v>PartsInternal Sales %  Sales</v>
      </c>
      <c r="K508" s="315" t="str">
        <f t="shared" si="52"/>
        <v>330Parts Internal Sales - Toyota</v>
      </c>
      <c r="L508" s="311">
        <f>+SUMIF('TUNZ Extracted TB'!M:M,$P508,'TUNZ Extracted TB'!G:G)</f>
        <v>0</v>
      </c>
      <c r="M508" s="311"/>
      <c r="N508" s="311">
        <f>+SUMIF('Input Sheet'!$AE:$AE,P508,'Input Sheet'!$X:$X)</f>
        <v>0</v>
      </c>
      <c r="O508" s="311"/>
      <c r="P508" t="str">
        <f t="shared" si="53"/>
        <v>330-3510</v>
      </c>
      <c r="Q508" s="315" t="str">
        <f t="shared" si="54"/>
        <v>Parts</v>
      </c>
      <c r="R508" s="315" t="str">
        <f t="shared" si="55"/>
        <v>PartsInternal Sales %  Sales</v>
      </c>
      <c r="S508" s="199"/>
      <c r="T508" s="199"/>
      <c r="U508" s="199"/>
    </row>
    <row r="509" spans="1:21" x14ac:dyDescent="0.25">
      <c r="A509" t="s">
        <v>996</v>
      </c>
      <c r="B509" t="s">
        <v>997</v>
      </c>
      <c r="C509" t="s">
        <v>997</v>
      </c>
      <c r="D509">
        <v>3535</v>
      </c>
      <c r="E509">
        <v>130</v>
      </c>
      <c r="F509" t="s">
        <v>1128</v>
      </c>
      <c r="G509" t="s">
        <v>1129</v>
      </c>
      <c r="H509" s="315" t="s">
        <v>5</v>
      </c>
      <c r="I509" s="315" t="s">
        <v>1127</v>
      </c>
      <c r="J509" s="315" t="str">
        <f t="shared" si="51"/>
        <v>PartsTrade Sales %  Sales</v>
      </c>
      <c r="K509" s="315" t="str">
        <f t="shared" si="52"/>
        <v>130Parts Trade Sales - Toyota</v>
      </c>
      <c r="L509" s="311">
        <f>+SUMIF('TUNZ Extracted TB'!M:M,$P509,'TUNZ Extracted TB'!G:G)</f>
        <v>0</v>
      </c>
      <c r="M509" s="311"/>
      <c r="N509" s="311">
        <f>+SUMIF('Input Sheet'!$AE:$AE,P509,'Input Sheet'!$X:$X)</f>
        <v>0</v>
      </c>
      <c r="O509" s="311"/>
      <c r="P509" t="str">
        <f t="shared" si="53"/>
        <v>130-3535</v>
      </c>
      <c r="Q509" s="315" t="str">
        <f t="shared" si="54"/>
        <v>Parts</v>
      </c>
      <c r="R509" s="315" t="str">
        <f t="shared" si="55"/>
        <v>PartsTrade Sales %  Sales</v>
      </c>
      <c r="S509" s="199"/>
      <c r="T509" s="199"/>
      <c r="U509" s="199"/>
    </row>
    <row r="510" spans="1:21" x14ac:dyDescent="0.25">
      <c r="A510" t="s">
        <v>996</v>
      </c>
      <c r="B510" t="s">
        <v>997</v>
      </c>
      <c r="C510" t="s">
        <v>997</v>
      </c>
      <c r="D510">
        <v>3535</v>
      </c>
      <c r="E510">
        <v>132</v>
      </c>
      <c r="F510" t="s">
        <v>1130</v>
      </c>
      <c r="G510" t="s">
        <v>1131</v>
      </c>
      <c r="H510" s="315" t="s">
        <v>143</v>
      </c>
      <c r="I510" s="315" t="s">
        <v>1127</v>
      </c>
      <c r="J510" s="315" t="str">
        <f t="shared" si="51"/>
        <v>LEX PartsTrade Sales %  Sales</v>
      </c>
      <c r="K510" s="315" t="str">
        <f t="shared" si="52"/>
        <v>132Parts Workshop Retail Sales - Lexus</v>
      </c>
      <c r="L510" s="311">
        <f>+SUMIF('TUNZ Extracted TB'!M:M,$P510,'TUNZ Extracted TB'!G:G)</f>
        <v>0</v>
      </c>
      <c r="M510" s="311"/>
      <c r="N510" s="311">
        <f>+SUMIF('Input Sheet'!$AE:$AE,P510,'Input Sheet'!$X:$X)</f>
        <v>0</v>
      </c>
      <c r="O510" s="311"/>
      <c r="P510" t="str">
        <f t="shared" si="53"/>
        <v>132-3535</v>
      </c>
      <c r="Q510" s="315" t="str">
        <f t="shared" si="54"/>
        <v>LEX Parts</v>
      </c>
      <c r="R510" s="315" t="str">
        <f t="shared" si="55"/>
        <v>LEX PartsTrade Sales %  Sales</v>
      </c>
      <c r="S510" s="199"/>
      <c r="T510" s="199"/>
      <c r="U510" s="199"/>
    </row>
    <row r="511" spans="1:21" x14ac:dyDescent="0.25">
      <c r="A511" t="s">
        <v>996</v>
      </c>
      <c r="B511" t="s">
        <v>997</v>
      </c>
      <c r="C511" t="s">
        <v>997</v>
      </c>
      <c r="D511">
        <v>3535</v>
      </c>
      <c r="E511">
        <v>936</v>
      </c>
      <c r="F511" t="s">
        <v>1100</v>
      </c>
      <c r="G511" t="s">
        <v>1101</v>
      </c>
      <c r="H511" s="315" t="s">
        <v>58</v>
      </c>
      <c r="I511" s="315" t="s">
        <v>1127</v>
      </c>
      <c r="J511" s="315" t="str">
        <f t="shared" si="51"/>
        <v>BridgestoneTrade Sales %  Sales</v>
      </c>
      <c r="K511" s="315" t="str">
        <f t="shared" si="52"/>
        <v>936Other franchise/business revenue</v>
      </c>
      <c r="L511" s="311">
        <f>+SUMIF('TUNZ Extracted TB'!M:M,$P511,'TUNZ Extracted TB'!G:G)</f>
        <v>0</v>
      </c>
      <c r="M511" s="311"/>
      <c r="N511" s="311">
        <f>+SUMIF('Input Sheet'!$AE:$AE,P511,'Input Sheet'!$X:$X)</f>
        <v>0</v>
      </c>
      <c r="O511" s="311"/>
      <c r="P511" t="str">
        <f t="shared" si="53"/>
        <v>936-3535</v>
      </c>
      <c r="Q511" s="315" t="str">
        <f t="shared" si="54"/>
        <v>Bridgestone</v>
      </c>
      <c r="R511" s="315" t="str">
        <f t="shared" si="55"/>
        <v>BridgestoneTrade Sales %  Sales</v>
      </c>
      <c r="S511" s="199"/>
      <c r="T511" s="199"/>
      <c r="U511" s="199"/>
    </row>
    <row r="512" spans="1:21" x14ac:dyDescent="0.25">
      <c r="A512" t="s">
        <v>996</v>
      </c>
      <c r="B512" t="s">
        <v>997</v>
      </c>
      <c r="C512" t="s">
        <v>997</v>
      </c>
      <c r="D512">
        <v>3535</v>
      </c>
      <c r="E512">
        <v>935</v>
      </c>
      <c r="F512" t="s">
        <v>1100</v>
      </c>
      <c r="G512" t="s">
        <v>1101</v>
      </c>
      <c r="H512" s="315" t="s">
        <v>58</v>
      </c>
      <c r="I512" s="315" t="s">
        <v>1127</v>
      </c>
      <c r="J512" s="315" t="str">
        <f t="shared" si="51"/>
        <v>BridgestoneTrade Sales %  Sales</v>
      </c>
      <c r="K512" s="315" t="str">
        <f t="shared" si="52"/>
        <v>935Other franchise/business revenue</v>
      </c>
      <c r="L512" s="311">
        <f>+SUMIF('TUNZ Extracted TB'!M:M,$P512,'TUNZ Extracted TB'!G:G)</f>
        <v>0</v>
      </c>
      <c r="M512" s="311"/>
      <c r="N512" s="311">
        <f>+SUMIF('Input Sheet'!$AE:$AE,P512,'Input Sheet'!$X:$X)</f>
        <v>0</v>
      </c>
      <c r="O512" s="311"/>
      <c r="P512" t="str">
        <f t="shared" si="53"/>
        <v>935-3535</v>
      </c>
      <c r="Q512" s="315" t="str">
        <f t="shared" si="54"/>
        <v>Bridgestone</v>
      </c>
      <c r="R512" s="315" t="str">
        <f t="shared" si="55"/>
        <v>BridgestoneTrade Sales %  Sales</v>
      </c>
      <c r="S512" s="199"/>
      <c r="T512" s="199"/>
      <c r="U512" s="199"/>
    </row>
    <row r="513" spans="1:21" x14ac:dyDescent="0.25">
      <c r="A513" t="s">
        <v>996</v>
      </c>
      <c r="B513" t="s">
        <v>997</v>
      </c>
      <c r="C513" t="s">
        <v>1005</v>
      </c>
      <c r="D513">
        <v>3535</v>
      </c>
      <c r="E513">
        <v>230</v>
      </c>
      <c r="F513" t="s">
        <v>1128</v>
      </c>
      <c r="G513" t="s">
        <v>1129</v>
      </c>
      <c r="H513" s="315" t="s">
        <v>5</v>
      </c>
      <c r="I513" s="315" t="s">
        <v>1127</v>
      </c>
      <c r="J513" s="315" t="str">
        <f t="shared" si="51"/>
        <v>PartsTrade Sales %  Sales</v>
      </c>
      <c r="K513" s="315" t="str">
        <f t="shared" si="52"/>
        <v>230Parts Trade Sales - Toyota</v>
      </c>
      <c r="L513" s="311">
        <f>+SUMIF('TUNZ Extracted TB'!M:M,$P513,'TUNZ Extracted TB'!G:G)</f>
        <v>0</v>
      </c>
      <c r="M513" s="311"/>
      <c r="N513" s="311">
        <f>+SUMIF('Input Sheet'!$AE:$AE,P513,'Input Sheet'!$X:$X)</f>
        <v>0</v>
      </c>
      <c r="O513" s="311"/>
      <c r="P513" t="str">
        <f t="shared" si="53"/>
        <v>230-3535</v>
      </c>
      <c r="Q513" s="315" t="str">
        <f t="shared" si="54"/>
        <v>Parts</v>
      </c>
      <c r="R513" s="315" t="str">
        <f t="shared" si="55"/>
        <v>PartsTrade Sales %  Sales</v>
      </c>
      <c r="S513" s="199"/>
      <c r="T513" s="199"/>
      <c r="U513" s="199"/>
    </row>
    <row r="514" spans="1:21" x14ac:dyDescent="0.25">
      <c r="A514" t="s">
        <v>996</v>
      </c>
      <c r="B514" t="s">
        <v>997</v>
      </c>
      <c r="C514" t="s">
        <v>1012</v>
      </c>
      <c r="D514">
        <v>3535</v>
      </c>
      <c r="E514">
        <v>430</v>
      </c>
      <c r="F514" t="s">
        <v>1128</v>
      </c>
      <c r="G514" t="s">
        <v>1129</v>
      </c>
      <c r="H514" s="315" t="s">
        <v>5</v>
      </c>
      <c r="I514" s="315" t="s">
        <v>1127</v>
      </c>
      <c r="J514" s="315" t="str">
        <f t="shared" si="51"/>
        <v>PartsTrade Sales %  Sales</v>
      </c>
      <c r="K514" s="315" t="str">
        <f t="shared" si="52"/>
        <v>430Parts Trade Sales - Toyota</v>
      </c>
      <c r="L514" s="311">
        <f>+SUMIF('TUNZ Extracted TB'!M:M,$P514,'TUNZ Extracted TB'!G:G)</f>
        <v>0</v>
      </c>
      <c r="M514" s="311"/>
      <c r="N514" s="311">
        <f>+SUMIF('Input Sheet'!$AE:$AE,P514,'Input Sheet'!$X:$X)</f>
        <v>0</v>
      </c>
      <c r="O514" s="311"/>
      <c r="P514" t="str">
        <f t="shared" si="53"/>
        <v>430-3535</v>
      </c>
      <c r="Q514" s="315" t="str">
        <f t="shared" si="54"/>
        <v>Parts</v>
      </c>
      <c r="R514" s="315" t="str">
        <f t="shared" si="55"/>
        <v>PartsTrade Sales %  Sales</v>
      </c>
      <c r="S514" s="199"/>
      <c r="T514" s="199"/>
      <c r="U514" s="199"/>
    </row>
    <row r="515" spans="1:21" x14ac:dyDescent="0.25">
      <c r="A515" t="s">
        <v>996</v>
      </c>
      <c r="B515" t="s">
        <v>997</v>
      </c>
      <c r="C515" t="s">
        <v>1013</v>
      </c>
      <c r="D515">
        <v>3535</v>
      </c>
      <c r="E515">
        <v>330</v>
      </c>
      <c r="F515" t="s">
        <v>1128</v>
      </c>
      <c r="G515" t="s">
        <v>1129</v>
      </c>
      <c r="H515" s="315" t="s">
        <v>5</v>
      </c>
      <c r="I515" s="315" t="s">
        <v>1127</v>
      </c>
      <c r="J515" s="315" t="str">
        <f t="shared" ref="J515:J578" si="56">+H515&amp;I515</f>
        <v>PartsTrade Sales %  Sales</v>
      </c>
      <c r="K515" s="315" t="str">
        <f t="shared" ref="K515:K578" si="57">+E515&amp;G515</f>
        <v>330Parts Trade Sales - Toyota</v>
      </c>
      <c r="L515" s="311">
        <f>+SUMIF('TUNZ Extracted TB'!M:M,$P515,'TUNZ Extracted TB'!G:G)</f>
        <v>0</v>
      </c>
      <c r="M515" s="311"/>
      <c r="N515" s="311">
        <f>+SUMIF('Input Sheet'!$AE:$AE,P515,'Input Sheet'!$X:$X)</f>
        <v>0</v>
      </c>
      <c r="O515" s="311"/>
      <c r="P515" t="str">
        <f t="shared" ref="P515:P578" si="58">+E515&amp;"-"&amp;D515</f>
        <v>330-3535</v>
      </c>
      <c r="Q515" s="315" t="str">
        <f t="shared" ref="Q515:Q578" si="59">H515</f>
        <v>Parts</v>
      </c>
      <c r="R515" s="315" t="str">
        <f t="shared" ref="R515:R578" si="60">J515</f>
        <v>PartsTrade Sales %  Sales</v>
      </c>
      <c r="S515" s="199"/>
      <c r="T515" s="199"/>
      <c r="U515" s="199"/>
    </row>
    <row r="516" spans="1:21" x14ac:dyDescent="0.25">
      <c r="A516" t="s">
        <v>996</v>
      </c>
      <c r="B516" t="s">
        <v>997</v>
      </c>
      <c r="C516" t="s">
        <v>997</v>
      </c>
      <c r="D516">
        <v>3550</v>
      </c>
      <c r="E516">
        <v>132</v>
      </c>
      <c r="F516" t="s">
        <v>1148</v>
      </c>
      <c r="G516" t="s">
        <v>1149</v>
      </c>
      <c r="H516" s="315" t="s">
        <v>143</v>
      </c>
      <c r="I516" s="315" t="s">
        <v>1137</v>
      </c>
      <c r="J516" s="315" t="str">
        <f t="shared" si="56"/>
        <v>LEX PartsOther Sales %  Sales</v>
      </c>
      <c r="K516" s="315" t="str">
        <f t="shared" si="57"/>
        <v>132Parts Other Sales - Lexus</v>
      </c>
      <c r="L516" s="311">
        <f>+SUMIF('TUNZ Extracted TB'!M:M,$P516,'TUNZ Extracted TB'!G:G)</f>
        <v>0</v>
      </c>
      <c r="M516" s="311"/>
      <c r="N516" s="311">
        <f>+SUMIF('Input Sheet'!$AE:$AE,P516,'Input Sheet'!$X:$X)</f>
        <v>0</v>
      </c>
      <c r="O516" s="311"/>
      <c r="P516" t="str">
        <f t="shared" si="58"/>
        <v>132-3550</v>
      </c>
      <c r="Q516" s="315" t="str">
        <f t="shared" si="59"/>
        <v>LEX Parts</v>
      </c>
      <c r="R516" s="315" t="str">
        <f t="shared" si="60"/>
        <v>LEX PartsOther Sales %  Sales</v>
      </c>
      <c r="S516" s="199"/>
      <c r="T516" s="199"/>
      <c r="U516" s="199"/>
    </row>
    <row r="517" spans="1:21" x14ac:dyDescent="0.25">
      <c r="A517" t="s">
        <v>996</v>
      </c>
      <c r="B517" t="s">
        <v>997</v>
      </c>
      <c r="C517" t="s">
        <v>997</v>
      </c>
      <c r="D517">
        <v>3550</v>
      </c>
      <c r="E517">
        <v>130</v>
      </c>
      <c r="F517" t="s">
        <v>1135</v>
      </c>
      <c r="G517" t="s">
        <v>1136</v>
      </c>
      <c r="H517" s="315" t="s">
        <v>5</v>
      </c>
      <c r="I517" s="315" t="s">
        <v>1137</v>
      </c>
      <c r="J517" s="315" t="str">
        <f t="shared" si="56"/>
        <v>PartsOther Sales %  Sales</v>
      </c>
      <c r="K517" s="315" t="str">
        <f t="shared" si="57"/>
        <v>130Parts Other Sales - Toyota</v>
      </c>
      <c r="L517" s="311">
        <f>+SUMIF('TUNZ Extracted TB'!M:M,$P517,'TUNZ Extracted TB'!G:G)</f>
        <v>0</v>
      </c>
      <c r="M517" s="311"/>
      <c r="N517" s="311">
        <f>+SUMIF('Input Sheet'!$AE:$AE,P517,'Input Sheet'!$X:$X)</f>
        <v>0</v>
      </c>
      <c r="O517" s="311"/>
      <c r="P517" t="str">
        <f t="shared" si="58"/>
        <v>130-3550</v>
      </c>
      <c r="Q517" s="315" t="str">
        <f t="shared" si="59"/>
        <v>Parts</v>
      </c>
      <c r="R517" s="315" t="str">
        <f t="shared" si="60"/>
        <v>PartsOther Sales %  Sales</v>
      </c>
      <c r="S517" s="199"/>
      <c r="T517" s="199"/>
      <c r="U517" s="199"/>
    </row>
    <row r="518" spans="1:21" x14ac:dyDescent="0.25">
      <c r="A518" t="s">
        <v>996</v>
      </c>
      <c r="B518" t="s">
        <v>997</v>
      </c>
      <c r="C518" t="s">
        <v>997</v>
      </c>
      <c r="D518">
        <v>3550</v>
      </c>
      <c r="E518">
        <v>936</v>
      </c>
      <c r="F518" t="s">
        <v>1100</v>
      </c>
      <c r="G518" t="s">
        <v>1101</v>
      </c>
      <c r="H518" s="315" t="s">
        <v>58</v>
      </c>
      <c r="I518" s="315" t="s">
        <v>1137</v>
      </c>
      <c r="J518" s="315" t="str">
        <f t="shared" si="56"/>
        <v>BridgestoneOther Sales %  Sales</v>
      </c>
      <c r="K518" s="315" t="str">
        <f t="shared" si="57"/>
        <v>936Other franchise/business revenue</v>
      </c>
      <c r="L518" s="311">
        <f>+SUMIF('TUNZ Extracted TB'!M:M,$P518,'TUNZ Extracted TB'!G:G)</f>
        <v>0</v>
      </c>
      <c r="M518" s="311"/>
      <c r="N518" s="311">
        <f>+SUMIF('Input Sheet'!$AE:$AE,P518,'Input Sheet'!$X:$X)</f>
        <v>0</v>
      </c>
      <c r="O518" s="311"/>
      <c r="P518" t="str">
        <f t="shared" si="58"/>
        <v>936-3550</v>
      </c>
      <c r="Q518" s="315" t="str">
        <f t="shared" si="59"/>
        <v>Bridgestone</v>
      </c>
      <c r="R518" s="315" t="str">
        <f t="shared" si="60"/>
        <v>BridgestoneOther Sales %  Sales</v>
      </c>
      <c r="S518" s="199"/>
      <c r="T518" s="199"/>
      <c r="U518" s="199"/>
    </row>
    <row r="519" spans="1:21" x14ac:dyDescent="0.25">
      <c r="A519" t="s">
        <v>996</v>
      </c>
      <c r="B519" t="s">
        <v>997</v>
      </c>
      <c r="C519" t="s">
        <v>997</v>
      </c>
      <c r="D519">
        <v>3550</v>
      </c>
      <c r="E519">
        <v>935</v>
      </c>
      <c r="F519" t="s">
        <v>1100</v>
      </c>
      <c r="G519" t="s">
        <v>1101</v>
      </c>
      <c r="H519" s="315" t="s">
        <v>58</v>
      </c>
      <c r="I519" s="315" t="s">
        <v>1137</v>
      </c>
      <c r="J519" s="315" t="str">
        <f t="shared" si="56"/>
        <v>BridgestoneOther Sales %  Sales</v>
      </c>
      <c r="K519" s="315" t="str">
        <f t="shared" si="57"/>
        <v>935Other franchise/business revenue</v>
      </c>
      <c r="L519" s="311">
        <f>+SUMIF('TUNZ Extracted TB'!M:M,$P519,'TUNZ Extracted TB'!G:G)</f>
        <v>0</v>
      </c>
      <c r="M519" s="311"/>
      <c r="N519" s="311">
        <f>+SUMIF('Input Sheet'!$AE:$AE,P519,'Input Sheet'!$X:$X)</f>
        <v>0</v>
      </c>
      <c r="O519" s="311"/>
      <c r="P519" t="str">
        <f t="shared" si="58"/>
        <v>935-3550</v>
      </c>
      <c r="Q519" s="315" t="str">
        <f t="shared" si="59"/>
        <v>Bridgestone</v>
      </c>
      <c r="R519" s="315" t="str">
        <f t="shared" si="60"/>
        <v>BridgestoneOther Sales %  Sales</v>
      </c>
      <c r="S519" s="199"/>
      <c r="T519" s="199"/>
      <c r="U519" s="199"/>
    </row>
    <row r="520" spans="1:21" x14ac:dyDescent="0.25">
      <c r="A520" t="s">
        <v>996</v>
      </c>
      <c r="B520" t="s">
        <v>997</v>
      </c>
      <c r="C520" t="s">
        <v>1005</v>
      </c>
      <c r="D520">
        <v>3550</v>
      </c>
      <c r="E520">
        <v>230</v>
      </c>
      <c r="F520" t="s">
        <v>1135</v>
      </c>
      <c r="G520" t="s">
        <v>1136</v>
      </c>
      <c r="H520" s="315" t="s">
        <v>5</v>
      </c>
      <c r="I520" s="315" t="s">
        <v>1137</v>
      </c>
      <c r="J520" s="315" t="str">
        <f t="shared" si="56"/>
        <v>PartsOther Sales %  Sales</v>
      </c>
      <c r="K520" s="315" t="str">
        <f t="shared" si="57"/>
        <v>230Parts Other Sales - Toyota</v>
      </c>
      <c r="L520" s="311">
        <f>+SUMIF('TUNZ Extracted TB'!M:M,$P520,'TUNZ Extracted TB'!G:G)</f>
        <v>0</v>
      </c>
      <c r="M520" s="311"/>
      <c r="N520" s="311">
        <f>+SUMIF('Input Sheet'!$AE:$AE,P520,'Input Sheet'!$X:$X)</f>
        <v>0</v>
      </c>
      <c r="O520" s="311"/>
      <c r="P520" t="str">
        <f t="shared" si="58"/>
        <v>230-3550</v>
      </c>
      <c r="Q520" s="315" t="str">
        <f t="shared" si="59"/>
        <v>Parts</v>
      </c>
      <c r="R520" s="315" t="str">
        <f t="shared" si="60"/>
        <v>PartsOther Sales %  Sales</v>
      </c>
      <c r="S520" s="199"/>
      <c r="T520" s="199"/>
      <c r="U520" s="199"/>
    </row>
    <row r="521" spans="1:21" x14ac:dyDescent="0.25">
      <c r="A521" t="s">
        <v>996</v>
      </c>
      <c r="B521" t="s">
        <v>997</v>
      </c>
      <c r="C521" t="s">
        <v>1012</v>
      </c>
      <c r="D521">
        <v>3550</v>
      </c>
      <c r="E521">
        <v>430</v>
      </c>
      <c r="F521" t="s">
        <v>1135</v>
      </c>
      <c r="G521" t="s">
        <v>1136</v>
      </c>
      <c r="H521" s="315" t="s">
        <v>5</v>
      </c>
      <c r="I521" s="315" t="s">
        <v>1137</v>
      </c>
      <c r="J521" s="315" t="str">
        <f t="shared" si="56"/>
        <v>PartsOther Sales %  Sales</v>
      </c>
      <c r="K521" s="315" t="str">
        <f t="shared" si="57"/>
        <v>430Parts Other Sales - Toyota</v>
      </c>
      <c r="L521" s="311">
        <f>+SUMIF('TUNZ Extracted TB'!M:M,$P521,'TUNZ Extracted TB'!G:G)</f>
        <v>0</v>
      </c>
      <c r="M521" s="311"/>
      <c r="N521" s="311">
        <f>+SUMIF('Input Sheet'!$AE:$AE,P521,'Input Sheet'!$X:$X)</f>
        <v>0</v>
      </c>
      <c r="O521" s="311"/>
      <c r="P521" t="str">
        <f t="shared" si="58"/>
        <v>430-3550</v>
      </c>
      <c r="Q521" s="315" t="str">
        <f t="shared" si="59"/>
        <v>Parts</v>
      </c>
      <c r="R521" s="315" t="str">
        <f t="shared" si="60"/>
        <v>PartsOther Sales %  Sales</v>
      </c>
      <c r="S521" s="199"/>
      <c r="T521" s="199"/>
      <c r="U521" s="199"/>
    </row>
    <row r="522" spans="1:21" x14ac:dyDescent="0.25">
      <c r="A522" t="s">
        <v>996</v>
      </c>
      <c r="B522" t="s">
        <v>997</v>
      </c>
      <c r="C522" t="s">
        <v>1013</v>
      </c>
      <c r="D522">
        <v>3550</v>
      </c>
      <c r="E522">
        <v>330</v>
      </c>
      <c r="F522" t="s">
        <v>1135</v>
      </c>
      <c r="G522" t="s">
        <v>1136</v>
      </c>
      <c r="H522" s="315" t="s">
        <v>5</v>
      </c>
      <c r="I522" s="315" t="s">
        <v>1137</v>
      </c>
      <c r="J522" s="315" t="str">
        <f t="shared" si="56"/>
        <v>PartsOther Sales %  Sales</v>
      </c>
      <c r="K522" s="315" t="str">
        <f t="shared" si="57"/>
        <v>330Parts Other Sales - Toyota</v>
      </c>
      <c r="L522" s="311">
        <f>+SUMIF('TUNZ Extracted TB'!M:M,$P522,'TUNZ Extracted TB'!G:G)</f>
        <v>0</v>
      </c>
      <c r="M522" s="311"/>
      <c r="N522" s="311">
        <f>+SUMIF('Input Sheet'!$AE:$AE,P522,'Input Sheet'!$X:$X)</f>
        <v>0</v>
      </c>
      <c r="O522" s="311"/>
      <c r="P522" t="str">
        <f t="shared" si="58"/>
        <v>330-3550</v>
      </c>
      <c r="Q522" s="315" t="str">
        <f t="shared" si="59"/>
        <v>Parts</v>
      </c>
      <c r="R522" s="315" t="str">
        <f t="shared" si="60"/>
        <v>PartsOther Sales %  Sales</v>
      </c>
      <c r="S522" s="199"/>
      <c r="T522" s="199"/>
      <c r="U522" s="199"/>
    </row>
    <row r="523" spans="1:21" x14ac:dyDescent="0.25">
      <c r="A523" t="s">
        <v>996</v>
      </c>
      <c r="B523" t="s">
        <v>997</v>
      </c>
      <c r="C523" t="s">
        <v>997</v>
      </c>
      <c r="D523">
        <v>3551</v>
      </c>
      <c r="E523">
        <v>132</v>
      </c>
      <c r="F523" t="s">
        <v>1120</v>
      </c>
      <c r="G523" t="s">
        <v>1121</v>
      </c>
      <c r="H523" s="315" t="s">
        <v>143</v>
      </c>
      <c r="I523" s="315" t="s">
        <v>1122</v>
      </c>
      <c r="J523" s="315" t="str">
        <f t="shared" si="56"/>
        <v>LEX PartsCounter Sales %  Sales</v>
      </c>
      <c r="K523" s="315" t="str">
        <f t="shared" si="57"/>
        <v>132Parts Counter Sales - Lexus</v>
      </c>
      <c r="L523" s="311">
        <f>+SUMIF('TUNZ Extracted TB'!M:M,$P523,'TUNZ Extracted TB'!G:G)</f>
        <v>0</v>
      </c>
      <c r="M523" s="311"/>
      <c r="N523" s="311">
        <f>+SUMIF('Input Sheet'!$AE:$AE,P523,'Input Sheet'!$X:$X)</f>
        <v>0</v>
      </c>
      <c r="O523" s="311"/>
      <c r="P523" t="str">
        <f t="shared" si="58"/>
        <v>132-3551</v>
      </c>
      <c r="Q523" s="315" t="str">
        <f t="shared" si="59"/>
        <v>LEX Parts</v>
      </c>
      <c r="R523" s="315" t="str">
        <f t="shared" si="60"/>
        <v>LEX PartsCounter Sales %  Sales</v>
      </c>
      <c r="S523" s="199"/>
      <c r="T523" s="199"/>
      <c r="U523" s="199"/>
    </row>
    <row r="524" spans="1:21" x14ac:dyDescent="0.25">
      <c r="A524" t="s">
        <v>996</v>
      </c>
      <c r="B524" t="s">
        <v>997</v>
      </c>
      <c r="C524" t="s">
        <v>997</v>
      </c>
      <c r="D524">
        <v>3551</v>
      </c>
      <c r="E524">
        <v>130</v>
      </c>
      <c r="F524" t="s">
        <v>1123</v>
      </c>
      <c r="G524" t="s">
        <v>1124</v>
      </c>
      <c r="H524" s="315" t="s">
        <v>5</v>
      </c>
      <c r="I524" s="315" t="s">
        <v>1122</v>
      </c>
      <c r="J524" s="315" t="str">
        <f t="shared" si="56"/>
        <v>PartsCounter Sales %  Sales</v>
      </c>
      <c r="K524" s="315" t="str">
        <f t="shared" si="57"/>
        <v>130Parts Counter Sales - Toyota</v>
      </c>
      <c r="L524" s="311">
        <f>+SUMIF('TUNZ Extracted TB'!M:M,$P524,'TUNZ Extracted TB'!G:G)</f>
        <v>0</v>
      </c>
      <c r="M524" s="311"/>
      <c r="N524" s="311">
        <f>+SUMIF('Input Sheet'!$AE:$AE,P524,'Input Sheet'!$X:$X)</f>
        <v>0</v>
      </c>
      <c r="O524" s="311"/>
      <c r="P524" t="str">
        <f t="shared" si="58"/>
        <v>130-3551</v>
      </c>
      <c r="Q524" s="315" t="str">
        <f t="shared" si="59"/>
        <v>Parts</v>
      </c>
      <c r="R524" s="315" t="str">
        <f t="shared" si="60"/>
        <v>PartsCounter Sales %  Sales</v>
      </c>
      <c r="S524" s="199"/>
      <c r="T524" s="199"/>
      <c r="U524" s="199"/>
    </row>
    <row r="525" spans="1:21" x14ac:dyDescent="0.25">
      <c r="A525" t="s">
        <v>996</v>
      </c>
      <c r="B525" t="s">
        <v>997</v>
      </c>
      <c r="C525" t="s">
        <v>997</v>
      </c>
      <c r="D525">
        <v>3551</v>
      </c>
      <c r="E525">
        <v>936</v>
      </c>
      <c r="F525" t="s">
        <v>1100</v>
      </c>
      <c r="G525" t="s">
        <v>1101</v>
      </c>
      <c r="H525" s="315" t="s">
        <v>58</v>
      </c>
      <c r="I525" s="315" t="s">
        <v>1122</v>
      </c>
      <c r="J525" s="315" t="str">
        <f t="shared" si="56"/>
        <v>BridgestoneCounter Sales %  Sales</v>
      </c>
      <c r="K525" s="315" t="str">
        <f t="shared" si="57"/>
        <v>936Other franchise/business revenue</v>
      </c>
      <c r="L525" s="311">
        <f>+SUMIF('TUNZ Extracted TB'!M:M,$P525,'TUNZ Extracted TB'!G:G)</f>
        <v>0</v>
      </c>
      <c r="M525" s="311"/>
      <c r="N525" s="311">
        <f>+SUMIF('Input Sheet'!$AE:$AE,P525,'Input Sheet'!$X:$X)</f>
        <v>0</v>
      </c>
      <c r="O525" s="311"/>
      <c r="P525" t="str">
        <f t="shared" si="58"/>
        <v>936-3551</v>
      </c>
      <c r="Q525" s="315" t="str">
        <f t="shared" si="59"/>
        <v>Bridgestone</v>
      </c>
      <c r="R525" s="315" t="str">
        <f t="shared" si="60"/>
        <v>BridgestoneCounter Sales %  Sales</v>
      </c>
      <c r="S525" s="199"/>
      <c r="T525" s="199"/>
      <c r="U525" s="199"/>
    </row>
    <row r="526" spans="1:21" x14ac:dyDescent="0.25">
      <c r="A526" t="s">
        <v>996</v>
      </c>
      <c r="B526" t="s">
        <v>997</v>
      </c>
      <c r="C526" t="s">
        <v>997</v>
      </c>
      <c r="D526">
        <v>3551</v>
      </c>
      <c r="E526">
        <v>935</v>
      </c>
      <c r="F526" t="s">
        <v>1100</v>
      </c>
      <c r="G526" t="s">
        <v>1101</v>
      </c>
      <c r="H526" s="315" t="s">
        <v>58</v>
      </c>
      <c r="I526" s="315" t="s">
        <v>1122</v>
      </c>
      <c r="J526" s="315" t="str">
        <f t="shared" si="56"/>
        <v>BridgestoneCounter Sales %  Sales</v>
      </c>
      <c r="K526" s="315" t="str">
        <f t="shared" si="57"/>
        <v>935Other franchise/business revenue</v>
      </c>
      <c r="L526" s="311">
        <f>+SUMIF('TUNZ Extracted TB'!M:M,$P526,'TUNZ Extracted TB'!G:G)</f>
        <v>0</v>
      </c>
      <c r="M526" s="311"/>
      <c r="N526" s="311">
        <f>+SUMIF('Input Sheet'!$AE:$AE,P526,'Input Sheet'!$X:$X)</f>
        <v>0</v>
      </c>
      <c r="O526" s="311"/>
      <c r="P526" t="str">
        <f t="shared" si="58"/>
        <v>935-3551</v>
      </c>
      <c r="Q526" s="315" t="str">
        <f t="shared" si="59"/>
        <v>Bridgestone</v>
      </c>
      <c r="R526" s="315" t="str">
        <f t="shared" si="60"/>
        <v>BridgestoneCounter Sales %  Sales</v>
      </c>
      <c r="S526" s="199"/>
      <c r="T526" s="199"/>
      <c r="U526" s="199"/>
    </row>
    <row r="527" spans="1:21" x14ac:dyDescent="0.25">
      <c r="A527" t="s">
        <v>996</v>
      </c>
      <c r="B527" t="s">
        <v>997</v>
      </c>
      <c r="C527" t="s">
        <v>1005</v>
      </c>
      <c r="D527">
        <v>3551</v>
      </c>
      <c r="E527">
        <v>230</v>
      </c>
      <c r="F527" t="s">
        <v>1123</v>
      </c>
      <c r="G527" t="s">
        <v>1124</v>
      </c>
      <c r="H527" s="315" t="s">
        <v>5</v>
      </c>
      <c r="I527" s="315" t="s">
        <v>1122</v>
      </c>
      <c r="J527" s="315" t="str">
        <f t="shared" si="56"/>
        <v>PartsCounter Sales %  Sales</v>
      </c>
      <c r="K527" s="315" t="str">
        <f t="shared" si="57"/>
        <v>230Parts Counter Sales - Toyota</v>
      </c>
      <c r="L527" s="311">
        <f>+SUMIF('TUNZ Extracted TB'!M:M,$P527,'TUNZ Extracted TB'!G:G)</f>
        <v>0</v>
      </c>
      <c r="M527" s="311"/>
      <c r="N527" s="311">
        <f>+SUMIF('Input Sheet'!$AE:$AE,P527,'Input Sheet'!$X:$X)</f>
        <v>0</v>
      </c>
      <c r="O527" s="311"/>
      <c r="P527" t="str">
        <f t="shared" si="58"/>
        <v>230-3551</v>
      </c>
      <c r="Q527" s="315" t="str">
        <f t="shared" si="59"/>
        <v>Parts</v>
      </c>
      <c r="R527" s="315" t="str">
        <f t="shared" si="60"/>
        <v>PartsCounter Sales %  Sales</v>
      </c>
      <c r="S527" s="199"/>
      <c r="T527" s="199"/>
      <c r="U527" s="199"/>
    </row>
    <row r="528" spans="1:21" x14ac:dyDescent="0.25">
      <c r="A528" t="s">
        <v>996</v>
      </c>
      <c r="B528" t="s">
        <v>997</v>
      </c>
      <c r="C528" t="s">
        <v>1012</v>
      </c>
      <c r="D528">
        <v>3551</v>
      </c>
      <c r="E528">
        <v>430</v>
      </c>
      <c r="F528" t="s">
        <v>1123</v>
      </c>
      <c r="G528" t="s">
        <v>1124</v>
      </c>
      <c r="H528" s="315" t="s">
        <v>5</v>
      </c>
      <c r="I528" s="315" t="s">
        <v>1122</v>
      </c>
      <c r="J528" s="315" t="str">
        <f t="shared" si="56"/>
        <v>PartsCounter Sales %  Sales</v>
      </c>
      <c r="K528" s="315" t="str">
        <f t="shared" si="57"/>
        <v>430Parts Counter Sales - Toyota</v>
      </c>
      <c r="L528" s="311">
        <f>+SUMIF('TUNZ Extracted TB'!M:M,$P528,'TUNZ Extracted TB'!G:G)</f>
        <v>0</v>
      </c>
      <c r="M528" s="311"/>
      <c r="N528" s="311">
        <f>+SUMIF('Input Sheet'!$AE:$AE,P528,'Input Sheet'!$X:$X)</f>
        <v>0</v>
      </c>
      <c r="O528" s="311"/>
      <c r="P528" t="str">
        <f t="shared" si="58"/>
        <v>430-3551</v>
      </c>
      <c r="Q528" s="315" t="str">
        <f t="shared" si="59"/>
        <v>Parts</v>
      </c>
      <c r="R528" s="315" t="str">
        <f t="shared" si="60"/>
        <v>PartsCounter Sales %  Sales</v>
      </c>
      <c r="S528" s="199"/>
      <c r="T528" s="199"/>
      <c r="U528" s="199"/>
    </row>
    <row r="529" spans="1:21" x14ac:dyDescent="0.25">
      <c r="A529" t="s">
        <v>996</v>
      </c>
      <c r="B529" t="s">
        <v>997</v>
      </c>
      <c r="C529" t="s">
        <v>1013</v>
      </c>
      <c r="D529">
        <v>3551</v>
      </c>
      <c r="E529">
        <v>330</v>
      </c>
      <c r="F529" t="s">
        <v>1123</v>
      </c>
      <c r="G529" t="s">
        <v>1124</v>
      </c>
      <c r="H529" s="315" t="s">
        <v>5</v>
      </c>
      <c r="I529" s="315" t="s">
        <v>1122</v>
      </c>
      <c r="J529" s="315" t="str">
        <f t="shared" si="56"/>
        <v>PartsCounter Sales %  Sales</v>
      </c>
      <c r="K529" s="315" t="str">
        <f t="shared" si="57"/>
        <v>330Parts Counter Sales - Toyota</v>
      </c>
      <c r="L529" s="311">
        <f>+SUMIF('TUNZ Extracted TB'!M:M,$P529,'TUNZ Extracted TB'!G:G)</f>
        <v>0</v>
      </c>
      <c r="M529" s="311"/>
      <c r="N529" s="311">
        <f>+SUMIF('Input Sheet'!$AE:$AE,P529,'Input Sheet'!$X:$X)</f>
        <v>0</v>
      </c>
      <c r="O529" s="311"/>
      <c r="P529" t="str">
        <f t="shared" si="58"/>
        <v>330-3551</v>
      </c>
      <c r="Q529" s="315" t="str">
        <f t="shared" si="59"/>
        <v>Parts</v>
      </c>
      <c r="R529" s="315" t="str">
        <f t="shared" si="60"/>
        <v>PartsCounter Sales %  Sales</v>
      </c>
      <c r="S529" s="199"/>
      <c r="T529" s="199"/>
      <c r="U529" s="199"/>
    </row>
    <row r="530" spans="1:21" x14ac:dyDescent="0.25">
      <c r="A530" t="s">
        <v>996</v>
      </c>
      <c r="B530" t="s">
        <v>997</v>
      </c>
      <c r="C530" t="s">
        <v>1005</v>
      </c>
      <c r="D530">
        <v>4060</v>
      </c>
      <c r="E530">
        <v>210</v>
      </c>
      <c r="F530" t="s">
        <v>1006</v>
      </c>
      <c r="G530" t="s">
        <v>1007</v>
      </c>
      <c r="H530" s="315" t="s">
        <v>29</v>
      </c>
      <c r="I530" s="315" t="s">
        <v>1008</v>
      </c>
      <c r="J530" s="315" t="str">
        <f t="shared" si="56"/>
        <v>New VehicleDirect Delivery Fees (net)</v>
      </c>
      <c r="K530" s="315" t="str">
        <f t="shared" si="57"/>
        <v>210NV Direct Delivery Fees (net) - Toyota</v>
      </c>
      <c r="L530" s="311">
        <f>+SUMIF('TUNZ Extracted TB'!M:M,$P530,'TUNZ Extracted TB'!G:G)</f>
        <v>8001.05</v>
      </c>
      <c r="M530" s="311"/>
      <c r="N530" s="311">
        <f>+SUMIF('Input Sheet'!$AE:$AE,P530,'Input Sheet'!$X:$X)</f>
        <v>0</v>
      </c>
      <c r="O530" s="311"/>
      <c r="P530" t="str">
        <f t="shared" si="58"/>
        <v>210-4060</v>
      </c>
      <c r="Q530" s="315" t="str">
        <f t="shared" si="59"/>
        <v>New Vehicle</v>
      </c>
      <c r="R530" s="315" t="str">
        <f t="shared" si="60"/>
        <v>New VehicleDirect Delivery Fees (net)</v>
      </c>
      <c r="S530" s="199"/>
      <c r="T530" s="199"/>
      <c r="U530" s="199"/>
    </row>
    <row r="531" spans="1:21" x14ac:dyDescent="0.25">
      <c r="A531" t="s">
        <v>996</v>
      </c>
      <c r="B531" t="s">
        <v>997</v>
      </c>
      <c r="C531" t="s">
        <v>997</v>
      </c>
      <c r="D531">
        <v>4060</v>
      </c>
      <c r="E531">
        <v>110</v>
      </c>
      <c r="F531" t="s">
        <v>1006</v>
      </c>
      <c r="G531" t="s">
        <v>1007</v>
      </c>
      <c r="H531" s="315" t="s">
        <v>29</v>
      </c>
      <c r="I531" s="315" t="s">
        <v>1008</v>
      </c>
      <c r="J531" s="315" t="str">
        <f t="shared" si="56"/>
        <v>New VehicleDirect Delivery Fees (net)</v>
      </c>
      <c r="K531" s="315" t="str">
        <f t="shared" si="57"/>
        <v>110NV Direct Delivery Fees (net) - Toyota</v>
      </c>
      <c r="L531" s="311">
        <f>+SUMIF('TUNZ Extracted TB'!M:M,$P531,'TUNZ Extracted TB'!G:G)</f>
        <v>4511.97</v>
      </c>
      <c r="M531" s="311"/>
      <c r="N531" s="311">
        <f>+SUMIF('Input Sheet'!$AE:$AE,P531,'Input Sheet'!$X:$X)</f>
        <v>0</v>
      </c>
      <c r="O531" s="311"/>
      <c r="P531" t="str">
        <f t="shared" si="58"/>
        <v>110-4060</v>
      </c>
      <c r="Q531" s="315" t="str">
        <f t="shared" si="59"/>
        <v>New Vehicle</v>
      </c>
      <c r="R531" s="315" t="str">
        <f t="shared" si="60"/>
        <v>New VehicleDirect Delivery Fees (net)</v>
      </c>
      <c r="S531" s="199"/>
      <c r="T531" s="199"/>
      <c r="U531" s="199"/>
    </row>
    <row r="532" spans="1:21" x14ac:dyDescent="0.25">
      <c r="A532" t="s">
        <v>996</v>
      </c>
      <c r="B532" t="s">
        <v>997</v>
      </c>
      <c r="C532" t="s">
        <v>997</v>
      </c>
      <c r="D532">
        <v>4060</v>
      </c>
      <c r="E532">
        <v>112</v>
      </c>
      <c r="F532" t="s">
        <v>1009</v>
      </c>
      <c r="G532" t="s">
        <v>1010</v>
      </c>
      <c r="H532" s="315" t="s">
        <v>1011</v>
      </c>
      <c r="I532" s="315" t="s">
        <v>1008</v>
      </c>
      <c r="J532" s="315" t="str">
        <f t="shared" si="56"/>
        <v>LEX New VehicleDirect Delivery Fees (net)</v>
      </c>
      <c r="K532" s="315" t="str">
        <f t="shared" si="57"/>
        <v>112NV Direct Delivery Fees (net) - Lexus</v>
      </c>
      <c r="L532" s="311">
        <f>+SUMIF('TUNZ Extracted TB'!M:M,$P532,'TUNZ Extracted TB'!G:G)</f>
        <v>0</v>
      </c>
      <c r="M532" s="311"/>
      <c r="N532" s="311">
        <f>+SUMIF('Input Sheet'!$AE:$AE,P532,'Input Sheet'!$X:$X)</f>
        <v>0</v>
      </c>
      <c r="O532" s="311"/>
      <c r="P532" t="str">
        <f t="shared" si="58"/>
        <v>112-4060</v>
      </c>
      <c r="Q532" s="315" t="str">
        <f t="shared" si="59"/>
        <v>LEX New Vehicle</v>
      </c>
      <c r="R532" s="315" t="str">
        <f t="shared" si="60"/>
        <v>LEX New VehicleDirect Delivery Fees (net)</v>
      </c>
      <c r="S532" s="199"/>
      <c r="T532" s="199"/>
      <c r="U532" s="199"/>
    </row>
    <row r="533" spans="1:21" x14ac:dyDescent="0.25">
      <c r="A533" t="s">
        <v>996</v>
      </c>
      <c r="B533" t="s">
        <v>997</v>
      </c>
      <c r="C533" t="s">
        <v>997</v>
      </c>
      <c r="D533">
        <v>4060</v>
      </c>
      <c r="E533">
        <v>100</v>
      </c>
      <c r="F533" t="s">
        <v>1006</v>
      </c>
      <c r="G533" t="s">
        <v>1007</v>
      </c>
      <c r="H533" s="315" t="s">
        <v>29</v>
      </c>
      <c r="I533" s="315" t="s">
        <v>1008</v>
      </c>
      <c r="J533" s="315" t="str">
        <f t="shared" si="56"/>
        <v>New VehicleDirect Delivery Fees (net)</v>
      </c>
      <c r="K533" s="315" t="str">
        <f t="shared" si="57"/>
        <v>100NV Direct Delivery Fees (net) - Toyota</v>
      </c>
      <c r="L533" s="311">
        <f>+SUMIF('TUNZ Extracted TB'!M:M,$P533,'TUNZ Extracted TB'!G:G)</f>
        <v>0</v>
      </c>
      <c r="M533" s="311"/>
      <c r="N533" s="311">
        <f>+SUMIF('Input Sheet'!$AE:$AE,P533,'Input Sheet'!$X:$X)</f>
        <v>0</v>
      </c>
      <c r="O533" s="311"/>
      <c r="P533" t="str">
        <f t="shared" si="58"/>
        <v>100-4060</v>
      </c>
      <c r="Q533" s="315" t="str">
        <f t="shared" si="59"/>
        <v>New Vehicle</v>
      </c>
      <c r="R533" s="315" t="str">
        <f t="shared" si="60"/>
        <v>New VehicleDirect Delivery Fees (net)</v>
      </c>
      <c r="S533" s="199"/>
      <c r="T533" s="199"/>
      <c r="U533" s="199"/>
    </row>
    <row r="534" spans="1:21" x14ac:dyDescent="0.25">
      <c r="A534" t="s">
        <v>996</v>
      </c>
      <c r="B534" t="s">
        <v>997</v>
      </c>
      <c r="C534" t="s">
        <v>1005</v>
      </c>
      <c r="D534">
        <v>4060</v>
      </c>
      <c r="E534">
        <v>200</v>
      </c>
      <c r="F534" t="s">
        <v>1006</v>
      </c>
      <c r="G534" t="s">
        <v>1007</v>
      </c>
      <c r="H534" s="315" t="s">
        <v>29</v>
      </c>
      <c r="I534" s="315" t="s">
        <v>1008</v>
      </c>
      <c r="J534" s="315" t="str">
        <f t="shared" si="56"/>
        <v>New VehicleDirect Delivery Fees (net)</v>
      </c>
      <c r="K534" s="315" t="str">
        <f t="shared" si="57"/>
        <v>200NV Direct Delivery Fees (net) - Toyota</v>
      </c>
      <c r="L534" s="311">
        <f>+SUMIF('TUNZ Extracted TB'!M:M,$P534,'TUNZ Extracted TB'!G:G)</f>
        <v>0</v>
      </c>
      <c r="M534" s="311"/>
      <c r="N534" s="311">
        <f>+SUMIF('Input Sheet'!$AE:$AE,P534,'Input Sheet'!$X:$X)</f>
        <v>0</v>
      </c>
      <c r="O534" s="311"/>
      <c r="P534" t="str">
        <f t="shared" si="58"/>
        <v>200-4060</v>
      </c>
      <c r="Q534" s="315" t="str">
        <f t="shared" si="59"/>
        <v>New Vehicle</v>
      </c>
      <c r="R534" s="315" t="str">
        <f t="shared" si="60"/>
        <v>New VehicleDirect Delivery Fees (net)</v>
      </c>
      <c r="S534" s="199"/>
      <c r="T534" s="199"/>
      <c r="U534" s="199"/>
    </row>
    <row r="535" spans="1:21" x14ac:dyDescent="0.25">
      <c r="A535" t="s">
        <v>996</v>
      </c>
      <c r="B535" t="s">
        <v>997</v>
      </c>
      <c r="C535" t="s">
        <v>1012</v>
      </c>
      <c r="D535">
        <v>4060</v>
      </c>
      <c r="E535">
        <v>400</v>
      </c>
      <c r="F535" t="s">
        <v>1006</v>
      </c>
      <c r="G535" t="s">
        <v>1007</v>
      </c>
      <c r="H535" s="315" t="s">
        <v>29</v>
      </c>
      <c r="I535" s="315" t="s">
        <v>1008</v>
      </c>
      <c r="J535" s="315" t="str">
        <f t="shared" si="56"/>
        <v>New VehicleDirect Delivery Fees (net)</v>
      </c>
      <c r="K535" s="315" t="str">
        <f t="shared" si="57"/>
        <v>400NV Direct Delivery Fees (net) - Toyota</v>
      </c>
      <c r="L535" s="311">
        <f>+SUMIF('TUNZ Extracted TB'!M:M,$P535,'TUNZ Extracted TB'!G:G)</f>
        <v>0</v>
      </c>
      <c r="M535" s="311"/>
      <c r="N535" s="311">
        <f>+SUMIF('Input Sheet'!$AE:$AE,P535,'Input Sheet'!$X:$X)</f>
        <v>0</v>
      </c>
      <c r="O535" s="311"/>
      <c r="P535" t="str">
        <f t="shared" si="58"/>
        <v>400-4060</v>
      </c>
      <c r="Q535" s="315" t="str">
        <f t="shared" si="59"/>
        <v>New Vehicle</v>
      </c>
      <c r="R535" s="315" t="str">
        <f t="shared" si="60"/>
        <v>New VehicleDirect Delivery Fees (net)</v>
      </c>
      <c r="S535" s="199"/>
      <c r="T535" s="199"/>
      <c r="U535" s="199"/>
    </row>
    <row r="536" spans="1:21" x14ac:dyDescent="0.25">
      <c r="A536" t="s">
        <v>996</v>
      </c>
      <c r="B536" t="s">
        <v>997</v>
      </c>
      <c r="C536" t="s">
        <v>1012</v>
      </c>
      <c r="D536">
        <v>4060</v>
      </c>
      <c r="E536">
        <v>410</v>
      </c>
      <c r="F536" t="s">
        <v>1006</v>
      </c>
      <c r="G536" t="s">
        <v>1007</v>
      </c>
      <c r="H536" s="315" t="s">
        <v>29</v>
      </c>
      <c r="I536" s="315" t="s">
        <v>1008</v>
      </c>
      <c r="J536" s="315" t="str">
        <f t="shared" si="56"/>
        <v>New VehicleDirect Delivery Fees (net)</v>
      </c>
      <c r="K536" s="315" t="str">
        <f t="shared" si="57"/>
        <v>410NV Direct Delivery Fees (net) - Toyota</v>
      </c>
      <c r="L536" s="311">
        <f>+SUMIF('TUNZ Extracted TB'!M:M,$P536,'TUNZ Extracted TB'!G:G)</f>
        <v>0</v>
      </c>
      <c r="M536" s="311"/>
      <c r="N536" s="311">
        <f>+SUMIF('Input Sheet'!$AE:$AE,P536,'Input Sheet'!$X:$X)</f>
        <v>0</v>
      </c>
      <c r="O536" s="311"/>
      <c r="P536" t="str">
        <f t="shared" si="58"/>
        <v>410-4060</v>
      </c>
      <c r="Q536" s="315" t="str">
        <f t="shared" si="59"/>
        <v>New Vehicle</v>
      </c>
      <c r="R536" s="315" t="str">
        <f t="shared" si="60"/>
        <v>New VehicleDirect Delivery Fees (net)</v>
      </c>
      <c r="S536" s="199"/>
      <c r="T536" s="199"/>
      <c r="U536" s="199"/>
    </row>
    <row r="537" spans="1:21" x14ac:dyDescent="0.25">
      <c r="A537" t="s">
        <v>996</v>
      </c>
      <c r="B537" t="s">
        <v>997</v>
      </c>
      <c r="C537" t="s">
        <v>1013</v>
      </c>
      <c r="D537">
        <v>4060</v>
      </c>
      <c r="E537">
        <v>300</v>
      </c>
      <c r="F537" t="s">
        <v>1006</v>
      </c>
      <c r="G537" t="s">
        <v>1007</v>
      </c>
      <c r="H537" s="315" t="s">
        <v>29</v>
      </c>
      <c r="I537" s="315" t="s">
        <v>1008</v>
      </c>
      <c r="J537" s="315" t="str">
        <f t="shared" si="56"/>
        <v>New VehicleDirect Delivery Fees (net)</v>
      </c>
      <c r="K537" s="315" t="str">
        <f t="shared" si="57"/>
        <v>300NV Direct Delivery Fees (net) - Toyota</v>
      </c>
      <c r="L537" s="311">
        <f>+SUMIF('TUNZ Extracted TB'!M:M,$P537,'TUNZ Extracted TB'!G:G)</f>
        <v>0</v>
      </c>
      <c r="M537" s="311"/>
      <c r="N537" s="311">
        <f>+SUMIF('Input Sheet'!$AE:$AE,P537,'Input Sheet'!$X:$X)</f>
        <v>0</v>
      </c>
      <c r="O537" s="311"/>
      <c r="P537" t="str">
        <f t="shared" si="58"/>
        <v>300-4060</v>
      </c>
      <c r="Q537" s="315" t="str">
        <f t="shared" si="59"/>
        <v>New Vehicle</v>
      </c>
      <c r="R537" s="315" t="str">
        <f t="shared" si="60"/>
        <v>New VehicleDirect Delivery Fees (net)</v>
      </c>
      <c r="S537" s="199"/>
      <c r="T537" s="199"/>
      <c r="U537" s="199"/>
    </row>
    <row r="538" spans="1:21" x14ac:dyDescent="0.25">
      <c r="A538" t="s">
        <v>996</v>
      </c>
      <c r="B538" t="s">
        <v>997</v>
      </c>
      <c r="C538" t="s">
        <v>1013</v>
      </c>
      <c r="D538">
        <v>4060</v>
      </c>
      <c r="E538">
        <v>310</v>
      </c>
      <c r="F538" t="s">
        <v>1006</v>
      </c>
      <c r="G538" t="s">
        <v>1007</v>
      </c>
      <c r="H538" s="315" t="s">
        <v>29</v>
      </c>
      <c r="I538" s="315" t="s">
        <v>1008</v>
      </c>
      <c r="J538" s="315" t="str">
        <f t="shared" si="56"/>
        <v>New VehicleDirect Delivery Fees (net)</v>
      </c>
      <c r="K538" s="315" t="str">
        <f t="shared" si="57"/>
        <v>310NV Direct Delivery Fees (net) - Toyota</v>
      </c>
      <c r="L538" s="311">
        <f>+SUMIF('TUNZ Extracted TB'!M:M,$P538,'TUNZ Extracted TB'!G:G)</f>
        <v>0</v>
      </c>
      <c r="M538" s="311"/>
      <c r="N538" s="311">
        <f>+SUMIF('Input Sheet'!$AE:$AE,P538,'Input Sheet'!$X:$X)</f>
        <v>0</v>
      </c>
      <c r="O538" s="311"/>
      <c r="P538" t="str">
        <f t="shared" si="58"/>
        <v>310-4060</v>
      </c>
      <c r="Q538" s="315" t="str">
        <f t="shared" si="59"/>
        <v>New Vehicle</v>
      </c>
      <c r="R538" s="315" t="str">
        <f t="shared" si="60"/>
        <v>New VehicleDirect Delivery Fees (net)</v>
      </c>
      <c r="S538" s="199"/>
      <c r="T538" s="199"/>
      <c r="U538" s="199"/>
    </row>
    <row r="539" spans="1:21" x14ac:dyDescent="0.25">
      <c r="A539" t="s">
        <v>996</v>
      </c>
      <c r="B539" t="s">
        <v>997</v>
      </c>
      <c r="C539" t="s">
        <v>997</v>
      </c>
      <c r="D539">
        <v>4143</v>
      </c>
      <c r="E539">
        <v>100</v>
      </c>
      <c r="F539" t="s">
        <v>1002</v>
      </c>
      <c r="G539" t="s">
        <v>1003</v>
      </c>
      <c r="H539" s="315" t="s">
        <v>29</v>
      </c>
      <c r="I539" s="315" t="s">
        <v>1004</v>
      </c>
      <c r="J539" s="315" t="str">
        <f t="shared" si="56"/>
        <v>New VehicleRetail Gross p.u.</v>
      </c>
      <c r="K539" s="315" t="str">
        <f t="shared" si="57"/>
        <v>100New Vehicle Cost of Sales - Toyota</v>
      </c>
      <c r="L539" s="311">
        <f>+SUMIF('TUNZ Extracted TB'!M:M,$P539,'TUNZ Extracted TB'!G:G)</f>
        <v>0</v>
      </c>
      <c r="M539" s="311"/>
      <c r="N539" s="311">
        <f>+SUMIF('Input Sheet'!$AE:$AE,P539,'Input Sheet'!$X:$X)</f>
        <v>0</v>
      </c>
      <c r="O539" s="311"/>
      <c r="P539" t="str">
        <f t="shared" si="58"/>
        <v>100-4143</v>
      </c>
      <c r="Q539" s="315" t="str">
        <f t="shared" si="59"/>
        <v>New Vehicle</v>
      </c>
      <c r="R539" s="315" t="str">
        <f t="shared" si="60"/>
        <v>New VehicleRetail Gross p.u.</v>
      </c>
      <c r="S539" s="199"/>
      <c r="T539" s="199"/>
      <c r="U539" s="199"/>
    </row>
    <row r="540" spans="1:21" x14ac:dyDescent="0.25">
      <c r="A540" t="s">
        <v>996</v>
      </c>
      <c r="B540" t="s">
        <v>997</v>
      </c>
      <c r="C540" t="s">
        <v>1005</v>
      </c>
      <c r="D540">
        <v>4143</v>
      </c>
      <c r="E540">
        <v>200</v>
      </c>
      <c r="F540" t="s">
        <v>1002</v>
      </c>
      <c r="G540" t="s">
        <v>1003</v>
      </c>
      <c r="H540" s="315" t="s">
        <v>29</v>
      </c>
      <c r="I540" s="315" t="s">
        <v>1004</v>
      </c>
      <c r="J540" s="315" t="str">
        <f t="shared" si="56"/>
        <v>New VehicleRetail Gross p.u.</v>
      </c>
      <c r="K540" s="315" t="str">
        <f t="shared" si="57"/>
        <v>200New Vehicle Cost of Sales - Toyota</v>
      </c>
      <c r="L540" s="311">
        <f>+SUMIF('TUNZ Extracted TB'!M:M,$P540,'TUNZ Extracted TB'!G:G)</f>
        <v>0</v>
      </c>
      <c r="M540" s="311"/>
      <c r="N540" s="311">
        <f>+SUMIF('Input Sheet'!$AE:$AE,P540,'Input Sheet'!$X:$X)</f>
        <v>0</v>
      </c>
      <c r="O540" s="311"/>
      <c r="P540" t="str">
        <f t="shared" si="58"/>
        <v>200-4143</v>
      </c>
      <c r="Q540" s="315" t="str">
        <f t="shared" si="59"/>
        <v>New Vehicle</v>
      </c>
      <c r="R540" s="315" t="str">
        <f t="shared" si="60"/>
        <v>New VehicleRetail Gross p.u.</v>
      </c>
      <c r="S540" s="199"/>
      <c r="T540" s="199"/>
      <c r="U540" s="199"/>
    </row>
    <row r="541" spans="1:21" x14ac:dyDescent="0.25">
      <c r="A541" t="s">
        <v>996</v>
      </c>
      <c r="B541" t="s">
        <v>997</v>
      </c>
      <c r="C541" t="s">
        <v>1012</v>
      </c>
      <c r="D541">
        <v>4143</v>
      </c>
      <c r="E541">
        <v>400</v>
      </c>
      <c r="F541" t="s">
        <v>1002</v>
      </c>
      <c r="G541" t="s">
        <v>1003</v>
      </c>
      <c r="H541" s="315" t="s">
        <v>29</v>
      </c>
      <c r="I541" s="315" t="s">
        <v>1004</v>
      </c>
      <c r="J541" s="315" t="str">
        <f t="shared" si="56"/>
        <v>New VehicleRetail Gross p.u.</v>
      </c>
      <c r="K541" s="315" t="str">
        <f t="shared" si="57"/>
        <v>400New Vehicle Cost of Sales - Toyota</v>
      </c>
      <c r="L541" s="311">
        <f>+SUMIF('TUNZ Extracted TB'!M:M,$P541,'TUNZ Extracted TB'!G:G)</f>
        <v>0</v>
      </c>
      <c r="M541" s="311"/>
      <c r="N541" s="311">
        <f>+SUMIF('Input Sheet'!$AE:$AE,P541,'Input Sheet'!$X:$X)</f>
        <v>0</v>
      </c>
      <c r="O541" s="311"/>
      <c r="P541" t="str">
        <f t="shared" si="58"/>
        <v>400-4143</v>
      </c>
      <c r="Q541" s="315" t="str">
        <f t="shared" si="59"/>
        <v>New Vehicle</v>
      </c>
      <c r="R541" s="315" t="str">
        <f t="shared" si="60"/>
        <v>New VehicleRetail Gross p.u.</v>
      </c>
      <c r="S541" s="199"/>
      <c r="T541" s="199"/>
      <c r="U541" s="199"/>
    </row>
    <row r="542" spans="1:21" x14ac:dyDescent="0.25">
      <c r="A542" t="s">
        <v>996</v>
      </c>
      <c r="B542" t="s">
        <v>997</v>
      </c>
      <c r="C542" t="s">
        <v>1013</v>
      </c>
      <c r="D542">
        <v>4143</v>
      </c>
      <c r="E542">
        <v>300</v>
      </c>
      <c r="F542" t="s">
        <v>1002</v>
      </c>
      <c r="G542" t="s">
        <v>1003</v>
      </c>
      <c r="H542" s="315" t="s">
        <v>29</v>
      </c>
      <c r="I542" s="315" t="s">
        <v>1004</v>
      </c>
      <c r="J542" s="315" t="str">
        <f t="shared" si="56"/>
        <v>New VehicleRetail Gross p.u.</v>
      </c>
      <c r="K542" s="315" t="str">
        <f t="shared" si="57"/>
        <v>300New Vehicle Cost of Sales - Toyota</v>
      </c>
      <c r="L542" s="311">
        <f>+SUMIF('TUNZ Extracted TB'!M:M,$P542,'TUNZ Extracted TB'!G:G)</f>
        <v>0</v>
      </c>
      <c r="M542" s="311"/>
      <c r="N542" s="311">
        <f>+SUMIF('Input Sheet'!$AE:$AE,P542,'Input Sheet'!$X:$X)</f>
        <v>0</v>
      </c>
      <c r="O542" s="311"/>
      <c r="P542" t="str">
        <f t="shared" si="58"/>
        <v>300-4143</v>
      </c>
      <c r="Q542" s="315" t="str">
        <f t="shared" si="59"/>
        <v>New Vehicle</v>
      </c>
      <c r="R542" s="315" t="str">
        <f t="shared" si="60"/>
        <v>New VehicleRetail Gross p.u.</v>
      </c>
      <c r="S542" s="199"/>
      <c r="T542" s="199"/>
      <c r="U542" s="199"/>
    </row>
    <row r="543" spans="1:21" x14ac:dyDescent="0.25">
      <c r="A543" t="s">
        <v>996</v>
      </c>
      <c r="B543" t="s">
        <v>997</v>
      </c>
      <c r="C543" t="s">
        <v>1005</v>
      </c>
      <c r="D543">
        <v>4143</v>
      </c>
      <c r="E543">
        <v>220</v>
      </c>
      <c r="F543" t="s">
        <v>1150</v>
      </c>
      <c r="G543" t="s">
        <v>1151</v>
      </c>
      <c r="H543" s="315" t="s">
        <v>30</v>
      </c>
      <c r="I543" s="315" t="s">
        <v>1073</v>
      </c>
      <c r="J543" s="315" t="str">
        <f t="shared" si="56"/>
        <v>Used VehicleOther UV retail gross profit p.u.</v>
      </c>
      <c r="K543" s="315" t="str">
        <f t="shared" si="57"/>
        <v>220Toyota Non-FP UV Cost of Sales</v>
      </c>
      <c r="L543" s="311">
        <f>+SUMIF('TUNZ Extracted TB'!M:M,$P543,'TUNZ Extracted TB'!G:G)</f>
        <v>0</v>
      </c>
      <c r="M543" s="311"/>
      <c r="N543" s="311">
        <f>+SUMIF('Input Sheet'!$AE:$AE,P543,'Input Sheet'!$X:$X)</f>
        <v>0</v>
      </c>
      <c r="O543" s="311"/>
      <c r="P543" t="str">
        <f t="shared" si="58"/>
        <v>220-4143</v>
      </c>
      <c r="Q543" s="315" t="str">
        <f t="shared" si="59"/>
        <v>Used Vehicle</v>
      </c>
      <c r="R543" s="315" t="str">
        <f t="shared" si="60"/>
        <v>Used VehicleOther UV retail gross profit p.u.</v>
      </c>
      <c r="S543" s="199"/>
      <c r="T543" s="199"/>
      <c r="U543" s="199"/>
    </row>
    <row r="544" spans="1:21" x14ac:dyDescent="0.25">
      <c r="A544" t="s">
        <v>996</v>
      </c>
      <c r="B544" t="s">
        <v>997</v>
      </c>
      <c r="C544" t="s">
        <v>1012</v>
      </c>
      <c r="D544">
        <v>4143</v>
      </c>
      <c r="E544">
        <v>420</v>
      </c>
      <c r="F544" t="s">
        <v>1150</v>
      </c>
      <c r="G544" t="s">
        <v>1151</v>
      </c>
      <c r="H544" s="315" t="s">
        <v>30</v>
      </c>
      <c r="I544" s="315" t="s">
        <v>1073</v>
      </c>
      <c r="J544" s="315" t="str">
        <f t="shared" si="56"/>
        <v>Used VehicleOther UV retail gross profit p.u.</v>
      </c>
      <c r="K544" s="315" t="str">
        <f t="shared" si="57"/>
        <v>420Toyota Non-FP UV Cost of Sales</v>
      </c>
      <c r="L544" s="311">
        <f>+SUMIF('TUNZ Extracted TB'!M:M,$P544,'TUNZ Extracted TB'!G:G)</f>
        <v>0</v>
      </c>
      <c r="M544" s="311"/>
      <c r="N544" s="311">
        <f>+SUMIF('Input Sheet'!$AE:$AE,P544,'Input Sheet'!$X:$X)</f>
        <v>0</v>
      </c>
      <c r="O544" s="311"/>
      <c r="P544" t="str">
        <f t="shared" si="58"/>
        <v>420-4143</v>
      </c>
      <c r="Q544" s="315" t="str">
        <f t="shared" si="59"/>
        <v>Used Vehicle</v>
      </c>
      <c r="R544" s="315" t="str">
        <f t="shared" si="60"/>
        <v>Used VehicleOther UV retail gross profit p.u.</v>
      </c>
      <c r="S544" s="199"/>
      <c r="T544" s="199"/>
      <c r="U544" s="199"/>
    </row>
    <row r="545" spans="1:21" x14ac:dyDescent="0.25">
      <c r="A545" t="s">
        <v>996</v>
      </c>
      <c r="B545" t="s">
        <v>997</v>
      </c>
      <c r="C545" t="s">
        <v>1013</v>
      </c>
      <c r="D545">
        <v>4143</v>
      </c>
      <c r="E545">
        <v>320</v>
      </c>
      <c r="F545" t="s">
        <v>1150</v>
      </c>
      <c r="G545" t="s">
        <v>1151</v>
      </c>
      <c r="H545" s="315" t="s">
        <v>30</v>
      </c>
      <c r="I545" s="315" t="s">
        <v>1073</v>
      </c>
      <c r="J545" s="315" t="str">
        <f t="shared" si="56"/>
        <v>Used VehicleOther UV retail gross profit p.u.</v>
      </c>
      <c r="K545" s="315" t="str">
        <f t="shared" si="57"/>
        <v>320Toyota Non-FP UV Cost of Sales</v>
      </c>
      <c r="L545" s="311">
        <f>+SUMIF('TUNZ Extracted TB'!M:M,$P545,'TUNZ Extracted TB'!G:G)</f>
        <v>0</v>
      </c>
      <c r="M545" s="311"/>
      <c r="N545" s="311">
        <f>+SUMIF('Input Sheet'!$AE:$AE,P545,'Input Sheet'!$X:$X)</f>
        <v>0</v>
      </c>
      <c r="O545" s="311"/>
      <c r="P545" t="str">
        <f t="shared" si="58"/>
        <v>320-4143</v>
      </c>
      <c r="Q545" s="315" t="str">
        <f t="shared" si="59"/>
        <v>Used Vehicle</v>
      </c>
      <c r="R545" s="315" t="str">
        <f t="shared" si="60"/>
        <v>Used VehicleOther UV retail gross profit p.u.</v>
      </c>
      <c r="S545" s="199"/>
      <c r="T545" s="199"/>
      <c r="U545" s="199"/>
    </row>
    <row r="546" spans="1:21" x14ac:dyDescent="0.25">
      <c r="A546" t="s">
        <v>996</v>
      </c>
      <c r="B546" t="s">
        <v>997</v>
      </c>
      <c r="C546" t="s">
        <v>997</v>
      </c>
      <c r="D546">
        <v>4143</v>
      </c>
      <c r="E546">
        <v>120</v>
      </c>
      <c r="F546" t="s">
        <v>1150</v>
      </c>
      <c r="G546" t="s">
        <v>1151</v>
      </c>
      <c r="H546" s="315" t="s">
        <v>30</v>
      </c>
      <c r="I546" s="315" t="s">
        <v>1073</v>
      </c>
      <c r="J546" s="315" t="str">
        <f t="shared" si="56"/>
        <v>Used VehicleOther UV retail gross profit p.u.</v>
      </c>
      <c r="K546" s="315" t="str">
        <f t="shared" si="57"/>
        <v>120Toyota Non-FP UV Cost of Sales</v>
      </c>
      <c r="L546" s="311">
        <f>+SUMIF('TUNZ Extracted TB'!M:M,$P546,'TUNZ Extracted TB'!G:G)</f>
        <v>-869.57</v>
      </c>
      <c r="M546" s="311"/>
      <c r="N546" s="311">
        <f>+SUMIF('Input Sheet'!$AE:$AE,P546,'Input Sheet'!$X:$X)</f>
        <v>0</v>
      </c>
      <c r="O546" s="311"/>
      <c r="P546" t="str">
        <f t="shared" si="58"/>
        <v>120-4143</v>
      </c>
      <c r="Q546" s="315" t="str">
        <f t="shared" si="59"/>
        <v>Used Vehicle</v>
      </c>
      <c r="R546" s="315" t="str">
        <f t="shared" si="60"/>
        <v>Used VehicleOther UV retail gross profit p.u.</v>
      </c>
      <c r="S546" s="199"/>
      <c r="T546" s="199"/>
      <c r="U546" s="199"/>
    </row>
    <row r="547" spans="1:21" x14ac:dyDescent="0.25">
      <c r="A547" t="s">
        <v>996</v>
      </c>
      <c r="B547" t="s">
        <v>997</v>
      </c>
      <c r="C547" t="s">
        <v>1005</v>
      </c>
      <c r="D547">
        <v>4147</v>
      </c>
      <c r="E547">
        <v>200</v>
      </c>
      <c r="F547" t="s">
        <v>1002</v>
      </c>
      <c r="G547" t="s">
        <v>1003</v>
      </c>
      <c r="H547" s="315" t="s">
        <v>29</v>
      </c>
      <c r="I547" s="315" t="s">
        <v>1004</v>
      </c>
      <c r="J547" s="315" t="str">
        <f t="shared" si="56"/>
        <v>New VehicleRetail Gross p.u.</v>
      </c>
      <c r="K547" s="315" t="str">
        <f t="shared" si="57"/>
        <v>200New Vehicle Cost of Sales - Toyota</v>
      </c>
      <c r="L547" s="311">
        <f>+SUMIF('TUNZ Extracted TB'!M:M,$P547,'TUNZ Extracted TB'!G:G)</f>
        <v>0</v>
      </c>
      <c r="M547" s="311"/>
      <c r="N547" s="311">
        <f>+SUMIF('Input Sheet'!$AE:$AE,P547,'Input Sheet'!$X:$X)</f>
        <v>0</v>
      </c>
      <c r="O547" s="311"/>
      <c r="P547" t="str">
        <f t="shared" si="58"/>
        <v>200-4147</v>
      </c>
      <c r="Q547" s="315" t="str">
        <f t="shared" si="59"/>
        <v>New Vehicle</v>
      </c>
      <c r="R547" s="315" t="str">
        <f t="shared" si="60"/>
        <v>New VehicleRetail Gross p.u.</v>
      </c>
      <c r="S547" s="199"/>
      <c r="T547" s="199"/>
      <c r="U547" s="199"/>
    </row>
    <row r="548" spans="1:21" x14ac:dyDescent="0.25">
      <c r="A548" t="s">
        <v>996</v>
      </c>
      <c r="B548" t="s">
        <v>997</v>
      </c>
      <c r="C548" t="s">
        <v>997</v>
      </c>
      <c r="D548">
        <v>4147</v>
      </c>
      <c r="E548">
        <v>100</v>
      </c>
      <c r="F548" t="s">
        <v>1002</v>
      </c>
      <c r="G548" t="s">
        <v>1003</v>
      </c>
      <c r="H548" s="315" t="s">
        <v>29</v>
      </c>
      <c r="I548" s="315" t="s">
        <v>1004</v>
      </c>
      <c r="J548" s="315" t="str">
        <f t="shared" si="56"/>
        <v>New VehicleRetail Gross p.u.</v>
      </c>
      <c r="K548" s="315" t="str">
        <f t="shared" si="57"/>
        <v>100New Vehicle Cost of Sales - Toyota</v>
      </c>
      <c r="L548" s="311">
        <f>+SUMIF('TUNZ Extracted TB'!M:M,$P548,'TUNZ Extracted TB'!G:G)</f>
        <v>0</v>
      </c>
      <c r="M548" s="311"/>
      <c r="N548" s="311">
        <f>+SUMIF('Input Sheet'!$AE:$AE,P548,'Input Sheet'!$X:$X)</f>
        <v>0</v>
      </c>
      <c r="O548" s="311"/>
      <c r="P548" t="str">
        <f t="shared" si="58"/>
        <v>100-4147</v>
      </c>
      <c r="Q548" s="315" t="str">
        <f t="shared" si="59"/>
        <v>New Vehicle</v>
      </c>
      <c r="R548" s="315" t="str">
        <f t="shared" si="60"/>
        <v>New VehicleRetail Gross p.u.</v>
      </c>
      <c r="S548" s="199"/>
      <c r="T548" s="199"/>
      <c r="U548" s="199"/>
    </row>
    <row r="549" spans="1:21" x14ac:dyDescent="0.25">
      <c r="A549" t="s">
        <v>996</v>
      </c>
      <c r="B549" t="s">
        <v>997</v>
      </c>
      <c r="C549" t="s">
        <v>1012</v>
      </c>
      <c r="D549">
        <v>4147</v>
      </c>
      <c r="E549">
        <v>400</v>
      </c>
      <c r="F549" t="s">
        <v>1002</v>
      </c>
      <c r="G549" t="s">
        <v>1003</v>
      </c>
      <c r="H549" s="315" t="s">
        <v>29</v>
      </c>
      <c r="I549" s="315" t="s">
        <v>1004</v>
      </c>
      <c r="J549" s="315" t="str">
        <f t="shared" si="56"/>
        <v>New VehicleRetail Gross p.u.</v>
      </c>
      <c r="K549" s="315" t="str">
        <f t="shared" si="57"/>
        <v>400New Vehicle Cost of Sales - Toyota</v>
      </c>
      <c r="L549" s="311">
        <f>+SUMIF('TUNZ Extracted TB'!M:M,$P549,'TUNZ Extracted TB'!G:G)</f>
        <v>0</v>
      </c>
      <c r="M549" s="311"/>
      <c r="N549" s="311">
        <f>+SUMIF('Input Sheet'!$AE:$AE,P549,'Input Sheet'!$X:$X)</f>
        <v>0</v>
      </c>
      <c r="O549" s="311"/>
      <c r="P549" t="str">
        <f t="shared" si="58"/>
        <v>400-4147</v>
      </c>
      <c r="Q549" s="315" t="str">
        <f t="shared" si="59"/>
        <v>New Vehicle</v>
      </c>
      <c r="R549" s="315" t="str">
        <f t="shared" si="60"/>
        <v>New VehicleRetail Gross p.u.</v>
      </c>
      <c r="S549" s="199"/>
      <c r="T549" s="199"/>
      <c r="U549" s="199"/>
    </row>
    <row r="550" spans="1:21" x14ac:dyDescent="0.25">
      <c r="A550" t="s">
        <v>996</v>
      </c>
      <c r="B550" t="s">
        <v>997</v>
      </c>
      <c r="C550" t="s">
        <v>1013</v>
      </c>
      <c r="D550">
        <v>4147</v>
      </c>
      <c r="E550">
        <v>300</v>
      </c>
      <c r="F550" t="s">
        <v>1002</v>
      </c>
      <c r="G550" t="s">
        <v>1003</v>
      </c>
      <c r="H550" s="315" t="s">
        <v>29</v>
      </c>
      <c r="I550" s="315" t="s">
        <v>1004</v>
      </c>
      <c r="J550" s="315" t="str">
        <f t="shared" si="56"/>
        <v>New VehicleRetail Gross p.u.</v>
      </c>
      <c r="K550" s="315" t="str">
        <f t="shared" si="57"/>
        <v>300New Vehicle Cost of Sales - Toyota</v>
      </c>
      <c r="L550" s="311">
        <f>+SUMIF('TUNZ Extracted TB'!M:M,$P550,'TUNZ Extracted TB'!G:G)</f>
        <v>0</v>
      </c>
      <c r="M550" s="311"/>
      <c r="N550" s="311">
        <f>+SUMIF('Input Sheet'!$AE:$AE,P550,'Input Sheet'!$X:$X)</f>
        <v>0</v>
      </c>
      <c r="O550" s="311"/>
      <c r="P550" t="str">
        <f t="shared" si="58"/>
        <v>300-4147</v>
      </c>
      <c r="Q550" s="315" t="str">
        <f t="shared" si="59"/>
        <v>New Vehicle</v>
      </c>
      <c r="R550" s="315" t="str">
        <f t="shared" si="60"/>
        <v>New VehicleRetail Gross p.u.</v>
      </c>
      <c r="S550" s="199"/>
      <c r="T550" s="199"/>
      <c r="U550" s="199"/>
    </row>
    <row r="551" spans="1:21" x14ac:dyDescent="0.25">
      <c r="A551" t="s">
        <v>996</v>
      </c>
      <c r="B551" t="s">
        <v>997</v>
      </c>
      <c r="C551" t="s">
        <v>1005</v>
      </c>
      <c r="D551">
        <v>4148</v>
      </c>
      <c r="E551">
        <v>200</v>
      </c>
      <c r="F551" t="s">
        <v>1002</v>
      </c>
      <c r="G551" t="s">
        <v>1003</v>
      </c>
      <c r="H551" s="315" t="s">
        <v>29</v>
      </c>
      <c r="I551" s="315" t="s">
        <v>1004</v>
      </c>
      <c r="J551" s="315" t="str">
        <f t="shared" si="56"/>
        <v>New VehicleRetail Gross p.u.</v>
      </c>
      <c r="K551" s="315" t="str">
        <f t="shared" si="57"/>
        <v>200New Vehicle Cost of Sales - Toyota</v>
      </c>
      <c r="L551" s="311">
        <f>+SUMIF('TUNZ Extracted TB'!M:M,$P551,'TUNZ Extracted TB'!G:G)</f>
        <v>20976.31</v>
      </c>
      <c r="M551" s="311"/>
      <c r="N551" s="311">
        <f>+SUMIF('Input Sheet'!$AE:$AE,P551,'Input Sheet'!$X:$X)</f>
        <v>0</v>
      </c>
      <c r="O551" s="311"/>
      <c r="P551" t="str">
        <f t="shared" si="58"/>
        <v>200-4148</v>
      </c>
      <c r="Q551" s="315" t="str">
        <f t="shared" si="59"/>
        <v>New Vehicle</v>
      </c>
      <c r="R551" s="315" t="str">
        <f t="shared" si="60"/>
        <v>New VehicleRetail Gross p.u.</v>
      </c>
      <c r="S551" s="199"/>
      <c r="T551" s="199"/>
      <c r="U551" s="199"/>
    </row>
    <row r="552" spans="1:21" x14ac:dyDescent="0.25">
      <c r="A552" t="s">
        <v>996</v>
      </c>
      <c r="B552" t="s">
        <v>997</v>
      </c>
      <c r="C552" t="s">
        <v>997</v>
      </c>
      <c r="D552">
        <v>4148</v>
      </c>
      <c r="E552">
        <v>100</v>
      </c>
      <c r="F552" t="s">
        <v>1002</v>
      </c>
      <c r="G552" t="s">
        <v>1003</v>
      </c>
      <c r="H552" s="315" t="s">
        <v>29</v>
      </c>
      <c r="I552" s="315" t="s">
        <v>1004</v>
      </c>
      <c r="J552" s="315" t="str">
        <f t="shared" si="56"/>
        <v>New VehicleRetail Gross p.u.</v>
      </c>
      <c r="K552" s="315" t="str">
        <f t="shared" si="57"/>
        <v>100New Vehicle Cost of Sales - Toyota</v>
      </c>
      <c r="L552" s="311">
        <f>+SUMIF('TUNZ Extracted TB'!M:M,$P552,'TUNZ Extracted TB'!G:G)</f>
        <v>19586.490000000002</v>
      </c>
      <c r="M552" s="311"/>
      <c r="N552" s="311">
        <f>+SUMIF('Input Sheet'!$AE:$AE,P552,'Input Sheet'!$X:$X)</f>
        <v>0</v>
      </c>
      <c r="O552" s="311"/>
      <c r="P552" t="str">
        <f t="shared" si="58"/>
        <v>100-4148</v>
      </c>
      <c r="Q552" s="315" t="str">
        <f t="shared" si="59"/>
        <v>New Vehicle</v>
      </c>
      <c r="R552" s="315" t="str">
        <f t="shared" si="60"/>
        <v>New VehicleRetail Gross p.u.</v>
      </c>
      <c r="S552" s="199"/>
      <c r="T552" s="199"/>
      <c r="U552" s="199"/>
    </row>
    <row r="553" spans="1:21" x14ac:dyDescent="0.25">
      <c r="A553" t="s">
        <v>996</v>
      </c>
      <c r="B553" t="s">
        <v>997</v>
      </c>
      <c r="C553" t="s">
        <v>1012</v>
      </c>
      <c r="D553">
        <v>4148</v>
      </c>
      <c r="E553">
        <v>400</v>
      </c>
      <c r="F553" t="s">
        <v>1002</v>
      </c>
      <c r="G553" t="s">
        <v>1003</v>
      </c>
      <c r="H553" s="315" t="s">
        <v>29</v>
      </c>
      <c r="I553" s="315" t="s">
        <v>1004</v>
      </c>
      <c r="J553" s="315" t="str">
        <f t="shared" si="56"/>
        <v>New VehicleRetail Gross p.u.</v>
      </c>
      <c r="K553" s="315" t="str">
        <f t="shared" si="57"/>
        <v>400New Vehicle Cost of Sales - Toyota</v>
      </c>
      <c r="L553" s="311">
        <f>+SUMIF('TUNZ Extracted TB'!M:M,$P553,'TUNZ Extracted TB'!G:G)</f>
        <v>0</v>
      </c>
      <c r="M553" s="311"/>
      <c r="N553" s="311">
        <f>+SUMIF('Input Sheet'!$AE:$AE,P553,'Input Sheet'!$X:$X)</f>
        <v>0</v>
      </c>
      <c r="O553" s="311"/>
      <c r="P553" t="str">
        <f t="shared" si="58"/>
        <v>400-4148</v>
      </c>
      <c r="Q553" s="315" t="str">
        <f t="shared" si="59"/>
        <v>New Vehicle</v>
      </c>
      <c r="R553" s="315" t="str">
        <f t="shared" si="60"/>
        <v>New VehicleRetail Gross p.u.</v>
      </c>
      <c r="S553" s="199"/>
      <c r="T553" s="199"/>
      <c r="U553" s="199"/>
    </row>
    <row r="554" spans="1:21" x14ac:dyDescent="0.25">
      <c r="A554" t="s">
        <v>996</v>
      </c>
      <c r="B554" t="s">
        <v>997</v>
      </c>
      <c r="C554" t="s">
        <v>1013</v>
      </c>
      <c r="D554">
        <v>4148</v>
      </c>
      <c r="E554">
        <v>300</v>
      </c>
      <c r="F554" t="s">
        <v>1002</v>
      </c>
      <c r="G554" t="s">
        <v>1003</v>
      </c>
      <c r="H554" s="315" t="s">
        <v>29</v>
      </c>
      <c r="I554" s="315" t="s">
        <v>1004</v>
      </c>
      <c r="J554" s="315" t="str">
        <f t="shared" si="56"/>
        <v>New VehicleRetail Gross p.u.</v>
      </c>
      <c r="K554" s="315" t="str">
        <f t="shared" si="57"/>
        <v>300New Vehicle Cost of Sales - Toyota</v>
      </c>
      <c r="L554" s="311">
        <f>+SUMIF('TUNZ Extracted TB'!M:M,$P554,'TUNZ Extracted TB'!G:G)</f>
        <v>0</v>
      </c>
      <c r="M554" s="311"/>
      <c r="N554" s="311">
        <f>+SUMIF('Input Sheet'!$AE:$AE,P554,'Input Sheet'!$X:$X)</f>
        <v>0</v>
      </c>
      <c r="O554" s="311"/>
      <c r="P554" t="str">
        <f t="shared" si="58"/>
        <v>300-4148</v>
      </c>
      <c r="Q554" s="315" t="str">
        <f t="shared" si="59"/>
        <v>New Vehicle</v>
      </c>
      <c r="R554" s="315" t="str">
        <f t="shared" si="60"/>
        <v>New VehicleRetail Gross p.u.</v>
      </c>
      <c r="S554" s="199"/>
      <c r="T554" s="199"/>
      <c r="U554" s="199"/>
    </row>
    <row r="555" spans="1:21" x14ac:dyDescent="0.25">
      <c r="A555" t="s">
        <v>996</v>
      </c>
      <c r="B555" t="s">
        <v>997</v>
      </c>
      <c r="C555" t="s">
        <v>1005</v>
      </c>
      <c r="D555">
        <v>4149</v>
      </c>
      <c r="E555">
        <v>200</v>
      </c>
      <c r="F555" t="s">
        <v>1002</v>
      </c>
      <c r="G555" t="s">
        <v>1003</v>
      </c>
      <c r="H555" s="315" t="s">
        <v>29</v>
      </c>
      <c r="I555" s="315" t="s">
        <v>1004</v>
      </c>
      <c r="J555" s="315" t="str">
        <f t="shared" si="56"/>
        <v>New VehicleRetail Gross p.u.</v>
      </c>
      <c r="K555" s="315" t="str">
        <f t="shared" si="57"/>
        <v>200New Vehicle Cost of Sales - Toyota</v>
      </c>
      <c r="L555" s="311">
        <f>+SUMIF('TUNZ Extracted TB'!M:M,$P555,'TUNZ Extracted TB'!G:G)</f>
        <v>25391.91</v>
      </c>
      <c r="M555" s="311"/>
      <c r="N555" s="311">
        <f>+SUMIF('Input Sheet'!$AE:$AE,P555,'Input Sheet'!$X:$X)</f>
        <v>0</v>
      </c>
      <c r="O555" s="311"/>
      <c r="P555" t="str">
        <f t="shared" si="58"/>
        <v>200-4149</v>
      </c>
      <c r="Q555" s="315" t="str">
        <f t="shared" si="59"/>
        <v>New Vehicle</v>
      </c>
      <c r="R555" s="315" t="str">
        <f t="shared" si="60"/>
        <v>New VehicleRetail Gross p.u.</v>
      </c>
      <c r="S555" s="199"/>
      <c r="T555" s="199"/>
      <c r="U555" s="199"/>
    </row>
    <row r="556" spans="1:21" x14ac:dyDescent="0.25">
      <c r="A556" t="s">
        <v>996</v>
      </c>
      <c r="B556" t="s">
        <v>997</v>
      </c>
      <c r="C556" t="s">
        <v>997</v>
      </c>
      <c r="D556">
        <v>4149</v>
      </c>
      <c r="E556">
        <v>100</v>
      </c>
      <c r="F556" t="s">
        <v>1002</v>
      </c>
      <c r="G556" t="s">
        <v>1003</v>
      </c>
      <c r="H556" s="315" t="s">
        <v>29</v>
      </c>
      <c r="I556" s="315" t="s">
        <v>1004</v>
      </c>
      <c r="J556" s="315" t="str">
        <f t="shared" si="56"/>
        <v>New VehicleRetail Gross p.u.</v>
      </c>
      <c r="K556" s="315" t="str">
        <f t="shared" si="57"/>
        <v>100New Vehicle Cost of Sales - Toyota</v>
      </c>
      <c r="L556" s="311">
        <f>+SUMIF('TUNZ Extracted TB'!M:M,$P556,'TUNZ Extracted TB'!G:G)</f>
        <v>28446.02</v>
      </c>
      <c r="M556" s="311"/>
      <c r="N556" s="311">
        <f>+SUMIF('Input Sheet'!$AE:$AE,P556,'Input Sheet'!$X:$X)</f>
        <v>0</v>
      </c>
      <c r="O556" s="311"/>
      <c r="P556" t="str">
        <f t="shared" si="58"/>
        <v>100-4149</v>
      </c>
      <c r="Q556" s="315" t="str">
        <f t="shared" si="59"/>
        <v>New Vehicle</v>
      </c>
      <c r="R556" s="315" t="str">
        <f t="shared" si="60"/>
        <v>New VehicleRetail Gross p.u.</v>
      </c>
      <c r="S556" s="199"/>
      <c r="T556" s="199"/>
      <c r="U556" s="199"/>
    </row>
    <row r="557" spans="1:21" x14ac:dyDescent="0.25">
      <c r="A557" t="s">
        <v>996</v>
      </c>
      <c r="B557" t="s">
        <v>997</v>
      </c>
      <c r="C557" t="s">
        <v>1012</v>
      </c>
      <c r="D557">
        <v>4149</v>
      </c>
      <c r="E557">
        <v>400</v>
      </c>
      <c r="F557" t="s">
        <v>1002</v>
      </c>
      <c r="G557" t="s">
        <v>1003</v>
      </c>
      <c r="H557" s="315" t="s">
        <v>29</v>
      </c>
      <c r="I557" s="315" t="s">
        <v>1004</v>
      </c>
      <c r="J557" s="315" t="str">
        <f t="shared" si="56"/>
        <v>New VehicleRetail Gross p.u.</v>
      </c>
      <c r="K557" s="315" t="str">
        <f t="shared" si="57"/>
        <v>400New Vehicle Cost of Sales - Toyota</v>
      </c>
      <c r="L557" s="311">
        <f>+SUMIF('TUNZ Extracted TB'!M:M,$P557,'TUNZ Extracted TB'!G:G)</f>
        <v>0</v>
      </c>
      <c r="M557" s="311"/>
      <c r="N557" s="311">
        <f>+SUMIF('Input Sheet'!$AE:$AE,P557,'Input Sheet'!$X:$X)</f>
        <v>0</v>
      </c>
      <c r="O557" s="311"/>
      <c r="P557" t="str">
        <f t="shared" si="58"/>
        <v>400-4149</v>
      </c>
      <c r="Q557" s="315" t="str">
        <f t="shared" si="59"/>
        <v>New Vehicle</v>
      </c>
      <c r="R557" s="315" t="str">
        <f t="shared" si="60"/>
        <v>New VehicleRetail Gross p.u.</v>
      </c>
      <c r="S557" s="199"/>
      <c r="T557" s="199"/>
      <c r="U557" s="199"/>
    </row>
    <row r="558" spans="1:21" x14ac:dyDescent="0.25">
      <c r="A558" t="s">
        <v>996</v>
      </c>
      <c r="B558" t="s">
        <v>997</v>
      </c>
      <c r="C558" t="s">
        <v>1013</v>
      </c>
      <c r="D558">
        <v>4149</v>
      </c>
      <c r="E558">
        <v>300</v>
      </c>
      <c r="F558" t="s">
        <v>1002</v>
      </c>
      <c r="G558" t="s">
        <v>1003</v>
      </c>
      <c r="H558" s="315" t="s">
        <v>29</v>
      </c>
      <c r="I558" s="315" t="s">
        <v>1004</v>
      </c>
      <c r="J558" s="315" t="str">
        <f t="shared" si="56"/>
        <v>New VehicleRetail Gross p.u.</v>
      </c>
      <c r="K558" s="315" t="str">
        <f t="shared" si="57"/>
        <v>300New Vehicle Cost of Sales - Toyota</v>
      </c>
      <c r="L558" s="311">
        <f>+SUMIF('TUNZ Extracted TB'!M:M,$P558,'TUNZ Extracted TB'!G:G)</f>
        <v>0</v>
      </c>
      <c r="M558" s="311"/>
      <c r="N558" s="311">
        <f>+SUMIF('Input Sheet'!$AE:$AE,P558,'Input Sheet'!$X:$X)</f>
        <v>0</v>
      </c>
      <c r="O558" s="311"/>
      <c r="P558" t="str">
        <f t="shared" si="58"/>
        <v>300-4149</v>
      </c>
      <c r="Q558" s="315" t="str">
        <f t="shared" si="59"/>
        <v>New Vehicle</v>
      </c>
      <c r="R558" s="315" t="str">
        <f t="shared" si="60"/>
        <v>New VehicleRetail Gross p.u.</v>
      </c>
      <c r="S558" s="199"/>
      <c r="T558" s="199"/>
      <c r="U558" s="199"/>
    </row>
    <row r="559" spans="1:21" x14ac:dyDescent="0.25">
      <c r="A559" t="s">
        <v>996</v>
      </c>
      <c r="B559" t="s">
        <v>997</v>
      </c>
      <c r="C559" t="s">
        <v>997</v>
      </c>
      <c r="D559">
        <v>4205</v>
      </c>
      <c r="E559">
        <v>121</v>
      </c>
      <c r="F559" t="s">
        <v>1152</v>
      </c>
      <c r="G559" t="s">
        <v>1153</v>
      </c>
      <c r="H559" s="315" t="s">
        <v>30</v>
      </c>
      <c r="I559" s="315" t="s">
        <v>1055</v>
      </c>
      <c r="J559" s="315" t="str">
        <f t="shared" si="56"/>
        <v>Used VehicleSIG Class retail gross profit p.u.</v>
      </c>
      <c r="K559" s="315" t="str">
        <f t="shared" si="57"/>
        <v>121Toyota SIG Class UV Cost of Sales</v>
      </c>
      <c r="L559" s="311">
        <f>+SUMIF('TUNZ Extracted TB'!M:M,$P559,'TUNZ Extracted TB'!G:G)</f>
        <v>393715.5</v>
      </c>
      <c r="M559" s="311"/>
      <c r="N559" s="311">
        <f>+SUMIF('Input Sheet'!$AE:$AE,P559,'Input Sheet'!$X:$X)</f>
        <v>0</v>
      </c>
      <c r="O559" s="311"/>
      <c r="P559" t="str">
        <f t="shared" si="58"/>
        <v>121-4205</v>
      </c>
      <c r="Q559" s="315" t="str">
        <f t="shared" si="59"/>
        <v>Used Vehicle</v>
      </c>
      <c r="R559" s="315" t="str">
        <f t="shared" si="60"/>
        <v>Used VehicleSIG Class retail gross profit p.u.</v>
      </c>
      <c r="S559" s="199"/>
      <c r="T559" s="199"/>
      <c r="U559" s="199"/>
    </row>
    <row r="560" spans="1:21" x14ac:dyDescent="0.25">
      <c r="A560" t="s">
        <v>996</v>
      </c>
      <c r="B560" t="s">
        <v>997</v>
      </c>
      <c r="C560" t="s">
        <v>1005</v>
      </c>
      <c r="D560">
        <v>4205</v>
      </c>
      <c r="E560">
        <v>220</v>
      </c>
      <c r="F560" t="s">
        <v>1152</v>
      </c>
      <c r="G560" t="s">
        <v>1153</v>
      </c>
      <c r="H560" s="315" t="s">
        <v>30</v>
      </c>
      <c r="I560" s="315" t="s">
        <v>1055</v>
      </c>
      <c r="J560" s="315" t="str">
        <f t="shared" si="56"/>
        <v>Used VehicleSIG Class retail gross profit p.u.</v>
      </c>
      <c r="K560" s="315" t="str">
        <f t="shared" si="57"/>
        <v>220Toyota SIG Class UV Cost of Sales</v>
      </c>
      <c r="L560" s="311">
        <f>+SUMIF('TUNZ Extracted TB'!M:M,$P560,'TUNZ Extracted TB'!G:G)</f>
        <v>72319.16</v>
      </c>
      <c r="M560" s="311"/>
      <c r="N560" s="311">
        <f>+SUMIF('Input Sheet'!$AE:$AE,P560,'Input Sheet'!$X:$X)</f>
        <v>338000</v>
      </c>
      <c r="O560" s="311"/>
      <c r="P560" t="str">
        <f t="shared" si="58"/>
        <v>220-4205</v>
      </c>
      <c r="Q560" s="315" t="str">
        <f t="shared" si="59"/>
        <v>Used Vehicle</v>
      </c>
      <c r="R560" s="315" t="str">
        <f t="shared" si="60"/>
        <v>Used VehicleSIG Class retail gross profit p.u.</v>
      </c>
      <c r="S560" s="199" t="s">
        <v>1154</v>
      </c>
      <c r="T560" s="199">
        <v>7</v>
      </c>
      <c r="U560" s="199">
        <v>8</v>
      </c>
    </row>
    <row r="561" spans="1:21" x14ac:dyDescent="0.25">
      <c r="A561" t="s">
        <v>996</v>
      </c>
      <c r="B561" t="s">
        <v>997</v>
      </c>
      <c r="C561" t="s">
        <v>997</v>
      </c>
      <c r="D561">
        <v>4205</v>
      </c>
      <c r="E561">
        <v>120</v>
      </c>
      <c r="F561" t="s">
        <v>1152</v>
      </c>
      <c r="G561" t="s">
        <v>1153</v>
      </c>
      <c r="H561" s="315" t="s">
        <v>30</v>
      </c>
      <c r="I561" s="315" t="s">
        <v>1055</v>
      </c>
      <c r="J561" s="315" t="str">
        <f t="shared" si="56"/>
        <v>Used VehicleSIG Class retail gross profit p.u.</v>
      </c>
      <c r="K561" s="315" t="str">
        <f t="shared" si="57"/>
        <v>120Toyota SIG Class UV Cost of Sales</v>
      </c>
      <c r="L561" s="311">
        <f>+SUMIF('TUNZ Extracted TB'!M:M,$P561,'TUNZ Extracted TB'!G:G)</f>
        <v>0</v>
      </c>
      <c r="M561" s="311"/>
      <c r="N561" s="311">
        <f>+SUMIF('Input Sheet'!$AE:$AE,P561,'Input Sheet'!$X:$X)</f>
        <v>490100</v>
      </c>
      <c r="O561" s="311"/>
      <c r="P561" t="str">
        <f t="shared" si="58"/>
        <v>120-4205</v>
      </c>
      <c r="Q561" s="315" t="str">
        <f t="shared" si="59"/>
        <v>Used Vehicle</v>
      </c>
      <c r="R561" s="315" t="str">
        <f t="shared" si="60"/>
        <v>Used VehicleSIG Class retail gross profit p.u.</v>
      </c>
      <c r="S561" s="199"/>
      <c r="T561" s="199"/>
      <c r="U561" s="199"/>
    </row>
    <row r="562" spans="1:21" x14ac:dyDescent="0.25">
      <c r="A562" t="s">
        <v>996</v>
      </c>
      <c r="B562" t="s">
        <v>997</v>
      </c>
      <c r="C562" t="s">
        <v>997</v>
      </c>
      <c r="D562">
        <v>4205</v>
      </c>
      <c r="E562">
        <v>122</v>
      </c>
      <c r="F562" t="s">
        <v>1071</v>
      </c>
      <c r="G562" t="s">
        <v>1072</v>
      </c>
      <c r="H562" s="315" t="s">
        <v>1041</v>
      </c>
      <c r="I562" s="315" t="s">
        <v>1073</v>
      </c>
      <c r="J562" s="315" t="str">
        <f t="shared" si="56"/>
        <v>LEX Used VehicleOther UV retail gross profit p.u.</v>
      </c>
      <c r="K562" s="315" t="str">
        <f t="shared" si="57"/>
        <v>122Lexus UV Cost of Sales</v>
      </c>
      <c r="L562" s="311">
        <f>+SUMIF('TUNZ Extracted TB'!M:M,$P562,'TUNZ Extracted TB'!G:G)</f>
        <v>0</v>
      </c>
      <c r="M562" s="311"/>
      <c r="N562" s="311">
        <f>+SUMIF('Input Sheet'!$AE:$AE,P562,'Input Sheet'!$X:$X)</f>
        <v>0</v>
      </c>
      <c r="O562" s="311"/>
      <c r="P562" t="str">
        <f t="shared" si="58"/>
        <v>122-4205</v>
      </c>
      <c r="Q562" s="315" t="str">
        <f t="shared" si="59"/>
        <v>LEX Used Vehicle</v>
      </c>
      <c r="R562" s="315" t="str">
        <f t="shared" si="60"/>
        <v>LEX Used VehicleOther UV retail gross profit p.u.</v>
      </c>
      <c r="S562" s="199"/>
      <c r="T562" s="199"/>
      <c r="U562" s="199"/>
    </row>
    <row r="563" spans="1:21" x14ac:dyDescent="0.25">
      <c r="A563" t="s">
        <v>996</v>
      </c>
      <c r="B563" t="s">
        <v>997</v>
      </c>
      <c r="C563" t="s">
        <v>1005</v>
      </c>
      <c r="D563">
        <v>4205</v>
      </c>
      <c r="E563">
        <v>221</v>
      </c>
      <c r="F563" t="s">
        <v>1152</v>
      </c>
      <c r="G563" t="s">
        <v>1153</v>
      </c>
      <c r="H563" s="315" t="s">
        <v>30</v>
      </c>
      <c r="I563" s="315" t="s">
        <v>1055</v>
      </c>
      <c r="J563" s="315" t="str">
        <f t="shared" si="56"/>
        <v>Used VehicleSIG Class retail gross profit p.u.</v>
      </c>
      <c r="K563" s="315" t="str">
        <f t="shared" si="57"/>
        <v>221Toyota SIG Class UV Cost of Sales</v>
      </c>
      <c r="L563" s="311">
        <f>+SUMIF('TUNZ Extracted TB'!M:M,$P563,'TUNZ Extracted TB'!G:G)</f>
        <v>0</v>
      </c>
      <c r="M563" s="311"/>
      <c r="N563" s="311">
        <f>+SUMIF('Input Sheet'!$AE:$AE,P563,'Input Sheet'!$X:$X)</f>
        <v>0</v>
      </c>
      <c r="O563" s="311"/>
      <c r="P563" t="str">
        <f t="shared" si="58"/>
        <v>221-4205</v>
      </c>
      <c r="Q563" s="315" t="str">
        <f t="shared" si="59"/>
        <v>Used Vehicle</v>
      </c>
      <c r="R563" s="315" t="str">
        <f t="shared" si="60"/>
        <v>Used VehicleSIG Class retail gross profit p.u.</v>
      </c>
      <c r="S563" s="199"/>
      <c r="T563" s="199"/>
      <c r="U563" s="199"/>
    </row>
    <row r="564" spans="1:21" x14ac:dyDescent="0.25">
      <c r="A564" t="s">
        <v>996</v>
      </c>
      <c r="B564" t="s">
        <v>997</v>
      </c>
      <c r="C564" t="s">
        <v>1012</v>
      </c>
      <c r="D564">
        <v>4205</v>
      </c>
      <c r="E564">
        <v>420</v>
      </c>
      <c r="F564" t="s">
        <v>1152</v>
      </c>
      <c r="G564" t="s">
        <v>1153</v>
      </c>
      <c r="H564" s="315" t="s">
        <v>30</v>
      </c>
      <c r="I564" s="315" t="s">
        <v>1055</v>
      </c>
      <c r="J564" s="315" t="str">
        <f t="shared" si="56"/>
        <v>Used VehicleSIG Class retail gross profit p.u.</v>
      </c>
      <c r="K564" s="315" t="str">
        <f t="shared" si="57"/>
        <v>420Toyota SIG Class UV Cost of Sales</v>
      </c>
      <c r="L564" s="311">
        <f>+SUMIF('TUNZ Extracted TB'!M:M,$P564,'TUNZ Extracted TB'!G:G)</f>
        <v>0</v>
      </c>
      <c r="M564" s="311"/>
      <c r="N564" s="311">
        <f>+SUMIF('Input Sheet'!$AE:$AE,P564,'Input Sheet'!$X:$X)</f>
        <v>0</v>
      </c>
      <c r="O564" s="311"/>
      <c r="P564" t="str">
        <f t="shared" si="58"/>
        <v>420-4205</v>
      </c>
      <c r="Q564" s="315" t="str">
        <f t="shared" si="59"/>
        <v>Used Vehicle</v>
      </c>
      <c r="R564" s="315" t="str">
        <f t="shared" si="60"/>
        <v>Used VehicleSIG Class retail gross profit p.u.</v>
      </c>
      <c r="S564" s="199"/>
      <c r="T564" s="199"/>
      <c r="U564" s="199"/>
    </row>
    <row r="565" spans="1:21" x14ac:dyDescent="0.25">
      <c r="A565" t="s">
        <v>996</v>
      </c>
      <c r="B565" t="s">
        <v>997</v>
      </c>
      <c r="C565" t="s">
        <v>1012</v>
      </c>
      <c r="D565">
        <v>4205</v>
      </c>
      <c r="E565">
        <v>421</v>
      </c>
      <c r="F565" t="s">
        <v>1152</v>
      </c>
      <c r="G565" t="s">
        <v>1153</v>
      </c>
      <c r="H565" s="315" t="s">
        <v>30</v>
      </c>
      <c r="I565" s="315" t="s">
        <v>1055</v>
      </c>
      <c r="J565" s="315" t="str">
        <f t="shared" si="56"/>
        <v>Used VehicleSIG Class retail gross profit p.u.</v>
      </c>
      <c r="K565" s="315" t="str">
        <f t="shared" si="57"/>
        <v>421Toyota SIG Class UV Cost of Sales</v>
      </c>
      <c r="L565" s="311">
        <f>+SUMIF('TUNZ Extracted TB'!M:M,$P565,'TUNZ Extracted TB'!G:G)</f>
        <v>0</v>
      </c>
      <c r="M565" s="311"/>
      <c r="N565" s="311">
        <f>+SUMIF('Input Sheet'!$AE:$AE,P565,'Input Sheet'!$X:$X)</f>
        <v>0</v>
      </c>
      <c r="O565" s="311"/>
      <c r="P565" t="str">
        <f t="shared" si="58"/>
        <v>421-4205</v>
      </c>
      <c r="Q565" s="315" t="str">
        <f t="shared" si="59"/>
        <v>Used Vehicle</v>
      </c>
      <c r="R565" s="315" t="str">
        <f t="shared" si="60"/>
        <v>Used VehicleSIG Class retail gross profit p.u.</v>
      </c>
      <c r="S565" s="199"/>
      <c r="T565" s="199"/>
      <c r="U565" s="199"/>
    </row>
    <row r="566" spans="1:21" x14ac:dyDescent="0.25">
      <c r="A566" t="s">
        <v>996</v>
      </c>
      <c r="B566" t="s">
        <v>997</v>
      </c>
      <c r="C566" t="s">
        <v>1013</v>
      </c>
      <c r="D566">
        <v>4205</v>
      </c>
      <c r="E566">
        <v>320</v>
      </c>
      <c r="F566" t="s">
        <v>1152</v>
      </c>
      <c r="G566" t="s">
        <v>1153</v>
      </c>
      <c r="H566" s="315" t="s">
        <v>30</v>
      </c>
      <c r="I566" s="315" t="s">
        <v>1055</v>
      </c>
      <c r="J566" s="315" t="str">
        <f t="shared" si="56"/>
        <v>Used VehicleSIG Class retail gross profit p.u.</v>
      </c>
      <c r="K566" s="315" t="str">
        <f t="shared" si="57"/>
        <v>320Toyota SIG Class UV Cost of Sales</v>
      </c>
      <c r="L566" s="311">
        <f>+SUMIF('TUNZ Extracted TB'!M:M,$P566,'TUNZ Extracted TB'!G:G)</f>
        <v>0</v>
      </c>
      <c r="M566" s="311"/>
      <c r="N566" s="311">
        <f>+SUMIF('Input Sheet'!$AE:$AE,P566,'Input Sheet'!$X:$X)</f>
        <v>0</v>
      </c>
      <c r="O566" s="311"/>
      <c r="P566" t="str">
        <f t="shared" si="58"/>
        <v>320-4205</v>
      </c>
      <c r="Q566" s="315" t="str">
        <f t="shared" si="59"/>
        <v>Used Vehicle</v>
      </c>
      <c r="R566" s="315" t="str">
        <f t="shared" si="60"/>
        <v>Used VehicleSIG Class retail gross profit p.u.</v>
      </c>
      <c r="S566" s="199"/>
      <c r="T566" s="199"/>
      <c r="U566" s="199"/>
    </row>
    <row r="567" spans="1:21" x14ac:dyDescent="0.25">
      <c r="A567" t="s">
        <v>996</v>
      </c>
      <c r="B567" t="s">
        <v>997</v>
      </c>
      <c r="C567" t="s">
        <v>1013</v>
      </c>
      <c r="D567">
        <v>4205</v>
      </c>
      <c r="E567">
        <v>321</v>
      </c>
      <c r="F567" t="s">
        <v>1152</v>
      </c>
      <c r="G567" t="s">
        <v>1153</v>
      </c>
      <c r="H567" s="315" t="s">
        <v>30</v>
      </c>
      <c r="I567" s="315" t="s">
        <v>1055</v>
      </c>
      <c r="J567" s="315" t="str">
        <f t="shared" si="56"/>
        <v>Used VehicleSIG Class retail gross profit p.u.</v>
      </c>
      <c r="K567" s="315" t="str">
        <f t="shared" si="57"/>
        <v>321Toyota SIG Class UV Cost of Sales</v>
      </c>
      <c r="L567" s="311">
        <f>+SUMIF('TUNZ Extracted TB'!M:M,$P567,'TUNZ Extracted TB'!G:G)</f>
        <v>0</v>
      </c>
      <c r="M567" s="311"/>
      <c r="N567" s="311">
        <f>+SUMIF('Input Sheet'!$AE:$AE,P567,'Input Sheet'!$X:$X)</f>
        <v>0</v>
      </c>
      <c r="O567" s="311"/>
      <c r="P567" t="str">
        <f t="shared" si="58"/>
        <v>321-4205</v>
      </c>
      <c r="Q567" s="315" t="str">
        <f t="shared" si="59"/>
        <v>Used Vehicle</v>
      </c>
      <c r="R567" s="315" t="str">
        <f t="shared" si="60"/>
        <v>Used VehicleSIG Class retail gross profit p.u.</v>
      </c>
      <c r="S567" s="199"/>
      <c r="T567" s="199"/>
      <c r="U567" s="199"/>
    </row>
    <row r="568" spans="1:21" x14ac:dyDescent="0.25">
      <c r="A568" t="s">
        <v>996</v>
      </c>
      <c r="B568" t="s">
        <v>997</v>
      </c>
      <c r="C568" t="s">
        <v>997</v>
      </c>
      <c r="D568">
        <v>4206</v>
      </c>
      <c r="E568">
        <v>121</v>
      </c>
      <c r="F568" t="s">
        <v>1155</v>
      </c>
      <c r="G568" t="s">
        <v>1156</v>
      </c>
      <c r="H568" s="315" t="s">
        <v>30</v>
      </c>
      <c r="I568" s="315" t="s">
        <v>1058</v>
      </c>
      <c r="J568" s="315" t="str">
        <f t="shared" si="56"/>
        <v>Used VehicleOT retail gross profit p.u.</v>
      </c>
      <c r="K568" s="315" t="str">
        <f t="shared" si="57"/>
        <v>121Toyota OT UV Cost of Sales</v>
      </c>
      <c r="L568" s="311">
        <f>+SUMIF('TUNZ Extracted TB'!M:M,$P568,'TUNZ Extracted TB'!G:G)</f>
        <v>578884.09</v>
      </c>
      <c r="M568" s="311"/>
      <c r="N568" s="311">
        <f>+SUMIF('Input Sheet'!$AE:$AE,P568,'Input Sheet'!$X:$X)</f>
        <v>0</v>
      </c>
      <c r="O568" s="311"/>
      <c r="P568" t="str">
        <f t="shared" si="58"/>
        <v>121-4206</v>
      </c>
      <c r="Q568" s="315" t="str">
        <f t="shared" si="59"/>
        <v>Used Vehicle</v>
      </c>
      <c r="R568" s="315" t="str">
        <f t="shared" si="60"/>
        <v>Used VehicleOT retail gross profit p.u.</v>
      </c>
      <c r="S568" s="199"/>
      <c r="T568" s="199"/>
      <c r="U568" s="199"/>
    </row>
    <row r="569" spans="1:21" x14ac:dyDescent="0.25">
      <c r="A569" t="s">
        <v>996</v>
      </c>
      <c r="B569" t="s">
        <v>997</v>
      </c>
      <c r="C569" t="s">
        <v>1005</v>
      </c>
      <c r="D569">
        <v>4206</v>
      </c>
      <c r="E569">
        <v>220</v>
      </c>
      <c r="F569" t="s">
        <v>1155</v>
      </c>
      <c r="G569" t="s">
        <v>1156</v>
      </c>
      <c r="H569" s="315" t="s">
        <v>30</v>
      </c>
      <c r="I569" s="315" t="s">
        <v>1058</v>
      </c>
      <c r="J569" s="315" t="str">
        <f t="shared" si="56"/>
        <v>Used VehicleOT retail gross profit p.u.</v>
      </c>
      <c r="K569" s="315" t="str">
        <f t="shared" si="57"/>
        <v>220Toyota OT UV Cost of Sales</v>
      </c>
      <c r="L569" s="311">
        <f>+SUMIF('TUNZ Extracted TB'!M:M,$P569,'TUNZ Extracted TB'!G:G)</f>
        <v>372540.15</v>
      </c>
      <c r="M569" s="311"/>
      <c r="N569" s="311">
        <f>+SUMIF('Input Sheet'!$AE:$AE,P569,'Input Sheet'!$X:$X)</f>
        <v>0</v>
      </c>
      <c r="O569" s="311"/>
      <c r="P569" t="str">
        <f t="shared" si="58"/>
        <v>220-4206</v>
      </c>
      <c r="Q569" s="315" t="str">
        <f t="shared" si="59"/>
        <v>Used Vehicle</v>
      </c>
      <c r="R569" s="315" t="str">
        <f t="shared" si="60"/>
        <v>Used VehicleOT retail gross profit p.u.</v>
      </c>
      <c r="S569" s="199"/>
      <c r="T569" s="199"/>
      <c r="U569" s="199"/>
    </row>
    <row r="570" spans="1:21" x14ac:dyDescent="0.25">
      <c r="A570" t="s">
        <v>996</v>
      </c>
      <c r="B570" t="s">
        <v>997</v>
      </c>
      <c r="C570" t="s">
        <v>997</v>
      </c>
      <c r="D570">
        <v>4206</v>
      </c>
      <c r="E570">
        <v>120</v>
      </c>
      <c r="F570" t="s">
        <v>1155</v>
      </c>
      <c r="G570" t="s">
        <v>1156</v>
      </c>
      <c r="H570" s="315" t="s">
        <v>30</v>
      </c>
      <c r="I570" s="315" t="s">
        <v>1058</v>
      </c>
      <c r="J570" s="315" t="str">
        <f t="shared" si="56"/>
        <v>Used VehicleOT retail gross profit p.u.</v>
      </c>
      <c r="K570" s="315" t="str">
        <f t="shared" si="57"/>
        <v>120Toyota OT UV Cost of Sales</v>
      </c>
      <c r="L570" s="311">
        <f>+SUMIF('TUNZ Extracted TB'!M:M,$P570,'TUNZ Extracted TB'!G:G)</f>
        <v>64.77</v>
      </c>
      <c r="M570" s="311"/>
      <c r="N570" s="311">
        <f>+SUMIF('Input Sheet'!$AE:$AE,P570,'Input Sheet'!$X:$X)</f>
        <v>0</v>
      </c>
      <c r="O570" s="311"/>
      <c r="P570" t="str">
        <f t="shared" si="58"/>
        <v>120-4206</v>
      </c>
      <c r="Q570" s="315" t="str">
        <f t="shared" si="59"/>
        <v>Used Vehicle</v>
      </c>
      <c r="R570" s="315" t="str">
        <f t="shared" si="60"/>
        <v>Used VehicleOT retail gross profit p.u.</v>
      </c>
      <c r="S570" s="199"/>
      <c r="T570" s="199"/>
      <c r="U570" s="199"/>
    </row>
    <row r="571" spans="1:21" x14ac:dyDescent="0.25">
      <c r="A571" t="s">
        <v>996</v>
      </c>
      <c r="B571" t="s">
        <v>997</v>
      </c>
      <c r="C571" t="s">
        <v>997</v>
      </c>
      <c r="D571">
        <v>4206</v>
      </c>
      <c r="E571">
        <v>122</v>
      </c>
      <c r="F571" t="s">
        <v>1071</v>
      </c>
      <c r="G571" t="s">
        <v>1072</v>
      </c>
      <c r="H571" s="315" t="s">
        <v>1041</v>
      </c>
      <c r="I571" s="315" t="s">
        <v>1073</v>
      </c>
      <c r="J571" s="315" t="str">
        <f t="shared" si="56"/>
        <v>LEX Used VehicleOther UV retail gross profit p.u.</v>
      </c>
      <c r="K571" s="315" t="str">
        <f t="shared" si="57"/>
        <v>122Lexus UV Cost of Sales</v>
      </c>
      <c r="L571" s="311">
        <f>+SUMIF('TUNZ Extracted TB'!M:M,$P571,'TUNZ Extracted TB'!G:G)</f>
        <v>0</v>
      </c>
      <c r="M571" s="311"/>
      <c r="N571" s="311">
        <f>+SUMIF('Input Sheet'!$AE:$AE,P571,'Input Sheet'!$X:$X)</f>
        <v>0</v>
      </c>
      <c r="O571" s="311"/>
      <c r="P571" t="str">
        <f t="shared" si="58"/>
        <v>122-4206</v>
      </c>
      <c r="Q571" s="315" t="str">
        <f t="shared" si="59"/>
        <v>LEX Used Vehicle</v>
      </c>
      <c r="R571" s="315" t="str">
        <f t="shared" si="60"/>
        <v>LEX Used VehicleOther UV retail gross profit p.u.</v>
      </c>
      <c r="S571" s="199"/>
      <c r="T571" s="199"/>
      <c r="U571" s="199"/>
    </row>
    <row r="572" spans="1:21" x14ac:dyDescent="0.25">
      <c r="A572" t="s">
        <v>996</v>
      </c>
      <c r="B572" t="s">
        <v>997</v>
      </c>
      <c r="C572" t="s">
        <v>1005</v>
      </c>
      <c r="D572">
        <v>4206</v>
      </c>
      <c r="E572">
        <v>221</v>
      </c>
      <c r="F572" t="s">
        <v>1155</v>
      </c>
      <c r="G572" t="s">
        <v>1156</v>
      </c>
      <c r="H572" s="315" t="s">
        <v>30</v>
      </c>
      <c r="I572" s="315" t="s">
        <v>1058</v>
      </c>
      <c r="J572" s="315" t="str">
        <f t="shared" si="56"/>
        <v>Used VehicleOT retail gross profit p.u.</v>
      </c>
      <c r="K572" s="315" t="str">
        <f t="shared" si="57"/>
        <v>221Toyota OT UV Cost of Sales</v>
      </c>
      <c r="L572" s="311">
        <f>+SUMIF('TUNZ Extracted TB'!M:M,$P572,'TUNZ Extracted TB'!G:G)</f>
        <v>0</v>
      </c>
      <c r="M572" s="311"/>
      <c r="N572" s="311">
        <f>+SUMIF('Input Sheet'!$AE:$AE,P572,'Input Sheet'!$X:$X)</f>
        <v>0</v>
      </c>
      <c r="O572" s="311"/>
      <c r="P572" t="str">
        <f t="shared" si="58"/>
        <v>221-4206</v>
      </c>
      <c r="Q572" s="315" t="str">
        <f t="shared" si="59"/>
        <v>Used Vehicle</v>
      </c>
      <c r="R572" s="315" t="str">
        <f t="shared" si="60"/>
        <v>Used VehicleOT retail gross profit p.u.</v>
      </c>
      <c r="S572" s="199"/>
      <c r="T572" s="199"/>
      <c r="U572" s="199"/>
    </row>
    <row r="573" spans="1:21" x14ac:dyDescent="0.25">
      <c r="A573" t="s">
        <v>996</v>
      </c>
      <c r="B573" t="s">
        <v>997</v>
      </c>
      <c r="C573" t="s">
        <v>1012</v>
      </c>
      <c r="D573">
        <v>4206</v>
      </c>
      <c r="E573">
        <v>420</v>
      </c>
      <c r="F573" t="s">
        <v>1155</v>
      </c>
      <c r="G573" t="s">
        <v>1156</v>
      </c>
      <c r="H573" s="315" t="s">
        <v>30</v>
      </c>
      <c r="I573" s="315" t="s">
        <v>1058</v>
      </c>
      <c r="J573" s="315" t="str">
        <f t="shared" si="56"/>
        <v>Used VehicleOT retail gross profit p.u.</v>
      </c>
      <c r="K573" s="315" t="str">
        <f t="shared" si="57"/>
        <v>420Toyota OT UV Cost of Sales</v>
      </c>
      <c r="L573" s="311">
        <f>+SUMIF('TUNZ Extracted TB'!M:M,$P573,'TUNZ Extracted TB'!G:G)</f>
        <v>0</v>
      </c>
      <c r="M573" s="311"/>
      <c r="N573" s="311">
        <f>+SUMIF('Input Sheet'!$AE:$AE,P573,'Input Sheet'!$X:$X)</f>
        <v>0</v>
      </c>
      <c r="O573" s="311"/>
      <c r="P573" t="str">
        <f t="shared" si="58"/>
        <v>420-4206</v>
      </c>
      <c r="Q573" s="315" t="str">
        <f t="shared" si="59"/>
        <v>Used Vehicle</v>
      </c>
      <c r="R573" s="315" t="str">
        <f t="shared" si="60"/>
        <v>Used VehicleOT retail gross profit p.u.</v>
      </c>
      <c r="S573" s="199"/>
      <c r="T573" s="199"/>
      <c r="U573" s="199"/>
    </row>
    <row r="574" spans="1:21" x14ac:dyDescent="0.25">
      <c r="A574" t="s">
        <v>996</v>
      </c>
      <c r="B574" t="s">
        <v>997</v>
      </c>
      <c r="C574" t="s">
        <v>1012</v>
      </c>
      <c r="D574">
        <v>4206</v>
      </c>
      <c r="E574">
        <v>421</v>
      </c>
      <c r="F574" t="s">
        <v>1155</v>
      </c>
      <c r="G574" t="s">
        <v>1156</v>
      </c>
      <c r="H574" s="315" t="s">
        <v>30</v>
      </c>
      <c r="I574" s="315" t="s">
        <v>1058</v>
      </c>
      <c r="J574" s="315" t="str">
        <f t="shared" si="56"/>
        <v>Used VehicleOT retail gross profit p.u.</v>
      </c>
      <c r="K574" s="315" t="str">
        <f t="shared" si="57"/>
        <v>421Toyota OT UV Cost of Sales</v>
      </c>
      <c r="L574" s="311">
        <f>+SUMIF('TUNZ Extracted TB'!M:M,$P574,'TUNZ Extracted TB'!G:G)</f>
        <v>0</v>
      </c>
      <c r="M574" s="311"/>
      <c r="N574" s="311">
        <f>+SUMIF('Input Sheet'!$AE:$AE,P574,'Input Sheet'!$X:$X)</f>
        <v>0</v>
      </c>
      <c r="O574" s="311"/>
      <c r="P574" t="str">
        <f t="shared" si="58"/>
        <v>421-4206</v>
      </c>
      <c r="Q574" s="315" t="str">
        <f t="shared" si="59"/>
        <v>Used Vehicle</v>
      </c>
      <c r="R574" s="315" t="str">
        <f t="shared" si="60"/>
        <v>Used VehicleOT retail gross profit p.u.</v>
      </c>
      <c r="S574" s="199"/>
      <c r="T574" s="199"/>
      <c r="U574" s="199"/>
    </row>
    <row r="575" spans="1:21" x14ac:dyDescent="0.25">
      <c r="A575" t="s">
        <v>996</v>
      </c>
      <c r="B575" t="s">
        <v>997</v>
      </c>
      <c r="C575" t="s">
        <v>1013</v>
      </c>
      <c r="D575">
        <v>4206</v>
      </c>
      <c r="E575">
        <v>320</v>
      </c>
      <c r="F575" t="s">
        <v>1155</v>
      </c>
      <c r="G575" t="s">
        <v>1156</v>
      </c>
      <c r="H575" s="315" t="s">
        <v>30</v>
      </c>
      <c r="I575" s="315" t="s">
        <v>1058</v>
      </c>
      <c r="J575" s="315" t="str">
        <f t="shared" si="56"/>
        <v>Used VehicleOT retail gross profit p.u.</v>
      </c>
      <c r="K575" s="315" t="str">
        <f t="shared" si="57"/>
        <v>320Toyota OT UV Cost of Sales</v>
      </c>
      <c r="L575" s="311">
        <f>+SUMIF('TUNZ Extracted TB'!M:M,$P575,'TUNZ Extracted TB'!G:G)</f>
        <v>0</v>
      </c>
      <c r="M575" s="311"/>
      <c r="N575" s="311">
        <f>+SUMIF('Input Sheet'!$AE:$AE,P575,'Input Sheet'!$X:$X)</f>
        <v>0</v>
      </c>
      <c r="O575" s="311"/>
      <c r="P575" t="str">
        <f t="shared" si="58"/>
        <v>320-4206</v>
      </c>
      <c r="Q575" s="315" t="str">
        <f t="shared" si="59"/>
        <v>Used Vehicle</v>
      </c>
      <c r="R575" s="315" t="str">
        <f t="shared" si="60"/>
        <v>Used VehicleOT retail gross profit p.u.</v>
      </c>
      <c r="S575" s="199"/>
      <c r="T575" s="199"/>
      <c r="U575" s="199"/>
    </row>
    <row r="576" spans="1:21" x14ac:dyDescent="0.25">
      <c r="A576" t="s">
        <v>996</v>
      </c>
      <c r="B576" t="s">
        <v>997</v>
      </c>
      <c r="C576" t="s">
        <v>1013</v>
      </c>
      <c r="D576">
        <v>4206</v>
      </c>
      <c r="E576">
        <v>321</v>
      </c>
      <c r="F576" t="s">
        <v>1155</v>
      </c>
      <c r="G576" t="s">
        <v>1156</v>
      </c>
      <c r="H576" s="315" t="s">
        <v>30</v>
      </c>
      <c r="I576" s="315" t="s">
        <v>1058</v>
      </c>
      <c r="J576" s="315" t="str">
        <f t="shared" si="56"/>
        <v>Used VehicleOT retail gross profit p.u.</v>
      </c>
      <c r="K576" s="315" t="str">
        <f t="shared" si="57"/>
        <v>321Toyota OT UV Cost of Sales</v>
      </c>
      <c r="L576" s="311">
        <f>+SUMIF('TUNZ Extracted TB'!M:M,$P576,'TUNZ Extracted TB'!G:G)</f>
        <v>0</v>
      </c>
      <c r="M576" s="311"/>
      <c r="N576" s="311">
        <f>+SUMIF('Input Sheet'!$AE:$AE,P576,'Input Sheet'!$X:$X)</f>
        <v>0</v>
      </c>
      <c r="O576" s="311"/>
      <c r="P576" t="str">
        <f t="shared" si="58"/>
        <v>321-4206</v>
      </c>
      <c r="Q576" s="315" t="str">
        <f t="shared" si="59"/>
        <v>Used Vehicle</v>
      </c>
      <c r="R576" s="315" t="str">
        <f t="shared" si="60"/>
        <v>Used VehicleOT retail gross profit p.u.</v>
      </c>
      <c r="S576" s="199"/>
      <c r="T576" s="199"/>
      <c r="U576" s="199"/>
    </row>
    <row r="577" spans="1:21" x14ac:dyDescent="0.25">
      <c r="A577" t="s">
        <v>996</v>
      </c>
      <c r="B577" t="s">
        <v>997</v>
      </c>
      <c r="C577" t="s">
        <v>997</v>
      </c>
      <c r="D577">
        <v>4209</v>
      </c>
      <c r="E577">
        <v>120</v>
      </c>
      <c r="F577" t="s">
        <v>1150</v>
      </c>
      <c r="G577" t="s">
        <v>1151</v>
      </c>
      <c r="H577" s="315" t="s">
        <v>30</v>
      </c>
      <c r="I577" s="315" t="s">
        <v>1073</v>
      </c>
      <c r="J577" s="315" t="str">
        <f t="shared" si="56"/>
        <v>Used VehicleOther UV retail gross profit p.u.</v>
      </c>
      <c r="K577" s="315" t="str">
        <f t="shared" si="57"/>
        <v>120Toyota Non-FP UV Cost of Sales</v>
      </c>
      <c r="L577" s="311">
        <f>+SUMIF('TUNZ Extracted TB'!M:M,$P577,'TUNZ Extracted TB'!G:G)</f>
        <v>1301708.78</v>
      </c>
      <c r="M577" s="311"/>
      <c r="N577" s="311">
        <f>+SUMIF('Input Sheet'!$AE:$AE,P577,'Input Sheet'!$X:$X)</f>
        <v>1448100</v>
      </c>
      <c r="O577" s="311"/>
      <c r="P577" t="str">
        <f t="shared" si="58"/>
        <v>120-4209</v>
      </c>
      <c r="Q577" s="315" t="str">
        <f t="shared" si="59"/>
        <v>Used Vehicle</v>
      </c>
      <c r="R577" s="315" t="str">
        <f t="shared" si="60"/>
        <v>Used VehicleOther UV retail gross profit p.u.</v>
      </c>
      <c r="S577" s="199"/>
      <c r="T577" s="199"/>
      <c r="U577" s="199"/>
    </row>
    <row r="578" spans="1:21" x14ac:dyDescent="0.25">
      <c r="A578" t="s">
        <v>996</v>
      </c>
      <c r="B578" t="s">
        <v>997</v>
      </c>
      <c r="C578" t="s">
        <v>997</v>
      </c>
      <c r="D578">
        <v>4209</v>
      </c>
      <c r="E578">
        <v>122</v>
      </c>
      <c r="F578" t="s">
        <v>1071</v>
      </c>
      <c r="G578" t="s">
        <v>1072</v>
      </c>
      <c r="H578" s="315" t="s">
        <v>1041</v>
      </c>
      <c r="I578" s="315" t="s">
        <v>1052</v>
      </c>
      <c r="J578" s="315" t="str">
        <f t="shared" si="56"/>
        <v>LEX Used VehicleOverall UV retail gross profit p.u.</v>
      </c>
      <c r="K578" s="315" t="str">
        <f t="shared" si="57"/>
        <v>122Lexus UV Cost of Sales</v>
      </c>
      <c r="L578" s="311">
        <f>+SUMIF('TUNZ Extracted TB'!M:M,$P578,'TUNZ Extracted TB'!G:G)</f>
        <v>196672.62</v>
      </c>
      <c r="M578" s="311"/>
      <c r="N578" s="311">
        <f>+SUMIF('Input Sheet'!$AE:$AE,P578,'Input Sheet'!$X:$X)</f>
        <v>197500</v>
      </c>
      <c r="O578" s="311"/>
      <c r="P578" t="str">
        <f t="shared" si="58"/>
        <v>122-4209</v>
      </c>
      <c r="Q578" s="315" t="str">
        <f t="shared" si="59"/>
        <v>LEX Used Vehicle</v>
      </c>
      <c r="R578" s="315" t="str">
        <f t="shared" si="60"/>
        <v>LEX Used VehicleOverall UV retail gross profit p.u.</v>
      </c>
      <c r="S578" s="199"/>
      <c r="T578" s="199"/>
      <c r="U578" s="199"/>
    </row>
    <row r="579" spans="1:21" x14ac:dyDescent="0.25">
      <c r="A579" t="s">
        <v>996</v>
      </c>
      <c r="B579" t="s">
        <v>997</v>
      </c>
      <c r="C579" t="s">
        <v>1005</v>
      </c>
      <c r="D579">
        <v>4209</v>
      </c>
      <c r="E579">
        <v>220</v>
      </c>
      <c r="F579" t="s">
        <v>1150</v>
      </c>
      <c r="G579" t="s">
        <v>1151</v>
      </c>
      <c r="H579" s="315" t="s">
        <v>30</v>
      </c>
      <c r="I579" s="315" t="s">
        <v>1073</v>
      </c>
      <c r="J579" s="315" t="str">
        <f t="shared" ref="J579:J642" si="61">+H579&amp;I579</f>
        <v>Used VehicleOther UV retail gross profit p.u.</v>
      </c>
      <c r="K579" s="315" t="str">
        <f t="shared" ref="K579:K642" si="62">+E579&amp;G579</f>
        <v>220Toyota Non-FP UV Cost of Sales</v>
      </c>
      <c r="L579" s="311">
        <f>+SUMIF('TUNZ Extracted TB'!M:M,$P579,'TUNZ Extracted TB'!G:G)</f>
        <v>474416.01</v>
      </c>
      <c r="M579" s="311"/>
      <c r="N579" s="311">
        <f>+SUMIF('Input Sheet'!$AE:$AE,P579,'Input Sheet'!$X:$X)</f>
        <v>743000</v>
      </c>
      <c r="O579" s="311"/>
      <c r="P579" t="str">
        <f t="shared" ref="P579:P642" si="63">+E579&amp;"-"&amp;D579</f>
        <v>220-4209</v>
      </c>
      <c r="Q579" s="315" t="str">
        <f t="shared" ref="Q579:Q642" si="64">H579</f>
        <v>Used Vehicle</v>
      </c>
      <c r="R579" s="315" t="str">
        <f t="shared" ref="R579:R642" si="65">J579</f>
        <v>Used VehicleOther UV retail gross profit p.u.</v>
      </c>
      <c r="S579" s="199"/>
      <c r="T579" s="199"/>
      <c r="U579" s="199"/>
    </row>
    <row r="580" spans="1:21" x14ac:dyDescent="0.25">
      <c r="A580" t="s">
        <v>996</v>
      </c>
      <c r="B580" t="s">
        <v>997</v>
      </c>
      <c r="C580" t="s">
        <v>997</v>
      </c>
      <c r="D580">
        <v>4209</v>
      </c>
      <c r="E580">
        <v>121</v>
      </c>
      <c r="F580" t="s">
        <v>1150</v>
      </c>
      <c r="G580" t="s">
        <v>1151</v>
      </c>
      <c r="H580" s="315" t="s">
        <v>30</v>
      </c>
      <c r="I580" s="315" t="s">
        <v>1073</v>
      </c>
      <c r="J580" s="315" t="str">
        <f t="shared" si="61"/>
        <v>Used VehicleOther UV retail gross profit p.u.</v>
      </c>
      <c r="K580" s="315" t="str">
        <f t="shared" si="62"/>
        <v>121Toyota Non-FP UV Cost of Sales</v>
      </c>
      <c r="L580" s="311">
        <f>+SUMIF('TUNZ Extracted TB'!M:M,$P580,'TUNZ Extracted TB'!G:G)</f>
        <v>-410</v>
      </c>
      <c r="M580" s="311"/>
      <c r="N580" s="311">
        <f>+SUMIF('Input Sheet'!$AE:$AE,P580,'Input Sheet'!$X:$X)</f>
        <v>0</v>
      </c>
      <c r="O580" s="311"/>
      <c r="P580" t="str">
        <f t="shared" si="63"/>
        <v>121-4209</v>
      </c>
      <c r="Q580" s="315" t="str">
        <f t="shared" si="64"/>
        <v>Used Vehicle</v>
      </c>
      <c r="R580" s="315" t="str">
        <f t="shared" si="65"/>
        <v>Used VehicleOther UV retail gross profit p.u.</v>
      </c>
      <c r="S580" s="199"/>
      <c r="T580" s="199"/>
      <c r="U580" s="199"/>
    </row>
    <row r="581" spans="1:21" x14ac:dyDescent="0.25">
      <c r="A581" t="s">
        <v>996</v>
      </c>
      <c r="B581" t="s">
        <v>997</v>
      </c>
      <c r="C581" t="s">
        <v>1005</v>
      </c>
      <c r="D581">
        <v>4209</v>
      </c>
      <c r="E581">
        <v>221</v>
      </c>
      <c r="F581" t="s">
        <v>1150</v>
      </c>
      <c r="G581" t="s">
        <v>1151</v>
      </c>
      <c r="H581" s="315" t="s">
        <v>30</v>
      </c>
      <c r="I581" s="315" t="s">
        <v>1073</v>
      </c>
      <c r="J581" s="315" t="str">
        <f t="shared" si="61"/>
        <v>Used VehicleOther UV retail gross profit p.u.</v>
      </c>
      <c r="K581" s="315" t="str">
        <f t="shared" si="62"/>
        <v>221Toyota Non-FP UV Cost of Sales</v>
      </c>
      <c r="L581" s="311">
        <f>+SUMIF('TUNZ Extracted TB'!M:M,$P581,'TUNZ Extracted TB'!G:G)</f>
        <v>0</v>
      </c>
      <c r="M581" s="311"/>
      <c r="N581" s="311">
        <f>+SUMIF('Input Sheet'!$AE:$AE,P581,'Input Sheet'!$X:$X)</f>
        <v>0</v>
      </c>
      <c r="O581" s="311"/>
      <c r="P581" t="str">
        <f t="shared" si="63"/>
        <v>221-4209</v>
      </c>
      <c r="Q581" s="315" t="str">
        <f t="shared" si="64"/>
        <v>Used Vehicle</v>
      </c>
      <c r="R581" s="315" t="str">
        <f t="shared" si="65"/>
        <v>Used VehicleOther UV retail gross profit p.u.</v>
      </c>
      <c r="S581" s="199"/>
      <c r="T581" s="199"/>
      <c r="U581" s="199"/>
    </row>
    <row r="582" spans="1:21" x14ac:dyDescent="0.25">
      <c r="A582" t="s">
        <v>996</v>
      </c>
      <c r="B582" t="s">
        <v>997</v>
      </c>
      <c r="C582" t="s">
        <v>1012</v>
      </c>
      <c r="D582">
        <v>4209</v>
      </c>
      <c r="E582">
        <v>420</v>
      </c>
      <c r="F582" t="s">
        <v>1150</v>
      </c>
      <c r="G582" t="s">
        <v>1151</v>
      </c>
      <c r="H582" s="315" t="s">
        <v>30</v>
      </c>
      <c r="I582" s="315" t="s">
        <v>1073</v>
      </c>
      <c r="J582" s="315" t="str">
        <f t="shared" si="61"/>
        <v>Used VehicleOther UV retail gross profit p.u.</v>
      </c>
      <c r="K582" s="315" t="str">
        <f t="shared" si="62"/>
        <v>420Toyota Non-FP UV Cost of Sales</v>
      </c>
      <c r="L582" s="311">
        <f>+SUMIF('TUNZ Extracted TB'!M:M,$P582,'TUNZ Extracted TB'!G:G)</f>
        <v>0</v>
      </c>
      <c r="M582" s="311"/>
      <c r="N582" s="311">
        <f>+SUMIF('Input Sheet'!$AE:$AE,P582,'Input Sheet'!$X:$X)</f>
        <v>0</v>
      </c>
      <c r="O582" s="311"/>
      <c r="P582" t="str">
        <f t="shared" si="63"/>
        <v>420-4209</v>
      </c>
      <c r="Q582" s="315" t="str">
        <f t="shared" si="64"/>
        <v>Used Vehicle</v>
      </c>
      <c r="R582" s="315" t="str">
        <f t="shared" si="65"/>
        <v>Used VehicleOther UV retail gross profit p.u.</v>
      </c>
      <c r="S582" s="199"/>
      <c r="T582" s="199"/>
      <c r="U582" s="199"/>
    </row>
    <row r="583" spans="1:21" x14ac:dyDescent="0.25">
      <c r="A583" t="s">
        <v>996</v>
      </c>
      <c r="B583" t="s">
        <v>997</v>
      </c>
      <c r="C583" t="s">
        <v>1012</v>
      </c>
      <c r="D583">
        <v>4209</v>
      </c>
      <c r="E583">
        <v>421</v>
      </c>
      <c r="F583" t="s">
        <v>1150</v>
      </c>
      <c r="G583" t="s">
        <v>1151</v>
      </c>
      <c r="H583" s="315" t="s">
        <v>30</v>
      </c>
      <c r="I583" s="315" t="s">
        <v>1073</v>
      </c>
      <c r="J583" s="315" t="str">
        <f t="shared" si="61"/>
        <v>Used VehicleOther UV retail gross profit p.u.</v>
      </c>
      <c r="K583" s="315" t="str">
        <f t="shared" si="62"/>
        <v>421Toyota Non-FP UV Cost of Sales</v>
      </c>
      <c r="L583" s="311">
        <f>+SUMIF('TUNZ Extracted TB'!M:M,$P583,'TUNZ Extracted TB'!G:G)</f>
        <v>0</v>
      </c>
      <c r="M583" s="311"/>
      <c r="N583" s="311">
        <f>+SUMIF('Input Sheet'!$AE:$AE,P583,'Input Sheet'!$X:$X)</f>
        <v>0</v>
      </c>
      <c r="O583" s="311"/>
      <c r="P583" t="str">
        <f t="shared" si="63"/>
        <v>421-4209</v>
      </c>
      <c r="Q583" s="315" t="str">
        <f t="shared" si="64"/>
        <v>Used Vehicle</v>
      </c>
      <c r="R583" s="315" t="str">
        <f t="shared" si="65"/>
        <v>Used VehicleOther UV retail gross profit p.u.</v>
      </c>
      <c r="S583" s="199"/>
      <c r="T583" s="199"/>
      <c r="U583" s="199"/>
    </row>
    <row r="584" spans="1:21" x14ac:dyDescent="0.25">
      <c r="A584" t="s">
        <v>996</v>
      </c>
      <c r="B584" t="s">
        <v>997</v>
      </c>
      <c r="C584" t="s">
        <v>1013</v>
      </c>
      <c r="D584">
        <v>4209</v>
      </c>
      <c r="E584">
        <v>320</v>
      </c>
      <c r="F584" t="s">
        <v>1150</v>
      </c>
      <c r="G584" t="s">
        <v>1151</v>
      </c>
      <c r="H584" s="315" t="s">
        <v>30</v>
      </c>
      <c r="I584" s="315" t="s">
        <v>1073</v>
      </c>
      <c r="J584" s="315" t="str">
        <f t="shared" si="61"/>
        <v>Used VehicleOther UV retail gross profit p.u.</v>
      </c>
      <c r="K584" s="315" t="str">
        <f t="shared" si="62"/>
        <v>320Toyota Non-FP UV Cost of Sales</v>
      </c>
      <c r="L584" s="311">
        <f>+SUMIF('TUNZ Extracted TB'!M:M,$P584,'TUNZ Extracted TB'!G:G)</f>
        <v>0</v>
      </c>
      <c r="M584" s="311"/>
      <c r="N584" s="311">
        <f>+SUMIF('Input Sheet'!$AE:$AE,P584,'Input Sheet'!$X:$X)</f>
        <v>0</v>
      </c>
      <c r="O584" s="311"/>
      <c r="P584" t="str">
        <f t="shared" si="63"/>
        <v>320-4209</v>
      </c>
      <c r="Q584" s="315" t="str">
        <f t="shared" si="64"/>
        <v>Used Vehicle</v>
      </c>
      <c r="R584" s="315" t="str">
        <f t="shared" si="65"/>
        <v>Used VehicleOther UV retail gross profit p.u.</v>
      </c>
      <c r="S584" s="199"/>
      <c r="T584" s="199"/>
      <c r="U584" s="199"/>
    </row>
    <row r="585" spans="1:21" x14ac:dyDescent="0.25">
      <c r="A585" t="s">
        <v>996</v>
      </c>
      <c r="B585" t="s">
        <v>997</v>
      </c>
      <c r="C585" t="s">
        <v>1013</v>
      </c>
      <c r="D585">
        <v>4209</v>
      </c>
      <c r="E585">
        <v>321</v>
      </c>
      <c r="F585" t="s">
        <v>1150</v>
      </c>
      <c r="G585" t="s">
        <v>1151</v>
      </c>
      <c r="H585" s="315" t="s">
        <v>30</v>
      </c>
      <c r="I585" s="315" t="s">
        <v>1073</v>
      </c>
      <c r="J585" s="315" t="str">
        <f t="shared" si="61"/>
        <v>Used VehicleOther UV retail gross profit p.u.</v>
      </c>
      <c r="K585" s="315" t="str">
        <f t="shared" si="62"/>
        <v>321Toyota Non-FP UV Cost of Sales</v>
      </c>
      <c r="L585" s="311">
        <f>+SUMIF('TUNZ Extracted TB'!M:M,$P585,'TUNZ Extracted TB'!G:G)</f>
        <v>0</v>
      </c>
      <c r="M585" s="311"/>
      <c r="N585" s="311">
        <f>+SUMIF('Input Sheet'!$AE:$AE,P585,'Input Sheet'!$X:$X)</f>
        <v>0</v>
      </c>
      <c r="O585" s="311"/>
      <c r="P585" t="str">
        <f t="shared" si="63"/>
        <v>321-4209</v>
      </c>
      <c r="Q585" s="315" t="str">
        <f t="shared" si="64"/>
        <v>Used Vehicle</v>
      </c>
      <c r="R585" s="315" t="str">
        <f t="shared" si="65"/>
        <v>Used VehicleOther UV retail gross profit p.u.</v>
      </c>
      <c r="S585" s="199"/>
      <c r="T585" s="199"/>
      <c r="U585" s="199"/>
    </row>
    <row r="586" spans="1:21" x14ac:dyDescent="0.25">
      <c r="A586" t="s">
        <v>996</v>
      </c>
      <c r="B586" t="s">
        <v>997</v>
      </c>
      <c r="C586" t="s">
        <v>997</v>
      </c>
      <c r="D586">
        <v>4210</v>
      </c>
      <c r="E586">
        <v>122</v>
      </c>
      <c r="F586" t="s">
        <v>1071</v>
      </c>
      <c r="G586" t="s">
        <v>1072</v>
      </c>
      <c r="H586" s="315" t="s">
        <v>1041</v>
      </c>
      <c r="I586" s="315" t="s">
        <v>1073</v>
      </c>
      <c r="J586" s="315" t="str">
        <f t="shared" si="61"/>
        <v>LEX Used VehicleOther UV retail gross profit p.u.</v>
      </c>
      <c r="K586" s="315" t="str">
        <f t="shared" si="62"/>
        <v>122Lexus UV Cost of Sales</v>
      </c>
      <c r="L586" s="311">
        <f>+SUMIF('TUNZ Extracted TB'!M:M,$P586,'TUNZ Extracted TB'!G:G)</f>
        <v>0</v>
      </c>
      <c r="M586" s="311"/>
      <c r="N586" s="311">
        <f>+SUMIF('Input Sheet'!$AE:$AE,P586,'Input Sheet'!$X:$X)</f>
        <v>0</v>
      </c>
      <c r="O586" s="311"/>
      <c r="P586" t="str">
        <f t="shared" si="63"/>
        <v>122-4210</v>
      </c>
      <c r="Q586" s="315" t="str">
        <f t="shared" si="64"/>
        <v>LEX Used Vehicle</v>
      </c>
      <c r="R586" s="315" t="str">
        <f t="shared" si="65"/>
        <v>LEX Used VehicleOther UV retail gross profit p.u.</v>
      </c>
      <c r="S586" s="199"/>
      <c r="T586" s="199"/>
      <c r="U586" s="199"/>
    </row>
    <row r="587" spans="1:21" x14ac:dyDescent="0.25">
      <c r="A587" t="s">
        <v>996</v>
      </c>
      <c r="B587" t="s">
        <v>997</v>
      </c>
      <c r="C587" t="s">
        <v>997</v>
      </c>
      <c r="D587">
        <v>4210</v>
      </c>
      <c r="E587">
        <v>120</v>
      </c>
      <c r="F587" t="s">
        <v>1150</v>
      </c>
      <c r="G587" t="s">
        <v>1151</v>
      </c>
      <c r="H587" s="315" t="s">
        <v>30</v>
      </c>
      <c r="I587" s="315" t="s">
        <v>1073</v>
      </c>
      <c r="J587" s="315" t="str">
        <f t="shared" si="61"/>
        <v>Used VehicleOther UV retail gross profit p.u.</v>
      </c>
      <c r="K587" s="315" t="str">
        <f t="shared" si="62"/>
        <v>120Toyota Non-FP UV Cost of Sales</v>
      </c>
      <c r="L587" s="311">
        <f>+SUMIF('TUNZ Extracted TB'!M:M,$P587,'TUNZ Extracted TB'!G:G)</f>
        <v>0</v>
      </c>
      <c r="M587" s="311"/>
      <c r="N587" s="311">
        <f>+SUMIF('Input Sheet'!$AE:$AE,P587,'Input Sheet'!$X:$X)</f>
        <v>0</v>
      </c>
      <c r="O587" s="311"/>
      <c r="P587" t="str">
        <f t="shared" si="63"/>
        <v>120-4210</v>
      </c>
      <c r="Q587" s="315" t="str">
        <f t="shared" si="64"/>
        <v>Used Vehicle</v>
      </c>
      <c r="R587" s="315" t="str">
        <f t="shared" si="65"/>
        <v>Used VehicleOther UV retail gross profit p.u.</v>
      </c>
      <c r="S587" s="199"/>
      <c r="T587" s="199"/>
      <c r="U587" s="199"/>
    </row>
    <row r="588" spans="1:21" x14ac:dyDescent="0.25">
      <c r="A588" t="s">
        <v>996</v>
      </c>
      <c r="B588" t="s">
        <v>997</v>
      </c>
      <c r="C588" t="s">
        <v>1005</v>
      </c>
      <c r="D588">
        <v>4210</v>
      </c>
      <c r="E588">
        <v>220</v>
      </c>
      <c r="F588" t="s">
        <v>1150</v>
      </c>
      <c r="G588" t="s">
        <v>1151</v>
      </c>
      <c r="H588" s="315" t="s">
        <v>30</v>
      </c>
      <c r="I588" s="315" t="s">
        <v>1073</v>
      </c>
      <c r="J588" s="315" t="str">
        <f t="shared" si="61"/>
        <v>Used VehicleOther UV retail gross profit p.u.</v>
      </c>
      <c r="K588" s="315" t="str">
        <f t="shared" si="62"/>
        <v>220Toyota Non-FP UV Cost of Sales</v>
      </c>
      <c r="L588" s="311">
        <f>+SUMIF('TUNZ Extracted TB'!M:M,$P588,'TUNZ Extracted TB'!G:G)</f>
        <v>0</v>
      </c>
      <c r="M588" s="311"/>
      <c r="N588" s="311">
        <f>+SUMIF('Input Sheet'!$AE:$AE,P588,'Input Sheet'!$X:$X)</f>
        <v>0</v>
      </c>
      <c r="O588" s="311"/>
      <c r="P588" t="str">
        <f t="shared" si="63"/>
        <v>220-4210</v>
      </c>
      <c r="Q588" s="315" t="str">
        <f t="shared" si="64"/>
        <v>Used Vehicle</v>
      </c>
      <c r="R588" s="315" t="str">
        <f t="shared" si="65"/>
        <v>Used VehicleOther UV retail gross profit p.u.</v>
      </c>
      <c r="S588" s="199"/>
      <c r="T588" s="199"/>
      <c r="U588" s="199"/>
    </row>
    <row r="589" spans="1:21" x14ac:dyDescent="0.25">
      <c r="A589" t="s">
        <v>996</v>
      </c>
      <c r="B589" t="s">
        <v>997</v>
      </c>
      <c r="C589" t="s">
        <v>1005</v>
      </c>
      <c r="D589">
        <v>4210</v>
      </c>
      <c r="E589">
        <v>221</v>
      </c>
      <c r="F589" t="s">
        <v>1150</v>
      </c>
      <c r="G589" t="s">
        <v>1151</v>
      </c>
      <c r="H589" s="315" t="s">
        <v>30</v>
      </c>
      <c r="I589" s="315" t="s">
        <v>1073</v>
      </c>
      <c r="J589" s="315" t="str">
        <f t="shared" si="61"/>
        <v>Used VehicleOther UV retail gross profit p.u.</v>
      </c>
      <c r="K589" s="315" t="str">
        <f t="shared" si="62"/>
        <v>221Toyota Non-FP UV Cost of Sales</v>
      </c>
      <c r="L589" s="311">
        <f>+SUMIF('TUNZ Extracted TB'!M:M,$P589,'TUNZ Extracted TB'!G:G)</f>
        <v>0</v>
      </c>
      <c r="M589" s="311"/>
      <c r="N589" s="311">
        <f>+SUMIF('Input Sheet'!$AE:$AE,P589,'Input Sheet'!$X:$X)</f>
        <v>0</v>
      </c>
      <c r="O589" s="311"/>
      <c r="P589" t="str">
        <f t="shared" si="63"/>
        <v>221-4210</v>
      </c>
      <c r="Q589" s="315" t="str">
        <f t="shared" si="64"/>
        <v>Used Vehicle</v>
      </c>
      <c r="R589" s="315" t="str">
        <f t="shared" si="65"/>
        <v>Used VehicleOther UV retail gross profit p.u.</v>
      </c>
      <c r="S589" s="199"/>
      <c r="T589" s="199"/>
      <c r="U589" s="199"/>
    </row>
    <row r="590" spans="1:21" x14ac:dyDescent="0.25">
      <c r="A590" t="s">
        <v>996</v>
      </c>
      <c r="B590" t="s">
        <v>997</v>
      </c>
      <c r="C590" t="s">
        <v>1012</v>
      </c>
      <c r="D590">
        <v>4210</v>
      </c>
      <c r="E590">
        <v>420</v>
      </c>
      <c r="F590" t="s">
        <v>1150</v>
      </c>
      <c r="G590" t="s">
        <v>1151</v>
      </c>
      <c r="H590" s="315" t="s">
        <v>30</v>
      </c>
      <c r="I590" s="315" t="s">
        <v>1073</v>
      </c>
      <c r="J590" s="315" t="str">
        <f t="shared" si="61"/>
        <v>Used VehicleOther UV retail gross profit p.u.</v>
      </c>
      <c r="K590" s="315" t="str">
        <f t="shared" si="62"/>
        <v>420Toyota Non-FP UV Cost of Sales</v>
      </c>
      <c r="L590" s="311">
        <f>+SUMIF('TUNZ Extracted TB'!M:M,$P590,'TUNZ Extracted TB'!G:G)</f>
        <v>0</v>
      </c>
      <c r="M590" s="311"/>
      <c r="N590" s="311">
        <f>+SUMIF('Input Sheet'!$AE:$AE,P590,'Input Sheet'!$X:$X)</f>
        <v>0</v>
      </c>
      <c r="O590" s="311"/>
      <c r="P590" t="str">
        <f t="shared" si="63"/>
        <v>420-4210</v>
      </c>
      <c r="Q590" s="315" t="str">
        <f t="shared" si="64"/>
        <v>Used Vehicle</v>
      </c>
      <c r="R590" s="315" t="str">
        <f t="shared" si="65"/>
        <v>Used VehicleOther UV retail gross profit p.u.</v>
      </c>
      <c r="S590" s="199"/>
      <c r="T590" s="199"/>
      <c r="U590" s="199"/>
    </row>
    <row r="591" spans="1:21" x14ac:dyDescent="0.25">
      <c r="A591" t="s">
        <v>996</v>
      </c>
      <c r="B591" t="s">
        <v>997</v>
      </c>
      <c r="C591" t="s">
        <v>1012</v>
      </c>
      <c r="D591">
        <v>4210</v>
      </c>
      <c r="E591">
        <v>421</v>
      </c>
      <c r="F591" t="s">
        <v>1150</v>
      </c>
      <c r="G591" t="s">
        <v>1151</v>
      </c>
      <c r="H591" s="315" t="s">
        <v>30</v>
      </c>
      <c r="I591" s="315" t="s">
        <v>1073</v>
      </c>
      <c r="J591" s="315" t="str">
        <f t="shared" si="61"/>
        <v>Used VehicleOther UV retail gross profit p.u.</v>
      </c>
      <c r="K591" s="315" t="str">
        <f t="shared" si="62"/>
        <v>421Toyota Non-FP UV Cost of Sales</v>
      </c>
      <c r="L591" s="311">
        <f>+SUMIF('TUNZ Extracted TB'!M:M,$P591,'TUNZ Extracted TB'!G:G)</f>
        <v>0</v>
      </c>
      <c r="M591" s="311"/>
      <c r="N591" s="311">
        <f>+SUMIF('Input Sheet'!$AE:$AE,P591,'Input Sheet'!$X:$X)</f>
        <v>0</v>
      </c>
      <c r="O591" s="311"/>
      <c r="P591" t="str">
        <f t="shared" si="63"/>
        <v>421-4210</v>
      </c>
      <c r="Q591" s="315" t="str">
        <f t="shared" si="64"/>
        <v>Used Vehicle</v>
      </c>
      <c r="R591" s="315" t="str">
        <f t="shared" si="65"/>
        <v>Used VehicleOther UV retail gross profit p.u.</v>
      </c>
      <c r="S591" s="199"/>
      <c r="T591" s="199"/>
      <c r="U591" s="199"/>
    </row>
    <row r="592" spans="1:21" x14ac:dyDescent="0.25">
      <c r="A592" t="s">
        <v>996</v>
      </c>
      <c r="B592" t="s">
        <v>997</v>
      </c>
      <c r="C592" t="s">
        <v>1013</v>
      </c>
      <c r="D592">
        <v>4210</v>
      </c>
      <c r="E592">
        <v>320</v>
      </c>
      <c r="F592" t="s">
        <v>1150</v>
      </c>
      <c r="G592" t="s">
        <v>1151</v>
      </c>
      <c r="H592" s="315" t="s">
        <v>30</v>
      </c>
      <c r="I592" s="315" t="s">
        <v>1073</v>
      </c>
      <c r="J592" s="315" t="str">
        <f t="shared" si="61"/>
        <v>Used VehicleOther UV retail gross profit p.u.</v>
      </c>
      <c r="K592" s="315" t="str">
        <f t="shared" si="62"/>
        <v>320Toyota Non-FP UV Cost of Sales</v>
      </c>
      <c r="L592" s="311">
        <f>+SUMIF('TUNZ Extracted TB'!M:M,$P592,'TUNZ Extracted TB'!G:G)</f>
        <v>0</v>
      </c>
      <c r="M592" s="311"/>
      <c r="N592" s="311">
        <f>+SUMIF('Input Sheet'!$AE:$AE,P592,'Input Sheet'!$X:$X)</f>
        <v>0</v>
      </c>
      <c r="O592" s="311"/>
      <c r="P592" t="str">
        <f t="shared" si="63"/>
        <v>320-4210</v>
      </c>
      <c r="Q592" s="315" t="str">
        <f t="shared" si="64"/>
        <v>Used Vehicle</v>
      </c>
      <c r="R592" s="315" t="str">
        <f t="shared" si="65"/>
        <v>Used VehicleOther UV retail gross profit p.u.</v>
      </c>
      <c r="S592" s="199"/>
      <c r="T592" s="199"/>
      <c r="U592" s="199"/>
    </row>
    <row r="593" spans="1:21" x14ac:dyDescent="0.25">
      <c r="A593" t="s">
        <v>996</v>
      </c>
      <c r="B593" t="s">
        <v>997</v>
      </c>
      <c r="C593" t="s">
        <v>1013</v>
      </c>
      <c r="D593">
        <v>4210</v>
      </c>
      <c r="E593">
        <v>321</v>
      </c>
      <c r="F593" t="s">
        <v>1150</v>
      </c>
      <c r="G593" t="s">
        <v>1151</v>
      </c>
      <c r="H593" s="315" t="s">
        <v>30</v>
      </c>
      <c r="I593" s="315" t="s">
        <v>1073</v>
      </c>
      <c r="J593" s="315" t="str">
        <f t="shared" si="61"/>
        <v>Used VehicleOther UV retail gross profit p.u.</v>
      </c>
      <c r="K593" s="315" t="str">
        <f t="shared" si="62"/>
        <v>321Toyota Non-FP UV Cost of Sales</v>
      </c>
      <c r="L593" s="311">
        <f>+SUMIF('TUNZ Extracted TB'!M:M,$P593,'TUNZ Extracted TB'!G:G)</f>
        <v>0</v>
      </c>
      <c r="M593" s="311"/>
      <c r="N593" s="311">
        <f>+SUMIF('Input Sheet'!$AE:$AE,P593,'Input Sheet'!$X:$X)</f>
        <v>0</v>
      </c>
      <c r="O593" s="311"/>
      <c r="P593" t="str">
        <f t="shared" si="63"/>
        <v>321-4210</v>
      </c>
      <c r="Q593" s="315" t="str">
        <f t="shared" si="64"/>
        <v>Used Vehicle</v>
      </c>
      <c r="R593" s="315" t="str">
        <f t="shared" si="65"/>
        <v>Used VehicleOther UV retail gross profit p.u.</v>
      </c>
      <c r="S593" s="199"/>
      <c r="T593" s="199"/>
      <c r="U593" s="199"/>
    </row>
    <row r="594" spans="1:21" x14ac:dyDescent="0.25">
      <c r="A594" t="s">
        <v>996</v>
      </c>
      <c r="B594" t="s">
        <v>997</v>
      </c>
      <c r="C594" t="s">
        <v>997</v>
      </c>
      <c r="D594">
        <v>4210</v>
      </c>
      <c r="E594">
        <v>121</v>
      </c>
      <c r="F594" t="s">
        <v>1150</v>
      </c>
      <c r="G594" t="s">
        <v>1151</v>
      </c>
      <c r="H594" s="315" t="s">
        <v>30</v>
      </c>
      <c r="I594" s="315" t="s">
        <v>1073</v>
      </c>
      <c r="J594" s="315" t="str">
        <f t="shared" si="61"/>
        <v>Used VehicleOther UV retail gross profit p.u.</v>
      </c>
      <c r="K594" s="315" t="str">
        <f t="shared" si="62"/>
        <v>121Toyota Non-FP UV Cost of Sales</v>
      </c>
      <c r="L594" s="311">
        <f>+SUMIF('TUNZ Extracted TB'!M:M,$P594,'TUNZ Extracted TB'!G:G)</f>
        <v>0</v>
      </c>
      <c r="M594" s="311"/>
      <c r="N594" s="311">
        <f>+SUMIF('Input Sheet'!$AE:$AE,P594,'Input Sheet'!$X:$X)</f>
        <v>0</v>
      </c>
      <c r="O594" s="311"/>
      <c r="P594" t="str">
        <f t="shared" si="63"/>
        <v>121-4210</v>
      </c>
      <c r="Q594" s="315" t="str">
        <f t="shared" si="64"/>
        <v>Used Vehicle</v>
      </c>
      <c r="R594" s="315" t="str">
        <f t="shared" si="65"/>
        <v>Used VehicleOther UV retail gross profit p.u.</v>
      </c>
      <c r="S594" s="199"/>
      <c r="T594" s="199"/>
      <c r="U594" s="199"/>
    </row>
    <row r="595" spans="1:21" x14ac:dyDescent="0.25">
      <c r="A595" t="s">
        <v>996</v>
      </c>
      <c r="B595" t="s">
        <v>997</v>
      </c>
      <c r="C595" t="s">
        <v>997</v>
      </c>
      <c r="D595">
        <v>4211</v>
      </c>
      <c r="E595">
        <v>120</v>
      </c>
      <c r="F595" t="s">
        <v>1150</v>
      </c>
      <c r="G595" t="s">
        <v>1151</v>
      </c>
      <c r="H595" s="315" t="s">
        <v>30</v>
      </c>
      <c r="I595" s="315" t="s">
        <v>1073</v>
      </c>
      <c r="J595" s="315" t="str">
        <f t="shared" si="61"/>
        <v>Used VehicleOther UV retail gross profit p.u.</v>
      </c>
      <c r="K595" s="315" t="str">
        <f t="shared" si="62"/>
        <v>120Toyota Non-FP UV Cost of Sales</v>
      </c>
      <c r="L595" s="311">
        <f>+SUMIF('TUNZ Extracted TB'!M:M,$P595,'TUNZ Extracted TB'!G:G)</f>
        <v>34807.86</v>
      </c>
      <c r="M595" s="311"/>
      <c r="N595" s="311">
        <f>+SUMIF('Input Sheet'!$AE:$AE,P595,'Input Sheet'!$X:$X)</f>
        <v>0</v>
      </c>
      <c r="O595" s="311"/>
      <c r="P595" t="str">
        <f t="shared" si="63"/>
        <v>120-4211</v>
      </c>
      <c r="Q595" s="315" t="str">
        <f t="shared" si="64"/>
        <v>Used Vehicle</v>
      </c>
      <c r="R595" s="315" t="str">
        <f t="shared" si="65"/>
        <v>Used VehicleOther UV retail gross profit p.u.</v>
      </c>
      <c r="S595" s="199"/>
    </row>
    <row r="596" spans="1:21" x14ac:dyDescent="0.25">
      <c r="A596" t="s">
        <v>996</v>
      </c>
      <c r="B596" t="s">
        <v>997</v>
      </c>
      <c r="C596" t="s">
        <v>1005</v>
      </c>
      <c r="D596">
        <v>4211</v>
      </c>
      <c r="E596">
        <v>220</v>
      </c>
      <c r="F596" t="s">
        <v>1150</v>
      </c>
      <c r="G596" t="s">
        <v>1151</v>
      </c>
      <c r="H596" s="315" t="s">
        <v>30</v>
      </c>
      <c r="I596" s="315" t="s">
        <v>1073</v>
      </c>
      <c r="J596" s="315" t="str">
        <f t="shared" si="61"/>
        <v>Used VehicleOther UV retail gross profit p.u.</v>
      </c>
      <c r="K596" s="315" t="str">
        <f t="shared" si="62"/>
        <v>220Toyota Non-FP UV Cost of Sales</v>
      </c>
      <c r="L596" s="311">
        <f>+SUMIF('TUNZ Extracted TB'!M:M,$P596,'TUNZ Extracted TB'!G:G)</f>
        <v>48807.88</v>
      </c>
      <c r="M596" s="311"/>
      <c r="N596" s="311">
        <f>+SUMIF('Input Sheet'!$AE:$AE,P596,'Input Sheet'!$X:$X)</f>
        <v>0</v>
      </c>
      <c r="O596" s="311"/>
      <c r="P596" t="str">
        <f t="shared" si="63"/>
        <v>220-4211</v>
      </c>
      <c r="Q596" s="315" t="str">
        <f t="shared" si="64"/>
        <v>Used Vehicle</v>
      </c>
      <c r="R596" s="315" t="str">
        <f t="shared" si="65"/>
        <v>Used VehicleOther UV retail gross profit p.u.</v>
      </c>
      <c r="S596" s="199"/>
      <c r="T596" s="199"/>
      <c r="U596" s="199"/>
    </row>
    <row r="597" spans="1:21" x14ac:dyDescent="0.25">
      <c r="A597" t="s">
        <v>996</v>
      </c>
      <c r="B597" t="s">
        <v>997</v>
      </c>
      <c r="C597" t="s">
        <v>997</v>
      </c>
      <c r="D597">
        <v>4211</v>
      </c>
      <c r="E597">
        <v>122</v>
      </c>
      <c r="F597" t="s">
        <v>1071</v>
      </c>
      <c r="G597" t="s">
        <v>1072</v>
      </c>
      <c r="H597" s="315" t="s">
        <v>1041</v>
      </c>
      <c r="I597" s="315" t="s">
        <v>1073</v>
      </c>
      <c r="J597" s="315" t="str">
        <f t="shared" si="61"/>
        <v>LEX Used VehicleOther UV retail gross profit p.u.</v>
      </c>
      <c r="K597" s="315" t="str">
        <f t="shared" si="62"/>
        <v>122Lexus UV Cost of Sales</v>
      </c>
      <c r="L597" s="311">
        <f>+SUMIF('TUNZ Extracted TB'!M:M,$P597,'TUNZ Extracted TB'!G:G)</f>
        <v>0</v>
      </c>
      <c r="M597" s="311"/>
      <c r="N597" s="311">
        <f>+SUMIF('Input Sheet'!$AE:$AE,P597,'Input Sheet'!$X:$X)</f>
        <v>0</v>
      </c>
      <c r="O597" s="311"/>
      <c r="P597" t="str">
        <f t="shared" si="63"/>
        <v>122-4211</v>
      </c>
      <c r="Q597" s="315" t="str">
        <f t="shared" si="64"/>
        <v>LEX Used Vehicle</v>
      </c>
      <c r="R597" s="315" t="str">
        <f t="shared" si="65"/>
        <v>LEX Used VehicleOther UV retail gross profit p.u.</v>
      </c>
      <c r="S597" s="199"/>
      <c r="T597" s="199"/>
      <c r="U597" s="199"/>
    </row>
    <row r="598" spans="1:21" x14ac:dyDescent="0.25">
      <c r="A598" t="s">
        <v>996</v>
      </c>
      <c r="B598" t="s">
        <v>997</v>
      </c>
      <c r="C598" t="s">
        <v>1005</v>
      </c>
      <c r="D598">
        <v>4211</v>
      </c>
      <c r="E598">
        <v>221</v>
      </c>
      <c r="F598" t="s">
        <v>1150</v>
      </c>
      <c r="G598" t="s">
        <v>1151</v>
      </c>
      <c r="H598" s="315" t="s">
        <v>30</v>
      </c>
      <c r="I598" s="315" t="s">
        <v>1073</v>
      </c>
      <c r="J598" s="315" t="str">
        <f t="shared" si="61"/>
        <v>Used VehicleOther UV retail gross profit p.u.</v>
      </c>
      <c r="K598" s="315" t="str">
        <f t="shared" si="62"/>
        <v>221Toyota Non-FP UV Cost of Sales</v>
      </c>
      <c r="L598" s="311">
        <f>+SUMIF('TUNZ Extracted TB'!M:M,$P598,'TUNZ Extracted TB'!G:G)</f>
        <v>0</v>
      </c>
      <c r="M598" s="311"/>
      <c r="N598" s="311">
        <f>+SUMIF('Input Sheet'!$AE:$AE,P598,'Input Sheet'!$X:$X)</f>
        <v>0</v>
      </c>
      <c r="O598" s="311"/>
      <c r="P598" t="str">
        <f t="shared" si="63"/>
        <v>221-4211</v>
      </c>
      <c r="Q598" s="315" t="str">
        <f t="shared" si="64"/>
        <v>Used Vehicle</v>
      </c>
      <c r="R598" s="315" t="str">
        <f t="shared" si="65"/>
        <v>Used VehicleOther UV retail gross profit p.u.</v>
      </c>
      <c r="S598" s="199"/>
      <c r="T598" s="199"/>
      <c r="U598" s="199"/>
    </row>
    <row r="599" spans="1:21" x14ac:dyDescent="0.25">
      <c r="A599" t="s">
        <v>996</v>
      </c>
      <c r="B599" t="s">
        <v>997</v>
      </c>
      <c r="C599" t="s">
        <v>1012</v>
      </c>
      <c r="D599">
        <v>4211</v>
      </c>
      <c r="E599">
        <v>420</v>
      </c>
      <c r="F599" t="s">
        <v>1150</v>
      </c>
      <c r="G599" t="s">
        <v>1151</v>
      </c>
      <c r="H599" s="315" t="s">
        <v>30</v>
      </c>
      <c r="I599" s="315" t="s">
        <v>1073</v>
      </c>
      <c r="J599" s="315" t="str">
        <f t="shared" si="61"/>
        <v>Used VehicleOther UV retail gross profit p.u.</v>
      </c>
      <c r="K599" s="315" t="str">
        <f t="shared" si="62"/>
        <v>420Toyota Non-FP UV Cost of Sales</v>
      </c>
      <c r="L599" s="311">
        <f>+SUMIF('TUNZ Extracted TB'!M:M,$P599,'TUNZ Extracted TB'!G:G)</f>
        <v>0</v>
      </c>
      <c r="M599" s="311"/>
      <c r="N599" s="311">
        <f>+SUMIF('Input Sheet'!$AE:$AE,P599,'Input Sheet'!$X:$X)</f>
        <v>0</v>
      </c>
      <c r="O599" s="311"/>
      <c r="P599" t="str">
        <f t="shared" si="63"/>
        <v>420-4211</v>
      </c>
      <c r="Q599" s="315" t="str">
        <f t="shared" si="64"/>
        <v>Used Vehicle</v>
      </c>
      <c r="R599" s="315" t="str">
        <f t="shared" si="65"/>
        <v>Used VehicleOther UV retail gross profit p.u.</v>
      </c>
      <c r="S599" s="199"/>
      <c r="T599" s="199"/>
      <c r="U599" s="199"/>
    </row>
    <row r="600" spans="1:21" x14ac:dyDescent="0.25">
      <c r="A600" t="s">
        <v>996</v>
      </c>
      <c r="B600" t="s">
        <v>997</v>
      </c>
      <c r="C600" t="s">
        <v>1012</v>
      </c>
      <c r="D600">
        <v>4211</v>
      </c>
      <c r="E600">
        <v>421</v>
      </c>
      <c r="F600" t="s">
        <v>1150</v>
      </c>
      <c r="G600" t="s">
        <v>1151</v>
      </c>
      <c r="H600" s="315" t="s">
        <v>30</v>
      </c>
      <c r="I600" s="315" t="s">
        <v>1073</v>
      </c>
      <c r="J600" s="315" t="str">
        <f t="shared" si="61"/>
        <v>Used VehicleOther UV retail gross profit p.u.</v>
      </c>
      <c r="K600" s="315" t="str">
        <f t="shared" si="62"/>
        <v>421Toyota Non-FP UV Cost of Sales</v>
      </c>
      <c r="L600" s="311">
        <f>+SUMIF('TUNZ Extracted TB'!M:M,$P600,'TUNZ Extracted TB'!G:G)</f>
        <v>0</v>
      </c>
      <c r="M600" s="311"/>
      <c r="N600" s="311">
        <f>+SUMIF('Input Sheet'!$AE:$AE,P600,'Input Sheet'!$X:$X)</f>
        <v>0</v>
      </c>
      <c r="O600" s="311"/>
      <c r="P600" t="str">
        <f t="shared" si="63"/>
        <v>421-4211</v>
      </c>
      <c r="Q600" s="315" t="str">
        <f t="shared" si="64"/>
        <v>Used Vehicle</v>
      </c>
      <c r="R600" s="315" t="str">
        <f t="shared" si="65"/>
        <v>Used VehicleOther UV retail gross profit p.u.</v>
      </c>
      <c r="S600" s="199"/>
      <c r="T600" s="199"/>
      <c r="U600" s="199"/>
    </row>
    <row r="601" spans="1:21" x14ac:dyDescent="0.25">
      <c r="A601" t="s">
        <v>996</v>
      </c>
      <c r="B601" t="s">
        <v>997</v>
      </c>
      <c r="C601" t="s">
        <v>1013</v>
      </c>
      <c r="D601">
        <v>4211</v>
      </c>
      <c r="E601">
        <v>320</v>
      </c>
      <c r="F601" t="s">
        <v>1150</v>
      </c>
      <c r="G601" t="s">
        <v>1151</v>
      </c>
      <c r="H601" s="315" t="s">
        <v>30</v>
      </c>
      <c r="I601" s="315" t="s">
        <v>1073</v>
      </c>
      <c r="J601" s="315" t="str">
        <f t="shared" si="61"/>
        <v>Used VehicleOther UV retail gross profit p.u.</v>
      </c>
      <c r="K601" s="315" t="str">
        <f t="shared" si="62"/>
        <v>320Toyota Non-FP UV Cost of Sales</v>
      </c>
      <c r="L601" s="311">
        <f>+SUMIF('TUNZ Extracted TB'!M:M,$P601,'TUNZ Extracted TB'!G:G)</f>
        <v>0</v>
      </c>
      <c r="M601" s="311"/>
      <c r="N601" s="311">
        <f>+SUMIF('Input Sheet'!$AE:$AE,P601,'Input Sheet'!$X:$X)</f>
        <v>0</v>
      </c>
      <c r="O601" s="311"/>
      <c r="P601" t="str">
        <f t="shared" si="63"/>
        <v>320-4211</v>
      </c>
      <c r="Q601" s="315" t="str">
        <f t="shared" si="64"/>
        <v>Used Vehicle</v>
      </c>
      <c r="R601" s="315" t="str">
        <f t="shared" si="65"/>
        <v>Used VehicleOther UV retail gross profit p.u.</v>
      </c>
      <c r="S601" s="199"/>
      <c r="T601" s="199"/>
      <c r="U601" s="199"/>
    </row>
    <row r="602" spans="1:21" x14ac:dyDescent="0.25">
      <c r="A602" t="s">
        <v>996</v>
      </c>
      <c r="B602" t="s">
        <v>997</v>
      </c>
      <c r="C602" t="s">
        <v>1013</v>
      </c>
      <c r="D602">
        <v>4211</v>
      </c>
      <c r="E602">
        <v>321</v>
      </c>
      <c r="F602" t="s">
        <v>1150</v>
      </c>
      <c r="G602" t="s">
        <v>1151</v>
      </c>
      <c r="H602" s="315" t="s">
        <v>30</v>
      </c>
      <c r="I602" s="315" t="s">
        <v>1073</v>
      </c>
      <c r="J602" s="315" t="str">
        <f t="shared" si="61"/>
        <v>Used VehicleOther UV retail gross profit p.u.</v>
      </c>
      <c r="K602" s="315" t="str">
        <f t="shared" si="62"/>
        <v>321Toyota Non-FP UV Cost of Sales</v>
      </c>
      <c r="L602" s="311">
        <f>+SUMIF('TUNZ Extracted TB'!M:M,$P602,'TUNZ Extracted TB'!G:G)</f>
        <v>0</v>
      </c>
      <c r="M602" s="311"/>
      <c r="N602" s="311">
        <f>+SUMIF('Input Sheet'!$AE:$AE,P602,'Input Sheet'!$X:$X)</f>
        <v>0</v>
      </c>
      <c r="O602" s="311"/>
      <c r="P602" t="str">
        <f t="shared" si="63"/>
        <v>321-4211</v>
      </c>
      <c r="Q602" s="315" t="str">
        <f t="shared" si="64"/>
        <v>Used Vehicle</v>
      </c>
      <c r="R602" s="315" t="str">
        <f t="shared" si="65"/>
        <v>Used VehicleOther UV retail gross profit p.u.</v>
      </c>
      <c r="S602" s="199"/>
      <c r="T602" s="199"/>
      <c r="U602" s="199"/>
    </row>
    <row r="603" spans="1:21" x14ac:dyDescent="0.25">
      <c r="A603" t="s">
        <v>996</v>
      </c>
      <c r="B603" t="s">
        <v>997</v>
      </c>
      <c r="C603" t="s">
        <v>997</v>
      </c>
      <c r="D603">
        <v>4211</v>
      </c>
      <c r="E603">
        <v>121</v>
      </c>
      <c r="F603" t="s">
        <v>1150</v>
      </c>
      <c r="G603" t="s">
        <v>1151</v>
      </c>
      <c r="H603" s="315" t="s">
        <v>30</v>
      </c>
      <c r="I603" s="315" t="s">
        <v>1073</v>
      </c>
      <c r="J603" s="315" t="str">
        <f t="shared" si="61"/>
        <v>Used VehicleOther UV retail gross profit p.u.</v>
      </c>
      <c r="K603" s="315" t="str">
        <f t="shared" si="62"/>
        <v>121Toyota Non-FP UV Cost of Sales</v>
      </c>
      <c r="L603" s="311">
        <f>+SUMIF('TUNZ Extracted TB'!M:M,$P603,'TUNZ Extracted TB'!G:G)</f>
        <v>0</v>
      </c>
      <c r="M603" s="311"/>
      <c r="N603" s="311">
        <f>+SUMIF('Input Sheet'!$AE:$AE,P603,'Input Sheet'!$X:$X)</f>
        <v>0</v>
      </c>
      <c r="O603" s="311"/>
      <c r="P603" t="str">
        <f t="shared" si="63"/>
        <v>121-4211</v>
      </c>
      <c r="Q603" s="315" t="str">
        <f t="shared" si="64"/>
        <v>Used Vehicle</v>
      </c>
      <c r="R603" s="315" t="str">
        <f t="shared" si="65"/>
        <v>Used VehicleOther UV retail gross profit p.u.</v>
      </c>
      <c r="S603" s="199"/>
      <c r="T603" s="199"/>
      <c r="U603" s="199"/>
    </row>
    <row r="604" spans="1:21" x14ac:dyDescent="0.25">
      <c r="A604" t="s">
        <v>996</v>
      </c>
      <c r="B604" t="s">
        <v>997</v>
      </c>
      <c r="C604" t="s">
        <v>997</v>
      </c>
      <c r="D604">
        <v>4212</v>
      </c>
      <c r="E604">
        <v>122</v>
      </c>
      <c r="F604" t="s">
        <v>1071</v>
      </c>
      <c r="G604" t="s">
        <v>1072</v>
      </c>
      <c r="H604" s="315" t="s">
        <v>1041</v>
      </c>
      <c r="I604" s="315" t="s">
        <v>1073</v>
      </c>
      <c r="J604" s="315" t="str">
        <f t="shared" si="61"/>
        <v>LEX Used VehicleOther UV retail gross profit p.u.</v>
      </c>
      <c r="K604" s="315" t="str">
        <f t="shared" si="62"/>
        <v>122Lexus UV Cost of Sales</v>
      </c>
      <c r="L604" s="311">
        <f>+SUMIF('TUNZ Extracted TB'!M:M,$P604,'TUNZ Extracted TB'!G:G)</f>
        <v>0</v>
      </c>
      <c r="M604" s="311"/>
      <c r="N604" s="311">
        <f>+SUMIF('Input Sheet'!$AE:$AE,P604,'Input Sheet'!$X:$X)</f>
        <v>0</v>
      </c>
      <c r="O604" s="311"/>
      <c r="P604" t="str">
        <f t="shared" si="63"/>
        <v>122-4212</v>
      </c>
      <c r="Q604" s="315" t="str">
        <f t="shared" si="64"/>
        <v>LEX Used Vehicle</v>
      </c>
      <c r="R604" s="315" t="str">
        <f t="shared" si="65"/>
        <v>LEX Used VehicleOther UV retail gross profit p.u.</v>
      </c>
      <c r="S604" s="199"/>
      <c r="T604" s="199"/>
      <c r="U604" s="199"/>
    </row>
    <row r="605" spans="1:21" x14ac:dyDescent="0.25">
      <c r="A605" t="s">
        <v>996</v>
      </c>
      <c r="B605" t="s">
        <v>997</v>
      </c>
      <c r="C605" t="s">
        <v>1005</v>
      </c>
      <c r="D605">
        <v>4212</v>
      </c>
      <c r="E605">
        <v>220</v>
      </c>
      <c r="F605" t="s">
        <v>1150</v>
      </c>
      <c r="G605" t="s">
        <v>1151</v>
      </c>
      <c r="H605" s="315" t="s">
        <v>30</v>
      </c>
      <c r="I605" s="315" t="s">
        <v>1073</v>
      </c>
      <c r="J605" s="315" t="str">
        <f t="shared" si="61"/>
        <v>Used VehicleOther UV retail gross profit p.u.</v>
      </c>
      <c r="K605" s="315" t="str">
        <f t="shared" si="62"/>
        <v>220Toyota Non-FP UV Cost of Sales</v>
      </c>
      <c r="L605" s="311">
        <f>+SUMIF('TUNZ Extracted TB'!M:M,$P605,'TUNZ Extracted TB'!G:G)</f>
        <v>0</v>
      </c>
      <c r="M605" s="311"/>
      <c r="N605" s="311">
        <f>+SUMIF('Input Sheet'!$AE:$AE,P605,'Input Sheet'!$X:$X)</f>
        <v>0</v>
      </c>
      <c r="O605" s="311"/>
      <c r="P605" t="str">
        <f t="shared" si="63"/>
        <v>220-4212</v>
      </c>
      <c r="Q605" s="315" t="str">
        <f t="shared" si="64"/>
        <v>Used Vehicle</v>
      </c>
      <c r="R605" s="315" t="str">
        <f t="shared" si="65"/>
        <v>Used VehicleOther UV retail gross profit p.u.</v>
      </c>
      <c r="S605" s="199"/>
      <c r="T605" s="199"/>
      <c r="U605" s="199"/>
    </row>
    <row r="606" spans="1:21" x14ac:dyDescent="0.25">
      <c r="A606" t="s">
        <v>996</v>
      </c>
      <c r="B606" t="s">
        <v>997</v>
      </c>
      <c r="C606" t="s">
        <v>1005</v>
      </c>
      <c r="D606">
        <v>4212</v>
      </c>
      <c r="E606">
        <v>221</v>
      </c>
      <c r="F606" t="s">
        <v>1150</v>
      </c>
      <c r="G606" t="s">
        <v>1151</v>
      </c>
      <c r="H606" s="315" t="s">
        <v>30</v>
      </c>
      <c r="I606" s="315" t="s">
        <v>1073</v>
      </c>
      <c r="J606" s="315" t="str">
        <f t="shared" si="61"/>
        <v>Used VehicleOther UV retail gross profit p.u.</v>
      </c>
      <c r="K606" s="315" t="str">
        <f t="shared" si="62"/>
        <v>221Toyota Non-FP UV Cost of Sales</v>
      </c>
      <c r="L606" s="311">
        <f>+SUMIF('TUNZ Extracted TB'!M:M,$P606,'TUNZ Extracted TB'!G:G)</f>
        <v>0</v>
      </c>
      <c r="M606" s="311"/>
      <c r="N606" s="311">
        <f>+SUMIF('Input Sheet'!$AE:$AE,P606,'Input Sheet'!$X:$X)</f>
        <v>0</v>
      </c>
      <c r="O606" s="311"/>
      <c r="P606" t="str">
        <f t="shared" si="63"/>
        <v>221-4212</v>
      </c>
      <c r="Q606" s="315" t="str">
        <f t="shared" si="64"/>
        <v>Used Vehicle</v>
      </c>
      <c r="R606" s="315" t="str">
        <f t="shared" si="65"/>
        <v>Used VehicleOther UV retail gross profit p.u.</v>
      </c>
      <c r="S606" s="199"/>
      <c r="T606" s="199"/>
      <c r="U606" s="199"/>
    </row>
    <row r="607" spans="1:21" x14ac:dyDescent="0.25">
      <c r="A607" t="s">
        <v>996</v>
      </c>
      <c r="B607" t="s">
        <v>997</v>
      </c>
      <c r="C607" t="s">
        <v>1012</v>
      </c>
      <c r="D607">
        <v>4212</v>
      </c>
      <c r="E607">
        <v>420</v>
      </c>
      <c r="F607" t="s">
        <v>1150</v>
      </c>
      <c r="G607" t="s">
        <v>1151</v>
      </c>
      <c r="H607" s="315" t="s">
        <v>30</v>
      </c>
      <c r="I607" s="315" t="s">
        <v>1073</v>
      </c>
      <c r="J607" s="315" t="str">
        <f t="shared" si="61"/>
        <v>Used VehicleOther UV retail gross profit p.u.</v>
      </c>
      <c r="K607" s="315" t="str">
        <f t="shared" si="62"/>
        <v>420Toyota Non-FP UV Cost of Sales</v>
      </c>
      <c r="L607" s="311">
        <f>+SUMIF('TUNZ Extracted TB'!M:M,$P607,'TUNZ Extracted TB'!G:G)</f>
        <v>0</v>
      </c>
      <c r="M607" s="311"/>
      <c r="N607" s="311">
        <f>+SUMIF('Input Sheet'!$AE:$AE,P607,'Input Sheet'!$X:$X)</f>
        <v>0</v>
      </c>
      <c r="O607" s="311"/>
      <c r="P607" t="str">
        <f t="shared" si="63"/>
        <v>420-4212</v>
      </c>
      <c r="Q607" s="315" t="str">
        <f t="shared" si="64"/>
        <v>Used Vehicle</v>
      </c>
      <c r="R607" s="315" t="str">
        <f t="shared" si="65"/>
        <v>Used VehicleOther UV retail gross profit p.u.</v>
      </c>
      <c r="S607" s="199"/>
      <c r="T607" s="199"/>
      <c r="U607" s="199"/>
    </row>
    <row r="608" spans="1:21" x14ac:dyDescent="0.25">
      <c r="A608" t="s">
        <v>996</v>
      </c>
      <c r="B608" t="s">
        <v>997</v>
      </c>
      <c r="C608" t="s">
        <v>1012</v>
      </c>
      <c r="D608">
        <v>4212</v>
      </c>
      <c r="E608">
        <v>421</v>
      </c>
      <c r="F608" t="s">
        <v>1150</v>
      </c>
      <c r="G608" t="s">
        <v>1151</v>
      </c>
      <c r="H608" s="315" t="s">
        <v>30</v>
      </c>
      <c r="I608" s="315" t="s">
        <v>1073</v>
      </c>
      <c r="J608" s="315" t="str">
        <f t="shared" si="61"/>
        <v>Used VehicleOther UV retail gross profit p.u.</v>
      </c>
      <c r="K608" s="315" t="str">
        <f t="shared" si="62"/>
        <v>421Toyota Non-FP UV Cost of Sales</v>
      </c>
      <c r="L608" s="311">
        <f>+SUMIF('TUNZ Extracted TB'!M:M,$P608,'TUNZ Extracted TB'!G:G)</f>
        <v>0</v>
      </c>
      <c r="M608" s="311"/>
      <c r="N608" s="311">
        <f>+SUMIF('Input Sheet'!$AE:$AE,P608,'Input Sheet'!$X:$X)</f>
        <v>0</v>
      </c>
      <c r="O608" s="311"/>
      <c r="P608" t="str">
        <f t="shared" si="63"/>
        <v>421-4212</v>
      </c>
      <c r="Q608" s="315" t="str">
        <f t="shared" si="64"/>
        <v>Used Vehicle</v>
      </c>
      <c r="R608" s="315" t="str">
        <f t="shared" si="65"/>
        <v>Used VehicleOther UV retail gross profit p.u.</v>
      </c>
      <c r="S608" s="199"/>
      <c r="T608" s="199"/>
      <c r="U608" s="199"/>
    </row>
    <row r="609" spans="1:21" x14ac:dyDescent="0.25">
      <c r="A609" t="s">
        <v>996</v>
      </c>
      <c r="B609" t="s">
        <v>997</v>
      </c>
      <c r="C609" t="s">
        <v>1013</v>
      </c>
      <c r="D609">
        <v>4212</v>
      </c>
      <c r="E609">
        <v>320</v>
      </c>
      <c r="F609" t="s">
        <v>1150</v>
      </c>
      <c r="G609" t="s">
        <v>1151</v>
      </c>
      <c r="H609" s="315" t="s">
        <v>30</v>
      </c>
      <c r="I609" s="315" t="s">
        <v>1073</v>
      </c>
      <c r="J609" s="315" t="str">
        <f t="shared" si="61"/>
        <v>Used VehicleOther UV retail gross profit p.u.</v>
      </c>
      <c r="K609" s="315" t="str">
        <f t="shared" si="62"/>
        <v>320Toyota Non-FP UV Cost of Sales</v>
      </c>
      <c r="L609" s="311">
        <f>+SUMIF('TUNZ Extracted TB'!M:M,$P609,'TUNZ Extracted TB'!G:G)</f>
        <v>0</v>
      </c>
      <c r="M609" s="311"/>
      <c r="N609" s="311">
        <f>+SUMIF('Input Sheet'!$AE:$AE,P609,'Input Sheet'!$X:$X)</f>
        <v>0</v>
      </c>
      <c r="O609" s="311"/>
      <c r="P609" t="str">
        <f t="shared" si="63"/>
        <v>320-4212</v>
      </c>
      <c r="Q609" s="315" t="str">
        <f t="shared" si="64"/>
        <v>Used Vehicle</v>
      </c>
      <c r="R609" s="315" t="str">
        <f t="shared" si="65"/>
        <v>Used VehicleOther UV retail gross profit p.u.</v>
      </c>
      <c r="S609" s="199"/>
      <c r="T609" s="199"/>
      <c r="U609" s="199"/>
    </row>
    <row r="610" spans="1:21" x14ac:dyDescent="0.25">
      <c r="A610" t="s">
        <v>996</v>
      </c>
      <c r="B610" t="s">
        <v>997</v>
      </c>
      <c r="C610" t="s">
        <v>1013</v>
      </c>
      <c r="D610">
        <v>4212</v>
      </c>
      <c r="E610">
        <v>321</v>
      </c>
      <c r="F610" t="s">
        <v>1150</v>
      </c>
      <c r="G610" t="s">
        <v>1151</v>
      </c>
      <c r="H610" s="315" t="s">
        <v>30</v>
      </c>
      <c r="I610" s="315" t="s">
        <v>1073</v>
      </c>
      <c r="J610" s="315" t="str">
        <f t="shared" si="61"/>
        <v>Used VehicleOther UV retail gross profit p.u.</v>
      </c>
      <c r="K610" s="315" t="str">
        <f t="shared" si="62"/>
        <v>321Toyota Non-FP UV Cost of Sales</v>
      </c>
      <c r="L610" s="311">
        <f>+SUMIF('TUNZ Extracted TB'!M:M,$P610,'TUNZ Extracted TB'!G:G)</f>
        <v>0</v>
      </c>
      <c r="M610" s="311"/>
      <c r="N610" s="311">
        <f>+SUMIF('Input Sheet'!$AE:$AE,P610,'Input Sheet'!$X:$X)</f>
        <v>0</v>
      </c>
      <c r="O610" s="311"/>
      <c r="P610" t="str">
        <f t="shared" si="63"/>
        <v>321-4212</v>
      </c>
      <c r="Q610" s="315" t="str">
        <f t="shared" si="64"/>
        <v>Used Vehicle</v>
      </c>
      <c r="R610" s="315" t="str">
        <f t="shared" si="65"/>
        <v>Used VehicleOther UV retail gross profit p.u.</v>
      </c>
      <c r="S610" s="199"/>
      <c r="T610" s="199"/>
      <c r="U610" s="199"/>
    </row>
    <row r="611" spans="1:21" x14ac:dyDescent="0.25">
      <c r="A611" t="s">
        <v>996</v>
      </c>
      <c r="B611" t="s">
        <v>997</v>
      </c>
      <c r="C611" t="s">
        <v>997</v>
      </c>
      <c r="D611">
        <v>4212</v>
      </c>
      <c r="E611">
        <v>120</v>
      </c>
      <c r="F611" t="s">
        <v>1150</v>
      </c>
      <c r="G611" t="s">
        <v>1151</v>
      </c>
      <c r="H611" s="315" t="s">
        <v>30</v>
      </c>
      <c r="I611" s="315" t="s">
        <v>1073</v>
      </c>
      <c r="J611" s="315" t="str">
        <f t="shared" si="61"/>
        <v>Used VehicleOther UV retail gross profit p.u.</v>
      </c>
      <c r="K611" s="315" t="str">
        <f t="shared" si="62"/>
        <v>120Toyota Non-FP UV Cost of Sales</v>
      </c>
      <c r="L611" s="311">
        <f>+SUMIF('TUNZ Extracted TB'!M:M,$P611,'TUNZ Extracted TB'!G:G)</f>
        <v>0</v>
      </c>
      <c r="M611" s="311"/>
      <c r="N611" s="311">
        <f>+SUMIF('Input Sheet'!$AE:$AE,P611,'Input Sheet'!$X:$X)</f>
        <v>0</v>
      </c>
      <c r="O611" s="311"/>
      <c r="P611" t="str">
        <f t="shared" si="63"/>
        <v>120-4212</v>
      </c>
      <c r="Q611" s="315" t="str">
        <f t="shared" si="64"/>
        <v>Used Vehicle</v>
      </c>
      <c r="R611" s="315" t="str">
        <f t="shared" si="65"/>
        <v>Used VehicleOther UV retail gross profit p.u.</v>
      </c>
      <c r="S611" s="199"/>
      <c r="T611" s="199"/>
      <c r="U611" s="199"/>
    </row>
    <row r="612" spans="1:21" x14ac:dyDescent="0.25">
      <c r="A612" t="s">
        <v>996</v>
      </c>
      <c r="B612" t="s">
        <v>997</v>
      </c>
      <c r="C612" t="s">
        <v>997</v>
      </c>
      <c r="D612">
        <v>4230</v>
      </c>
      <c r="E612">
        <v>120</v>
      </c>
      <c r="F612" t="s">
        <v>1157</v>
      </c>
      <c r="G612" t="s">
        <v>1158</v>
      </c>
      <c r="H612" s="315" t="s">
        <v>30</v>
      </c>
      <c r="I612" s="315" t="s">
        <v>1063</v>
      </c>
      <c r="J612" s="315" t="str">
        <f t="shared" si="61"/>
        <v>Used VehicleGross profit per wholesale unit</v>
      </c>
      <c r="K612" s="315" t="str">
        <f t="shared" si="62"/>
        <v>120Toyota UV Wholesale Cost of Sales</v>
      </c>
      <c r="L612" s="311">
        <f>+SUMIF('TUNZ Extracted TB'!M:M,$P612,'TUNZ Extracted TB'!G:G)</f>
        <v>58208.49</v>
      </c>
      <c r="M612" s="311"/>
      <c r="N612" s="311">
        <f>+SUMIF('Input Sheet'!$AE:$AE,P612,'Input Sheet'!$X:$X)</f>
        <v>0</v>
      </c>
      <c r="O612" s="311"/>
      <c r="P612" t="str">
        <f t="shared" si="63"/>
        <v>120-4230</v>
      </c>
      <c r="Q612" s="315" t="str">
        <f t="shared" si="64"/>
        <v>Used Vehicle</v>
      </c>
      <c r="R612" s="315" t="str">
        <f t="shared" si="65"/>
        <v>Used VehicleGross profit per wholesale unit</v>
      </c>
      <c r="S612" s="199"/>
      <c r="T612" s="199"/>
      <c r="U612" s="199"/>
    </row>
    <row r="613" spans="1:21" x14ac:dyDescent="0.25">
      <c r="A613" t="s">
        <v>996</v>
      </c>
      <c r="B613" t="s">
        <v>997</v>
      </c>
      <c r="C613" t="s">
        <v>1005</v>
      </c>
      <c r="D613">
        <v>4230</v>
      </c>
      <c r="E613">
        <v>220</v>
      </c>
      <c r="F613" t="s">
        <v>1157</v>
      </c>
      <c r="G613" t="s">
        <v>1158</v>
      </c>
      <c r="H613" s="315" t="s">
        <v>30</v>
      </c>
      <c r="I613" s="315" t="s">
        <v>1063</v>
      </c>
      <c r="J613" s="315" t="str">
        <f t="shared" si="61"/>
        <v>Used VehicleGross profit per wholesale unit</v>
      </c>
      <c r="K613" s="315" t="str">
        <f t="shared" si="62"/>
        <v>220Toyota UV Wholesale Cost of Sales</v>
      </c>
      <c r="L613" s="311">
        <f>+SUMIF('TUNZ Extracted TB'!M:M,$P613,'TUNZ Extracted TB'!G:G)</f>
        <v>90543.48</v>
      </c>
      <c r="M613" s="311"/>
      <c r="N613" s="311">
        <f>+SUMIF('Input Sheet'!$AE:$AE,P613,'Input Sheet'!$X:$X)</f>
        <v>0</v>
      </c>
      <c r="O613" s="311"/>
      <c r="P613" t="str">
        <f t="shared" si="63"/>
        <v>220-4230</v>
      </c>
      <c r="Q613" s="315" t="str">
        <f t="shared" si="64"/>
        <v>Used Vehicle</v>
      </c>
      <c r="R613" s="315" t="str">
        <f t="shared" si="65"/>
        <v>Used VehicleGross profit per wholesale unit</v>
      </c>
      <c r="S613" s="199" t="s">
        <v>1159</v>
      </c>
      <c r="T613" s="199">
        <v>5</v>
      </c>
      <c r="U613" s="199">
        <v>6</v>
      </c>
    </row>
    <row r="614" spans="1:21" x14ac:dyDescent="0.25">
      <c r="A614" t="s">
        <v>996</v>
      </c>
      <c r="B614" t="s">
        <v>997</v>
      </c>
      <c r="C614" t="s">
        <v>997</v>
      </c>
      <c r="D614">
        <v>4230</v>
      </c>
      <c r="E614">
        <v>121</v>
      </c>
      <c r="F614" t="s">
        <v>1157</v>
      </c>
      <c r="G614" t="s">
        <v>1158</v>
      </c>
      <c r="H614" s="315" t="s">
        <v>30</v>
      </c>
      <c r="I614" s="315" t="s">
        <v>1063</v>
      </c>
      <c r="J614" s="315" t="str">
        <f t="shared" si="61"/>
        <v>Used VehicleGross profit per wholesale unit</v>
      </c>
      <c r="K614" s="315" t="str">
        <f t="shared" si="62"/>
        <v>121Toyota UV Wholesale Cost of Sales</v>
      </c>
      <c r="L614" s="311">
        <f>+SUMIF('TUNZ Extracted TB'!M:M,$P614,'TUNZ Extracted TB'!G:G)</f>
        <v>0</v>
      </c>
      <c r="M614" s="311"/>
      <c r="N614" s="311">
        <f>+SUMIF('Input Sheet'!$AE:$AE,P614,'Input Sheet'!$X:$X)</f>
        <v>0</v>
      </c>
      <c r="O614" s="311"/>
      <c r="P614" t="str">
        <f t="shared" si="63"/>
        <v>121-4230</v>
      </c>
      <c r="Q614" s="315" t="str">
        <f t="shared" si="64"/>
        <v>Used Vehicle</v>
      </c>
      <c r="R614" s="315" t="str">
        <f t="shared" si="65"/>
        <v>Used VehicleGross profit per wholesale unit</v>
      </c>
      <c r="S614" s="199"/>
      <c r="T614" s="199"/>
      <c r="U614" s="199"/>
    </row>
    <row r="615" spans="1:21" x14ac:dyDescent="0.25">
      <c r="A615" t="s">
        <v>996</v>
      </c>
      <c r="B615" t="s">
        <v>997</v>
      </c>
      <c r="C615" t="s">
        <v>997</v>
      </c>
      <c r="D615">
        <v>4230</v>
      </c>
      <c r="E615">
        <v>122</v>
      </c>
      <c r="F615" t="s">
        <v>1160</v>
      </c>
      <c r="G615" t="s">
        <v>1161</v>
      </c>
      <c r="H615" s="315" t="s">
        <v>1041</v>
      </c>
      <c r="I615" s="315" t="s">
        <v>1063</v>
      </c>
      <c r="J615" s="315" t="str">
        <f t="shared" si="61"/>
        <v>LEX Used VehicleGross profit per wholesale unit</v>
      </c>
      <c r="K615" s="315" t="str">
        <f t="shared" si="62"/>
        <v>122Lexus UV Wholesale Cost of Sales</v>
      </c>
      <c r="L615" s="311">
        <f>+SUMIF('TUNZ Extracted TB'!M:M,$P615,'TUNZ Extracted TB'!G:G)</f>
        <v>0</v>
      </c>
      <c r="M615" s="311"/>
      <c r="N615" s="311">
        <f>+SUMIF('Input Sheet'!$AE:$AE,P615,'Input Sheet'!$X:$X)</f>
        <v>0</v>
      </c>
      <c r="O615" s="311"/>
      <c r="P615" t="str">
        <f t="shared" si="63"/>
        <v>122-4230</v>
      </c>
      <c r="Q615" s="315" t="str">
        <f t="shared" si="64"/>
        <v>LEX Used Vehicle</v>
      </c>
      <c r="R615" s="315" t="str">
        <f t="shared" si="65"/>
        <v>LEX Used VehicleGross profit per wholesale unit</v>
      </c>
      <c r="S615" s="199"/>
      <c r="T615" s="199"/>
      <c r="U615" s="199"/>
    </row>
    <row r="616" spans="1:21" x14ac:dyDescent="0.25">
      <c r="A616" t="s">
        <v>996</v>
      </c>
      <c r="B616" t="s">
        <v>997</v>
      </c>
      <c r="C616" t="s">
        <v>1005</v>
      </c>
      <c r="D616">
        <v>4230</v>
      </c>
      <c r="E616">
        <v>221</v>
      </c>
      <c r="F616" t="s">
        <v>1157</v>
      </c>
      <c r="G616" t="s">
        <v>1158</v>
      </c>
      <c r="H616" s="315" t="s">
        <v>30</v>
      </c>
      <c r="I616" s="315" t="s">
        <v>1063</v>
      </c>
      <c r="J616" s="315" t="str">
        <f t="shared" si="61"/>
        <v>Used VehicleGross profit per wholesale unit</v>
      </c>
      <c r="K616" s="315" t="str">
        <f t="shared" si="62"/>
        <v>221Toyota UV Wholesale Cost of Sales</v>
      </c>
      <c r="L616" s="311">
        <f>+SUMIF('TUNZ Extracted TB'!M:M,$P616,'TUNZ Extracted TB'!G:G)</f>
        <v>0</v>
      </c>
      <c r="M616" s="311"/>
      <c r="N616" s="311">
        <f>+SUMIF('Input Sheet'!$AE:$AE,P616,'Input Sheet'!$X:$X)</f>
        <v>0</v>
      </c>
      <c r="O616" s="311"/>
      <c r="P616" t="str">
        <f t="shared" si="63"/>
        <v>221-4230</v>
      </c>
      <c r="Q616" s="315" t="str">
        <f t="shared" si="64"/>
        <v>Used Vehicle</v>
      </c>
      <c r="R616" s="315" t="str">
        <f t="shared" si="65"/>
        <v>Used VehicleGross profit per wholesale unit</v>
      </c>
      <c r="S616" s="199"/>
      <c r="T616" s="199"/>
      <c r="U616" s="199"/>
    </row>
    <row r="617" spans="1:21" x14ac:dyDescent="0.25">
      <c r="A617" t="s">
        <v>996</v>
      </c>
      <c r="B617" t="s">
        <v>997</v>
      </c>
      <c r="C617" t="s">
        <v>1012</v>
      </c>
      <c r="D617">
        <v>4230</v>
      </c>
      <c r="E617">
        <v>420</v>
      </c>
      <c r="F617" t="s">
        <v>1157</v>
      </c>
      <c r="G617" t="s">
        <v>1158</v>
      </c>
      <c r="H617" s="315" t="s">
        <v>30</v>
      </c>
      <c r="I617" s="315" t="s">
        <v>1063</v>
      </c>
      <c r="J617" s="315" t="str">
        <f t="shared" si="61"/>
        <v>Used VehicleGross profit per wholesale unit</v>
      </c>
      <c r="K617" s="315" t="str">
        <f t="shared" si="62"/>
        <v>420Toyota UV Wholesale Cost of Sales</v>
      </c>
      <c r="L617" s="311">
        <f>+SUMIF('TUNZ Extracted TB'!M:M,$P617,'TUNZ Extracted TB'!G:G)</f>
        <v>0</v>
      </c>
      <c r="M617" s="311"/>
      <c r="N617" s="311">
        <f>+SUMIF('Input Sheet'!$AE:$AE,P617,'Input Sheet'!$X:$X)</f>
        <v>0</v>
      </c>
      <c r="O617" s="311"/>
      <c r="P617" t="str">
        <f t="shared" si="63"/>
        <v>420-4230</v>
      </c>
      <c r="Q617" s="315" t="str">
        <f t="shared" si="64"/>
        <v>Used Vehicle</v>
      </c>
      <c r="R617" s="315" t="str">
        <f t="shared" si="65"/>
        <v>Used VehicleGross profit per wholesale unit</v>
      </c>
      <c r="S617" s="199"/>
      <c r="T617" s="199"/>
      <c r="U617" s="199"/>
    </row>
    <row r="618" spans="1:21" x14ac:dyDescent="0.25">
      <c r="A618" t="s">
        <v>996</v>
      </c>
      <c r="B618" t="s">
        <v>997</v>
      </c>
      <c r="C618" t="s">
        <v>1012</v>
      </c>
      <c r="D618">
        <v>4230</v>
      </c>
      <c r="E618">
        <v>421</v>
      </c>
      <c r="F618" t="s">
        <v>1157</v>
      </c>
      <c r="G618" t="s">
        <v>1158</v>
      </c>
      <c r="H618" s="315" t="s">
        <v>30</v>
      </c>
      <c r="I618" s="315" t="s">
        <v>1063</v>
      </c>
      <c r="J618" s="315" t="str">
        <f t="shared" si="61"/>
        <v>Used VehicleGross profit per wholesale unit</v>
      </c>
      <c r="K618" s="315" t="str">
        <f t="shared" si="62"/>
        <v>421Toyota UV Wholesale Cost of Sales</v>
      </c>
      <c r="L618" s="311">
        <f>+SUMIF('TUNZ Extracted TB'!M:M,$P618,'TUNZ Extracted TB'!G:G)</f>
        <v>0</v>
      </c>
      <c r="M618" s="311"/>
      <c r="N618" s="311">
        <f>+SUMIF('Input Sheet'!$AE:$AE,P618,'Input Sheet'!$X:$X)</f>
        <v>0</v>
      </c>
      <c r="O618" s="311"/>
      <c r="P618" t="str">
        <f t="shared" si="63"/>
        <v>421-4230</v>
      </c>
      <c r="Q618" s="315" t="str">
        <f t="shared" si="64"/>
        <v>Used Vehicle</v>
      </c>
      <c r="R618" s="315" t="str">
        <f t="shared" si="65"/>
        <v>Used VehicleGross profit per wholesale unit</v>
      </c>
      <c r="S618" s="199"/>
      <c r="T618" s="199"/>
      <c r="U618" s="199"/>
    </row>
    <row r="619" spans="1:21" x14ac:dyDescent="0.25">
      <c r="A619" t="s">
        <v>996</v>
      </c>
      <c r="B619" t="s">
        <v>997</v>
      </c>
      <c r="C619" t="s">
        <v>1013</v>
      </c>
      <c r="D619">
        <v>4230</v>
      </c>
      <c r="E619">
        <v>320</v>
      </c>
      <c r="F619" t="s">
        <v>1157</v>
      </c>
      <c r="G619" t="s">
        <v>1158</v>
      </c>
      <c r="H619" s="315" t="s">
        <v>30</v>
      </c>
      <c r="I619" s="315" t="s">
        <v>1063</v>
      </c>
      <c r="J619" s="315" t="str">
        <f t="shared" si="61"/>
        <v>Used VehicleGross profit per wholesale unit</v>
      </c>
      <c r="K619" s="315" t="str">
        <f t="shared" si="62"/>
        <v>320Toyota UV Wholesale Cost of Sales</v>
      </c>
      <c r="L619" s="311">
        <f>+SUMIF('TUNZ Extracted TB'!M:M,$P619,'TUNZ Extracted TB'!G:G)</f>
        <v>0</v>
      </c>
      <c r="M619" s="311"/>
      <c r="N619" s="311">
        <f>+SUMIF('Input Sheet'!$AE:$AE,P619,'Input Sheet'!$X:$X)</f>
        <v>0</v>
      </c>
      <c r="O619" s="311"/>
      <c r="P619" t="str">
        <f t="shared" si="63"/>
        <v>320-4230</v>
      </c>
      <c r="Q619" s="315" t="str">
        <f t="shared" si="64"/>
        <v>Used Vehicle</v>
      </c>
      <c r="R619" s="315" t="str">
        <f t="shared" si="65"/>
        <v>Used VehicleGross profit per wholesale unit</v>
      </c>
      <c r="S619" s="199"/>
      <c r="T619" s="199"/>
      <c r="U619" s="199"/>
    </row>
    <row r="620" spans="1:21" x14ac:dyDescent="0.25">
      <c r="A620" t="s">
        <v>996</v>
      </c>
      <c r="B620" t="s">
        <v>997</v>
      </c>
      <c r="C620" t="s">
        <v>1013</v>
      </c>
      <c r="D620">
        <v>4230</v>
      </c>
      <c r="E620">
        <v>321</v>
      </c>
      <c r="F620" t="s">
        <v>1157</v>
      </c>
      <c r="G620" t="s">
        <v>1158</v>
      </c>
      <c r="H620" s="315" t="s">
        <v>30</v>
      </c>
      <c r="I620" s="315" t="s">
        <v>1063</v>
      </c>
      <c r="J620" s="315" t="str">
        <f t="shared" si="61"/>
        <v>Used VehicleGross profit per wholesale unit</v>
      </c>
      <c r="K620" s="315" t="str">
        <f t="shared" si="62"/>
        <v>321Toyota UV Wholesale Cost of Sales</v>
      </c>
      <c r="L620" s="311">
        <f>+SUMIF('TUNZ Extracted TB'!M:M,$P620,'TUNZ Extracted TB'!G:G)</f>
        <v>0</v>
      </c>
      <c r="M620" s="311"/>
      <c r="N620" s="311">
        <f>+SUMIF('Input Sheet'!$AE:$AE,P620,'Input Sheet'!$X:$X)</f>
        <v>0</v>
      </c>
      <c r="O620" s="311"/>
      <c r="P620" t="str">
        <f t="shared" si="63"/>
        <v>321-4230</v>
      </c>
      <c r="Q620" s="315" t="str">
        <f t="shared" si="64"/>
        <v>Used Vehicle</v>
      </c>
      <c r="R620" s="315" t="str">
        <f t="shared" si="65"/>
        <v>Used VehicleGross profit per wholesale unit</v>
      </c>
      <c r="S620" s="199"/>
      <c r="T620" s="199"/>
      <c r="U620" s="199"/>
    </row>
    <row r="621" spans="1:21" x14ac:dyDescent="0.25">
      <c r="A621" t="s">
        <v>996</v>
      </c>
      <c r="B621" t="s">
        <v>997</v>
      </c>
      <c r="C621" t="s">
        <v>997</v>
      </c>
      <c r="D621">
        <v>4231</v>
      </c>
      <c r="E621">
        <v>122</v>
      </c>
      <c r="F621" t="s">
        <v>1160</v>
      </c>
      <c r="G621" t="s">
        <v>1161</v>
      </c>
      <c r="H621" s="315" t="s">
        <v>1041</v>
      </c>
      <c r="I621" s="315" t="s">
        <v>1063</v>
      </c>
      <c r="J621" s="315" t="str">
        <f t="shared" si="61"/>
        <v>LEX Used VehicleGross profit per wholesale unit</v>
      </c>
      <c r="K621" s="315" t="str">
        <f t="shared" si="62"/>
        <v>122Lexus UV Wholesale Cost of Sales</v>
      </c>
      <c r="L621" s="311">
        <f>+SUMIF('TUNZ Extracted TB'!M:M,$P621,'TUNZ Extracted TB'!G:G)</f>
        <v>0</v>
      </c>
      <c r="M621" s="311"/>
      <c r="N621" s="311">
        <f>+SUMIF('Input Sheet'!$AE:$AE,P621,'Input Sheet'!$X:$X)</f>
        <v>0</v>
      </c>
      <c r="O621" s="311"/>
      <c r="P621" t="str">
        <f t="shared" si="63"/>
        <v>122-4231</v>
      </c>
      <c r="Q621" s="315" t="str">
        <f t="shared" si="64"/>
        <v>LEX Used Vehicle</v>
      </c>
      <c r="R621" s="315" t="str">
        <f t="shared" si="65"/>
        <v>LEX Used VehicleGross profit per wholesale unit</v>
      </c>
      <c r="S621" s="199"/>
      <c r="T621" s="199"/>
      <c r="U621" s="199"/>
    </row>
    <row r="622" spans="1:21" x14ac:dyDescent="0.25">
      <c r="A622" t="s">
        <v>996</v>
      </c>
      <c r="B622" t="s">
        <v>997</v>
      </c>
      <c r="C622" t="s">
        <v>1005</v>
      </c>
      <c r="D622">
        <v>4231</v>
      </c>
      <c r="E622">
        <v>220</v>
      </c>
      <c r="F622" t="s">
        <v>1157</v>
      </c>
      <c r="G622" t="s">
        <v>1158</v>
      </c>
      <c r="H622" s="315" t="s">
        <v>30</v>
      </c>
      <c r="I622" s="315" t="s">
        <v>1063</v>
      </c>
      <c r="J622" s="315" t="str">
        <f t="shared" si="61"/>
        <v>Used VehicleGross profit per wholesale unit</v>
      </c>
      <c r="K622" s="315" t="str">
        <f t="shared" si="62"/>
        <v>220Toyota UV Wholesale Cost of Sales</v>
      </c>
      <c r="L622" s="311">
        <f>+SUMIF('TUNZ Extracted TB'!M:M,$P622,'TUNZ Extracted TB'!G:G)</f>
        <v>0</v>
      </c>
      <c r="M622" s="311"/>
      <c r="N622" s="311">
        <f>+SUMIF('Input Sheet'!$AE:$AE,P622,'Input Sheet'!$X:$X)</f>
        <v>0</v>
      </c>
      <c r="O622" s="311"/>
      <c r="P622" t="str">
        <f t="shared" si="63"/>
        <v>220-4231</v>
      </c>
      <c r="Q622" s="315" t="str">
        <f t="shared" si="64"/>
        <v>Used Vehicle</v>
      </c>
      <c r="R622" s="315" t="str">
        <f t="shared" si="65"/>
        <v>Used VehicleGross profit per wholesale unit</v>
      </c>
      <c r="S622" s="199"/>
      <c r="T622" s="199"/>
      <c r="U622" s="199"/>
    </row>
    <row r="623" spans="1:21" x14ac:dyDescent="0.25">
      <c r="A623" t="s">
        <v>996</v>
      </c>
      <c r="B623" t="s">
        <v>997</v>
      </c>
      <c r="C623" t="s">
        <v>1005</v>
      </c>
      <c r="D623">
        <v>4231</v>
      </c>
      <c r="E623">
        <v>221</v>
      </c>
      <c r="F623" t="s">
        <v>1157</v>
      </c>
      <c r="G623" t="s">
        <v>1158</v>
      </c>
      <c r="H623" s="315" t="s">
        <v>30</v>
      </c>
      <c r="I623" s="315" t="s">
        <v>1063</v>
      </c>
      <c r="J623" s="315" t="str">
        <f t="shared" si="61"/>
        <v>Used VehicleGross profit per wholesale unit</v>
      </c>
      <c r="K623" s="315" t="str">
        <f t="shared" si="62"/>
        <v>221Toyota UV Wholesale Cost of Sales</v>
      </c>
      <c r="L623" s="311">
        <f>+SUMIF('TUNZ Extracted TB'!M:M,$P623,'TUNZ Extracted TB'!G:G)</f>
        <v>0</v>
      </c>
      <c r="M623" s="311"/>
      <c r="N623" s="311">
        <f>+SUMIF('Input Sheet'!$AE:$AE,P623,'Input Sheet'!$X:$X)</f>
        <v>0</v>
      </c>
      <c r="O623" s="311"/>
      <c r="P623" t="str">
        <f t="shared" si="63"/>
        <v>221-4231</v>
      </c>
      <c r="Q623" s="315" t="str">
        <f t="shared" si="64"/>
        <v>Used Vehicle</v>
      </c>
      <c r="R623" s="315" t="str">
        <f t="shared" si="65"/>
        <v>Used VehicleGross profit per wholesale unit</v>
      </c>
      <c r="S623" s="199"/>
      <c r="T623" s="199"/>
      <c r="U623" s="199"/>
    </row>
    <row r="624" spans="1:21" x14ac:dyDescent="0.25">
      <c r="A624" t="s">
        <v>996</v>
      </c>
      <c r="B624" t="s">
        <v>997</v>
      </c>
      <c r="C624" t="s">
        <v>1012</v>
      </c>
      <c r="D624">
        <v>4231</v>
      </c>
      <c r="E624">
        <v>420</v>
      </c>
      <c r="F624" t="s">
        <v>1157</v>
      </c>
      <c r="G624" t="s">
        <v>1158</v>
      </c>
      <c r="H624" s="315" t="s">
        <v>30</v>
      </c>
      <c r="I624" s="315" t="s">
        <v>1063</v>
      </c>
      <c r="J624" s="315" t="str">
        <f t="shared" si="61"/>
        <v>Used VehicleGross profit per wholesale unit</v>
      </c>
      <c r="K624" s="315" t="str">
        <f t="shared" si="62"/>
        <v>420Toyota UV Wholesale Cost of Sales</v>
      </c>
      <c r="L624" s="311">
        <f>+SUMIF('TUNZ Extracted TB'!M:M,$P624,'TUNZ Extracted TB'!G:G)</f>
        <v>0</v>
      </c>
      <c r="M624" s="311"/>
      <c r="N624" s="311">
        <f>+SUMIF('Input Sheet'!$AE:$AE,P624,'Input Sheet'!$X:$X)</f>
        <v>0</v>
      </c>
      <c r="O624" s="311"/>
      <c r="P624" t="str">
        <f t="shared" si="63"/>
        <v>420-4231</v>
      </c>
      <c r="Q624" s="315" t="str">
        <f t="shared" si="64"/>
        <v>Used Vehicle</v>
      </c>
      <c r="R624" s="315" t="str">
        <f t="shared" si="65"/>
        <v>Used VehicleGross profit per wholesale unit</v>
      </c>
      <c r="S624" s="199"/>
      <c r="T624" s="199"/>
      <c r="U624" s="199"/>
    </row>
    <row r="625" spans="1:21" x14ac:dyDescent="0.25">
      <c r="A625" t="s">
        <v>996</v>
      </c>
      <c r="B625" t="s">
        <v>997</v>
      </c>
      <c r="C625" t="s">
        <v>1012</v>
      </c>
      <c r="D625">
        <v>4231</v>
      </c>
      <c r="E625">
        <v>421</v>
      </c>
      <c r="F625" t="s">
        <v>1157</v>
      </c>
      <c r="G625" t="s">
        <v>1158</v>
      </c>
      <c r="H625" s="315" t="s">
        <v>30</v>
      </c>
      <c r="I625" s="315" t="s">
        <v>1063</v>
      </c>
      <c r="J625" s="315" t="str">
        <f t="shared" si="61"/>
        <v>Used VehicleGross profit per wholesale unit</v>
      </c>
      <c r="K625" s="315" t="str">
        <f t="shared" si="62"/>
        <v>421Toyota UV Wholesale Cost of Sales</v>
      </c>
      <c r="L625" s="311">
        <f>+SUMIF('TUNZ Extracted TB'!M:M,$P625,'TUNZ Extracted TB'!G:G)</f>
        <v>0</v>
      </c>
      <c r="M625" s="311"/>
      <c r="N625" s="311">
        <f>+SUMIF('Input Sheet'!$AE:$AE,P625,'Input Sheet'!$X:$X)</f>
        <v>0</v>
      </c>
      <c r="O625" s="311"/>
      <c r="P625" t="str">
        <f t="shared" si="63"/>
        <v>421-4231</v>
      </c>
      <c r="Q625" s="315" t="str">
        <f t="shared" si="64"/>
        <v>Used Vehicle</v>
      </c>
      <c r="R625" s="315" t="str">
        <f t="shared" si="65"/>
        <v>Used VehicleGross profit per wholesale unit</v>
      </c>
      <c r="S625" s="199"/>
      <c r="T625" s="199"/>
      <c r="U625" s="199"/>
    </row>
    <row r="626" spans="1:21" x14ac:dyDescent="0.25">
      <c r="A626" t="s">
        <v>996</v>
      </c>
      <c r="B626" t="s">
        <v>997</v>
      </c>
      <c r="C626" t="s">
        <v>1013</v>
      </c>
      <c r="D626">
        <v>4231</v>
      </c>
      <c r="E626">
        <v>320</v>
      </c>
      <c r="F626" t="s">
        <v>1157</v>
      </c>
      <c r="G626" t="s">
        <v>1158</v>
      </c>
      <c r="H626" s="315" t="s">
        <v>30</v>
      </c>
      <c r="I626" s="315" t="s">
        <v>1063</v>
      </c>
      <c r="J626" s="315" t="str">
        <f t="shared" si="61"/>
        <v>Used VehicleGross profit per wholesale unit</v>
      </c>
      <c r="K626" s="315" t="str">
        <f t="shared" si="62"/>
        <v>320Toyota UV Wholesale Cost of Sales</v>
      </c>
      <c r="L626" s="311">
        <f>+SUMIF('TUNZ Extracted TB'!M:M,$P626,'TUNZ Extracted TB'!G:G)</f>
        <v>0</v>
      </c>
      <c r="M626" s="311"/>
      <c r="N626" s="311">
        <f>+SUMIF('Input Sheet'!$AE:$AE,P626,'Input Sheet'!$X:$X)</f>
        <v>0</v>
      </c>
      <c r="O626" s="311"/>
      <c r="P626" t="str">
        <f t="shared" si="63"/>
        <v>320-4231</v>
      </c>
      <c r="Q626" s="315" t="str">
        <f t="shared" si="64"/>
        <v>Used Vehicle</v>
      </c>
      <c r="R626" s="315" t="str">
        <f t="shared" si="65"/>
        <v>Used VehicleGross profit per wholesale unit</v>
      </c>
      <c r="S626" s="199"/>
      <c r="T626" s="199"/>
      <c r="U626" s="199"/>
    </row>
    <row r="627" spans="1:21" x14ac:dyDescent="0.25">
      <c r="A627" t="s">
        <v>996</v>
      </c>
      <c r="B627" t="s">
        <v>997</v>
      </c>
      <c r="C627" t="s">
        <v>1013</v>
      </c>
      <c r="D627">
        <v>4231</v>
      </c>
      <c r="E627">
        <v>321</v>
      </c>
      <c r="F627" t="s">
        <v>1157</v>
      </c>
      <c r="G627" t="s">
        <v>1158</v>
      </c>
      <c r="H627" s="315" t="s">
        <v>30</v>
      </c>
      <c r="I627" s="315" t="s">
        <v>1063</v>
      </c>
      <c r="J627" s="315" t="str">
        <f t="shared" si="61"/>
        <v>Used VehicleGross profit per wholesale unit</v>
      </c>
      <c r="K627" s="315" t="str">
        <f t="shared" si="62"/>
        <v>321Toyota UV Wholesale Cost of Sales</v>
      </c>
      <c r="L627" s="311">
        <f>+SUMIF('TUNZ Extracted TB'!M:M,$P627,'TUNZ Extracted TB'!G:G)</f>
        <v>0</v>
      </c>
      <c r="M627" s="311"/>
      <c r="N627" s="311">
        <f>+SUMIF('Input Sheet'!$AE:$AE,P627,'Input Sheet'!$X:$X)</f>
        <v>0</v>
      </c>
      <c r="O627" s="311"/>
      <c r="P627" t="str">
        <f t="shared" si="63"/>
        <v>321-4231</v>
      </c>
      <c r="Q627" s="315" t="str">
        <f t="shared" si="64"/>
        <v>Used Vehicle</v>
      </c>
      <c r="R627" s="315" t="str">
        <f t="shared" si="65"/>
        <v>Used VehicleGross profit per wholesale unit</v>
      </c>
      <c r="S627" s="199"/>
      <c r="T627" s="199"/>
      <c r="U627" s="199"/>
    </row>
    <row r="628" spans="1:21" x14ac:dyDescent="0.25">
      <c r="A628" t="s">
        <v>996</v>
      </c>
      <c r="B628" t="s">
        <v>997</v>
      </c>
      <c r="C628" t="s">
        <v>997</v>
      </c>
      <c r="D628">
        <v>4232</v>
      </c>
      <c r="E628">
        <v>120</v>
      </c>
      <c r="F628" t="s">
        <v>1157</v>
      </c>
      <c r="G628" t="s">
        <v>1158</v>
      </c>
      <c r="H628" s="315" t="s">
        <v>30</v>
      </c>
      <c r="I628" s="315" t="s">
        <v>1063</v>
      </c>
      <c r="J628" s="315" t="str">
        <f t="shared" si="61"/>
        <v>Used VehicleGross profit per wholesale unit</v>
      </c>
      <c r="K628" s="315" t="str">
        <f t="shared" si="62"/>
        <v>120Toyota UV Wholesale Cost of Sales</v>
      </c>
      <c r="L628" s="311">
        <f>+SUMIF('TUNZ Extracted TB'!M:M,$P628,'TUNZ Extracted TB'!G:G)</f>
        <v>0</v>
      </c>
      <c r="M628" s="311"/>
      <c r="N628" s="311">
        <f>+SUMIF('Input Sheet'!$AE:$AE,P628,'Input Sheet'!$X:$X)</f>
        <v>0</v>
      </c>
      <c r="O628" s="311"/>
      <c r="P628" t="str">
        <f t="shared" si="63"/>
        <v>120-4232</v>
      </c>
      <c r="Q628" s="315" t="str">
        <f t="shared" si="64"/>
        <v>Used Vehicle</v>
      </c>
      <c r="R628" s="315" t="str">
        <f t="shared" si="65"/>
        <v>Used VehicleGross profit per wholesale unit</v>
      </c>
      <c r="S628" s="199"/>
      <c r="T628" s="199"/>
      <c r="U628" s="199"/>
    </row>
    <row r="629" spans="1:21" x14ac:dyDescent="0.25">
      <c r="A629" t="s">
        <v>996</v>
      </c>
      <c r="B629" t="s">
        <v>997</v>
      </c>
      <c r="C629" t="s">
        <v>997</v>
      </c>
      <c r="D629">
        <v>4232</v>
      </c>
      <c r="E629">
        <v>122</v>
      </c>
      <c r="F629" t="s">
        <v>1160</v>
      </c>
      <c r="G629" t="s">
        <v>1161</v>
      </c>
      <c r="H629" s="315" t="s">
        <v>1041</v>
      </c>
      <c r="I629" s="315" t="s">
        <v>1063</v>
      </c>
      <c r="J629" s="315" t="str">
        <f t="shared" si="61"/>
        <v>LEX Used VehicleGross profit per wholesale unit</v>
      </c>
      <c r="K629" s="315" t="str">
        <f t="shared" si="62"/>
        <v>122Lexus UV Wholesale Cost of Sales</v>
      </c>
      <c r="L629" s="311">
        <f>+SUMIF('TUNZ Extracted TB'!M:M,$P629,'TUNZ Extracted TB'!G:G)</f>
        <v>0</v>
      </c>
      <c r="M629" s="311"/>
      <c r="N629" s="311">
        <f>+SUMIF('Input Sheet'!$AE:$AE,P629,'Input Sheet'!$X:$X)</f>
        <v>0</v>
      </c>
      <c r="O629" s="311"/>
      <c r="P629" t="str">
        <f t="shared" si="63"/>
        <v>122-4232</v>
      </c>
      <c r="Q629" s="315" t="str">
        <f t="shared" si="64"/>
        <v>LEX Used Vehicle</v>
      </c>
      <c r="R629" s="315" t="str">
        <f t="shared" si="65"/>
        <v>LEX Used VehicleGross profit per wholesale unit</v>
      </c>
      <c r="S629" s="199"/>
      <c r="T629" s="199"/>
      <c r="U629" s="199"/>
    </row>
    <row r="630" spans="1:21" x14ac:dyDescent="0.25">
      <c r="A630" t="s">
        <v>996</v>
      </c>
      <c r="B630" t="s">
        <v>997</v>
      </c>
      <c r="C630" t="s">
        <v>1005</v>
      </c>
      <c r="D630">
        <v>4232</v>
      </c>
      <c r="E630">
        <v>220</v>
      </c>
      <c r="F630" t="s">
        <v>1157</v>
      </c>
      <c r="G630" t="s">
        <v>1158</v>
      </c>
      <c r="H630" s="315" t="s">
        <v>30</v>
      </c>
      <c r="I630" s="315" t="s">
        <v>1063</v>
      </c>
      <c r="J630" s="315" t="str">
        <f t="shared" si="61"/>
        <v>Used VehicleGross profit per wholesale unit</v>
      </c>
      <c r="K630" s="315" t="str">
        <f t="shared" si="62"/>
        <v>220Toyota UV Wholesale Cost of Sales</v>
      </c>
      <c r="L630" s="311">
        <f>+SUMIF('TUNZ Extracted TB'!M:M,$P630,'TUNZ Extracted TB'!G:G)</f>
        <v>0</v>
      </c>
      <c r="M630" s="311"/>
      <c r="N630" s="311">
        <f>+SUMIF('Input Sheet'!$AE:$AE,P630,'Input Sheet'!$X:$X)</f>
        <v>0</v>
      </c>
      <c r="O630" s="311"/>
      <c r="P630" t="str">
        <f t="shared" si="63"/>
        <v>220-4232</v>
      </c>
      <c r="Q630" s="315" t="str">
        <f t="shared" si="64"/>
        <v>Used Vehicle</v>
      </c>
      <c r="R630" s="315" t="str">
        <f t="shared" si="65"/>
        <v>Used VehicleGross profit per wholesale unit</v>
      </c>
      <c r="S630" s="199"/>
      <c r="T630" s="199"/>
      <c r="U630" s="199"/>
    </row>
    <row r="631" spans="1:21" x14ac:dyDescent="0.25">
      <c r="A631" t="s">
        <v>996</v>
      </c>
      <c r="B631" t="s">
        <v>997</v>
      </c>
      <c r="C631" t="s">
        <v>1005</v>
      </c>
      <c r="D631">
        <v>4232</v>
      </c>
      <c r="E631">
        <v>221</v>
      </c>
      <c r="F631" t="s">
        <v>1157</v>
      </c>
      <c r="G631" t="s">
        <v>1158</v>
      </c>
      <c r="H631" s="315" t="s">
        <v>30</v>
      </c>
      <c r="I631" s="315" t="s">
        <v>1063</v>
      </c>
      <c r="J631" s="315" t="str">
        <f t="shared" si="61"/>
        <v>Used VehicleGross profit per wholesale unit</v>
      </c>
      <c r="K631" s="315" t="str">
        <f t="shared" si="62"/>
        <v>221Toyota UV Wholesale Cost of Sales</v>
      </c>
      <c r="L631" s="311">
        <f>+SUMIF('TUNZ Extracted TB'!M:M,$P631,'TUNZ Extracted TB'!G:G)</f>
        <v>0</v>
      </c>
      <c r="M631" s="311"/>
      <c r="N631" s="311">
        <f>+SUMIF('Input Sheet'!$AE:$AE,P631,'Input Sheet'!$X:$X)</f>
        <v>0</v>
      </c>
      <c r="O631" s="311"/>
      <c r="P631" t="str">
        <f t="shared" si="63"/>
        <v>221-4232</v>
      </c>
      <c r="Q631" s="315" t="str">
        <f t="shared" si="64"/>
        <v>Used Vehicle</v>
      </c>
      <c r="R631" s="315" t="str">
        <f t="shared" si="65"/>
        <v>Used VehicleGross profit per wholesale unit</v>
      </c>
      <c r="S631" s="199"/>
      <c r="T631" s="199"/>
      <c r="U631" s="199"/>
    </row>
    <row r="632" spans="1:21" x14ac:dyDescent="0.25">
      <c r="A632" t="s">
        <v>996</v>
      </c>
      <c r="B632" t="s">
        <v>997</v>
      </c>
      <c r="C632" t="s">
        <v>1012</v>
      </c>
      <c r="D632">
        <v>4232</v>
      </c>
      <c r="E632">
        <v>420</v>
      </c>
      <c r="F632" t="s">
        <v>1157</v>
      </c>
      <c r="G632" t="s">
        <v>1158</v>
      </c>
      <c r="H632" s="315" t="s">
        <v>30</v>
      </c>
      <c r="I632" s="315" t="s">
        <v>1063</v>
      </c>
      <c r="J632" s="315" t="str">
        <f t="shared" si="61"/>
        <v>Used VehicleGross profit per wholesale unit</v>
      </c>
      <c r="K632" s="315" t="str">
        <f t="shared" si="62"/>
        <v>420Toyota UV Wholesale Cost of Sales</v>
      </c>
      <c r="L632" s="311">
        <f>+SUMIF('TUNZ Extracted TB'!M:M,$P632,'TUNZ Extracted TB'!G:G)</f>
        <v>0</v>
      </c>
      <c r="M632" s="311"/>
      <c r="N632" s="311">
        <f>+SUMIF('Input Sheet'!$AE:$AE,P632,'Input Sheet'!$X:$X)</f>
        <v>0</v>
      </c>
      <c r="O632" s="311"/>
      <c r="P632" t="str">
        <f t="shared" si="63"/>
        <v>420-4232</v>
      </c>
      <c r="Q632" s="315" t="str">
        <f t="shared" si="64"/>
        <v>Used Vehicle</v>
      </c>
      <c r="R632" s="315" t="str">
        <f t="shared" si="65"/>
        <v>Used VehicleGross profit per wholesale unit</v>
      </c>
      <c r="S632" s="199"/>
      <c r="T632" s="199"/>
      <c r="U632" s="199"/>
    </row>
    <row r="633" spans="1:21" x14ac:dyDescent="0.25">
      <c r="A633" t="s">
        <v>996</v>
      </c>
      <c r="B633" t="s">
        <v>997</v>
      </c>
      <c r="C633" t="s">
        <v>1012</v>
      </c>
      <c r="D633">
        <v>4232</v>
      </c>
      <c r="E633">
        <v>421</v>
      </c>
      <c r="F633" t="s">
        <v>1157</v>
      </c>
      <c r="G633" t="s">
        <v>1158</v>
      </c>
      <c r="H633" s="315" t="s">
        <v>30</v>
      </c>
      <c r="I633" s="315" t="s">
        <v>1063</v>
      </c>
      <c r="J633" s="315" t="str">
        <f t="shared" si="61"/>
        <v>Used VehicleGross profit per wholesale unit</v>
      </c>
      <c r="K633" s="315" t="str">
        <f t="shared" si="62"/>
        <v>421Toyota UV Wholesale Cost of Sales</v>
      </c>
      <c r="L633" s="311">
        <f>+SUMIF('TUNZ Extracted TB'!M:M,$P633,'TUNZ Extracted TB'!G:G)</f>
        <v>0</v>
      </c>
      <c r="M633" s="311"/>
      <c r="N633" s="311">
        <f>+SUMIF('Input Sheet'!$AE:$AE,P633,'Input Sheet'!$X:$X)</f>
        <v>0</v>
      </c>
      <c r="O633" s="311"/>
      <c r="P633" t="str">
        <f t="shared" si="63"/>
        <v>421-4232</v>
      </c>
      <c r="Q633" s="315" t="str">
        <f t="shared" si="64"/>
        <v>Used Vehicle</v>
      </c>
      <c r="R633" s="315" t="str">
        <f t="shared" si="65"/>
        <v>Used VehicleGross profit per wholesale unit</v>
      </c>
      <c r="S633" s="199"/>
      <c r="T633" s="199"/>
      <c r="U633" s="199"/>
    </row>
    <row r="634" spans="1:21" x14ac:dyDescent="0.25">
      <c r="A634" t="s">
        <v>996</v>
      </c>
      <c r="B634" t="s">
        <v>997</v>
      </c>
      <c r="C634" t="s">
        <v>1013</v>
      </c>
      <c r="D634">
        <v>4232</v>
      </c>
      <c r="E634">
        <v>320</v>
      </c>
      <c r="F634" t="s">
        <v>1157</v>
      </c>
      <c r="G634" t="s">
        <v>1158</v>
      </c>
      <c r="H634" s="315" t="s">
        <v>30</v>
      </c>
      <c r="I634" s="315" t="s">
        <v>1063</v>
      </c>
      <c r="J634" s="315" t="str">
        <f t="shared" si="61"/>
        <v>Used VehicleGross profit per wholesale unit</v>
      </c>
      <c r="K634" s="315" t="str">
        <f t="shared" si="62"/>
        <v>320Toyota UV Wholesale Cost of Sales</v>
      </c>
      <c r="L634" s="311">
        <f>+SUMIF('TUNZ Extracted TB'!M:M,$P634,'TUNZ Extracted TB'!G:G)</f>
        <v>0</v>
      </c>
      <c r="M634" s="311"/>
      <c r="N634" s="311">
        <f>+SUMIF('Input Sheet'!$AE:$AE,P634,'Input Sheet'!$X:$X)</f>
        <v>0</v>
      </c>
      <c r="O634" s="311"/>
      <c r="P634" t="str">
        <f t="shared" si="63"/>
        <v>320-4232</v>
      </c>
      <c r="Q634" s="315" t="str">
        <f t="shared" si="64"/>
        <v>Used Vehicle</v>
      </c>
      <c r="R634" s="315" t="str">
        <f t="shared" si="65"/>
        <v>Used VehicleGross profit per wholesale unit</v>
      </c>
      <c r="S634" s="199"/>
      <c r="T634" s="199"/>
      <c r="U634" s="199"/>
    </row>
    <row r="635" spans="1:21" x14ac:dyDescent="0.25">
      <c r="A635" t="s">
        <v>996</v>
      </c>
      <c r="B635" t="s">
        <v>997</v>
      </c>
      <c r="C635" t="s">
        <v>1013</v>
      </c>
      <c r="D635">
        <v>4232</v>
      </c>
      <c r="E635">
        <v>321</v>
      </c>
      <c r="F635" t="s">
        <v>1157</v>
      </c>
      <c r="G635" t="s">
        <v>1158</v>
      </c>
      <c r="H635" s="315" t="s">
        <v>30</v>
      </c>
      <c r="I635" s="315" t="s">
        <v>1063</v>
      </c>
      <c r="J635" s="315" t="str">
        <f t="shared" si="61"/>
        <v>Used VehicleGross profit per wholesale unit</v>
      </c>
      <c r="K635" s="315" t="str">
        <f t="shared" si="62"/>
        <v>321Toyota UV Wholesale Cost of Sales</v>
      </c>
      <c r="L635" s="311">
        <f>+SUMIF('TUNZ Extracted TB'!M:M,$P635,'TUNZ Extracted TB'!G:G)</f>
        <v>0</v>
      </c>
      <c r="M635" s="311"/>
      <c r="N635" s="311">
        <f>+SUMIF('Input Sheet'!$AE:$AE,P635,'Input Sheet'!$X:$X)</f>
        <v>0</v>
      </c>
      <c r="O635" s="311"/>
      <c r="P635" t="str">
        <f t="shared" si="63"/>
        <v>321-4232</v>
      </c>
      <c r="Q635" s="315" t="str">
        <f t="shared" si="64"/>
        <v>Used Vehicle</v>
      </c>
      <c r="R635" s="315" t="str">
        <f t="shared" si="65"/>
        <v>Used VehicleGross profit per wholesale unit</v>
      </c>
      <c r="S635" s="199"/>
      <c r="T635" s="199"/>
      <c r="U635" s="199"/>
    </row>
    <row r="636" spans="1:21" x14ac:dyDescent="0.25">
      <c r="A636" t="s">
        <v>996</v>
      </c>
      <c r="B636" t="s">
        <v>997</v>
      </c>
      <c r="C636" t="s">
        <v>997</v>
      </c>
      <c r="D636">
        <v>4232</v>
      </c>
      <c r="E636">
        <v>121</v>
      </c>
      <c r="F636" t="s">
        <v>1157</v>
      </c>
      <c r="G636" t="s">
        <v>1158</v>
      </c>
      <c r="H636" s="315" t="s">
        <v>30</v>
      </c>
      <c r="I636" s="315" t="s">
        <v>1063</v>
      </c>
      <c r="J636" s="315" t="str">
        <f t="shared" si="61"/>
        <v>Used VehicleGross profit per wholesale unit</v>
      </c>
      <c r="K636" s="315" t="str">
        <f t="shared" si="62"/>
        <v>121Toyota UV Wholesale Cost of Sales</v>
      </c>
      <c r="L636" s="311">
        <f>+SUMIF('TUNZ Extracted TB'!M:M,$P636,'TUNZ Extracted TB'!G:G)</f>
        <v>0</v>
      </c>
      <c r="M636" s="311"/>
      <c r="N636" s="311">
        <f>+SUMIF('Input Sheet'!$AE:$AE,P636,'Input Sheet'!$X:$X)</f>
        <v>0</v>
      </c>
      <c r="O636" s="311"/>
      <c r="P636" t="str">
        <f t="shared" si="63"/>
        <v>121-4232</v>
      </c>
      <c r="Q636" s="315" t="str">
        <f t="shared" si="64"/>
        <v>Used Vehicle</v>
      </c>
      <c r="R636" s="315" t="str">
        <f t="shared" si="65"/>
        <v>Used VehicleGross profit per wholesale unit</v>
      </c>
      <c r="S636" s="199"/>
      <c r="T636" s="199"/>
      <c r="U636" s="199"/>
    </row>
    <row r="637" spans="1:21" x14ac:dyDescent="0.25">
      <c r="A637" t="s">
        <v>996</v>
      </c>
      <c r="B637" t="s">
        <v>997</v>
      </c>
      <c r="C637" t="s">
        <v>997</v>
      </c>
      <c r="D637">
        <v>4233</v>
      </c>
      <c r="E637">
        <v>122</v>
      </c>
      <c r="F637" t="s">
        <v>1160</v>
      </c>
      <c r="G637" t="s">
        <v>1161</v>
      </c>
      <c r="H637" s="315" t="s">
        <v>1041</v>
      </c>
      <c r="I637" s="315" t="s">
        <v>1063</v>
      </c>
      <c r="J637" s="315" t="str">
        <f t="shared" si="61"/>
        <v>LEX Used VehicleGross profit per wholesale unit</v>
      </c>
      <c r="K637" s="315" t="str">
        <f t="shared" si="62"/>
        <v>122Lexus UV Wholesale Cost of Sales</v>
      </c>
      <c r="L637" s="311">
        <f>+SUMIF('TUNZ Extracted TB'!M:M,$P637,'TUNZ Extracted TB'!G:G)</f>
        <v>0</v>
      </c>
      <c r="M637" s="311"/>
      <c r="N637" s="311">
        <f>+SUMIF('Input Sheet'!$AE:$AE,P637,'Input Sheet'!$X:$X)</f>
        <v>0</v>
      </c>
      <c r="O637" s="311"/>
      <c r="P637" t="str">
        <f t="shared" si="63"/>
        <v>122-4233</v>
      </c>
      <c r="Q637" s="315" t="str">
        <f t="shared" si="64"/>
        <v>LEX Used Vehicle</v>
      </c>
      <c r="R637" s="315" t="str">
        <f t="shared" si="65"/>
        <v>LEX Used VehicleGross profit per wholesale unit</v>
      </c>
      <c r="S637" s="199"/>
      <c r="T637" s="199"/>
      <c r="U637" s="199"/>
    </row>
    <row r="638" spans="1:21" x14ac:dyDescent="0.25">
      <c r="A638" t="s">
        <v>996</v>
      </c>
      <c r="B638" t="s">
        <v>997</v>
      </c>
      <c r="C638" t="s">
        <v>1005</v>
      </c>
      <c r="D638">
        <v>4233</v>
      </c>
      <c r="E638">
        <v>220</v>
      </c>
      <c r="F638" t="s">
        <v>1157</v>
      </c>
      <c r="G638" t="s">
        <v>1158</v>
      </c>
      <c r="H638" s="315" t="s">
        <v>30</v>
      </c>
      <c r="I638" s="315" t="s">
        <v>1063</v>
      </c>
      <c r="J638" s="315" t="str">
        <f t="shared" si="61"/>
        <v>Used VehicleGross profit per wholesale unit</v>
      </c>
      <c r="K638" s="315" t="str">
        <f t="shared" si="62"/>
        <v>220Toyota UV Wholesale Cost of Sales</v>
      </c>
      <c r="L638" s="311">
        <f>+SUMIF('TUNZ Extracted TB'!M:M,$P638,'TUNZ Extracted TB'!G:G)</f>
        <v>0</v>
      </c>
      <c r="M638" s="311"/>
      <c r="N638" s="311">
        <f>+SUMIF('Input Sheet'!$AE:$AE,P638,'Input Sheet'!$X:$X)</f>
        <v>0</v>
      </c>
      <c r="O638" s="311"/>
      <c r="P638" t="str">
        <f t="shared" si="63"/>
        <v>220-4233</v>
      </c>
      <c r="Q638" s="315" t="str">
        <f t="shared" si="64"/>
        <v>Used Vehicle</v>
      </c>
      <c r="R638" s="315" t="str">
        <f t="shared" si="65"/>
        <v>Used VehicleGross profit per wholesale unit</v>
      </c>
      <c r="S638" s="199"/>
      <c r="T638" s="199"/>
      <c r="U638" s="199"/>
    </row>
    <row r="639" spans="1:21" x14ac:dyDescent="0.25">
      <c r="A639" t="s">
        <v>996</v>
      </c>
      <c r="B639" t="s">
        <v>997</v>
      </c>
      <c r="C639" t="s">
        <v>1005</v>
      </c>
      <c r="D639">
        <v>4233</v>
      </c>
      <c r="E639">
        <v>221</v>
      </c>
      <c r="F639" t="s">
        <v>1157</v>
      </c>
      <c r="G639" t="s">
        <v>1158</v>
      </c>
      <c r="H639" s="315" t="s">
        <v>30</v>
      </c>
      <c r="I639" s="315" t="s">
        <v>1063</v>
      </c>
      <c r="J639" s="315" t="str">
        <f t="shared" si="61"/>
        <v>Used VehicleGross profit per wholesale unit</v>
      </c>
      <c r="K639" s="315" t="str">
        <f t="shared" si="62"/>
        <v>221Toyota UV Wholesale Cost of Sales</v>
      </c>
      <c r="L639" s="311">
        <f>+SUMIF('TUNZ Extracted TB'!M:M,$P639,'TUNZ Extracted TB'!G:G)</f>
        <v>0</v>
      </c>
      <c r="M639" s="311"/>
      <c r="N639" s="311">
        <f>+SUMIF('Input Sheet'!$AE:$AE,P639,'Input Sheet'!$X:$X)</f>
        <v>0</v>
      </c>
      <c r="O639" s="311"/>
      <c r="P639" t="str">
        <f t="shared" si="63"/>
        <v>221-4233</v>
      </c>
      <c r="Q639" s="315" t="str">
        <f t="shared" si="64"/>
        <v>Used Vehicle</v>
      </c>
      <c r="R639" s="315" t="str">
        <f t="shared" si="65"/>
        <v>Used VehicleGross profit per wholesale unit</v>
      </c>
      <c r="S639" s="199"/>
      <c r="T639" s="199"/>
      <c r="U639" s="199"/>
    </row>
    <row r="640" spans="1:21" x14ac:dyDescent="0.25">
      <c r="A640" t="s">
        <v>996</v>
      </c>
      <c r="B640" t="s">
        <v>997</v>
      </c>
      <c r="C640" t="s">
        <v>1012</v>
      </c>
      <c r="D640">
        <v>4233</v>
      </c>
      <c r="E640">
        <v>420</v>
      </c>
      <c r="F640" t="s">
        <v>1157</v>
      </c>
      <c r="G640" t="s">
        <v>1158</v>
      </c>
      <c r="H640" s="315" t="s">
        <v>30</v>
      </c>
      <c r="I640" s="315" t="s">
        <v>1063</v>
      </c>
      <c r="J640" s="315" t="str">
        <f t="shared" si="61"/>
        <v>Used VehicleGross profit per wholesale unit</v>
      </c>
      <c r="K640" s="315" t="str">
        <f t="shared" si="62"/>
        <v>420Toyota UV Wholesale Cost of Sales</v>
      </c>
      <c r="L640" s="311">
        <f>+SUMIF('TUNZ Extracted TB'!M:M,$P640,'TUNZ Extracted TB'!G:G)</f>
        <v>0</v>
      </c>
      <c r="M640" s="311"/>
      <c r="N640" s="311">
        <f>+SUMIF('Input Sheet'!$AE:$AE,P640,'Input Sheet'!$X:$X)</f>
        <v>0</v>
      </c>
      <c r="O640" s="311"/>
      <c r="P640" t="str">
        <f t="shared" si="63"/>
        <v>420-4233</v>
      </c>
      <c r="Q640" s="315" t="str">
        <f t="shared" si="64"/>
        <v>Used Vehicle</v>
      </c>
      <c r="R640" s="315" t="str">
        <f t="shared" si="65"/>
        <v>Used VehicleGross profit per wholesale unit</v>
      </c>
      <c r="S640" s="199"/>
      <c r="T640" s="199"/>
      <c r="U640" s="199"/>
    </row>
    <row r="641" spans="1:21" x14ac:dyDescent="0.25">
      <c r="A641" t="s">
        <v>996</v>
      </c>
      <c r="B641" t="s">
        <v>997</v>
      </c>
      <c r="C641" t="s">
        <v>1012</v>
      </c>
      <c r="D641">
        <v>4233</v>
      </c>
      <c r="E641">
        <v>421</v>
      </c>
      <c r="F641" t="s">
        <v>1157</v>
      </c>
      <c r="G641" t="s">
        <v>1158</v>
      </c>
      <c r="H641" s="315" t="s">
        <v>30</v>
      </c>
      <c r="I641" s="315" t="s">
        <v>1063</v>
      </c>
      <c r="J641" s="315" t="str">
        <f t="shared" si="61"/>
        <v>Used VehicleGross profit per wholesale unit</v>
      </c>
      <c r="K641" s="315" t="str">
        <f t="shared" si="62"/>
        <v>421Toyota UV Wholesale Cost of Sales</v>
      </c>
      <c r="L641" s="311">
        <f>+SUMIF('TUNZ Extracted TB'!M:M,$P641,'TUNZ Extracted TB'!G:G)</f>
        <v>0</v>
      </c>
      <c r="M641" s="311"/>
      <c r="N641" s="311">
        <f>+SUMIF('Input Sheet'!$AE:$AE,P641,'Input Sheet'!$X:$X)</f>
        <v>0</v>
      </c>
      <c r="O641" s="311"/>
      <c r="P641" t="str">
        <f t="shared" si="63"/>
        <v>421-4233</v>
      </c>
      <c r="Q641" s="315" t="str">
        <f t="shared" si="64"/>
        <v>Used Vehicle</v>
      </c>
      <c r="R641" s="315" t="str">
        <f t="shared" si="65"/>
        <v>Used VehicleGross profit per wholesale unit</v>
      </c>
      <c r="S641" s="199"/>
      <c r="T641" s="199"/>
      <c r="U641" s="199"/>
    </row>
    <row r="642" spans="1:21" x14ac:dyDescent="0.25">
      <c r="A642" t="s">
        <v>996</v>
      </c>
      <c r="B642" t="s">
        <v>997</v>
      </c>
      <c r="C642" t="s">
        <v>1013</v>
      </c>
      <c r="D642">
        <v>4233</v>
      </c>
      <c r="E642">
        <v>320</v>
      </c>
      <c r="F642" t="s">
        <v>1157</v>
      </c>
      <c r="G642" t="s">
        <v>1158</v>
      </c>
      <c r="H642" s="315" t="s">
        <v>30</v>
      </c>
      <c r="I642" s="315" t="s">
        <v>1063</v>
      </c>
      <c r="J642" s="315" t="str">
        <f t="shared" si="61"/>
        <v>Used VehicleGross profit per wholesale unit</v>
      </c>
      <c r="K642" s="315" t="str">
        <f t="shared" si="62"/>
        <v>320Toyota UV Wholesale Cost of Sales</v>
      </c>
      <c r="L642" s="311">
        <f>+SUMIF('TUNZ Extracted TB'!M:M,$P642,'TUNZ Extracted TB'!G:G)</f>
        <v>0</v>
      </c>
      <c r="M642" s="311"/>
      <c r="N642" s="311">
        <f>+SUMIF('Input Sheet'!$AE:$AE,P642,'Input Sheet'!$X:$X)</f>
        <v>0</v>
      </c>
      <c r="O642" s="311"/>
      <c r="P642" t="str">
        <f t="shared" si="63"/>
        <v>320-4233</v>
      </c>
      <c r="Q642" s="315" t="str">
        <f t="shared" si="64"/>
        <v>Used Vehicle</v>
      </c>
      <c r="R642" s="315" t="str">
        <f t="shared" si="65"/>
        <v>Used VehicleGross profit per wholesale unit</v>
      </c>
      <c r="S642" s="199"/>
      <c r="T642" s="199"/>
      <c r="U642" s="199"/>
    </row>
    <row r="643" spans="1:21" x14ac:dyDescent="0.25">
      <c r="A643" t="s">
        <v>996</v>
      </c>
      <c r="B643" t="s">
        <v>997</v>
      </c>
      <c r="C643" t="s">
        <v>1013</v>
      </c>
      <c r="D643">
        <v>4233</v>
      </c>
      <c r="E643">
        <v>321</v>
      </c>
      <c r="F643" t="s">
        <v>1157</v>
      </c>
      <c r="G643" t="s">
        <v>1158</v>
      </c>
      <c r="H643" s="315" t="s">
        <v>30</v>
      </c>
      <c r="I643" s="315" t="s">
        <v>1063</v>
      </c>
      <c r="J643" s="315" t="str">
        <f t="shared" ref="J643:J706" si="66">+H643&amp;I643</f>
        <v>Used VehicleGross profit per wholesale unit</v>
      </c>
      <c r="K643" s="315" t="str">
        <f t="shared" ref="K643:K706" si="67">+E643&amp;G643</f>
        <v>321Toyota UV Wholesale Cost of Sales</v>
      </c>
      <c r="L643" s="311">
        <f>+SUMIF('TUNZ Extracted TB'!M:M,$P643,'TUNZ Extracted TB'!G:G)</f>
        <v>0</v>
      </c>
      <c r="M643" s="311"/>
      <c r="N643" s="311">
        <f>+SUMIF('Input Sheet'!$AE:$AE,P643,'Input Sheet'!$X:$X)</f>
        <v>0</v>
      </c>
      <c r="O643" s="311"/>
      <c r="P643" t="str">
        <f t="shared" ref="P643:P706" si="68">+E643&amp;"-"&amp;D643</f>
        <v>321-4233</v>
      </c>
      <c r="Q643" s="315" t="str">
        <f t="shared" ref="Q643:Q706" si="69">H643</f>
        <v>Used Vehicle</v>
      </c>
      <c r="R643" s="315" t="str">
        <f t="shared" ref="R643:R706" si="70">J643</f>
        <v>Used VehicleGross profit per wholesale unit</v>
      </c>
      <c r="S643" s="199"/>
      <c r="T643" s="199"/>
      <c r="U643" s="199"/>
    </row>
    <row r="644" spans="1:21" x14ac:dyDescent="0.25">
      <c r="A644" t="s">
        <v>996</v>
      </c>
      <c r="B644" t="s">
        <v>997</v>
      </c>
      <c r="C644" t="s">
        <v>997</v>
      </c>
      <c r="D644">
        <v>4245</v>
      </c>
      <c r="E644">
        <v>122</v>
      </c>
      <c r="F644" t="s">
        <v>1071</v>
      </c>
      <c r="G644" t="s">
        <v>1072</v>
      </c>
      <c r="H644" s="315" t="s">
        <v>1041</v>
      </c>
      <c r="I644" s="315" t="s">
        <v>1073</v>
      </c>
      <c r="J644" s="315" t="str">
        <f t="shared" si="66"/>
        <v>LEX Used VehicleOther UV retail gross profit p.u.</v>
      </c>
      <c r="K644" s="315" t="str">
        <f t="shared" si="67"/>
        <v>122Lexus UV Cost of Sales</v>
      </c>
      <c r="L644" s="311">
        <f>+SUMIF('TUNZ Extracted TB'!M:M,$P644,'TUNZ Extracted TB'!G:G)</f>
        <v>0</v>
      </c>
      <c r="M644" s="311"/>
      <c r="N644" s="311">
        <f>+SUMIF('Input Sheet'!$AE:$AE,P644,'Input Sheet'!$X:$X)</f>
        <v>0</v>
      </c>
      <c r="O644" s="311"/>
      <c r="P644" t="str">
        <f t="shared" si="68"/>
        <v>122-4245</v>
      </c>
      <c r="Q644" s="315" t="str">
        <f t="shared" si="69"/>
        <v>LEX Used Vehicle</v>
      </c>
      <c r="R644" s="315" t="str">
        <f t="shared" si="70"/>
        <v>LEX Used VehicleOther UV retail gross profit p.u.</v>
      </c>
      <c r="S644" s="199"/>
      <c r="T644" s="199"/>
      <c r="U644" s="199"/>
    </row>
    <row r="645" spans="1:21" x14ac:dyDescent="0.25">
      <c r="A645" t="s">
        <v>996</v>
      </c>
      <c r="B645" t="s">
        <v>997</v>
      </c>
      <c r="C645" t="s">
        <v>1005</v>
      </c>
      <c r="D645">
        <v>4245</v>
      </c>
      <c r="E645">
        <v>221</v>
      </c>
      <c r="F645" t="s">
        <v>1150</v>
      </c>
      <c r="G645" t="s">
        <v>1151</v>
      </c>
      <c r="H645" s="315" t="s">
        <v>30</v>
      </c>
      <c r="I645" s="315" t="s">
        <v>1073</v>
      </c>
      <c r="J645" s="315" t="str">
        <f t="shared" si="66"/>
        <v>Used VehicleOther UV retail gross profit p.u.</v>
      </c>
      <c r="K645" s="315" t="str">
        <f t="shared" si="67"/>
        <v>221Toyota Non-FP UV Cost of Sales</v>
      </c>
      <c r="L645" s="311">
        <f>+SUMIF('TUNZ Extracted TB'!M:M,$P645,'TUNZ Extracted TB'!G:G)</f>
        <v>0</v>
      </c>
      <c r="M645" s="311"/>
      <c r="N645" s="311">
        <f>+SUMIF('Input Sheet'!$AE:$AE,P645,'Input Sheet'!$X:$X)</f>
        <v>0</v>
      </c>
      <c r="O645" s="311"/>
      <c r="P645" t="str">
        <f t="shared" si="68"/>
        <v>221-4245</v>
      </c>
      <c r="Q645" s="315" t="str">
        <f t="shared" si="69"/>
        <v>Used Vehicle</v>
      </c>
      <c r="R645" s="315" t="str">
        <f t="shared" si="70"/>
        <v>Used VehicleOther UV retail gross profit p.u.</v>
      </c>
      <c r="S645" s="199"/>
      <c r="T645" s="199"/>
      <c r="U645" s="199"/>
    </row>
    <row r="646" spans="1:21" x14ac:dyDescent="0.25">
      <c r="A646" t="s">
        <v>996</v>
      </c>
      <c r="B646" t="s">
        <v>997</v>
      </c>
      <c r="C646" t="s">
        <v>1012</v>
      </c>
      <c r="D646">
        <v>4245</v>
      </c>
      <c r="E646">
        <v>421</v>
      </c>
      <c r="F646" t="s">
        <v>1150</v>
      </c>
      <c r="G646" t="s">
        <v>1151</v>
      </c>
      <c r="H646" s="315" t="s">
        <v>30</v>
      </c>
      <c r="I646" s="315" t="s">
        <v>1073</v>
      </c>
      <c r="J646" s="315" t="str">
        <f t="shared" si="66"/>
        <v>Used VehicleOther UV retail gross profit p.u.</v>
      </c>
      <c r="K646" s="315" t="str">
        <f t="shared" si="67"/>
        <v>421Toyota Non-FP UV Cost of Sales</v>
      </c>
      <c r="L646" s="311">
        <f>+SUMIF('TUNZ Extracted TB'!M:M,$P646,'TUNZ Extracted TB'!G:G)</f>
        <v>0</v>
      </c>
      <c r="M646" s="311"/>
      <c r="N646" s="311">
        <f>+SUMIF('Input Sheet'!$AE:$AE,P646,'Input Sheet'!$X:$X)</f>
        <v>0</v>
      </c>
      <c r="O646" s="311"/>
      <c r="P646" t="str">
        <f t="shared" si="68"/>
        <v>421-4245</v>
      </c>
      <c r="Q646" s="315" t="str">
        <f t="shared" si="69"/>
        <v>Used Vehicle</v>
      </c>
      <c r="R646" s="315" t="str">
        <f t="shared" si="70"/>
        <v>Used VehicleOther UV retail gross profit p.u.</v>
      </c>
      <c r="S646" s="199"/>
      <c r="T646" s="199"/>
      <c r="U646" s="199"/>
    </row>
    <row r="647" spans="1:21" x14ac:dyDescent="0.25">
      <c r="A647" t="s">
        <v>996</v>
      </c>
      <c r="B647" t="s">
        <v>997</v>
      </c>
      <c r="C647" t="s">
        <v>1013</v>
      </c>
      <c r="D647">
        <v>4245</v>
      </c>
      <c r="E647">
        <v>321</v>
      </c>
      <c r="F647" t="s">
        <v>1150</v>
      </c>
      <c r="G647" t="s">
        <v>1151</v>
      </c>
      <c r="H647" s="315" t="s">
        <v>30</v>
      </c>
      <c r="I647" s="315" t="s">
        <v>1073</v>
      </c>
      <c r="J647" s="315" t="str">
        <f t="shared" si="66"/>
        <v>Used VehicleOther UV retail gross profit p.u.</v>
      </c>
      <c r="K647" s="315" t="str">
        <f t="shared" si="67"/>
        <v>321Toyota Non-FP UV Cost of Sales</v>
      </c>
      <c r="L647" s="311">
        <f>+SUMIF('TUNZ Extracted TB'!M:M,$P647,'TUNZ Extracted TB'!G:G)</f>
        <v>0</v>
      </c>
      <c r="M647" s="311"/>
      <c r="N647" s="311">
        <f>+SUMIF('Input Sheet'!$AE:$AE,P647,'Input Sheet'!$X:$X)</f>
        <v>0</v>
      </c>
      <c r="O647" s="311"/>
      <c r="P647" t="str">
        <f t="shared" si="68"/>
        <v>321-4245</v>
      </c>
      <c r="Q647" s="315" t="str">
        <f t="shared" si="69"/>
        <v>Used Vehicle</v>
      </c>
      <c r="R647" s="315" t="str">
        <f t="shared" si="70"/>
        <v>Used VehicleOther UV retail gross profit p.u.</v>
      </c>
      <c r="S647" s="199"/>
      <c r="T647" s="199"/>
      <c r="U647" s="199"/>
    </row>
    <row r="648" spans="1:21" x14ac:dyDescent="0.25">
      <c r="A648" t="s">
        <v>996</v>
      </c>
      <c r="B648" t="s">
        <v>997</v>
      </c>
      <c r="C648" t="s">
        <v>1005</v>
      </c>
      <c r="D648">
        <v>4245</v>
      </c>
      <c r="E648">
        <v>220</v>
      </c>
      <c r="F648" t="s">
        <v>1162</v>
      </c>
      <c r="G648" t="s">
        <v>1163</v>
      </c>
      <c r="H648" s="315" t="s">
        <v>30</v>
      </c>
      <c r="I648" s="315" t="s">
        <v>1164</v>
      </c>
      <c r="J648" s="315" t="str">
        <f t="shared" si="66"/>
        <v>Used VehicleOther UV income</v>
      </c>
      <c r="K648" s="315" t="str">
        <f t="shared" si="67"/>
        <v>220Toyota Used Vehicle Other Income</v>
      </c>
      <c r="L648" s="311">
        <f>+SUMIF('TUNZ Extracted TB'!M:M,$P648,'TUNZ Extracted TB'!G:G)</f>
        <v>0</v>
      </c>
      <c r="M648" s="311"/>
      <c r="N648" s="311">
        <f>+SUMIF('Input Sheet'!$AE:$AE,P648,'Input Sheet'!$X:$X)</f>
        <v>0</v>
      </c>
      <c r="O648" s="311"/>
      <c r="P648" t="str">
        <f t="shared" si="68"/>
        <v>220-4245</v>
      </c>
      <c r="Q648" s="315" t="str">
        <f t="shared" si="69"/>
        <v>Used Vehicle</v>
      </c>
      <c r="R648" s="315" t="str">
        <f t="shared" si="70"/>
        <v>Used VehicleOther UV income</v>
      </c>
      <c r="S648" s="199"/>
      <c r="T648" s="199"/>
      <c r="U648" s="199"/>
    </row>
    <row r="649" spans="1:21" x14ac:dyDescent="0.25">
      <c r="A649" t="s">
        <v>996</v>
      </c>
      <c r="B649" t="s">
        <v>997</v>
      </c>
      <c r="C649" t="s">
        <v>1012</v>
      </c>
      <c r="D649">
        <v>4245</v>
      </c>
      <c r="E649">
        <v>420</v>
      </c>
      <c r="F649" t="s">
        <v>1162</v>
      </c>
      <c r="G649" t="s">
        <v>1163</v>
      </c>
      <c r="H649" s="315" t="s">
        <v>30</v>
      </c>
      <c r="I649" s="315" t="s">
        <v>1164</v>
      </c>
      <c r="J649" s="315" t="str">
        <f t="shared" si="66"/>
        <v>Used VehicleOther UV income</v>
      </c>
      <c r="K649" s="315" t="str">
        <f t="shared" si="67"/>
        <v>420Toyota Used Vehicle Other Income</v>
      </c>
      <c r="L649" s="311">
        <f>+SUMIF('TUNZ Extracted TB'!M:M,$P649,'TUNZ Extracted TB'!G:G)</f>
        <v>0</v>
      </c>
      <c r="M649" s="311"/>
      <c r="N649" s="311">
        <f>+SUMIF('Input Sheet'!$AE:$AE,P649,'Input Sheet'!$X:$X)</f>
        <v>0</v>
      </c>
      <c r="O649" s="311"/>
      <c r="P649" t="str">
        <f t="shared" si="68"/>
        <v>420-4245</v>
      </c>
      <c r="Q649" s="315" t="str">
        <f t="shared" si="69"/>
        <v>Used Vehicle</v>
      </c>
      <c r="R649" s="315" t="str">
        <f t="shared" si="70"/>
        <v>Used VehicleOther UV income</v>
      </c>
      <c r="S649" s="199"/>
      <c r="T649" s="199"/>
      <c r="U649" s="199"/>
    </row>
    <row r="650" spans="1:21" x14ac:dyDescent="0.25">
      <c r="A650" t="s">
        <v>996</v>
      </c>
      <c r="B650" t="s">
        <v>997</v>
      </c>
      <c r="C650" t="s">
        <v>1013</v>
      </c>
      <c r="D650">
        <v>4245</v>
      </c>
      <c r="E650">
        <v>320</v>
      </c>
      <c r="F650" t="s">
        <v>1162</v>
      </c>
      <c r="G650" t="s">
        <v>1163</v>
      </c>
      <c r="H650" s="315" t="s">
        <v>30</v>
      </c>
      <c r="I650" s="315" t="s">
        <v>1164</v>
      </c>
      <c r="J650" s="315" t="str">
        <f t="shared" si="66"/>
        <v>Used VehicleOther UV income</v>
      </c>
      <c r="K650" s="315" t="str">
        <f t="shared" si="67"/>
        <v>320Toyota Used Vehicle Other Income</v>
      </c>
      <c r="L650" s="311">
        <f>+SUMIF('TUNZ Extracted TB'!M:M,$P650,'TUNZ Extracted TB'!G:G)</f>
        <v>0</v>
      </c>
      <c r="M650" s="311"/>
      <c r="N650" s="311">
        <f>+SUMIF('Input Sheet'!$AE:$AE,P650,'Input Sheet'!$X:$X)</f>
        <v>0</v>
      </c>
      <c r="O650" s="311"/>
      <c r="P650" t="str">
        <f t="shared" si="68"/>
        <v>320-4245</v>
      </c>
      <c r="Q650" s="315" t="str">
        <f t="shared" si="69"/>
        <v>Used Vehicle</v>
      </c>
      <c r="R650" s="315" t="str">
        <f t="shared" si="70"/>
        <v>Used VehicleOther UV income</v>
      </c>
      <c r="S650" s="199"/>
      <c r="T650" s="199"/>
      <c r="U650" s="199"/>
    </row>
    <row r="651" spans="1:21" x14ac:dyDescent="0.25">
      <c r="A651" t="s">
        <v>996</v>
      </c>
      <c r="B651" t="s">
        <v>997</v>
      </c>
      <c r="C651" t="s">
        <v>997</v>
      </c>
      <c r="D651">
        <v>4245</v>
      </c>
      <c r="E651">
        <v>121</v>
      </c>
      <c r="F651" t="s">
        <v>1162</v>
      </c>
      <c r="G651" t="s">
        <v>1163</v>
      </c>
      <c r="H651" s="315" t="s">
        <v>30</v>
      </c>
      <c r="I651" s="315" t="s">
        <v>1164</v>
      </c>
      <c r="J651" s="315" t="str">
        <f t="shared" si="66"/>
        <v>Used VehicleOther UV income</v>
      </c>
      <c r="K651" s="315" t="str">
        <f t="shared" si="67"/>
        <v>121Toyota Used Vehicle Other Income</v>
      </c>
      <c r="L651" s="311">
        <f>+SUMIF('TUNZ Extracted TB'!M:M,$P651,'TUNZ Extracted TB'!G:G)</f>
        <v>0</v>
      </c>
      <c r="M651" s="311"/>
      <c r="N651" s="311">
        <f>+SUMIF('Input Sheet'!$AE:$AE,P651,'Input Sheet'!$X:$X)</f>
        <v>0</v>
      </c>
      <c r="O651" s="311"/>
      <c r="P651" t="str">
        <f t="shared" si="68"/>
        <v>121-4245</v>
      </c>
      <c r="Q651" s="315" t="str">
        <f t="shared" si="69"/>
        <v>Used Vehicle</v>
      </c>
      <c r="R651" s="315" t="str">
        <f t="shared" si="70"/>
        <v>Used VehicleOther UV income</v>
      </c>
      <c r="S651" s="199"/>
      <c r="T651" s="199"/>
      <c r="U651" s="199"/>
    </row>
    <row r="652" spans="1:21" x14ac:dyDescent="0.25">
      <c r="A652" t="s">
        <v>996</v>
      </c>
      <c r="B652" t="s">
        <v>997</v>
      </c>
      <c r="C652" t="s">
        <v>997</v>
      </c>
      <c r="D652">
        <v>4255</v>
      </c>
      <c r="E652">
        <v>120</v>
      </c>
      <c r="F652" t="s">
        <v>1162</v>
      </c>
      <c r="G652" t="s">
        <v>1163</v>
      </c>
      <c r="H652" s="315" t="s">
        <v>30</v>
      </c>
      <c r="I652" s="315" t="s">
        <v>1164</v>
      </c>
      <c r="J652" s="315" t="str">
        <f t="shared" si="66"/>
        <v>Used VehicleOther UV income</v>
      </c>
      <c r="K652" s="315" t="str">
        <f t="shared" si="67"/>
        <v>120Toyota Used Vehicle Other Income</v>
      </c>
      <c r="L652" s="311">
        <f>+SUMIF('TUNZ Extracted TB'!M:M,$P652,'TUNZ Extracted TB'!G:G)</f>
        <v>0</v>
      </c>
      <c r="M652" s="311"/>
      <c r="N652" s="311">
        <f>+SUMIF('Input Sheet'!$AE:$AE,P652,'Input Sheet'!$X:$X)</f>
        <v>0</v>
      </c>
      <c r="O652" s="311"/>
      <c r="P652" t="str">
        <f t="shared" si="68"/>
        <v>120-4255</v>
      </c>
      <c r="Q652" s="315" t="str">
        <f t="shared" si="69"/>
        <v>Used Vehicle</v>
      </c>
      <c r="R652" s="315" t="str">
        <f t="shared" si="70"/>
        <v>Used VehicleOther UV income</v>
      </c>
      <c r="S652" s="199"/>
      <c r="T652" s="199"/>
      <c r="U652" s="199"/>
    </row>
    <row r="653" spans="1:21" x14ac:dyDescent="0.25">
      <c r="A653" t="s">
        <v>996</v>
      </c>
      <c r="B653" t="s">
        <v>997</v>
      </c>
      <c r="C653" t="s">
        <v>997</v>
      </c>
      <c r="D653">
        <v>4255</v>
      </c>
      <c r="E653">
        <v>121</v>
      </c>
      <c r="F653" t="s">
        <v>1162</v>
      </c>
      <c r="G653" t="s">
        <v>1163</v>
      </c>
      <c r="H653" s="315" t="s">
        <v>30</v>
      </c>
      <c r="I653" s="315" t="s">
        <v>1164</v>
      </c>
      <c r="J653" s="315" t="str">
        <f t="shared" si="66"/>
        <v>Used VehicleOther UV income</v>
      </c>
      <c r="K653" s="315" t="str">
        <f t="shared" si="67"/>
        <v>121Toyota Used Vehicle Other Income</v>
      </c>
      <c r="L653" s="311">
        <f>+SUMIF('TUNZ Extracted TB'!M:M,$P653,'TUNZ Extracted TB'!G:G)</f>
        <v>0</v>
      </c>
      <c r="M653" s="311"/>
      <c r="N653" s="311">
        <f>+SUMIF('Input Sheet'!$AE:$AE,P653,'Input Sheet'!$X:$X)</f>
        <v>0</v>
      </c>
      <c r="O653" s="311"/>
      <c r="P653" t="str">
        <f t="shared" si="68"/>
        <v>121-4255</v>
      </c>
      <c r="Q653" s="315" t="str">
        <f t="shared" si="69"/>
        <v>Used Vehicle</v>
      </c>
      <c r="R653" s="315" t="str">
        <f t="shared" si="70"/>
        <v>Used VehicleOther UV income</v>
      </c>
      <c r="S653" s="199"/>
      <c r="T653" s="199"/>
      <c r="U653" s="199"/>
    </row>
    <row r="654" spans="1:21" x14ac:dyDescent="0.25">
      <c r="A654" t="s">
        <v>996</v>
      </c>
      <c r="B654" t="s">
        <v>997</v>
      </c>
      <c r="C654" t="s">
        <v>997</v>
      </c>
      <c r="D654">
        <v>4257</v>
      </c>
      <c r="E654">
        <v>122</v>
      </c>
      <c r="F654" t="s">
        <v>1071</v>
      </c>
      <c r="G654" t="s">
        <v>1072</v>
      </c>
      <c r="H654" s="315" t="s">
        <v>1041</v>
      </c>
      <c r="I654" s="315" t="s">
        <v>1073</v>
      </c>
      <c r="J654" s="315" t="str">
        <f t="shared" si="66"/>
        <v>LEX Used VehicleOther UV retail gross profit p.u.</v>
      </c>
      <c r="K654" s="315" t="str">
        <f t="shared" si="67"/>
        <v>122Lexus UV Cost of Sales</v>
      </c>
      <c r="L654" s="311">
        <f>+SUMIF('TUNZ Extracted TB'!M:M,$P654,'TUNZ Extracted TB'!G:G)</f>
        <v>0</v>
      </c>
      <c r="M654" s="311"/>
      <c r="N654" s="311">
        <f>+SUMIF('Input Sheet'!$AE:$AE,P654,'Input Sheet'!$X:$X)</f>
        <v>0</v>
      </c>
      <c r="O654" s="311"/>
      <c r="P654" t="str">
        <f t="shared" si="68"/>
        <v>122-4257</v>
      </c>
      <c r="Q654" s="315" t="str">
        <f t="shared" si="69"/>
        <v>LEX Used Vehicle</v>
      </c>
      <c r="R654" s="315" t="str">
        <f t="shared" si="70"/>
        <v>LEX Used VehicleOther UV retail gross profit p.u.</v>
      </c>
      <c r="S654" s="199"/>
      <c r="T654" s="199"/>
      <c r="U654" s="199"/>
    </row>
    <row r="655" spans="1:21" x14ac:dyDescent="0.25">
      <c r="A655" t="s">
        <v>996</v>
      </c>
      <c r="B655" t="s">
        <v>997</v>
      </c>
      <c r="C655" t="s">
        <v>1005</v>
      </c>
      <c r="D655">
        <v>4257</v>
      </c>
      <c r="E655">
        <v>220</v>
      </c>
      <c r="F655" t="s">
        <v>1165</v>
      </c>
      <c r="G655" t="s">
        <v>1166</v>
      </c>
      <c r="H655" s="315" t="s">
        <v>30</v>
      </c>
      <c r="I655" s="315" t="s">
        <v>1167</v>
      </c>
      <c r="J655" s="315" t="str">
        <f t="shared" si="66"/>
        <v>Used VehicleOther Variable expenses per retail</v>
      </c>
      <c r="K655" s="315" t="str">
        <f t="shared" si="67"/>
        <v>220Toyota UV Other Variable expense</v>
      </c>
      <c r="L655" s="311">
        <f>+SUMIF('TUNZ Extracted TB'!M:M,$P655,'TUNZ Extracted TB'!G:G)</f>
        <v>0</v>
      </c>
      <c r="M655" s="311"/>
      <c r="N655" s="311">
        <f>+SUMIF('Input Sheet'!$AE:$AE,P655,'Input Sheet'!$X:$X)</f>
        <v>0</v>
      </c>
      <c r="O655" s="311"/>
      <c r="P655" t="str">
        <f t="shared" si="68"/>
        <v>220-4257</v>
      </c>
      <c r="Q655" s="315" t="str">
        <f t="shared" si="69"/>
        <v>Used Vehicle</v>
      </c>
      <c r="R655" s="315" t="str">
        <f t="shared" si="70"/>
        <v>Used VehicleOther Variable expenses per retail</v>
      </c>
      <c r="S655" s="199"/>
      <c r="T655" s="199"/>
      <c r="U655" s="199"/>
    </row>
    <row r="656" spans="1:21" x14ac:dyDescent="0.25">
      <c r="A656" t="s">
        <v>996</v>
      </c>
      <c r="B656" t="s">
        <v>997</v>
      </c>
      <c r="C656" t="s">
        <v>1005</v>
      </c>
      <c r="D656">
        <v>4257</v>
      </c>
      <c r="E656">
        <v>221</v>
      </c>
      <c r="F656" t="s">
        <v>1165</v>
      </c>
      <c r="G656" t="s">
        <v>1166</v>
      </c>
      <c r="H656" s="315" t="s">
        <v>30</v>
      </c>
      <c r="I656" s="315" t="s">
        <v>1167</v>
      </c>
      <c r="J656" s="315" t="str">
        <f t="shared" si="66"/>
        <v>Used VehicleOther Variable expenses per retail</v>
      </c>
      <c r="K656" s="315" t="str">
        <f t="shared" si="67"/>
        <v>221Toyota UV Other Variable expense</v>
      </c>
      <c r="L656" s="311">
        <f>+SUMIF('TUNZ Extracted TB'!M:M,$P656,'TUNZ Extracted TB'!G:G)</f>
        <v>0</v>
      </c>
      <c r="M656" s="311"/>
      <c r="N656" s="311">
        <f>+SUMIF('Input Sheet'!$AE:$AE,P656,'Input Sheet'!$X:$X)</f>
        <v>0</v>
      </c>
      <c r="O656" s="311"/>
      <c r="P656" t="str">
        <f t="shared" si="68"/>
        <v>221-4257</v>
      </c>
      <c r="Q656" s="315" t="str">
        <f t="shared" si="69"/>
        <v>Used Vehicle</v>
      </c>
      <c r="R656" s="315" t="str">
        <f t="shared" si="70"/>
        <v>Used VehicleOther Variable expenses per retail</v>
      </c>
      <c r="S656" s="199"/>
      <c r="T656" s="199"/>
      <c r="U656" s="199"/>
    </row>
    <row r="657" spans="1:21" x14ac:dyDescent="0.25">
      <c r="A657" t="s">
        <v>996</v>
      </c>
      <c r="B657" t="s">
        <v>997</v>
      </c>
      <c r="C657" t="s">
        <v>1012</v>
      </c>
      <c r="D657">
        <v>4257</v>
      </c>
      <c r="E657">
        <v>420</v>
      </c>
      <c r="F657" t="s">
        <v>1165</v>
      </c>
      <c r="G657" t="s">
        <v>1166</v>
      </c>
      <c r="H657" s="315" t="s">
        <v>30</v>
      </c>
      <c r="I657" s="315" t="s">
        <v>1167</v>
      </c>
      <c r="J657" s="315" t="str">
        <f t="shared" si="66"/>
        <v>Used VehicleOther Variable expenses per retail</v>
      </c>
      <c r="K657" s="315" t="str">
        <f t="shared" si="67"/>
        <v>420Toyota UV Other Variable expense</v>
      </c>
      <c r="L657" s="311">
        <f>+SUMIF('TUNZ Extracted TB'!M:M,$P657,'TUNZ Extracted TB'!G:G)</f>
        <v>0</v>
      </c>
      <c r="M657" s="311"/>
      <c r="N657" s="311">
        <f>+SUMIF('Input Sheet'!$AE:$AE,P657,'Input Sheet'!$X:$X)</f>
        <v>0</v>
      </c>
      <c r="O657" s="311"/>
      <c r="P657" t="str">
        <f t="shared" si="68"/>
        <v>420-4257</v>
      </c>
      <c r="Q657" s="315" t="str">
        <f t="shared" si="69"/>
        <v>Used Vehicle</v>
      </c>
      <c r="R657" s="315" t="str">
        <f t="shared" si="70"/>
        <v>Used VehicleOther Variable expenses per retail</v>
      </c>
      <c r="S657" s="199"/>
      <c r="T657" s="199"/>
      <c r="U657" s="199"/>
    </row>
    <row r="658" spans="1:21" x14ac:dyDescent="0.25">
      <c r="A658" t="s">
        <v>996</v>
      </c>
      <c r="B658" t="s">
        <v>997</v>
      </c>
      <c r="C658" t="s">
        <v>1012</v>
      </c>
      <c r="D658">
        <v>4257</v>
      </c>
      <c r="E658">
        <v>421</v>
      </c>
      <c r="F658" t="s">
        <v>1165</v>
      </c>
      <c r="G658" t="s">
        <v>1166</v>
      </c>
      <c r="H658" s="315" t="s">
        <v>30</v>
      </c>
      <c r="I658" s="315" t="s">
        <v>1167</v>
      </c>
      <c r="J658" s="315" t="str">
        <f t="shared" si="66"/>
        <v>Used VehicleOther Variable expenses per retail</v>
      </c>
      <c r="K658" s="315" t="str">
        <f t="shared" si="67"/>
        <v>421Toyota UV Other Variable expense</v>
      </c>
      <c r="L658" s="311">
        <f>+SUMIF('TUNZ Extracted TB'!M:M,$P658,'TUNZ Extracted TB'!G:G)</f>
        <v>0</v>
      </c>
      <c r="M658" s="311"/>
      <c r="N658" s="311">
        <f>+SUMIF('Input Sheet'!$AE:$AE,P658,'Input Sheet'!$X:$X)</f>
        <v>0</v>
      </c>
      <c r="O658" s="311"/>
      <c r="P658" t="str">
        <f t="shared" si="68"/>
        <v>421-4257</v>
      </c>
      <c r="Q658" s="315" t="str">
        <f t="shared" si="69"/>
        <v>Used Vehicle</v>
      </c>
      <c r="R658" s="315" t="str">
        <f t="shared" si="70"/>
        <v>Used VehicleOther Variable expenses per retail</v>
      </c>
      <c r="S658" s="199"/>
      <c r="T658" s="199"/>
      <c r="U658" s="199"/>
    </row>
    <row r="659" spans="1:21" x14ac:dyDescent="0.25">
      <c r="A659" t="s">
        <v>996</v>
      </c>
      <c r="B659" t="s">
        <v>997</v>
      </c>
      <c r="C659" t="s">
        <v>1013</v>
      </c>
      <c r="D659">
        <v>4257</v>
      </c>
      <c r="E659">
        <v>320</v>
      </c>
      <c r="F659" t="s">
        <v>1165</v>
      </c>
      <c r="G659" t="s">
        <v>1166</v>
      </c>
      <c r="H659" s="315" t="s">
        <v>30</v>
      </c>
      <c r="I659" s="315" t="s">
        <v>1167</v>
      </c>
      <c r="J659" s="315" t="str">
        <f t="shared" si="66"/>
        <v>Used VehicleOther Variable expenses per retail</v>
      </c>
      <c r="K659" s="315" t="str">
        <f t="shared" si="67"/>
        <v>320Toyota UV Other Variable expense</v>
      </c>
      <c r="L659" s="311">
        <f>+SUMIF('TUNZ Extracted TB'!M:M,$P659,'TUNZ Extracted TB'!G:G)</f>
        <v>0</v>
      </c>
      <c r="M659" s="311"/>
      <c r="N659" s="311">
        <f>+SUMIF('Input Sheet'!$AE:$AE,P659,'Input Sheet'!$X:$X)</f>
        <v>0</v>
      </c>
      <c r="O659" s="311"/>
      <c r="P659" t="str">
        <f t="shared" si="68"/>
        <v>320-4257</v>
      </c>
      <c r="Q659" s="315" t="str">
        <f t="shared" si="69"/>
        <v>Used Vehicle</v>
      </c>
      <c r="R659" s="315" t="str">
        <f t="shared" si="70"/>
        <v>Used VehicleOther Variable expenses per retail</v>
      </c>
      <c r="S659" s="199"/>
      <c r="T659" s="199"/>
      <c r="U659" s="199"/>
    </row>
    <row r="660" spans="1:21" x14ac:dyDescent="0.25">
      <c r="A660" t="s">
        <v>996</v>
      </c>
      <c r="B660" t="s">
        <v>997</v>
      </c>
      <c r="C660" t="s">
        <v>1013</v>
      </c>
      <c r="D660">
        <v>4257</v>
      </c>
      <c r="E660">
        <v>321</v>
      </c>
      <c r="F660" t="s">
        <v>1165</v>
      </c>
      <c r="G660" t="s">
        <v>1166</v>
      </c>
      <c r="H660" s="315" t="s">
        <v>30</v>
      </c>
      <c r="I660" s="315" t="s">
        <v>1167</v>
      </c>
      <c r="J660" s="315" t="str">
        <f t="shared" si="66"/>
        <v>Used VehicleOther Variable expenses per retail</v>
      </c>
      <c r="K660" s="315" t="str">
        <f t="shared" si="67"/>
        <v>321Toyota UV Other Variable expense</v>
      </c>
      <c r="L660" s="311">
        <f>+SUMIF('TUNZ Extracted TB'!M:M,$P660,'TUNZ Extracted TB'!G:G)</f>
        <v>0</v>
      </c>
      <c r="M660" s="311"/>
      <c r="N660" s="311">
        <f>+SUMIF('Input Sheet'!$AE:$AE,P660,'Input Sheet'!$X:$X)</f>
        <v>0</v>
      </c>
      <c r="O660" s="311"/>
      <c r="P660" t="str">
        <f t="shared" si="68"/>
        <v>321-4257</v>
      </c>
      <c r="Q660" s="315" t="str">
        <f t="shared" si="69"/>
        <v>Used Vehicle</v>
      </c>
      <c r="R660" s="315" t="str">
        <f t="shared" si="70"/>
        <v>Used VehicleOther Variable expenses per retail</v>
      </c>
      <c r="S660" s="199"/>
      <c r="T660" s="199"/>
      <c r="U660" s="199"/>
    </row>
    <row r="661" spans="1:21" x14ac:dyDescent="0.25">
      <c r="A661" t="s">
        <v>996</v>
      </c>
      <c r="B661" t="s">
        <v>997</v>
      </c>
      <c r="C661" t="s">
        <v>997</v>
      </c>
      <c r="D661">
        <v>4257</v>
      </c>
      <c r="E661">
        <v>120</v>
      </c>
      <c r="F661" t="s">
        <v>1165</v>
      </c>
      <c r="G661" t="s">
        <v>1166</v>
      </c>
      <c r="H661" s="315" t="s">
        <v>30</v>
      </c>
      <c r="I661" s="315" t="s">
        <v>1167</v>
      </c>
      <c r="J661" s="315" t="str">
        <f t="shared" si="66"/>
        <v>Used VehicleOther Variable expenses per retail</v>
      </c>
      <c r="K661" s="315" t="str">
        <f t="shared" si="67"/>
        <v>120Toyota UV Other Variable expense</v>
      </c>
      <c r="L661" s="311">
        <f>+SUMIF('TUNZ Extracted TB'!M:M,$P661,'TUNZ Extracted TB'!G:G)</f>
        <v>0</v>
      </c>
      <c r="M661" s="311"/>
      <c r="N661" s="311">
        <f>+SUMIF('Input Sheet'!$AE:$AE,P661,'Input Sheet'!$X:$X)</f>
        <v>0</v>
      </c>
      <c r="O661" s="311"/>
      <c r="P661" t="str">
        <f t="shared" si="68"/>
        <v>120-4257</v>
      </c>
      <c r="Q661" s="315" t="str">
        <f t="shared" si="69"/>
        <v>Used Vehicle</v>
      </c>
      <c r="R661" s="315" t="str">
        <f t="shared" si="70"/>
        <v>Used VehicleOther Variable expenses per retail</v>
      </c>
      <c r="S661" s="199"/>
      <c r="T661" s="199"/>
      <c r="U661" s="199"/>
    </row>
    <row r="662" spans="1:21" x14ac:dyDescent="0.25">
      <c r="A662" t="s">
        <v>996</v>
      </c>
      <c r="B662" t="s">
        <v>997</v>
      </c>
      <c r="C662" t="s">
        <v>997</v>
      </c>
      <c r="D662">
        <v>4257</v>
      </c>
      <c r="E662">
        <v>121</v>
      </c>
      <c r="F662" t="s">
        <v>1165</v>
      </c>
      <c r="G662" t="s">
        <v>1166</v>
      </c>
      <c r="H662" s="315" t="s">
        <v>30</v>
      </c>
      <c r="I662" s="315" t="s">
        <v>1167</v>
      </c>
      <c r="J662" s="315" t="str">
        <f t="shared" si="66"/>
        <v>Used VehicleOther Variable expenses per retail</v>
      </c>
      <c r="K662" s="315" t="str">
        <f t="shared" si="67"/>
        <v>121Toyota UV Other Variable expense</v>
      </c>
      <c r="L662" s="311">
        <f>+SUMIF('TUNZ Extracted TB'!M:M,$P662,'TUNZ Extracted TB'!G:G)</f>
        <v>0</v>
      </c>
      <c r="M662" s="311"/>
      <c r="N662" s="311">
        <f>+SUMIF('Input Sheet'!$AE:$AE,P662,'Input Sheet'!$X:$X)</f>
        <v>0</v>
      </c>
      <c r="O662" s="311"/>
      <c r="P662" t="str">
        <f t="shared" si="68"/>
        <v>121-4257</v>
      </c>
      <c r="Q662" s="315" t="str">
        <f t="shared" si="69"/>
        <v>Used Vehicle</v>
      </c>
      <c r="R662" s="315" t="str">
        <f t="shared" si="70"/>
        <v>Used VehicleOther Variable expenses per retail</v>
      </c>
      <c r="S662" s="199"/>
      <c r="T662" s="199"/>
      <c r="U662" s="199"/>
    </row>
    <row r="663" spans="1:21" x14ac:dyDescent="0.25">
      <c r="A663" t="s">
        <v>996</v>
      </c>
      <c r="B663" t="s">
        <v>997</v>
      </c>
      <c r="C663" t="s">
        <v>997</v>
      </c>
      <c r="D663">
        <v>4258</v>
      </c>
      <c r="E663">
        <v>122</v>
      </c>
      <c r="F663" t="s">
        <v>1071</v>
      </c>
      <c r="G663" t="s">
        <v>1072</v>
      </c>
      <c r="H663" s="315" t="s">
        <v>1041</v>
      </c>
      <c r="I663" s="315" t="s">
        <v>1073</v>
      </c>
      <c r="J663" s="315" t="str">
        <f t="shared" si="66"/>
        <v>LEX Used VehicleOther UV retail gross profit p.u.</v>
      </c>
      <c r="K663" s="315" t="str">
        <f t="shared" si="67"/>
        <v>122Lexus UV Cost of Sales</v>
      </c>
      <c r="L663" s="311">
        <f>+SUMIF('TUNZ Extracted TB'!M:M,$P663,'TUNZ Extracted TB'!G:G)</f>
        <v>0</v>
      </c>
      <c r="M663" s="311"/>
      <c r="N663" s="311">
        <f>+SUMIF('Input Sheet'!$AE:$AE,P663,'Input Sheet'!$X:$X)</f>
        <v>0</v>
      </c>
      <c r="O663" s="311"/>
      <c r="P663" t="str">
        <f t="shared" si="68"/>
        <v>122-4258</v>
      </c>
      <c r="Q663" s="315" t="str">
        <f t="shared" si="69"/>
        <v>LEX Used Vehicle</v>
      </c>
      <c r="R663" s="315" t="str">
        <f t="shared" si="70"/>
        <v>LEX Used VehicleOther UV retail gross profit p.u.</v>
      </c>
      <c r="S663" s="199"/>
      <c r="T663" s="199"/>
      <c r="U663" s="199"/>
    </row>
    <row r="664" spans="1:21" x14ac:dyDescent="0.25">
      <c r="A664" t="s">
        <v>996</v>
      </c>
      <c r="B664" t="s">
        <v>997</v>
      </c>
      <c r="C664" t="s">
        <v>1005</v>
      </c>
      <c r="D664">
        <v>4258</v>
      </c>
      <c r="E664">
        <v>220</v>
      </c>
      <c r="F664" t="s">
        <v>1168</v>
      </c>
      <c r="G664" t="s">
        <v>1169</v>
      </c>
      <c r="H664" s="315" t="s">
        <v>16</v>
      </c>
      <c r="I664" s="315" t="s">
        <v>1090</v>
      </c>
      <c r="J664" s="315" t="str">
        <f t="shared" si="66"/>
        <v>F&amp;IToyota Care Income per vehicle retailed</v>
      </c>
      <c r="K664" s="315" t="str">
        <f t="shared" si="67"/>
        <v>220Toyota Care Cost of Sales - Toyota</v>
      </c>
      <c r="L664" s="311">
        <f>+SUMIF('TUNZ Extracted TB'!M:M,$P664,'TUNZ Extracted TB'!G:G)</f>
        <v>0</v>
      </c>
      <c r="M664" s="311"/>
      <c r="N664" s="311">
        <f>+SUMIF('Input Sheet'!$AE:$AE,P664,'Input Sheet'!$X:$X)</f>
        <v>0</v>
      </c>
      <c r="O664" s="311"/>
      <c r="P664" t="str">
        <f t="shared" si="68"/>
        <v>220-4258</v>
      </c>
      <c r="Q664" s="315" t="str">
        <f t="shared" si="69"/>
        <v>F&amp;I</v>
      </c>
      <c r="R664" s="315" t="str">
        <f t="shared" si="70"/>
        <v>F&amp;IToyota Care Income per vehicle retailed</v>
      </c>
      <c r="S664" s="199"/>
      <c r="T664" s="199"/>
      <c r="U664" s="199"/>
    </row>
    <row r="665" spans="1:21" x14ac:dyDescent="0.25">
      <c r="A665" t="s">
        <v>996</v>
      </c>
      <c r="B665" t="s">
        <v>997</v>
      </c>
      <c r="C665" t="s">
        <v>1012</v>
      </c>
      <c r="D665">
        <v>4258</v>
      </c>
      <c r="E665">
        <v>420</v>
      </c>
      <c r="F665" t="s">
        <v>1168</v>
      </c>
      <c r="G665" t="s">
        <v>1169</v>
      </c>
      <c r="H665" s="315" t="s">
        <v>16</v>
      </c>
      <c r="I665" s="315" t="s">
        <v>1090</v>
      </c>
      <c r="J665" s="315" t="str">
        <f t="shared" si="66"/>
        <v>F&amp;IToyota Care Income per vehicle retailed</v>
      </c>
      <c r="K665" s="315" t="str">
        <f t="shared" si="67"/>
        <v>420Toyota Care Cost of Sales - Toyota</v>
      </c>
      <c r="L665" s="311">
        <f>+SUMIF('TUNZ Extracted TB'!M:M,$P665,'TUNZ Extracted TB'!G:G)</f>
        <v>0</v>
      </c>
      <c r="M665" s="311"/>
      <c r="N665" s="311">
        <f>+SUMIF('Input Sheet'!$AE:$AE,P665,'Input Sheet'!$X:$X)</f>
        <v>0</v>
      </c>
      <c r="O665" s="311"/>
      <c r="P665" t="str">
        <f t="shared" si="68"/>
        <v>420-4258</v>
      </c>
      <c r="Q665" s="315" t="str">
        <f t="shared" si="69"/>
        <v>F&amp;I</v>
      </c>
      <c r="R665" s="315" t="str">
        <f t="shared" si="70"/>
        <v>F&amp;IToyota Care Income per vehicle retailed</v>
      </c>
      <c r="S665" s="199"/>
      <c r="T665" s="199"/>
      <c r="U665" s="199"/>
    </row>
    <row r="666" spans="1:21" x14ac:dyDescent="0.25">
      <c r="A666" t="s">
        <v>996</v>
      </c>
      <c r="B666" t="s">
        <v>997</v>
      </c>
      <c r="C666" t="s">
        <v>1013</v>
      </c>
      <c r="D666">
        <v>4258</v>
      </c>
      <c r="E666">
        <v>320</v>
      </c>
      <c r="F666" t="s">
        <v>1168</v>
      </c>
      <c r="G666" t="s">
        <v>1169</v>
      </c>
      <c r="H666" s="315" t="s">
        <v>16</v>
      </c>
      <c r="I666" s="315" t="s">
        <v>1090</v>
      </c>
      <c r="J666" s="315" t="str">
        <f t="shared" si="66"/>
        <v>F&amp;IToyota Care Income per vehicle retailed</v>
      </c>
      <c r="K666" s="315" t="str">
        <f t="shared" si="67"/>
        <v>320Toyota Care Cost of Sales - Toyota</v>
      </c>
      <c r="L666" s="311">
        <f>+SUMIF('TUNZ Extracted TB'!M:M,$P666,'TUNZ Extracted TB'!G:G)</f>
        <v>0</v>
      </c>
      <c r="M666" s="311"/>
      <c r="N666" s="311">
        <f>+SUMIF('Input Sheet'!$AE:$AE,P666,'Input Sheet'!$X:$X)</f>
        <v>0</v>
      </c>
      <c r="O666" s="311"/>
      <c r="P666" t="str">
        <f t="shared" si="68"/>
        <v>320-4258</v>
      </c>
      <c r="Q666" s="315" t="str">
        <f t="shared" si="69"/>
        <v>F&amp;I</v>
      </c>
      <c r="R666" s="315" t="str">
        <f t="shared" si="70"/>
        <v>F&amp;IToyota Care Income per vehicle retailed</v>
      </c>
      <c r="S666" s="199"/>
      <c r="T666" s="199"/>
      <c r="U666" s="199"/>
    </row>
    <row r="667" spans="1:21" x14ac:dyDescent="0.25">
      <c r="A667" t="s">
        <v>996</v>
      </c>
      <c r="B667" t="s">
        <v>997</v>
      </c>
      <c r="C667" t="s">
        <v>997</v>
      </c>
      <c r="D667">
        <v>4258</v>
      </c>
      <c r="E667">
        <v>120</v>
      </c>
      <c r="F667" t="s">
        <v>1168</v>
      </c>
      <c r="G667" t="s">
        <v>1169</v>
      </c>
      <c r="H667" s="315" t="s">
        <v>16</v>
      </c>
      <c r="I667" s="315" t="s">
        <v>1090</v>
      </c>
      <c r="J667" s="315" t="str">
        <f t="shared" si="66"/>
        <v>F&amp;IToyota Care Income per vehicle retailed</v>
      </c>
      <c r="K667" s="315" t="str">
        <f t="shared" si="67"/>
        <v>120Toyota Care Cost of Sales - Toyota</v>
      </c>
      <c r="L667" s="311">
        <f>+SUMIF('TUNZ Extracted TB'!M:M,$P667,'TUNZ Extracted TB'!G:G)</f>
        <v>0</v>
      </c>
      <c r="M667" s="311"/>
      <c r="N667" s="311">
        <f>+SUMIF('Input Sheet'!$AE:$AE,P667,'Input Sheet'!$X:$X)</f>
        <v>0</v>
      </c>
      <c r="O667" s="311"/>
      <c r="P667" t="str">
        <f t="shared" si="68"/>
        <v>120-4258</v>
      </c>
      <c r="Q667" s="315" t="str">
        <f t="shared" si="69"/>
        <v>F&amp;I</v>
      </c>
      <c r="R667" s="315" t="str">
        <f t="shared" si="70"/>
        <v>F&amp;IToyota Care Income per vehicle retailed</v>
      </c>
      <c r="S667" s="199"/>
      <c r="T667" s="199"/>
      <c r="U667" s="199"/>
    </row>
    <row r="668" spans="1:21" x14ac:dyDescent="0.25">
      <c r="A668" t="s">
        <v>996</v>
      </c>
      <c r="B668" t="s">
        <v>997</v>
      </c>
      <c r="C668" t="s">
        <v>997</v>
      </c>
      <c r="D668">
        <v>4258</v>
      </c>
      <c r="E668">
        <v>121</v>
      </c>
      <c r="F668" t="s">
        <v>1168</v>
      </c>
      <c r="G668" t="s">
        <v>1169</v>
      </c>
      <c r="H668" s="315" t="s">
        <v>16</v>
      </c>
      <c r="I668" s="315" t="s">
        <v>1090</v>
      </c>
      <c r="J668" s="315" t="str">
        <f t="shared" si="66"/>
        <v>F&amp;IToyota Care Income per vehicle retailed</v>
      </c>
      <c r="K668" s="315" t="str">
        <f t="shared" si="67"/>
        <v>121Toyota Care Cost of Sales - Toyota</v>
      </c>
      <c r="L668" s="311">
        <f>+SUMIF('TUNZ Extracted TB'!M:M,$P668,'TUNZ Extracted TB'!G:G)</f>
        <v>0</v>
      </c>
      <c r="M668" s="311"/>
      <c r="N668" s="311">
        <f>+SUMIF('Input Sheet'!$AE:$AE,P668,'Input Sheet'!$X:$X)</f>
        <v>0</v>
      </c>
      <c r="O668" s="311"/>
      <c r="P668" t="str">
        <f t="shared" si="68"/>
        <v>121-4258</v>
      </c>
      <c r="Q668" s="315" t="str">
        <f t="shared" si="69"/>
        <v>F&amp;I</v>
      </c>
      <c r="R668" s="315" t="str">
        <f t="shared" si="70"/>
        <v>F&amp;IToyota Care Income per vehicle retailed</v>
      </c>
      <c r="S668" s="199"/>
      <c r="T668" s="199"/>
      <c r="U668" s="199"/>
    </row>
    <row r="669" spans="1:21" x14ac:dyDescent="0.25">
      <c r="A669" t="s">
        <v>996</v>
      </c>
      <c r="B669" t="s">
        <v>997</v>
      </c>
      <c r="C669" t="s">
        <v>1005</v>
      </c>
      <c r="D669">
        <v>4258</v>
      </c>
      <c r="E669">
        <v>221</v>
      </c>
      <c r="F669" t="s">
        <v>1165</v>
      </c>
      <c r="G669" t="s">
        <v>1166</v>
      </c>
      <c r="H669" s="315" t="s">
        <v>30</v>
      </c>
      <c r="I669" s="315" t="s">
        <v>1167</v>
      </c>
      <c r="J669" s="315" t="str">
        <f t="shared" si="66"/>
        <v>Used VehicleOther Variable expenses per retail</v>
      </c>
      <c r="K669" s="315" t="str">
        <f t="shared" si="67"/>
        <v>221Toyota UV Other Variable expense</v>
      </c>
      <c r="L669" s="311">
        <f>+SUMIF('TUNZ Extracted TB'!M:M,$P669,'TUNZ Extracted TB'!G:G)</f>
        <v>0</v>
      </c>
      <c r="M669" s="311"/>
      <c r="N669" s="311">
        <f>+SUMIF('Input Sheet'!$AE:$AE,P669,'Input Sheet'!$X:$X)</f>
        <v>0</v>
      </c>
      <c r="O669" s="311"/>
      <c r="P669" t="str">
        <f t="shared" si="68"/>
        <v>221-4258</v>
      </c>
      <c r="Q669" s="315" t="str">
        <f t="shared" si="69"/>
        <v>Used Vehicle</v>
      </c>
      <c r="R669" s="315" t="str">
        <f t="shared" si="70"/>
        <v>Used VehicleOther Variable expenses per retail</v>
      </c>
      <c r="S669" s="199"/>
      <c r="T669" s="199"/>
      <c r="U669" s="199"/>
    </row>
    <row r="670" spans="1:21" x14ac:dyDescent="0.25">
      <c r="A670" t="s">
        <v>996</v>
      </c>
      <c r="B670" t="s">
        <v>997</v>
      </c>
      <c r="C670" t="s">
        <v>1012</v>
      </c>
      <c r="D670">
        <v>4258</v>
      </c>
      <c r="E670">
        <v>421</v>
      </c>
      <c r="F670" t="s">
        <v>1165</v>
      </c>
      <c r="G670" t="s">
        <v>1166</v>
      </c>
      <c r="H670" s="315" t="s">
        <v>30</v>
      </c>
      <c r="I670" s="315" t="s">
        <v>1167</v>
      </c>
      <c r="J670" s="315" t="str">
        <f t="shared" si="66"/>
        <v>Used VehicleOther Variable expenses per retail</v>
      </c>
      <c r="K670" s="315" t="str">
        <f t="shared" si="67"/>
        <v>421Toyota UV Other Variable expense</v>
      </c>
      <c r="L670" s="311">
        <f>+SUMIF('TUNZ Extracted TB'!M:M,$P670,'TUNZ Extracted TB'!G:G)</f>
        <v>0</v>
      </c>
      <c r="M670" s="311"/>
      <c r="N670" s="311">
        <f>+SUMIF('Input Sheet'!$AE:$AE,P670,'Input Sheet'!$X:$X)</f>
        <v>0</v>
      </c>
      <c r="O670" s="311"/>
      <c r="P670" t="str">
        <f t="shared" si="68"/>
        <v>421-4258</v>
      </c>
      <c r="Q670" s="315" t="str">
        <f t="shared" si="69"/>
        <v>Used Vehicle</v>
      </c>
      <c r="R670" s="315" t="str">
        <f t="shared" si="70"/>
        <v>Used VehicleOther Variable expenses per retail</v>
      </c>
      <c r="S670" s="199"/>
      <c r="T670" s="199"/>
      <c r="U670" s="199"/>
    </row>
    <row r="671" spans="1:21" x14ac:dyDescent="0.25">
      <c r="A671" t="s">
        <v>996</v>
      </c>
      <c r="B671" t="s">
        <v>997</v>
      </c>
      <c r="C671" t="s">
        <v>1013</v>
      </c>
      <c r="D671">
        <v>4258</v>
      </c>
      <c r="E671">
        <v>321</v>
      </c>
      <c r="F671" t="s">
        <v>1165</v>
      </c>
      <c r="G671" t="s">
        <v>1166</v>
      </c>
      <c r="H671" s="315" t="s">
        <v>30</v>
      </c>
      <c r="I671" s="315" t="s">
        <v>1167</v>
      </c>
      <c r="J671" s="315" t="str">
        <f t="shared" si="66"/>
        <v>Used VehicleOther Variable expenses per retail</v>
      </c>
      <c r="K671" s="315" t="str">
        <f t="shared" si="67"/>
        <v>321Toyota UV Other Variable expense</v>
      </c>
      <c r="L671" s="311">
        <f>+SUMIF('TUNZ Extracted TB'!M:M,$P671,'TUNZ Extracted TB'!G:G)</f>
        <v>0</v>
      </c>
      <c r="M671" s="311"/>
      <c r="N671" s="311">
        <f>+SUMIF('Input Sheet'!$AE:$AE,P671,'Input Sheet'!$X:$X)</f>
        <v>0</v>
      </c>
      <c r="O671" s="311"/>
      <c r="P671" t="str">
        <f t="shared" si="68"/>
        <v>321-4258</v>
      </c>
      <c r="Q671" s="315" t="str">
        <f t="shared" si="69"/>
        <v>Used Vehicle</v>
      </c>
      <c r="R671" s="315" t="str">
        <f t="shared" si="70"/>
        <v>Used VehicleOther Variable expenses per retail</v>
      </c>
      <c r="S671" s="199"/>
      <c r="T671" s="199"/>
      <c r="U671" s="199"/>
    </row>
    <row r="672" spans="1:21" x14ac:dyDescent="0.25">
      <c r="A672" t="s">
        <v>996</v>
      </c>
      <c r="B672" t="s">
        <v>997</v>
      </c>
      <c r="C672" t="s">
        <v>997</v>
      </c>
      <c r="D672">
        <v>4290</v>
      </c>
      <c r="E672">
        <v>100</v>
      </c>
      <c r="F672" t="s">
        <v>1002</v>
      </c>
      <c r="G672" t="s">
        <v>1003</v>
      </c>
      <c r="H672" s="315" t="s">
        <v>29</v>
      </c>
      <c r="I672" s="315" t="s">
        <v>1004</v>
      </c>
      <c r="J672" s="315" t="str">
        <f t="shared" si="66"/>
        <v>New VehicleRetail Gross p.u.</v>
      </c>
      <c r="K672" s="315" t="str">
        <f t="shared" si="67"/>
        <v>100New Vehicle Cost of Sales - Toyota</v>
      </c>
      <c r="L672" s="311">
        <f>+SUMIF('TUNZ Extracted TB'!M:M,$P672,'TUNZ Extracted TB'!G:G)</f>
        <v>0</v>
      </c>
      <c r="M672" s="311"/>
      <c r="N672" s="311">
        <f>+SUMIF('Input Sheet'!$AE:$AE,P672,'Input Sheet'!$X:$X)</f>
        <v>0</v>
      </c>
      <c r="O672" s="311"/>
      <c r="P672" t="str">
        <f t="shared" si="68"/>
        <v>100-4290</v>
      </c>
      <c r="Q672" s="315" t="str">
        <f t="shared" si="69"/>
        <v>New Vehicle</v>
      </c>
      <c r="R672" s="315" t="str">
        <f t="shared" si="70"/>
        <v>New VehicleRetail Gross p.u.</v>
      </c>
      <c r="S672" s="199"/>
      <c r="T672" s="199"/>
      <c r="U672" s="199"/>
    </row>
    <row r="673" spans="1:21" x14ac:dyDescent="0.25">
      <c r="A673" t="s">
        <v>996</v>
      </c>
      <c r="B673" t="s">
        <v>997</v>
      </c>
      <c r="C673" t="s">
        <v>1005</v>
      </c>
      <c r="D673">
        <v>4290</v>
      </c>
      <c r="E673">
        <v>200</v>
      </c>
      <c r="F673" t="s">
        <v>1002</v>
      </c>
      <c r="G673" t="s">
        <v>1003</v>
      </c>
      <c r="H673" s="315" t="s">
        <v>29</v>
      </c>
      <c r="I673" s="315" t="s">
        <v>1004</v>
      </c>
      <c r="J673" s="315" t="str">
        <f t="shared" si="66"/>
        <v>New VehicleRetail Gross p.u.</v>
      </c>
      <c r="K673" s="315" t="str">
        <f t="shared" si="67"/>
        <v>200New Vehicle Cost of Sales - Toyota</v>
      </c>
      <c r="L673" s="311">
        <f>+SUMIF('TUNZ Extracted TB'!M:M,$P673,'TUNZ Extracted TB'!G:G)</f>
        <v>0</v>
      </c>
      <c r="M673" s="311"/>
      <c r="N673" s="311">
        <f>+SUMIF('Input Sheet'!$AE:$AE,P673,'Input Sheet'!$X:$X)</f>
        <v>0</v>
      </c>
      <c r="O673" s="311"/>
      <c r="P673" t="str">
        <f t="shared" si="68"/>
        <v>200-4290</v>
      </c>
      <c r="Q673" s="315" t="str">
        <f t="shared" si="69"/>
        <v>New Vehicle</v>
      </c>
      <c r="R673" s="315" t="str">
        <f t="shared" si="70"/>
        <v>New VehicleRetail Gross p.u.</v>
      </c>
      <c r="S673" s="199"/>
      <c r="T673" s="199"/>
      <c r="U673" s="199"/>
    </row>
    <row r="674" spans="1:21" x14ac:dyDescent="0.25">
      <c r="A674" t="s">
        <v>996</v>
      </c>
      <c r="B674" t="s">
        <v>997</v>
      </c>
      <c r="C674" t="s">
        <v>1012</v>
      </c>
      <c r="D674">
        <v>4290</v>
      </c>
      <c r="E674">
        <v>400</v>
      </c>
      <c r="F674" t="s">
        <v>1002</v>
      </c>
      <c r="G674" t="s">
        <v>1003</v>
      </c>
      <c r="H674" s="315" t="s">
        <v>29</v>
      </c>
      <c r="I674" s="315" t="s">
        <v>1004</v>
      </c>
      <c r="J674" s="315" t="str">
        <f t="shared" si="66"/>
        <v>New VehicleRetail Gross p.u.</v>
      </c>
      <c r="K674" s="315" t="str">
        <f t="shared" si="67"/>
        <v>400New Vehicle Cost of Sales - Toyota</v>
      </c>
      <c r="L674" s="311">
        <f>+SUMIF('TUNZ Extracted TB'!M:M,$P674,'TUNZ Extracted TB'!G:G)</f>
        <v>0</v>
      </c>
      <c r="M674" s="311"/>
      <c r="N674" s="311">
        <f>+SUMIF('Input Sheet'!$AE:$AE,P674,'Input Sheet'!$X:$X)</f>
        <v>0</v>
      </c>
      <c r="O674" s="311"/>
      <c r="P674" t="str">
        <f t="shared" si="68"/>
        <v>400-4290</v>
      </c>
      <c r="Q674" s="315" t="str">
        <f t="shared" si="69"/>
        <v>New Vehicle</v>
      </c>
      <c r="R674" s="315" t="str">
        <f t="shared" si="70"/>
        <v>New VehicleRetail Gross p.u.</v>
      </c>
      <c r="S674" s="199"/>
      <c r="T674" s="199"/>
      <c r="U674" s="199"/>
    </row>
    <row r="675" spans="1:21" x14ac:dyDescent="0.25">
      <c r="A675" t="s">
        <v>996</v>
      </c>
      <c r="B675" t="s">
        <v>997</v>
      </c>
      <c r="C675" t="s">
        <v>1013</v>
      </c>
      <c r="D675">
        <v>4290</v>
      </c>
      <c r="E675">
        <v>300</v>
      </c>
      <c r="F675" t="s">
        <v>1002</v>
      </c>
      <c r="G675" t="s">
        <v>1003</v>
      </c>
      <c r="H675" s="315" t="s">
        <v>29</v>
      </c>
      <c r="I675" s="315" t="s">
        <v>1004</v>
      </c>
      <c r="J675" s="315" t="str">
        <f t="shared" si="66"/>
        <v>New VehicleRetail Gross p.u.</v>
      </c>
      <c r="K675" s="315" t="str">
        <f t="shared" si="67"/>
        <v>300New Vehicle Cost of Sales - Toyota</v>
      </c>
      <c r="L675" s="311">
        <f>+SUMIF('TUNZ Extracted TB'!M:M,$P675,'TUNZ Extracted TB'!G:G)</f>
        <v>0</v>
      </c>
      <c r="M675" s="311"/>
      <c r="N675" s="311">
        <f>+SUMIF('Input Sheet'!$AE:$AE,P675,'Input Sheet'!$X:$X)</f>
        <v>0</v>
      </c>
      <c r="O675" s="311"/>
      <c r="P675" t="str">
        <f t="shared" si="68"/>
        <v>300-4290</v>
      </c>
      <c r="Q675" s="315" t="str">
        <f t="shared" si="69"/>
        <v>New Vehicle</v>
      </c>
      <c r="R675" s="315" t="str">
        <f t="shared" si="70"/>
        <v>New VehicleRetail Gross p.u.</v>
      </c>
      <c r="S675" s="199"/>
      <c r="T675" s="199"/>
      <c r="U675" s="199"/>
    </row>
    <row r="676" spans="1:21" x14ac:dyDescent="0.25">
      <c r="A676" t="s">
        <v>996</v>
      </c>
      <c r="B676" t="s">
        <v>997</v>
      </c>
      <c r="C676" t="s">
        <v>1005</v>
      </c>
      <c r="D676">
        <v>4300</v>
      </c>
      <c r="E676">
        <v>240</v>
      </c>
      <c r="F676" t="s">
        <v>1170</v>
      </c>
      <c r="G676" t="s">
        <v>1171</v>
      </c>
      <c r="H676" s="315" t="s">
        <v>17</v>
      </c>
      <c r="I676" s="315" t="s">
        <v>1172</v>
      </c>
      <c r="J676" s="315" t="str">
        <f t="shared" si="66"/>
        <v>ServiceRetail Gross Profit % of  Sales</v>
      </c>
      <c r="K676" s="315" t="str">
        <f t="shared" si="67"/>
        <v>240Service Retail labour COS - Toyota</v>
      </c>
      <c r="L676" s="311">
        <f>+SUMIF('TUNZ Extracted TB'!M:M,$P676,'TUNZ Extracted TB'!G:G)</f>
        <v>16921.21</v>
      </c>
      <c r="M676" s="311"/>
      <c r="N676" s="311">
        <f>+SUMIF('Input Sheet'!$AE:$AE,P676,'Input Sheet'!$X:$X)</f>
        <v>29180.768754512959</v>
      </c>
      <c r="O676" s="311"/>
      <c r="P676" t="str">
        <f t="shared" si="68"/>
        <v>240-4300</v>
      </c>
      <c r="Q676" s="315" t="str">
        <f t="shared" si="69"/>
        <v>Service</v>
      </c>
      <c r="R676" s="315" t="str">
        <f t="shared" si="70"/>
        <v>ServiceRetail Gross Profit % of  Sales</v>
      </c>
      <c r="S676" s="199"/>
      <c r="T676" s="199"/>
      <c r="U676" s="199"/>
    </row>
    <row r="677" spans="1:21" x14ac:dyDescent="0.25">
      <c r="A677" t="s">
        <v>996</v>
      </c>
      <c r="B677" t="s">
        <v>997</v>
      </c>
      <c r="C677" t="s">
        <v>1013</v>
      </c>
      <c r="D677">
        <v>4300</v>
      </c>
      <c r="E677">
        <v>340</v>
      </c>
      <c r="F677" t="s">
        <v>1170</v>
      </c>
      <c r="G677" t="s">
        <v>1171</v>
      </c>
      <c r="H677" s="315" t="s">
        <v>17</v>
      </c>
      <c r="I677" s="315" t="s">
        <v>1172</v>
      </c>
      <c r="J677" s="315" t="str">
        <f t="shared" si="66"/>
        <v>ServiceRetail Gross Profit % of  Sales</v>
      </c>
      <c r="K677" s="315" t="str">
        <f t="shared" si="67"/>
        <v>340Service Retail labour COS - Toyota</v>
      </c>
      <c r="L677" s="311">
        <f>+SUMIF('TUNZ Extracted TB'!M:M,$P677,'TUNZ Extracted TB'!G:G)</f>
        <v>13016.36</v>
      </c>
      <c r="M677" s="311"/>
      <c r="N677" s="311">
        <f>+SUMIF('Input Sheet'!$AE:$AE,P677,'Input Sheet'!$X:$X)</f>
        <v>24072.192278297072</v>
      </c>
      <c r="O677" s="311"/>
      <c r="P677" t="str">
        <f t="shared" si="68"/>
        <v>340-4300</v>
      </c>
      <c r="Q677" s="315" t="str">
        <f t="shared" si="69"/>
        <v>Service</v>
      </c>
      <c r="R677" s="315" t="str">
        <f t="shared" si="70"/>
        <v>ServiceRetail Gross Profit % of  Sales</v>
      </c>
      <c r="S677" s="199"/>
      <c r="T677" s="199"/>
      <c r="U677" s="199"/>
    </row>
    <row r="678" spans="1:21" x14ac:dyDescent="0.25">
      <c r="A678" t="s">
        <v>996</v>
      </c>
      <c r="B678" t="s">
        <v>997</v>
      </c>
      <c r="C678" t="s">
        <v>1012</v>
      </c>
      <c r="D678">
        <v>4300</v>
      </c>
      <c r="E678">
        <v>440</v>
      </c>
      <c r="F678" t="s">
        <v>1170</v>
      </c>
      <c r="G678" t="s">
        <v>1171</v>
      </c>
      <c r="H678" s="315" t="s">
        <v>17</v>
      </c>
      <c r="I678" s="315" t="s">
        <v>1172</v>
      </c>
      <c r="J678" s="315" t="str">
        <f t="shared" si="66"/>
        <v>ServiceRetail Gross Profit % of  Sales</v>
      </c>
      <c r="K678" s="315" t="str">
        <f t="shared" si="67"/>
        <v>440Service Retail labour COS - Toyota</v>
      </c>
      <c r="L678" s="311">
        <f>+SUMIF('TUNZ Extracted TB'!M:M,$P678,'TUNZ Extracted TB'!G:G)</f>
        <v>9363.59</v>
      </c>
      <c r="M678" s="311"/>
      <c r="N678" s="311">
        <f>+SUMIF('Input Sheet'!$AE:$AE,P678,'Input Sheet'!$X:$X)</f>
        <v>9244.4681204299723</v>
      </c>
      <c r="O678" s="311"/>
      <c r="P678" t="str">
        <f t="shared" si="68"/>
        <v>440-4300</v>
      </c>
      <c r="Q678" s="315" t="str">
        <f t="shared" si="69"/>
        <v>Service</v>
      </c>
      <c r="R678" s="315" t="str">
        <f t="shared" si="70"/>
        <v>ServiceRetail Gross Profit % of  Sales</v>
      </c>
      <c r="S678" s="199"/>
      <c r="T678" s="199"/>
      <c r="U678" s="199"/>
    </row>
    <row r="679" spans="1:21" x14ac:dyDescent="0.25">
      <c r="A679" t="s">
        <v>996</v>
      </c>
      <c r="B679" t="s">
        <v>997</v>
      </c>
      <c r="C679" t="s">
        <v>997</v>
      </c>
      <c r="D679">
        <v>4300</v>
      </c>
      <c r="E679">
        <v>140</v>
      </c>
      <c r="F679" t="s">
        <v>1170</v>
      </c>
      <c r="G679" t="s">
        <v>1171</v>
      </c>
      <c r="H679" s="315" t="s">
        <v>17</v>
      </c>
      <c r="I679" s="315" t="s">
        <v>1172</v>
      </c>
      <c r="J679" s="315" t="str">
        <f t="shared" si="66"/>
        <v>ServiceRetail Gross Profit % of  Sales</v>
      </c>
      <c r="K679" s="315" t="str">
        <f t="shared" si="67"/>
        <v>140Service Retail labour COS - Toyota</v>
      </c>
      <c r="L679" s="311">
        <f>+SUMIF('TUNZ Extracted TB'!M:M,$P679,'TUNZ Extracted TB'!G:G)</f>
        <v>40224.92</v>
      </c>
      <c r="M679" s="311"/>
      <c r="N679" s="311">
        <f>+SUMIF('Input Sheet'!$AE:$AE,P679,'Input Sheet'!$X:$X)</f>
        <v>55780.140390015622</v>
      </c>
      <c r="O679" s="311"/>
      <c r="P679" t="str">
        <f t="shared" si="68"/>
        <v>140-4300</v>
      </c>
      <c r="Q679" s="315" t="str">
        <f t="shared" si="69"/>
        <v>Service</v>
      </c>
      <c r="R679" s="315" t="str">
        <f t="shared" si="70"/>
        <v>ServiceRetail Gross Profit % of  Sales</v>
      </c>
      <c r="S679" s="199"/>
      <c r="T679" s="199"/>
      <c r="U679" s="199"/>
    </row>
    <row r="680" spans="1:21" x14ac:dyDescent="0.25">
      <c r="A680" t="s">
        <v>996</v>
      </c>
      <c r="B680" t="s">
        <v>997</v>
      </c>
      <c r="C680" t="s">
        <v>997</v>
      </c>
      <c r="D680">
        <v>4300</v>
      </c>
      <c r="E680">
        <v>142</v>
      </c>
      <c r="F680" t="s">
        <v>1173</v>
      </c>
      <c r="G680" t="s">
        <v>1174</v>
      </c>
      <c r="H680" s="315" t="s">
        <v>1022</v>
      </c>
      <c r="I680" s="315" t="s">
        <v>1172</v>
      </c>
      <c r="J680" s="315" t="str">
        <f t="shared" si="66"/>
        <v>Lex ServiceRetail Gross Profit % of  Sales</v>
      </c>
      <c r="K680" s="315" t="str">
        <f t="shared" si="67"/>
        <v>142Service Retail labour COS - Lexus</v>
      </c>
      <c r="L680" s="311">
        <f>+SUMIF('TUNZ Extracted TB'!M:M,$P680,'TUNZ Extracted TB'!G:G)</f>
        <v>4313.6499999999996</v>
      </c>
      <c r="M680" s="311"/>
      <c r="N680" s="311">
        <f>+SUMIF('Input Sheet'!$AE:$AE,P680,'Input Sheet'!$X:$X)</f>
        <v>6908.8000000000011</v>
      </c>
      <c r="O680" s="311"/>
      <c r="P680" t="str">
        <f t="shared" si="68"/>
        <v>142-4300</v>
      </c>
      <c r="Q680" s="315" t="str">
        <f t="shared" si="69"/>
        <v>Lex Service</v>
      </c>
      <c r="R680" s="315" t="str">
        <f t="shared" si="70"/>
        <v>Lex ServiceRetail Gross Profit % of  Sales</v>
      </c>
      <c r="S680" s="199"/>
      <c r="T680" s="199"/>
      <c r="U680" s="199"/>
    </row>
    <row r="681" spans="1:21" x14ac:dyDescent="0.25">
      <c r="A681" s="316">
        <v>44958</v>
      </c>
      <c r="B681" t="s">
        <v>997</v>
      </c>
      <c r="C681" t="s">
        <v>997</v>
      </c>
      <c r="D681">
        <v>4300</v>
      </c>
      <c r="E681">
        <v>150</v>
      </c>
      <c r="G681" t="s">
        <v>116</v>
      </c>
      <c r="H681" s="315" t="s">
        <v>145</v>
      </c>
      <c r="I681" s="315" t="s">
        <v>1172</v>
      </c>
      <c r="J681" s="315" t="str">
        <f t="shared" si="66"/>
        <v>Retail DetailingRetail Gross Profit % of  Sales</v>
      </c>
      <c r="K681" s="315" t="str">
        <f t="shared" si="67"/>
        <v>150COGS - Cust Labour - Fran</v>
      </c>
      <c r="L681" s="311">
        <f>+SUMIF('TUNZ Extracted TB'!M:M,$P681,'TUNZ Extracted TB'!G:G)</f>
        <v>132</v>
      </c>
      <c r="M681" s="311"/>
      <c r="N681" s="311">
        <f>+SUMIF('Input Sheet'!$AE:$AE,P681,'Input Sheet'!$X:$X)</f>
        <v>0</v>
      </c>
      <c r="O681" s="311"/>
      <c r="P681" t="str">
        <f t="shared" si="68"/>
        <v>150-4300</v>
      </c>
      <c r="Q681" s="315" t="str">
        <f t="shared" si="69"/>
        <v>Retail Detailing</v>
      </c>
      <c r="R681" s="315" t="str">
        <f t="shared" si="70"/>
        <v>Retail DetailingRetail Gross Profit % of  Sales</v>
      </c>
      <c r="S681" s="199"/>
      <c r="T681" s="199"/>
      <c r="U681" s="199"/>
    </row>
    <row r="682" spans="1:21" x14ac:dyDescent="0.25">
      <c r="A682" t="s">
        <v>996</v>
      </c>
      <c r="B682" t="s">
        <v>997</v>
      </c>
      <c r="C682" t="s">
        <v>997</v>
      </c>
      <c r="D682">
        <v>4300</v>
      </c>
      <c r="E682">
        <v>170</v>
      </c>
      <c r="F682" t="s">
        <v>1098</v>
      </c>
      <c r="G682" t="s">
        <v>1099</v>
      </c>
      <c r="H682" s="315" t="s">
        <v>1000</v>
      </c>
      <c r="I682" s="315" t="s">
        <v>1001</v>
      </c>
      <c r="J682" s="315" t="str">
        <f t="shared" si="66"/>
        <v>Admin &amp; OtherOther Overheads as % of Total Gross Profit</v>
      </c>
      <c r="K682" s="315" t="str">
        <f t="shared" si="67"/>
        <v>170Other Income - Toyota</v>
      </c>
      <c r="L682" s="311">
        <f>+SUMIF('TUNZ Extracted TB'!M:M,$P682,'TUNZ Extracted TB'!G:G)</f>
        <v>0</v>
      </c>
      <c r="M682" s="311"/>
      <c r="N682" s="311">
        <f>+SUMIF('Input Sheet'!$AE:$AE,P682,'Input Sheet'!$X:$X)</f>
        <v>0</v>
      </c>
      <c r="O682" s="311"/>
      <c r="P682" t="str">
        <f t="shared" si="68"/>
        <v>170-4300</v>
      </c>
      <c r="Q682" s="315" t="str">
        <f t="shared" si="69"/>
        <v>Admin &amp; Other</v>
      </c>
      <c r="R682" s="315" t="str">
        <f t="shared" si="70"/>
        <v>Admin &amp; OtherOther Overheads as % of Total Gross Profit</v>
      </c>
      <c r="S682" s="199"/>
      <c r="T682" s="199"/>
      <c r="U682" s="199"/>
    </row>
    <row r="683" spans="1:21" x14ac:dyDescent="0.25">
      <c r="A683" t="s">
        <v>996</v>
      </c>
      <c r="B683" t="s">
        <v>997</v>
      </c>
      <c r="C683" t="s">
        <v>997</v>
      </c>
      <c r="D683">
        <v>4300</v>
      </c>
      <c r="E683">
        <v>147</v>
      </c>
      <c r="F683" t="s">
        <v>1170</v>
      </c>
      <c r="G683" t="s">
        <v>1171</v>
      </c>
      <c r="H683" s="315" t="s">
        <v>17</v>
      </c>
      <c r="I683" s="315" t="s">
        <v>1172</v>
      </c>
      <c r="J683" s="315" t="str">
        <f t="shared" si="66"/>
        <v>ServiceRetail Gross Profit % of  Sales</v>
      </c>
      <c r="K683" s="315" t="str">
        <f t="shared" si="67"/>
        <v>147Service Retail labour COS - Toyota</v>
      </c>
      <c r="L683" s="311">
        <f>+SUMIF('TUNZ Extracted TB'!M:M,$P683,'TUNZ Extracted TB'!G:G)</f>
        <v>0</v>
      </c>
      <c r="M683" s="311"/>
      <c r="N683" s="311">
        <f>+SUMIF('Input Sheet'!$AE:$AE,P683,'Input Sheet'!$X:$X)</f>
        <v>35.427701352416499</v>
      </c>
      <c r="O683" s="311"/>
      <c r="P683" t="str">
        <f t="shared" si="68"/>
        <v>147-4300</v>
      </c>
      <c r="Q683" s="315" t="str">
        <f t="shared" si="69"/>
        <v>Service</v>
      </c>
      <c r="R683" s="315" t="str">
        <f t="shared" si="70"/>
        <v>ServiceRetail Gross Profit % of  Sales</v>
      </c>
      <c r="S683" s="199"/>
      <c r="T683" s="199"/>
      <c r="U683" s="199"/>
    </row>
    <row r="684" spans="1:21" x14ac:dyDescent="0.25">
      <c r="A684" t="s">
        <v>996</v>
      </c>
      <c r="B684" t="s">
        <v>997</v>
      </c>
      <c r="C684" t="s">
        <v>997</v>
      </c>
      <c r="D684">
        <v>4301</v>
      </c>
      <c r="E684">
        <v>140</v>
      </c>
      <c r="F684" t="s">
        <v>1170</v>
      </c>
      <c r="G684" t="s">
        <v>1171</v>
      </c>
      <c r="H684" s="315" t="s">
        <v>17</v>
      </c>
      <c r="I684" s="315" t="s">
        <v>1172</v>
      </c>
      <c r="J684" s="315" t="str">
        <f t="shared" si="66"/>
        <v>ServiceRetail Gross Profit % of  Sales</v>
      </c>
      <c r="K684" s="315" t="str">
        <f t="shared" si="67"/>
        <v>140Service Retail labour COS - Toyota</v>
      </c>
      <c r="L684" s="311">
        <f>+SUMIF('TUNZ Extracted TB'!M:M,$P684,'TUNZ Extracted TB'!G:G)</f>
        <v>3342.6</v>
      </c>
      <c r="M684" s="311"/>
      <c r="N684" s="311">
        <f>+SUMIF('Input Sheet'!$AE:$AE,P684,'Input Sheet'!$X:$X)</f>
        <v>0</v>
      </c>
      <c r="O684" s="311"/>
      <c r="P684" t="str">
        <f t="shared" si="68"/>
        <v>140-4301</v>
      </c>
      <c r="Q684" s="315" t="str">
        <f t="shared" si="69"/>
        <v>Service</v>
      </c>
      <c r="R684" s="315" t="str">
        <f t="shared" si="70"/>
        <v>ServiceRetail Gross Profit % of  Sales</v>
      </c>
      <c r="S684" s="199"/>
      <c r="T684" s="199"/>
      <c r="U684" s="199"/>
    </row>
    <row r="685" spans="1:21" x14ac:dyDescent="0.25">
      <c r="A685" t="s">
        <v>996</v>
      </c>
      <c r="B685" t="s">
        <v>997</v>
      </c>
      <c r="C685" t="s">
        <v>997</v>
      </c>
      <c r="D685">
        <v>4301</v>
      </c>
      <c r="E685">
        <v>142</v>
      </c>
      <c r="F685" t="s">
        <v>1173</v>
      </c>
      <c r="G685" t="s">
        <v>1174</v>
      </c>
      <c r="H685" s="315" t="s">
        <v>1022</v>
      </c>
      <c r="I685" s="315" t="s">
        <v>1172</v>
      </c>
      <c r="J685" s="315" t="str">
        <f t="shared" si="66"/>
        <v>Lex ServiceRetail Gross Profit % of  Sales</v>
      </c>
      <c r="K685" s="315" t="str">
        <f t="shared" si="67"/>
        <v>142Service Retail labour COS - Lexus</v>
      </c>
      <c r="L685" s="311">
        <f>+SUMIF('TUNZ Extracted TB'!M:M,$P685,'TUNZ Extracted TB'!G:G)</f>
        <v>3558.07</v>
      </c>
      <c r="M685" s="311"/>
      <c r="N685" s="311">
        <f>+SUMIF('Input Sheet'!$AE:$AE,P685,'Input Sheet'!$X:$X)</f>
        <v>0</v>
      </c>
      <c r="O685" s="311"/>
      <c r="P685" t="str">
        <f t="shared" si="68"/>
        <v>142-4301</v>
      </c>
      <c r="Q685" s="315" t="str">
        <f t="shared" si="69"/>
        <v>Lex Service</v>
      </c>
      <c r="R685" s="315" t="str">
        <f t="shared" si="70"/>
        <v>Lex ServiceRetail Gross Profit % of  Sales</v>
      </c>
      <c r="S685" s="199"/>
      <c r="T685" s="199"/>
      <c r="U685" s="199"/>
    </row>
    <row r="686" spans="1:21" x14ac:dyDescent="0.25">
      <c r="A686" t="s">
        <v>996</v>
      </c>
      <c r="B686" t="s">
        <v>997</v>
      </c>
      <c r="C686" t="s">
        <v>1013</v>
      </c>
      <c r="D686">
        <v>4301</v>
      </c>
      <c r="E686">
        <v>340</v>
      </c>
      <c r="F686" t="s">
        <v>1170</v>
      </c>
      <c r="G686" t="s">
        <v>1171</v>
      </c>
      <c r="H686" s="315" t="s">
        <v>17</v>
      </c>
      <c r="I686" s="315" t="s">
        <v>1172</v>
      </c>
      <c r="J686" s="315" t="str">
        <f t="shared" si="66"/>
        <v>ServiceRetail Gross Profit % of  Sales</v>
      </c>
      <c r="K686" s="315" t="str">
        <f t="shared" si="67"/>
        <v>340Service Retail labour COS - Toyota</v>
      </c>
      <c r="L686" s="311">
        <f>+SUMIF('TUNZ Extracted TB'!M:M,$P686,'TUNZ Extracted TB'!G:G)</f>
        <v>1206.18</v>
      </c>
      <c r="M686" s="311"/>
      <c r="N686" s="311">
        <f>+SUMIF('Input Sheet'!$AE:$AE,P686,'Input Sheet'!$X:$X)</f>
        <v>0</v>
      </c>
      <c r="O686" s="311"/>
      <c r="P686" t="str">
        <f t="shared" si="68"/>
        <v>340-4301</v>
      </c>
      <c r="Q686" s="315" t="str">
        <f t="shared" si="69"/>
        <v>Service</v>
      </c>
      <c r="R686" s="315" t="str">
        <f t="shared" si="70"/>
        <v>ServiceRetail Gross Profit % of  Sales</v>
      </c>
      <c r="S686" s="199"/>
      <c r="T686" s="199"/>
      <c r="U686" s="199"/>
    </row>
    <row r="687" spans="1:21" x14ac:dyDescent="0.25">
      <c r="A687" t="s">
        <v>996</v>
      </c>
      <c r="B687" t="s">
        <v>997</v>
      </c>
      <c r="C687" t="s">
        <v>1005</v>
      </c>
      <c r="D687">
        <v>4301</v>
      </c>
      <c r="E687">
        <v>240</v>
      </c>
      <c r="F687" t="s">
        <v>1170</v>
      </c>
      <c r="G687" t="s">
        <v>1171</v>
      </c>
      <c r="H687" s="315" t="s">
        <v>17</v>
      </c>
      <c r="I687" s="315" t="s">
        <v>1172</v>
      </c>
      <c r="J687" s="315" t="str">
        <f t="shared" si="66"/>
        <v>ServiceRetail Gross Profit % of  Sales</v>
      </c>
      <c r="K687" s="315" t="str">
        <f t="shared" si="67"/>
        <v>240Service Retail labour COS - Toyota</v>
      </c>
      <c r="L687" s="311">
        <f>+SUMIF('TUNZ Extracted TB'!M:M,$P687,'TUNZ Extracted TB'!G:G)</f>
        <v>2727.29</v>
      </c>
      <c r="M687" s="311"/>
      <c r="N687" s="311">
        <f>+SUMIF('Input Sheet'!$AE:$AE,P687,'Input Sheet'!$X:$X)</f>
        <v>0</v>
      </c>
      <c r="O687" s="311"/>
      <c r="P687" t="str">
        <f t="shared" si="68"/>
        <v>240-4301</v>
      </c>
      <c r="Q687" s="315" t="str">
        <f t="shared" si="69"/>
        <v>Service</v>
      </c>
      <c r="R687" s="315" t="str">
        <f t="shared" si="70"/>
        <v>ServiceRetail Gross Profit % of  Sales</v>
      </c>
      <c r="S687" s="199"/>
      <c r="T687" s="199"/>
      <c r="U687" s="199"/>
    </row>
    <row r="688" spans="1:21" x14ac:dyDescent="0.25">
      <c r="A688" t="s">
        <v>996</v>
      </c>
      <c r="B688" t="s">
        <v>997</v>
      </c>
      <c r="C688" t="s">
        <v>1012</v>
      </c>
      <c r="D688">
        <v>4301</v>
      </c>
      <c r="E688">
        <v>440</v>
      </c>
      <c r="F688" t="s">
        <v>1170</v>
      </c>
      <c r="G688" t="s">
        <v>1171</v>
      </c>
      <c r="H688" s="315" t="s">
        <v>17</v>
      </c>
      <c r="I688" s="315" t="s">
        <v>1172</v>
      </c>
      <c r="J688" s="315" t="str">
        <f t="shared" si="66"/>
        <v>ServiceRetail Gross Profit % of  Sales</v>
      </c>
      <c r="K688" s="315" t="str">
        <f t="shared" si="67"/>
        <v>440Service Retail labour COS - Toyota</v>
      </c>
      <c r="L688" s="311">
        <f>+SUMIF('TUNZ Extracted TB'!M:M,$P688,'TUNZ Extracted TB'!G:G)</f>
        <v>1302.68</v>
      </c>
      <c r="M688" s="311"/>
      <c r="N688" s="311">
        <f>+SUMIF('Input Sheet'!$AE:$AE,P688,'Input Sheet'!$X:$X)</f>
        <v>0</v>
      </c>
      <c r="O688" s="311"/>
      <c r="P688" t="str">
        <f t="shared" si="68"/>
        <v>440-4301</v>
      </c>
      <c r="Q688" s="315" t="str">
        <f t="shared" si="69"/>
        <v>Service</v>
      </c>
      <c r="R688" s="315" t="str">
        <f t="shared" si="70"/>
        <v>ServiceRetail Gross Profit % of  Sales</v>
      </c>
      <c r="S688" s="199"/>
      <c r="T688" s="199"/>
      <c r="U688" s="199"/>
    </row>
    <row r="689" spans="1:21" x14ac:dyDescent="0.25">
      <c r="A689" t="s">
        <v>996</v>
      </c>
      <c r="B689" t="s">
        <v>997</v>
      </c>
      <c r="C689" t="s">
        <v>997</v>
      </c>
      <c r="D689">
        <v>4301</v>
      </c>
      <c r="E689">
        <v>147</v>
      </c>
      <c r="F689" t="s">
        <v>1170</v>
      </c>
      <c r="G689" t="s">
        <v>1171</v>
      </c>
      <c r="H689" s="315" t="s">
        <v>17</v>
      </c>
      <c r="I689" s="315" t="s">
        <v>1172</v>
      </c>
      <c r="J689" s="315" t="str">
        <f t="shared" si="66"/>
        <v>ServiceRetail Gross Profit % of  Sales</v>
      </c>
      <c r="K689" s="315" t="str">
        <f t="shared" si="67"/>
        <v>147Service Retail labour COS - Toyota</v>
      </c>
      <c r="L689" s="311">
        <f>+SUMIF('TUNZ Extracted TB'!M:M,$P689,'TUNZ Extracted TB'!G:G)</f>
        <v>0</v>
      </c>
      <c r="M689" s="311"/>
      <c r="N689" s="311">
        <f>+SUMIF('Input Sheet'!$AE:$AE,P689,'Input Sheet'!$X:$X)</f>
        <v>0</v>
      </c>
      <c r="O689" s="311"/>
      <c r="P689" t="str">
        <f t="shared" si="68"/>
        <v>147-4301</v>
      </c>
      <c r="Q689" s="315" t="str">
        <f t="shared" si="69"/>
        <v>Service</v>
      </c>
      <c r="R689" s="315" t="str">
        <f t="shared" si="70"/>
        <v>ServiceRetail Gross Profit % of  Sales</v>
      </c>
      <c r="S689" s="199"/>
      <c r="T689" s="199"/>
      <c r="U689" s="199"/>
    </row>
    <row r="690" spans="1:21" x14ac:dyDescent="0.25">
      <c r="A690" t="s">
        <v>996</v>
      </c>
      <c r="B690" t="s">
        <v>997</v>
      </c>
      <c r="C690" t="s">
        <v>997</v>
      </c>
      <c r="D690">
        <v>4301</v>
      </c>
      <c r="E690">
        <v>170</v>
      </c>
      <c r="F690" t="s">
        <v>1168</v>
      </c>
      <c r="G690" t="s">
        <v>1169</v>
      </c>
      <c r="H690" s="315" t="s">
        <v>16</v>
      </c>
      <c r="I690" s="315" t="s">
        <v>1090</v>
      </c>
      <c r="J690" s="315" t="str">
        <f t="shared" si="66"/>
        <v>F&amp;IToyota Care Income per vehicle retailed</v>
      </c>
      <c r="K690" s="315" t="str">
        <f t="shared" si="67"/>
        <v>170Toyota Care Cost of Sales - Toyota</v>
      </c>
      <c r="L690" s="311">
        <f>+SUMIF('TUNZ Extracted TB'!M:M,$P690,'TUNZ Extracted TB'!G:G)</f>
        <v>0</v>
      </c>
      <c r="M690" s="311"/>
      <c r="N690" s="311">
        <f>+SUMIF('Input Sheet'!$AE:$AE,P690,'Input Sheet'!$X:$X)</f>
        <v>0</v>
      </c>
      <c r="O690" s="311"/>
      <c r="P690" t="str">
        <f t="shared" si="68"/>
        <v>170-4301</v>
      </c>
      <c r="Q690" s="315" t="str">
        <f t="shared" si="69"/>
        <v>F&amp;I</v>
      </c>
      <c r="R690" s="315" t="str">
        <f t="shared" si="70"/>
        <v>F&amp;IToyota Care Income per vehicle retailed</v>
      </c>
      <c r="S690" s="199"/>
      <c r="T690" s="199"/>
      <c r="U690" s="199"/>
    </row>
    <row r="691" spans="1:21" x14ac:dyDescent="0.25">
      <c r="A691" t="s">
        <v>996</v>
      </c>
      <c r="B691" t="s">
        <v>997</v>
      </c>
      <c r="C691" t="s">
        <v>997</v>
      </c>
      <c r="D691">
        <v>4302</v>
      </c>
      <c r="E691">
        <v>140</v>
      </c>
      <c r="F691" t="s">
        <v>1170</v>
      </c>
      <c r="G691" t="s">
        <v>1171</v>
      </c>
      <c r="H691" s="315" t="s">
        <v>17</v>
      </c>
      <c r="I691" s="315" t="s">
        <v>1172</v>
      </c>
      <c r="J691" s="315" t="str">
        <f t="shared" si="66"/>
        <v>ServiceRetail Gross Profit % of  Sales</v>
      </c>
      <c r="K691" s="315" t="str">
        <f t="shared" si="67"/>
        <v>140Service Retail labour COS - Toyota</v>
      </c>
      <c r="L691" s="311">
        <f>+SUMIF('TUNZ Extracted TB'!M:M,$P691,'TUNZ Extracted TB'!G:G)</f>
        <v>1069.9100000000001</v>
      </c>
      <c r="M691" s="311"/>
      <c r="N691" s="311">
        <f>+SUMIF('Input Sheet'!$AE:$AE,P691,'Input Sheet'!$X:$X)</f>
        <v>0</v>
      </c>
      <c r="O691" s="311"/>
      <c r="P691" t="str">
        <f t="shared" si="68"/>
        <v>140-4302</v>
      </c>
      <c r="Q691" s="315" t="str">
        <f t="shared" si="69"/>
        <v>Service</v>
      </c>
      <c r="R691" s="315" t="str">
        <f t="shared" si="70"/>
        <v>ServiceRetail Gross Profit % of  Sales</v>
      </c>
      <c r="S691" s="199"/>
      <c r="T691" s="199"/>
      <c r="U691" s="199"/>
    </row>
    <row r="692" spans="1:21" x14ac:dyDescent="0.25">
      <c r="A692" t="s">
        <v>996</v>
      </c>
      <c r="B692" t="s">
        <v>997</v>
      </c>
      <c r="C692" t="s">
        <v>997</v>
      </c>
      <c r="D692">
        <v>4302</v>
      </c>
      <c r="E692">
        <v>142</v>
      </c>
      <c r="F692" t="s">
        <v>1173</v>
      </c>
      <c r="G692" t="s">
        <v>1174</v>
      </c>
      <c r="H692" s="315" t="s">
        <v>1022</v>
      </c>
      <c r="I692" s="315" t="s">
        <v>1172</v>
      </c>
      <c r="J692" s="315" t="str">
        <f t="shared" si="66"/>
        <v>Lex ServiceRetail Gross Profit % of  Sales</v>
      </c>
      <c r="K692" s="315" t="str">
        <f t="shared" si="67"/>
        <v>142Service Retail labour COS - Lexus</v>
      </c>
      <c r="L692" s="311">
        <f>+SUMIF('TUNZ Extracted TB'!M:M,$P692,'TUNZ Extracted TB'!G:G)</f>
        <v>28.08</v>
      </c>
      <c r="M692" s="311"/>
      <c r="N692" s="311">
        <f>+SUMIF('Input Sheet'!$AE:$AE,P692,'Input Sheet'!$X:$X)</f>
        <v>0</v>
      </c>
      <c r="O692" s="311"/>
      <c r="P692" t="str">
        <f t="shared" si="68"/>
        <v>142-4302</v>
      </c>
      <c r="Q692" s="315" t="str">
        <f t="shared" si="69"/>
        <v>Lex Service</v>
      </c>
      <c r="R692" s="315" t="str">
        <f t="shared" si="70"/>
        <v>Lex ServiceRetail Gross Profit % of  Sales</v>
      </c>
      <c r="S692" s="199"/>
      <c r="T692" s="199"/>
      <c r="U692" s="199"/>
    </row>
    <row r="693" spans="1:21" x14ac:dyDescent="0.25">
      <c r="A693" t="s">
        <v>996</v>
      </c>
      <c r="B693" t="s">
        <v>997</v>
      </c>
      <c r="C693" t="s">
        <v>1012</v>
      </c>
      <c r="D693">
        <v>4302</v>
      </c>
      <c r="E693">
        <v>440</v>
      </c>
      <c r="F693" t="s">
        <v>1170</v>
      </c>
      <c r="G693" t="s">
        <v>1171</v>
      </c>
      <c r="H693" s="315" t="s">
        <v>17</v>
      </c>
      <c r="I693" s="315" t="s">
        <v>1172</v>
      </c>
      <c r="J693" s="315" t="str">
        <f t="shared" si="66"/>
        <v>ServiceRetail Gross Profit % of  Sales</v>
      </c>
      <c r="K693" s="315" t="str">
        <f t="shared" si="67"/>
        <v>440Service Retail labour COS - Toyota</v>
      </c>
      <c r="L693" s="311">
        <f>+SUMIF('TUNZ Extracted TB'!M:M,$P693,'TUNZ Extracted TB'!G:G)</f>
        <v>501.48</v>
      </c>
      <c r="M693" s="311"/>
      <c r="N693" s="311">
        <f>+SUMIF('Input Sheet'!$AE:$AE,P693,'Input Sheet'!$X:$X)</f>
        <v>0</v>
      </c>
      <c r="O693" s="311"/>
      <c r="P693" t="str">
        <f t="shared" si="68"/>
        <v>440-4302</v>
      </c>
      <c r="Q693" s="315" t="str">
        <f t="shared" si="69"/>
        <v>Service</v>
      </c>
      <c r="R693" s="315" t="str">
        <f t="shared" si="70"/>
        <v>ServiceRetail Gross Profit % of  Sales</v>
      </c>
      <c r="S693" s="199"/>
      <c r="T693" s="199"/>
      <c r="U693" s="199"/>
    </row>
    <row r="694" spans="1:21" x14ac:dyDescent="0.25">
      <c r="A694" t="s">
        <v>996</v>
      </c>
      <c r="B694" t="s">
        <v>997</v>
      </c>
      <c r="C694" t="s">
        <v>1013</v>
      </c>
      <c r="D694">
        <v>4302</v>
      </c>
      <c r="E694">
        <v>340</v>
      </c>
      <c r="F694" t="s">
        <v>1170</v>
      </c>
      <c r="G694" t="s">
        <v>1171</v>
      </c>
      <c r="H694" s="315" t="s">
        <v>17</v>
      </c>
      <c r="I694" s="315" t="s">
        <v>1172</v>
      </c>
      <c r="J694" s="315" t="str">
        <f t="shared" si="66"/>
        <v>ServiceRetail Gross Profit % of  Sales</v>
      </c>
      <c r="K694" s="315" t="str">
        <f t="shared" si="67"/>
        <v>340Service Retail labour COS - Toyota</v>
      </c>
      <c r="L694" s="311">
        <f>+SUMIF('TUNZ Extracted TB'!M:M,$P694,'TUNZ Extracted TB'!G:G)</f>
        <v>98.17</v>
      </c>
      <c r="M694" s="311"/>
      <c r="N694" s="311">
        <f>+SUMIF('Input Sheet'!$AE:$AE,P694,'Input Sheet'!$X:$X)</f>
        <v>0</v>
      </c>
      <c r="O694" s="311"/>
      <c r="P694" t="str">
        <f t="shared" si="68"/>
        <v>340-4302</v>
      </c>
      <c r="Q694" s="315" t="str">
        <f t="shared" si="69"/>
        <v>Service</v>
      </c>
      <c r="R694" s="315" t="str">
        <f t="shared" si="70"/>
        <v>ServiceRetail Gross Profit % of  Sales</v>
      </c>
      <c r="S694" s="199"/>
      <c r="T694" s="199"/>
      <c r="U694" s="199"/>
    </row>
    <row r="695" spans="1:21" x14ac:dyDescent="0.25">
      <c r="A695" t="s">
        <v>996</v>
      </c>
      <c r="B695" t="s">
        <v>997</v>
      </c>
      <c r="C695" t="s">
        <v>1005</v>
      </c>
      <c r="D695">
        <v>4302</v>
      </c>
      <c r="E695">
        <v>240</v>
      </c>
      <c r="F695" t="s">
        <v>1170</v>
      </c>
      <c r="G695" t="s">
        <v>1171</v>
      </c>
      <c r="H695" s="315" t="s">
        <v>17</v>
      </c>
      <c r="I695" s="315" t="s">
        <v>1172</v>
      </c>
      <c r="J695" s="315" t="str">
        <f t="shared" si="66"/>
        <v>ServiceRetail Gross Profit % of  Sales</v>
      </c>
      <c r="K695" s="315" t="str">
        <f t="shared" si="67"/>
        <v>240Service Retail labour COS - Toyota</v>
      </c>
      <c r="L695" s="311">
        <f>+SUMIF('TUNZ Extracted TB'!M:M,$P695,'TUNZ Extracted TB'!G:G)</f>
        <v>50.75</v>
      </c>
      <c r="M695" s="311"/>
      <c r="N695" s="311">
        <f>+SUMIF('Input Sheet'!$AE:$AE,P695,'Input Sheet'!$X:$X)</f>
        <v>0</v>
      </c>
      <c r="O695" s="311"/>
      <c r="P695" t="str">
        <f t="shared" si="68"/>
        <v>240-4302</v>
      </c>
      <c r="Q695" s="315" t="str">
        <f t="shared" si="69"/>
        <v>Service</v>
      </c>
      <c r="R695" s="315" t="str">
        <f t="shared" si="70"/>
        <v>ServiceRetail Gross Profit % of  Sales</v>
      </c>
      <c r="S695" s="199"/>
      <c r="T695" s="199"/>
      <c r="U695" s="199"/>
    </row>
    <row r="696" spans="1:21" x14ac:dyDescent="0.25">
      <c r="A696" t="s">
        <v>996</v>
      </c>
      <c r="B696" t="s">
        <v>997</v>
      </c>
      <c r="C696" t="s">
        <v>997</v>
      </c>
      <c r="D696">
        <v>4302</v>
      </c>
      <c r="E696">
        <v>170</v>
      </c>
      <c r="F696" t="s">
        <v>1098</v>
      </c>
      <c r="G696" t="s">
        <v>1099</v>
      </c>
      <c r="H696" s="315" t="s">
        <v>1000</v>
      </c>
      <c r="I696" s="315" t="s">
        <v>1001</v>
      </c>
      <c r="J696" s="315" t="str">
        <f t="shared" si="66"/>
        <v>Admin &amp; OtherOther Overheads as % of Total Gross Profit</v>
      </c>
      <c r="K696" s="315" t="str">
        <f t="shared" si="67"/>
        <v>170Other Income - Toyota</v>
      </c>
      <c r="L696" s="311">
        <f>+SUMIF('TUNZ Extracted TB'!M:M,$P696,'TUNZ Extracted TB'!G:G)</f>
        <v>0</v>
      </c>
      <c r="M696" s="311"/>
      <c r="N696" s="311">
        <f>+SUMIF('Input Sheet'!$AE:$AE,P696,'Input Sheet'!$X:$X)</f>
        <v>0</v>
      </c>
      <c r="O696" s="311"/>
      <c r="P696" t="str">
        <f t="shared" si="68"/>
        <v>170-4302</v>
      </c>
      <c r="Q696" s="315" t="str">
        <f t="shared" si="69"/>
        <v>Admin &amp; Other</v>
      </c>
      <c r="R696" s="315" t="str">
        <f t="shared" si="70"/>
        <v>Admin &amp; OtherOther Overheads as % of Total Gross Profit</v>
      </c>
      <c r="S696" s="199"/>
      <c r="T696" s="199"/>
      <c r="U696" s="199"/>
    </row>
    <row r="697" spans="1:21" x14ac:dyDescent="0.25">
      <c r="A697" t="s">
        <v>996</v>
      </c>
      <c r="B697" t="s">
        <v>997</v>
      </c>
      <c r="C697" t="s">
        <v>997</v>
      </c>
      <c r="D697">
        <v>4302</v>
      </c>
      <c r="E697">
        <v>147</v>
      </c>
      <c r="F697" t="s">
        <v>1170</v>
      </c>
      <c r="G697" t="s">
        <v>1171</v>
      </c>
      <c r="H697" s="315" t="s">
        <v>17</v>
      </c>
      <c r="I697" s="315" t="s">
        <v>1172</v>
      </c>
      <c r="J697" s="315" t="str">
        <f t="shared" si="66"/>
        <v>ServiceRetail Gross Profit % of  Sales</v>
      </c>
      <c r="K697" s="315" t="str">
        <f t="shared" si="67"/>
        <v>147Service Retail labour COS - Toyota</v>
      </c>
      <c r="L697" s="311">
        <f>+SUMIF('TUNZ Extracted TB'!M:M,$P697,'TUNZ Extracted TB'!G:G)</f>
        <v>0</v>
      </c>
      <c r="M697" s="311"/>
      <c r="N697" s="311">
        <f>+SUMIF('Input Sheet'!$AE:$AE,P697,'Input Sheet'!$X:$X)</f>
        <v>0</v>
      </c>
      <c r="O697" s="311"/>
      <c r="P697" t="str">
        <f t="shared" si="68"/>
        <v>147-4302</v>
      </c>
      <c r="Q697" s="315" t="str">
        <f t="shared" si="69"/>
        <v>Service</v>
      </c>
      <c r="R697" s="315" t="str">
        <f t="shared" si="70"/>
        <v>ServiceRetail Gross Profit % of  Sales</v>
      </c>
      <c r="S697" s="199"/>
      <c r="T697" s="199"/>
      <c r="U697" s="199"/>
    </row>
    <row r="698" spans="1:21" x14ac:dyDescent="0.25">
      <c r="A698" t="s">
        <v>996</v>
      </c>
      <c r="B698" t="s">
        <v>997</v>
      </c>
      <c r="C698" t="s">
        <v>997</v>
      </c>
      <c r="D698">
        <v>4303</v>
      </c>
      <c r="E698">
        <v>140</v>
      </c>
      <c r="F698" t="s">
        <v>1170</v>
      </c>
      <c r="G698" t="s">
        <v>1171</v>
      </c>
      <c r="H698" s="315" t="s">
        <v>17</v>
      </c>
      <c r="I698" s="315" t="s">
        <v>1172</v>
      </c>
      <c r="J698" s="315" t="str">
        <f t="shared" si="66"/>
        <v>ServiceRetail Gross Profit % of  Sales</v>
      </c>
      <c r="K698" s="315" t="str">
        <f t="shared" si="67"/>
        <v>140Service Retail labour COS - Toyota</v>
      </c>
      <c r="L698" s="311">
        <f>+SUMIF('TUNZ Extracted TB'!M:M,$P698,'TUNZ Extracted TB'!G:G)</f>
        <v>0</v>
      </c>
      <c r="M698" s="311"/>
      <c r="N698" s="311">
        <f>+SUMIF('Input Sheet'!$AE:$AE,P698,'Input Sheet'!$X:$X)</f>
        <v>0</v>
      </c>
      <c r="O698" s="311"/>
      <c r="P698" t="str">
        <f t="shared" si="68"/>
        <v>140-4303</v>
      </c>
      <c r="Q698" s="315" t="str">
        <f t="shared" si="69"/>
        <v>Service</v>
      </c>
      <c r="R698" s="315" t="str">
        <f t="shared" si="70"/>
        <v>ServiceRetail Gross Profit % of  Sales</v>
      </c>
      <c r="S698" s="199"/>
      <c r="T698" s="199"/>
      <c r="U698" s="199"/>
    </row>
    <row r="699" spans="1:21" x14ac:dyDescent="0.25">
      <c r="A699" t="s">
        <v>996</v>
      </c>
      <c r="B699" t="s">
        <v>997</v>
      </c>
      <c r="C699" t="s">
        <v>997</v>
      </c>
      <c r="D699">
        <v>4303</v>
      </c>
      <c r="E699">
        <v>142</v>
      </c>
      <c r="F699" t="s">
        <v>1173</v>
      </c>
      <c r="G699" t="s">
        <v>1174</v>
      </c>
      <c r="H699" s="315" t="s">
        <v>1022</v>
      </c>
      <c r="I699" s="315" t="s">
        <v>1172</v>
      </c>
      <c r="J699" s="315" t="str">
        <f t="shared" si="66"/>
        <v>Lex ServiceRetail Gross Profit % of  Sales</v>
      </c>
      <c r="K699" s="315" t="str">
        <f t="shared" si="67"/>
        <v>142Service Retail labour COS - Lexus</v>
      </c>
      <c r="L699" s="311">
        <f>+SUMIF('TUNZ Extracted TB'!M:M,$P699,'TUNZ Extracted TB'!G:G)</f>
        <v>0</v>
      </c>
      <c r="M699" s="311"/>
      <c r="N699" s="311">
        <f>+SUMIF('Input Sheet'!$AE:$AE,P699,'Input Sheet'!$X:$X)</f>
        <v>0</v>
      </c>
      <c r="O699" s="311"/>
      <c r="P699" t="str">
        <f t="shared" si="68"/>
        <v>142-4303</v>
      </c>
      <c r="Q699" s="315" t="str">
        <f t="shared" si="69"/>
        <v>Lex Service</v>
      </c>
      <c r="R699" s="315" t="str">
        <f t="shared" si="70"/>
        <v>Lex ServiceRetail Gross Profit % of  Sales</v>
      </c>
      <c r="S699" s="199"/>
      <c r="T699" s="199"/>
      <c r="U699" s="199"/>
    </row>
    <row r="700" spans="1:21" x14ac:dyDescent="0.25">
      <c r="A700" t="s">
        <v>996</v>
      </c>
      <c r="B700" t="s">
        <v>997</v>
      </c>
      <c r="C700" t="s">
        <v>997</v>
      </c>
      <c r="D700">
        <v>4303</v>
      </c>
      <c r="E700">
        <v>936</v>
      </c>
      <c r="F700" t="s">
        <v>1175</v>
      </c>
      <c r="G700" t="s">
        <v>1176</v>
      </c>
      <c r="H700" s="315" t="s">
        <v>58</v>
      </c>
      <c r="I700" s="315" t="s">
        <v>1172</v>
      </c>
      <c r="J700" s="315" t="str">
        <f t="shared" si="66"/>
        <v>BridgestoneRetail Gross Profit % of  Sales</v>
      </c>
      <c r="K700" s="315" t="str">
        <f t="shared" si="67"/>
        <v>936Other franchise/business expense</v>
      </c>
      <c r="L700" s="311">
        <f>+SUMIF('TUNZ Extracted TB'!M:M,$P700,'TUNZ Extracted TB'!G:G)</f>
        <v>0</v>
      </c>
      <c r="M700" s="311"/>
      <c r="N700" s="311">
        <f>+SUMIF('Input Sheet'!$AE:$AE,P700,'Input Sheet'!$X:$X)</f>
        <v>0</v>
      </c>
      <c r="O700" s="311"/>
      <c r="P700" t="str">
        <f t="shared" si="68"/>
        <v>936-4303</v>
      </c>
      <c r="Q700" s="315" t="str">
        <f t="shared" si="69"/>
        <v>Bridgestone</v>
      </c>
      <c r="R700" s="315" t="str">
        <f t="shared" si="70"/>
        <v>BridgestoneRetail Gross Profit % of  Sales</v>
      </c>
      <c r="S700" s="199"/>
      <c r="T700" s="199"/>
      <c r="U700" s="199"/>
    </row>
    <row r="701" spans="1:21" x14ac:dyDescent="0.25">
      <c r="A701" t="s">
        <v>996</v>
      </c>
      <c r="B701" t="s">
        <v>997</v>
      </c>
      <c r="C701" t="s">
        <v>997</v>
      </c>
      <c r="D701">
        <v>4303</v>
      </c>
      <c r="E701">
        <v>935</v>
      </c>
      <c r="F701" t="s">
        <v>1175</v>
      </c>
      <c r="G701" t="s">
        <v>1176</v>
      </c>
      <c r="H701" s="315" t="s">
        <v>58</v>
      </c>
      <c r="I701" s="315" t="s">
        <v>1172</v>
      </c>
      <c r="J701" s="315" t="str">
        <f t="shared" si="66"/>
        <v>BridgestoneRetail Gross Profit % of  Sales</v>
      </c>
      <c r="K701" s="315" t="str">
        <f t="shared" si="67"/>
        <v>935Other franchise/business expense</v>
      </c>
      <c r="L701" s="311">
        <f>+SUMIF('TUNZ Extracted TB'!M:M,$P701,'TUNZ Extracted TB'!G:G)</f>
        <v>0</v>
      </c>
      <c r="M701" s="311"/>
      <c r="N701" s="311">
        <f>+SUMIF('Input Sheet'!$AE:$AE,P701,'Input Sheet'!$X:$X)</f>
        <v>0</v>
      </c>
      <c r="O701" s="311"/>
      <c r="P701" t="str">
        <f t="shared" si="68"/>
        <v>935-4303</v>
      </c>
      <c r="Q701" s="315" t="str">
        <f t="shared" si="69"/>
        <v>Bridgestone</v>
      </c>
      <c r="R701" s="315" t="str">
        <f t="shared" si="70"/>
        <v>BridgestoneRetail Gross Profit % of  Sales</v>
      </c>
      <c r="S701" s="199"/>
      <c r="T701" s="199"/>
      <c r="U701" s="199"/>
    </row>
    <row r="702" spans="1:21" x14ac:dyDescent="0.25">
      <c r="A702" t="s">
        <v>996</v>
      </c>
      <c r="B702" t="s">
        <v>997</v>
      </c>
      <c r="C702" t="s">
        <v>1005</v>
      </c>
      <c r="D702">
        <v>4303</v>
      </c>
      <c r="E702">
        <v>240</v>
      </c>
      <c r="F702" t="s">
        <v>1170</v>
      </c>
      <c r="G702" t="s">
        <v>1171</v>
      </c>
      <c r="H702" s="315" t="s">
        <v>17</v>
      </c>
      <c r="I702" s="315" t="s">
        <v>1172</v>
      </c>
      <c r="J702" s="315" t="str">
        <f t="shared" si="66"/>
        <v>ServiceRetail Gross Profit % of  Sales</v>
      </c>
      <c r="K702" s="315" t="str">
        <f t="shared" si="67"/>
        <v>240Service Retail labour COS - Toyota</v>
      </c>
      <c r="L702" s="311">
        <f>+SUMIF('TUNZ Extracted TB'!M:M,$P702,'TUNZ Extracted TB'!G:G)</f>
        <v>0</v>
      </c>
      <c r="M702" s="311"/>
      <c r="N702" s="311">
        <f>+SUMIF('Input Sheet'!$AE:$AE,P702,'Input Sheet'!$X:$X)</f>
        <v>0</v>
      </c>
      <c r="O702" s="311"/>
      <c r="P702" t="str">
        <f t="shared" si="68"/>
        <v>240-4303</v>
      </c>
      <c r="Q702" s="315" t="str">
        <f t="shared" si="69"/>
        <v>Service</v>
      </c>
      <c r="R702" s="315" t="str">
        <f t="shared" si="70"/>
        <v>ServiceRetail Gross Profit % of  Sales</v>
      </c>
      <c r="S702" s="199"/>
      <c r="T702" s="199"/>
      <c r="U702" s="199"/>
    </row>
    <row r="703" spans="1:21" x14ac:dyDescent="0.25">
      <c r="A703" t="s">
        <v>996</v>
      </c>
      <c r="B703" t="s">
        <v>997</v>
      </c>
      <c r="C703" t="s">
        <v>1012</v>
      </c>
      <c r="D703">
        <v>4303</v>
      </c>
      <c r="E703">
        <v>440</v>
      </c>
      <c r="F703" t="s">
        <v>1170</v>
      </c>
      <c r="G703" t="s">
        <v>1171</v>
      </c>
      <c r="H703" s="315" t="s">
        <v>17</v>
      </c>
      <c r="I703" s="315" t="s">
        <v>1172</v>
      </c>
      <c r="J703" s="315" t="str">
        <f t="shared" si="66"/>
        <v>ServiceRetail Gross Profit % of  Sales</v>
      </c>
      <c r="K703" s="315" t="str">
        <f t="shared" si="67"/>
        <v>440Service Retail labour COS - Toyota</v>
      </c>
      <c r="L703" s="311">
        <f>+SUMIF('TUNZ Extracted TB'!M:M,$P703,'TUNZ Extracted TB'!G:G)</f>
        <v>0</v>
      </c>
      <c r="M703" s="311"/>
      <c r="N703" s="311">
        <f>+SUMIF('Input Sheet'!$AE:$AE,P703,'Input Sheet'!$X:$X)</f>
        <v>0</v>
      </c>
      <c r="O703" s="311"/>
      <c r="P703" t="str">
        <f t="shared" si="68"/>
        <v>440-4303</v>
      </c>
      <c r="Q703" s="315" t="str">
        <f t="shared" si="69"/>
        <v>Service</v>
      </c>
      <c r="R703" s="315" t="str">
        <f t="shared" si="70"/>
        <v>ServiceRetail Gross Profit % of  Sales</v>
      </c>
      <c r="S703" s="199"/>
      <c r="T703" s="199"/>
      <c r="U703" s="199"/>
    </row>
    <row r="704" spans="1:21" x14ac:dyDescent="0.25">
      <c r="A704" t="s">
        <v>996</v>
      </c>
      <c r="B704" t="s">
        <v>997</v>
      </c>
      <c r="C704" t="s">
        <v>1013</v>
      </c>
      <c r="D704">
        <v>4303</v>
      </c>
      <c r="E704">
        <v>340</v>
      </c>
      <c r="F704" t="s">
        <v>1170</v>
      </c>
      <c r="G704" t="s">
        <v>1171</v>
      </c>
      <c r="H704" s="315" t="s">
        <v>17</v>
      </c>
      <c r="I704" s="315" t="s">
        <v>1172</v>
      </c>
      <c r="J704" s="315" t="str">
        <f t="shared" si="66"/>
        <v>ServiceRetail Gross Profit % of  Sales</v>
      </c>
      <c r="K704" s="315" t="str">
        <f t="shared" si="67"/>
        <v>340Service Retail labour COS - Toyota</v>
      </c>
      <c r="L704" s="311">
        <f>+SUMIF('TUNZ Extracted TB'!M:M,$P704,'TUNZ Extracted TB'!G:G)</f>
        <v>0</v>
      </c>
      <c r="M704" s="311"/>
      <c r="N704" s="311">
        <f>+SUMIF('Input Sheet'!$AE:$AE,P704,'Input Sheet'!$X:$X)</f>
        <v>0</v>
      </c>
      <c r="O704" s="311"/>
      <c r="P704" t="str">
        <f t="shared" si="68"/>
        <v>340-4303</v>
      </c>
      <c r="Q704" s="315" t="str">
        <f t="shared" si="69"/>
        <v>Service</v>
      </c>
      <c r="R704" s="315" t="str">
        <f t="shared" si="70"/>
        <v>ServiceRetail Gross Profit % of  Sales</v>
      </c>
      <c r="S704" s="199"/>
      <c r="T704" s="199"/>
      <c r="U704" s="199"/>
    </row>
    <row r="705" spans="1:21" x14ac:dyDescent="0.25">
      <c r="A705" t="s">
        <v>996</v>
      </c>
      <c r="B705" t="s">
        <v>997</v>
      </c>
      <c r="C705" t="s">
        <v>997</v>
      </c>
      <c r="D705">
        <v>4303</v>
      </c>
      <c r="E705">
        <v>147</v>
      </c>
      <c r="F705" t="s">
        <v>1170</v>
      </c>
      <c r="G705" t="s">
        <v>1171</v>
      </c>
      <c r="H705" s="315" t="s">
        <v>17</v>
      </c>
      <c r="I705" s="315" t="s">
        <v>1172</v>
      </c>
      <c r="J705" s="315" t="str">
        <f t="shared" si="66"/>
        <v>ServiceRetail Gross Profit % of  Sales</v>
      </c>
      <c r="K705" s="315" t="str">
        <f t="shared" si="67"/>
        <v>147Service Retail labour COS - Toyota</v>
      </c>
      <c r="L705" s="311">
        <f>+SUMIF('TUNZ Extracted TB'!M:M,$P705,'TUNZ Extracted TB'!G:G)</f>
        <v>0</v>
      </c>
      <c r="M705" s="311"/>
      <c r="N705" s="311">
        <f>+SUMIF('Input Sheet'!$AE:$AE,P705,'Input Sheet'!$X:$X)</f>
        <v>0</v>
      </c>
      <c r="O705" s="311"/>
      <c r="P705" t="str">
        <f t="shared" si="68"/>
        <v>147-4303</v>
      </c>
      <c r="Q705" s="315" t="str">
        <f t="shared" si="69"/>
        <v>Service</v>
      </c>
      <c r="R705" s="315" t="str">
        <f t="shared" si="70"/>
        <v>ServiceRetail Gross Profit % of  Sales</v>
      </c>
      <c r="S705" s="199"/>
      <c r="T705" s="199"/>
      <c r="U705" s="199"/>
    </row>
    <row r="706" spans="1:21" x14ac:dyDescent="0.25">
      <c r="A706" t="s">
        <v>996</v>
      </c>
      <c r="B706" t="s">
        <v>997</v>
      </c>
      <c r="C706" t="s">
        <v>1012</v>
      </c>
      <c r="D706">
        <v>4312</v>
      </c>
      <c r="E706">
        <v>440</v>
      </c>
      <c r="F706" t="s">
        <v>1170</v>
      </c>
      <c r="G706" t="s">
        <v>1171</v>
      </c>
      <c r="H706" s="315" t="s">
        <v>17</v>
      </c>
      <c r="I706" s="315" t="s">
        <v>1172</v>
      </c>
      <c r="J706" s="315" t="str">
        <f t="shared" si="66"/>
        <v>ServiceRetail Gross Profit % of  Sales</v>
      </c>
      <c r="K706" s="315" t="str">
        <f t="shared" si="67"/>
        <v>440Service Retail labour COS - Toyota</v>
      </c>
      <c r="L706" s="311">
        <f>+SUMIF('TUNZ Extracted TB'!M:M,$P706,'TUNZ Extracted TB'!G:G)</f>
        <v>1129.31</v>
      </c>
      <c r="M706" s="311"/>
      <c r="N706" s="311">
        <f>+SUMIF('Input Sheet'!$AE:$AE,P706,'Input Sheet'!$X:$X)</f>
        <v>0</v>
      </c>
      <c r="O706" s="311"/>
      <c r="P706" t="str">
        <f t="shared" si="68"/>
        <v>440-4312</v>
      </c>
      <c r="Q706" s="315" t="str">
        <f t="shared" si="69"/>
        <v>Service</v>
      </c>
      <c r="R706" s="315" t="str">
        <f t="shared" si="70"/>
        <v>ServiceRetail Gross Profit % of  Sales</v>
      </c>
      <c r="S706" s="199"/>
      <c r="T706" s="199"/>
      <c r="U706" s="199"/>
    </row>
    <row r="707" spans="1:21" x14ac:dyDescent="0.25">
      <c r="A707" t="s">
        <v>996</v>
      </c>
      <c r="B707" t="s">
        <v>997</v>
      </c>
      <c r="C707" t="s">
        <v>997</v>
      </c>
      <c r="D707">
        <v>4312</v>
      </c>
      <c r="E707">
        <v>140</v>
      </c>
      <c r="F707" t="s">
        <v>1170</v>
      </c>
      <c r="G707" t="s">
        <v>1171</v>
      </c>
      <c r="H707" s="315" t="s">
        <v>17</v>
      </c>
      <c r="I707" s="315" t="s">
        <v>1172</v>
      </c>
      <c r="J707" s="315" t="str">
        <f t="shared" ref="J707:J770" si="71">+H707&amp;I707</f>
        <v>ServiceRetail Gross Profit % of  Sales</v>
      </c>
      <c r="K707" s="315" t="str">
        <f t="shared" ref="K707:K770" si="72">+E707&amp;G707</f>
        <v>140Service Retail labour COS - Toyota</v>
      </c>
      <c r="L707" s="311">
        <f>+SUMIF('TUNZ Extracted TB'!M:M,$P707,'TUNZ Extracted TB'!G:G)</f>
        <v>184.29</v>
      </c>
      <c r="M707" s="311"/>
      <c r="N707" s="311">
        <f>+SUMIF('Input Sheet'!$AE:$AE,P707,'Input Sheet'!$X:$X)</f>
        <v>0</v>
      </c>
      <c r="O707" s="311"/>
      <c r="P707" t="str">
        <f t="shared" ref="P707:P770" si="73">+E707&amp;"-"&amp;D707</f>
        <v>140-4312</v>
      </c>
      <c r="Q707" s="315" t="str">
        <f t="shared" ref="Q707:Q770" si="74">H707</f>
        <v>Service</v>
      </c>
      <c r="R707" s="315" t="str">
        <f t="shared" ref="R707:R770" si="75">J707</f>
        <v>ServiceRetail Gross Profit % of  Sales</v>
      </c>
      <c r="S707" s="199"/>
      <c r="T707" s="199"/>
      <c r="U707" s="199"/>
    </row>
    <row r="708" spans="1:21" x14ac:dyDescent="0.25">
      <c r="A708" t="s">
        <v>996</v>
      </c>
      <c r="B708" t="s">
        <v>997</v>
      </c>
      <c r="C708" t="s">
        <v>997</v>
      </c>
      <c r="D708">
        <v>4312</v>
      </c>
      <c r="E708">
        <v>142</v>
      </c>
      <c r="F708" t="s">
        <v>1173</v>
      </c>
      <c r="G708" t="s">
        <v>1174</v>
      </c>
      <c r="H708" s="315" t="s">
        <v>1022</v>
      </c>
      <c r="I708" s="315" t="s">
        <v>1172</v>
      </c>
      <c r="J708" s="315" t="str">
        <f t="shared" si="71"/>
        <v>Lex ServiceRetail Gross Profit % of  Sales</v>
      </c>
      <c r="K708" s="315" t="str">
        <f t="shared" si="72"/>
        <v>142Service Retail labour COS - Lexus</v>
      </c>
      <c r="L708" s="311">
        <f>+SUMIF('TUNZ Extracted TB'!M:M,$P708,'TUNZ Extracted TB'!G:G)</f>
        <v>0</v>
      </c>
      <c r="M708" s="311"/>
      <c r="N708" s="311">
        <f>+SUMIF('Input Sheet'!$AE:$AE,P708,'Input Sheet'!$X:$X)</f>
        <v>0</v>
      </c>
      <c r="O708" s="311"/>
      <c r="P708" t="str">
        <f t="shared" si="73"/>
        <v>142-4312</v>
      </c>
      <c r="Q708" s="315" t="str">
        <f t="shared" si="74"/>
        <v>Lex Service</v>
      </c>
      <c r="R708" s="315" t="str">
        <f t="shared" si="75"/>
        <v>Lex ServiceRetail Gross Profit % of  Sales</v>
      </c>
      <c r="S708" s="199"/>
      <c r="T708" s="199"/>
      <c r="U708" s="199"/>
    </row>
    <row r="709" spans="1:21" x14ac:dyDescent="0.25">
      <c r="A709" t="s">
        <v>996</v>
      </c>
      <c r="B709" t="s">
        <v>997</v>
      </c>
      <c r="C709" t="s">
        <v>1013</v>
      </c>
      <c r="D709">
        <v>4312</v>
      </c>
      <c r="E709">
        <v>340</v>
      </c>
      <c r="F709" t="s">
        <v>1170</v>
      </c>
      <c r="G709" t="s">
        <v>1171</v>
      </c>
      <c r="H709" s="315" t="s">
        <v>17</v>
      </c>
      <c r="I709" s="315" t="s">
        <v>1172</v>
      </c>
      <c r="J709" s="315" t="str">
        <f t="shared" si="71"/>
        <v>ServiceRetail Gross Profit % of  Sales</v>
      </c>
      <c r="K709" s="315" t="str">
        <f t="shared" si="72"/>
        <v>340Service Retail labour COS - Toyota</v>
      </c>
      <c r="L709" s="311">
        <f>+SUMIF('TUNZ Extracted TB'!M:M,$P709,'TUNZ Extracted TB'!G:G)</f>
        <v>647.25</v>
      </c>
      <c r="M709" s="311"/>
      <c r="N709" s="311">
        <f>+SUMIF('Input Sheet'!$AE:$AE,P709,'Input Sheet'!$X:$X)</f>
        <v>0</v>
      </c>
      <c r="O709" s="311"/>
      <c r="P709" t="str">
        <f t="shared" si="73"/>
        <v>340-4312</v>
      </c>
      <c r="Q709" s="315" t="str">
        <f t="shared" si="74"/>
        <v>Service</v>
      </c>
      <c r="R709" s="315" t="str">
        <f t="shared" si="75"/>
        <v>ServiceRetail Gross Profit % of  Sales</v>
      </c>
      <c r="S709" s="199"/>
      <c r="T709" s="199"/>
      <c r="U709" s="199"/>
    </row>
    <row r="710" spans="1:21" x14ac:dyDescent="0.25">
      <c r="A710" t="s">
        <v>996</v>
      </c>
      <c r="B710" t="s">
        <v>997</v>
      </c>
      <c r="C710" t="s">
        <v>1005</v>
      </c>
      <c r="D710">
        <v>4312</v>
      </c>
      <c r="E710">
        <v>240</v>
      </c>
      <c r="F710" t="s">
        <v>1170</v>
      </c>
      <c r="G710" t="s">
        <v>1171</v>
      </c>
      <c r="H710" s="315" t="s">
        <v>17</v>
      </c>
      <c r="I710" s="315" t="s">
        <v>1172</v>
      </c>
      <c r="J710" s="315" t="str">
        <f t="shared" si="71"/>
        <v>ServiceRetail Gross Profit % of  Sales</v>
      </c>
      <c r="K710" s="315" t="str">
        <f t="shared" si="72"/>
        <v>240Service Retail labour COS - Toyota</v>
      </c>
      <c r="L710" s="311">
        <f>+SUMIF('TUNZ Extracted TB'!M:M,$P710,'TUNZ Extracted TB'!G:G)</f>
        <v>214.08</v>
      </c>
      <c r="M710" s="311"/>
      <c r="N710" s="311">
        <f>+SUMIF('Input Sheet'!$AE:$AE,P710,'Input Sheet'!$X:$X)</f>
        <v>0</v>
      </c>
      <c r="O710" s="311"/>
      <c r="P710" t="str">
        <f t="shared" si="73"/>
        <v>240-4312</v>
      </c>
      <c r="Q710" s="315" t="str">
        <f t="shared" si="74"/>
        <v>Service</v>
      </c>
      <c r="R710" s="315" t="str">
        <f t="shared" si="75"/>
        <v>ServiceRetail Gross Profit % of  Sales</v>
      </c>
      <c r="S710" s="199"/>
      <c r="T710" s="199"/>
      <c r="U710" s="199"/>
    </row>
    <row r="711" spans="1:21" x14ac:dyDescent="0.25">
      <c r="A711" t="s">
        <v>996</v>
      </c>
      <c r="B711" t="s">
        <v>997</v>
      </c>
      <c r="C711" t="s">
        <v>997</v>
      </c>
      <c r="D711">
        <v>4312</v>
      </c>
      <c r="E711">
        <v>147</v>
      </c>
      <c r="F711" t="s">
        <v>1170</v>
      </c>
      <c r="G711" t="s">
        <v>1171</v>
      </c>
      <c r="H711" s="315" t="s">
        <v>17</v>
      </c>
      <c r="I711" s="315" t="s">
        <v>1172</v>
      </c>
      <c r="J711" s="315" t="str">
        <f t="shared" si="71"/>
        <v>ServiceRetail Gross Profit % of  Sales</v>
      </c>
      <c r="K711" s="315" t="str">
        <f t="shared" si="72"/>
        <v>147Service Retail labour COS - Toyota</v>
      </c>
      <c r="L711" s="311">
        <f>+SUMIF('TUNZ Extracted TB'!M:M,$P711,'TUNZ Extracted TB'!G:G)</f>
        <v>0</v>
      </c>
      <c r="M711" s="311"/>
      <c r="N711" s="311">
        <f>+SUMIF('Input Sheet'!$AE:$AE,P711,'Input Sheet'!$X:$X)</f>
        <v>0</v>
      </c>
      <c r="O711" s="311"/>
      <c r="P711" t="str">
        <f t="shared" si="73"/>
        <v>147-4312</v>
      </c>
      <c r="Q711" s="315" t="str">
        <f t="shared" si="74"/>
        <v>Service</v>
      </c>
      <c r="R711" s="315" t="str">
        <f t="shared" si="75"/>
        <v>ServiceRetail Gross Profit % of  Sales</v>
      </c>
      <c r="S711" s="199"/>
      <c r="T711" s="199"/>
      <c r="U711" s="199"/>
    </row>
    <row r="712" spans="1:21" x14ac:dyDescent="0.25">
      <c r="A712" t="s">
        <v>996</v>
      </c>
      <c r="B712" t="s">
        <v>997</v>
      </c>
      <c r="C712" t="s">
        <v>1005</v>
      </c>
      <c r="D712">
        <v>4320</v>
      </c>
      <c r="E712">
        <v>240</v>
      </c>
      <c r="F712" t="s">
        <v>1177</v>
      </c>
      <c r="G712" t="s">
        <v>1178</v>
      </c>
      <c r="H712" s="315" t="s">
        <v>17</v>
      </c>
      <c r="I712" s="315" t="s">
        <v>1179</v>
      </c>
      <c r="J712" s="315" t="str">
        <f t="shared" si="71"/>
        <v>ServiceWarranty Gross Profit % of  Sales</v>
      </c>
      <c r="K712" s="315" t="str">
        <f t="shared" si="72"/>
        <v>240Service Warranty labour COS - Toyota</v>
      </c>
      <c r="L712" s="311">
        <f>+SUMIF('TUNZ Extracted TB'!M:M,$P712,'TUNZ Extracted TB'!G:G)</f>
        <v>1672.09</v>
      </c>
      <c r="M712" s="311"/>
      <c r="N712" s="311">
        <f>+SUMIF('Input Sheet'!$AE:$AE,P712,'Input Sheet'!$X:$X)</f>
        <v>4817.3520565386834</v>
      </c>
      <c r="O712" s="311"/>
      <c r="P712" t="str">
        <f t="shared" si="73"/>
        <v>240-4320</v>
      </c>
      <c r="Q712" s="315" t="str">
        <f t="shared" si="74"/>
        <v>Service</v>
      </c>
      <c r="R712" s="315" t="str">
        <f t="shared" si="75"/>
        <v>ServiceWarranty Gross Profit % of  Sales</v>
      </c>
      <c r="S712" s="199"/>
      <c r="T712" s="199"/>
      <c r="U712" s="199"/>
    </row>
    <row r="713" spans="1:21" x14ac:dyDescent="0.25">
      <c r="A713" t="s">
        <v>996</v>
      </c>
      <c r="B713" t="s">
        <v>997</v>
      </c>
      <c r="C713" t="s">
        <v>1013</v>
      </c>
      <c r="D713">
        <v>4320</v>
      </c>
      <c r="E713">
        <v>340</v>
      </c>
      <c r="F713" t="s">
        <v>1177</v>
      </c>
      <c r="G713" t="s">
        <v>1178</v>
      </c>
      <c r="H713" s="315" t="s">
        <v>17</v>
      </c>
      <c r="I713" s="315" t="s">
        <v>1179</v>
      </c>
      <c r="J713" s="315" t="str">
        <f t="shared" si="71"/>
        <v>ServiceWarranty Gross Profit % of  Sales</v>
      </c>
      <c r="K713" s="315" t="str">
        <f t="shared" si="72"/>
        <v>340Service Warranty labour COS - Toyota</v>
      </c>
      <c r="L713" s="311">
        <f>+SUMIF('TUNZ Extracted TB'!M:M,$P713,'TUNZ Extracted TB'!G:G)</f>
        <v>620.19000000000005</v>
      </c>
      <c r="M713" s="311"/>
      <c r="N713" s="311">
        <f>+SUMIF('Input Sheet'!$AE:$AE,P713,'Input Sheet'!$X:$X)</f>
        <v>2590.9948304906161</v>
      </c>
      <c r="O713" s="311"/>
      <c r="P713" t="str">
        <f t="shared" si="73"/>
        <v>340-4320</v>
      </c>
      <c r="Q713" s="315" t="str">
        <f t="shared" si="74"/>
        <v>Service</v>
      </c>
      <c r="R713" s="315" t="str">
        <f t="shared" si="75"/>
        <v>ServiceWarranty Gross Profit % of  Sales</v>
      </c>
      <c r="S713" s="199"/>
      <c r="T713" s="199"/>
      <c r="U713" s="199"/>
    </row>
    <row r="714" spans="1:21" x14ac:dyDescent="0.25">
      <c r="A714" t="s">
        <v>996</v>
      </c>
      <c r="B714" t="s">
        <v>997</v>
      </c>
      <c r="C714" t="s">
        <v>997</v>
      </c>
      <c r="D714">
        <v>4320</v>
      </c>
      <c r="E714">
        <v>140</v>
      </c>
      <c r="F714" t="s">
        <v>1177</v>
      </c>
      <c r="G714" t="s">
        <v>1178</v>
      </c>
      <c r="H714" s="315" t="s">
        <v>17</v>
      </c>
      <c r="I714" s="315" t="s">
        <v>1179</v>
      </c>
      <c r="J714" s="315" t="str">
        <f t="shared" si="71"/>
        <v>ServiceWarranty Gross Profit % of  Sales</v>
      </c>
      <c r="K714" s="315" t="str">
        <f t="shared" si="72"/>
        <v>140Service Warranty labour COS - Toyota</v>
      </c>
      <c r="L714" s="311">
        <f>+SUMIF('TUNZ Extracted TB'!M:M,$P714,'TUNZ Extracted TB'!G:G)</f>
        <v>3505.93</v>
      </c>
      <c r="M714" s="311"/>
      <c r="N714" s="311">
        <f>+SUMIF('Input Sheet'!$AE:$AE,P714,'Input Sheet'!$X:$X)</f>
        <v>7704.5312341113122</v>
      </c>
      <c r="O714" s="311"/>
      <c r="P714" t="str">
        <f t="shared" si="73"/>
        <v>140-4320</v>
      </c>
      <c r="Q714" s="315" t="str">
        <f t="shared" si="74"/>
        <v>Service</v>
      </c>
      <c r="R714" s="315" t="str">
        <f t="shared" si="75"/>
        <v>ServiceWarranty Gross Profit % of  Sales</v>
      </c>
      <c r="S714" s="199"/>
      <c r="T714" s="199"/>
      <c r="U714" s="199"/>
    </row>
    <row r="715" spans="1:21" x14ac:dyDescent="0.25">
      <c r="A715" t="s">
        <v>996</v>
      </c>
      <c r="B715" t="s">
        <v>997</v>
      </c>
      <c r="C715" t="s">
        <v>997</v>
      </c>
      <c r="D715">
        <v>4320</v>
      </c>
      <c r="E715">
        <v>142</v>
      </c>
      <c r="F715" t="s">
        <v>1180</v>
      </c>
      <c r="G715" t="s">
        <v>1181</v>
      </c>
      <c r="H715" s="315" t="s">
        <v>1022</v>
      </c>
      <c r="I715" s="315" t="s">
        <v>1179</v>
      </c>
      <c r="J715" s="315" t="str">
        <f t="shared" si="71"/>
        <v>Lex ServiceWarranty Gross Profit % of  Sales</v>
      </c>
      <c r="K715" s="315" t="str">
        <f t="shared" si="72"/>
        <v>142Service Warranty labour COS - Lexus</v>
      </c>
      <c r="L715" s="311">
        <f>+SUMIF('TUNZ Extracted TB'!M:M,$P715,'TUNZ Extracted TB'!G:G)</f>
        <v>1188.49</v>
      </c>
      <c r="M715" s="311"/>
      <c r="N715" s="311">
        <f>+SUMIF('Input Sheet'!$AE:$AE,P715,'Input Sheet'!$X:$X)</f>
        <v>7924.8</v>
      </c>
      <c r="O715" s="311"/>
      <c r="P715" t="str">
        <f t="shared" si="73"/>
        <v>142-4320</v>
      </c>
      <c r="Q715" s="315" t="str">
        <f t="shared" si="74"/>
        <v>Lex Service</v>
      </c>
      <c r="R715" s="315" t="str">
        <f t="shared" si="75"/>
        <v>Lex ServiceWarranty Gross Profit % of  Sales</v>
      </c>
      <c r="S715" s="199"/>
      <c r="T715" s="199"/>
      <c r="U715" s="199"/>
    </row>
    <row r="716" spans="1:21" x14ac:dyDescent="0.25">
      <c r="A716" t="s">
        <v>996</v>
      </c>
      <c r="B716" t="s">
        <v>997</v>
      </c>
      <c r="C716" t="s">
        <v>1012</v>
      </c>
      <c r="D716">
        <v>4320</v>
      </c>
      <c r="E716">
        <v>440</v>
      </c>
      <c r="F716" t="s">
        <v>1177</v>
      </c>
      <c r="G716" t="s">
        <v>1178</v>
      </c>
      <c r="H716" s="315" t="s">
        <v>17</v>
      </c>
      <c r="I716" s="315" t="s">
        <v>1179</v>
      </c>
      <c r="J716" s="315" t="str">
        <f t="shared" si="71"/>
        <v>ServiceWarranty Gross Profit % of  Sales</v>
      </c>
      <c r="K716" s="315" t="str">
        <f t="shared" si="72"/>
        <v>440Service Warranty labour COS - Toyota</v>
      </c>
      <c r="L716" s="311">
        <f>+SUMIF('TUNZ Extracted TB'!M:M,$P716,'TUNZ Extracted TB'!G:G)</f>
        <v>882.64</v>
      </c>
      <c r="M716" s="311"/>
      <c r="N716" s="311">
        <f>+SUMIF('Input Sheet'!$AE:$AE,P716,'Input Sheet'!$X:$X)</f>
        <v>746.78933569963044</v>
      </c>
      <c r="O716" s="311"/>
      <c r="P716" t="str">
        <f t="shared" si="73"/>
        <v>440-4320</v>
      </c>
      <c r="Q716" s="315" t="str">
        <f t="shared" si="74"/>
        <v>Service</v>
      </c>
      <c r="R716" s="315" t="str">
        <f t="shared" si="75"/>
        <v>ServiceWarranty Gross Profit % of  Sales</v>
      </c>
      <c r="S716" s="199"/>
      <c r="T716" s="199"/>
      <c r="U716" s="199"/>
    </row>
    <row r="717" spans="1:21" x14ac:dyDescent="0.25">
      <c r="A717" t="s">
        <v>996</v>
      </c>
      <c r="B717" t="s">
        <v>997</v>
      </c>
      <c r="C717" t="s">
        <v>997</v>
      </c>
      <c r="D717">
        <v>4320</v>
      </c>
      <c r="E717">
        <v>170</v>
      </c>
      <c r="F717" t="s">
        <v>1098</v>
      </c>
      <c r="G717" t="s">
        <v>1099</v>
      </c>
      <c r="H717" s="315" t="s">
        <v>1000</v>
      </c>
      <c r="I717" s="315" t="s">
        <v>1001</v>
      </c>
      <c r="J717" s="315" t="str">
        <f t="shared" si="71"/>
        <v>Admin &amp; OtherOther Overheads as % of Total Gross Profit</v>
      </c>
      <c r="K717" s="315" t="str">
        <f t="shared" si="72"/>
        <v>170Other Income - Toyota</v>
      </c>
      <c r="L717" s="311">
        <f>+SUMIF('TUNZ Extracted TB'!M:M,$P717,'TUNZ Extracted TB'!G:G)</f>
        <v>0</v>
      </c>
      <c r="M717" s="311"/>
      <c r="N717" s="311">
        <f>+SUMIF('Input Sheet'!$AE:$AE,P717,'Input Sheet'!$X:$X)</f>
        <v>0</v>
      </c>
      <c r="O717" s="311"/>
      <c r="P717" t="str">
        <f t="shared" si="73"/>
        <v>170-4320</v>
      </c>
      <c r="Q717" s="315" t="str">
        <f t="shared" si="74"/>
        <v>Admin &amp; Other</v>
      </c>
      <c r="R717" s="315" t="str">
        <f t="shared" si="75"/>
        <v>Admin &amp; OtherOther Overheads as % of Total Gross Profit</v>
      </c>
      <c r="S717" s="199"/>
      <c r="T717" s="199"/>
      <c r="U717" s="199"/>
    </row>
    <row r="718" spans="1:21" x14ac:dyDescent="0.25">
      <c r="A718" t="s">
        <v>996</v>
      </c>
      <c r="B718" t="s">
        <v>997</v>
      </c>
      <c r="C718" t="s">
        <v>997</v>
      </c>
      <c r="D718">
        <v>4320</v>
      </c>
      <c r="E718">
        <v>147</v>
      </c>
      <c r="F718" t="s">
        <v>1177</v>
      </c>
      <c r="G718" t="s">
        <v>1178</v>
      </c>
      <c r="H718" s="315" t="s">
        <v>17</v>
      </c>
      <c r="I718" s="315" t="s">
        <v>1179</v>
      </c>
      <c r="J718" s="315" t="str">
        <f t="shared" si="71"/>
        <v>ServiceWarranty Gross Profit % of  Sales</v>
      </c>
      <c r="K718" s="315" t="str">
        <f t="shared" si="72"/>
        <v>147Service Warranty labour COS - Toyota</v>
      </c>
      <c r="L718" s="311">
        <f>+SUMIF('TUNZ Extracted TB'!M:M,$P718,'TUNZ Extracted TB'!G:G)</f>
        <v>0</v>
      </c>
      <c r="M718" s="311"/>
      <c r="N718" s="311">
        <f>+SUMIF('Input Sheet'!$AE:$AE,P718,'Input Sheet'!$X:$X)</f>
        <v>5.082518014848902</v>
      </c>
      <c r="O718" s="311"/>
      <c r="P718" t="str">
        <f t="shared" si="73"/>
        <v>147-4320</v>
      </c>
      <c r="Q718" s="315" t="str">
        <f t="shared" si="74"/>
        <v>Service</v>
      </c>
      <c r="R718" s="315" t="str">
        <f t="shared" si="75"/>
        <v>ServiceWarranty Gross Profit % of  Sales</v>
      </c>
      <c r="S718" s="199"/>
      <c r="T718" s="199"/>
      <c r="U718" s="199"/>
    </row>
    <row r="719" spans="1:21" x14ac:dyDescent="0.25">
      <c r="A719" t="s">
        <v>996</v>
      </c>
      <c r="B719" t="s">
        <v>997</v>
      </c>
      <c r="C719" t="s">
        <v>1012</v>
      </c>
      <c r="D719">
        <v>4321</v>
      </c>
      <c r="E719">
        <v>440</v>
      </c>
      <c r="F719" t="s">
        <v>1170</v>
      </c>
      <c r="G719" t="s">
        <v>1171</v>
      </c>
      <c r="H719" s="315" t="s">
        <v>17</v>
      </c>
      <c r="I719" s="315" t="s">
        <v>1172</v>
      </c>
      <c r="J719" s="315" t="str">
        <f t="shared" si="71"/>
        <v>ServiceRetail Gross Profit % of  Sales</v>
      </c>
      <c r="K719" s="315" t="str">
        <f t="shared" si="72"/>
        <v>440Service Retail labour COS - Toyota</v>
      </c>
      <c r="L719" s="311">
        <f>+SUMIF('TUNZ Extracted TB'!M:M,$P719,'TUNZ Extracted TB'!G:G)</f>
        <v>0</v>
      </c>
      <c r="M719" s="311"/>
      <c r="N719" s="311">
        <f>+SUMIF('Input Sheet'!$AE:$AE,P719,'Input Sheet'!$X:$X)</f>
        <v>0</v>
      </c>
      <c r="O719" s="311"/>
      <c r="P719" t="str">
        <f t="shared" si="73"/>
        <v>440-4321</v>
      </c>
      <c r="Q719" s="315" t="str">
        <f t="shared" si="74"/>
        <v>Service</v>
      </c>
      <c r="R719" s="315" t="str">
        <f t="shared" si="75"/>
        <v>ServiceRetail Gross Profit % of  Sales</v>
      </c>
      <c r="S719" s="199"/>
      <c r="T719" s="199"/>
      <c r="U719" s="199"/>
    </row>
    <row r="720" spans="1:21" x14ac:dyDescent="0.25">
      <c r="A720" t="s">
        <v>996</v>
      </c>
      <c r="B720" t="s">
        <v>997</v>
      </c>
      <c r="C720" t="s">
        <v>997</v>
      </c>
      <c r="D720">
        <v>4321</v>
      </c>
      <c r="E720">
        <v>147</v>
      </c>
      <c r="F720" t="s">
        <v>1170</v>
      </c>
      <c r="G720" t="s">
        <v>1171</v>
      </c>
      <c r="H720" s="315" t="s">
        <v>17</v>
      </c>
      <c r="I720" s="315" t="s">
        <v>1172</v>
      </c>
      <c r="J720" s="315" t="str">
        <f t="shared" si="71"/>
        <v>ServiceRetail Gross Profit % of  Sales</v>
      </c>
      <c r="K720" s="315" t="str">
        <f t="shared" si="72"/>
        <v>147Service Retail labour COS - Toyota</v>
      </c>
      <c r="L720" s="311">
        <f>+SUMIF('TUNZ Extracted TB'!M:M,$P720,'TUNZ Extracted TB'!G:G)</f>
        <v>0</v>
      </c>
      <c r="M720" s="311"/>
      <c r="N720" s="311">
        <f>+SUMIF('Input Sheet'!$AE:$AE,P720,'Input Sheet'!$X:$X)</f>
        <v>0</v>
      </c>
      <c r="O720" s="311"/>
      <c r="P720" t="str">
        <f t="shared" si="73"/>
        <v>147-4321</v>
      </c>
      <c r="Q720" s="315" t="str">
        <f t="shared" si="74"/>
        <v>Service</v>
      </c>
      <c r="R720" s="315" t="str">
        <f t="shared" si="75"/>
        <v>ServiceRetail Gross Profit % of  Sales</v>
      </c>
      <c r="S720" s="199"/>
      <c r="T720" s="199"/>
      <c r="U720" s="199"/>
    </row>
    <row r="721" spans="1:21" x14ac:dyDescent="0.25">
      <c r="A721" t="s">
        <v>996</v>
      </c>
      <c r="B721" t="s">
        <v>997</v>
      </c>
      <c r="C721" t="s">
        <v>1012</v>
      </c>
      <c r="D721">
        <v>4340</v>
      </c>
      <c r="E721">
        <v>440</v>
      </c>
      <c r="F721" t="s">
        <v>1182</v>
      </c>
      <c r="G721" t="s">
        <v>1183</v>
      </c>
      <c r="H721" s="315" t="s">
        <v>17</v>
      </c>
      <c r="I721" s="315" t="s">
        <v>1184</v>
      </c>
      <c r="J721" s="315" t="str">
        <f t="shared" si="71"/>
        <v>ServiceInternal Gross Profit % of  Sales</v>
      </c>
      <c r="K721" s="315" t="str">
        <f t="shared" si="72"/>
        <v>440Service Internal labour COS - Toyota</v>
      </c>
      <c r="L721" s="311">
        <f>+SUMIF('TUNZ Extracted TB'!M:M,$P721,'TUNZ Extracted TB'!G:G)</f>
        <v>13489.45</v>
      </c>
      <c r="M721" s="311"/>
      <c r="N721" s="311">
        <f>+SUMIF('Input Sheet'!$AE:$AE,P721,'Input Sheet'!$X:$X)</f>
        <v>16906.952258358455</v>
      </c>
      <c r="O721" s="311"/>
      <c r="P721" t="str">
        <f t="shared" si="73"/>
        <v>440-4340</v>
      </c>
      <c r="Q721" s="315" t="str">
        <f t="shared" si="74"/>
        <v>Service</v>
      </c>
      <c r="R721" s="315" t="str">
        <f t="shared" si="75"/>
        <v>ServiceInternal Gross Profit % of  Sales</v>
      </c>
      <c r="S721" s="199"/>
      <c r="T721" s="199"/>
      <c r="U721" s="199"/>
    </row>
    <row r="722" spans="1:21" x14ac:dyDescent="0.25">
      <c r="A722" t="s">
        <v>996</v>
      </c>
      <c r="B722" t="s">
        <v>997</v>
      </c>
      <c r="C722" t="s">
        <v>1005</v>
      </c>
      <c r="D722">
        <v>4340</v>
      </c>
      <c r="E722">
        <v>240</v>
      </c>
      <c r="F722" t="s">
        <v>1182</v>
      </c>
      <c r="G722" t="s">
        <v>1183</v>
      </c>
      <c r="H722" s="315" t="s">
        <v>17</v>
      </c>
      <c r="I722" s="315" t="s">
        <v>1184</v>
      </c>
      <c r="J722" s="315" t="str">
        <f t="shared" si="71"/>
        <v>ServiceInternal Gross Profit % of  Sales</v>
      </c>
      <c r="K722" s="315" t="str">
        <f t="shared" si="72"/>
        <v>240Service Internal labour COS - Toyota</v>
      </c>
      <c r="L722" s="311">
        <f>+SUMIF('TUNZ Extracted TB'!M:M,$P722,'TUNZ Extracted TB'!G:G)</f>
        <v>4941.9399999999996</v>
      </c>
      <c r="M722" s="311"/>
      <c r="N722" s="311">
        <f>+SUMIF('Input Sheet'!$AE:$AE,P722,'Input Sheet'!$X:$X)</f>
        <v>6750.2040865956842</v>
      </c>
      <c r="O722" s="311"/>
      <c r="P722" t="str">
        <f t="shared" si="73"/>
        <v>240-4340</v>
      </c>
      <c r="Q722" s="315" t="str">
        <f t="shared" si="74"/>
        <v>Service</v>
      </c>
      <c r="R722" s="315" t="str">
        <f t="shared" si="75"/>
        <v>ServiceInternal Gross Profit % of  Sales</v>
      </c>
      <c r="S722" s="199"/>
      <c r="T722" s="199"/>
      <c r="U722" s="199"/>
    </row>
    <row r="723" spans="1:21" x14ac:dyDescent="0.25">
      <c r="A723" t="s">
        <v>996</v>
      </c>
      <c r="B723" t="s">
        <v>997</v>
      </c>
      <c r="C723" t="s">
        <v>997</v>
      </c>
      <c r="D723">
        <v>4340</v>
      </c>
      <c r="E723">
        <v>140</v>
      </c>
      <c r="F723" t="s">
        <v>1182</v>
      </c>
      <c r="G723" t="s">
        <v>1183</v>
      </c>
      <c r="H723" s="315" t="s">
        <v>17</v>
      </c>
      <c r="I723" s="315" t="s">
        <v>1184</v>
      </c>
      <c r="J723" s="315" t="str">
        <f t="shared" si="71"/>
        <v>ServiceInternal Gross Profit % of  Sales</v>
      </c>
      <c r="K723" s="315" t="str">
        <f t="shared" si="72"/>
        <v>140Service Internal labour COS - Toyota</v>
      </c>
      <c r="L723" s="311">
        <f>+SUMIF('TUNZ Extracted TB'!M:M,$P723,'TUNZ Extracted TB'!G:G)</f>
        <v>25788.89</v>
      </c>
      <c r="M723" s="311"/>
      <c r="N723" s="311">
        <f>+SUMIF('Input Sheet'!$AE:$AE,P723,'Input Sheet'!$X:$X)</f>
        <v>7684.570250132042</v>
      </c>
      <c r="O723" s="311"/>
      <c r="P723" t="str">
        <f t="shared" si="73"/>
        <v>140-4340</v>
      </c>
      <c r="Q723" s="315" t="str">
        <f t="shared" si="74"/>
        <v>Service</v>
      </c>
      <c r="R723" s="315" t="str">
        <f t="shared" si="75"/>
        <v>ServiceInternal Gross Profit % of  Sales</v>
      </c>
      <c r="S723" s="199"/>
      <c r="T723" s="199"/>
      <c r="U723" s="199"/>
    </row>
    <row r="724" spans="1:21" x14ac:dyDescent="0.25">
      <c r="A724" t="s">
        <v>996</v>
      </c>
      <c r="B724" t="s">
        <v>997</v>
      </c>
      <c r="C724" t="s">
        <v>997</v>
      </c>
      <c r="D724">
        <v>4340</v>
      </c>
      <c r="E724">
        <v>142</v>
      </c>
      <c r="F724" t="s">
        <v>1185</v>
      </c>
      <c r="G724" t="s">
        <v>1186</v>
      </c>
      <c r="H724" s="315" t="s">
        <v>1022</v>
      </c>
      <c r="I724" s="315" t="s">
        <v>1184</v>
      </c>
      <c r="J724" s="315" t="str">
        <f t="shared" si="71"/>
        <v>Lex ServiceInternal Gross Profit % of  Sales</v>
      </c>
      <c r="K724" s="315" t="str">
        <f t="shared" si="72"/>
        <v>142Service Internal labour COS - Lexus</v>
      </c>
      <c r="L724" s="311">
        <f>+SUMIF('TUNZ Extracted TB'!M:M,$P724,'TUNZ Extracted TB'!G:G)</f>
        <v>9235.3799999999992</v>
      </c>
      <c r="M724" s="311"/>
      <c r="N724" s="311">
        <f>+SUMIF('Input Sheet'!$AE:$AE,P724,'Input Sheet'!$X:$X)</f>
        <v>5486.4</v>
      </c>
      <c r="O724" s="311"/>
      <c r="P724" t="str">
        <f t="shared" si="73"/>
        <v>142-4340</v>
      </c>
      <c r="Q724" s="315" t="str">
        <f t="shared" si="74"/>
        <v>Lex Service</v>
      </c>
      <c r="R724" s="315" t="str">
        <f t="shared" si="75"/>
        <v>Lex ServiceInternal Gross Profit % of  Sales</v>
      </c>
      <c r="S724" s="199"/>
      <c r="T724" s="199"/>
      <c r="U724" s="199"/>
    </row>
    <row r="725" spans="1:21" x14ac:dyDescent="0.25">
      <c r="A725" t="s">
        <v>996</v>
      </c>
      <c r="B725" t="s">
        <v>997</v>
      </c>
      <c r="C725" t="s">
        <v>1013</v>
      </c>
      <c r="D725">
        <v>4340</v>
      </c>
      <c r="E725">
        <v>340</v>
      </c>
      <c r="F725" t="s">
        <v>1182</v>
      </c>
      <c r="G725" t="s">
        <v>1183</v>
      </c>
      <c r="H725" s="315" t="s">
        <v>17</v>
      </c>
      <c r="I725" s="315" t="s">
        <v>1184</v>
      </c>
      <c r="J725" s="315" t="str">
        <f t="shared" si="71"/>
        <v>ServiceInternal Gross Profit % of  Sales</v>
      </c>
      <c r="K725" s="315" t="str">
        <f t="shared" si="72"/>
        <v>340Service Internal labour COS - Toyota</v>
      </c>
      <c r="L725" s="311">
        <f>+SUMIF('TUNZ Extracted TB'!M:M,$P725,'TUNZ Extracted TB'!G:G)</f>
        <v>2266.7399999999998</v>
      </c>
      <c r="M725" s="311"/>
      <c r="N725" s="311">
        <f>+SUMIF('Input Sheet'!$AE:$AE,P725,'Input Sheet'!$X:$X)</f>
        <v>2815.1152082411513</v>
      </c>
      <c r="O725" s="311"/>
      <c r="P725" t="str">
        <f t="shared" si="73"/>
        <v>340-4340</v>
      </c>
      <c r="Q725" s="315" t="str">
        <f t="shared" si="74"/>
        <v>Service</v>
      </c>
      <c r="R725" s="315" t="str">
        <f t="shared" si="75"/>
        <v>ServiceInternal Gross Profit % of  Sales</v>
      </c>
      <c r="S725" s="199"/>
      <c r="T725" s="199"/>
      <c r="U725" s="199"/>
    </row>
    <row r="726" spans="1:21" x14ac:dyDescent="0.25">
      <c r="A726" s="316">
        <v>44958</v>
      </c>
      <c r="B726" t="s">
        <v>997</v>
      </c>
      <c r="C726" t="s">
        <v>997</v>
      </c>
      <c r="D726">
        <v>4340</v>
      </c>
      <c r="E726">
        <v>150</v>
      </c>
      <c r="G726" t="s">
        <v>118</v>
      </c>
      <c r="H726" s="315" t="s">
        <v>145</v>
      </c>
      <c r="I726" s="315" t="s">
        <v>1184</v>
      </c>
      <c r="J726" s="315" t="str">
        <f t="shared" si="71"/>
        <v>Retail DetailingInternal Gross Profit % of  Sales</v>
      </c>
      <c r="K726" s="315" t="str">
        <f t="shared" si="72"/>
        <v>150COGS - Internal Labour</v>
      </c>
      <c r="L726" s="311">
        <f>+SUMIF('TUNZ Extracted TB'!M:M,$P726,'TUNZ Extracted TB'!G:G)</f>
        <v>0</v>
      </c>
      <c r="M726" s="311"/>
      <c r="N726" s="311">
        <f>+SUMIF('Input Sheet'!$AE:$AE,P726,'Input Sheet'!$X:$X)</f>
        <v>0</v>
      </c>
      <c r="O726" s="311"/>
      <c r="P726" t="str">
        <f t="shared" si="73"/>
        <v>150-4340</v>
      </c>
      <c r="Q726" s="315" t="str">
        <f t="shared" si="74"/>
        <v>Retail Detailing</v>
      </c>
      <c r="R726" s="315" t="str">
        <f t="shared" si="75"/>
        <v>Retail DetailingInternal Gross Profit % of  Sales</v>
      </c>
      <c r="S726" s="199"/>
      <c r="T726" s="199"/>
      <c r="U726" s="199"/>
    </row>
    <row r="727" spans="1:21" x14ac:dyDescent="0.25">
      <c r="A727" t="s">
        <v>996</v>
      </c>
      <c r="B727" t="s">
        <v>997</v>
      </c>
      <c r="C727" t="s">
        <v>997</v>
      </c>
      <c r="D727">
        <v>4340</v>
      </c>
      <c r="E727">
        <v>170</v>
      </c>
      <c r="F727" t="s">
        <v>1098</v>
      </c>
      <c r="G727" t="s">
        <v>1099</v>
      </c>
      <c r="H727" s="315" t="s">
        <v>1000</v>
      </c>
      <c r="I727" s="315" t="s">
        <v>1001</v>
      </c>
      <c r="J727" s="315" t="str">
        <f t="shared" si="71"/>
        <v>Admin &amp; OtherOther Overheads as % of Total Gross Profit</v>
      </c>
      <c r="K727" s="315" t="str">
        <f t="shared" si="72"/>
        <v>170Other Income - Toyota</v>
      </c>
      <c r="L727" s="311">
        <f>+SUMIF('TUNZ Extracted TB'!M:M,$P727,'TUNZ Extracted TB'!G:G)</f>
        <v>0</v>
      </c>
      <c r="M727" s="311"/>
      <c r="N727" s="311">
        <f>+SUMIF('Input Sheet'!$AE:$AE,P727,'Input Sheet'!$X:$X)</f>
        <v>0</v>
      </c>
      <c r="O727" s="311"/>
      <c r="P727" t="str">
        <f t="shared" si="73"/>
        <v>170-4340</v>
      </c>
      <c r="Q727" s="315" t="str">
        <f t="shared" si="74"/>
        <v>Admin &amp; Other</v>
      </c>
      <c r="R727" s="315" t="str">
        <f t="shared" si="75"/>
        <v>Admin &amp; OtherOther Overheads as % of Total Gross Profit</v>
      </c>
      <c r="S727" s="199"/>
      <c r="T727" s="199"/>
      <c r="U727" s="199"/>
    </row>
    <row r="728" spans="1:21" x14ac:dyDescent="0.25">
      <c r="A728" t="s">
        <v>996</v>
      </c>
      <c r="B728" t="s">
        <v>997</v>
      </c>
      <c r="C728" t="s">
        <v>997</v>
      </c>
      <c r="D728">
        <v>4340</v>
      </c>
      <c r="E728">
        <v>147</v>
      </c>
      <c r="F728" t="s">
        <v>1182</v>
      </c>
      <c r="G728" t="s">
        <v>1183</v>
      </c>
      <c r="H728" s="315" t="s">
        <v>17</v>
      </c>
      <c r="I728" s="315" t="s">
        <v>1184</v>
      </c>
      <c r="J728" s="315" t="str">
        <f t="shared" si="71"/>
        <v>ServiceInternal Gross Profit % of  Sales</v>
      </c>
      <c r="K728" s="315" t="str">
        <f t="shared" si="72"/>
        <v>147Service Internal labour COS - Toyota</v>
      </c>
      <c r="L728" s="311">
        <f>+SUMIF('TUNZ Extracted TB'!M:M,$P728,'TUNZ Extracted TB'!G:G)</f>
        <v>0</v>
      </c>
      <c r="M728" s="311"/>
      <c r="N728" s="311">
        <f>+SUMIF('Input Sheet'!$AE:$AE,P728,'Input Sheet'!$X:$X)</f>
        <v>49.410977209600631</v>
      </c>
      <c r="O728" s="311"/>
      <c r="P728" t="str">
        <f t="shared" si="73"/>
        <v>147-4340</v>
      </c>
      <c r="Q728" s="315" t="str">
        <f t="shared" si="74"/>
        <v>Service</v>
      </c>
      <c r="R728" s="315" t="str">
        <f t="shared" si="75"/>
        <v>ServiceInternal Gross Profit % of  Sales</v>
      </c>
      <c r="S728" s="199"/>
      <c r="T728" s="199"/>
      <c r="U728" s="199"/>
    </row>
    <row r="729" spans="1:21" x14ac:dyDescent="0.25">
      <c r="A729" t="s">
        <v>996</v>
      </c>
      <c r="B729" t="s">
        <v>997</v>
      </c>
      <c r="C729" t="s">
        <v>997</v>
      </c>
      <c r="D729">
        <v>4350</v>
      </c>
      <c r="E729">
        <v>140</v>
      </c>
      <c r="F729" t="s">
        <v>1182</v>
      </c>
      <c r="G729" t="s">
        <v>1183</v>
      </c>
      <c r="H729" s="315" t="s">
        <v>17</v>
      </c>
      <c r="I729" s="315" t="s">
        <v>1184</v>
      </c>
      <c r="J729" s="315" t="str">
        <f t="shared" si="71"/>
        <v>ServiceInternal Gross Profit % of  Sales</v>
      </c>
      <c r="K729" s="315" t="str">
        <f t="shared" si="72"/>
        <v>140Service Internal labour COS - Toyota</v>
      </c>
      <c r="L729" s="311">
        <f>+SUMIF('TUNZ Extracted TB'!M:M,$P729,'TUNZ Extracted TB'!G:G)</f>
        <v>0</v>
      </c>
      <c r="M729" s="311"/>
      <c r="N729" s="311">
        <f>+SUMIF('Input Sheet'!$AE:$AE,P729,'Input Sheet'!$X:$X)</f>
        <v>0</v>
      </c>
      <c r="O729" s="311"/>
      <c r="P729" t="str">
        <f t="shared" si="73"/>
        <v>140-4350</v>
      </c>
      <c r="Q729" s="315" t="str">
        <f t="shared" si="74"/>
        <v>Service</v>
      </c>
      <c r="R729" s="315" t="str">
        <f t="shared" si="75"/>
        <v>ServiceInternal Gross Profit % of  Sales</v>
      </c>
      <c r="S729" s="199"/>
      <c r="T729" s="199"/>
      <c r="U729" s="199"/>
    </row>
    <row r="730" spans="1:21" x14ac:dyDescent="0.25">
      <c r="A730" t="s">
        <v>996</v>
      </c>
      <c r="B730" t="s">
        <v>997</v>
      </c>
      <c r="C730" t="s">
        <v>997</v>
      </c>
      <c r="D730">
        <v>4350</v>
      </c>
      <c r="E730">
        <v>142</v>
      </c>
      <c r="F730" t="s">
        <v>1185</v>
      </c>
      <c r="G730" t="s">
        <v>1186</v>
      </c>
      <c r="H730" s="315" t="s">
        <v>1022</v>
      </c>
      <c r="I730" s="315" t="s">
        <v>1184</v>
      </c>
      <c r="J730" s="315" t="str">
        <f t="shared" si="71"/>
        <v>Lex ServiceInternal Gross Profit % of  Sales</v>
      </c>
      <c r="K730" s="315" t="str">
        <f t="shared" si="72"/>
        <v>142Service Internal labour COS - Lexus</v>
      </c>
      <c r="L730" s="311">
        <f>+SUMIF('TUNZ Extracted TB'!M:M,$P730,'TUNZ Extracted TB'!G:G)</f>
        <v>0</v>
      </c>
      <c r="M730" s="311"/>
      <c r="N730" s="311">
        <f>+SUMIF('Input Sheet'!$AE:$AE,P730,'Input Sheet'!$X:$X)</f>
        <v>0</v>
      </c>
      <c r="O730" s="311"/>
      <c r="P730" t="str">
        <f t="shared" si="73"/>
        <v>142-4350</v>
      </c>
      <c r="Q730" s="315" t="str">
        <f t="shared" si="74"/>
        <v>Lex Service</v>
      </c>
      <c r="R730" s="315" t="str">
        <f t="shared" si="75"/>
        <v>Lex ServiceInternal Gross Profit % of  Sales</v>
      </c>
      <c r="S730" s="199"/>
      <c r="T730" s="199"/>
      <c r="U730" s="199"/>
    </row>
    <row r="731" spans="1:21" x14ac:dyDescent="0.25">
      <c r="A731" t="s">
        <v>996</v>
      </c>
      <c r="B731" t="s">
        <v>997</v>
      </c>
      <c r="C731" t="s">
        <v>997</v>
      </c>
      <c r="D731">
        <v>4350</v>
      </c>
      <c r="E731">
        <v>170</v>
      </c>
      <c r="F731" t="s">
        <v>1098</v>
      </c>
      <c r="G731" t="s">
        <v>1099</v>
      </c>
      <c r="H731" s="315" t="s">
        <v>1000</v>
      </c>
      <c r="I731" s="315" t="s">
        <v>1001</v>
      </c>
      <c r="J731" s="315" t="str">
        <f t="shared" si="71"/>
        <v>Admin &amp; OtherOther Overheads as % of Total Gross Profit</v>
      </c>
      <c r="K731" s="315" t="str">
        <f t="shared" si="72"/>
        <v>170Other Income - Toyota</v>
      </c>
      <c r="L731" s="311">
        <f>+SUMIF('TUNZ Extracted TB'!M:M,$P731,'TUNZ Extracted TB'!G:G)</f>
        <v>0</v>
      </c>
      <c r="M731" s="311"/>
      <c r="N731" s="311">
        <f>+SUMIF('Input Sheet'!$AE:$AE,P731,'Input Sheet'!$X:$X)</f>
        <v>0</v>
      </c>
      <c r="O731" s="311"/>
      <c r="P731" t="str">
        <f t="shared" si="73"/>
        <v>170-4350</v>
      </c>
      <c r="Q731" s="315" t="str">
        <f t="shared" si="74"/>
        <v>Admin &amp; Other</v>
      </c>
      <c r="R731" s="315" t="str">
        <f t="shared" si="75"/>
        <v>Admin &amp; OtherOther Overheads as % of Total Gross Profit</v>
      </c>
      <c r="S731" s="199"/>
      <c r="T731" s="199"/>
      <c r="U731" s="199"/>
    </row>
    <row r="732" spans="1:21" x14ac:dyDescent="0.25">
      <c r="A732" t="s">
        <v>996</v>
      </c>
      <c r="B732" t="s">
        <v>997</v>
      </c>
      <c r="C732" t="s">
        <v>1005</v>
      </c>
      <c r="D732">
        <v>4350</v>
      </c>
      <c r="E732">
        <v>240</v>
      </c>
      <c r="F732" t="s">
        <v>1182</v>
      </c>
      <c r="G732" t="s">
        <v>1183</v>
      </c>
      <c r="H732" s="315" t="s">
        <v>17</v>
      </c>
      <c r="I732" s="315" t="s">
        <v>1184</v>
      </c>
      <c r="J732" s="315" t="str">
        <f t="shared" si="71"/>
        <v>ServiceInternal Gross Profit % of  Sales</v>
      </c>
      <c r="K732" s="315" t="str">
        <f t="shared" si="72"/>
        <v>240Service Internal labour COS - Toyota</v>
      </c>
      <c r="L732" s="311">
        <f>+SUMIF('TUNZ Extracted TB'!M:M,$P732,'TUNZ Extracted TB'!G:G)</f>
        <v>0</v>
      </c>
      <c r="M732" s="311"/>
      <c r="N732" s="311">
        <f>+SUMIF('Input Sheet'!$AE:$AE,P732,'Input Sheet'!$X:$X)</f>
        <v>0</v>
      </c>
      <c r="O732" s="311"/>
      <c r="P732" t="str">
        <f t="shared" si="73"/>
        <v>240-4350</v>
      </c>
      <c r="Q732" s="315" t="str">
        <f t="shared" si="74"/>
        <v>Service</v>
      </c>
      <c r="R732" s="315" t="str">
        <f t="shared" si="75"/>
        <v>ServiceInternal Gross Profit % of  Sales</v>
      </c>
      <c r="S732" s="199"/>
      <c r="T732" s="199"/>
      <c r="U732" s="199"/>
    </row>
    <row r="733" spans="1:21" x14ac:dyDescent="0.25">
      <c r="A733" t="s">
        <v>996</v>
      </c>
      <c r="B733" t="s">
        <v>997</v>
      </c>
      <c r="C733" t="s">
        <v>1012</v>
      </c>
      <c r="D733">
        <v>4350</v>
      </c>
      <c r="E733">
        <v>440</v>
      </c>
      <c r="F733" t="s">
        <v>1182</v>
      </c>
      <c r="G733" t="s">
        <v>1183</v>
      </c>
      <c r="H733" s="315" t="s">
        <v>17</v>
      </c>
      <c r="I733" s="315" t="s">
        <v>1184</v>
      </c>
      <c r="J733" s="315" t="str">
        <f t="shared" si="71"/>
        <v>ServiceInternal Gross Profit % of  Sales</v>
      </c>
      <c r="K733" s="315" t="str">
        <f t="shared" si="72"/>
        <v>440Service Internal labour COS - Toyota</v>
      </c>
      <c r="L733" s="311">
        <f>+SUMIF('TUNZ Extracted TB'!M:M,$P733,'TUNZ Extracted TB'!G:G)</f>
        <v>0</v>
      </c>
      <c r="M733" s="311"/>
      <c r="N733" s="311">
        <f>+SUMIF('Input Sheet'!$AE:$AE,P733,'Input Sheet'!$X:$X)</f>
        <v>0</v>
      </c>
      <c r="O733" s="311"/>
      <c r="P733" t="str">
        <f t="shared" si="73"/>
        <v>440-4350</v>
      </c>
      <c r="Q733" s="315" t="str">
        <f t="shared" si="74"/>
        <v>Service</v>
      </c>
      <c r="R733" s="315" t="str">
        <f t="shared" si="75"/>
        <v>ServiceInternal Gross Profit % of  Sales</v>
      </c>
      <c r="S733" s="199"/>
      <c r="T733" s="199"/>
      <c r="U733" s="199"/>
    </row>
    <row r="734" spans="1:21" x14ac:dyDescent="0.25">
      <c r="A734" t="s">
        <v>996</v>
      </c>
      <c r="B734" t="s">
        <v>997</v>
      </c>
      <c r="C734" t="s">
        <v>1013</v>
      </c>
      <c r="D734">
        <v>4350</v>
      </c>
      <c r="E734">
        <v>340</v>
      </c>
      <c r="F734" t="s">
        <v>1182</v>
      </c>
      <c r="G734" t="s">
        <v>1183</v>
      </c>
      <c r="H734" s="315" t="s">
        <v>17</v>
      </c>
      <c r="I734" s="315" t="s">
        <v>1184</v>
      </c>
      <c r="J734" s="315" t="str">
        <f t="shared" si="71"/>
        <v>ServiceInternal Gross Profit % of  Sales</v>
      </c>
      <c r="K734" s="315" t="str">
        <f t="shared" si="72"/>
        <v>340Service Internal labour COS - Toyota</v>
      </c>
      <c r="L734" s="311">
        <f>+SUMIF('TUNZ Extracted TB'!M:M,$P734,'TUNZ Extracted TB'!G:G)</f>
        <v>0</v>
      </c>
      <c r="M734" s="311"/>
      <c r="N734" s="311">
        <f>+SUMIF('Input Sheet'!$AE:$AE,P734,'Input Sheet'!$X:$X)</f>
        <v>0</v>
      </c>
      <c r="O734" s="311"/>
      <c r="P734" t="str">
        <f t="shared" si="73"/>
        <v>340-4350</v>
      </c>
      <c r="Q734" s="315" t="str">
        <f t="shared" si="74"/>
        <v>Service</v>
      </c>
      <c r="R734" s="315" t="str">
        <f t="shared" si="75"/>
        <v>ServiceInternal Gross Profit % of  Sales</v>
      </c>
      <c r="S734" s="199"/>
      <c r="T734" s="199"/>
      <c r="U734" s="199"/>
    </row>
    <row r="735" spans="1:21" x14ac:dyDescent="0.25">
      <c r="A735" t="s">
        <v>996</v>
      </c>
      <c r="B735" t="s">
        <v>997</v>
      </c>
      <c r="C735" t="s">
        <v>997</v>
      </c>
      <c r="D735">
        <v>4350</v>
      </c>
      <c r="E735">
        <v>147</v>
      </c>
      <c r="F735" t="s">
        <v>1182</v>
      </c>
      <c r="G735" t="s">
        <v>1183</v>
      </c>
      <c r="H735" s="315" t="s">
        <v>17</v>
      </c>
      <c r="I735" s="315" t="s">
        <v>1184</v>
      </c>
      <c r="J735" s="315" t="str">
        <f t="shared" si="71"/>
        <v>ServiceInternal Gross Profit % of  Sales</v>
      </c>
      <c r="K735" s="315" t="str">
        <f t="shared" si="72"/>
        <v>147Service Internal labour COS - Toyota</v>
      </c>
      <c r="L735" s="311">
        <f>+SUMIF('TUNZ Extracted TB'!M:M,$P735,'TUNZ Extracted TB'!G:G)</f>
        <v>0</v>
      </c>
      <c r="M735" s="311"/>
      <c r="N735" s="311">
        <f>+SUMIF('Input Sheet'!$AE:$AE,P735,'Input Sheet'!$X:$X)</f>
        <v>0</v>
      </c>
      <c r="O735" s="311"/>
      <c r="P735" t="str">
        <f t="shared" si="73"/>
        <v>147-4350</v>
      </c>
      <c r="Q735" s="315" t="str">
        <f t="shared" si="74"/>
        <v>Service</v>
      </c>
      <c r="R735" s="315" t="str">
        <f t="shared" si="75"/>
        <v>ServiceInternal Gross Profit % of  Sales</v>
      </c>
      <c r="S735" s="199"/>
      <c r="T735" s="199"/>
      <c r="U735" s="199"/>
    </row>
    <row r="736" spans="1:21" x14ac:dyDescent="0.25">
      <c r="A736" t="s">
        <v>996</v>
      </c>
      <c r="B736" t="s">
        <v>997</v>
      </c>
      <c r="C736" t="s">
        <v>1005</v>
      </c>
      <c r="D736">
        <v>4370</v>
      </c>
      <c r="E736">
        <v>240</v>
      </c>
      <c r="F736" t="s">
        <v>1112</v>
      </c>
      <c r="G736" t="s">
        <v>1113</v>
      </c>
      <c r="H736" s="315" t="s">
        <v>17</v>
      </c>
      <c r="I736" s="315" t="s">
        <v>1114</v>
      </c>
      <c r="J736" s="315" t="str">
        <f t="shared" si="71"/>
        <v>ServiceUnsold Labour  as % of Labour COS</v>
      </c>
      <c r="K736" s="315" t="str">
        <f t="shared" si="72"/>
        <v>240Service Unsold Labour - Toyota</v>
      </c>
      <c r="L736" s="311">
        <f>+SUMIF('TUNZ Extracted TB'!M:M,$P736,'TUNZ Extracted TB'!G:G)</f>
        <v>4660.8100000000004</v>
      </c>
      <c r="M736" s="311"/>
      <c r="N736" s="311">
        <f>+SUMIF('Input Sheet'!$AE:$AE,P736,'Input Sheet'!$X:$X)</f>
        <v>0</v>
      </c>
      <c r="O736" s="311"/>
      <c r="P736" t="str">
        <f t="shared" si="73"/>
        <v>240-4370</v>
      </c>
      <c r="Q736" s="315" t="str">
        <f t="shared" si="74"/>
        <v>Service</v>
      </c>
      <c r="R736" s="315" t="str">
        <f t="shared" si="75"/>
        <v>ServiceUnsold Labour  as % of Labour COS</v>
      </c>
      <c r="S736" s="199"/>
      <c r="T736" s="199"/>
      <c r="U736" s="199"/>
    </row>
    <row r="737" spans="1:21" x14ac:dyDescent="0.25">
      <c r="A737" t="s">
        <v>996</v>
      </c>
      <c r="B737" t="s">
        <v>997</v>
      </c>
      <c r="C737" t="s">
        <v>1012</v>
      </c>
      <c r="D737">
        <v>4370</v>
      </c>
      <c r="E737">
        <v>440</v>
      </c>
      <c r="F737" t="s">
        <v>1112</v>
      </c>
      <c r="G737" t="s">
        <v>1113</v>
      </c>
      <c r="H737" s="315" t="s">
        <v>17</v>
      </c>
      <c r="I737" s="315" t="s">
        <v>1114</v>
      </c>
      <c r="J737" s="315" t="str">
        <f t="shared" si="71"/>
        <v>ServiceUnsold Labour  as % of Labour COS</v>
      </c>
      <c r="K737" s="315" t="str">
        <f t="shared" si="72"/>
        <v>440Service Unsold Labour - Toyota</v>
      </c>
      <c r="L737" s="311">
        <f>+SUMIF('TUNZ Extracted TB'!M:M,$P737,'TUNZ Extracted TB'!G:G)</f>
        <v>12497.47</v>
      </c>
      <c r="M737" s="311"/>
      <c r="N737" s="311">
        <f>+SUMIF('Input Sheet'!$AE:$AE,P737,'Input Sheet'!$X:$X)</f>
        <v>0</v>
      </c>
      <c r="O737" s="311"/>
      <c r="P737" t="str">
        <f t="shared" si="73"/>
        <v>440-4370</v>
      </c>
      <c r="Q737" s="315" t="str">
        <f t="shared" si="74"/>
        <v>Service</v>
      </c>
      <c r="R737" s="315" t="str">
        <f t="shared" si="75"/>
        <v>ServiceUnsold Labour  as % of Labour COS</v>
      </c>
      <c r="S737" s="199"/>
      <c r="T737" s="199"/>
      <c r="U737" s="199"/>
    </row>
    <row r="738" spans="1:21" x14ac:dyDescent="0.25">
      <c r="A738" t="s">
        <v>996</v>
      </c>
      <c r="B738" t="s">
        <v>997</v>
      </c>
      <c r="C738" t="s">
        <v>1013</v>
      </c>
      <c r="D738">
        <v>4370</v>
      </c>
      <c r="E738">
        <v>340</v>
      </c>
      <c r="F738" t="s">
        <v>1112</v>
      </c>
      <c r="G738" t="s">
        <v>1113</v>
      </c>
      <c r="H738" s="315" t="s">
        <v>17</v>
      </c>
      <c r="I738" s="315" t="s">
        <v>1114</v>
      </c>
      <c r="J738" s="315" t="str">
        <f t="shared" si="71"/>
        <v>ServiceUnsold Labour  as % of Labour COS</v>
      </c>
      <c r="K738" s="315" t="str">
        <f t="shared" si="72"/>
        <v>340Service Unsold Labour - Toyota</v>
      </c>
      <c r="L738" s="311">
        <f>+SUMIF('TUNZ Extracted TB'!M:M,$P738,'TUNZ Extracted TB'!G:G)</f>
        <v>5760.78</v>
      </c>
      <c r="M738" s="311"/>
      <c r="N738" s="311">
        <f>+SUMIF('Input Sheet'!$AE:$AE,P738,'Input Sheet'!$X:$X)</f>
        <v>0</v>
      </c>
      <c r="O738" s="311"/>
      <c r="P738" t="str">
        <f t="shared" si="73"/>
        <v>340-4370</v>
      </c>
      <c r="Q738" s="315" t="str">
        <f t="shared" si="74"/>
        <v>Service</v>
      </c>
      <c r="R738" s="315" t="str">
        <f t="shared" si="75"/>
        <v>ServiceUnsold Labour  as % of Labour COS</v>
      </c>
      <c r="S738" s="199"/>
      <c r="T738" s="199"/>
      <c r="U738" s="199"/>
    </row>
    <row r="739" spans="1:21" x14ac:dyDescent="0.25">
      <c r="A739" t="s">
        <v>996</v>
      </c>
      <c r="B739" t="s">
        <v>997</v>
      </c>
      <c r="C739" t="s">
        <v>997</v>
      </c>
      <c r="D739">
        <v>4370</v>
      </c>
      <c r="E739">
        <v>140</v>
      </c>
      <c r="F739" t="s">
        <v>1112</v>
      </c>
      <c r="G739" t="s">
        <v>1113</v>
      </c>
      <c r="H739" s="315" t="s">
        <v>17</v>
      </c>
      <c r="I739" s="315" t="s">
        <v>1114</v>
      </c>
      <c r="J739" s="315" t="str">
        <f t="shared" si="71"/>
        <v>ServiceUnsold Labour  as % of Labour COS</v>
      </c>
      <c r="K739" s="315" t="str">
        <f t="shared" si="72"/>
        <v>140Service Unsold Labour - Toyota</v>
      </c>
      <c r="L739" s="311">
        <f>+SUMIF('TUNZ Extracted TB'!M:M,$P739,'TUNZ Extracted TB'!G:G)</f>
        <v>19462.259999999998</v>
      </c>
      <c r="M739" s="311"/>
      <c r="N739" s="311">
        <f>+SUMIF('Input Sheet'!$AE:$AE,P739,'Input Sheet'!$X:$X)</f>
        <v>0</v>
      </c>
      <c r="O739" s="311"/>
      <c r="P739" t="str">
        <f t="shared" si="73"/>
        <v>140-4370</v>
      </c>
      <c r="Q739" s="315" t="str">
        <f t="shared" si="74"/>
        <v>Service</v>
      </c>
      <c r="R739" s="315" t="str">
        <f t="shared" si="75"/>
        <v>ServiceUnsold Labour  as % of Labour COS</v>
      </c>
      <c r="S739" s="199"/>
      <c r="T739" s="199"/>
      <c r="U739" s="199"/>
    </row>
    <row r="740" spans="1:21" x14ac:dyDescent="0.25">
      <c r="A740" t="s">
        <v>996</v>
      </c>
      <c r="B740" t="s">
        <v>997</v>
      </c>
      <c r="C740" t="s">
        <v>997</v>
      </c>
      <c r="D740">
        <v>4370</v>
      </c>
      <c r="E740">
        <v>142</v>
      </c>
      <c r="F740" t="s">
        <v>1187</v>
      </c>
      <c r="G740" t="s">
        <v>1188</v>
      </c>
      <c r="H740" s="315" t="s">
        <v>1022</v>
      </c>
      <c r="I740" s="315" t="s">
        <v>1114</v>
      </c>
      <c r="J740" s="315" t="str">
        <f t="shared" si="71"/>
        <v>Lex ServiceUnsold Labour  as % of Labour COS</v>
      </c>
      <c r="K740" s="315" t="str">
        <f t="shared" si="72"/>
        <v>142Service Unsold Labour - Lexus</v>
      </c>
      <c r="L740" s="311">
        <f>+SUMIF('TUNZ Extracted TB'!M:M,$P740,'TUNZ Extracted TB'!G:G)</f>
        <v>17474.580000000002</v>
      </c>
      <c r="M740" s="311"/>
      <c r="N740" s="311">
        <f>+SUMIF('Input Sheet'!$AE:$AE,P740,'Input Sheet'!$X:$X)</f>
        <v>0</v>
      </c>
      <c r="O740" s="311"/>
      <c r="P740" t="str">
        <f t="shared" si="73"/>
        <v>142-4370</v>
      </c>
      <c r="Q740" s="315" t="str">
        <f t="shared" si="74"/>
        <v>Lex Service</v>
      </c>
      <c r="R740" s="315" t="str">
        <f t="shared" si="75"/>
        <v>Lex ServiceUnsold Labour  as % of Labour COS</v>
      </c>
      <c r="S740" s="199"/>
      <c r="T740" s="199"/>
      <c r="U740" s="199"/>
    </row>
    <row r="741" spans="1:21" x14ac:dyDescent="0.25">
      <c r="A741" t="s">
        <v>996</v>
      </c>
      <c r="B741" t="s">
        <v>997</v>
      </c>
      <c r="C741" t="s">
        <v>997</v>
      </c>
      <c r="D741">
        <v>4370</v>
      </c>
      <c r="E741">
        <v>936</v>
      </c>
      <c r="F741" t="s">
        <v>1175</v>
      </c>
      <c r="G741" t="s">
        <v>1176</v>
      </c>
      <c r="H741" s="315" t="s">
        <v>58</v>
      </c>
      <c r="I741" s="315" t="s">
        <v>1114</v>
      </c>
      <c r="J741" s="315" t="str">
        <f t="shared" si="71"/>
        <v>BridgestoneUnsold Labour  as % of Labour COS</v>
      </c>
      <c r="K741" s="315" t="str">
        <f t="shared" si="72"/>
        <v>936Other franchise/business expense</v>
      </c>
      <c r="L741" s="311">
        <f>+SUMIF('TUNZ Extracted TB'!M:M,$P741,'TUNZ Extracted TB'!G:G)</f>
        <v>0</v>
      </c>
      <c r="M741" s="311"/>
      <c r="N741" s="311">
        <f>+SUMIF('Input Sheet'!$AE:$AE,P741,'Input Sheet'!$X:$X)</f>
        <v>0</v>
      </c>
      <c r="O741" s="311"/>
      <c r="P741" t="str">
        <f t="shared" si="73"/>
        <v>936-4370</v>
      </c>
      <c r="Q741" s="315" t="str">
        <f t="shared" si="74"/>
        <v>Bridgestone</v>
      </c>
      <c r="R741" s="315" t="str">
        <f t="shared" si="75"/>
        <v>BridgestoneUnsold Labour  as % of Labour COS</v>
      </c>
      <c r="S741" s="199"/>
      <c r="T741" s="199"/>
      <c r="U741" s="199"/>
    </row>
    <row r="742" spans="1:21" x14ac:dyDescent="0.25">
      <c r="A742" t="s">
        <v>996</v>
      </c>
      <c r="B742" t="s">
        <v>997</v>
      </c>
      <c r="C742" t="s">
        <v>997</v>
      </c>
      <c r="D742">
        <v>4370</v>
      </c>
      <c r="E742">
        <v>935</v>
      </c>
      <c r="F742" t="s">
        <v>1175</v>
      </c>
      <c r="G742" t="s">
        <v>1176</v>
      </c>
      <c r="H742" s="315" t="s">
        <v>58</v>
      </c>
      <c r="I742" s="315" t="s">
        <v>1114</v>
      </c>
      <c r="J742" s="315" t="str">
        <f t="shared" si="71"/>
        <v>BridgestoneUnsold Labour  as % of Labour COS</v>
      </c>
      <c r="K742" s="315" t="str">
        <f t="shared" si="72"/>
        <v>935Other franchise/business expense</v>
      </c>
      <c r="L742" s="311">
        <f>+SUMIF('TUNZ Extracted TB'!M:M,$P742,'TUNZ Extracted TB'!G:G)</f>
        <v>0</v>
      </c>
      <c r="M742" s="311"/>
      <c r="N742" s="311">
        <f>+SUMIF('Input Sheet'!$AE:$AE,P742,'Input Sheet'!$X:$X)</f>
        <v>0</v>
      </c>
      <c r="O742" s="311"/>
      <c r="P742" t="str">
        <f t="shared" si="73"/>
        <v>935-4370</v>
      </c>
      <c r="Q742" s="315" t="str">
        <f t="shared" si="74"/>
        <v>Bridgestone</v>
      </c>
      <c r="R742" s="315" t="str">
        <f t="shared" si="75"/>
        <v>BridgestoneUnsold Labour  as % of Labour COS</v>
      </c>
      <c r="S742" s="199"/>
      <c r="T742" s="199"/>
      <c r="U742" s="199"/>
    </row>
    <row r="743" spans="1:21" x14ac:dyDescent="0.25">
      <c r="A743" t="s">
        <v>996</v>
      </c>
      <c r="B743" t="s">
        <v>997</v>
      </c>
      <c r="C743" t="s">
        <v>997</v>
      </c>
      <c r="D743">
        <v>4370</v>
      </c>
      <c r="E743">
        <v>170</v>
      </c>
      <c r="F743" t="s">
        <v>1098</v>
      </c>
      <c r="G743" t="s">
        <v>1099</v>
      </c>
      <c r="H743" s="315" t="s">
        <v>1000</v>
      </c>
      <c r="I743" s="315" t="s">
        <v>1001</v>
      </c>
      <c r="J743" s="315" t="str">
        <f t="shared" si="71"/>
        <v>Admin &amp; OtherOther Overheads as % of Total Gross Profit</v>
      </c>
      <c r="K743" s="315" t="str">
        <f t="shared" si="72"/>
        <v>170Other Income - Toyota</v>
      </c>
      <c r="L743" s="311">
        <f>+SUMIF('TUNZ Extracted TB'!M:M,$P743,'TUNZ Extracted TB'!G:G)</f>
        <v>0</v>
      </c>
      <c r="M743" s="311"/>
      <c r="N743" s="311">
        <f>+SUMIF('Input Sheet'!$AE:$AE,P743,'Input Sheet'!$X:$X)</f>
        <v>0</v>
      </c>
      <c r="O743" s="311"/>
      <c r="P743" t="str">
        <f t="shared" si="73"/>
        <v>170-4370</v>
      </c>
      <c r="Q743" s="315" t="str">
        <f t="shared" si="74"/>
        <v>Admin &amp; Other</v>
      </c>
      <c r="R743" s="315" t="str">
        <f t="shared" si="75"/>
        <v>Admin &amp; OtherOther Overheads as % of Total Gross Profit</v>
      </c>
      <c r="S743" s="199"/>
      <c r="T743" s="199"/>
      <c r="U743" s="199"/>
    </row>
    <row r="744" spans="1:21" x14ac:dyDescent="0.25">
      <c r="A744" t="s">
        <v>996</v>
      </c>
      <c r="B744" t="s">
        <v>997</v>
      </c>
      <c r="C744" t="s">
        <v>997</v>
      </c>
      <c r="D744">
        <v>4370</v>
      </c>
      <c r="E744">
        <v>147</v>
      </c>
      <c r="F744" t="s">
        <v>1112</v>
      </c>
      <c r="G744" t="s">
        <v>1113</v>
      </c>
      <c r="H744" s="315" t="s">
        <v>17</v>
      </c>
      <c r="I744" s="315" t="s">
        <v>1114</v>
      </c>
      <c r="J744" s="315" t="str">
        <f t="shared" si="71"/>
        <v>ServiceUnsold Labour  as % of Labour COS</v>
      </c>
      <c r="K744" s="315" t="str">
        <f t="shared" si="72"/>
        <v>147Service Unsold Labour - Toyota</v>
      </c>
      <c r="L744" s="311">
        <f>+SUMIF('TUNZ Extracted TB'!M:M,$P744,'TUNZ Extracted TB'!G:G)</f>
        <v>0</v>
      </c>
      <c r="M744" s="311"/>
      <c r="N744" s="311">
        <f>+SUMIF('Input Sheet'!$AE:$AE,P744,'Input Sheet'!$X:$X)</f>
        <v>0</v>
      </c>
      <c r="O744" s="311"/>
      <c r="P744" t="str">
        <f t="shared" si="73"/>
        <v>147-4370</v>
      </c>
      <c r="Q744" s="315" t="str">
        <f t="shared" si="74"/>
        <v>Service</v>
      </c>
      <c r="R744" s="315" t="str">
        <f t="shared" si="75"/>
        <v>ServiceUnsold Labour  as % of Labour COS</v>
      </c>
      <c r="S744" s="199"/>
      <c r="T744" s="199"/>
      <c r="U744" s="199"/>
    </row>
    <row r="745" spans="1:21" x14ac:dyDescent="0.25">
      <c r="A745" t="s">
        <v>996</v>
      </c>
      <c r="B745" t="s">
        <v>997</v>
      </c>
      <c r="C745" t="s">
        <v>1013</v>
      </c>
      <c r="D745">
        <v>4390</v>
      </c>
      <c r="E745">
        <v>340</v>
      </c>
      <c r="F745" t="s">
        <v>1189</v>
      </c>
      <c r="G745" t="s">
        <v>1190</v>
      </c>
      <c r="H745" s="315" t="s">
        <v>17</v>
      </c>
      <c r="I745" s="315" t="s">
        <v>1191</v>
      </c>
      <c r="J745" s="315" t="str">
        <f t="shared" si="71"/>
        <v>ServiceSublet Gross Profit % of Sales</v>
      </c>
      <c r="K745" s="315" t="str">
        <f t="shared" si="72"/>
        <v>340Service Sublet COS - Toyota</v>
      </c>
      <c r="L745" s="311">
        <f>+SUMIF('TUNZ Extracted TB'!M:M,$P745,'TUNZ Extracted TB'!G:G)</f>
        <v>8982.9</v>
      </c>
      <c r="M745" s="311"/>
      <c r="N745" s="311">
        <f>+SUMIF('Input Sheet'!$AE:$AE,P745,'Input Sheet'!$X:$X)</f>
        <v>24430.489926239272</v>
      </c>
      <c r="O745" s="311"/>
      <c r="P745" t="str">
        <f t="shared" si="73"/>
        <v>340-4390</v>
      </c>
      <c r="Q745" s="315" t="str">
        <f t="shared" si="74"/>
        <v>Service</v>
      </c>
      <c r="R745" s="315" t="str">
        <f t="shared" si="75"/>
        <v>ServiceSublet Gross Profit % of Sales</v>
      </c>
      <c r="S745" s="199"/>
      <c r="T745" s="199"/>
      <c r="U745" s="199"/>
    </row>
    <row r="746" spans="1:21" x14ac:dyDescent="0.25">
      <c r="A746" t="s">
        <v>996</v>
      </c>
      <c r="B746" t="s">
        <v>997</v>
      </c>
      <c r="C746" t="s">
        <v>1012</v>
      </c>
      <c r="D746">
        <v>4390</v>
      </c>
      <c r="E746">
        <v>440</v>
      </c>
      <c r="F746" t="s">
        <v>1189</v>
      </c>
      <c r="G746" t="s">
        <v>1190</v>
      </c>
      <c r="H746" s="315" t="s">
        <v>17</v>
      </c>
      <c r="I746" s="315" t="s">
        <v>1191</v>
      </c>
      <c r="J746" s="315" t="str">
        <f t="shared" si="71"/>
        <v>ServiceSublet Gross Profit % of Sales</v>
      </c>
      <c r="K746" s="315" t="str">
        <f t="shared" si="72"/>
        <v>440Service Sublet COS - Toyota</v>
      </c>
      <c r="L746" s="311">
        <f>+SUMIF('TUNZ Extracted TB'!M:M,$P746,'TUNZ Extracted TB'!G:G)</f>
        <v>3437.89</v>
      </c>
      <c r="M746" s="311"/>
      <c r="N746" s="311">
        <f>+SUMIF('Input Sheet'!$AE:$AE,P746,'Input Sheet'!$X:$X)</f>
        <v>22340.734401190206</v>
      </c>
      <c r="O746" s="311"/>
      <c r="P746" t="str">
        <f t="shared" si="73"/>
        <v>440-4390</v>
      </c>
      <c r="Q746" s="315" t="str">
        <f t="shared" si="74"/>
        <v>Service</v>
      </c>
      <c r="R746" s="315" t="str">
        <f t="shared" si="75"/>
        <v>ServiceSublet Gross Profit % of Sales</v>
      </c>
      <c r="S746" s="199"/>
      <c r="T746" s="199"/>
      <c r="U746" s="199"/>
    </row>
    <row r="747" spans="1:21" x14ac:dyDescent="0.25">
      <c r="A747" t="s">
        <v>996</v>
      </c>
      <c r="B747" t="s">
        <v>997</v>
      </c>
      <c r="C747" t="s">
        <v>1005</v>
      </c>
      <c r="D747">
        <v>4390</v>
      </c>
      <c r="E747">
        <v>240</v>
      </c>
      <c r="F747" t="s">
        <v>1189</v>
      </c>
      <c r="G747" t="s">
        <v>1190</v>
      </c>
      <c r="H747" s="315" t="s">
        <v>17</v>
      </c>
      <c r="I747" s="315" t="s">
        <v>1191</v>
      </c>
      <c r="J747" s="315" t="str">
        <f t="shared" si="71"/>
        <v>ServiceSublet Gross Profit % of Sales</v>
      </c>
      <c r="K747" s="315" t="str">
        <f t="shared" si="72"/>
        <v>240Service Sublet COS - Toyota</v>
      </c>
      <c r="L747" s="311">
        <f>+SUMIF('TUNZ Extracted TB'!M:M,$P747,'TUNZ Extracted TB'!G:G)</f>
        <v>5083.7</v>
      </c>
      <c r="M747" s="311"/>
      <c r="N747" s="311">
        <f>+SUMIF('Input Sheet'!$AE:$AE,P747,'Input Sheet'!$X:$X)</f>
        <v>33844.167083782115</v>
      </c>
      <c r="O747" s="311"/>
      <c r="P747" t="str">
        <f t="shared" si="73"/>
        <v>240-4390</v>
      </c>
      <c r="Q747" s="315" t="str">
        <f t="shared" si="74"/>
        <v>Service</v>
      </c>
      <c r="R747" s="315" t="str">
        <f t="shared" si="75"/>
        <v>ServiceSublet Gross Profit % of Sales</v>
      </c>
      <c r="S747" s="199"/>
      <c r="T747" s="199"/>
      <c r="U747" s="199"/>
    </row>
    <row r="748" spans="1:21" x14ac:dyDescent="0.25">
      <c r="A748" t="s">
        <v>996</v>
      </c>
      <c r="B748" t="s">
        <v>997</v>
      </c>
      <c r="C748" t="s">
        <v>997</v>
      </c>
      <c r="D748">
        <v>4390</v>
      </c>
      <c r="E748">
        <v>140</v>
      </c>
      <c r="F748" t="s">
        <v>1189</v>
      </c>
      <c r="G748" t="s">
        <v>1190</v>
      </c>
      <c r="H748" s="315" t="s">
        <v>17</v>
      </c>
      <c r="I748" s="315" t="s">
        <v>1191</v>
      </c>
      <c r="J748" s="315" t="str">
        <f t="shared" si="71"/>
        <v>ServiceSublet Gross Profit % of Sales</v>
      </c>
      <c r="K748" s="315" t="str">
        <f t="shared" si="72"/>
        <v>140Service Sublet COS - Toyota</v>
      </c>
      <c r="L748" s="311">
        <f>+SUMIF('TUNZ Extracted TB'!M:M,$P748,'TUNZ Extracted TB'!G:G)</f>
        <v>29372.68</v>
      </c>
      <c r="M748" s="311"/>
      <c r="N748" s="311">
        <f>+SUMIF('Input Sheet'!$AE:$AE,P748,'Input Sheet'!$X:$X)</f>
        <v>59076.194478118894</v>
      </c>
      <c r="O748" s="311"/>
      <c r="P748" t="str">
        <f t="shared" si="73"/>
        <v>140-4390</v>
      </c>
      <c r="Q748" s="315" t="str">
        <f t="shared" si="74"/>
        <v>Service</v>
      </c>
      <c r="R748" s="315" t="str">
        <f t="shared" si="75"/>
        <v>ServiceSublet Gross Profit % of Sales</v>
      </c>
      <c r="S748" s="199"/>
      <c r="T748" s="199"/>
      <c r="U748" s="199"/>
    </row>
    <row r="749" spans="1:21" x14ac:dyDescent="0.25">
      <c r="A749" t="s">
        <v>996</v>
      </c>
      <c r="B749" t="s">
        <v>997</v>
      </c>
      <c r="C749" t="s">
        <v>997</v>
      </c>
      <c r="D749">
        <v>4390</v>
      </c>
      <c r="E749">
        <v>142</v>
      </c>
      <c r="F749" t="s">
        <v>1192</v>
      </c>
      <c r="G749" t="s">
        <v>1193</v>
      </c>
      <c r="H749" s="315" t="s">
        <v>1022</v>
      </c>
      <c r="I749" s="315" t="s">
        <v>1191</v>
      </c>
      <c r="J749" s="315" t="str">
        <f t="shared" si="71"/>
        <v>Lex ServiceSublet Gross Profit % of Sales</v>
      </c>
      <c r="K749" s="315" t="str">
        <f t="shared" si="72"/>
        <v>142Service Sublet COS - Lexus</v>
      </c>
      <c r="L749" s="311">
        <f>+SUMIF('TUNZ Extracted TB'!M:M,$P749,'TUNZ Extracted TB'!G:G)</f>
        <v>14577.65</v>
      </c>
      <c r="M749" s="311"/>
      <c r="N749" s="311">
        <f>+SUMIF('Input Sheet'!$AE:$AE,P749,'Input Sheet'!$X:$X)</f>
        <v>21411.200000000001</v>
      </c>
      <c r="O749" s="311"/>
      <c r="P749" t="str">
        <f t="shared" si="73"/>
        <v>142-4390</v>
      </c>
      <c r="Q749" s="315" t="str">
        <f t="shared" si="74"/>
        <v>Lex Service</v>
      </c>
      <c r="R749" s="315" t="str">
        <f t="shared" si="75"/>
        <v>Lex ServiceSublet Gross Profit % of Sales</v>
      </c>
      <c r="S749" s="199"/>
      <c r="T749" s="199"/>
      <c r="U749" s="199"/>
    </row>
    <row r="750" spans="1:21" x14ac:dyDescent="0.25">
      <c r="A750" t="s">
        <v>996</v>
      </c>
      <c r="B750" t="s">
        <v>997</v>
      </c>
      <c r="C750" t="s">
        <v>997</v>
      </c>
      <c r="D750">
        <v>4390</v>
      </c>
      <c r="E750">
        <v>170</v>
      </c>
      <c r="F750" t="s">
        <v>1098</v>
      </c>
      <c r="G750" t="s">
        <v>1099</v>
      </c>
      <c r="H750" s="315" t="s">
        <v>1000</v>
      </c>
      <c r="I750" s="315" t="s">
        <v>1001</v>
      </c>
      <c r="J750" s="315" t="str">
        <f t="shared" si="71"/>
        <v>Admin &amp; OtherOther Overheads as % of Total Gross Profit</v>
      </c>
      <c r="K750" s="315" t="str">
        <f t="shared" si="72"/>
        <v>170Other Income - Toyota</v>
      </c>
      <c r="L750" s="311">
        <f>+SUMIF('TUNZ Extracted TB'!M:M,$P750,'TUNZ Extracted TB'!G:G)</f>
        <v>0</v>
      </c>
      <c r="M750" s="311"/>
      <c r="N750" s="311">
        <f>+SUMIF('Input Sheet'!$AE:$AE,P750,'Input Sheet'!$X:$X)</f>
        <v>0</v>
      </c>
      <c r="O750" s="311"/>
      <c r="P750" t="str">
        <f t="shared" si="73"/>
        <v>170-4390</v>
      </c>
      <c r="Q750" s="315" t="str">
        <f t="shared" si="74"/>
        <v>Admin &amp; Other</v>
      </c>
      <c r="R750" s="315" t="str">
        <f t="shared" si="75"/>
        <v>Admin &amp; OtherOther Overheads as % of Total Gross Profit</v>
      </c>
      <c r="S750" s="199"/>
      <c r="T750" s="199"/>
      <c r="U750" s="199"/>
    </row>
    <row r="751" spans="1:21" x14ac:dyDescent="0.25">
      <c r="A751" t="s">
        <v>996</v>
      </c>
      <c r="B751" t="s">
        <v>997</v>
      </c>
      <c r="C751" t="s">
        <v>997</v>
      </c>
      <c r="D751">
        <v>4390</v>
      </c>
      <c r="E751">
        <v>147</v>
      </c>
      <c r="F751" t="s">
        <v>1189</v>
      </c>
      <c r="G751" t="s">
        <v>1190</v>
      </c>
      <c r="H751" s="315" t="s">
        <v>17</v>
      </c>
      <c r="I751" s="315" t="s">
        <v>1191</v>
      </c>
      <c r="J751" s="315" t="str">
        <f t="shared" si="71"/>
        <v>ServiceSublet Gross Profit % of Sales</v>
      </c>
      <c r="K751" s="315" t="str">
        <f t="shared" si="72"/>
        <v>147Service Sublet COS - Toyota</v>
      </c>
      <c r="L751" s="311">
        <f>+SUMIF('TUNZ Extracted TB'!M:M,$P751,'TUNZ Extracted TB'!G:G)</f>
        <v>0</v>
      </c>
      <c r="M751" s="311"/>
      <c r="N751" s="311">
        <f>+SUMIF('Input Sheet'!$AE:$AE,P751,'Input Sheet'!$X:$X)</f>
        <v>74.685475021742079</v>
      </c>
      <c r="O751" s="311"/>
      <c r="P751" t="str">
        <f t="shared" si="73"/>
        <v>147-4390</v>
      </c>
      <c r="Q751" s="315" t="str">
        <f t="shared" si="74"/>
        <v>Service</v>
      </c>
      <c r="R751" s="315" t="str">
        <f t="shared" si="75"/>
        <v>ServiceSublet Gross Profit % of Sales</v>
      </c>
      <c r="S751" s="199"/>
      <c r="T751" s="199"/>
      <c r="U751" s="199"/>
    </row>
    <row r="752" spans="1:21" x14ac:dyDescent="0.25">
      <c r="A752" t="s">
        <v>996</v>
      </c>
      <c r="B752" t="s">
        <v>997</v>
      </c>
      <c r="C752" t="s">
        <v>1012</v>
      </c>
      <c r="D752">
        <v>4395</v>
      </c>
      <c r="E752">
        <v>440</v>
      </c>
      <c r="F752" t="s">
        <v>1189</v>
      </c>
      <c r="G752" t="s">
        <v>1190</v>
      </c>
      <c r="H752" s="315" t="s">
        <v>17</v>
      </c>
      <c r="I752" s="315" t="s">
        <v>1191</v>
      </c>
      <c r="J752" s="315" t="str">
        <f t="shared" si="71"/>
        <v>ServiceSublet Gross Profit % of Sales</v>
      </c>
      <c r="K752" s="315" t="str">
        <f t="shared" si="72"/>
        <v>440Service Sublet COS - Toyota</v>
      </c>
      <c r="L752" s="311">
        <f>+SUMIF('TUNZ Extracted TB'!M:M,$P752,'TUNZ Extracted TB'!G:G)</f>
        <v>0</v>
      </c>
      <c r="M752" s="311"/>
      <c r="N752" s="311">
        <f>+SUMIF('Input Sheet'!$AE:$AE,P752,'Input Sheet'!$X:$X)</f>
        <v>0</v>
      </c>
      <c r="O752" s="311"/>
      <c r="P752" t="str">
        <f t="shared" si="73"/>
        <v>440-4395</v>
      </c>
      <c r="Q752" s="315" t="str">
        <f t="shared" si="74"/>
        <v>Service</v>
      </c>
      <c r="R752" s="315" t="str">
        <f t="shared" si="75"/>
        <v>ServiceSublet Gross Profit % of Sales</v>
      </c>
      <c r="S752" s="199"/>
      <c r="T752" s="199"/>
      <c r="U752" s="199"/>
    </row>
    <row r="753" spans="1:21" x14ac:dyDescent="0.25">
      <c r="A753" t="s">
        <v>996</v>
      </c>
      <c r="B753" t="s">
        <v>997</v>
      </c>
      <c r="C753" t="s">
        <v>997</v>
      </c>
      <c r="D753">
        <v>4395</v>
      </c>
      <c r="E753">
        <v>147</v>
      </c>
      <c r="F753" t="s">
        <v>1189</v>
      </c>
      <c r="G753" t="s">
        <v>1190</v>
      </c>
      <c r="H753" s="315" t="s">
        <v>17</v>
      </c>
      <c r="I753" s="315" t="s">
        <v>1191</v>
      </c>
      <c r="J753" s="315" t="str">
        <f t="shared" si="71"/>
        <v>ServiceSublet Gross Profit % of Sales</v>
      </c>
      <c r="K753" s="315" t="str">
        <f t="shared" si="72"/>
        <v>147Service Sublet COS - Toyota</v>
      </c>
      <c r="L753" s="311">
        <f>+SUMIF('TUNZ Extracted TB'!M:M,$P753,'TUNZ Extracted TB'!G:G)</f>
        <v>0</v>
      </c>
      <c r="M753" s="311"/>
      <c r="N753" s="311">
        <f>+SUMIF('Input Sheet'!$AE:$AE,P753,'Input Sheet'!$X:$X)</f>
        <v>0</v>
      </c>
      <c r="O753" s="311"/>
      <c r="P753" t="str">
        <f t="shared" si="73"/>
        <v>147-4395</v>
      </c>
      <c r="Q753" s="315" t="str">
        <f t="shared" si="74"/>
        <v>Service</v>
      </c>
      <c r="R753" s="315" t="str">
        <f t="shared" si="75"/>
        <v>ServiceSublet Gross Profit % of Sales</v>
      </c>
      <c r="S753" s="199"/>
      <c r="T753" s="199"/>
      <c r="U753" s="199"/>
    </row>
    <row r="754" spans="1:21" x14ac:dyDescent="0.25">
      <c r="A754" t="s">
        <v>996</v>
      </c>
      <c r="B754" t="s">
        <v>997</v>
      </c>
      <c r="C754" t="s">
        <v>1013</v>
      </c>
      <c r="D754">
        <v>4400</v>
      </c>
      <c r="E754">
        <v>340</v>
      </c>
      <c r="F754" t="s">
        <v>1194</v>
      </c>
      <c r="G754" t="s">
        <v>1195</v>
      </c>
      <c r="H754" s="315" t="s">
        <v>17</v>
      </c>
      <c r="I754" s="315" t="s">
        <v>1196</v>
      </c>
      <c r="J754" s="315" t="str">
        <f t="shared" si="71"/>
        <v>ServiceMiscellaneous Gross Profit % of Sales</v>
      </c>
      <c r="K754" s="315" t="str">
        <f t="shared" si="72"/>
        <v>340Service Miscellaneous COS - Toyota</v>
      </c>
      <c r="L754" s="311">
        <f>+SUMIF('TUNZ Extracted TB'!M:M,$P754,'TUNZ Extracted TB'!G:G)</f>
        <v>8567.7099999999991</v>
      </c>
      <c r="M754" s="311"/>
      <c r="N754" s="311">
        <f>+SUMIF('Input Sheet'!$AE:$AE,P754,'Input Sheet'!$X:$X)</f>
        <v>0</v>
      </c>
      <c r="O754" s="311"/>
      <c r="P754" t="str">
        <f t="shared" si="73"/>
        <v>340-4400</v>
      </c>
      <c r="Q754" s="315" t="str">
        <f t="shared" si="74"/>
        <v>Service</v>
      </c>
      <c r="R754" s="315" t="str">
        <f t="shared" si="75"/>
        <v>ServiceMiscellaneous Gross Profit % of Sales</v>
      </c>
      <c r="S754" s="199"/>
      <c r="T754" s="199"/>
      <c r="U754" s="199"/>
    </row>
    <row r="755" spans="1:21" x14ac:dyDescent="0.25">
      <c r="A755" t="s">
        <v>996</v>
      </c>
      <c r="B755" t="s">
        <v>997</v>
      </c>
      <c r="C755" t="s">
        <v>1012</v>
      </c>
      <c r="D755">
        <v>4400</v>
      </c>
      <c r="E755">
        <v>440</v>
      </c>
      <c r="F755" t="s">
        <v>1194</v>
      </c>
      <c r="G755" t="s">
        <v>1195</v>
      </c>
      <c r="H755" s="315" t="s">
        <v>17</v>
      </c>
      <c r="I755" s="315" t="s">
        <v>1196</v>
      </c>
      <c r="J755" s="315" t="str">
        <f t="shared" si="71"/>
        <v>ServiceMiscellaneous Gross Profit % of Sales</v>
      </c>
      <c r="K755" s="315" t="str">
        <f t="shared" si="72"/>
        <v>440Service Miscellaneous COS - Toyota</v>
      </c>
      <c r="L755" s="311">
        <f>+SUMIF('TUNZ Extracted TB'!M:M,$P755,'TUNZ Extracted TB'!G:G)</f>
        <v>2327.9</v>
      </c>
      <c r="M755" s="311"/>
      <c r="N755" s="311">
        <f>+SUMIF('Input Sheet'!$AE:$AE,P755,'Input Sheet'!$X:$X)</f>
        <v>0</v>
      </c>
      <c r="O755" s="311"/>
      <c r="P755" t="str">
        <f t="shared" si="73"/>
        <v>440-4400</v>
      </c>
      <c r="Q755" s="315" t="str">
        <f t="shared" si="74"/>
        <v>Service</v>
      </c>
      <c r="R755" s="315" t="str">
        <f t="shared" si="75"/>
        <v>ServiceMiscellaneous Gross Profit % of Sales</v>
      </c>
      <c r="S755" s="199"/>
      <c r="T755" s="199"/>
      <c r="U755" s="199"/>
    </row>
    <row r="756" spans="1:21" x14ac:dyDescent="0.25">
      <c r="A756" t="s">
        <v>996</v>
      </c>
      <c r="B756" t="s">
        <v>997</v>
      </c>
      <c r="C756" t="s">
        <v>1005</v>
      </c>
      <c r="D756">
        <v>4400</v>
      </c>
      <c r="E756">
        <v>240</v>
      </c>
      <c r="F756" t="s">
        <v>1194</v>
      </c>
      <c r="G756" t="s">
        <v>1195</v>
      </c>
      <c r="H756" s="315" t="s">
        <v>17</v>
      </c>
      <c r="I756" s="315" t="s">
        <v>1196</v>
      </c>
      <c r="J756" s="315" t="str">
        <f t="shared" si="71"/>
        <v>ServiceMiscellaneous Gross Profit % of Sales</v>
      </c>
      <c r="K756" s="315" t="str">
        <f t="shared" si="72"/>
        <v>240Service Miscellaneous COS - Toyota</v>
      </c>
      <c r="L756" s="311">
        <f>+SUMIF('TUNZ Extracted TB'!M:M,$P756,'TUNZ Extracted TB'!G:G)</f>
        <v>11164.96</v>
      </c>
      <c r="M756" s="311"/>
      <c r="N756" s="311">
        <f>+SUMIF('Input Sheet'!$AE:$AE,P756,'Input Sheet'!$X:$X)</f>
        <v>0</v>
      </c>
      <c r="O756" s="311"/>
      <c r="P756" t="str">
        <f t="shared" si="73"/>
        <v>240-4400</v>
      </c>
      <c r="Q756" s="315" t="str">
        <f t="shared" si="74"/>
        <v>Service</v>
      </c>
      <c r="R756" s="315" t="str">
        <f t="shared" si="75"/>
        <v>ServiceMiscellaneous Gross Profit % of Sales</v>
      </c>
      <c r="S756" s="199"/>
      <c r="T756" s="199"/>
      <c r="U756" s="199"/>
    </row>
    <row r="757" spans="1:21" x14ac:dyDescent="0.25">
      <c r="A757" t="s">
        <v>996</v>
      </c>
      <c r="B757" t="s">
        <v>997</v>
      </c>
      <c r="C757" t="s">
        <v>997</v>
      </c>
      <c r="D757">
        <v>4400</v>
      </c>
      <c r="E757">
        <v>140</v>
      </c>
      <c r="F757" t="s">
        <v>1194</v>
      </c>
      <c r="G757" t="s">
        <v>1195</v>
      </c>
      <c r="H757" s="315" t="s">
        <v>17</v>
      </c>
      <c r="I757" s="315" t="s">
        <v>1196</v>
      </c>
      <c r="J757" s="315" t="str">
        <f t="shared" si="71"/>
        <v>ServiceMiscellaneous Gross Profit % of Sales</v>
      </c>
      <c r="K757" s="315" t="str">
        <f t="shared" si="72"/>
        <v>140Service Miscellaneous COS - Toyota</v>
      </c>
      <c r="L757" s="311">
        <f>+SUMIF('TUNZ Extracted TB'!M:M,$P757,'TUNZ Extracted TB'!G:G)</f>
        <v>23072.36</v>
      </c>
      <c r="M757" s="311"/>
      <c r="N757" s="311">
        <f>+SUMIF('Input Sheet'!$AE:$AE,P757,'Input Sheet'!$X:$X)</f>
        <v>0</v>
      </c>
      <c r="O757" s="311"/>
      <c r="P757" t="str">
        <f t="shared" si="73"/>
        <v>140-4400</v>
      </c>
      <c r="Q757" s="315" t="str">
        <f t="shared" si="74"/>
        <v>Service</v>
      </c>
      <c r="R757" s="315" t="str">
        <f t="shared" si="75"/>
        <v>ServiceMiscellaneous Gross Profit % of Sales</v>
      </c>
      <c r="S757" s="199"/>
      <c r="T757" s="199"/>
      <c r="U757" s="199"/>
    </row>
    <row r="758" spans="1:21" x14ac:dyDescent="0.25">
      <c r="A758" t="s">
        <v>996</v>
      </c>
      <c r="B758" t="s">
        <v>997</v>
      </c>
      <c r="C758" t="s">
        <v>997</v>
      </c>
      <c r="D758">
        <v>4400</v>
      </c>
      <c r="E758">
        <v>142</v>
      </c>
      <c r="F758" t="s">
        <v>1197</v>
      </c>
      <c r="G758" t="s">
        <v>1198</v>
      </c>
      <c r="H758" s="315" t="s">
        <v>1022</v>
      </c>
      <c r="I758" s="315" t="s">
        <v>1196</v>
      </c>
      <c r="J758" s="315" t="str">
        <f t="shared" si="71"/>
        <v>Lex ServiceMiscellaneous Gross Profit % of Sales</v>
      </c>
      <c r="K758" s="315" t="str">
        <f t="shared" si="72"/>
        <v>142Service Miscellaneous COS - Lexus</v>
      </c>
      <c r="L758" s="311">
        <f>+SUMIF('TUNZ Extracted TB'!M:M,$P758,'TUNZ Extracted TB'!G:G)</f>
        <v>1562.63</v>
      </c>
      <c r="M758" s="311"/>
      <c r="N758" s="311">
        <f>+SUMIF('Input Sheet'!$AE:$AE,P758,'Input Sheet'!$X:$X)</f>
        <v>0</v>
      </c>
      <c r="O758" s="311"/>
      <c r="P758" t="str">
        <f t="shared" si="73"/>
        <v>142-4400</v>
      </c>
      <c r="Q758" s="315" t="str">
        <f t="shared" si="74"/>
        <v>Lex Service</v>
      </c>
      <c r="R758" s="315" t="str">
        <f t="shared" si="75"/>
        <v>Lex ServiceMiscellaneous Gross Profit % of Sales</v>
      </c>
      <c r="S758" s="199"/>
      <c r="T758" s="199"/>
      <c r="U758" s="199"/>
    </row>
    <row r="759" spans="1:21" x14ac:dyDescent="0.25">
      <c r="A759" t="s">
        <v>996</v>
      </c>
      <c r="B759" t="s">
        <v>997</v>
      </c>
      <c r="C759" t="s">
        <v>997</v>
      </c>
      <c r="D759">
        <v>4400</v>
      </c>
      <c r="E759">
        <v>170</v>
      </c>
      <c r="F759" t="s">
        <v>1098</v>
      </c>
      <c r="G759" t="s">
        <v>1099</v>
      </c>
      <c r="H759" s="315" t="s">
        <v>1000</v>
      </c>
      <c r="I759" s="315" t="s">
        <v>1001</v>
      </c>
      <c r="J759" s="315" t="str">
        <f t="shared" si="71"/>
        <v>Admin &amp; OtherOther Overheads as % of Total Gross Profit</v>
      </c>
      <c r="K759" s="315" t="str">
        <f t="shared" si="72"/>
        <v>170Other Income - Toyota</v>
      </c>
      <c r="L759" s="311">
        <f>+SUMIF('TUNZ Extracted TB'!M:M,$P759,'TUNZ Extracted TB'!G:G)</f>
        <v>0</v>
      </c>
      <c r="M759" s="311"/>
      <c r="N759" s="311">
        <f>+SUMIF('Input Sheet'!$AE:$AE,P759,'Input Sheet'!$X:$X)</f>
        <v>0</v>
      </c>
      <c r="O759" s="311"/>
      <c r="P759" t="str">
        <f t="shared" si="73"/>
        <v>170-4400</v>
      </c>
      <c r="Q759" s="315" t="str">
        <f t="shared" si="74"/>
        <v>Admin &amp; Other</v>
      </c>
      <c r="R759" s="315" t="str">
        <f t="shared" si="75"/>
        <v>Admin &amp; OtherOther Overheads as % of Total Gross Profit</v>
      </c>
      <c r="S759" s="199"/>
      <c r="T759" s="199"/>
      <c r="U759" s="199"/>
    </row>
    <row r="760" spans="1:21" x14ac:dyDescent="0.25">
      <c r="A760" t="s">
        <v>996</v>
      </c>
      <c r="B760" t="s">
        <v>997</v>
      </c>
      <c r="C760" t="s">
        <v>997</v>
      </c>
      <c r="D760">
        <v>4400</v>
      </c>
      <c r="E760">
        <v>147</v>
      </c>
      <c r="F760" t="s">
        <v>1194</v>
      </c>
      <c r="G760" t="s">
        <v>1195</v>
      </c>
      <c r="H760" s="315" t="s">
        <v>17</v>
      </c>
      <c r="I760" s="315" t="s">
        <v>1196</v>
      </c>
      <c r="J760" s="315" t="str">
        <f t="shared" si="71"/>
        <v>ServiceMiscellaneous Gross Profit % of Sales</v>
      </c>
      <c r="K760" s="315" t="str">
        <f t="shared" si="72"/>
        <v>147Service Miscellaneous COS - Toyota</v>
      </c>
      <c r="L760" s="311">
        <f>+SUMIF('TUNZ Extracted TB'!M:M,$P760,'TUNZ Extracted TB'!G:G)</f>
        <v>0</v>
      </c>
      <c r="M760" s="311"/>
      <c r="N760" s="311">
        <f>+SUMIF('Input Sheet'!$AE:$AE,P760,'Input Sheet'!$X:$X)</f>
        <v>0</v>
      </c>
      <c r="O760" s="311"/>
      <c r="P760" t="str">
        <f t="shared" si="73"/>
        <v>147-4400</v>
      </c>
      <c r="Q760" s="315" t="str">
        <f t="shared" si="74"/>
        <v>Service</v>
      </c>
      <c r="R760" s="315" t="str">
        <f t="shared" si="75"/>
        <v>ServiceMiscellaneous Gross Profit % of Sales</v>
      </c>
      <c r="S760" s="199"/>
      <c r="T760" s="199"/>
      <c r="U760" s="199"/>
    </row>
    <row r="761" spans="1:21" x14ac:dyDescent="0.25">
      <c r="A761" t="s">
        <v>996</v>
      </c>
      <c r="B761" t="s">
        <v>997</v>
      </c>
      <c r="C761" t="s">
        <v>1012</v>
      </c>
      <c r="D761">
        <v>4410</v>
      </c>
      <c r="E761">
        <v>440</v>
      </c>
      <c r="F761" t="s">
        <v>1194</v>
      </c>
      <c r="G761" t="s">
        <v>1195</v>
      </c>
      <c r="H761" s="315" t="s">
        <v>17</v>
      </c>
      <c r="I761" s="315" t="s">
        <v>1196</v>
      </c>
      <c r="J761" s="315" t="str">
        <f t="shared" si="71"/>
        <v>ServiceMiscellaneous Gross Profit % of Sales</v>
      </c>
      <c r="K761" s="315" t="str">
        <f t="shared" si="72"/>
        <v>440Service Miscellaneous COS - Toyota</v>
      </c>
      <c r="L761" s="311">
        <f>+SUMIF('TUNZ Extracted TB'!M:M,$P761,'TUNZ Extracted TB'!G:G)</f>
        <v>5768.74</v>
      </c>
      <c r="M761" s="311"/>
      <c r="N761" s="311">
        <f>+SUMIF('Input Sheet'!$AE:$AE,P761,'Input Sheet'!$X:$X)</f>
        <v>0</v>
      </c>
      <c r="O761" s="311"/>
      <c r="P761" t="str">
        <f t="shared" si="73"/>
        <v>440-4410</v>
      </c>
      <c r="Q761" s="315" t="str">
        <f t="shared" si="74"/>
        <v>Service</v>
      </c>
      <c r="R761" s="315" t="str">
        <f t="shared" si="75"/>
        <v>ServiceMiscellaneous Gross Profit % of Sales</v>
      </c>
      <c r="S761" s="199"/>
      <c r="T761" s="199"/>
      <c r="U761" s="199"/>
    </row>
    <row r="762" spans="1:21" x14ac:dyDescent="0.25">
      <c r="A762" t="s">
        <v>996</v>
      </c>
      <c r="B762" t="s">
        <v>997</v>
      </c>
      <c r="C762" t="s">
        <v>997</v>
      </c>
      <c r="D762">
        <v>4410</v>
      </c>
      <c r="E762">
        <v>150</v>
      </c>
      <c r="F762" t="s">
        <v>1194</v>
      </c>
      <c r="G762" t="s">
        <v>1195</v>
      </c>
      <c r="H762" s="315" t="s">
        <v>145</v>
      </c>
      <c r="I762" s="315" t="s">
        <v>1196</v>
      </c>
      <c r="J762" s="315" t="str">
        <f t="shared" si="71"/>
        <v>Retail DetailingMiscellaneous Gross Profit % of Sales</v>
      </c>
      <c r="K762" s="315" t="str">
        <f t="shared" si="72"/>
        <v>150Service Miscellaneous COS - Toyota</v>
      </c>
      <c r="L762" s="311">
        <f>+SUMIF('TUNZ Extracted TB'!M:M,$P762,'TUNZ Extracted TB'!G:G)</f>
        <v>2762.01</v>
      </c>
      <c r="M762" s="311"/>
      <c r="N762" s="311">
        <f>+SUMIF('Input Sheet'!$AE:$AE,P762,'Input Sheet'!$X:$X)</f>
        <v>0</v>
      </c>
      <c r="O762" s="311"/>
      <c r="P762" t="str">
        <f t="shared" si="73"/>
        <v>150-4410</v>
      </c>
      <c r="Q762" s="315" t="str">
        <f t="shared" si="74"/>
        <v>Retail Detailing</v>
      </c>
      <c r="R762" s="315" t="str">
        <f t="shared" si="75"/>
        <v>Retail DetailingMiscellaneous Gross Profit % of Sales</v>
      </c>
      <c r="S762" s="199"/>
      <c r="T762" s="199"/>
      <c r="U762" s="199"/>
    </row>
    <row r="763" spans="1:21" x14ac:dyDescent="0.25">
      <c r="A763" t="s">
        <v>996</v>
      </c>
      <c r="B763" t="s">
        <v>997</v>
      </c>
      <c r="C763" t="s">
        <v>997</v>
      </c>
      <c r="D763">
        <v>4410</v>
      </c>
      <c r="E763">
        <v>140</v>
      </c>
      <c r="F763" t="s">
        <v>1194</v>
      </c>
      <c r="G763" t="s">
        <v>1195</v>
      </c>
      <c r="H763" s="315" t="s">
        <v>17</v>
      </c>
      <c r="I763" s="315" t="s">
        <v>1196</v>
      </c>
      <c r="J763" s="315" t="str">
        <f t="shared" si="71"/>
        <v>ServiceMiscellaneous Gross Profit % of Sales</v>
      </c>
      <c r="K763" s="315" t="str">
        <f t="shared" si="72"/>
        <v>140Service Miscellaneous COS - Toyota</v>
      </c>
      <c r="L763" s="311">
        <f>+SUMIF('TUNZ Extracted TB'!M:M,$P763,'TUNZ Extracted TB'!G:G)</f>
        <v>9278.17</v>
      </c>
      <c r="M763" s="311"/>
      <c r="N763" s="311">
        <f>+SUMIF('Input Sheet'!$AE:$AE,P763,'Input Sheet'!$X:$X)</f>
        <v>0</v>
      </c>
      <c r="O763" s="311"/>
      <c r="P763" t="str">
        <f t="shared" si="73"/>
        <v>140-4410</v>
      </c>
      <c r="Q763" s="315" t="str">
        <f t="shared" si="74"/>
        <v>Service</v>
      </c>
      <c r="R763" s="315" t="str">
        <f t="shared" si="75"/>
        <v>ServiceMiscellaneous Gross Profit % of Sales</v>
      </c>
      <c r="S763" s="199"/>
      <c r="T763" s="199"/>
      <c r="U763" s="199"/>
    </row>
    <row r="764" spans="1:21" x14ac:dyDescent="0.25">
      <c r="A764" t="s">
        <v>996</v>
      </c>
      <c r="B764" t="s">
        <v>997</v>
      </c>
      <c r="C764" t="s">
        <v>997</v>
      </c>
      <c r="D764">
        <v>4410</v>
      </c>
      <c r="E764">
        <v>142</v>
      </c>
      <c r="F764" t="s">
        <v>1197</v>
      </c>
      <c r="G764" t="s">
        <v>1198</v>
      </c>
      <c r="H764" s="315" t="s">
        <v>1022</v>
      </c>
      <c r="I764" s="315" t="s">
        <v>1196</v>
      </c>
      <c r="J764" s="315" t="str">
        <f t="shared" si="71"/>
        <v>Lex ServiceMiscellaneous Gross Profit % of Sales</v>
      </c>
      <c r="K764" s="315" t="str">
        <f t="shared" si="72"/>
        <v>142Service Miscellaneous COS - Lexus</v>
      </c>
      <c r="L764" s="311">
        <f>+SUMIF('TUNZ Extracted TB'!M:M,$P764,'TUNZ Extracted TB'!G:G)</f>
        <v>132.22</v>
      </c>
      <c r="M764" s="311"/>
      <c r="N764" s="311">
        <f>+SUMIF('Input Sheet'!$AE:$AE,P764,'Input Sheet'!$X:$X)</f>
        <v>0</v>
      </c>
      <c r="O764" s="311"/>
      <c r="P764" t="str">
        <f t="shared" si="73"/>
        <v>142-4410</v>
      </c>
      <c r="Q764" s="315" t="str">
        <f t="shared" si="74"/>
        <v>Lex Service</v>
      </c>
      <c r="R764" s="315" t="str">
        <f t="shared" si="75"/>
        <v>Lex ServiceMiscellaneous Gross Profit % of Sales</v>
      </c>
      <c r="S764" s="199"/>
      <c r="T764" s="199"/>
      <c r="U764" s="199"/>
    </row>
    <row r="765" spans="1:21" x14ac:dyDescent="0.25">
      <c r="A765" t="s">
        <v>996</v>
      </c>
      <c r="B765" t="s">
        <v>997</v>
      </c>
      <c r="C765" t="s">
        <v>997</v>
      </c>
      <c r="D765">
        <v>4410</v>
      </c>
      <c r="E765">
        <v>147</v>
      </c>
      <c r="F765" t="s">
        <v>1194</v>
      </c>
      <c r="G765" t="s">
        <v>1195</v>
      </c>
      <c r="H765" s="315" t="s">
        <v>17</v>
      </c>
      <c r="I765" s="315" t="s">
        <v>1196</v>
      </c>
      <c r="J765" s="315" t="str">
        <f t="shared" si="71"/>
        <v>ServiceMiscellaneous Gross Profit % of Sales</v>
      </c>
      <c r="K765" s="315" t="str">
        <f t="shared" si="72"/>
        <v>147Service Miscellaneous COS - Toyota</v>
      </c>
      <c r="L765" s="311">
        <f>+SUMIF('TUNZ Extracted TB'!M:M,$P765,'TUNZ Extracted TB'!G:G)</f>
        <v>0</v>
      </c>
      <c r="M765" s="311"/>
      <c r="N765" s="311">
        <f>+SUMIF('Input Sheet'!$AE:$AE,P765,'Input Sheet'!$X:$X)</f>
        <v>0</v>
      </c>
      <c r="O765" s="311"/>
      <c r="P765" t="str">
        <f t="shared" si="73"/>
        <v>147-4410</v>
      </c>
      <c r="Q765" s="315" t="str">
        <f t="shared" si="74"/>
        <v>Service</v>
      </c>
      <c r="R765" s="315" t="str">
        <f t="shared" si="75"/>
        <v>ServiceMiscellaneous Gross Profit % of Sales</v>
      </c>
      <c r="S765" s="199"/>
      <c r="T765" s="199"/>
      <c r="U765" s="199"/>
    </row>
    <row r="766" spans="1:21" x14ac:dyDescent="0.25">
      <c r="A766" t="s">
        <v>996</v>
      </c>
      <c r="B766" t="s">
        <v>997</v>
      </c>
      <c r="C766" t="s">
        <v>1005</v>
      </c>
      <c r="D766">
        <v>4410</v>
      </c>
      <c r="E766">
        <v>240</v>
      </c>
      <c r="F766" t="s">
        <v>1194</v>
      </c>
      <c r="G766" t="s">
        <v>1195</v>
      </c>
      <c r="H766" s="315" t="s">
        <v>17</v>
      </c>
      <c r="I766" s="315" t="s">
        <v>1196</v>
      </c>
      <c r="J766" s="315" t="str">
        <f t="shared" si="71"/>
        <v>ServiceMiscellaneous Gross Profit % of Sales</v>
      </c>
      <c r="K766" s="315" t="str">
        <f t="shared" si="72"/>
        <v>240Service Miscellaneous COS - Toyota</v>
      </c>
      <c r="L766" s="311">
        <f>+SUMIF('TUNZ Extracted TB'!M:M,$P766,'TUNZ Extracted TB'!G:G)</f>
        <v>205.81</v>
      </c>
      <c r="M766" s="311"/>
      <c r="N766" s="311">
        <f>+SUMIF('Input Sheet'!$AE:$AE,P766,'Input Sheet'!$X:$X)</f>
        <v>0</v>
      </c>
      <c r="O766" s="311"/>
      <c r="P766" t="str">
        <f t="shared" si="73"/>
        <v>240-4410</v>
      </c>
      <c r="Q766" s="315" t="str">
        <f t="shared" si="74"/>
        <v>Service</v>
      </c>
      <c r="R766" s="315" t="str">
        <f t="shared" si="75"/>
        <v>ServiceMiscellaneous Gross Profit % of Sales</v>
      </c>
      <c r="S766" s="199"/>
      <c r="T766" s="199"/>
      <c r="U766" s="199"/>
    </row>
    <row r="767" spans="1:21" x14ac:dyDescent="0.25">
      <c r="A767" t="s">
        <v>996</v>
      </c>
      <c r="B767" t="s">
        <v>997</v>
      </c>
      <c r="C767" t="s">
        <v>1013</v>
      </c>
      <c r="D767">
        <v>4410</v>
      </c>
      <c r="E767">
        <v>340</v>
      </c>
      <c r="F767" t="s">
        <v>1194</v>
      </c>
      <c r="G767" t="s">
        <v>1195</v>
      </c>
      <c r="H767" s="315" t="s">
        <v>17</v>
      </c>
      <c r="I767" s="315" t="s">
        <v>1196</v>
      </c>
      <c r="J767" s="315" t="str">
        <f t="shared" si="71"/>
        <v>ServiceMiscellaneous Gross Profit % of Sales</v>
      </c>
      <c r="K767" s="315" t="str">
        <f t="shared" si="72"/>
        <v>340Service Miscellaneous COS - Toyota</v>
      </c>
      <c r="L767" s="311">
        <f>+SUMIF('TUNZ Extracted TB'!M:M,$P767,'TUNZ Extracted TB'!G:G)</f>
        <v>68.61</v>
      </c>
      <c r="M767" s="311"/>
      <c r="N767" s="311">
        <f>+SUMIF('Input Sheet'!$AE:$AE,P767,'Input Sheet'!$X:$X)</f>
        <v>0</v>
      </c>
      <c r="O767" s="311"/>
      <c r="P767" t="str">
        <f t="shared" si="73"/>
        <v>340-4410</v>
      </c>
      <c r="Q767" s="315" t="str">
        <f t="shared" si="74"/>
        <v>Service</v>
      </c>
      <c r="R767" s="315" t="str">
        <f t="shared" si="75"/>
        <v>ServiceMiscellaneous Gross Profit % of Sales</v>
      </c>
      <c r="S767" s="199"/>
      <c r="T767" s="199"/>
      <c r="U767" s="199"/>
    </row>
    <row r="768" spans="1:21" x14ac:dyDescent="0.25">
      <c r="A768" t="s">
        <v>996</v>
      </c>
      <c r="B768" t="s">
        <v>997</v>
      </c>
      <c r="C768" t="s">
        <v>997</v>
      </c>
      <c r="D768">
        <v>4430</v>
      </c>
      <c r="E768">
        <v>140</v>
      </c>
      <c r="F768" t="s">
        <v>1194</v>
      </c>
      <c r="G768" t="s">
        <v>1195</v>
      </c>
      <c r="H768" s="315" t="s">
        <v>17</v>
      </c>
      <c r="I768" s="315" t="s">
        <v>1196</v>
      </c>
      <c r="J768" s="315" t="str">
        <f t="shared" si="71"/>
        <v>ServiceMiscellaneous Gross Profit % of Sales</v>
      </c>
      <c r="K768" s="315" t="str">
        <f t="shared" si="72"/>
        <v>140Service Miscellaneous COS - Toyota</v>
      </c>
      <c r="L768" s="311">
        <f>+SUMIF('TUNZ Extracted TB'!M:M,$P768,'TUNZ Extracted TB'!G:G)</f>
        <v>0</v>
      </c>
      <c r="M768" s="311"/>
      <c r="N768" s="311">
        <f>+SUMIF('Input Sheet'!$AE:$AE,P768,'Input Sheet'!$X:$X)</f>
        <v>34.547356512716718</v>
      </c>
      <c r="O768" s="311"/>
      <c r="P768" t="str">
        <f t="shared" si="73"/>
        <v>140-4430</v>
      </c>
      <c r="Q768" s="315" t="str">
        <f t="shared" si="74"/>
        <v>Service</v>
      </c>
      <c r="R768" s="315" t="str">
        <f t="shared" si="75"/>
        <v>ServiceMiscellaneous Gross Profit % of Sales</v>
      </c>
      <c r="S768" s="199"/>
      <c r="T768" s="199"/>
      <c r="U768" s="199"/>
    </row>
    <row r="769" spans="1:21" x14ac:dyDescent="0.25">
      <c r="A769" t="s">
        <v>996</v>
      </c>
      <c r="B769" t="s">
        <v>997</v>
      </c>
      <c r="C769" t="s">
        <v>997</v>
      </c>
      <c r="D769">
        <v>4430</v>
      </c>
      <c r="E769">
        <v>142</v>
      </c>
      <c r="F769" t="s">
        <v>1197</v>
      </c>
      <c r="G769" t="s">
        <v>1198</v>
      </c>
      <c r="H769" s="315" t="s">
        <v>1022</v>
      </c>
      <c r="I769" s="315" t="s">
        <v>1196</v>
      </c>
      <c r="J769" s="315" t="str">
        <f t="shared" si="71"/>
        <v>Lex ServiceMiscellaneous Gross Profit % of Sales</v>
      </c>
      <c r="K769" s="315" t="str">
        <f t="shared" si="72"/>
        <v>142Service Miscellaneous COS - Lexus</v>
      </c>
      <c r="L769" s="311">
        <f>+SUMIF('TUNZ Extracted TB'!M:M,$P769,'TUNZ Extracted TB'!G:G)</f>
        <v>0</v>
      </c>
      <c r="M769" s="311"/>
      <c r="N769" s="311">
        <f>+SUMIF('Input Sheet'!$AE:$AE,P769,'Input Sheet'!$X:$X)</f>
        <v>5352.8</v>
      </c>
      <c r="O769" s="311"/>
      <c r="P769" t="str">
        <f t="shared" si="73"/>
        <v>142-4430</v>
      </c>
      <c r="Q769" s="315" t="str">
        <f t="shared" si="74"/>
        <v>Lex Service</v>
      </c>
      <c r="R769" s="315" t="str">
        <f t="shared" si="75"/>
        <v>Lex ServiceMiscellaneous Gross Profit % of Sales</v>
      </c>
      <c r="S769" s="199"/>
      <c r="T769" s="199"/>
      <c r="U769" s="199"/>
    </row>
    <row r="770" spans="1:21" x14ac:dyDescent="0.25">
      <c r="A770" t="s">
        <v>996</v>
      </c>
      <c r="B770" t="s">
        <v>997</v>
      </c>
      <c r="C770" t="s">
        <v>1005</v>
      </c>
      <c r="D770">
        <v>4430</v>
      </c>
      <c r="E770">
        <v>240</v>
      </c>
      <c r="F770" t="s">
        <v>1194</v>
      </c>
      <c r="G770" t="s">
        <v>1195</v>
      </c>
      <c r="H770" s="315" t="s">
        <v>17</v>
      </c>
      <c r="I770" s="315" t="s">
        <v>1196</v>
      </c>
      <c r="J770" s="315" t="str">
        <f t="shared" si="71"/>
        <v>ServiceMiscellaneous Gross Profit % of Sales</v>
      </c>
      <c r="K770" s="315" t="str">
        <f t="shared" si="72"/>
        <v>240Service Miscellaneous COS - Toyota</v>
      </c>
      <c r="L770" s="311">
        <f>+SUMIF('TUNZ Extracted TB'!M:M,$P770,'TUNZ Extracted TB'!G:G)</f>
        <v>0</v>
      </c>
      <c r="M770" s="311"/>
      <c r="N770" s="311">
        <f>+SUMIF('Input Sheet'!$AE:$AE,P770,'Input Sheet'!$X:$X)</f>
        <v>0</v>
      </c>
      <c r="O770" s="311"/>
      <c r="P770" t="str">
        <f t="shared" si="73"/>
        <v>240-4430</v>
      </c>
      <c r="Q770" s="315" t="str">
        <f t="shared" si="74"/>
        <v>Service</v>
      </c>
      <c r="R770" s="315" t="str">
        <f t="shared" si="75"/>
        <v>ServiceMiscellaneous Gross Profit % of Sales</v>
      </c>
      <c r="S770" s="199"/>
      <c r="T770" s="199"/>
      <c r="U770" s="199"/>
    </row>
    <row r="771" spans="1:21" x14ac:dyDescent="0.25">
      <c r="A771" t="s">
        <v>996</v>
      </c>
      <c r="B771" t="s">
        <v>997</v>
      </c>
      <c r="C771" t="s">
        <v>1012</v>
      </c>
      <c r="D771">
        <v>4430</v>
      </c>
      <c r="E771">
        <v>440</v>
      </c>
      <c r="F771" t="s">
        <v>1194</v>
      </c>
      <c r="G771" t="s">
        <v>1195</v>
      </c>
      <c r="H771" s="315" t="s">
        <v>17</v>
      </c>
      <c r="I771" s="315" t="s">
        <v>1196</v>
      </c>
      <c r="J771" s="315" t="str">
        <f t="shared" ref="J771:J834" si="76">+H771&amp;I771</f>
        <v>ServiceMiscellaneous Gross Profit % of Sales</v>
      </c>
      <c r="K771" s="315" t="str">
        <f t="shared" ref="K771:K834" si="77">+E771&amp;G771</f>
        <v>440Service Miscellaneous COS - Toyota</v>
      </c>
      <c r="L771" s="311">
        <f>+SUMIF('TUNZ Extracted TB'!M:M,$P771,'TUNZ Extracted TB'!G:G)</f>
        <v>0</v>
      </c>
      <c r="M771" s="311"/>
      <c r="N771" s="311">
        <f>+SUMIF('Input Sheet'!$AE:$AE,P771,'Input Sheet'!$X:$X)</f>
        <v>0</v>
      </c>
      <c r="O771" s="311"/>
      <c r="P771" t="str">
        <f t="shared" ref="P771:P834" si="78">+E771&amp;"-"&amp;D771</f>
        <v>440-4430</v>
      </c>
      <c r="Q771" s="315" t="str">
        <f t="shared" ref="Q771:Q834" si="79">H771</f>
        <v>Service</v>
      </c>
      <c r="R771" s="315" t="str">
        <f t="shared" ref="R771:R834" si="80">J771</f>
        <v>ServiceMiscellaneous Gross Profit % of Sales</v>
      </c>
      <c r="S771" s="199"/>
      <c r="T771" s="199"/>
      <c r="U771" s="199"/>
    </row>
    <row r="772" spans="1:21" x14ac:dyDescent="0.25">
      <c r="A772" t="s">
        <v>996</v>
      </c>
      <c r="B772" t="s">
        <v>997</v>
      </c>
      <c r="C772" t="s">
        <v>1013</v>
      </c>
      <c r="D772">
        <v>4430</v>
      </c>
      <c r="E772">
        <v>340</v>
      </c>
      <c r="F772" t="s">
        <v>1194</v>
      </c>
      <c r="G772" t="s">
        <v>1195</v>
      </c>
      <c r="H772" s="315" t="s">
        <v>17</v>
      </c>
      <c r="I772" s="315" t="s">
        <v>1196</v>
      </c>
      <c r="J772" s="315" t="str">
        <f t="shared" si="76"/>
        <v>ServiceMiscellaneous Gross Profit % of Sales</v>
      </c>
      <c r="K772" s="315" t="str">
        <f t="shared" si="77"/>
        <v>340Service Miscellaneous COS - Toyota</v>
      </c>
      <c r="L772" s="311">
        <f>+SUMIF('TUNZ Extracted TB'!M:M,$P772,'TUNZ Extracted TB'!G:G)</f>
        <v>0</v>
      </c>
      <c r="M772" s="311"/>
      <c r="N772" s="311">
        <f>+SUMIF('Input Sheet'!$AE:$AE,P772,'Input Sheet'!$X:$X)</f>
        <v>53.181279135048939</v>
      </c>
      <c r="O772" s="311"/>
      <c r="P772" t="str">
        <f t="shared" si="78"/>
        <v>340-4430</v>
      </c>
      <c r="Q772" s="315" t="str">
        <f t="shared" si="79"/>
        <v>Service</v>
      </c>
      <c r="R772" s="315" t="str">
        <f t="shared" si="80"/>
        <v>ServiceMiscellaneous Gross Profit % of Sales</v>
      </c>
      <c r="S772" s="199"/>
      <c r="T772" s="199"/>
      <c r="U772" s="199"/>
    </row>
    <row r="773" spans="1:21" x14ac:dyDescent="0.25">
      <c r="A773" t="s">
        <v>996</v>
      </c>
      <c r="B773" t="s">
        <v>997</v>
      </c>
      <c r="C773" t="s">
        <v>997</v>
      </c>
      <c r="D773">
        <v>4430</v>
      </c>
      <c r="E773">
        <v>147</v>
      </c>
      <c r="F773" t="s">
        <v>1194</v>
      </c>
      <c r="G773" t="s">
        <v>1195</v>
      </c>
      <c r="H773" s="315" t="s">
        <v>17</v>
      </c>
      <c r="I773" s="315" t="s">
        <v>1196</v>
      </c>
      <c r="J773" s="315" t="str">
        <f t="shared" si="76"/>
        <v>ServiceMiscellaneous Gross Profit % of Sales</v>
      </c>
      <c r="K773" s="315" t="str">
        <f t="shared" si="77"/>
        <v>147Service Miscellaneous COS - Toyota</v>
      </c>
      <c r="L773" s="311">
        <f>+SUMIF('TUNZ Extracted TB'!M:M,$P773,'TUNZ Extracted TB'!G:G)</f>
        <v>0</v>
      </c>
      <c r="M773" s="311"/>
      <c r="N773" s="311">
        <f>+SUMIF('Input Sheet'!$AE:$AE,P773,'Input Sheet'!$X:$X)</f>
        <v>0</v>
      </c>
      <c r="O773" s="311"/>
      <c r="P773" t="str">
        <f t="shared" si="78"/>
        <v>147-4430</v>
      </c>
      <c r="Q773" s="315" t="str">
        <f t="shared" si="79"/>
        <v>Service</v>
      </c>
      <c r="R773" s="315" t="str">
        <f t="shared" si="80"/>
        <v>ServiceMiscellaneous Gross Profit % of Sales</v>
      </c>
      <c r="S773" s="199"/>
      <c r="T773" s="199"/>
      <c r="U773" s="199"/>
    </row>
    <row r="774" spans="1:21" x14ac:dyDescent="0.25">
      <c r="A774" t="s">
        <v>996</v>
      </c>
      <c r="B774" t="s">
        <v>997</v>
      </c>
      <c r="C774" t="s">
        <v>1005</v>
      </c>
      <c r="D774">
        <v>4465</v>
      </c>
      <c r="E774">
        <v>230</v>
      </c>
      <c r="F774" t="s">
        <v>1199</v>
      </c>
      <c r="G774" t="s">
        <v>1200</v>
      </c>
      <c r="H774" s="315" t="s">
        <v>5</v>
      </c>
      <c r="I774" s="315" t="s">
        <v>1201</v>
      </c>
      <c r="J774" s="315" t="str">
        <f t="shared" si="76"/>
        <v>PartsCounter Sales Gross Profit % of Sales</v>
      </c>
      <c r="K774" s="315" t="str">
        <f t="shared" si="77"/>
        <v>230Parts Counter COS - Toyota</v>
      </c>
      <c r="L774" s="311">
        <f>+SUMIF('TUNZ Extracted TB'!M:M,$P774,'TUNZ Extracted TB'!G:G)</f>
        <v>71851.649999999994</v>
      </c>
      <c r="M774" s="311"/>
      <c r="N774" s="311">
        <f>+SUMIF('Input Sheet'!$AE:$AE,P774,'Input Sheet'!$X:$X)</f>
        <v>85716.034879936109</v>
      </c>
      <c r="O774" s="311"/>
      <c r="P774" t="str">
        <f t="shared" si="78"/>
        <v>230-4465</v>
      </c>
      <c r="Q774" s="315" t="str">
        <f t="shared" si="79"/>
        <v>Parts</v>
      </c>
      <c r="R774" s="315" t="str">
        <f t="shared" si="80"/>
        <v>PartsCounter Sales Gross Profit % of Sales</v>
      </c>
      <c r="S774" s="199" t="s">
        <v>1202</v>
      </c>
      <c r="T774" s="199">
        <v>12</v>
      </c>
      <c r="U774" s="199">
        <v>1</v>
      </c>
    </row>
    <row r="775" spans="1:21" x14ac:dyDescent="0.25">
      <c r="A775" t="s">
        <v>996</v>
      </c>
      <c r="B775" t="s">
        <v>997</v>
      </c>
      <c r="C775" t="s">
        <v>997</v>
      </c>
      <c r="D775">
        <v>4465</v>
      </c>
      <c r="E775">
        <v>935</v>
      </c>
      <c r="F775" t="s">
        <v>1175</v>
      </c>
      <c r="G775" t="s">
        <v>1176</v>
      </c>
      <c r="H775" s="315" t="s">
        <v>58</v>
      </c>
      <c r="I775" s="315" t="s">
        <v>1201</v>
      </c>
      <c r="J775" s="315" t="str">
        <f t="shared" si="76"/>
        <v>BridgestoneCounter Sales Gross Profit % of Sales</v>
      </c>
      <c r="K775" s="315" t="str">
        <f t="shared" si="77"/>
        <v>935Other franchise/business expense</v>
      </c>
      <c r="L775" s="311">
        <f>+SUMIF('TUNZ Extracted TB'!M:M,$P775,'TUNZ Extracted TB'!G:G)</f>
        <v>62441.18</v>
      </c>
      <c r="M775" s="311"/>
      <c r="N775" s="311">
        <f>+SUMIF('Input Sheet'!$AE:$AE,P775,'Input Sheet'!$X:$X)</f>
        <v>81735.624164522669</v>
      </c>
      <c r="O775" s="311"/>
      <c r="P775" t="str">
        <f t="shared" si="78"/>
        <v>935-4465</v>
      </c>
      <c r="Q775" s="315" t="str">
        <f t="shared" si="79"/>
        <v>Bridgestone</v>
      </c>
      <c r="R775" s="315" t="str">
        <f t="shared" si="80"/>
        <v>BridgestoneCounter Sales Gross Profit % of Sales</v>
      </c>
      <c r="S775" s="199" t="s">
        <v>1203</v>
      </c>
      <c r="T775" s="199">
        <v>1</v>
      </c>
      <c r="U775" s="199">
        <v>2</v>
      </c>
    </row>
    <row r="776" spans="1:21" x14ac:dyDescent="0.25">
      <c r="A776" t="s">
        <v>996</v>
      </c>
      <c r="B776" t="s">
        <v>997</v>
      </c>
      <c r="C776" t="s">
        <v>997</v>
      </c>
      <c r="D776">
        <v>4465</v>
      </c>
      <c r="E776">
        <v>936</v>
      </c>
      <c r="F776" t="s">
        <v>1175</v>
      </c>
      <c r="G776" t="s">
        <v>1176</v>
      </c>
      <c r="H776" s="315" t="s">
        <v>58</v>
      </c>
      <c r="I776" s="315" t="s">
        <v>1201</v>
      </c>
      <c r="J776" s="315" t="str">
        <f t="shared" si="76"/>
        <v>BridgestoneCounter Sales Gross Profit % of Sales</v>
      </c>
      <c r="K776" s="315" t="str">
        <f t="shared" si="77"/>
        <v>936Other franchise/business expense</v>
      </c>
      <c r="L776" s="311">
        <f>+SUMIF('TUNZ Extracted TB'!M:M,$P776,'TUNZ Extracted TB'!G:G)</f>
        <v>38020.79</v>
      </c>
      <c r="M776" s="311"/>
      <c r="N776" s="311">
        <f>+SUMIF('Input Sheet'!$AE:$AE,P776,'Input Sheet'!$X:$X)</f>
        <v>32694.249665809071</v>
      </c>
      <c r="O776" s="311"/>
      <c r="P776" t="str">
        <f t="shared" si="78"/>
        <v>936-4465</v>
      </c>
      <c r="Q776" s="315" t="str">
        <f t="shared" si="79"/>
        <v>Bridgestone</v>
      </c>
      <c r="R776" s="315" t="str">
        <f t="shared" si="80"/>
        <v>BridgestoneCounter Sales Gross Profit % of Sales</v>
      </c>
      <c r="S776" s="199"/>
      <c r="T776" s="199"/>
      <c r="U776" s="199"/>
    </row>
    <row r="777" spans="1:21" x14ac:dyDescent="0.25">
      <c r="A777" t="s">
        <v>996</v>
      </c>
      <c r="B777" t="s">
        <v>997</v>
      </c>
      <c r="C777" t="s">
        <v>1013</v>
      </c>
      <c r="D777">
        <v>4465</v>
      </c>
      <c r="E777">
        <v>330</v>
      </c>
      <c r="F777" t="s">
        <v>1199</v>
      </c>
      <c r="G777" t="s">
        <v>1200</v>
      </c>
      <c r="H777" s="315" t="s">
        <v>5</v>
      </c>
      <c r="I777" s="315" t="s">
        <v>1201</v>
      </c>
      <c r="J777" s="315" t="str">
        <f t="shared" si="76"/>
        <v>PartsCounter Sales Gross Profit % of Sales</v>
      </c>
      <c r="K777" s="315" t="str">
        <f t="shared" si="77"/>
        <v>330Parts Counter COS - Toyota</v>
      </c>
      <c r="L777" s="311">
        <f>+SUMIF('TUNZ Extracted TB'!M:M,$P777,'TUNZ Extracted TB'!G:G)</f>
        <v>30761.58</v>
      </c>
      <c r="M777" s="311"/>
      <c r="N777" s="311">
        <f>+SUMIF('Input Sheet'!$AE:$AE,P777,'Input Sheet'!$X:$X)</f>
        <v>18552.689489778415</v>
      </c>
      <c r="O777" s="311"/>
      <c r="P777" t="str">
        <f t="shared" si="78"/>
        <v>330-4465</v>
      </c>
      <c r="Q777" s="315" t="str">
        <f t="shared" si="79"/>
        <v>Parts</v>
      </c>
      <c r="R777" s="315" t="str">
        <f t="shared" si="80"/>
        <v>PartsCounter Sales Gross Profit % of Sales</v>
      </c>
      <c r="S777" s="199"/>
      <c r="T777" s="199"/>
      <c r="U777" s="199"/>
    </row>
    <row r="778" spans="1:21" x14ac:dyDescent="0.25">
      <c r="A778" t="s">
        <v>996</v>
      </c>
      <c r="B778" t="s">
        <v>997</v>
      </c>
      <c r="C778" t="s">
        <v>1012</v>
      </c>
      <c r="D778">
        <v>4465</v>
      </c>
      <c r="E778">
        <v>430</v>
      </c>
      <c r="F778" t="s">
        <v>1199</v>
      </c>
      <c r="G778" t="s">
        <v>1200</v>
      </c>
      <c r="H778" s="315" t="s">
        <v>5</v>
      </c>
      <c r="I778" s="315" t="s">
        <v>1201</v>
      </c>
      <c r="J778" s="315" t="str">
        <f t="shared" si="76"/>
        <v>PartsCounter Sales Gross Profit % of Sales</v>
      </c>
      <c r="K778" s="315" t="str">
        <f t="shared" si="77"/>
        <v>430Parts Counter COS - Toyota</v>
      </c>
      <c r="L778" s="311">
        <f>+SUMIF('TUNZ Extracted TB'!M:M,$P778,'TUNZ Extracted TB'!G:G)</f>
        <v>18963.66</v>
      </c>
      <c r="M778" s="311"/>
      <c r="N778" s="311">
        <f>+SUMIF('Input Sheet'!$AE:$AE,P778,'Input Sheet'!$X:$X)</f>
        <v>17086.706069517335</v>
      </c>
      <c r="O778" s="311"/>
      <c r="P778" t="str">
        <f t="shared" si="78"/>
        <v>430-4465</v>
      </c>
      <c r="Q778" s="315" t="str">
        <f t="shared" si="79"/>
        <v>Parts</v>
      </c>
      <c r="R778" s="315" t="str">
        <f t="shared" si="80"/>
        <v>PartsCounter Sales Gross Profit % of Sales</v>
      </c>
      <c r="S778" s="199"/>
      <c r="T778" s="199"/>
      <c r="U778" s="199"/>
    </row>
    <row r="779" spans="1:21" x14ac:dyDescent="0.25">
      <c r="A779" t="s">
        <v>996</v>
      </c>
      <c r="B779" t="s">
        <v>997</v>
      </c>
      <c r="C779" t="s">
        <v>997</v>
      </c>
      <c r="D779">
        <v>4465</v>
      </c>
      <c r="E779">
        <v>130</v>
      </c>
      <c r="F779" t="s">
        <v>1199</v>
      </c>
      <c r="G779" t="s">
        <v>1200</v>
      </c>
      <c r="H779" s="315" t="s">
        <v>5</v>
      </c>
      <c r="I779" s="315" t="s">
        <v>1201</v>
      </c>
      <c r="J779" s="315" t="str">
        <f t="shared" si="76"/>
        <v>PartsCounter Sales Gross Profit % of Sales</v>
      </c>
      <c r="K779" s="315" t="str">
        <f t="shared" si="77"/>
        <v>130Parts Counter COS - Toyota</v>
      </c>
      <c r="L779" s="311">
        <f>+SUMIF('TUNZ Extracted TB'!M:M,$P779,'TUNZ Extracted TB'!G:G)</f>
        <v>63705.75</v>
      </c>
      <c r="M779" s="311"/>
      <c r="N779" s="311">
        <f>+SUMIF('Input Sheet'!$AE:$AE,P779,'Input Sheet'!$X:$X)</f>
        <v>77797.157436775102</v>
      </c>
      <c r="O779" s="311"/>
      <c r="P779" t="str">
        <f t="shared" si="78"/>
        <v>130-4465</v>
      </c>
      <c r="Q779" s="315" t="str">
        <f t="shared" si="79"/>
        <v>Parts</v>
      </c>
      <c r="R779" s="315" t="str">
        <f t="shared" si="80"/>
        <v>PartsCounter Sales Gross Profit % of Sales</v>
      </c>
      <c r="S779" s="199" t="s">
        <v>1204</v>
      </c>
      <c r="T779" s="199">
        <v>2</v>
      </c>
      <c r="U779" s="199">
        <v>3</v>
      </c>
    </row>
    <row r="780" spans="1:21" x14ac:dyDescent="0.25">
      <c r="A780" t="s">
        <v>996</v>
      </c>
      <c r="B780" t="s">
        <v>997</v>
      </c>
      <c r="C780" t="s">
        <v>997</v>
      </c>
      <c r="D780">
        <v>4465</v>
      </c>
      <c r="E780">
        <v>132</v>
      </c>
      <c r="F780" t="s">
        <v>1205</v>
      </c>
      <c r="G780" t="s">
        <v>1206</v>
      </c>
      <c r="H780" s="315" t="s">
        <v>143</v>
      </c>
      <c r="I780" s="315" t="s">
        <v>1122</v>
      </c>
      <c r="J780" s="315" t="str">
        <f t="shared" si="76"/>
        <v>LEX PartsCounter Sales %  Sales</v>
      </c>
      <c r="K780" s="315" t="str">
        <f t="shared" si="77"/>
        <v>132Parts Counter COS - Lexus</v>
      </c>
      <c r="L780" s="311">
        <f>+SUMIF('TUNZ Extracted TB'!M:M,$P780,'TUNZ Extracted TB'!G:G)</f>
        <v>0</v>
      </c>
      <c r="M780" s="311"/>
      <c r="N780" s="311">
        <f>+SUMIF('Input Sheet'!$AE:$AE,P780,'Input Sheet'!$X:$X)</f>
        <v>0</v>
      </c>
      <c r="O780" s="311"/>
      <c r="P780" t="str">
        <f t="shared" si="78"/>
        <v>132-4465</v>
      </c>
      <c r="Q780" s="315" t="str">
        <f t="shared" si="79"/>
        <v>LEX Parts</v>
      </c>
      <c r="R780" s="315" t="str">
        <f t="shared" si="80"/>
        <v>LEX PartsCounter Sales %  Sales</v>
      </c>
      <c r="S780" s="199"/>
      <c r="T780" s="199"/>
      <c r="U780" s="199"/>
    </row>
    <row r="781" spans="1:21" x14ac:dyDescent="0.25">
      <c r="A781" t="s">
        <v>996</v>
      </c>
      <c r="B781" t="s">
        <v>997</v>
      </c>
      <c r="C781" t="s">
        <v>1005</v>
      </c>
      <c r="D781">
        <v>4466</v>
      </c>
      <c r="E781">
        <v>230</v>
      </c>
      <c r="F781" t="s">
        <v>1207</v>
      </c>
      <c r="G781" t="s">
        <v>1208</v>
      </c>
      <c r="H781" s="315" t="s">
        <v>5</v>
      </c>
      <c r="I781" s="315" t="s">
        <v>1209</v>
      </c>
      <c r="J781" s="315" t="str">
        <f t="shared" si="76"/>
        <v>PartsTrade Sales Gross Profit % of Sales</v>
      </c>
      <c r="K781" s="315" t="str">
        <f t="shared" si="77"/>
        <v>230Parts Trade COS - Toyota</v>
      </c>
      <c r="L781" s="311">
        <f>+SUMIF('TUNZ Extracted TB'!M:M,$P781,'TUNZ Extracted TB'!G:G)</f>
        <v>71277.47</v>
      </c>
      <c r="M781" s="311"/>
      <c r="N781" s="311">
        <f>+SUMIF('Input Sheet'!$AE:$AE,P781,'Input Sheet'!$X:$X)</f>
        <v>116188.7293195761</v>
      </c>
      <c r="O781" s="311"/>
      <c r="P781" t="str">
        <f t="shared" si="78"/>
        <v>230-4466</v>
      </c>
      <c r="Q781" s="315" t="str">
        <f t="shared" si="79"/>
        <v>Parts</v>
      </c>
      <c r="R781" s="315" t="str">
        <f t="shared" si="80"/>
        <v>PartsTrade Sales Gross Profit % of Sales</v>
      </c>
      <c r="S781" s="199"/>
      <c r="T781" s="199"/>
      <c r="U781" s="199"/>
    </row>
    <row r="782" spans="1:21" x14ac:dyDescent="0.25">
      <c r="A782" t="s">
        <v>996</v>
      </c>
      <c r="B782" t="s">
        <v>997</v>
      </c>
      <c r="C782" t="s">
        <v>1013</v>
      </c>
      <c r="D782">
        <v>4466</v>
      </c>
      <c r="E782">
        <v>330</v>
      </c>
      <c r="F782" t="s">
        <v>1207</v>
      </c>
      <c r="G782" t="s">
        <v>1208</v>
      </c>
      <c r="H782" s="315" t="s">
        <v>5</v>
      </c>
      <c r="I782" s="315" t="s">
        <v>1209</v>
      </c>
      <c r="J782" s="315" t="str">
        <f t="shared" si="76"/>
        <v>PartsTrade Sales Gross Profit % of Sales</v>
      </c>
      <c r="K782" s="315" t="str">
        <f t="shared" si="77"/>
        <v>330Parts Trade COS - Toyota</v>
      </c>
      <c r="L782" s="311">
        <f>+SUMIF('TUNZ Extracted TB'!M:M,$P782,'TUNZ Extracted TB'!G:G)</f>
        <v>35324.82</v>
      </c>
      <c r="M782" s="311"/>
      <c r="N782" s="311">
        <f>+SUMIF('Input Sheet'!$AE:$AE,P782,'Input Sheet'!$X:$X)</f>
        <v>41263.24287580543</v>
      </c>
      <c r="O782" s="311"/>
      <c r="P782" t="str">
        <f t="shared" si="78"/>
        <v>330-4466</v>
      </c>
      <c r="Q782" s="315" t="str">
        <f t="shared" si="79"/>
        <v>Parts</v>
      </c>
      <c r="R782" s="315" t="str">
        <f t="shared" si="80"/>
        <v>PartsTrade Sales Gross Profit % of Sales</v>
      </c>
      <c r="S782" s="199" t="s">
        <v>1210</v>
      </c>
      <c r="T782" s="199">
        <v>10</v>
      </c>
      <c r="U782" s="199">
        <v>11</v>
      </c>
    </row>
    <row r="783" spans="1:21" x14ac:dyDescent="0.25">
      <c r="A783" t="s">
        <v>996</v>
      </c>
      <c r="B783" t="s">
        <v>997</v>
      </c>
      <c r="C783" t="s">
        <v>997</v>
      </c>
      <c r="D783">
        <v>4466</v>
      </c>
      <c r="E783">
        <v>936</v>
      </c>
      <c r="F783" t="s">
        <v>1175</v>
      </c>
      <c r="G783" t="s">
        <v>1176</v>
      </c>
      <c r="H783" s="315" t="s">
        <v>58</v>
      </c>
      <c r="I783" s="315" t="s">
        <v>1209</v>
      </c>
      <c r="J783" s="315" t="str">
        <f t="shared" si="76"/>
        <v>BridgestoneTrade Sales Gross Profit % of Sales</v>
      </c>
      <c r="K783" s="315" t="str">
        <f t="shared" si="77"/>
        <v>936Other franchise/business expense</v>
      </c>
      <c r="L783" s="311">
        <f>+SUMIF('TUNZ Extracted TB'!M:M,$P783,'TUNZ Extracted TB'!G:G)</f>
        <v>5610</v>
      </c>
      <c r="M783" s="311"/>
      <c r="N783" s="311">
        <f>+SUMIF('Input Sheet'!$AE:$AE,P783,'Input Sheet'!$X:$X)</f>
        <v>4359.2332887745433</v>
      </c>
      <c r="O783" s="311"/>
      <c r="P783" t="str">
        <f t="shared" si="78"/>
        <v>936-4466</v>
      </c>
      <c r="Q783" s="315" t="str">
        <f t="shared" si="79"/>
        <v>Bridgestone</v>
      </c>
      <c r="R783" s="315" t="str">
        <f t="shared" si="80"/>
        <v>BridgestoneTrade Sales Gross Profit % of Sales</v>
      </c>
      <c r="S783" s="199"/>
      <c r="T783" s="199"/>
      <c r="U783" s="199"/>
    </row>
    <row r="784" spans="1:21" x14ac:dyDescent="0.25">
      <c r="A784" t="s">
        <v>996</v>
      </c>
      <c r="B784" t="s">
        <v>997</v>
      </c>
      <c r="C784" t="s">
        <v>1012</v>
      </c>
      <c r="D784">
        <v>4466</v>
      </c>
      <c r="E784">
        <v>430</v>
      </c>
      <c r="F784" t="s">
        <v>1207</v>
      </c>
      <c r="G784" t="s">
        <v>1208</v>
      </c>
      <c r="H784" s="315" t="s">
        <v>5</v>
      </c>
      <c r="I784" s="315" t="s">
        <v>1209</v>
      </c>
      <c r="J784" s="315" t="str">
        <f t="shared" si="76"/>
        <v>PartsTrade Sales Gross Profit % of Sales</v>
      </c>
      <c r="K784" s="315" t="str">
        <f t="shared" si="77"/>
        <v>430Parts Trade COS - Toyota</v>
      </c>
      <c r="L784" s="311">
        <f>+SUMIF('TUNZ Extracted TB'!M:M,$P784,'TUNZ Extracted TB'!G:G)</f>
        <v>4034.29</v>
      </c>
      <c r="M784" s="311"/>
      <c r="N784" s="311">
        <f>+SUMIF('Input Sheet'!$AE:$AE,P784,'Input Sheet'!$X:$X)</f>
        <v>2634.7699920880505</v>
      </c>
      <c r="O784" s="311"/>
      <c r="P784" t="str">
        <f t="shared" si="78"/>
        <v>430-4466</v>
      </c>
      <c r="Q784" s="315" t="str">
        <f t="shared" si="79"/>
        <v>Parts</v>
      </c>
      <c r="R784" s="315" t="str">
        <f t="shared" si="80"/>
        <v>PartsTrade Sales Gross Profit % of Sales</v>
      </c>
      <c r="S784" s="199"/>
      <c r="T784" s="199"/>
      <c r="U784" s="199"/>
    </row>
    <row r="785" spans="1:21" x14ac:dyDescent="0.25">
      <c r="A785" t="s">
        <v>996</v>
      </c>
      <c r="B785" t="s">
        <v>997</v>
      </c>
      <c r="C785" t="s">
        <v>997</v>
      </c>
      <c r="D785">
        <v>4466</v>
      </c>
      <c r="E785">
        <v>935</v>
      </c>
      <c r="F785" t="s">
        <v>1175</v>
      </c>
      <c r="G785" t="s">
        <v>1176</v>
      </c>
      <c r="H785" s="315" t="s">
        <v>58</v>
      </c>
      <c r="I785" s="315" t="s">
        <v>1209</v>
      </c>
      <c r="J785" s="315" t="str">
        <f t="shared" si="76"/>
        <v>BridgestoneTrade Sales Gross Profit % of Sales</v>
      </c>
      <c r="K785" s="315" t="str">
        <f t="shared" si="77"/>
        <v>935Other franchise/business expense</v>
      </c>
      <c r="L785" s="311">
        <f>+SUMIF('TUNZ Extracted TB'!M:M,$P785,'TUNZ Extracted TB'!G:G)</f>
        <v>3147.28</v>
      </c>
      <c r="M785" s="311"/>
      <c r="N785" s="311">
        <f>+SUMIF('Input Sheet'!$AE:$AE,P785,'Input Sheet'!$X:$X)</f>
        <v>10898.083221936358</v>
      </c>
      <c r="O785" s="311"/>
      <c r="P785" t="str">
        <f t="shared" si="78"/>
        <v>935-4466</v>
      </c>
      <c r="Q785" s="315" t="str">
        <f t="shared" si="79"/>
        <v>Bridgestone</v>
      </c>
      <c r="R785" s="315" t="str">
        <f t="shared" si="80"/>
        <v>BridgestoneTrade Sales Gross Profit % of Sales</v>
      </c>
      <c r="S785" s="199"/>
      <c r="T785" s="199"/>
      <c r="U785" s="199"/>
    </row>
    <row r="786" spans="1:21" x14ac:dyDescent="0.25">
      <c r="A786" t="s">
        <v>996</v>
      </c>
      <c r="B786" t="s">
        <v>997</v>
      </c>
      <c r="C786" t="s">
        <v>997</v>
      </c>
      <c r="D786">
        <v>4466</v>
      </c>
      <c r="E786">
        <v>130</v>
      </c>
      <c r="F786" t="s">
        <v>1207</v>
      </c>
      <c r="G786" t="s">
        <v>1208</v>
      </c>
      <c r="H786" s="315" t="s">
        <v>5</v>
      </c>
      <c r="I786" s="315" t="s">
        <v>1209</v>
      </c>
      <c r="J786" s="315" t="str">
        <f t="shared" si="76"/>
        <v>PartsTrade Sales Gross Profit % of Sales</v>
      </c>
      <c r="K786" s="315" t="str">
        <f t="shared" si="77"/>
        <v>130Parts Trade COS - Toyota</v>
      </c>
      <c r="L786" s="311">
        <f>+SUMIF('TUNZ Extracted TB'!M:M,$P786,'TUNZ Extracted TB'!G:G)</f>
        <v>245721.73</v>
      </c>
      <c r="M786" s="311"/>
      <c r="N786" s="311">
        <f>+SUMIF('Input Sheet'!$AE:$AE,P786,'Input Sheet'!$X:$X)</f>
        <v>262629.94995759538</v>
      </c>
      <c r="O786" s="311"/>
      <c r="P786" t="str">
        <f t="shared" si="78"/>
        <v>130-4466</v>
      </c>
      <c r="Q786" s="315" t="str">
        <f t="shared" si="79"/>
        <v>Parts</v>
      </c>
      <c r="R786" s="315" t="str">
        <f t="shared" si="80"/>
        <v>PartsTrade Sales Gross Profit % of Sales</v>
      </c>
      <c r="S786" s="199"/>
      <c r="T786" s="199"/>
      <c r="U786" s="199"/>
    </row>
    <row r="787" spans="1:21" x14ac:dyDescent="0.25">
      <c r="A787" t="s">
        <v>996</v>
      </c>
      <c r="B787" t="s">
        <v>997</v>
      </c>
      <c r="C787" t="s">
        <v>997</v>
      </c>
      <c r="D787">
        <v>4466</v>
      </c>
      <c r="E787">
        <v>132</v>
      </c>
      <c r="F787" t="s">
        <v>1211</v>
      </c>
      <c r="G787" t="s">
        <v>1212</v>
      </c>
      <c r="H787" s="315" t="s">
        <v>143</v>
      </c>
      <c r="I787" s="315" t="s">
        <v>1209</v>
      </c>
      <c r="J787" s="315" t="str">
        <f t="shared" si="76"/>
        <v>LEX PartsTrade Sales Gross Profit % of Sales</v>
      </c>
      <c r="K787" s="315" t="str">
        <f t="shared" si="77"/>
        <v>132Parts Trade COS - Lexus</v>
      </c>
      <c r="L787" s="311">
        <f>+SUMIF('TUNZ Extracted TB'!M:M,$P787,'TUNZ Extracted TB'!G:G)</f>
        <v>0</v>
      </c>
      <c r="M787" s="311"/>
      <c r="N787" s="311">
        <f>+SUMIF('Input Sheet'!$AE:$AE,P787,'Input Sheet'!$X:$X)</f>
        <v>0</v>
      </c>
      <c r="O787" s="311"/>
      <c r="P787" t="str">
        <f t="shared" si="78"/>
        <v>132-4466</v>
      </c>
      <c r="Q787" s="315" t="str">
        <f t="shared" si="79"/>
        <v>LEX Parts</v>
      </c>
      <c r="R787" s="315" t="str">
        <f t="shared" si="80"/>
        <v>LEX PartsTrade Sales Gross Profit % of Sales</v>
      </c>
      <c r="S787" s="199"/>
      <c r="T787" s="199"/>
      <c r="U787" s="199"/>
    </row>
    <row r="788" spans="1:21" x14ac:dyDescent="0.25">
      <c r="A788" t="s">
        <v>996</v>
      </c>
      <c r="B788" t="s">
        <v>997</v>
      </c>
      <c r="C788" t="s">
        <v>997</v>
      </c>
      <c r="D788">
        <v>4467</v>
      </c>
      <c r="E788">
        <v>935</v>
      </c>
      <c r="F788" t="s">
        <v>1175</v>
      </c>
      <c r="G788" t="s">
        <v>1176</v>
      </c>
      <c r="H788" s="315" t="s">
        <v>58</v>
      </c>
      <c r="I788" s="315" t="s">
        <v>1209</v>
      </c>
      <c r="J788" s="315" t="str">
        <f t="shared" si="76"/>
        <v>BridgestoneTrade Sales Gross Profit % of Sales</v>
      </c>
      <c r="K788" s="315" t="str">
        <f t="shared" si="77"/>
        <v>935Other franchise/business expense</v>
      </c>
      <c r="L788" s="311">
        <f>+SUMIF('TUNZ Extracted TB'!M:M,$P788,'TUNZ Extracted TB'!G:G)</f>
        <v>4030.71</v>
      </c>
      <c r="M788" s="311"/>
      <c r="N788" s="311">
        <f>+SUMIF('Input Sheet'!$AE:$AE,P788,'Input Sheet'!$X:$X)</f>
        <v>0</v>
      </c>
      <c r="O788" s="311"/>
      <c r="P788" t="str">
        <f t="shared" si="78"/>
        <v>935-4467</v>
      </c>
      <c r="Q788" s="315" t="str">
        <f t="shared" si="79"/>
        <v>Bridgestone</v>
      </c>
      <c r="R788" s="315" t="str">
        <f t="shared" si="80"/>
        <v>BridgestoneTrade Sales Gross Profit % of Sales</v>
      </c>
      <c r="S788" s="199"/>
      <c r="T788" s="199"/>
      <c r="U788" s="199"/>
    </row>
    <row r="789" spans="1:21" x14ac:dyDescent="0.25">
      <c r="A789" t="s">
        <v>996</v>
      </c>
      <c r="B789" t="s">
        <v>997</v>
      </c>
      <c r="C789" t="s">
        <v>1005</v>
      </c>
      <c r="D789">
        <v>4467</v>
      </c>
      <c r="E789">
        <v>230</v>
      </c>
      <c r="F789" t="s">
        <v>1207</v>
      </c>
      <c r="G789" t="s">
        <v>1208</v>
      </c>
      <c r="H789" s="315" t="s">
        <v>5</v>
      </c>
      <c r="I789" s="315" t="s">
        <v>1209</v>
      </c>
      <c r="J789" s="315" t="str">
        <f t="shared" si="76"/>
        <v>PartsTrade Sales Gross Profit % of Sales</v>
      </c>
      <c r="K789" s="315" t="str">
        <f t="shared" si="77"/>
        <v>230Parts Trade COS - Toyota</v>
      </c>
      <c r="L789" s="311">
        <f>+SUMIF('TUNZ Extracted TB'!M:M,$P789,'TUNZ Extracted TB'!G:G)</f>
        <v>341.34</v>
      </c>
      <c r="M789" s="311"/>
      <c r="N789" s="311">
        <f>+SUMIF('Input Sheet'!$AE:$AE,P789,'Input Sheet'!$X:$X)</f>
        <v>0</v>
      </c>
      <c r="O789" s="311"/>
      <c r="P789" t="str">
        <f t="shared" si="78"/>
        <v>230-4467</v>
      </c>
      <c r="Q789" s="315" t="str">
        <f t="shared" si="79"/>
        <v>Parts</v>
      </c>
      <c r="R789" s="315" t="str">
        <f t="shared" si="80"/>
        <v>PartsTrade Sales Gross Profit % of Sales</v>
      </c>
      <c r="S789" s="199"/>
      <c r="T789" s="199"/>
      <c r="U789" s="199"/>
    </row>
    <row r="790" spans="1:21" x14ac:dyDescent="0.25">
      <c r="A790" t="s">
        <v>996</v>
      </c>
      <c r="B790" t="s">
        <v>997</v>
      </c>
      <c r="C790" t="s">
        <v>997</v>
      </c>
      <c r="D790">
        <v>4467</v>
      </c>
      <c r="E790">
        <v>936</v>
      </c>
      <c r="F790" t="s">
        <v>1175</v>
      </c>
      <c r="G790" t="s">
        <v>1176</v>
      </c>
      <c r="H790" s="315" t="s">
        <v>58</v>
      </c>
      <c r="I790" s="315" t="s">
        <v>1209</v>
      </c>
      <c r="J790" s="315" t="str">
        <f t="shared" si="76"/>
        <v>BridgestoneTrade Sales Gross Profit % of Sales</v>
      </c>
      <c r="K790" s="315" t="str">
        <f t="shared" si="77"/>
        <v>936Other franchise/business expense</v>
      </c>
      <c r="L790" s="311">
        <f>+SUMIF('TUNZ Extracted TB'!M:M,$P790,'TUNZ Extracted TB'!G:G)</f>
        <v>1224.49</v>
      </c>
      <c r="M790" s="311"/>
      <c r="N790" s="311">
        <f>+SUMIF('Input Sheet'!$AE:$AE,P790,'Input Sheet'!$X:$X)</f>
        <v>0</v>
      </c>
      <c r="O790" s="311"/>
      <c r="P790" t="str">
        <f t="shared" si="78"/>
        <v>936-4467</v>
      </c>
      <c r="Q790" s="315" t="str">
        <f t="shared" si="79"/>
        <v>Bridgestone</v>
      </c>
      <c r="R790" s="315" t="str">
        <f t="shared" si="80"/>
        <v>BridgestoneTrade Sales Gross Profit % of Sales</v>
      </c>
      <c r="S790" s="199"/>
      <c r="T790" s="199"/>
      <c r="U790" s="199"/>
    </row>
    <row r="791" spans="1:21" x14ac:dyDescent="0.25">
      <c r="A791" t="s">
        <v>996</v>
      </c>
      <c r="B791" t="s">
        <v>997</v>
      </c>
      <c r="C791" t="s">
        <v>997</v>
      </c>
      <c r="D791">
        <v>4467</v>
      </c>
      <c r="E791">
        <v>130</v>
      </c>
      <c r="F791" t="s">
        <v>1207</v>
      </c>
      <c r="G791" t="s">
        <v>1208</v>
      </c>
      <c r="H791" s="315" t="s">
        <v>5</v>
      </c>
      <c r="I791" s="315" t="s">
        <v>1209</v>
      </c>
      <c r="J791" s="315" t="str">
        <f t="shared" si="76"/>
        <v>PartsTrade Sales Gross Profit % of Sales</v>
      </c>
      <c r="K791" s="315" t="str">
        <f t="shared" si="77"/>
        <v>130Parts Trade COS - Toyota</v>
      </c>
      <c r="L791" s="311">
        <f>+SUMIF('TUNZ Extracted TB'!M:M,$P791,'TUNZ Extracted TB'!G:G)</f>
        <v>38257.61</v>
      </c>
      <c r="M791" s="311"/>
      <c r="N791" s="311">
        <f>+SUMIF('Input Sheet'!$AE:$AE,P791,'Input Sheet'!$X:$X)</f>
        <v>0</v>
      </c>
      <c r="O791" s="311"/>
      <c r="P791" t="str">
        <f t="shared" si="78"/>
        <v>130-4467</v>
      </c>
      <c r="Q791" s="315" t="str">
        <f t="shared" si="79"/>
        <v>Parts</v>
      </c>
      <c r="R791" s="315" t="str">
        <f t="shared" si="80"/>
        <v>PartsTrade Sales Gross Profit % of Sales</v>
      </c>
      <c r="S791" s="199" t="s">
        <v>1213</v>
      </c>
      <c r="T791" s="199">
        <v>9</v>
      </c>
      <c r="U791" s="199">
        <v>10</v>
      </c>
    </row>
    <row r="792" spans="1:21" x14ac:dyDescent="0.25">
      <c r="A792" t="s">
        <v>996</v>
      </c>
      <c r="B792" t="s">
        <v>997</v>
      </c>
      <c r="C792" t="s">
        <v>997</v>
      </c>
      <c r="D792">
        <v>4467</v>
      </c>
      <c r="E792">
        <v>132</v>
      </c>
      <c r="F792" t="s">
        <v>1211</v>
      </c>
      <c r="G792" t="s">
        <v>1212</v>
      </c>
      <c r="H792" s="315" t="s">
        <v>143</v>
      </c>
      <c r="I792" s="315" t="s">
        <v>1209</v>
      </c>
      <c r="J792" s="315" t="str">
        <f t="shared" si="76"/>
        <v>LEX PartsTrade Sales Gross Profit % of Sales</v>
      </c>
      <c r="K792" s="315" t="str">
        <f t="shared" si="77"/>
        <v>132Parts Trade COS - Lexus</v>
      </c>
      <c r="L792" s="311">
        <f>+SUMIF('TUNZ Extracted TB'!M:M,$P792,'TUNZ Extracted TB'!G:G)</f>
        <v>0</v>
      </c>
      <c r="M792" s="311"/>
      <c r="N792" s="311">
        <f>+SUMIF('Input Sheet'!$AE:$AE,P792,'Input Sheet'!$X:$X)</f>
        <v>0</v>
      </c>
      <c r="O792" s="311"/>
      <c r="P792" t="str">
        <f t="shared" si="78"/>
        <v>132-4467</v>
      </c>
      <c r="Q792" s="315" t="str">
        <f t="shared" si="79"/>
        <v>LEX Parts</v>
      </c>
      <c r="R792" s="315" t="str">
        <f t="shared" si="80"/>
        <v>LEX PartsTrade Sales Gross Profit % of Sales</v>
      </c>
      <c r="S792" s="199"/>
      <c r="T792" s="199"/>
      <c r="U792" s="199"/>
    </row>
    <row r="793" spans="1:21" x14ac:dyDescent="0.25">
      <c r="A793" t="s">
        <v>996</v>
      </c>
      <c r="B793" t="s">
        <v>997</v>
      </c>
      <c r="C793" t="s">
        <v>1012</v>
      </c>
      <c r="D793">
        <v>4467</v>
      </c>
      <c r="E793">
        <v>430</v>
      </c>
      <c r="F793" t="s">
        <v>1207</v>
      </c>
      <c r="G793" t="s">
        <v>1208</v>
      </c>
      <c r="H793" s="315" t="s">
        <v>5</v>
      </c>
      <c r="I793" s="315" t="s">
        <v>1209</v>
      </c>
      <c r="J793" s="315" t="str">
        <f t="shared" si="76"/>
        <v>PartsTrade Sales Gross Profit % of Sales</v>
      </c>
      <c r="K793" s="315" t="str">
        <f t="shared" si="77"/>
        <v>430Parts Trade COS - Toyota</v>
      </c>
      <c r="L793" s="311">
        <f>+SUMIF('TUNZ Extracted TB'!M:M,$P793,'TUNZ Extracted TB'!G:G)</f>
        <v>170</v>
      </c>
      <c r="M793" s="311"/>
      <c r="N793" s="311">
        <f>+SUMIF('Input Sheet'!$AE:$AE,P793,'Input Sheet'!$X:$X)</f>
        <v>0</v>
      </c>
      <c r="O793" s="311"/>
      <c r="P793" t="str">
        <f t="shared" si="78"/>
        <v>430-4467</v>
      </c>
      <c r="Q793" s="315" t="str">
        <f t="shared" si="79"/>
        <v>Parts</v>
      </c>
      <c r="R793" s="315" t="str">
        <f t="shared" si="80"/>
        <v>PartsTrade Sales Gross Profit % of Sales</v>
      </c>
      <c r="S793" s="199"/>
      <c r="T793" s="199"/>
      <c r="U793" s="199"/>
    </row>
    <row r="794" spans="1:21" x14ac:dyDescent="0.25">
      <c r="A794" t="s">
        <v>996</v>
      </c>
      <c r="B794" t="s">
        <v>997</v>
      </c>
      <c r="C794" t="s">
        <v>1013</v>
      </c>
      <c r="D794">
        <v>4467</v>
      </c>
      <c r="E794">
        <v>330</v>
      </c>
      <c r="F794" t="s">
        <v>1207</v>
      </c>
      <c r="G794" t="s">
        <v>1208</v>
      </c>
      <c r="H794" s="315" t="s">
        <v>5</v>
      </c>
      <c r="I794" s="315" t="s">
        <v>1209</v>
      </c>
      <c r="J794" s="315" t="str">
        <f t="shared" si="76"/>
        <v>PartsTrade Sales Gross Profit % of Sales</v>
      </c>
      <c r="K794" s="315" t="str">
        <f t="shared" si="77"/>
        <v>330Parts Trade COS - Toyota</v>
      </c>
      <c r="L794" s="311">
        <f>+SUMIF('TUNZ Extracted TB'!M:M,$P794,'TUNZ Extracted TB'!G:G)</f>
        <v>210.87</v>
      </c>
      <c r="M794" s="311"/>
      <c r="N794" s="311">
        <f>+SUMIF('Input Sheet'!$AE:$AE,P794,'Input Sheet'!$X:$X)</f>
        <v>0</v>
      </c>
      <c r="O794" s="311"/>
      <c r="P794" t="str">
        <f t="shared" si="78"/>
        <v>330-4467</v>
      </c>
      <c r="Q794" s="315" t="str">
        <f t="shared" si="79"/>
        <v>Parts</v>
      </c>
      <c r="R794" s="315" t="str">
        <f t="shared" si="80"/>
        <v>PartsTrade Sales Gross Profit % of Sales</v>
      </c>
      <c r="S794" s="199"/>
      <c r="T794" s="199"/>
      <c r="U794" s="199"/>
    </row>
    <row r="795" spans="1:21" x14ac:dyDescent="0.25">
      <c r="A795" t="s">
        <v>996</v>
      </c>
      <c r="B795" t="s">
        <v>997</v>
      </c>
      <c r="C795" t="s">
        <v>1005</v>
      </c>
      <c r="D795">
        <v>4468</v>
      </c>
      <c r="E795">
        <v>230</v>
      </c>
      <c r="F795" t="s">
        <v>1199</v>
      </c>
      <c r="G795" t="s">
        <v>1200</v>
      </c>
      <c r="H795" s="315" t="s">
        <v>5</v>
      </c>
      <c r="I795" s="315" t="s">
        <v>1201</v>
      </c>
      <c r="J795" s="315" t="str">
        <f t="shared" si="76"/>
        <v>PartsCounter Sales Gross Profit % of Sales</v>
      </c>
      <c r="K795" s="315" t="str">
        <f t="shared" si="77"/>
        <v>230Parts Counter COS - Toyota</v>
      </c>
      <c r="L795" s="311">
        <f>+SUMIF('TUNZ Extracted TB'!M:M,$P795,'TUNZ Extracted TB'!G:G)</f>
        <v>10286.18</v>
      </c>
      <c r="M795" s="311"/>
      <c r="N795" s="311">
        <f>+SUMIF('Input Sheet'!$AE:$AE,P795,'Input Sheet'!$X:$X)</f>
        <v>0</v>
      </c>
      <c r="O795" s="311"/>
      <c r="P795" t="str">
        <f t="shared" si="78"/>
        <v>230-4468</v>
      </c>
      <c r="Q795" s="315" t="str">
        <f t="shared" si="79"/>
        <v>Parts</v>
      </c>
      <c r="R795" s="315" t="str">
        <f t="shared" si="80"/>
        <v>PartsCounter Sales Gross Profit % of Sales</v>
      </c>
      <c r="S795" s="199"/>
      <c r="T795" s="199"/>
      <c r="U795" s="199"/>
    </row>
    <row r="796" spans="1:21" x14ac:dyDescent="0.25">
      <c r="A796" t="s">
        <v>996</v>
      </c>
      <c r="B796" t="s">
        <v>997</v>
      </c>
      <c r="C796" t="s">
        <v>1012</v>
      </c>
      <c r="D796">
        <v>4468</v>
      </c>
      <c r="E796">
        <v>430</v>
      </c>
      <c r="F796" t="s">
        <v>1199</v>
      </c>
      <c r="G796" t="s">
        <v>1200</v>
      </c>
      <c r="H796" s="315" t="s">
        <v>5</v>
      </c>
      <c r="I796" s="315" t="s">
        <v>1201</v>
      </c>
      <c r="J796" s="315" t="str">
        <f t="shared" si="76"/>
        <v>PartsCounter Sales Gross Profit % of Sales</v>
      </c>
      <c r="K796" s="315" t="str">
        <f t="shared" si="77"/>
        <v>430Parts Counter COS - Toyota</v>
      </c>
      <c r="L796" s="311">
        <f>+SUMIF('TUNZ Extracted TB'!M:M,$P796,'TUNZ Extracted TB'!G:G)</f>
        <v>261.14999999999998</v>
      </c>
      <c r="M796" s="311"/>
      <c r="N796" s="311">
        <f>+SUMIF('Input Sheet'!$AE:$AE,P796,'Input Sheet'!$X:$X)</f>
        <v>0</v>
      </c>
      <c r="O796" s="311"/>
      <c r="P796" t="str">
        <f t="shared" si="78"/>
        <v>430-4468</v>
      </c>
      <c r="Q796" s="315" t="str">
        <f t="shared" si="79"/>
        <v>Parts</v>
      </c>
      <c r="R796" s="315" t="str">
        <f t="shared" si="80"/>
        <v>PartsCounter Sales Gross Profit % of Sales</v>
      </c>
      <c r="S796" s="199"/>
      <c r="T796" s="199"/>
      <c r="U796" s="199"/>
    </row>
    <row r="797" spans="1:21" x14ac:dyDescent="0.25">
      <c r="A797" t="s">
        <v>996</v>
      </c>
      <c r="B797" t="s">
        <v>997</v>
      </c>
      <c r="C797" t="s">
        <v>1013</v>
      </c>
      <c r="D797">
        <v>4468</v>
      </c>
      <c r="E797">
        <v>330</v>
      </c>
      <c r="F797" t="s">
        <v>1199</v>
      </c>
      <c r="G797" t="s">
        <v>1200</v>
      </c>
      <c r="H797" s="315" t="s">
        <v>5</v>
      </c>
      <c r="I797" s="315" t="s">
        <v>1201</v>
      </c>
      <c r="J797" s="315" t="str">
        <f t="shared" si="76"/>
        <v>PartsCounter Sales Gross Profit % of Sales</v>
      </c>
      <c r="K797" s="315" t="str">
        <f t="shared" si="77"/>
        <v>330Parts Counter COS - Toyota</v>
      </c>
      <c r="L797" s="311">
        <f>+SUMIF('TUNZ Extracted TB'!M:M,$P797,'TUNZ Extracted TB'!G:G)</f>
        <v>793.56</v>
      </c>
      <c r="M797" s="311"/>
      <c r="N797" s="311">
        <f>+SUMIF('Input Sheet'!$AE:$AE,P797,'Input Sheet'!$X:$X)</f>
        <v>0</v>
      </c>
      <c r="O797" s="311"/>
      <c r="P797" t="str">
        <f t="shared" si="78"/>
        <v>330-4468</v>
      </c>
      <c r="Q797" s="315" t="str">
        <f t="shared" si="79"/>
        <v>Parts</v>
      </c>
      <c r="R797" s="315" t="str">
        <f t="shared" si="80"/>
        <v>PartsCounter Sales Gross Profit % of Sales</v>
      </c>
      <c r="S797" s="199"/>
      <c r="T797" s="199"/>
      <c r="U797" s="199"/>
    </row>
    <row r="798" spans="1:21" x14ac:dyDescent="0.25">
      <c r="A798" t="s">
        <v>996</v>
      </c>
      <c r="B798" t="s">
        <v>997</v>
      </c>
      <c r="C798" t="s">
        <v>997</v>
      </c>
      <c r="D798">
        <v>4468</v>
      </c>
      <c r="E798">
        <v>130</v>
      </c>
      <c r="F798" t="s">
        <v>1199</v>
      </c>
      <c r="G798" t="s">
        <v>1200</v>
      </c>
      <c r="H798" s="315" t="s">
        <v>5</v>
      </c>
      <c r="I798" s="315" t="s">
        <v>1201</v>
      </c>
      <c r="J798" s="315" t="str">
        <f t="shared" si="76"/>
        <v>PartsCounter Sales Gross Profit % of Sales</v>
      </c>
      <c r="K798" s="315" t="str">
        <f t="shared" si="77"/>
        <v>130Parts Counter COS - Toyota</v>
      </c>
      <c r="L798" s="311">
        <f>+SUMIF('TUNZ Extracted TB'!M:M,$P798,'TUNZ Extracted TB'!G:G)</f>
        <v>45082.28</v>
      </c>
      <c r="M798" s="311"/>
      <c r="N798" s="311">
        <f>+SUMIF('Input Sheet'!$AE:$AE,P798,'Input Sheet'!$X:$X)</f>
        <v>0</v>
      </c>
      <c r="O798" s="311"/>
      <c r="P798" t="str">
        <f t="shared" si="78"/>
        <v>130-4468</v>
      </c>
      <c r="Q798" s="315" t="str">
        <f t="shared" si="79"/>
        <v>Parts</v>
      </c>
      <c r="R798" s="315" t="str">
        <f t="shared" si="80"/>
        <v>PartsCounter Sales Gross Profit % of Sales</v>
      </c>
      <c r="S798" s="199"/>
      <c r="T798" s="199"/>
      <c r="U798" s="199"/>
    </row>
    <row r="799" spans="1:21" x14ac:dyDescent="0.25">
      <c r="A799" t="s">
        <v>996</v>
      </c>
      <c r="B799" t="s">
        <v>997</v>
      </c>
      <c r="C799" t="s">
        <v>997</v>
      </c>
      <c r="D799">
        <v>4468</v>
      </c>
      <c r="E799">
        <v>132</v>
      </c>
      <c r="F799" t="s">
        <v>1205</v>
      </c>
      <c r="G799" t="s">
        <v>1206</v>
      </c>
      <c r="H799" s="315" t="s">
        <v>143</v>
      </c>
      <c r="I799" s="315" t="s">
        <v>1201</v>
      </c>
      <c r="J799" s="315" t="str">
        <f t="shared" si="76"/>
        <v>LEX PartsCounter Sales Gross Profit % of Sales</v>
      </c>
      <c r="K799" s="315" t="str">
        <f t="shared" si="77"/>
        <v>132Parts Counter COS - Lexus</v>
      </c>
      <c r="L799" s="311">
        <f>+SUMIF('TUNZ Extracted TB'!M:M,$P799,'TUNZ Extracted TB'!G:G)</f>
        <v>0</v>
      </c>
      <c r="M799" s="311"/>
      <c r="N799" s="311">
        <f>+SUMIF('Input Sheet'!$AE:$AE,P799,'Input Sheet'!$X:$X)</f>
        <v>0</v>
      </c>
      <c r="O799" s="311"/>
      <c r="P799" t="str">
        <f t="shared" si="78"/>
        <v>132-4468</v>
      </c>
      <c r="Q799" s="315" t="str">
        <f t="shared" si="79"/>
        <v>LEX Parts</v>
      </c>
      <c r="R799" s="315" t="str">
        <f t="shared" si="80"/>
        <v>LEX PartsCounter Sales Gross Profit % of Sales</v>
      </c>
      <c r="S799" s="199"/>
      <c r="T799" s="199"/>
      <c r="U799" s="199"/>
    </row>
    <row r="800" spans="1:21" x14ac:dyDescent="0.25">
      <c r="A800" t="s">
        <v>996</v>
      </c>
      <c r="B800" t="s">
        <v>997</v>
      </c>
      <c r="C800" t="s">
        <v>997</v>
      </c>
      <c r="D800">
        <v>4468</v>
      </c>
      <c r="E800">
        <v>936</v>
      </c>
      <c r="F800" t="s">
        <v>1175</v>
      </c>
      <c r="G800" t="s">
        <v>1176</v>
      </c>
      <c r="H800" s="315" t="s">
        <v>58</v>
      </c>
      <c r="I800" s="315" t="s">
        <v>1201</v>
      </c>
      <c r="J800" s="315" t="str">
        <f t="shared" si="76"/>
        <v>BridgestoneCounter Sales Gross Profit % of Sales</v>
      </c>
      <c r="K800" s="315" t="str">
        <f t="shared" si="77"/>
        <v>936Other franchise/business expense</v>
      </c>
      <c r="L800" s="311">
        <f>+SUMIF('TUNZ Extracted TB'!M:M,$P800,'TUNZ Extracted TB'!G:G)</f>
        <v>0</v>
      </c>
      <c r="M800" s="311"/>
      <c r="N800" s="311">
        <f>+SUMIF('Input Sheet'!$AE:$AE,P800,'Input Sheet'!$X:$X)</f>
        <v>0</v>
      </c>
      <c r="O800" s="311"/>
      <c r="P800" t="str">
        <f t="shared" si="78"/>
        <v>936-4468</v>
      </c>
      <c r="Q800" s="315" t="str">
        <f t="shared" si="79"/>
        <v>Bridgestone</v>
      </c>
      <c r="R800" s="315" t="str">
        <f t="shared" si="80"/>
        <v>BridgestoneCounter Sales Gross Profit % of Sales</v>
      </c>
      <c r="S800" s="199"/>
      <c r="T800" s="199"/>
      <c r="U800" s="199"/>
    </row>
    <row r="801" spans="1:21" x14ac:dyDescent="0.25">
      <c r="A801" t="s">
        <v>996</v>
      </c>
      <c r="B801" t="s">
        <v>997</v>
      </c>
      <c r="C801" t="s">
        <v>997</v>
      </c>
      <c r="D801">
        <v>4468</v>
      </c>
      <c r="E801">
        <v>935</v>
      </c>
      <c r="F801" t="s">
        <v>1175</v>
      </c>
      <c r="G801" t="s">
        <v>1176</v>
      </c>
      <c r="H801" s="315" t="s">
        <v>58</v>
      </c>
      <c r="I801" s="315" t="s">
        <v>1201</v>
      </c>
      <c r="J801" s="315" t="str">
        <f t="shared" si="76"/>
        <v>BridgestoneCounter Sales Gross Profit % of Sales</v>
      </c>
      <c r="K801" s="315" t="str">
        <f t="shared" si="77"/>
        <v>935Other franchise/business expense</v>
      </c>
      <c r="L801" s="311">
        <f>+SUMIF('TUNZ Extracted TB'!M:M,$P801,'TUNZ Extracted TB'!G:G)</f>
        <v>0</v>
      </c>
      <c r="M801" s="311"/>
      <c r="N801" s="311">
        <f>+SUMIF('Input Sheet'!$AE:$AE,P801,'Input Sheet'!$X:$X)</f>
        <v>0</v>
      </c>
      <c r="O801" s="311"/>
      <c r="P801" t="str">
        <f t="shared" si="78"/>
        <v>935-4468</v>
      </c>
      <c r="Q801" s="315" t="str">
        <f t="shared" si="79"/>
        <v>Bridgestone</v>
      </c>
      <c r="R801" s="315" t="str">
        <f t="shared" si="80"/>
        <v>BridgestoneCounter Sales Gross Profit % of Sales</v>
      </c>
      <c r="S801" s="199"/>
      <c r="T801" s="199"/>
      <c r="U801" s="199"/>
    </row>
    <row r="802" spans="1:21" x14ac:dyDescent="0.25">
      <c r="A802" t="s">
        <v>996</v>
      </c>
      <c r="B802" t="s">
        <v>997</v>
      </c>
      <c r="C802" t="s">
        <v>1005</v>
      </c>
      <c r="D802">
        <v>4475</v>
      </c>
      <c r="E802">
        <v>230</v>
      </c>
      <c r="F802" t="s">
        <v>1214</v>
      </c>
      <c r="G802" t="s">
        <v>1215</v>
      </c>
      <c r="H802" s="315" t="s">
        <v>5</v>
      </c>
      <c r="I802" s="315" t="s">
        <v>1216</v>
      </c>
      <c r="J802" s="315" t="str">
        <f t="shared" si="76"/>
        <v>PartsWorkshop Retail Sales Gross Profit % of Sales</v>
      </c>
      <c r="K802" s="315" t="str">
        <f t="shared" si="77"/>
        <v>230Parts Workshop Retail COS - Toyota</v>
      </c>
      <c r="L802" s="311">
        <f>+SUMIF('TUNZ Extracted TB'!M:M,$P802,'TUNZ Extracted TB'!G:G)</f>
        <v>22147.86</v>
      </c>
      <c r="M802" s="311"/>
      <c r="N802" s="311">
        <f>+SUMIF('Input Sheet'!$AE:$AE,P802,'Input Sheet'!$X:$X)</f>
        <v>28866.908996485508</v>
      </c>
      <c r="O802" s="311"/>
      <c r="P802" t="str">
        <f t="shared" si="78"/>
        <v>230-4475</v>
      </c>
      <c r="Q802" s="315" t="str">
        <f t="shared" si="79"/>
        <v>Parts</v>
      </c>
      <c r="R802" s="315" t="str">
        <f t="shared" si="80"/>
        <v>PartsWorkshop Retail Sales Gross Profit % of Sales</v>
      </c>
      <c r="S802" s="199"/>
      <c r="T802" s="199"/>
      <c r="U802" s="199"/>
    </row>
    <row r="803" spans="1:21" x14ac:dyDescent="0.25">
      <c r="A803" t="s">
        <v>996</v>
      </c>
      <c r="B803" t="s">
        <v>997</v>
      </c>
      <c r="C803" t="s">
        <v>1013</v>
      </c>
      <c r="D803">
        <v>4475</v>
      </c>
      <c r="E803">
        <v>330</v>
      </c>
      <c r="F803" t="s">
        <v>1214</v>
      </c>
      <c r="G803" t="s">
        <v>1215</v>
      </c>
      <c r="H803" s="315" t="s">
        <v>5</v>
      </c>
      <c r="I803" s="315" t="s">
        <v>1216</v>
      </c>
      <c r="J803" s="315" t="str">
        <f t="shared" si="76"/>
        <v>PartsWorkshop Retail Sales Gross Profit % of Sales</v>
      </c>
      <c r="K803" s="315" t="str">
        <f t="shared" si="77"/>
        <v>330Parts Workshop Retail COS - Toyota</v>
      </c>
      <c r="L803" s="311">
        <f>+SUMIF('TUNZ Extracted TB'!M:M,$P803,'TUNZ Extracted TB'!G:G)</f>
        <v>26435.81</v>
      </c>
      <c r="M803" s="311"/>
      <c r="N803" s="311">
        <f>+SUMIF('Input Sheet'!$AE:$AE,P803,'Input Sheet'!$X:$X)</f>
        <v>27486.066044271232</v>
      </c>
      <c r="O803" s="311"/>
      <c r="P803" t="str">
        <f t="shared" si="78"/>
        <v>330-4475</v>
      </c>
      <c r="Q803" s="315" t="str">
        <f t="shared" si="79"/>
        <v>Parts</v>
      </c>
      <c r="R803" s="315" t="str">
        <f t="shared" si="80"/>
        <v>PartsWorkshop Retail Sales Gross Profit % of Sales</v>
      </c>
      <c r="S803" s="199"/>
      <c r="T803" s="199"/>
      <c r="U803" s="199"/>
    </row>
    <row r="804" spans="1:21" x14ac:dyDescent="0.25">
      <c r="A804" t="s">
        <v>996</v>
      </c>
      <c r="B804" t="s">
        <v>997</v>
      </c>
      <c r="C804" t="s">
        <v>1012</v>
      </c>
      <c r="D804">
        <v>4475</v>
      </c>
      <c r="E804">
        <v>430</v>
      </c>
      <c r="F804" t="s">
        <v>1214</v>
      </c>
      <c r="G804" t="s">
        <v>1215</v>
      </c>
      <c r="H804" s="315" t="s">
        <v>5</v>
      </c>
      <c r="I804" s="315" t="s">
        <v>1216</v>
      </c>
      <c r="J804" s="315" t="str">
        <f t="shared" si="76"/>
        <v>PartsWorkshop Retail Sales Gross Profit % of Sales</v>
      </c>
      <c r="K804" s="315" t="str">
        <f t="shared" si="77"/>
        <v>430Parts Workshop Retail COS - Toyota</v>
      </c>
      <c r="L804" s="311">
        <f>+SUMIF('TUNZ Extracted TB'!M:M,$P804,'TUNZ Extracted TB'!G:G)</f>
        <v>13141.88</v>
      </c>
      <c r="M804" s="311"/>
      <c r="N804" s="311">
        <f>+SUMIF('Input Sheet'!$AE:$AE,P804,'Input Sheet'!$X:$X)</f>
        <v>9425.3211328007201</v>
      </c>
      <c r="O804" s="311"/>
      <c r="P804" t="str">
        <f t="shared" si="78"/>
        <v>430-4475</v>
      </c>
      <c r="Q804" s="315" t="str">
        <f t="shared" si="79"/>
        <v>Parts</v>
      </c>
      <c r="R804" s="315" t="str">
        <f t="shared" si="80"/>
        <v>PartsWorkshop Retail Sales Gross Profit % of Sales</v>
      </c>
      <c r="S804" s="199"/>
      <c r="T804" s="199"/>
      <c r="U804" s="199"/>
    </row>
    <row r="805" spans="1:21" x14ac:dyDescent="0.25">
      <c r="A805" t="s">
        <v>996</v>
      </c>
      <c r="B805" t="s">
        <v>997</v>
      </c>
      <c r="C805" t="s">
        <v>997</v>
      </c>
      <c r="D805">
        <v>4475</v>
      </c>
      <c r="E805">
        <v>936</v>
      </c>
      <c r="F805" t="s">
        <v>1175</v>
      </c>
      <c r="G805" t="s">
        <v>1176</v>
      </c>
      <c r="H805" s="315" t="s">
        <v>58</v>
      </c>
      <c r="I805" s="315" t="s">
        <v>1216</v>
      </c>
      <c r="J805" s="315" t="str">
        <f t="shared" si="76"/>
        <v>BridgestoneWorkshop Retail Sales Gross Profit % of Sales</v>
      </c>
      <c r="K805" s="315" t="str">
        <f t="shared" si="77"/>
        <v>936Other franchise/business expense</v>
      </c>
      <c r="L805" s="311">
        <f>+SUMIF('TUNZ Extracted TB'!M:M,$P805,'TUNZ Extracted TB'!G:G)</f>
        <v>93.57</v>
      </c>
      <c r="M805" s="311"/>
      <c r="N805" s="311">
        <f>+SUMIF('Input Sheet'!$AE:$AE,P805,'Input Sheet'!$X:$X)</f>
        <v>0</v>
      </c>
      <c r="O805" s="311"/>
      <c r="P805" t="str">
        <f t="shared" si="78"/>
        <v>936-4475</v>
      </c>
      <c r="Q805" s="315" t="str">
        <f t="shared" si="79"/>
        <v>Bridgestone</v>
      </c>
      <c r="R805" s="315" t="str">
        <f t="shared" si="80"/>
        <v>BridgestoneWorkshop Retail Sales Gross Profit % of Sales</v>
      </c>
      <c r="S805" s="199"/>
      <c r="T805" s="199"/>
      <c r="U805" s="199"/>
    </row>
    <row r="806" spans="1:21" x14ac:dyDescent="0.25">
      <c r="A806" t="s">
        <v>996</v>
      </c>
      <c r="B806" t="s">
        <v>997</v>
      </c>
      <c r="C806" t="s">
        <v>997</v>
      </c>
      <c r="D806">
        <v>4475</v>
      </c>
      <c r="E806">
        <v>130</v>
      </c>
      <c r="F806" t="s">
        <v>1214</v>
      </c>
      <c r="G806" t="s">
        <v>1215</v>
      </c>
      <c r="H806" s="315" t="s">
        <v>5</v>
      </c>
      <c r="I806" s="315" t="s">
        <v>1216</v>
      </c>
      <c r="J806" s="315" t="str">
        <f t="shared" si="76"/>
        <v>PartsWorkshop Retail Sales Gross Profit % of Sales</v>
      </c>
      <c r="K806" s="315" t="str">
        <f t="shared" si="77"/>
        <v>130Parts Workshop Retail COS - Toyota</v>
      </c>
      <c r="L806" s="311">
        <f>+SUMIF('TUNZ Extracted TB'!M:M,$P806,'TUNZ Extracted TB'!G:G)</f>
        <v>73539.509999999995</v>
      </c>
      <c r="M806" s="311"/>
      <c r="N806" s="311">
        <f>+SUMIF('Input Sheet'!$AE:$AE,P806,'Input Sheet'!$X:$X)</f>
        <v>97396.322948347603</v>
      </c>
      <c r="O806" s="311"/>
      <c r="P806" t="str">
        <f t="shared" si="78"/>
        <v>130-4475</v>
      </c>
      <c r="Q806" s="315" t="str">
        <f t="shared" si="79"/>
        <v>Parts</v>
      </c>
      <c r="R806" s="315" t="str">
        <f t="shared" si="80"/>
        <v>PartsWorkshop Retail Sales Gross Profit % of Sales</v>
      </c>
      <c r="S806" s="199" t="s">
        <v>1217</v>
      </c>
      <c r="T806" s="199">
        <v>3</v>
      </c>
      <c r="U806" s="199">
        <v>4</v>
      </c>
    </row>
    <row r="807" spans="1:21" x14ac:dyDescent="0.25">
      <c r="A807" t="s">
        <v>996</v>
      </c>
      <c r="B807" t="s">
        <v>997</v>
      </c>
      <c r="C807" t="s">
        <v>997</v>
      </c>
      <c r="D807">
        <v>4475</v>
      </c>
      <c r="E807">
        <v>132</v>
      </c>
      <c r="F807" t="s">
        <v>1218</v>
      </c>
      <c r="G807" t="s">
        <v>1219</v>
      </c>
      <c r="H807" s="315" t="s">
        <v>143</v>
      </c>
      <c r="I807" s="315" t="s">
        <v>1216</v>
      </c>
      <c r="J807" s="315" t="str">
        <f t="shared" si="76"/>
        <v>LEX PartsWorkshop Retail Sales Gross Profit % of Sales</v>
      </c>
      <c r="K807" s="315" t="str">
        <f t="shared" si="77"/>
        <v>132Parts Workshop Retail COS - Lexus</v>
      </c>
      <c r="L807" s="311">
        <f>+SUMIF('TUNZ Extracted TB'!M:M,$P807,'TUNZ Extracted TB'!G:G)</f>
        <v>9046.98</v>
      </c>
      <c r="M807" s="311"/>
      <c r="N807" s="311">
        <f>+SUMIF('Input Sheet'!$AE:$AE,P807,'Input Sheet'!$X:$X)</f>
        <v>4680</v>
      </c>
      <c r="O807" s="311"/>
      <c r="P807" t="str">
        <f t="shared" si="78"/>
        <v>132-4475</v>
      </c>
      <c r="Q807" s="315" t="str">
        <f t="shared" si="79"/>
        <v>LEX Parts</v>
      </c>
      <c r="R807" s="315" t="str">
        <f t="shared" si="80"/>
        <v>LEX PartsWorkshop Retail Sales Gross Profit % of Sales</v>
      </c>
      <c r="S807" s="199"/>
      <c r="T807" s="199"/>
      <c r="U807" s="199"/>
    </row>
    <row r="808" spans="1:21" x14ac:dyDescent="0.25">
      <c r="A808" t="s">
        <v>996</v>
      </c>
      <c r="B808" t="s">
        <v>997</v>
      </c>
      <c r="C808" t="s">
        <v>997</v>
      </c>
      <c r="D808">
        <v>4475</v>
      </c>
      <c r="E808">
        <v>935</v>
      </c>
      <c r="F808" t="s">
        <v>1175</v>
      </c>
      <c r="G808" t="s">
        <v>1176</v>
      </c>
      <c r="H808" s="315" t="s">
        <v>58</v>
      </c>
      <c r="I808" s="315" t="s">
        <v>1216</v>
      </c>
      <c r="J808" s="315" t="str">
        <f t="shared" si="76"/>
        <v>BridgestoneWorkshop Retail Sales Gross Profit % of Sales</v>
      </c>
      <c r="K808" s="315" t="str">
        <f t="shared" si="77"/>
        <v>935Other franchise/business expense</v>
      </c>
      <c r="L808" s="311">
        <f>+SUMIF('TUNZ Extracted TB'!M:M,$P808,'TUNZ Extracted TB'!G:G)</f>
        <v>1593.76</v>
      </c>
      <c r="M808" s="311"/>
      <c r="N808" s="311">
        <f>+SUMIF('Input Sheet'!$AE:$AE,P808,'Input Sheet'!$X:$X)</f>
        <v>0</v>
      </c>
      <c r="O808" s="311"/>
      <c r="P808" t="str">
        <f t="shared" si="78"/>
        <v>935-4475</v>
      </c>
      <c r="Q808" s="315" t="str">
        <f t="shared" si="79"/>
        <v>Bridgestone</v>
      </c>
      <c r="R808" s="315" t="str">
        <f t="shared" si="80"/>
        <v>BridgestoneWorkshop Retail Sales Gross Profit % of Sales</v>
      </c>
      <c r="S808" s="199"/>
      <c r="T808" s="199"/>
      <c r="U808" s="199"/>
    </row>
    <row r="809" spans="1:21" x14ac:dyDescent="0.25">
      <c r="A809" t="s">
        <v>996</v>
      </c>
      <c r="B809" t="s">
        <v>997</v>
      </c>
      <c r="C809" t="s">
        <v>1005</v>
      </c>
      <c r="D809">
        <v>4480</v>
      </c>
      <c r="E809">
        <v>230</v>
      </c>
      <c r="F809" t="s">
        <v>1214</v>
      </c>
      <c r="G809" t="s">
        <v>1215</v>
      </c>
      <c r="H809" s="315" t="s">
        <v>5</v>
      </c>
      <c r="I809" s="315" t="s">
        <v>1216</v>
      </c>
      <c r="J809" s="315" t="str">
        <f t="shared" si="76"/>
        <v>PartsWorkshop Retail Sales Gross Profit % of Sales</v>
      </c>
      <c r="K809" s="315" t="str">
        <f t="shared" si="77"/>
        <v>230Parts Workshop Retail COS - Toyota</v>
      </c>
      <c r="L809" s="311">
        <f>+SUMIF('TUNZ Extracted TB'!M:M,$P809,'TUNZ Extracted TB'!G:G)</f>
        <v>2356</v>
      </c>
      <c r="M809" s="311"/>
      <c r="N809" s="311">
        <f>+SUMIF('Input Sheet'!$AE:$AE,P809,'Input Sheet'!$X:$X)</f>
        <v>0</v>
      </c>
      <c r="O809" s="311"/>
      <c r="P809" t="str">
        <f t="shared" si="78"/>
        <v>230-4480</v>
      </c>
      <c r="Q809" s="315" t="str">
        <f t="shared" si="79"/>
        <v>Parts</v>
      </c>
      <c r="R809" s="315" t="str">
        <f t="shared" si="80"/>
        <v>PartsWorkshop Retail Sales Gross Profit % of Sales</v>
      </c>
      <c r="S809" s="199"/>
      <c r="T809" s="199"/>
      <c r="U809" s="199"/>
    </row>
    <row r="810" spans="1:21" x14ac:dyDescent="0.25">
      <c r="A810" t="s">
        <v>996</v>
      </c>
      <c r="B810" t="s">
        <v>997</v>
      </c>
      <c r="C810" t="s">
        <v>1013</v>
      </c>
      <c r="D810">
        <v>4480</v>
      </c>
      <c r="E810">
        <v>330</v>
      </c>
      <c r="F810" t="s">
        <v>1214</v>
      </c>
      <c r="G810" t="s">
        <v>1215</v>
      </c>
      <c r="H810" s="315" t="s">
        <v>5</v>
      </c>
      <c r="I810" s="315" t="s">
        <v>1216</v>
      </c>
      <c r="J810" s="315" t="str">
        <f t="shared" si="76"/>
        <v>PartsWorkshop Retail Sales Gross Profit % of Sales</v>
      </c>
      <c r="K810" s="315" t="str">
        <f t="shared" si="77"/>
        <v>330Parts Workshop Retail COS - Toyota</v>
      </c>
      <c r="L810" s="311">
        <f>+SUMIF('TUNZ Extracted TB'!M:M,$P810,'TUNZ Extracted TB'!G:G)</f>
        <v>12404.03</v>
      </c>
      <c r="M810" s="311"/>
      <c r="N810" s="311">
        <f>+SUMIF('Input Sheet'!$AE:$AE,P810,'Input Sheet'!$X:$X)</f>
        <v>0</v>
      </c>
      <c r="O810" s="311"/>
      <c r="P810" t="str">
        <f t="shared" si="78"/>
        <v>330-4480</v>
      </c>
      <c r="Q810" s="315" t="str">
        <f t="shared" si="79"/>
        <v>Parts</v>
      </c>
      <c r="R810" s="315" t="str">
        <f t="shared" si="80"/>
        <v>PartsWorkshop Retail Sales Gross Profit % of Sales</v>
      </c>
      <c r="S810" s="199"/>
      <c r="T810" s="199"/>
      <c r="U810" s="199"/>
    </row>
    <row r="811" spans="1:21" x14ac:dyDescent="0.25">
      <c r="A811" t="s">
        <v>996</v>
      </c>
      <c r="B811" t="s">
        <v>997</v>
      </c>
      <c r="C811" t="s">
        <v>1012</v>
      </c>
      <c r="D811">
        <v>4480</v>
      </c>
      <c r="E811">
        <v>430</v>
      </c>
      <c r="F811" t="s">
        <v>1214</v>
      </c>
      <c r="G811" t="s">
        <v>1215</v>
      </c>
      <c r="H811" s="315" t="s">
        <v>5</v>
      </c>
      <c r="I811" s="315" t="s">
        <v>1216</v>
      </c>
      <c r="J811" s="315" t="str">
        <f t="shared" si="76"/>
        <v>PartsWorkshop Retail Sales Gross Profit % of Sales</v>
      </c>
      <c r="K811" s="315" t="str">
        <f t="shared" si="77"/>
        <v>430Parts Workshop Retail COS - Toyota</v>
      </c>
      <c r="L811" s="311">
        <f>+SUMIF('TUNZ Extracted TB'!M:M,$P811,'TUNZ Extracted TB'!G:G)</f>
        <v>1453.91</v>
      </c>
      <c r="M811" s="311"/>
      <c r="N811" s="311">
        <f>+SUMIF('Input Sheet'!$AE:$AE,P811,'Input Sheet'!$X:$X)</f>
        <v>0</v>
      </c>
      <c r="O811" s="311"/>
      <c r="P811" t="str">
        <f t="shared" si="78"/>
        <v>430-4480</v>
      </c>
      <c r="Q811" s="315" t="str">
        <f t="shared" si="79"/>
        <v>Parts</v>
      </c>
      <c r="R811" s="315" t="str">
        <f t="shared" si="80"/>
        <v>PartsWorkshop Retail Sales Gross Profit % of Sales</v>
      </c>
      <c r="S811" s="199"/>
      <c r="T811" s="199"/>
      <c r="U811" s="199"/>
    </row>
    <row r="812" spans="1:21" x14ac:dyDescent="0.25">
      <c r="A812" t="s">
        <v>996</v>
      </c>
      <c r="B812" t="s">
        <v>997</v>
      </c>
      <c r="C812" t="s">
        <v>997</v>
      </c>
      <c r="D812">
        <v>4480</v>
      </c>
      <c r="E812">
        <v>130</v>
      </c>
      <c r="F812" t="s">
        <v>1214</v>
      </c>
      <c r="G812" t="s">
        <v>1215</v>
      </c>
      <c r="H812" s="315" t="s">
        <v>5</v>
      </c>
      <c r="I812" s="315" t="s">
        <v>1216</v>
      </c>
      <c r="J812" s="315" t="str">
        <f t="shared" si="76"/>
        <v>PartsWorkshop Retail Sales Gross Profit % of Sales</v>
      </c>
      <c r="K812" s="315" t="str">
        <f t="shared" si="77"/>
        <v>130Parts Workshop Retail COS - Toyota</v>
      </c>
      <c r="L812" s="311">
        <f>+SUMIF('TUNZ Extracted TB'!M:M,$P812,'TUNZ Extracted TB'!G:G)</f>
        <v>7145.25</v>
      </c>
      <c r="M812" s="311"/>
      <c r="N812" s="311">
        <f>+SUMIF('Input Sheet'!$AE:$AE,P812,'Input Sheet'!$X:$X)</f>
        <v>0</v>
      </c>
      <c r="O812" s="311"/>
      <c r="P812" t="str">
        <f t="shared" si="78"/>
        <v>130-4480</v>
      </c>
      <c r="Q812" s="315" t="str">
        <f t="shared" si="79"/>
        <v>Parts</v>
      </c>
      <c r="R812" s="315" t="str">
        <f t="shared" si="80"/>
        <v>PartsWorkshop Retail Sales Gross Profit % of Sales</v>
      </c>
      <c r="S812" s="199"/>
      <c r="T812" s="199"/>
      <c r="U812" s="199"/>
    </row>
    <row r="813" spans="1:21" x14ac:dyDescent="0.25">
      <c r="A813" t="s">
        <v>996</v>
      </c>
      <c r="B813" t="s">
        <v>997</v>
      </c>
      <c r="C813" t="s">
        <v>997</v>
      </c>
      <c r="D813">
        <v>4480</v>
      </c>
      <c r="E813">
        <v>132</v>
      </c>
      <c r="F813" t="s">
        <v>1218</v>
      </c>
      <c r="G813" t="s">
        <v>1219</v>
      </c>
      <c r="H813" s="315" t="s">
        <v>143</v>
      </c>
      <c r="I813" s="315" t="s">
        <v>1216</v>
      </c>
      <c r="J813" s="315" t="str">
        <f t="shared" si="76"/>
        <v>LEX PartsWorkshop Retail Sales Gross Profit % of Sales</v>
      </c>
      <c r="K813" s="315" t="str">
        <f t="shared" si="77"/>
        <v>132Parts Workshop Retail COS - Lexus</v>
      </c>
      <c r="L813" s="311">
        <f>+SUMIF('TUNZ Extracted TB'!M:M,$P813,'TUNZ Extracted TB'!G:G)</f>
        <v>0</v>
      </c>
      <c r="M813" s="311"/>
      <c r="N813" s="311">
        <f>+SUMIF('Input Sheet'!$AE:$AE,P813,'Input Sheet'!$X:$X)</f>
        <v>0</v>
      </c>
      <c r="O813" s="311"/>
      <c r="P813" t="str">
        <f t="shared" si="78"/>
        <v>132-4480</v>
      </c>
      <c r="Q813" s="315" t="str">
        <f t="shared" si="79"/>
        <v>LEX Parts</v>
      </c>
      <c r="R813" s="315" t="str">
        <f t="shared" si="80"/>
        <v>LEX PartsWorkshop Retail Sales Gross Profit % of Sales</v>
      </c>
      <c r="S813" s="199"/>
      <c r="T813" s="199"/>
      <c r="U813" s="199"/>
    </row>
    <row r="814" spans="1:21" x14ac:dyDescent="0.25">
      <c r="A814" t="s">
        <v>996</v>
      </c>
      <c r="B814" t="s">
        <v>997</v>
      </c>
      <c r="C814" t="s">
        <v>997</v>
      </c>
      <c r="D814">
        <v>4480</v>
      </c>
      <c r="E814">
        <v>936</v>
      </c>
      <c r="F814" t="s">
        <v>1175</v>
      </c>
      <c r="G814" t="s">
        <v>1176</v>
      </c>
      <c r="H814" s="315" t="s">
        <v>58</v>
      </c>
      <c r="I814" s="315" t="s">
        <v>1216</v>
      </c>
      <c r="J814" s="315" t="str">
        <f t="shared" si="76"/>
        <v>BridgestoneWorkshop Retail Sales Gross Profit % of Sales</v>
      </c>
      <c r="K814" s="315" t="str">
        <f t="shared" si="77"/>
        <v>936Other franchise/business expense</v>
      </c>
      <c r="L814" s="311">
        <f>+SUMIF('TUNZ Extracted TB'!M:M,$P814,'TUNZ Extracted TB'!G:G)</f>
        <v>0</v>
      </c>
      <c r="M814" s="311"/>
      <c r="N814" s="311">
        <f>+SUMIF('Input Sheet'!$AE:$AE,P814,'Input Sheet'!$X:$X)</f>
        <v>0</v>
      </c>
      <c r="O814" s="311"/>
      <c r="P814" t="str">
        <f t="shared" si="78"/>
        <v>936-4480</v>
      </c>
      <c r="Q814" s="315" t="str">
        <f t="shared" si="79"/>
        <v>Bridgestone</v>
      </c>
      <c r="R814" s="315" t="str">
        <f t="shared" si="80"/>
        <v>BridgestoneWorkshop Retail Sales Gross Profit % of Sales</v>
      </c>
      <c r="S814" s="199"/>
      <c r="T814" s="199"/>
      <c r="U814" s="199"/>
    </row>
    <row r="815" spans="1:21" x14ac:dyDescent="0.25">
      <c r="A815" t="s">
        <v>996</v>
      </c>
      <c r="B815" t="s">
        <v>997</v>
      </c>
      <c r="C815" t="s">
        <v>997</v>
      </c>
      <c r="D815">
        <v>4480</v>
      </c>
      <c r="E815">
        <v>935</v>
      </c>
      <c r="F815" t="s">
        <v>1175</v>
      </c>
      <c r="G815" t="s">
        <v>1176</v>
      </c>
      <c r="H815" s="315" t="s">
        <v>58</v>
      </c>
      <c r="I815" s="315" t="s">
        <v>1216</v>
      </c>
      <c r="J815" s="315" t="str">
        <f t="shared" si="76"/>
        <v>BridgestoneWorkshop Retail Sales Gross Profit % of Sales</v>
      </c>
      <c r="K815" s="315" t="str">
        <f t="shared" si="77"/>
        <v>935Other franchise/business expense</v>
      </c>
      <c r="L815" s="311">
        <f>+SUMIF('TUNZ Extracted TB'!M:M,$P815,'TUNZ Extracted TB'!G:G)</f>
        <v>0</v>
      </c>
      <c r="M815" s="311"/>
      <c r="N815" s="311">
        <f>+SUMIF('Input Sheet'!$AE:$AE,P815,'Input Sheet'!$X:$X)</f>
        <v>0</v>
      </c>
      <c r="O815" s="311"/>
      <c r="P815" t="str">
        <f t="shared" si="78"/>
        <v>935-4480</v>
      </c>
      <c r="Q815" s="315" t="str">
        <f t="shared" si="79"/>
        <v>Bridgestone</v>
      </c>
      <c r="R815" s="315" t="str">
        <f t="shared" si="80"/>
        <v>BridgestoneWorkshop Retail Sales Gross Profit % of Sales</v>
      </c>
      <c r="S815" s="199"/>
      <c r="T815" s="199"/>
      <c r="U815" s="199"/>
    </row>
    <row r="816" spans="1:21" x14ac:dyDescent="0.25">
      <c r="A816" t="s">
        <v>996</v>
      </c>
      <c r="B816" t="s">
        <v>997</v>
      </c>
      <c r="C816" t="s">
        <v>1013</v>
      </c>
      <c r="D816">
        <v>4481</v>
      </c>
      <c r="E816">
        <v>330</v>
      </c>
      <c r="F816" t="s">
        <v>1214</v>
      </c>
      <c r="G816" t="s">
        <v>1215</v>
      </c>
      <c r="H816" s="315" t="s">
        <v>5</v>
      </c>
      <c r="I816" s="315" t="s">
        <v>1216</v>
      </c>
      <c r="J816" s="315" t="str">
        <f t="shared" si="76"/>
        <v>PartsWorkshop Retail Sales Gross Profit % of Sales</v>
      </c>
      <c r="K816" s="315" t="str">
        <f t="shared" si="77"/>
        <v>330Parts Workshop Retail COS - Toyota</v>
      </c>
      <c r="L816" s="311">
        <f>+SUMIF('TUNZ Extracted TB'!M:M,$P816,'TUNZ Extracted TB'!G:G)</f>
        <v>640.42999999999995</v>
      </c>
      <c r="M816" s="311"/>
      <c r="N816" s="311">
        <f>+SUMIF('Input Sheet'!$AE:$AE,P816,'Input Sheet'!$X:$X)</f>
        <v>0</v>
      </c>
      <c r="O816" s="311"/>
      <c r="P816" t="str">
        <f t="shared" si="78"/>
        <v>330-4481</v>
      </c>
      <c r="Q816" s="315" t="str">
        <f t="shared" si="79"/>
        <v>Parts</v>
      </c>
      <c r="R816" s="315" t="str">
        <f t="shared" si="80"/>
        <v>PartsWorkshop Retail Sales Gross Profit % of Sales</v>
      </c>
      <c r="S816" s="199"/>
      <c r="T816" s="199"/>
      <c r="U816" s="199"/>
    </row>
    <row r="817" spans="1:21" x14ac:dyDescent="0.25">
      <c r="A817" t="s">
        <v>996</v>
      </c>
      <c r="B817" t="s">
        <v>997</v>
      </c>
      <c r="C817" t="s">
        <v>1005</v>
      </c>
      <c r="D817">
        <v>4481</v>
      </c>
      <c r="E817">
        <v>230</v>
      </c>
      <c r="F817" t="s">
        <v>1214</v>
      </c>
      <c r="G817" t="s">
        <v>1215</v>
      </c>
      <c r="H817" s="315" t="s">
        <v>5</v>
      </c>
      <c r="I817" s="315" t="s">
        <v>1216</v>
      </c>
      <c r="J817" s="315" t="str">
        <f t="shared" si="76"/>
        <v>PartsWorkshop Retail Sales Gross Profit % of Sales</v>
      </c>
      <c r="K817" s="315" t="str">
        <f t="shared" si="77"/>
        <v>230Parts Workshop Retail COS - Toyota</v>
      </c>
      <c r="L817" s="311">
        <f>+SUMIF('TUNZ Extracted TB'!M:M,$P817,'TUNZ Extracted TB'!G:G)</f>
        <v>0</v>
      </c>
      <c r="M817" s="311"/>
      <c r="N817" s="311">
        <f>+SUMIF('Input Sheet'!$AE:$AE,P817,'Input Sheet'!$X:$X)</f>
        <v>0</v>
      </c>
      <c r="O817" s="311"/>
      <c r="P817" t="str">
        <f t="shared" si="78"/>
        <v>230-4481</v>
      </c>
      <c r="Q817" s="315" t="str">
        <f t="shared" si="79"/>
        <v>Parts</v>
      </c>
      <c r="R817" s="315" t="str">
        <f t="shared" si="80"/>
        <v>PartsWorkshop Retail Sales Gross Profit % of Sales</v>
      </c>
      <c r="S817" s="199"/>
      <c r="T817" s="199"/>
      <c r="U817" s="199"/>
    </row>
    <row r="818" spans="1:21" x14ac:dyDescent="0.25">
      <c r="A818" t="s">
        <v>996</v>
      </c>
      <c r="B818" t="s">
        <v>997</v>
      </c>
      <c r="C818" t="s">
        <v>997</v>
      </c>
      <c r="D818">
        <v>4481</v>
      </c>
      <c r="E818">
        <v>130</v>
      </c>
      <c r="F818" t="s">
        <v>1214</v>
      </c>
      <c r="G818" t="s">
        <v>1215</v>
      </c>
      <c r="H818" s="315" t="s">
        <v>5</v>
      </c>
      <c r="I818" s="315" t="s">
        <v>1216</v>
      </c>
      <c r="J818" s="315" t="str">
        <f t="shared" si="76"/>
        <v>PartsWorkshop Retail Sales Gross Profit % of Sales</v>
      </c>
      <c r="K818" s="315" t="str">
        <f t="shared" si="77"/>
        <v>130Parts Workshop Retail COS - Toyota</v>
      </c>
      <c r="L818" s="311">
        <f>+SUMIF('TUNZ Extracted TB'!M:M,$P818,'TUNZ Extracted TB'!G:G)</f>
        <v>0</v>
      </c>
      <c r="M818" s="311"/>
      <c r="N818" s="311">
        <f>+SUMIF('Input Sheet'!$AE:$AE,P818,'Input Sheet'!$X:$X)</f>
        <v>0</v>
      </c>
      <c r="O818" s="311"/>
      <c r="P818" t="str">
        <f t="shared" si="78"/>
        <v>130-4481</v>
      </c>
      <c r="Q818" s="315" t="str">
        <f t="shared" si="79"/>
        <v>Parts</v>
      </c>
      <c r="R818" s="315" t="str">
        <f t="shared" si="80"/>
        <v>PartsWorkshop Retail Sales Gross Profit % of Sales</v>
      </c>
      <c r="S818" s="199"/>
      <c r="T818" s="199"/>
      <c r="U818" s="199"/>
    </row>
    <row r="819" spans="1:21" x14ac:dyDescent="0.25">
      <c r="A819" t="s">
        <v>996</v>
      </c>
      <c r="B819" t="s">
        <v>997</v>
      </c>
      <c r="C819" t="s">
        <v>997</v>
      </c>
      <c r="D819">
        <v>4481</v>
      </c>
      <c r="E819">
        <v>132</v>
      </c>
      <c r="F819" t="s">
        <v>1218</v>
      </c>
      <c r="G819" t="s">
        <v>1219</v>
      </c>
      <c r="H819" s="315" t="s">
        <v>143</v>
      </c>
      <c r="I819" s="315" t="s">
        <v>1216</v>
      </c>
      <c r="J819" s="315" t="str">
        <f t="shared" si="76"/>
        <v>LEX PartsWorkshop Retail Sales Gross Profit % of Sales</v>
      </c>
      <c r="K819" s="315" t="str">
        <f t="shared" si="77"/>
        <v>132Parts Workshop Retail COS - Lexus</v>
      </c>
      <c r="L819" s="311">
        <f>+SUMIF('TUNZ Extracted TB'!M:M,$P819,'TUNZ Extracted TB'!G:G)</f>
        <v>0</v>
      </c>
      <c r="M819" s="311"/>
      <c r="N819" s="311">
        <f>+SUMIF('Input Sheet'!$AE:$AE,P819,'Input Sheet'!$X:$X)</f>
        <v>0</v>
      </c>
      <c r="O819" s="311"/>
      <c r="P819" t="str">
        <f t="shared" si="78"/>
        <v>132-4481</v>
      </c>
      <c r="Q819" s="315" t="str">
        <f t="shared" si="79"/>
        <v>LEX Parts</v>
      </c>
      <c r="R819" s="315" t="str">
        <f t="shared" si="80"/>
        <v>LEX PartsWorkshop Retail Sales Gross Profit % of Sales</v>
      </c>
      <c r="S819" s="199"/>
      <c r="T819" s="199"/>
      <c r="U819" s="199"/>
    </row>
    <row r="820" spans="1:21" x14ac:dyDescent="0.25">
      <c r="A820" t="s">
        <v>996</v>
      </c>
      <c r="B820" t="s">
        <v>997</v>
      </c>
      <c r="C820" t="s">
        <v>997</v>
      </c>
      <c r="D820">
        <v>4481</v>
      </c>
      <c r="E820">
        <v>936</v>
      </c>
      <c r="F820" t="s">
        <v>1175</v>
      </c>
      <c r="G820" t="s">
        <v>1176</v>
      </c>
      <c r="H820" s="315" t="s">
        <v>58</v>
      </c>
      <c r="I820" s="315" t="s">
        <v>1216</v>
      </c>
      <c r="J820" s="315" t="str">
        <f t="shared" si="76"/>
        <v>BridgestoneWorkshop Retail Sales Gross Profit % of Sales</v>
      </c>
      <c r="K820" s="315" t="str">
        <f t="shared" si="77"/>
        <v>936Other franchise/business expense</v>
      </c>
      <c r="L820" s="311">
        <f>+SUMIF('TUNZ Extracted TB'!M:M,$P820,'TUNZ Extracted TB'!G:G)</f>
        <v>0</v>
      </c>
      <c r="M820" s="311"/>
      <c r="N820" s="311">
        <f>+SUMIF('Input Sheet'!$AE:$AE,P820,'Input Sheet'!$X:$X)</f>
        <v>0</v>
      </c>
      <c r="O820" s="311"/>
      <c r="P820" t="str">
        <f t="shared" si="78"/>
        <v>936-4481</v>
      </c>
      <c r="Q820" s="315" t="str">
        <f t="shared" si="79"/>
        <v>Bridgestone</v>
      </c>
      <c r="R820" s="315" t="str">
        <f t="shared" si="80"/>
        <v>BridgestoneWorkshop Retail Sales Gross Profit % of Sales</v>
      </c>
      <c r="S820" s="199"/>
      <c r="T820" s="199"/>
      <c r="U820" s="199"/>
    </row>
    <row r="821" spans="1:21" x14ac:dyDescent="0.25">
      <c r="A821" t="s">
        <v>996</v>
      </c>
      <c r="B821" t="s">
        <v>997</v>
      </c>
      <c r="C821" t="s">
        <v>997</v>
      </c>
      <c r="D821">
        <v>4481</v>
      </c>
      <c r="E821">
        <v>935</v>
      </c>
      <c r="F821" t="s">
        <v>1175</v>
      </c>
      <c r="G821" t="s">
        <v>1176</v>
      </c>
      <c r="H821" s="315" t="s">
        <v>58</v>
      </c>
      <c r="I821" s="315" t="s">
        <v>1216</v>
      </c>
      <c r="J821" s="315" t="str">
        <f t="shared" si="76"/>
        <v>BridgestoneWorkshop Retail Sales Gross Profit % of Sales</v>
      </c>
      <c r="K821" s="315" t="str">
        <f t="shared" si="77"/>
        <v>935Other franchise/business expense</v>
      </c>
      <c r="L821" s="311">
        <f>+SUMIF('TUNZ Extracted TB'!M:M,$P821,'TUNZ Extracted TB'!G:G)</f>
        <v>0</v>
      </c>
      <c r="M821" s="311"/>
      <c r="N821" s="311">
        <f>+SUMIF('Input Sheet'!$AE:$AE,P821,'Input Sheet'!$X:$X)</f>
        <v>0</v>
      </c>
      <c r="O821" s="311"/>
      <c r="P821" t="str">
        <f t="shared" si="78"/>
        <v>935-4481</v>
      </c>
      <c r="Q821" s="315" t="str">
        <f t="shared" si="79"/>
        <v>Bridgestone</v>
      </c>
      <c r="R821" s="315" t="str">
        <f t="shared" si="80"/>
        <v>BridgestoneWorkshop Retail Sales Gross Profit % of Sales</v>
      </c>
      <c r="S821" s="199"/>
      <c r="T821" s="199"/>
      <c r="U821" s="199"/>
    </row>
    <row r="822" spans="1:21" x14ac:dyDescent="0.25">
      <c r="A822" t="s">
        <v>996</v>
      </c>
      <c r="B822" t="s">
        <v>997</v>
      </c>
      <c r="C822" t="s">
        <v>1012</v>
      </c>
      <c r="D822">
        <v>4481</v>
      </c>
      <c r="E822">
        <v>430</v>
      </c>
      <c r="F822" t="s">
        <v>1214</v>
      </c>
      <c r="G822" t="s">
        <v>1215</v>
      </c>
      <c r="H822" s="315" t="s">
        <v>5</v>
      </c>
      <c r="I822" s="315" t="s">
        <v>1216</v>
      </c>
      <c r="J822" s="315" t="str">
        <f t="shared" si="76"/>
        <v>PartsWorkshop Retail Sales Gross Profit % of Sales</v>
      </c>
      <c r="K822" s="315" t="str">
        <f t="shared" si="77"/>
        <v>430Parts Workshop Retail COS - Toyota</v>
      </c>
      <c r="L822" s="311">
        <f>+SUMIF('TUNZ Extracted TB'!M:M,$P822,'TUNZ Extracted TB'!G:G)</f>
        <v>809.59</v>
      </c>
      <c r="M822" s="311"/>
      <c r="N822" s="311">
        <f>+SUMIF('Input Sheet'!$AE:$AE,P822,'Input Sheet'!$X:$X)</f>
        <v>0</v>
      </c>
      <c r="O822" s="311"/>
      <c r="P822" t="str">
        <f t="shared" si="78"/>
        <v>430-4481</v>
      </c>
      <c r="Q822" s="315" t="str">
        <f t="shared" si="79"/>
        <v>Parts</v>
      </c>
      <c r="R822" s="315" t="str">
        <f t="shared" si="80"/>
        <v>PartsWorkshop Retail Sales Gross Profit % of Sales</v>
      </c>
      <c r="S822" s="199"/>
      <c r="T822" s="199"/>
      <c r="U822" s="199"/>
    </row>
    <row r="823" spans="1:21" x14ac:dyDescent="0.25">
      <c r="A823" t="s">
        <v>996</v>
      </c>
      <c r="B823" t="s">
        <v>997</v>
      </c>
      <c r="C823" t="s">
        <v>1012</v>
      </c>
      <c r="D823">
        <v>4482</v>
      </c>
      <c r="E823">
        <v>430</v>
      </c>
      <c r="F823" t="s">
        <v>1214</v>
      </c>
      <c r="G823" t="s">
        <v>1215</v>
      </c>
      <c r="H823" s="315" t="s">
        <v>5</v>
      </c>
      <c r="I823" s="315" t="s">
        <v>1216</v>
      </c>
      <c r="J823" s="315" t="str">
        <f t="shared" si="76"/>
        <v>PartsWorkshop Retail Sales Gross Profit % of Sales</v>
      </c>
      <c r="K823" s="315" t="str">
        <f t="shared" si="77"/>
        <v>430Parts Workshop Retail COS - Toyota</v>
      </c>
      <c r="L823" s="311">
        <f>+SUMIF('TUNZ Extracted TB'!M:M,$P823,'TUNZ Extracted TB'!G:G)</f>
        <v>5671.5</v>
      </c>
      <c r="M823" s="311"/>
      <c r="N823" s="311">
        <f>+SUMIF('Input Sheet'!$AE:$AE,P823,'Input Sheet'!$X:$X)</f>
        <v>0</v>
      </c>
      <c r="O823" s="311"/>
      <c r="P823" t="str">
        <f t="shared" si="78"/>
        <v>430-4482</v>
      </c>
      <c r="Q823" s="315" t="str">
        <f t="shared" si="79"/>
        <v>Parts</v>
      </c>
      <c r="R823" s="315" t="str">
        <f t="shared" si="80"/>
        <v>PartsWorkshop Retail Sales Gross Profit % of Sales</v>
      </c>
      <c r="S823" s="199"/>
      <c r="T823" s="199"/>
      <c r="U823" s="199"/>
    </row>
    <row r="824" spans="1:21" x14ac:dyDescent="0.25">
      <c r="A824" t="s">
        <v>996</v>
      </c>
      <c r="B824" t="s">
        <v>997</v>
      </c>
      <c r="C824" t="s">
        <v>1013</v>
      </c>
      <c r="D824">
        <v>4482</v>
      </c>
      <c r="E824">
        <v>330</v>
      </c>
      <c r="F824" t="s">
        <v>1214</v>
      </c>
      <c r="G824" t="s">
        <v>1215</v>
      </c>
      <c r="H824" s="315" t="s">
        <v>5</v>
      </c>
      <c r="I824" s="315" t="s">
        <v>1216</v>
      </c>
      <c r="J824" s="315" t="str">
        <f t="shared" si="76"/>
        <v>PartsWorkshop Retail Sales Gross Profit % of Sales</v>
      </c>
      <c r="K824" s="315" t="str">
        <f t="shared" si="77"/>
        <v>330Parts Workshop Retail COS - Toyota</v>
      </c>
      <c r="L824" s="311">
        <f>+SUMIF('TUNZ Extracted TB'!M:M,$P824,'TUNZ Extracted TB'!G:G)</f>
        <v>1242.5899999999999</v>
      </c>
      <c r="M824" s="311"/>
      <c r="N824" s="311">
        <f>+SUMIF('Input Sheet'!$AE:$AE,P824,'Input Sheet'!$X:$X)</f>
        <v>0</v>
      </c>
      <c r="O824" s="311"/>
      <c r="P824" t="str">
        <f t="shared" si="78"/>
        <v>330-4482</v>
      </c>
      <c r="Q824" s="315" t="str">
        <f t="shared" si="79"/>
        <v>Parts</v>
      </c>
      <c r="R824" s="315" t="str">
        <f t="shared" si="80"/>
        <v>PartsWorkshop Retail Sales Gross Profit % of Sales</v>
      </c>
      <c r="S824" s="199"/>
      <c r="T824" s="199"/>
      <c r="U824" s="199"/>
    </row>
    <row r="825" spans="1:21" x14ac:dyDescent="0.25">
      <c r="A825" t="s">
        <v>996</v>
      </c>
      <c r="B825" t="s">
        <v>997</v>
      </c>
      <c r="C825" t="s">
        <v>1005</v>
      </c>
      <c r="D825">
        <v>4482</v>
      </c>
      <c r="E825">
        <v>230</v>
      </c>
      <c r="F825" t="s">
        <v>1214</v>
      </c>
      <c r="G825" t="s">
        <v>1215</v>
      </c>
      <c r="H825" s="315" t="s">
        <v>5</v>
      </c>
      <c r="I825" s="315" t="s">
        <v>1216</v>
      </c>
      <c r="J825" s="315" t="str">
        <f t="shared" si="76"/>
        <v>PartsWorkshop Retail Sales Gross Profit % of Sales</v>
      </c>
      <c r="K825" s="315" t="str">
        <f t="shared" si="77"/>
        <v>230Parts Workshop Retail COS - Toyota</v>
      </c>
      <c r="L825" s="311">
        <f>+SUMIF('TUNZ Extracted TB'!M:M,$P825,'TUNZ Extracted TB'!G:G)</f>
        <v>594.85</v>
      </c>
      <c r="M825" s="311"/>
      <c r="N825" s="311">
        <f>+SUMIF('Input Sheet'!$AE:$AE,P825,'Input Sheet'!$X:$X)</f>
        <v>0</v>
      </c>
      <c r="O825" s="311"/>
      <c r="P825" t="str">
        <f t="shared" si="78"/>
        <v>230-4482</v>
      </c>
      <c r="Q825" s="315" t="str">
        <f t="shared" si="79"/>
        <v>Parts</v>
      </c>
      <c r="R825" s="315" t="str">
        <f t="shared" si="80"/>
        <v>PartsWorkshop Retail Sales Gross Profit % of Sales</v>
      </c>
      <c r="S825" s="199"/>
      <c r="T825" s="199"/>
      <c r="U825" s="199"/>
    </row>
    <row r="826" spans="1:21" x14ac:dyDescent="0.25">
      <c r="A826" t="s">
        <v>996</v>
      </c>
      <c r="B826" t="s">
        <v>997</v>
      </c>
      <c r="C826" t="s">
        <v>997</v>
      </c>
      <c r="D826">
        <v>4482</v>
      </c>
      <c r="E826">
        <v>130</v>
      </c>
      <c r="F826" t="s">
        <v>1214</v>
      </c>
      <c r="G826" t="s">
        <v>1215</v>
      </c>
      <c r="H826" s="315" t="s">
        <v>5</v>
      </c>
      <c r="I826" s="315" t="s">
        <v>1216</v>
      </c>
      <c r="J826" s="315" t="str">
        <f t="shared" si="76"/>
        <v>PartsWorkshop Retail Sales Gross Profit % of Sales</v>
      </c>
      <c r="K826" s="315" t="str">
        <f t="shared" si="77"/>
        <v>130Parts Workshop Retail COS - Toyota</v>
      </c>
      <c r="L826" s="311">
        <f>+SUMIF('TUNZ Extracted TB'!M:M,$P826,'TUNZ Extracted TB'!G:G)</f>
        <v>2203.35</v>
      </c>
      <c r="M826" s="311"/>
      <c r="N826" s="311">
        <f>+SUMIF('Input Sheet'!$AE:$AE,P826,'Input Sheet'!$X:$X)</f>
        <v>0</v>
      </c>
      <c r="O826" s="311"/>
      <c r="P826" t="str">
        <f t="shared" si="78"/>
        <v>130-4482</v>
      </c>
      <c r="Q826" s="315" t="str">
        <f t="shared" si="79"/>
        <v>Parts</v>
      </c>
      <c r="R826" s="315" t="str">
        <f t="shared" si="80"/>
        <v>PartsWorkshop Retail Sales Gross Profit % of Sales</v>
      </c>
      <c r="S826" s="199"/>
      <c r="T826" s="199"/>
      <c r="U826" s="199"/>
    </row>
    <row r="827" spans="1:21" x14ac:dyDescent="0.25">
      <c r="A827" t="s">
        <v>996</v>
      </c>
      <c r="B827" t="s">
        <v>997</v>
      </c>
      <c r="C827" t="s">
        <v>997</v>
      </c>
      <c r="D827">
        <v>4482</v>
      </c>
      <c r="E827">
        <v>132</v>
      </c>
      <c r="F827" t="s">
        <v>1218</v>
      </c>
      <c r="G827" t="s">
        <v>1219</v>
      </c>
      <c r="H827" s="315" t="s">
        <v>143</v>
      </c>
      <c r="I827" s="315" t="s">
        <v>1216</v>
      </c>
      <c r="J827" s="315" t="str">
        <f t="shared" si="76"/>
        <v>LEX PartsWorkshop Retail Sales Gross Profit % of Sales</v>
      </c>
      <c r="K827" s="315" t="str">
        <f t="shared" si="77"/>
        <v>132Parts Workshop Retail COS - Lexus</v>
      </c>
      <c r="L827" s="311">
        <f>+SUMIF('TUNZ Extracted TB'!M:M,$P827,'TUNZ Extracted TB'!G:G)</f>
        <v>0</v>
      </c>
      <c r="M827" s="311"/>
      <c r="N827" s="311">
        <f>+SUMIF('Input Sheet'!$AE:$AE,P827,'Input Sheet'!$X:$X)</f>
        <v>0</v>
      </c>
      <c r="O827" s="311"/>
      <c r="P827" t="str">
        <f t="shared" si="78"/>
        <v>132-4482</v>
      </c>
      <c r="Q827" s="315" t="str">
        <f t="shared" si="79"/>
        <v>LEX Parts</v>
      </c>
      <c r="R827" s="315" t="str">
        <f t="shared" si="80"/>
        <v>LEX PartsWorkshop Retail Sales Gross Profit % of Sales</v>
      </c>
      <c r="S827" s="199"/>
      <c r="T827" s="199"/>
      <c r="U827" s="199"/>
    </row>
    <row r="828" spans="1:21" x14ac:dyDescent="0.25">
      <c r="A828" t="s">
        <v>996</v>
      </c>
      <c r="B828" t="s">
        <v>997</v>
      </c>
      <c r="C828" t="s">
        <v>997</v>
      </c>
      <c r="D828">
        <v>4482</v>
      </c>
      <c r="E828">
        <v>936</v>
      </c>
      <c r="F828" t="s">
        <v>1175</v>
      </c>
      <c r="G828" t="s">
        <v>1176</v>
      </c>
      <c r="H828" s="315" t="s">
        <v>58</v>
      </c>
      <c r="I828" s="315" t="s">
        <v>1216</v>
      </c>
      <c r="J828" s="315" t="str">
        <f t="shared" si="76"/>
        <v>BridgestoneWorkshop Retail Sales Gross Profit % of Sales</v>
      </c>
      <c r="K828" s="315" t="str">
        <f t="shared" si="77"/>
        <v>936Other franchise/business expense</v>
      </c>
      <c r="L828" s="311">
        <f>+SUMIF('TUNZ Extracted TB'!M:M,$P828,'TUNZ Extracted TB'!G:G)</f>
        <v>0</v>
      </c>
      <c r="M828" s="311"/>
      <c r="N828" s="311">
        <f>+SUMIF('Input Sheet'!$AE:$AE,P828,'Input Sheet'!$X:$X)</f>
        <v>0</v>
      </c>
      <c r="O828" s="311"/>
      <c r="P828" t="str">
        <f t="shared" si="78"/>
        <v>936-4482</v>
      </c>
      <c r="Q828" s="315" t="str">
        <f t="shared" si="79"/>
        <v>Bridgestone</v>
      </c>
      <c r="R828" s="315" t="str">
        <f t="shared" si="80"/>
        <v>BridgestoneWorkshop Retail Sales Gross Profit % of Sales</v>
      </c>
      <c r="S828" s="199"/>
      <c r="T828" s="199"/>
      <c r="U828" s="199"/>
    </row>
    <row r="829" spans="1:21" x14ac:dyDescent="0.25">
      <c r="A829" t="s">
        <v>996</v>
      </c>
      <c r="B829" t="s">
        <v>997</v>
      </c>
      <c r="C829" t="s">
        <v>997</v>
      </c>
      <c r="D829">
        <v>4482</v>
      </c>
      <c r="E829">
        <v>935</v>
      </c>
      <c r="F829" t="s">
        <v>1175</v>
      </c>
      <c r="G829" t="s">
        <v>1176</v>
      </c>
      <c r="H829" s="315" t="s">
        <v>58</v>
      </c>
      <c r="I829" s="315" t="s">
        <v>1216</v>
      </c>
      <c r="J829" s="315" t="str">
        <f t="shared" si="76"/>
        <v>BridgestoneWorkshop Retail Sales Gross Profit % of Sales</v>
      </c>
      <c r="K829" s="315" t="str">
        <f t="shared" si="77"/>
        <v>935Other franchise/business expense</v>
      </c>
      <c r="L829" s="311">
        <f>+SUMIF('TUNZ Extracted TB'!M:M,$P829,'TUNZ Extracted TB'!G:G)</f>
        <v>0</v>
      </c>
      <c r="M829" s="311"/>
      <c r="N829" s="311">
        <f>+SUMIF('Input Sheet'!$AE:$AE,P829,'Input Sheet'!$X:$X)</f>
        <v>0</v>
      </c>
      <c r="O829" s="311"/>
      <c r="P829" t="str">
        <f t="shared" si="78"/>
        <v>935-4482</v>
      </c>
      <c r="Q829" s="315" t="str">
        <f t="shared" si="79"/>
        <v>Bridgestone</v>
      </c>
      <c r="R829" s="315" t="str">
        <f t="shared" si="80"/>
        <v>BridgestoneWorkshop Retail Sales Gross Profit % of Sales</v>
      </c>
      <c r="S829" s="199"/>
      <c r="T829" s="199"/>
      <c r="U829" s="199"/>
    </row>
    <row r="830" spans="1:21" x14ac:dyDescent="0.25">
      <c r="A830" t="s">
        <v>996</v>
      </c>
      <c r="B830" t="s">
        <v>997</v>
      </c>
      <c r="C830" t="s">
        <v>997</v>
      </c>
      <c r="D830">
        <v>4485</v>
      </c>
      <c r="E830">
        <v>132</v>
      </c>
      <c r="F830" t="s">
        <v>1211</v>
      </c>
      <c r="G830" t="s">
        <v>1212</v>
      </c>
      <c r="H830" s="315" t="s">
        <v>143</v>
      </c>
      <c r="I830" s="315" t="s">
        <v>1209</v>
      </c>
      <c r="J830" s="315" t="str">
        <f t="shared" si="76"/>
        <v>LEX PartsTrade Sales Gross Profit % of Sales</v>
      </c>
      <c r="K830" s="315" t="str">
        <f t="shared" si="77"/>
        <v>132Parts Trade COS - Lexus</v>
      </c>
      <c r="L830" s="311">
        <f>+SUMIF('TUNZ Extracted TB'!M:M,$P830,'TUNZ Extracted TB'!G:G)</f>
        <v>0</v>
      </c>
      <c r="M830" s="311"/>
      <c r="N830" s="311">
        <f>+SUMIF('Input Sheet'!$AE:$AE,P830,'Input Sheet'!$X:$X)</f>
        <v>0</v>
      </c>
      <c r="O830" s="311"/>
      <c r="P830" t="str">
        <f t="shared" si="78"/>
        <v>132-4485</v>
      </c>
      <c r="Q830" s="315" t="str">
        <f t="shared" si="79"/>
        <v>LEX Parts</v>
      </c>
      <c r="R830" s="315" t="str">
        <f t="shared" si="80"/>
        <v>LEX PartsTrade Sales Gross Profit % of Sales</v>
      </c>
      <c r="S830" s="199"/>
      <c r="T830" s="199"/>
      <c r="U830" s="199"/>
    </row>
    <row r="831" spans="1:21" x14ac:dyDescent="0.25">
      <c r="A831" t="s">
        <v>996</v>
      </c>
      <c r="B831" t="s">
        <v>997</v>
      </c>
      <c r="C831" t="s">
        <v>997</v>
      </c>
      <c r="D831">
        <v>4485</v>
      </c>
      <c r="E831">
        <v>130</v>
      </c>
      <c r="F831" t="s">
        <v>1207</v>
      </c>
      <c r="G831" t="s">
        <v>1208</v>
      </c>
      <c r="H831" s="315" t="s">
        <v>5</v>
      </c>
      <c r="I831" s="315" t="s">
        <v>1209</v>
      </c>
      <c r="J831" s="315" t="str">
        <f t="shared" si="76"/>
        <v>PartsTrade Sales Gross Profit % of Sales</v>
      </c>
      <c r="K831" s="315" t="str">
        <f t="shared" si="77"/>
        <v>130Parts Trade COS - Toyota</v>
      </c>
      <c r="L831" s="311">
        <f>+SUMIF('TUNZ Extracted TB'!M:M,$P831,'TUNZ Extracted TB'!G:G)</f>
        <v>0</v>
      </c>
      <c r="M831" s="311"/>
      <c r="N831" s="311">
        <f>+SUMIF('Input Sheet'!$AE:$AE,P831,'Input Sheet'!$X:$X)</f>
        <v>0</v>
      </c>
      <c r="O831" s="311"/>
      <c r="P831" t="str">
        <f t="shared" si="78"/>
        <v>130-4485</v>
      </c>
      <c r="Q831" s="315" t="str">
        <f t="shared" si="79"/>
        <v>Parts</v>
      </c>
      <c r="R831" s="315" t="str">
        <f t="shared" si="80"/>
        <v>PartsTrade Sales Gross Profit % of Sales</v>
      </c>
      <c r="S831" s="199"/>
      <c r="T831" s="199"/>
      <c r="U831" s="199"/>
    </row>
    <row r="832" spans="1:21" x14ac:dyDescent="0.25">
      <c r="A832" t="s">
        <v>996</v>
      </c>
      <c r="B832" t="s">
        <v>997</v>
      </c>
      <c r="C832" t="s">
        <v>997</v>
      </c>
      <c r="D832">
        <v>4485</v>
      </c>
      <c r="E832">
        <v>936</v>
      </c>
      <c r="F832" t="s">
        <v>1175</v>
      </c>
      <c r="G832" t="s">
        <v>1176</v>
      </c>
      <c r="H832" s="315" t="s">
        <v>58</v>
      </c>
      <c r="I832" s="315" t="s">
        <v>1209</v>
      </c>
      <c r="J832" s="315" t="str">
        <f t="shared" si="76"/>
        <v>BridgestoneTrade Sales Gross Profit % of Sales</v>
      </c>
      <c r="K832" s="315" t="str">
        <f t="shared" si="77"/>
        <v>936Other franchise/business expense</v>
      </c>
      <c r="L832" s="311">
        <f>+SUMIF('TUNZ Extracted TB'!M:M,$P832,'TUNZ Extracted TB'!G:G)</f>
        <v>0</v>
      </c>
      <c r="M832" s="311"/>
      <c r="N832" s="311">
        <f>+SUMIF('Input Sheet'!$AE:$AE,P832,'Input Sheet'!$X:$X)</f>
        <v>0</v>
      </c>
      <c r="O832" s="311"/>
      <c r="P832" t="str">
        <f t="shared" si="78"/>
        <v>936-4485</v>
      </c>
      <c r="Q832" s="315" t="str">
        <f t="shared" si="79"/>
        <v>Bridgestone</v>
      </c>
      <c r="R832" s="315" t="str">
        <f t="shared" si="80"/>
        <v>BridgestoneTrade Sales Gross Profit % of Sales</v>
      </c>
      <c r="S832" s="199"/>
      <c r="T832" s="199"/>
      <c r="U832" s="199"/>
    </row>
    <row r="833" spans="1:21" x14ac:dyDescent="0.25">
      <c r="A833" t="s">
        <v>996</v>
      </c>
      <c r="B833" t="s">
        <v>997</v>
      </c>
      <c r="C833" t="s">
        <v>997</v>
      </c>
      <c r="D833">
        <v>4485</v>
      </c>
      <c r="E833">
        <v>935</v>
      </c>
      <c r="F833" t="s">
        <v>1175</v>
      </c>
      <c r="G833" t="s">
        <v>1176</v>
      </c>
      <c r="H833" s="315" t="s">
        <v>58</v>
      </c>
      <c r="I833" s="315" t="s">
        <v>1209</v>
      </c>
      <c r="J833" s="315" t="str">
        <f t="shared" si="76"/>
        <v>BridgestoneTrade Sales Gross Profit % of Sales</v>
      </c>
      <c r="K833" s="315" t="str">
        <f t="shared" si="77"/>
        <v>935Other franchise/business expense</v>
      </c>
      <c r="L833" s="311">
        <f>+SUMIF('TUNZ Extracted TB'!M:M,$P833,'TUNZ Extracted TB'!G:G)</f>
        <v>0</v>
      </c>
      <c r="M833" s="311"/>
      <c r="N833" s="311">
        <f>+SUMIF('Input Sheet'!$AE:$AE,P833,'Input Sheet'!$X:$X)</f>
        <v>0</v>
      </c>
      <c r="O833" s="311"/>
      <c r="P833" t="str">
        <f t="shared" si="78"/>
        <v>935-4485</v>
      </c>
      <c r="Q833" s="315" t="str">
        <f t="shared" si="79"/>
        <v>Bridgestone</v>
      </c>
      <c r="R833" s="315" t="str">
        <f t="shared" si="80"/>
        <v>BridgestoneTrade Sales Gross Profit % of Sales</v>
      </c>
      <c r="S833" s="199"/>
      <c r="T833" s="199"/>
      <c r="U833" s="199"/>
    </row>
    <row r="834" spans="1:21" x14ac:dyDescent="0.25">
      <c r="A834" t="s">
        <v>996</v>
      </c>
      <c r="B834" t="s">
        <v>997</v>
      </c>
      <c r="C834" t="s">
        <v>1005</v>
      </c>
      <c r="D834">
        <v>4485</v>
      </c>
      <c r="E834">
        <v>230</v>
      </c>
      <c r="F834" t="s">
        <v>1207</v>
      </c>
      <c r="G834" t="s">
        <v>1208</v>
      </c>
      <c r="H834" s="315" t="s">
        <v>5</v>
      </c>
      <c r="I834" s="315" t="s">
        <v>1209</v>
      </c>
      <c r="J834" s="315" t="str">
        <f t="shared" si="76"/>
        <v>PartsTrade Sales Gross Profit % of Sales</v>
      </c>
      <c r="K834" s="315" t="str">
        <f t="shared" si="77"/>
        <v>230Parts Trade COS - Toyota</v>
      </c>
      <c r="L834" s="311">
        <f>+SUMIF('TUNZ Extracted TB'!M:M,$P834,'TUNZ Extracted TB'!G:G)</f>
        <v>0</v>
      </c>
      <c r="M834" s="311"/>
      <c r="N834" s="311">
        <f>+SUMIF('Input Sheet'!$AE:$AE,P834,'Input Sheet'!$X:$X)</f>
        <v>0</v>
      </c>
      <c r="O834" s="311"/>
      <c r="P834" t="str">
        <f t="shared" si="78"/>
        <v>230-4485</v>
      </c>
      <c r="Q834" s="315" t="str">
        <f t="shared" si="79"/>
        <v>Parts</v>
      </c>
      <c r="R834" s="315" t="str">
        <f t="shared" si="80"/>
        <v>PartsTrade Sales Gross Profit % of Sales</v>
      </c>
      <c r="S834" s="199"/>
      <c r="T834" s="199"/>
      <c r="U834" s="199"/>
    </row>
    <row r="835" spans="1:21" x14ac:dyDescent="0.25">
      <c r="A835" t="s">
        <v>996</v>
      </c>
      <c r="B835" t="s">
        <v>997</v>
      </c>
      <c r="C835" t="s">
        <v>1012</v>
      </c>
      <c r="D835">
        <v>4485</v>
      </c>
      <c r="E835">
        <v>430</v>
      </c>
      <c r="F835" t="s">
        <v>1207</v>
      </c>
      <c r="G835" t="s">
        <v>1208</v>
      </c>
      <c r="H835" s="315" t="s">
        <v>5</v>
      </c>
      <c r="I835" s="315" t="s">
        <v>1209</v>
      </c>
      <c r="J835" s="315" t="str">
        <f t="shared" ref="J835:J898" si="81">+H835&amp;I835</f>
        <v>PartsTrade Sales Gross Profit % of Sales</v>
      </c>
      <c r="K835" s="315" t="str">
        <f t="shared" ref="K835:K898" si="82">+E835&amp;G835</f>
        <v>430Parts Trade COS - Toyota</v>
      </c>
      <c r="L835" s="311">
        <f>+SUMIF('TUNZ Extracted TB'!M:M,$P835,'TUNZ Extracted TB'!G:G)</f>
        <v>0</v>
      </c>
      <c r="M835" s="311"/>
      <c r="N835" s="311">
        <f>+SUMIF('Input Sheet'!$AE:$AE,P835,'Input Sheet'!$X:$X)</f>
        <v>0</v>
      </c>
      <c r="O835" s="311"/>
      <c r="P835" t="str">
        <f t="shared" ref="P835:P898" si="83">+E835&amp;"-"&amp;D835</f>
        <v>430-4485</v>
      </c>
      <c r="Q835" s="315" t="str">
        <f t="shared" ref="Q835:Q898" si="84">H835</f>
        <v>Parts</v>
      </c>
      <c r="R835" s="315" t="str">
        <f t="shared" ref="R835:R898" si="85">J835</f>
        <v>PartsTrade Sales Gross Profit % of Sales</v>
      </c>
      <c r="S835" s="199"/>
      <c r="T835" s="199"/>
      <c r="U835" s="199"/>
    </row>
    <row r="836" spans="1:21" x14ac:dyDescent="0.25">
      <c r="A836" t="s">
        <v>996</v>
      </c>
      <c r="B836" t="s">
        <v>997</v>
      </c>
      <c r="C836" t="s">
        <v>1013</v>
      </c>
      <c r="D836">
        <v>4485</v>
      </c>
      <c r="E836">
        <v>330</v>
      </c>
      <c r="F836" t="s">
        <v>1207</v>
      </c>
      <c r="G836" t="s">
        <v>1208</v>
      </c>
      <c r="H836" s="315" t="s">
        <v>5</v>
      </c>
      <c r="I836" s="315" t="s">
        <v>1209</v>
      </c>
      <c r="J836" s="315" t="str">
        <f t="shared" si="81"/>
        <v>PartsTrade Sales Gross Profit % of Sales</v>
      </c>
      <c r="K836" s="315" t="str">
        <f t="shared" si="82"/>
        <v>330Parts Trade COS - Toyota</v>
      </c>
      <c r="L836" s="311">
        <f>+SUMIF('TUNZ Extracted TB'!M:M,$P836,'TUNZ Extracted TB'!G:G)</f>
        <v>0</v>
      </c>
      <c r="M836" s="311"/>
      <c r="N836" s="311">
        <f>+SUMIF('Input Sheet'!$AE:$AE,P836,'Input Sheet'!$X:$X)</f>
        <v>0</v>
      </c>
      <c r="O836" s="311"/>
      <c r="P836" t="str">
        <f t="shared" si="83"/>
        <v>330-4485</v>
      </c>
      <c r="Q836" s="315" t="str">
        <f t="shared" si="84"/>
        <v>Parts</v>
      </c>
      <c r="R836" s="315" t="str">
        <f t="shared" si="85"/>
        <v>PartsTrade Sales Gross Profit % of Sales</v>
      </c>
      <c r="S836" s="199"/>
      <c r="T836" s="199"/>
      <c r="U836" s="199"/>
    </row>
    <row r="837" spans="1:21" x14ac:dyDescent="0.25">
      <c r="A837" t="s">
        <v>996</v>
      </c>
      <c r="B837" t="s">
        <v>997</v>
      </c>
      <c r="C837" t="s">
        <v>997</v>
      </c>
      <c r="D837">
        <v>4495</v>
      </c>
      <c r="E837">
        <v>130</v>
      </c>
      <c r="F837" t="s">
        <v>1220</v>
      </c>
      <c r="G837" t="s">
        <v>1221</v>
      </c>
      <c r="H837" s="315" t="s">
        <v>5</v>
      </c>
      <c r="I837" s="315" t="s">
        <v>1222</v>
      </c>
      <c r="J837" s="315" t="str">
        <f t="shared" si="81"/>
        <v>PartsOther Sales Gross Profit % of Sales</v>
      </c>
      <c r="K837" s="315" t="str">
        <f t="shared" si="82"/>
        <v>130Parts Other COS - Toyota</v>
      </c>
      <c r="L837" s="311">
        <f>+SUMIF('TUNZ Extracted TB'!M:M,$P837,'TUNZ Extracted TB'!G:G)</f>
        <v>0</v>
      </c>
      <c r="M837" s="311"/>
      <c r="N837" s="311">
        <f>+SUMIF('Input Sheet'!$AE:$AE,P837,'Input Sheet'!$X:$X)</f>
        <v>0</v>
      </c>
      <c r="O837" s="311"/>
      <c r="P837" t="str">
        <f t="shared" si="83"/>
        <v>130-4495</v>
      </c>
      <c r="Q837" s="315" t="str">
        <f t="shared" si="84"/>
        <v>Parts</v>
      </c>
      <c r="R837" s="315" t="str">
        <f t="shared" si="85"/>
        <v>PartsOther Sales Gross Profit % of Sales</v>
      </c>
      <c r="S837" s="199"/>
      <c r="T837" s="199"/>
      <c r="U837" s="199"/>
    </row>
    <row r="838" spans="1:21" x14ac:dyDescent="0.25">
      <c r="A838" t="s">
        <v>996</v>
      </c>
      <c r="B838" t="s">
        <v>997</v>
      </c>
      <c r="C838" t="s">
        <v>997</v>
      </c>
      <c r="D838">
        <v>4495</v>
      </c>
      <c r="E838">
        <v>132</v>
      </c>
      <c r="F838" t="s">
        <v>1211</v>
      </c>
      <c r="G838" t="s">
        <v>1212</v>
      </c>
      <c r="H838" s="315" t="s">
        <v>143</v>
      </c>
      <c r="I838" s="315" t="s">
        <v>1222</v>
      </c>
      <c r="J838" s="315" t="str">
        <f t="shared" si="81"/>
        <v>LEX PartsOther Sales Gross Profit % of Sales</v>
      </c>
      <c r="K838" s="315" t="str">
        <f t="shared" si="82"/>
        <v>132Parts Trade COS - Lexus</v>
      </c>
      <c r="L838" s="311">
        <f>+SUMIF('TUNZ Extracted TB'!M:M,$P838,'TUNZ Extracted TB'!G:G)</f>
        <v>0</v>
      </c>
      <c r="M838" s="311"/>
      <c r="N838" s="311">
        <f>+SUMIF('Input Sheet'!$AE:$AE,P838,'Input Sheet'!$X:$X)</f>
        <v>0</v>
      </c>
      <c r="O838" s="311"/>
      <c r="P838" t="str">
        <f t="shared" si="83"/>
        <v>132-4495</v>
      </c>
      <c r="Q838" s="315" t="str">
        <f t="shared" si="84"/>
        <v>LEX Parts</v>
      </c>
      <c r="R838" s="315" t="str">
        <f t="shared" si="85"/>
        <v>LEX PartsOther Sales Gross Profit % of Sales</v>
      </c>
      <c r="S838" s="199"/>
      <c r="T838" s="199"/>
      <c r="U838" s="199"/>
    </row>
    <row r="839" spans="1:21" x14ac:dyDescent="0.25">
      <c r="A839" t="s">
        <v>996</v>
      </c>
      <c r="B839" t="s">
        <v>997</v>
      </c>
      <c r="C839" t="s">
        <v>997</v>
      </c>
      <c r="D839">
        <v>4495</v>
      </c>
      <c r="E839">
        <v>936</v>
      </c>
      <c r="F839" t="s">
        <v>1175</v>
      </c>
      <c r="G839" t="s">
        <v>1176</v>
      </c>
      <c r="H839" s="315" t="s">
        <v>58</v>
      </c>
      <c r="I839" s="315" t="s">
        <v>1222</v>
      </c>
      <c r="J839" s="315" t="str">
        <f t="shared" si="81"/>
        <v>BridgestoneOther Sales Gross Profit % of Sales</v>
      </c>
      <c r="K839" s="315" t="str">
        <f t="shared" si="82"/>
        <v>936Other franchise/business expense</v>
      </c>
      <c r="L839" s="311">
        <f>+SUMIF('TUNZ Extracted TB'!M:M,$P839,'TUNZ Extracted TB'!G:G)</f>
        <v>0</v>
      </c>
      <c r="M839" s="311"/>
      <c r="N839" s="311">
        <f>+SUMIF('Input Sheet'!$AE:$AE,P839,'Input Sheet'!$X:$X)</f>
        <v>0</v>
      </c>
      <c r="O839" s="311"/>
      <c r="P839" t="str">
        <f t="shared" si="83"/>
        <v>936-4495</v>
      </c>
      <c r="Q839" s="315" t="str">
        <f t="shared" si="84"/>
        <v>Bridgestone</v>
      </c>
      <c r="R839" s="315" t="str">
        <f t="shared" si="85"/>
        <v>BridgestoneOther Sales Gross Profit % of Sales</v>
      </c>
      <c r="S839" s="199"/>
      <c r="T839" s="199"/>
      <c r="U839" s="199"/>
    </row>
    <row r="840" spans="1:21" x14ac:dyDescent="0.25">
      <c r="A840" t="s">
        <v>996</v>
      </c>
      <c r="B840" t="s">
        <v>997</v>
      </c>
      <c r="C840" t="s">
        <v>997</v>
      </c>
      <c r="D840">
        <v>4495</v>
      </c>
      <c r="E840">
        <v>935</v>
      </c>
      <c r="F840" t="s">
        <v>1175</v>
      </c>
      <c r="G840" t="s">
        <v>1176</v>
      </c>
      <c r="H840" s="315" t="s">
        <v>58</v>
      </c>
      <c r="I840" s="315" t="s">
        <v>1222</v>
      </c>
      <c r="J840" s="315" t="str">
        <f t="shared" si="81"/>
        <v>BridgestoneOther Sales Gross Profit % of Sales</v>
      </c>
      <c r="K840" s="315" t="str">
        <f t="shared" si="82"/>
        <v>935Other franchise/business expense</v>
      </c>
      <c r="L840" s="311">
        <f>+SUMIF('TUNZ Extracted TB'!M:M,$P840,'TUNZ Extracted TB'!G:G)</f>
        <v>0</v>
      </c>
      <c r="M840" s="311"/>
      <c r="N840" s="311">
        <f>+SUMIF('Input Sheet'!$AE:$AE,P840,'Input Sheet'!$X:$X)</f>
        <v>0</v>
      </c>
      <c r="O840" s="311"/>
      <c r="P840" t="str">
        <f t="shared" si="83"/>
        <v>935-4495</v>
      </c>
      <c r="Q840" s="315" t="str">
        <f t="shared" si="84"/>
        <v>Bridgestone</v>
      </c>
      <c r="R840" s="315" t="str">
        <f t="shared" si="85"/>
        <v>BridgestoneOther Sales Gross Profit % of Sales</v>
      </c>
      <c r="S840" s="199"/>
      <c r="T840" s="199"/>
      <c r="U840" s="199"/>
    </row>
    <row r="841" spans="1:21" x14ac:dyDescent="0.25">
      <c r="A841" t="s">
        <v>996</v>
      </c>
      <c r="B841" t="s">
        <v>997</v>
      </c>
      <c r="C841" t="s">
        <v>1005</v>
      </c>
      <c r="D841">
        <v>4495</v>
      </c>
      <c r="E841">
        <v>230</v>
      </c>
      <c r="F841" t="s">
        <v>1220</v>
      </c>
      <c r="G841" t="s">
        <v>1221</v>
      </c>
      <c r="H841" s="315" t="s">
        <v>5</v>
      </c>
      <c r="I841" s="315" t="s">
        <v>1222</v>
      </c>
      <c r="J841" s="315" t="str">
        <f t="shared" si="81"/>
        <v>PartsOther Sales Gross Profit % of Sales</v>
      </c>
      <c r="K841" s="315" t="str">
        <f t="shared" si="82"/>
        <v>230Parts Other COS - Toyota</v>
      </c>
      <c r="L841" s="311">
        <f>+SUMIF('TUNZ Extracted TB'!M:M,$P841,'TUNZ Extracted TB'!G:G)</f>
        <v>0</v>
      </c>
      <c r="M841" s="311"/>
      <c r="N841" s="311">
        <f>+SUMIF('Input Sheet'!$AE:$AE,P841,'Input Sheet'!$X:$X)</f>
        <v>0</v>
      </c>
      <c r="O841" s="311"/>
      <c r="P841" t="str">
        <f t="shared" si="83"/>
        <v>230-4495</v>
      </c>
      <c r="Q841" s="315" t="str">
        <f t="shared" si="84"/>
        <v>Parts</v>
      </c>
      <c r="R841" s="315" t="str">
        <f t="shared" si="85"/>
        <v>PartsOther Sales Gross Profit % of Sales</v>
      </c>
      <c r="S841" s="199"/>
      <c r="T841" s="199"/>
      <c r="U841" s="199"/>
    </row>
    <row r="842" spans="1:21" x14ac:dyDescent="0.25">
      <c r="A842" t="s">
        <v>996</v>
      </c>
      <c r="B842" t="s">
        <v>997</v>
      </c>
      <c r="C842" t="s">
        <v>1012</v>
      </c>
      <c r="D842">
        <v>4495</v>
      </c>
      <c r="E842">
        <v>430</v>
      </c>
      <c r="F842" t="s">
        <v>1220</v>
      </c>
      <c r="G842" t="s">
        <v>1221</v>
      </c>
      <c r="H842" s="315" t="s">
        <v>5</v>
      </c>
      <c r="I842" s="315" t="s">
        <v>1222</v>
      </c>
      <c r="J842" s="315" t="str">
        <f t="shared" si="81"/>
        <v>PartsOther Sales Gross Profit % of Sales</v>
      </c>
      <c r="K842" s="315" t="str">
        <f t="shared" si="82"/>
        <v>430Parts Other COS - Toyota</v>
      </c>
      <c r="L842" s="311">
        <f>+SUMIF('TUNZ Extracted TB'!M:M,$P842,'TUNZ Extracted TB'!G:G)</f>
        <v>0</v>
      </c>
      <c r="M842" s="311"/>
      <c r="N842" s="311">
        <f>+SUMIF('Input Sheet'!$AE:$AE,P842,'Input Sheet'!$X:$X)</f>
        <v>0</v>
      </c>
      <c r="O842" s="311"/>
      <c r="P842" t="str">
        <f t="shared" si="83"/>
        <v>430-4495</v>
      </c>
      <c r="Q842" s="315" t="str">
        <f t="shared" si="84"/>
        <v>Parts</v>
      </c>
      <c r="R842" s="315" t="str">
        <f t="shared" si="85"/>
        <v>PartsOther Sales Gross Profit % of Sales</v>
      </c>
      <c r="S842" s="199"/>
      <c r="T842" s="199"/>
      <c r="U842" s="199"/>
    </row>
    <row r="843" spans="1:21" x14ac:dyDescent="0.25">
      <c r="A843" t="s">
        <v>996</v>
      </c>
      <c r="B843" t="s">
        <v>997</v>
      </c>
      <c r="C843" t="s">
        <v>1013</v>
      </c>
      <c r="D843">
        <v>4495</v>
      </c>
      <c r="E843">
        <v>330</v>
      </c>
      <c r="F843" t="s">
        <v>1220</v>
      </c>
      <c r="G843" t="s">
        <v>1221</v>
      </c>
      <c r="H843" s="315" t="s">
        <v>5</v>
      </c>
      <c r="I843" s="315" t="s">
        <v>1222</v>
      </c>
      <c r="J843" s="315" t="str">
        <f t="shared" si="81"/>
        <v>PartsOther Sales Gross Profit % of Sales</v>
      </c>
      <c r="K843" s="315" t="str">
        <f t="shared" si="82"/>
        <v>330Parts Other COS - Toyota</v>
      </c>
      <c r="L843" s="311">
        <f>+SUMIF('TUNZ Extracted TB'!M:M,$P843,'TUNZ Extracted TB'!G:G)</f>
        <v>0</v>
      </c>
      <c r="M843" s="311"/>
      <c r="N843" s="311">
        <f>+SUMIF('Input Sheet'!$AE:$AE,P843,'Input Sheet'!$X:$X)</f>
        <v>0</v>
      </c>
      <c r="O843" s="311"/>
      <c r="P843" t="str">
        <f t="shared" si="83"/>
        <v>330-4495</v>
      </c>
      <c r="Q843" s="315" t="str">
        <f t="shared" si="84"/>
        <v>Parts</v>
      </c>
      <c r="R843" s="315" t="str">
        <f t="shared" si="85"/>
        <v>PartsOther Sales Gross Profit % of Sales</v>
      </c>
      <c r="S843" s="199"/>
      <c r="T843" s="199"/>
      <c r="U843" s="199"/>
    </row>
    <row r="844" spans="1:21" x14ac:dyDescent="0.25">
      <c r="A844" t="s">
        <v>996</v>
      </c>
      <c r="B844" t="s">
        <v>997</v>
      </c>
      <c r="C844" t="s">
        <v>1005</v>
      </c>
      <c r="D844">
        <v>4500</v>
      </c>
      <c r="E844">
        <v>230</v>
      </c>
      <c r="F844" t="s">
        <v>1223</v>
      </c>
      <c r="G844" t="s">
        <v>1224</v>
      </c>
      <c r="H844" s="315" t="s">
        <v>5</v>
      </c>
      <c r="I844" s="315" t="s">
        <v>1225</v>
      </c>
      <c r="J844" s="315" t="str">
        <f t="shared" si="81"/>
        <v>PartsWarranty Sales Gross Profit % of Sales</v>
      </c>
      <c r="K844" s="315" t="str">
        <f t="shared" si="82"/>
        <v>230Parts Warranty COS - Toyota</v>
      </c>
      <c r="L844" s="311">
        <f>+SUMIF('TUNZ Extracted TB'!M:M,$P844,'TUNZ Extracted TB'!G:G)</f>
        <v>9252.8799999999992</v>
      </c>
      <c r="M844" s="311"/>
      <c r="N844" s="311">
        <f>+SUMIF('Input Sheet'!$AE:$AE,P844,'Input Sheet'!$X:$X)</f>
        <v>43897.85487430339</v>
      </c>
      <c r="O844" s="311"/>
      <c r="P844" t="str">
        <f t="shared" si="83"/>
        <v>230-4500</v>
      </c>
      <c r="Q844" s="315" t="str">
        <f t="shared" si="84"/>
        <v>Parts</v>
      </c>
      <c r="R844" s="315" t="str">
        <f t="shared" si="85"/>
        <v>PartsWarranty Sales Gross Profit % of Sales</v>
      </c>
      <c r="S844" s="199"/>
      <c r="T844" s="199"/>
      <c r="U844" s="199"/>
    </row>
    <row r="845" spans="1:21" x14ac:dyDescent="0.25">
      <c r="A845" t="s">
        <v>996</v>
      </c>
      <c r="B845" t="s">
        <v>997</v>
      </c>
      <c r="C845" t="s">
        <v>1013</v>
      </c>
      <c r="D845">
        <v>4500</v>
      </c>
      <c r="E845">
        <v>330</v>
      </c>
      <c r="F845" t="s">
        <v>1223</v>
      </c>
      <c r="G845" t="s">
        <v>1224</v>
      </c>
      <c r="H845" s="315" t="s">
        <v>5</v>
      </c>
      <c r="I845" s="315" t="s">
        <v>1225</v>
      </c>
      <c r="J845" s="315" t="str">
        <f t="shared" si="81"/>
        <v>PartsWarranty Sales Gross Profit % of Sales</v>
      </c>
      <c r="K845" s="315" t="str">
        <f t="shared" si="82"/>
        <v>330Parts Warranty COS - Toyota</v>
      </c>
      <c r="L845" s="311">
        <f>+SUMIF('TUNZ Extracted TB'!M:M,$P845,'TUNZ Extracted TB'!G:G)</f>
        <v>7094.59</v>
      </c>
      <c r="M845" s="311"/>
      <c r="N845" s="311">
        <f>+SUMIF('Input Sheet'!$AE:$AE,P845,'Input Sheet'!$X:$X)</f>
        <v>18845.294381619246</v>
      </c>
      <c r="O845" s="311"/>
      <c r="P845" t="str">
        <f t="shared" si="83"/>
        <v>330-4500</v>
      </c>
      <c r="Q845" s="315" t="str">
        <f t="shared" si="84"/>
        <v>Parts</v>
      </c>
      <c r="R845" s="315" t="str">
        <f t="shared" si="85"/>
        <v>PartsWarranty Sales Gross Profit % of Sales</v>
      </c>
      <c r="S845" s="199"/>
      <c r="T845" s="199"/>
      <c r="U845" s="199"/>
    </row>
    <row r="846" spans="1:21" x14ac:dyDescent="0.25">
      <c r="A846" t="s">
        <v>996</v>
      </c>
      <c r="B846" t="s">
        <v>997</v>
      </c>
      <c r="C846" t="s">
        <v>1012</v>
      </c>
      <c r="D846">
        <v>4500</v>
      </c>
      <c r="E846">
        <v>430</v>
      </c>
      <c r="F846" t="s">
        <v>1223</v>
      </c>
      <c r="G846" t="s">
        <v>1224</v>
      </c>
      <c r="H846" s="315" t="s">
        <v>5</v>
      </c>
      <c r="I846" s="315" t="s">
        <v>1225</v>
      </c>
      <c r="J846" s="315" t="str">
        <f t="shared" si="81"/>
        <v>PartsWarranty Sales Gross Profit % of Sales</v>
      </c>
      <c r="K846" s="315" t="str">
        <f t="shared" si="82"/>
        <v>430Parts Warranty COS - Toyota</v>
      </c>
      <c r="L846" s="311">
        <f>+SUMIF('TUNZ Extracted TB'!M:M,$P846,'TUNZ Extracted TB'!G:G)</f>
        <v>3995.24</v>
      </c>
      <c r="M846" s="311"/>
      <c r="N846" s="311">
        <f>+SUMIF('Input Sheet'!$AE:$AE,P846,'Input Sheet'!$X:$X)</f>
        <v>5466.6338280901455</v>
      </c>
      <c r="O846" s="311"/>
      <c r="P846" t="str">
        <f t="shared" si="83"/>
        <v>430-4500</v>
      </c>
      <c r="Q846" s="315" t="str">
        <f t="shared" si="84"/>
        <v>Parts</v>
      </c>
      <c r="R846" s="315" t="str">
        <f t="shared" si="85"/>
        <v>PartsWarranty Sales Gross Profit % of Sales</v>
      </c>
      <c r="S846" s="199"/>
      <c r="T846" s="199"/>
      <c r="U846" s="199"/>
    </row>
    <row r="847" spans="1:21" x14ac:dyDescent="0.25">
      <c r="A847" t="s">
        <v>996</v>
      </c>
      <c r="B847" t="s">
        <v>997</v>
      </c>
      <c r="C847" t="s">
        <v>997</v>
      </c>
      <c r="D847">
        <v>4500</v>
      </c>
      <c r="E847">
        <v>132</v>
      </c>
      <c r="F847" t="s">
        <v>1226</v>
      </c>
      <c r="G847" t="s">
        <v>1227</v>
      </c>
      <c r="H847" s="315" t="s">
        <v>143</v>
      </c>
      <c r="I847" s="315" t="s">
        <v>1225</v>
      </c>
      <c r="J847" s="315" t="str">
        <f t="shared" si="81"/>
        <v>LEX PartsWarranty Sales Gross Profit % of Sales</v>
      </c>
      <c r="K847" s="315" t="str">
        <f t="shared" si="82"/>
        <v>132Parts Warranty COS - Lexus</v>
      </c>
      <c r="L847" s="311">
        <f>+SUMIF('TUNZ Extracted TB'!M:M,$P847,'TUNZ Extracted TB'!G:G)</f>
        <v>12617.55</v>
      </c>
      <c r="M847" s="311"/>
      <c r="N847" s="311">
        <f>+SUMIF('Input Sheet'!$AE:$AE,P847,'Input Sheet'!$X:$X)</f>
        <v>7800</v>
      </c>
      <c r="O847" s="311"/>
      <c r="P847" t="str">
        <f t="shared" si="83"/>
        <v>132-4500</v>
      </c>
      <c r="Q847" s="315" t="str">
        <f t="shared" si="84"/>
        <v>LEX Parts</v>
      </c>
      <c r="R847" s="315" t="str">
        <f t="shared" si="85"/>
        <v>LEX PartsWarranty Sales Gross Profit % of Sales</v>
      </c>
      <c r="S847" s="199"/>
      <c r="T847" s="199"/>
      <c r="U847" s="199"/>
    </row>
    <row r="848" spans="1:21" x14ac:dyDescent="0.25">
      <c r="A848" t="s">
        <v>996</v>
      </c>
      <c r="B848" t="s">
        <v>997</v>
      </c>
      <c r="C848" t="s">
        <v>997</v>
      </c>
      <c r="D848">
        <v>4500</v>
      </c>
      <c r="E848">
        <v>130</v>
      </c>
      <c r="F848" t="s">
        <v>1223</v>
      </c>
      <c r="G848" t="s">
        <v>1224</v>
      </c>
      <c r="H848" s="315" t="s">
        <v>5</v>
      </c>
      <c r="I848" s="315" t="s">
        <v>1225</v>
      </c>
      <c r="J848" s="315" t="str">
        <f t="shared" si="81"/>
        <v>PartsWarranty Sales Gross Profit % of Sales</v>
      </c>
      <c r="K848" s="315" t="str">
        <f t="shared" si="82"/>
        <v>130Parts Warranty COS - Toyota</v>
      </c>
      <c r="L848" s="311">
        <f>+SUMIF('TUNZ Extracted TB'!M:M,$P848,'TUNZ Extracted TB'!G:G)</f>
        <v>7895.26</v>
      </c>
      <c r="M848" s="311"/>
      <c r="N848" s="311">
        <f>+SUMIF('Input Sheet'!$AE:$AE,P848,'Input Sheet'!$X:$X)</f>
        <v>87857.294006762357</v>
      </c>
      <c r="O848" s="311"/>
      <c r="P848" t="str">
        <f t="shared" si="83"/>
        <v>130-4500</v>
      </c>
      <c r="Q848" s="315" t="str">
        <f t="shared" si="84"/>
        <v>Parts</v>
      </c>
      <c r="R848" s="315" t="str">
        <f t="shared" si="85"/>
        <v>PartsWarranty Sales Gross Profit % of Sales</v>
      </c>
      <c r="S848" s="199"/>
      <c r="T848" s="199"/>
      <c r="U848" s="199"/>
    </row>
    <row r="849" spans="1:21" x14ac:dyDescent="0.25">
      <c r="A849" t="s">
        <v>996</v>
      </c>
      <c r="B849" t="s">
        <v>997</v>
      </c>
      <c r="C849" t="s">
        <v>997</v>
      </c>
      <c r="D849">
        <v>4500</v>
      </c>
      <c r="E849">
        <v>936</v>
      </c>
      <c r="F849" t="s">
        <v>1175</v>
      </c>
      <c r="G849" t="s">
        <v>1176</v>
      </c>
      <c r="H849" s="315" t="s">
        <v>58</v>
      </c>
      <c r="I849" s="315" t="s">
        <v>1225</v>
      </c>
      <c r="J849" s="315" t="str">
        <f t="shared" si="81"/>
        <v>BridgestoneWarranty Sales Gross Profit % of Sales</v>
      </c>
      <c r="K849" s="315" t="str">
        <f t="shared" si="82"/>
        <v>936Other franchise/business expense</v>
      </c>
      <c r="L849" s="311">
        <f>+SUMIF('TUNZ Extracted TB'!M:M,$P849,'TUNZ Extracted TB'!G:G)</f>
        <v>0</v>
      </c>
      <c r="M849" s="311"/>
      <c r="N849" s="311">
        <f>+SUMIF('Input Sheet'!$AE:$AE,P849,'Input Sheet'!$X:$X)</f>
        <v>0</v>
      </c>
      <c r="O849" s="311"/>
      <c r="P849" t="str">
        <f t="shared" si="83"/>
        <v>936-4500</v>
      </c>
      <c r="Q849" s="315" t="str">
        <f t="shared" si="84"/>
        <v>Bridgestone</v>
      </c>
      <c r="R849" s="315" t="str">
        <f t="shared" si="85"/>
        <v>BridgestoneWarranty Sales Gross Profit % of Sales</v>
      </c>
      <c r="S849" s="199"/>
      <c r="T849" s="199"/>
      <c r="U849" s="199"/>
    </row>
    <row r="850" spans="1:21" x14ac:dyDescent="0.25">
      <c r="A850" t="s">
        <v>996</v>
      </c>
      <c r="B850" t="s">
        <v>997</v>
      </c>
      <c r="C850" t="s">
        <v>997</v>
      </c>
      <c r="D850">
        <v>4500</v>
      </c>
      <c r="E850">
        <v>935</v>
      </c>
      <c r="F850" t="s">
        <v>1175</v>
      </c>
      <c r="G850" t="s">
        <v>1176</v>
      </c>
      <c r="H850" s="315" t="s">
        <v>58</v>
      </c>
      <c r="I850" s="315" t="s">
        <v>1225</v>
      </c>
      <c r="J850" s="315" t="str">
        <f t="shared" si="81"/>
        <v>BridgestoneWarranty Sales Gross Profit % of Sales</v>
      </c>
      <c r="K850" s="315" t="str">
        <f t="shared" si="82"/>
        <v>935Other franchise/business expense</v>
      </c>
      <c r="L850" s="311">
        <f>+SUMIF('TUNZ Extracted TB'!M:M,$P850,'TUNZ Extracted TB'!G:G)</f>
        <v>0</v>
      </c>
      <c r="M850" s="311"/>
      <c r="N850" s="311">
        <f>+SUMIF('Input Sheet'!$AE:$AE,P850,'Input Sheet'!$X:$X)</f>
        <v>0</v>
      </c>
      <c r="O850" s="311"/>
      <c r="P850" t="str">
        <f t="shared" si="83"/>
        <v>935-4500</v>
      </c>
      <c r="Q850" s="315" t="str">
        <f t="shared" si="84"/>
        <v>Bridgestone</v>
      </c>
      <c r="R850" s="315" t="str">
        <f t="shared" si="85"/>
        <v>BridgestoneWarranty Sales Gross Profit % of Sales</v>
      </c>
      <c r="S850" s="199"/>
      <c r="T850" s="199"/>
      <c r="U850" s="199"/>
    </row>
    <row r="851" spans="1:21" x14ac:dyDescent="0.25">
      <c r="A851" t="s">
        <v>996</v>
      </c>
      <c r="B851" t="s">
        <v>997</v>
      </c>
      <c r="C851" t="s">
        <v>1012</v>
      </c>
      <c r="D851">
        <v>4505</v>
      </c>
      <c r="E851">
        <v>430</v>
      </c>
      <c r="F851" t="s">
        <v>1228</v>
      </c>
      <c r="G851" t="s">
        <v>1229</v>
      </c>
      <c r="H851" s="315" t="s">
        <v>5</v>
      </c>
      <c r="I851" s="315" t="s">
        <v>1230</v>
      </c>
      <c r="J851" s="315" t="str">
        <f t="shared" si="81"/>
        <v>PartsInternal Sales Gross Profit % of Sales</v>
      </c>
      <c r="K851" s="315" t="str">
        <f t="shared" si="82"/>
        <v>430Parts Internal COS - Toyota</v>
      </c>
      <c r="L851" s="311">
        <f>+SUMIF('TUNZ Extracted TB'!M:M,$P851,'TUNZ Extracted TB'!G:G)</f>
        <v>87068.32</v>
      </c>
      <c r="M851" s="311"/>
      <c r="N851" s="311">
        <f>+SUMIF('Input Sheet'!$AE:$AE,P851,'Input Sheet'!$X:$X)</f>
        <v>134392.40326675752</v>
      </c>
      <c r="O851" s="311"/>
      <c r="P851" t="str">
        <f t="shared" si="83"/>
        <v>430-4505</v>
      </c>
      <c r="Q851" s="315" t="str">
        <f t="shared" si="84"/>
        <v>Parts</v>
      </c>
      <c r="R851" s="315" t="str">
        <f t="shared" si="85"/>
        <v>PartsInternal Sales Gross Profit % of Sales</v>
      </c>
      <c r="S851" s="199"/>
      <c r="T851" s="199"/>
      <c r="U851" s="199"/>
    </row>
    <row r="852" spans="1:21" x14ac:dyDescent="0.25">
      <c r="A852" t="s">
        <v>996</v>
      </c>
      <c r="B852" t="s">
        <v>997</v>
      </c>
      <c r="C852" t="s">
        <v>997</v>
      </c>
      <c r="D852">
        <v>4505</v>
      </c>
      <c r="E852">
        <v>935</v>
      </c>
      <c r="F852" t="s">
        <v>1175</v>
      </c>
      <c r="G852" t="s">
        <v>1176</v>
      </c>
      <c r="H852" s="315" t="s">
        <v>58</v>
      </c>
      <c r="I852" s="315" t="s">
        <v>1230</v>
      </c>
      <c r="J852" s="315" t="str">
        <f t="shared" si="81"/>
        <v>BridgestoneInternal Sales Gross Profit % of Sales</v>
      </c>
      <c r="K852" s="315" t="str">
        <f t="shared" si="82"/>
        <v>935Other franchise/business expense</v>
      </c>
      <c r="L852" s="311">
        <f>+SUMIF('TUNZ Extracted TB'!M:M,$P852,'TUNZ Extracted TB'!G:G)</f>
        <v>11686.68</v>
      </c>
      <c r="M852" s="311"/>
      <c r="N852" s="311">
        <f>+SUMIF('Input Sheet'!$AE:$AE,P852,'Input Sheet'!$X:$X)</f>
        <v>16347.124832904536</v>
      </c>
      <c r="O852" s="311"/>
      <c r="P852" t="str">
        <f t="shared" si="83"/>
        <v>935-4505</v>
      </c>
      <c r="Q852" s="315" t="str">
        <f t="shared" si="84"/>
        <v>Bridgestone</v>
      </c>
      <c r="R852" s="315" t="str">
        <f t="shared" si="85"/>
        <v>BridgestoneInternal Sales Gross Profit % of Sales</v>
      </c>
      <c r="S852" s="199"/>
      <c r="T852" s="199"/>
      <c r="U852" s="199"/>
    </row>
    <row r="853" spans="1:21" x14ac:dyDescent="0.25">
      <c r="A853" t="s">
        <v>996</v>
      </c>
      <c r="B853" t="s">
        <v>997</v>
      </c>
      <c r="C853" t="s">
        <v>1005</v>
      </c>
      <c r="D853">
        <v>4505</v>
      </c>
      <c r="E853">
        <v>230</v>
      </c>
      <c r="F853" t="s">
        <v>1228</v>
      </c>
      <c r="G853" t="s">
        <v>1229</v>
      </c>
      <c r="H853" s="315" t="s">
        <v>5</v>
      </c>
      <c r="I853" s="315" t="s">
        <v>1230</v>
      </c>
      <c r="J853" s="315" t="str">
        <f t="shared" si="81"/>
        <v>PartsInternal Sales Gross Profit % of Sales</v>
      </c>
      <c r="K853" s="315" t="str">
        <f t="shared" si="82"/>
        <v>230Parts Internal COS - Toyota</v>
      </c>
      <c r="L853" s="311">
        <f>+SUMIF('TUNZ Extracted TB'!M:M,$P853,'TUNZ Extracted TB'!G:G)</f>
        <v>4930.2700000000004</v>
      </c>
      <c r="M853" s="311"/>
      <c r="N853" s="311">
        <f>+SUMIF('Input Sheet'!$AE:$AE,P853,'Input Sheet'!$X:$X)</f>
        <v>9549.6993774795937</v>
      </c>
      <c r="O853" s="311"/>
      <c r="P853" t="str">
        <f t="shared" si="83"/>
        <v>230-4505</v>
      </c>
      <c r="Q853" s="315" t="str">
        <f t="shared" si="84"/>
        <v>Parts</v>
      </c>
      <c r="R853" s="315" t="str">
        <f t="shared" si="85"/>
        <v>PartsInternal Sales Gross Profit % of Sales</v>
      </c>
      <c r="S853" s="199"/>
      <c r="T853" s="199"/>
      <c r="U853" s="199"/>
    </row>
    <row r="854" spans="1:21" x14ac:dyDescent="0.25">
      <c r="A854" t="s">
        <v>996</v>
      </c>
      <c r="B854" t="s">
        <v>997</v>
      </c>
      <c r="C854" t="s">
        <v>1013</v>
      </c>
      <c r="D854">
        <v>4505</v>
      </c>
      <c r="E854">
        <v>330</v>
      </c>
      <c r="F854" t="s">
        <v>1228</v>
      </c>
      <c r="G854" t="s">
        <v>1229</v>
      </c>
      <c r="H854" s="315" t="s">
        <v>5</v>
      </c>
      <c r="I854" s="315" t="s">
        <v>1230</v>
      </c>
      <c r="J854" s="315" t="str">
        <f t="shared" si="81"/>
        <v>PartsInternal Sales Gross Profit % of Sales</v>
      </c>
      <c r="K854" s="315" t="str">
        <f t="shared" si="82"/>
        <v>330Parts Internal COS - Toyota</v>
      </c>
      <c r="L854" s="311">
        <f>+SUMIF('TUNZ Extracted TB'!M:M,$P854,'TUNZ Extracted TB'!G:G)</f>
        <v>3904.41</v>
      </c>
      <c r="M854" s="311"/>
      <c r="N854" s="311">
        <f>+SUMIF('Input Sheet'!$AE:$AE,P854,'Input Sheet'!$X:$X)</f>
        <v>3260.137877573321</v>
      </c>
      <c r="O854" s="311"/>
      <c r="P854" t="str">
        <f t="shared" si="83"/>
        <v>330-4505</v>
      </c>
      <c r="Q854" s="315" t="str">
        <f t="shared" si="84"/>
        <v>Parts</v>
      </c>
      <c r="R854" s="315" t="str">
        <f t="shared" si="85"/>
        <v>PartsInternal Sales Gross Profit % of Sales</v>
      </c>
      <c r="S854" s="199"/>
      <c r="T854" s="199"/>
      <c r="U854" s="199"/>
    </row>
    <row r="855" spans="1:21" x14ac:dyDescent="0.25">
      <c r="A855" t="s">
        <v>996</v>
      </c>
      <c r="B855" t="s">
        <v>997</v>
      </c>
      <c r="C855" t="s">
        <v>997</v>
      </c>
      <c r="D855">
        <v>4505</v>
      </c>
      <c r="E855">
        <v>130</v>
      </c>
      <c r="F855" t="s">
        <v>1228</v>
      </c>
      <c r="G855" t="s">
        <v>1229</v>
      </c>
      <c r="H855" s="315" t="s">
        <v>5</v>
      </c>
      <c r="I855" s="315" t="s">
        <v>1230</v>
      </c>
      <c r="J855" s="315" t="str">
        <f t="shared" si="81"/>
        <v>PartsInternal Sales Gross Profit % of Sales</v>
      </c>
      <c r="K855" s="315" t="str">
        <f t="shared" si="82"/>
        <v>130Parts Internal COS - Toyota</v>
      </c>
      <c r="L855" s="311">
        <f>+SUMIF('TUNZ Extracted TB'!M:M,$P855,'TUNZ Extracted TB'!G:G)</f>
        <v>17254.599999999999</v>
      </c>
      <c r="M855" s="311"/>
      <c r="N855" s="311">
        <f>+SUMIF('Input Sheet'!$AE:$AE,P855,'Input Sheet'!$X:$X)</f>
        <v>30986.783244437309</v>
      </c>
      <c r="O855" s="311"/>
      <c r="P855" t="str">
        <f t="shared" si="83"/>
        <v>130-4505</v>
      </c>
      <c r="Q855" s="315" t="str">
        <f t="shared" si="84"/>
        <v>Parts</v>
      </c>
      <c r="R855" s="315" t="str">
        <f t="shared" si="85"/>
        <v>PartsInternal Sales Gross Profit % of Sales</v>
      </c>
      <c r="S855" s="199"/>
      <c r="T855" s="199"/>
      <c r="U855" s="199"/>
    </row>
    <row r="856" spans="1:21" x14ac:dyDescent="0.25">
      <c r="A856" t="s">
        <v>996</v>
      </c>
      <c r="B856" t="s">
        <v>997</v>
      </c>
      <c r="C856" t="s">
        <v>997</v>
      </c>
      <c r="D856">
        <v>4505</v>
      </c>
      <c r="E856">
        <v>132</v>
      </c>
      <c r="F856" t="s">
        <v>1231</v>
      </c>
      <c r="G856" t="s">
        <v>1232</v>
      </c>
      <c r="H856" s="315" t="s">
        <v>143</v>
      </c>
      <c r="I856" s="315" t="s">
        <v>1230</v>
      </c>
      <c r="J856" s="315" t="str">
        <f t="shared" si="81"/>
        <v>LEX PartsInternal Sales Gross Profit % of Sales</v>
      </c>
      <c r="K856" s="315" t="str">
        <f t="shared" si="82"/>
        <v>132Parts Internal COS - Lexus</v>
      </c>
      <c r="L856" s="311">
        <f>+SUMIF('TUNZ Extracted TB'!M:M,$P856,'TUNZ Extracted TB'!G:G)</f>
        <v>3298.33</v>
      </c>
      <c r="M856" s="311"/>
      <c r="N856" s="311">
        <f>+SUMIF('Input Sheet'!$AE:$AE,P856,'Input Sheet'!$X:$X)</f>
        <v>3120</v>
      </c>
      <c r="O856" s="311"/>
      <c r="P856" t="str">
        <f t="shared" si="83"/>
        <v>132-4505</v>
      </c>
      <c r="Q856" s="315" t="str">
        <f t="shared" si="84"/>
        <v>LEX Parts</v>
      </c>
      <c r="R856" s="315" t="str">
        <f t="shared" si="85"/>
        <v>LEX PartsInternal Sales Gross Profit % of Sales</v>
      </c>
      <c r="S856" s="199"/>
      <c r="T856" s="199"/>
      <c r="U856" s="199"/>
    </row>
    <row r="857" spans="1:21" x14ac:dyDescent="0.25">
      <c r="A857" t="s">
        <v>996</v>
      </c>
      <c r="B857" t="s">
        <v>997</v>
      </c>
      <c r="C857" t="s">
        <v>997</v>
      </c>
      <c r="D857">
        <v>4505</v>
      </c>
      <c r="E857">
        <v>936</v>
      </c>
      <c r="F857" t="s">
        <v>1175</v>
      </c>
      <c r="G857" t="s">
        <v>1176</v>
      </c>
      <c r="H857" s="315" t="s">
        <v>58</v>
      </c>
      <c r="I857" s="315" t="s">
        <v>1230</v>
      </c>
      <c r="J857" s="315" t="str">
        <f t="shared" si="81"/>
        <v>BridgestoneInternal Sales Gross Profit % of Sales</v>
      </c>
      <c r="K857" s="315" t="str">
        <f t="shared" si="82"/>
        <v>936Other franchise/business expense</v>
      </c>
      <c r="L857" s="311">
        <f>+SUMIF('TUNZ Extracted TB'!M:M,$P857,'TUNZ Extracted TB'!G:G)</f>
        <v>0</v>
      </c>
      <c r="M857" s="311"/>
      <c r="N857" s="311">
        <f>+SUMIF('Input Sheet'!$AE:$AE,P857,'Input Sheet'!$X:$X)</f>
        <v>6538.8499331618141</v>
      </c>
      <c r="O857" s="311"/>
      <c r="P857" t="str">
        <f t="shared" si="83"/>
        <v>936-4505</v>
      </c>
      <c r="Q857" s="315" t="str">
        <f t="shared" si="84"/>
        <v>Bridgestone</v>
      </c>
      <c r="R857" s="315" t="str">
        <f t="shared" si="85"/>
        <v>BridgestoneInternal Sales Gross Profit % of Sales</v>
      </c>
      <c r="S857" s="199"/>
      <c r="T857" s="199"/>
      <c r="U857" s="199"/>
    </row>
    <row r="858" spans="1:21" x14ac:dyDescent="0.25">
      <c r="A858" t="s">
        <v>996</v>
      </c>
      <c r="B858" t="s">
        <v>997</v>
      </c>
      <c r="C858" t="s">
        <v>997</v>
      </c>
      <c r="D858">
        <v>4510</v>
      </c>
      <c r="E858">
        <v>132</v>
      </c>
      <c r="F858" t="s">
        <v>1231</v>
      </c>
      <c r="G858" t="s">
        <v>1232</v>
      </c>
      <c r="H858" s="315" t="s">
        <v>143</v>
      </c>
      <c r="I858" s="315" t="s">
        <v>1230</v>
      </c>
      <c r="J858" s="315" t="str">
        <f t="shared" si="81"/>
        <v>LEX PartsInternal Sales Gross Profit % of Sales</v>
      </c>
      <c r="K858" s="315" t="str">
        <f t="shared" si="82"/>
        <v>132Parts Internal COS - Lexus</v>
      </c>
      <c r="L858" s="311">
        <f>+SUMIF('TUNZ Extracted TB'!M:M,$P858,'TUNZ Extracted TB'!G:G)</f>
        <v>0</v>
      </c>
      <c r="M858" s="311"/>
      <c r="N858" s="311">
        <f>+SUMIF('Input Sheet'!$AE:$AE,P858,'Input Sheet'!$X:$X)</f>
        <v>0</v>
      </c>
      <c r="O858" s="311"/>
      <c r="P858" t="str">
        <f t="shared" si="83"/>
        <v>132-4510</v>
      </c>
      <c r="Q858" s="315" t="str">
        <f t="shared" si="84"/>
        <v>LEX Parts</v>
      </c>
      <c r="R858" s="315" t="str">
        <f t="shared" si="85"/>
        <v>LEX PartsInternal Sales Gross Profit % of Sales</v>
      </c>
      <c r="S858" s="199"/>
      <c r="T858" s="199"/>
      <c r="U858" s="199"/>
    </row>
    <row r="859" spans="1:21" x14ac:dyDescent="0.25">
      <c r="A859" t="s">
        <v>996</v>
      </c>
      <c r="B859" t="s">
        <v>997</v>
      </c>
      <c r="C859" t="s">
        <v>997</v>
      </c>
      <c r="D859">
        <v>4510</v>
      </c>
      <c r="E859">
        <v>130</v>
      </c>
      <c r="F859" t="s">
        <v>1228</v>
      </c>
      <c r="G859" t="s">
        <v>1229</v>
      </c>
      <c r="H859" s="315" t="s">
        <v>5</v>
      </c>
      <c r="I859" s="315" t="s">
        <v>1230</v>
      </c>
      <c r="J859" s="315" t="str">
        <f t="shared" si="81"/>
        <v>PartsInternal Sales Gross Profit % of Sales</v>
      </c>
      <c r="K859" s="315" t="str">
        <f t="shared" si="82"/>
        <v>130Parts Internal COS - Toyota</v>
      </c>
      <c r="L859" s="311">
        <f>+SUMIF('TUNZ Extracted TB'!M:M,$P859,'TUNZ Extracted TB'!G:G)</f>
        <v>0</v>
      </c>
      <c r="M859" s="311"/>
      <c r="N859" s="311">
        <f>+SUMIF('Input Sheet'!$AE:$AE,P859,'Input Sheet'!$X:$X)</f>
        <v>0</v>
      </c>
      <c r="O859" s="311"/>
      <c r="P859" t="str">
        <f t="shared" si="83"/>
        <v>130-4510</v>
      </c>
      <c r="Q859" s="315" t="str">
        <f t="shared" si="84"/>
        <v>Parts</v>
      </c>
      <c r="R859" s="315" t="str">
        <f t="shared" si="85"/>
        <v>PartsInternal Sales Gross Profit % of Sales</v>
      </c>
      <c r="S859" s="199"/>
      <c r="T859" s="199"/>
      <c r="U859" s="199"/>
    </row>
    <row r="860" spans="1:21" x14ac:dyDescent="0.25">
      <c r="A860" t="s">
        <v>996</v>
      </c>
      <c r="B860" t="s">
        <v>997</v>
      </c>
      <c r="C860" t="s">
        <v>997</v>
      </c>
      <c r="D860">
        <v>4510</v>
      </c>
      <c r="E860">
        <v>936</v>
      </c>
      <c r="F860" t="s">
        <v>1175</v>
      </c>
      <c r="G860" t="s">
        <v>1176</v>
      </c>
      <c r="H860" s="315" t="s">
        <v>58</v>
      </c>
      <c r="I860" s="315" t="s">
        <v>1230</v>
      </c>
      <c r="J860" s="315" t="str">
        <f t="shared" si="81"/>
        <v>BridgestoneInternal Sales Gross Profit % of Sales</v>
      </c>
      <c r="K860" s="315" t="str">
        <f t="shared" si="82"/>
        <v>936Other franchise/business expense</v>
      </c>
      <c r="L860" s="311">
        <f>+SUMIF('TUNZ Extracted TB'!M:M,$P860,'TUNZ Extracted TB'!G:G)</f>
        <v>0</v>
      </c>
      <c r="M860" s="311"/>
      <c r="N860" s="311">
        <f>+SUMIF('Input Sheet'!$AE:$AE,P860,'Input Sheet'!$X:$X)</f>
        <v>0</v>
      </c>
      <c r="O860" s="311"/>
      <c r="P860" t="str">
        <f t="shared" si="83"/>
        <v>936-4510</v>
      </c>
      <c r="Q860" s="315" t="str">
        <f t="shared" si="84"/>
        <v>Bridgestone</v>
      </c>
      <c r="R860" s="315" t="str">
        <f t="shared" si="85"/>
        <v>BridgestoneInternal Sales Gross Profit % of Sales</v>
      </c>
      <c r="S860" s="199"/>
      <c r="T860" s="199"/>
      <c r="U860" s="199"/>
    </row>
    <row r="861" spans="1:21" x14ac:dyDescent="0.25">
      <c r="A861" t="s">
        <v>996</v>
      </c>
      <c r="B861" t="s">
        <v>997</v>
      </c>
      <c r="C861" t="s">
        <v>997</v>
      </c>
      <c r="D861">
        <v>4510</v>
      </c>
      <c r="E861">
        <v>935</v>
      </c>
      <c r="F861" t="s">
        <v>1175</v>
      </c>
      <c r="G861" t="s">
        <v>1176</v>
      </c>
      <c r="H861" s="315" t="s">
        <v>58</v>
      </c>
      <c r="I861" s="315" t="s">
        <v>1230</v>
      </c>
      <c r="J861" s="315" t="str">
        <f t="shared" si="81"/>
        <v>BridgestoneInternal Sales Gross Profit % of Sales</v>
      </c>
      <c r="K861" s="315" t="str">
        <f t="shared" si="82"/>
        <v>935Other franchise/business expense</v>
      </c>
      <c r="L861" s="311">
        <f>+SUMIF('TUNZ Extracted TB'!M:M,$P861,'TUNZ Extracted TB'!G:G)</f>
        <v>0</v>
      </c>
      <c r="M861" s="311"/>
      <c r="N861" s="311">
        <f>+SUMIF('Input Sheet'!$AE:$AE,P861,'Input Sheet'!$X:$X)</f>
        <v>0</v>
      </c>
      <c r="O861" s="311"/>
      <c r="P861" t="str">
        <f t="shared" si="83"/>
        <v>935-4510</v>
      </c>
      <c r="Q861" s="315" t="str">
        <f t="shared" si="84"/>
        <v>Bridgestone</v>
      </c>
      <c r="R861" s="315" t="str">
        <f t="shared" si="85"/>
        <v>BridgestoneInternal Sales Gross Profit % of Sales</v>
      </c>
      <c r="S861" s="199"/>
      <c r="T861" s="199"/>
      <c r="U861" s="199"/>
    </row>
    <row r="862" spans="1:21" x14ac:dyDescent="0.25">
      <c r="A862" t="s">
        <v>996</v>
      </c>
      <c r="B862" t="s">
        <v>997</v>
      </c>
      <c r="C862" t="s">
        <v>1005</v>
      </c>
      <c r="D862">
        <v>4510</v>
      </c>
      <c r="E862">
        <v>230</v>
      </c>
      <c r="F862" t="s">
        <v>1228</v>
      </c>
      <c r="G862" t="s">
        <v>1229</v>
      </c>
      <c r="H862" s="315" t="s">
        <v>5</v>
      </c>
      <c r="I862" s="315" t="s">
        <v>1230</v>
      </c>
      <c r="J862" s="315" t="str">
        <f t="shared" si="81"/>
        <v>PartsInternal Sales Gross Profit % of Sales</v>
      </c>
      <c r="K862" s="315" t="str">
        <f t="shared" si="82"/>
        <v>230Parts Internal COS - Toyota</v>
      </c>
      <c r="L862" s="311">
        <f>+SUMIF('TUNZ Extracted TB'!M:M,$P862,'TUNZ Extracted TB'!G:G)</f>
        <v>0</v>
      </c>
      <c r="M862" s="311"/>
      <c r="N862" s="311">
        <f>+SUMIF('Input Sheet'!$AE:$AE,P862,'Input Sheet'!$X:$X)</f>
        <v>0</v>
      </c>
      <c r="O862" s="311"/>
      <c r="P862" t="str">
        <f t="shared" si="83"/>
        <v>230-4510</v>
      </c>
      <c r="Q862" s="315" t="str">
        <f t="shared" si="84"/>
        <v>Parts</v>
      </c>
      <c r="R862" s="315" t="str">
        <f t="shared" si="85"/>
        <v>PartsInternal Sales Gross Profit % of Sales</v>
      </c>
      <c r="S862" s="199"/>
      <c r="T862" s="199"/>
      <c r="U862" s="199"/>
    </row>
    <row r="863" spans="1:21" x14ac:dyDescent="0.25">
      <c r="A863" t="s">
        <v>996</v>
      </c>
      <c r="B863" t="s">
        <v>997</v>
      </c>
      <c r="C863" t="s">
        <v>1012</v>
      </c>
      <c r="D863">
        <v>4510</v>
      </c>
      <c r="E863">
        <v>430</v>
      </c>
      <c r="F863" t="s">
        <v>1228</v>
      </c>
      <c r="G863" t="s">
        <v>1229</v>
      </c>
      <c r="H863" s="315" t="s">
        <v>5</v>
      </c>
      <c r="I863" s="315" t="s">
        <v>1230</v>
      </c>
      <c r="J863" s="315" t="str">
        <f t="shared" si="81"/>
        <v>PartsInternal Sales Gross Profit % of Sales</v>
      </c>
      <c r="K863" s="315" t="str">
        <f t="shared" si="82"/>
        <v>430Parts Internal COS - Toyota</v>
      </c>
      <c r="L863" s="311">
        <f>+SUMIF('TUNZ Extracted TB'!M:M,$P863,'TUNZ Extracted TB'!G:G)</f>
        <v>0</v>
      </c>
      <c r="M863" s="311"/>
      <c r="N863" s="311">
        <f>+SUMIF('Input Sheet'!$AE:$AE,P863,'Input Sheet'!$X:$X)</f>
        <v>0</v>
      </c>
      <c r="O863" s="311"/>
      <c r="P863" t="str">
        <f t="shared" si="83"/>
        <v>430-4510</v>
      </c>
      <c r="Q863" s="315" t="str">
        <f t="shared" si="84"/>
        <v>Parts</v>
      </c>
      <c r="R863" s="315" t="str">
        <f t="shared" si="85"/>
        <v>PartsInternal Sales Gross Profit % of Sales</v>
      </c>
      <c r="S863" s="199"/>
      <c r="T863" s="199"/>
      <c r="U863" s="199"/>
    </row>
    <row r="864" spans="1:21" x14ac:dyDescent="0.25">
      <c r="A864" t="s">
        <v>996</v>
      </c>
      <c r="B864" t="s">
        <v>997</v>
      </c>
      <c r="C864" t="s">
        <v>1013</v>
      </c>
      <c r="D864">
        <v>4510</v>
      </c>
      <c r="E864">
        <v>330</v>
      </c>
      <c r="F864" t="s">
        <v>1228</v>
      </c>
      <c r="G864" t="s">
        <v>1229</v>
      </c>
      <c r="H864" s="315" t="s">
        <v>5</v>
      </c>
      <c r="I864" s="315" t="s">
        <v>1230</v>
      </c>
      <c r="J864" s="315" t="str">
        <f t="shared" si="81"/>
        <v>PartsInternal Sales Gross Profit % of Sales</v>
      </c>
      <c r="K864" s="315" t="str">
        <f t="shared" si="82"/>
        <v>330Parts Internal COS - Toyota</v>
      </c>
      <c r="L864" s="311">
        <f>+SUMIF('TUNZ Extracted TB'!M:M,$P864,'TUNZ Extracted TB'!G:G)</f>
        <v>0</v>
      </c>
      <c r="M864" s="311"/>
      <c r="N864" s="311">
        <f>+SUMIF('Input Sheet'!$AE:$AE,P864,'Input Sheet'!$X:$X)</f>
        <v>0</v>
      </c>
      <c r="O864" s="311"/>
      <c r="P864" t="str">
        <f t="shared" si="83"/>
        <v>330-4510</v>
      </c>
      <c r="Q864" s="315" t="str">
        <f t="shared" si="84"/>
        <v>Parts</v>
      </c>
      <c r="R864" s="315" t="str">
        <f t="shared" si="85"/>
        <v>PartsInternal Sales Gross Profit % of Sales</v>
      </c>
      <c r="S864" s="199"/>
      <c r="T864" s="199"/>
      <c r="U864" s="199"/>
    </row>
    <row r="865" spans="1:21" x14ac:dyDescent="0.25">
      <c r="A865" t="s">
        <v>996</v>
      </c>
      <c r="B865" t="s">
        <v>997</v>
      </c>
      <c r="C865" t="s">
        <v>997</v>
      </c>
      <c r="D865">
        <v>4525</v>
      </c>
      <c r="E865">
        <v>936</v>
      </c>
      <c r="F865" t="s">
        <v>1175</v>
      </c>
      <c r="G865" t="s">
        <v>1176</v>
      </c>
      <c r="H865" s="315" t="s">
        <v>58</v>
      </c>
      <c r="I865" s="315" t="s">
        <v>1201</v>
      </c>
      <c r="J865" s="315" t="str">
        <f t="shared" si="81"/>
        <v>BridgestoneCounter Sales Gross Profit % of Sales</v>
      </c>
      <c r="K865" s="315" t="str">
        <f t="shared" si="82"/>
        <v>936Other franchise/business expense</v>
      </c>
      <c r="L865" s="311">
        <f>+SUMIF('TUNZ Extracted TB'!M:M,$P865,'TUNZ Extracted TB'!G:G)</f>
        <v>0</v>
      </c>
      <c r="M865" s="311"/>
      <c r="N865" s="311">
        <f>+SUMIF('Input Sheet'!$AE:$AE,P865,'Input Sheet'!$X:$X)</f>
        <v>0</v>
      </c>
      <c r="O865" s="311"/>
      <c r="P865" t="str">
        <f t="shared" si="83"/>
        <v>936-4525</v>
      </c>
      <c r="Q865" s="315" t="str">
        <f t="shared" si="84"/>
        <v>Bridgestone</v>
      </c>
      <c r="R865" s="315" t="str">
        <f t="shared" si="85"/>
        <v>BridgestoneCounter Sales Gross Profit % of Sales</v>
      </c>
      <c r="S865" s="199"/>
      <c r="T865" s="199"/>
      <c r="U865" s="199"/>
    </row>
    <row r="866" spans="1:21" x14ac:dyDescent="0.25">
      <c r="A866" t="s">
        <v>996</v>
      </c>
      <c r="B866" t="s">
        <v>997</v>
      </c>
      <c r="C866" t="s">
        <v>997</v>
      </c>
      <c r="D866">
        <v>4525</v>
      </c>
      <c r="E866">
        <v>935</v>
      </c>
      <c r="F866" t="s">
        <v>1175</v>
      </c>
      <c r="G866" t="s">
        <v>1176</v>
      </c>
      <c r="H866" s="315" t="s">
        <v>58</v>
      </c>
      <c r="I866" s="315" t="s">
        <v>1201</v>
      </c>
      <c r="J866" s="315" t="str">
        <f t="shared" si="81"/>
        <v>BridgestoneCounter Sales Gross Profit % of Sales</v>
      </c>
      <c r="K866" s="315" t="str">
        <f t="shared" si="82"/>
        <v>935Other franchise/business expense</v>
      </c>
      <c r="L866" s="311">
        <f>+SUMIF('TUNZ Extracted TB'!M:M,$P866,'TUNZ Extracted TB'!G:G)</f>
        <v>0</v>
      </c>
      <c r="M866" s="311"/>
      <c r="N866" s="311">
        <f>+SUMIF('Input Sheet'!$AE:$AE,P866,'Input Sheet'!$X:$X)</f>
        <v>0</v>
      </c>
      <c r="O866" s="311"/>
      <c r="P866" t="str">
        <f t="shared" si="83"/>
        <v>935-4525</v>
      </c>
      <c r="Q866" s="315" t="str">
        <f t="shared" si="84"/>
        <v>Bridgestone</v>
      </c>
      <c r="R866" s="315" t="str">
        <f t="shared" si="85"/>
        <v>BridgestoneCounter Sales Gross Profit % of Sales</v>
      </c>
      <c r="S866" s="199"/>
      <c r="T866" s="199"/>
      <c r="U866" s="199"/>
    </row>
    <row r="867" spans="1:21" x14ac:dyDescent="0.25">
      <c r="A867" t="s">
        <v>996</v>
      </c>
      <c r="B867" t="s">
        <v>997</v>
      </c>
      <c r="C867" t="s">
        <v>1005</v>
      </c>
      <c r="D867">
        <v>4525</v>
      </c>
      <c r="E867">
        <v>230</v>
      </c>
      <c r="F867" t="s">
        <v>1199</v>
      </c>
      <c r="G867" t="s">
        <v>1200</v>
      </c>
      <c r="H867" s="315" t="s">
        <v>5</v>
      </c>
      <c r="I867" s="315" t="s">
        <v>1201</v>
      </c>
      <c r="J867" s="315" t="str">
        <f t="shared" si="81"/>
        <v>PartsCounter Sales Gross Profit % of Sales</v>
      </c>
      <c r="K867" s="315" t="str">
        <f t="shared" si="82"/>
        <v>230Parts Counter COS - Toyota</v>
      </c>
      <c r="L867" s="311">
        <f>+SUMIF('TUNZ Extracted TB'!M:M,$P867,'TUNZ Extracted TB'!G:G)</f>
        <v>0</v>
      </c>
      <c r="M867" s="311"/>
      <c r="N867" s="311">
        <f>+SUMIF('Input Sheet'!$AE:$AE,P867,'Input Sheet'!$X:$X)</f>
        <v>0</v>
      </c>
      <c r="O867" s="311"/>
      <c r="P867" t="str">
        <f t="shared" si="83"/>
        <v>230-4525</v>
      </c>
      <c r="Q867" s="315" t="str">
        <f t="shared" si="84"/>
        <v>Parts</v>
      </c>
      <c r="R867" s="315" t="str">
        <f t="shared" si="85"/>
        <v>PartsCounter Sales Gross Profit % of Sales</v>
      </c>
      <c r="S867" s="199"/>
      <c r="T867" s="199"/>
      <c r="U867" s="199"/>
    </row>
    <row r="868" spans="1:21" x14ac:dyDescent="0.25">
      <c r="A868" t="s">
        <v>996</v>
      </c>
      <c r="B868" t="s">
        <v>997</v>
      </c>
      <c r="C868" t="s">
        <v>1012</v>
      </c>
      <c r="D868">
        <v>4525</v>
      </c>
      <c r="E868">
        <v>430</v>
      </c>
      <c r="F868" t="s">
        <v>1199</v>
      </c>
      <c r="G868" t="s">
        <v>1200</v>
      </c>
      <c r="H868" s="315" t="s">
        <v>5</v>
      </c>
      <c r="I868" s="315" t="s">
        <v>1201</v>
      </c>
      <c r="J868" s="315" t="str">
        <f t="shared" si="81"/>
        <v>PartsCounter Sales Gross Profit % of Sales</v>
      </c>
      <c r="K868" s="315" t="str">
        <f t="shared" si="82"/>
        <v>430Parts Counter COS - Toyota</v>
      </c>
      <c r="L868" s="311">
        <f>+SUMIF('TUNZ Extracted TB'!M:M,$P868,'TUNZ Extracted TB'!G:G)</f>
        <v>0</v>
      </c>
      <c r="M868" s="311"/>
      <c r="N868" s="311">
        <f>+SUMIF('Input Sheet'!$AE:$AE,P868,'Input Sheet'!$X:$X)</f>
        <v>0</v>
      </c>
      <c r="O868" s="311"/>
      <c r="P868" t="str">
        <f t="shared" si="83"/>
        <v>430-4525</v>
      </c>
      <c r="Q868" s="315" t="str">
        <f t="shared" si="84"/>
        <v>Parts</v>
      </c>
      <c r="R868" s="315" t="str">
        <f t="shared" si="85"/>
        <v>PartsCounter Sales Gross Profit % of Sales</v>
      </c>
      <c r="S868" s="199"/>
      <c r="T868" s="199"/>
      <c r="U868" s="199"/>
    </row>
    <row r="869" spans="1:21" x14ac:dyDescent="0.25">
      <c r="A869" t="s">
        <v>996</v>
      </c>
      <c r="B869" t="s">
        <v>997</v>
      </c>
      <c r="C869" t="s">
        <v>1013</v>
      </c>
      <c r="D869">
        <v>4525</v>
      </c>
      <c r="E869">
        <v>330</v>
      </c>
      <c r="F869" t="s">
        <v>1199</v>
      </c>
      <c r="G869" t="s">
        <v>1200</v>
      </c>
      <c r="H869" s="315" t="s">
        <v>5</v>
      </c>
      <c r="I869" s="315" t="s">
        <v>1201</v>
      </c>
      <c r="J869" s="315" t="str">
        <f t="shared" si="81"/>
        <v>PartsCounter Sales Gross Profit % of Sales</v>
      </c>
      <c r="K869" s="315" t="str">
        <f t="shared" si="82"/>
        <v>330Parts Counter COS - Toyota</v>
      </c>
      <c r="L869" s="311">
        <f>+SUMIF('TUNZ Extracted TB'!M:M,$P869,'TUNZ Extracted TB'!G:G)</f>
        <v>0</v>
      </c>
      <c r="M869" s="311"/>
      <c r="N869" s="311">
        <f>+SUMIF('Input Sheet'!$AE:$AE,P869,'Input Sheet'!$X:$X)</f>
        <v>0</v>
      </c>
      <c r="O869" s="311"/>
      <c r="P869" t="str">
        <f t="shared" si="83"/>
        <v>330-4525</v>
      </c>
      <c r="Q869" s="315" t="str">
        <f t="shared" si="84"/>
        <v>Parts</v>
      </c>
      <c r="R869" s="315" t="str">
        <f t="shared" si="85"/>
        <v>PartsCounter Sales Gross Profit % of Sales</v>
      </c>
      <c r="S869" s="199"/>
      <c r="T869" s="199"/>
      <c r="U869" s="199"/>
    </row>
    <row r="870" spans="1:21" x14ac:dyDescent="0.25">
      <c r="A870" t="s">
        <v>996</v>
      </c>
      <c r="B870" t="s">
        <v>997</v>
      </c>
      <c r="C870" t="s">
        <v>1005</v>
      </c>
      <c r="D870">
        <v>4530</v>
      </c>
      <c r="E870">
        <v>230</v>
      </c>
      <c r="F870" t="s">
        <v>1233</v>
      </c>
      <c r="G870" t="s">
        <v>1234</v>
      </c>
      <c r="H870" s="315" t="s">
        <v>5</v>
      </c>
      <c r="I870" s="315" t="s">
        <v>1222</v>
      </c>
      <c r="J870" s="315" t="str">
        <f t="shared" si="81"/>
        <v>PartsOther Sales Gross Profit % of Sales</v>
      </c>
      <c r="K870" s="315" t="str">
        <f t="shared" si="82"/>
        <v>230Parts Other COS - Inventory adjustment -Toyota</v>
      </c>
      <c r="L870" s="311">
        <f>+SUMIF('TUNZ Extracted TB'!M:M,$P870,'TUNZ Extracted TB'!G:G)</f>
        <v>4148.22</v>
      </c>
      <c r="M870" s="311"/>
      <c r="N870" s="311">
        <f>+SUMIF('Input Sheet'!$AE:$AE,P870,'Input Sheet'!$X:$X)</f>
        <v>0</v>
      </c>
      <c r="O870" s="311"/>
      <c r="P870" t="str">
        <f t="shared" si="83"/>
        <v>230-4530</v>
      </c>
      <c r="Q870" s="315" t="str">
        <f t="shared" si="84"/>
        <v>Parts</v>
      </c>
      <c r="R870" s="315" t="str">
        <f t="shared" si="85"/>
        <v>PartsOther Sales Gross Profit % of Sales</v>
      </c>
      <c r="S870" s="199"/>
      <c r="T870" s="199"/>
      <c r="U870" s="199"/>
    </row>
    <row r="871" spans="1:21" x14ac:dyDescent="0.25">
      <c r="A871" t="s">
        <v>996</v>
      </c>
      <c r="B871" t="s">
        <v>997</v>
      </c>
      <c r="C871" t="s">
        <v>1013</v>
      </c>
      <c r="D871">
        <v>4530</v>
      </c>
      <c r="E871">
        <v>330</v>
      </c>
      <c r="F871" t="s">
        <v>1233</v>
      </c>
      <c r="G871" t="s">
        <v>1234</v>
      </c>
      <c r="H871" s="315" t="s">
        <v>5</v>
      </c>
      <c r="I871" s="315" t="s">
        <v>1222</v>
      </c>
      <c r="J871" s="315" t="str">
        <f t="shared" si="81"/>
        <v>PartsOther Sales Gross Profit % of Sales</v>
      </c>
      <c r="K871" s="315" t="str">
        <f t="shared" si="82"/>
        <v>330Parts Other COS - Inventory adjustment -Toyota</v>
      </c>
      <c r="L871" s="311">
        <f>+SUMIF('TUNZ Extracted TB'!M:M,$P871,'TUNZ Extracted TB'!G:G)</f>
        <v>1019.56</v>
      </c>
      <c r="M871" s="311"/>
      <c r="N871" s="311">
        <f>+SUMIF('Input Sheet'!$AE:$AE,P871,'Input Sheet'!$X:$X)</f>
        <v>0</v>
      </c>
      <c r="O871" s="311"/>
      <c r="P871" t="str">
        <f t="shared" si="83"/>
        <v>330-4530</v>
      </c>
      <c r="Q871" s="315" t="str">
        <f t="shared" si="84"/>
        <v>Parts</v>
      </c>
      <c r="R871" s="315" t="str">
        <f t="shared" si="85"/>
        <v>PartsOther Sales Gross Profit % of Sales</v>
      </c>
      <c r="S871" s="199"/>
      <c r="T871" s="199"/>
      <c r="U871" s="199"/>
    </row>
    <row r="872" spans="1:21" x14ac:dyDescent="0.25">
      <c r="A872" t="s">
        <v>996</v>
      </c>
      <c r="B872" t="s">
        <v>997</v>
      </c>
      <c r="C872" t="s">
        <v>997</v>
      </c>
      <c r="D872">
        <v>4530</v>
      </c>
      <c r="E872">
        <v>130</v>
      </c>
      <c r="F872" t="s">
        <v>1233</v>
      </c>
      <c r="G872" t="s">
        <v>1234</v>
      </c>
      <c r="H872" s="315" t="s">
        <v>5</v>
      </c>
      <c r="I872" s="315" t="s">
        <v>1222</v>
      </c>
      <c r="J872" s="315" t="str">
        <f t="shared" si="81"/>
        <v>PartsOther Sales Gross Profit % of Sales</v>
      </c>
      <c r="K872" s="315" t="str">
        <f t="shared" si="82"/>
        <v>130Parts Other COS - Inventory adjustment -Toyota</v>
      </c>
      <c r="L872" s="311">
        <f>+SUMIF('TUNZ Extracted TB'!M:M,$P872,'TUNZ Extracted TB'!G:G)</f>
        <v>999.92</v>
      </c>
      <c r="M872" s="311"/>
      <c r="N872" s="311">
        <f>+SUMIF('Input Sheet'!$AE:$AE,P872,'Input Sheet'!$X:$X)</f>
        <v>0</v>
      </c>
      <c r="O872" s="311"/>
      <c r="P872" t="str">
        <f t="shared" si="83"/>
        <v>130-4530</v>
      </c>
      <c r="Q872" s="315" t="str">
        <f t="shared" si="84"/>
        <v>Parts</v>
      </c>
      <c r="R872" s="315" t="str">
        <f t="shared" si="85"/>
        <v>PartsOther Sales Gross Profit % of Sales</v>
      </c>
      <c r="S872" s="199"/>
      <c r="T872" s="199"/>
      <c r="U872" s="199"/>
    </row>
    <row r="873" spans="1:21" x14ac:dyDescent="0.25">
      <c r="A873" t="s">
        <v>996</v>
      </c>
      <c r="B873" t="s">
        <v>997</v>
      </c>
      <c r="C873" t="s">
        <v>997</v>
      </c>
      <c r="D873">
        <v>4530</v>
      </c>
      <c r="E873">
        <v>132</v>
      </c>
      <c r="F873" t="s">
        <v>1235</v>
      </c>
      <c r="G873" t="s">
        <v>1236</v>
      </c>
      <c r="H873" s="315" t="s">
        <v>143</v>
      </c>
      <c r="I873" s="315" t="s">
        <v>1222</v>
      </c>
      <c r="J873" s="315" t="str">
        <f t="shared" si="81"/>
        <v>LEX PartsOther Sales Gross Profit % of Sales</v>
      </c>
      <c r="K873" s="315" t="str">
        <f t="shared" si="82"/>
        <v>132Parts Other COS - Inventory adjustment - Lexus</v>
      </c>
      <c r="L873" s="311">
        <f>+SUMIF('TUNZ Extracted TB'!M:M,$P873,'TUNZ Extracted TB'!G:G)</f>
        <v>0</v>
      </c>
      <c r="M873" s="311"/>
      <c r="N873" s="311">
        <f>+SUMIF('Input Sheet'!$AE:$AE,P873,'Input Sheet'!$X:$X)</f>
        <v>0</v>
      </c>
      <c r="O873" s="311"/>
      <c r="P873" t="str">
        <f t="shared" si="83"/>
        <v>132-4530</v>
      </c>
      <c r="Q873" s="315" t="str">
        <f t="shared" si="84"/>
        <v>LEX Parts</v>
      </c>
      <c r="R873" s="315" t="str">
        <f t="shared" si="85"/>
        <v>LEX PartsOther Sales Gross Profit % of Sales</v>
      </c>
      <c r="S873" s="199"/>
      <c r="T873" s="199"/>
      <c r="U873" s="199"/>
    </row>
    <row r="874" spans="1:21" x14ac:dyDescent="0.25">
      <c r="A874" t="s">
        <v>996</v>
      </c>
      <c r="B874" t="s">
        <v>997</v>
      </c>
      <c r="C874" t="s">
        <v>997</v>
      </c>
      <c r="D874">
        <v>4530</v>
      </c>
      <c r="E874">
        <v>936</v>
      </c>
      <c r="F874" t="s">
        <v>1175</v>
      </c>
      <c r="G874" t="s">
        <v>1176</v>
      </c>
      <c r="H874" s="315" t="s">
        <v>58</v>
      </c>
      <c r="I874" s="315" t="s">
        <v>1222</v>
      </c>
      <c r="J874" s="315" t="str">
        <f t="shared" si="81"/>
        <v>BridgestoneOther Sales Gross Profit % of Sales</v>
      </c>
      <c r="K874" s="315" t="str">
        <f t="shared" si="82"/>
        <v>936Other franchise/business expense</v>
      </c>
      <c r="L874" s="311">
        <f>+SUMIF('TUNZ Extracted TB'!M:M,$P874,'TUNZ Extracted TB'!G:G)</f>
        <v>0</v>
      </c>
      <c r="M874" s="311"/>
      <c r="N874" s="311">
        <f>+SUMIF('Input Sheet'!$AE:$AE,P874,'Input Sheet'!$X:$X)</f>
        <v>0</v>
      </c>
      <c r="O874" s="311"/>
      <c r="P874" t="str">
        <f t="shared" si="83"/>
        <v>936-4530</v>
      </c>
      <c r="Q874" s="315" t="str">
        <f t="shared" si="84"/>
        <v>Bridgestone</v>
      </c>
      <c r="R874" s="315" t="str">
        <f t="shared" si="85"/>
        <v>BridgestoneOther Sales Gross Profit % of Sales</v>
      </c>
      <c r="S874" s="199"/>
      <c r="T874" s="199"/>
      <c r="U874" s="199"/>
    </row>
    <row r="875" spans="1:21" x14ac:dyDescent="0.25">
      <c r="A875" t="s">
        <v>996</v>
      </c>
      <c r="B875" t="s">
        <v>997</v>
      </c>
      <c r="C875" t="s">
        <v>997</v>
      </c>
      <c r="D875">
        <v>4530</v>
      </c>
      <c r="E875">
        <v>935</v>
      </c>
      <c r="F875" t="s">
        <v>1175</v>
      </c>
      <c r="G875" t="s">
        <v>1176</v>
      </c>
      <c r="H875" s="315" t="s">
        <v>58</v>
      </c>
      <c r="I875" s="315" t="s">
        <v>1222</v>
      </c>
      <c r="J875" s="315" t="str">
        <f t="shared" si="81"/>
        <v>BridgestoneOther Sales Gross Profit % of Sales</v>
      </c>
      <c r="K875" s="315" t="str">
        <f t="shared" si="82"/>
        <v>935Other franchise/business expense</v>
      </c>
      <c r="L875" s="311">
        <f>+SUMIF('TUNZ Extracted TB'!M:M,$P875,'TUNZ Extracted TB'!G:G)</f>
        <v>0</v>
      </c>
      <c r="M875" s="311"/>
      <c r="N875" s="311">
        <f>+SUMIF('Input Sheet'!$AE:$AE,P875,'Input Sheet'!$X:$X)</f>
        <v>0</v>
      </c>
      <c r="O875" s="311"/>
      <c r="P875" t="str">
        <f t="shared" si="83"/>
        <v>935-4530</v>
      </c>
      <c r="Q875" s="315" t="str">
        <f t="shared" si="84"/>
        <v>Bridgestone</v>
      </c>
      <c r="R875" s="315" t="str">
        <f t="shared" si="85"/>
        <v>BridgestoneOther Sales Gross Profit % of Sales</v>
      </c>
      <c r="S875" s="199"/>
      <c r="T875" s="199"/>
      <c r="U875" s="199"/>
    </row>
    <row r="876" spans="1:21" x14ac:dyDescent="0.25">
      <c r="A876" t="s">
        <v>996</v>
      </c>
      <c r="B876" t="s">
        <v>997</v>
      </c>
      <c r="C876" t="s">
        <v>1012</v>
      </c>
      <c r="D876">
        <v>4530</v>
      </c>
      <c r="E876">
        <v>430</v>
      </c>
      <c r="F876" t="s">
        <v>1233</v>
      </c>
      <c r="G876" t="s">
        <v>1234</v>
      </c>
      <c r="H876" s="315" t="s">
        <v>5</v>
      </c>
      <c r="I876" s="315" t="s">
        <v>1222</v>
      </c>
      <c r="J876" s="315" t="str">
        <f t="shared" si="81"/>
        <v>PartsOther Sales Gross Profit % of Sales</v>
      </c>
      <c r="K876" s="315" t="str">
        <f t="shared" si="82"/>
        <v>430Parts Other COS - Inventory adjustment -Toyota</v>
      </c>
      <c r="L876" s="311">
        <f>+SUMIF('TUNZ Extracted TB'!M:M,$P876,'TUNZ Extracted TB'!G:G)</f>
        <v>-386.1</v>
      </c>
      <c r="M876" s="311"/>
      <c r="N876" s="311">
        <f>+SUMIF('Input Sheet'!$AE:$AE,P876,'Input Sheet'!$X:$X)</f>
        <v>0</v>
      </c>
      <c r="O876" s="311"/>
      <c r="P876" t="str">
        <f t="shared" si="83"/>
        <v>430-4530</v>
      </c>
      <c r="Q876" s="315" t="str">
        <f t="shared" si="84"/>
        <v>Parts</v>
      </c>
      <c r="R876" s="315" t="str">
        <f t="shared" si="85"/>
        <v>PartsOther Sales Gross Profit % of Sales</v>
      </c>
      <c r="S876" s="199"/>
      <c r="T876" s="199"/>
      <c r="U876" s="199"/>
    </row>
    <row r="877" spans="1:21" x14ac:dyDescent="0.25">
      <c r="A877" t="s">
        <v>996</v>
      </c>
      <c r="B877" t="s">
        <v>997</v>
      </c>
      <c r="C877" t="s">
        <v>1005</v>
      </c>
      <c r="D877">
        <v>4531</v>
      </c>
      <c r="E877">
        <v>230</v>
      </c>
      <c r="F877" t="s">
        <v>1233</v>
      </c>
      <c r="G877" t="s">
        <v>1234</v>
      </c>
      <c r="H877" s="315" t="s">
        <v>5</v>
      </c>
      <c r="I877" s="315" t="s">
        <v>1222</v>
      </c>
      <c r="J877" s="315" t="str">
        <f t="shared" si="81"/>
        <v>PartsOther Sales Gross Profit % of Sales</v>
      </c>
      <c r="K877" s="315" t="str">
        <f t="shared" si="82"/>
        <v>230Parts Other COS - Inventory adjustment -Toyota</v>
      </c>
      <c r="L877" s="311">
        <f>+SUMIF('TUNZ Extracted TB'!M:M,$P877,'TUNZ Extracted TB'!G:G)</f>
        <v>-76.06</v>
      </c>
      <c r="M877" s="311"/>
      <c r="N877" s="311">
        <f>+SUMIF('Input Sheet'!$AE:$AE,P877,'Input Sheet'!$X:$X)</f>
        <v>0</v>
      </c>
      <c r="O877" s="311"/>
      <c r="P877" t="str">
        <f t="shared" si="83"/>
        <v>230-4531</v>
      </c>
      <c r="Q877" s="315" t="str">
        <f t="shared" si="84"/>
        <v>Parts</v>
      </c>
      <c r="R877" s="315" t="str">
        <f t="shared" si="85"/>
        <v>PartsOther Sales Gross Profit % of Sales</v>
      </c>
      <c r="S877" s="199"/>
      <c r="T877" s="199"/>
      <c r="U877" s="199"/>
    </row>
    <row r="878" spans="1:21" x14ac:dyDescent="0.25">
      <c r="A878" t="s">
        <v>996</v>
      </c>
      <c r="B878" t="s">
        <v>997</v>
      </c>
      <c r="C878" t="s">
        <v>1013</v>
      </c>
      <c r="D878">
        <v>4531</v>
      </c>
      <c r="E878">
        <v>330</v>
      </c>
      <c r="F878" t="s">
        <v>1233</v>
      </c>
      <c r="G878" t="s">
        <v>1234</v>
      </c>
      <c r="H878" s="315" t="s">
        <v>5</v>
      </c>
      <c r="I878" s="315" t="s">
        <v>1222</v>
      </c>
      <c r="J878" s="315" t="str">
        <f t="shared" si="81"/>
        <v>PartsOther Sales Gross Profit % of Sales</v>
      </c>
      <c r="K878" s="315" t="str">
        <f t="shared" si="82"/>
        <v>330Parts Other COS - Inventory adjustment -Toyota</v>
      </c>
      <c r="L878" s="311">
        <f>+SUMIF('TUNZ Extracted TB'!M:M,$P878,'TUNZ Extracted TB'!G:G)</f>
        <v>-28.21</v>
      </c>
      <c r="M878" s="311"/>
      <c r="N878" s="311">
        <f>+SUMIF('Input Sheet'!$AE:$AE,P878,'Input Sheet'!$X:$X)</f>
        <v>0</v>
      </c>
      <c r="O878" s="311"/>
      <c r="P878" t="str">
        <f t="shared" si="83"/>
        <v>330-4531</v>
      </c>
      <c r="Q878" s="315" t="str">
        <f t="shared" si="84"/>
        <v>Parts</v>
      </c>
      <c r="R878" s="315" t="str">
        <f t="shared" si="85"/>
        <v>PartsOther Sales Gross Profit % of Sales</v>
      </c>
      <c r="S878" s="199"/>
      <c r="T878" s="199"/>
      <c r="U878" s="199"/>
    </row>
    <row r="879" spans="1:21" x14ac:dyDescent="0.25">
      <c r="A879" t="s">
        <v>996</v>
      </c>
      <c r="B879" t="s">
        <v>997</v>
      </c>
      <c r="C879" t="s">
        <v>997</v>
      </c>
      <c r="D879">
        <v>4531</v>
      </c>
      <c r="E879">
        <v>130</v>
      </c>
      <c r="F879" t="s">
        <v>1233</v>
      </c>
      <c r="G879" t="s">
        <v>1234</v>
      </c>
      <c r="H879" s="315" t="s">
        <v>5</v>
      </c>
      <c r="I879" s="315" t="s">
        <v>1222</v>
      </c>
      <c r="J879" s="315" t="str">
        <f t="shared" si="81"/>
        <v>PartsOther Sales Gross Profit % of Sales</v>
      </c>
      <c r="K879" s="315" t="str">
        <f t="shared" si="82"/>
        <v>130Parts Other COS - Inventory adjustment -Toyota</v>
      </c>
      <c r="L879" s="311">
        <f>+SUMIF('TUNZ Extracted TB'!M:M,$P879,'TUNZ Extracted TB'!G:G)</f>
        <v>-70.209999999999994</v>
      </c>
      <c r="M879" s="311"/>
      <c r="N879" s="311">
        <f>+SUMIF('Input Sheet'!$AE:$AE,P879,'Input Sheet'!$X:$X)</f>
        <v>0</v>
      </c>
      <c r="O879" s="311"/>
      <c r="P879" t="str">
        <f t="shared" si="83"/>
        <v>130-4531</v>
      </c>
      <c r="Q879" s="315" t="str">
        <f t="shared" si="84"/>
        <v>Parts</v>
      </c>
      <c r="R879" s="315" t="str">
        <f t="shared" si="85"/>
        <v>PartsOther Sales Gross Profit % of Sales</v>
      </c>
      <c r="S879" s="199"/>
      <c r="T879" s="199"/>
      <c r="U879" s="199"/>
    </row>
    <row r="880" spans="1:21" x14ac:dyDescent="0.25">
      <c r="A880" t="s">
        <v>996</v>
      </c>
      <c r="B880" t="s">
        <v>997</v>
      </c>
      <c r="C880" t="s">
        <v>997</v>
      </c>
      <c r="D880">
        <v>4531</v>
      </c>
      <c r="E880">
        <v>132</v>
      </c>
      <c r="F880" t="s">
        <v>1235</v>
      </c>
      <c r="G880" t="s">
        <v>1236</v>
      </c>
      <c r="H880" s="315" t="s">
        <v>143</v>
      </c>
      <c r="I880" s="315" t="s">
        <v>1222</v>
      </c>
      <c r="J880" s="315" t="str">
        <f t="shared" si="81"/>
        <v>LEX PartsOther Sales Gross Profit % of Sales</v>
      </c>
      <c r="K880" s="315" t="str">
        <f t="shared" si="82"/>
        <v>132Parts Other COS - Inventory adjustment - Lexus</v>
      </c>
      <c r="L880" s="311">
        <f>+SUMIF('TUNZ Extracted TB'!M:M,$P880,'TUNZ Extracted TB'!G:G)</f>
        <v>0</v>
      </c>
      <c r="M880" s="311"/>
      <c r="N880" s="311">
        <f>+SUMIF('Input Sheet'!$AE:$AE,P880,'Input Sheet'!$X:$X)</f>
        <v>0</v>
      </c>
      <c r="O880" s="311"/>
      <c r="P880" t="str">
        <f t="shared" si="83"/>
        <v>132-4531</v>
      </c>
      <c r="Q880" s="315" t="str">
        <f t="shared" si="84"/>
        <v>LEX Parts</v>
      </c>
      <c r="R880" s="315" t="str">
        <f t="shared" si="85"/>
        <v>LEX PartsOther Sales Gross Profit % of Sales</v>
      </c>
      <c r="S880" s="199"/>
      <c r="T880" s="199"/>
      <c r="U880" s="199"/>
    </row>
    <row r="881" spans="1:21" x14ac:dyDescent="0.25">
      <c r="A881" t="s">
        <v>996</v>
      </c>
      <c r="B881" t="s">
        <v>997</v>
      </c>
      <c r="C881" t="s">
        <v>997</v>
      </c>
      <c r="D881">
        <v>4531</v>
      </c>
      <c r="E881">
        <v>936</v>
      </c>
      <c r="F881" t="s">
        <v>1175</v>
      </c>
      <c r="G881" t="s">
        <v>1176</v>
      </c>
      <c r="H881" s="315" t="s">
        <v>58</v>
      </c>
      <c r="I881" s="315" t="s">
        <v>1222</v>
      </c>
      <c r="J881" s="315" t="str">
        <f t="shared" si="81"/>
        <v>BridgestoneOther Sales Gross Profit % of Sales</v>
      </c>
      <c r="K881" s="315" t="str">
        <f t="shared" si="82"/>
        <v>936Other franchise/business expense</v>
      </c>
      <c r="L881" s="311">
        <f>+SUMIF('TUNZ Extracted TB'!M:M,$P881,'TUNZ Extracted TB'!G:G)</f>
        <v>-47.71</v>
      </c>
      <c r="M881" s="311"/>
      <c r="N881" s="311">
        <f>+SUMIF('Input Sheet'!$AE:$AE,P881,'Input Sheet'!$X:$X)</f>
        <v>0</v>
      </c>
      <c r="O881" s="311"/>
      <c r="P881" t="str">
        <f t="shared" si="83"/>
        <v>936-4531</v>
      </c>
      <c r="Q881" s="315" t="str">
        <f t="shared" si="84"/>
        <v>Bridgestone</v>
      </c>
      <c r="R881" s="315" t="str">
        <f t="shared" si="85"/>
        <v>BridgestoneOther Sales Gross Profit % of Sales</v>
      </c>
      <c r="S881" s="199"/>
      <c r="T881" s="199"/>
      <c r="U881" s="199"/>
    </row>
    <row r="882" spans="1:21" x14ac:dyDescent="0.25">
      <c r="A882" t="s">
        <v>996</v>
      </c>
      <c r="B882" t="s">
        <v>997</v>
      </c>
      <c r="C882" t="s">
        <v>1012</v>
      </c>
      <c r="D882">
        <v>4531</v>
      </c>
      <c r="E882">
        <v>430</v>
      </c>
      <c r="F882" t="s">
        <v>1233</v>
      </c>
      <c r="G882" t="s">
        <v>1234</v>
      </c>
      <c r="H882" s="315" t="s">
        <v>5</v>
      </c>
      <c r="I882" s="315" t="s">
        <v>1222</v>
      </c>
      <c r="J882" s="315" t="str">
        <f t="shared" si="81"/>
        <v>PartsOther Sales Gross Profit % of Sales</v>
      </c>
      <c r="K882" s="315" t="str">
        <f t="shared" si="82"/>
        <v>430Parts Other COS - Inventory adjustment -Toyota</v>
      </c>
      <c r="L882" s="311">
        <f>+SUMIF('TUNZ Extracted TB'!M:M,$P882,'TUNZ Extracted TB'!G:G)</f>
        <v>168.88</v>
      </c>
      <c r="M882" s="311"/>
      <c r="N882" s="311">
        <f>+SUMIF('Input Sheet'!$AE:$AE,P882,'Input Sheet'!$X:$X)</f>
        <v>0</v>
      </c>
      <c r="O882" s="311"/>
      <c r="P882" t="str">
        <f t="shared" si="83"/>
        <v>430-4531</v>
      </c>
      <c r="Q882" s="315" t="str">
        <f t="shared" si="84"/>
        <v>Parts</v>
      </c>
      <c r="R882" s="315" t="str">
        <f t="shared" si="85"/>
        <v>PartsOther Sales Gross Profit % of Sales</v>
      </c>
      <c r="S882" s="199"/>
      <c r="T882" s="199"/>
      <c r="U882" s="199"/>
    </row>
    <row r="883" spans="1:21" x14ac:dyDescent="0.25">
      <c r="A883" t="s">
        <v>996</v>
      </c>
      <c r="B883" t="s">
        <v>997</v>
      </c>
      <c r="C883" t="s">
        <v>997</v>
      </c>
      <c r="D883">
        <v>4531</v>
      </c>
      <c r="E883">
        <v>935</v>
      </c>
      <c r="F883" t="s">
        <v>1175</v>
      </c>
      <c r="G883" t="s">
        <v>1176</v>
      </c>
      <c r="H883" s="315" t="s">
        <v>58</v>
      </c>
      <c r="I883" s="315" t="s">
        <v>1222</v>
      </c>
      <c r="J883" s="315" t="str">
        <f t="shared" si="81"/>
        <v>BridgestoneOther Sales Gross Profit % of Sales</v>
      </c>
      <c r="K883" s="315" t="str">
        <f t="shared" si="82"/>
        <v>935Other franchise/business expense</v>
      </c>
      <c r="L883" s="311">
        <f>+SUMIF('TUNZ Extracted TB'!M:M,$P883,'TUNZ Extracted TB'!G:G)</f>
        <v>826.55</v>
      </c>
      <c r="M883" s="311"/>
      <c r="N883" s="311">
        <f>+SUMIF('Input Sheet'!$AE:$AE,P883,'Input Sheet'!$X:$X)</f>
        <v>0</v>
      </c>
      <c r="O883" s="311"/>
      <c r="P883" t="str">
        <f t="shared" si="83"/>
        <v>935-4531</v>
      </c>
      <c r="Q883" s="315" t="str">
        <f t="shared" si="84"/>
        <v>Bridgestone</v>
      </c>
      <c r="R883" s="315" t="str">
        <f t="shared" si="85"/>
        <v>BridgestoneOther Sales Gross Profit % of Sales</v>
      </c>
      <c r="S883" s="199"/>
      <c r="T883" s="199"/>
      <c r="U883" s="199"/>
    </row>
    <row r="884" spans="1:21" x14ac:dyDescent="0.25">
      <c r="A884" t="s">
        <v>996</v>
      </c>
      <c r="B884" t="s">
        <v>997</v>
      </c>
      <c r="C884" t="s">
        <v>997</v>
      </c>
      <c r="D884">
        <v>4535</v>
      </c>
      <c r="E884">
        <v>130</v>
      </c>
      <c r="F884" t="s">
        <v>1207</v>
      </c>
      <c r="G884" t="s">
        <v>1208</v>
      </c>
      <c r="H884" s="315" t="s">
        <v>5</v>
      </c>
      <c r="I884" s="315" t="s">
        <v>1209</v>
      </c>
      <c r="J884" s="315" t="str">
        <f t="shared" si="81"/>
        <v>PartsTrade Sales Gross Profit % of Sales</v>
      </c>
      <c r="K884" s="315" t="str">
        <f t="shared" si="82"/>
        <v>130Parts Trade COS - Toyota</v>
      </c>
      <c r="L884" s="311">
        <f>+SUMIF('TUNZ Extracted TB'!M:M,$P884,'TUNZ Extracted TB'!G:G)</f>
        <v>0</v>
      </c>
      <c r="M884" s="311"/>
      <c r="N884" s="311">
        <f>+SUMIF('Input Sheet'!$AE:$AE,P884,'Input Sheet'!$X:$X)</f>
        <v>0</v>
      </c>
      <c r="O884" s="311"/>
      <c r="P884" t="str">
        <f t="shared" si="83"/>
        <v>130-4535</v>
      </c>
      <c r="Q884" s="315" t="str">
        <f t="shared" si="84"/>
        <v>Parts</v>
      </c>
      <c r="R884" s="315" t="str">
        <f t="shared" si="85"/>
        <v>PartsTrade Sales Gross Profit % of Sales</v>
      </c>
      <c r="S884" s="199"/>
      <c r="T884" s="199"/>
      <c r="U884" s="199"/>
    </row>
    <row r="885" spans="1:21" x14ac:dyDescent="0.25">
      <c r="A885" t="s">
        <v>996</v>
      </c>
      <c r="B885" t="s">
        <v>997</v>
      </c>
      <c r="C885" t="s">
        <v>997</v>
      </c>
      <c r="D885">
        <v>4535</v>
      </c>
      <c r="E885">
        <v>132</v>
      </c>
      <c r="F885" t="s">
        <v>1218</v>
      </c>
      <c r="G885" t="s">
        <v>1219</v>
      </c>
      <c r="H885" s="315" t="s">
        <v>143</v>
      </c>
      <c r="I885" s="315" t="s">
        <v>1209</v>
      </c>
      <c r="J885" s="315" t="str">
        <f t="shared" si="81"/>
        <v>LEX PartsTrade Sales Gross Profit % of Sales</v>
      </c>
      <c r="K885" s="315" t="str">
        <f t="shared" si="82"/>
        <v>132Parts Workshop Retail COS - Lexus</v>
      </c>
      <c r="L885" s="311">
        <f>+SUMIF('TUNZ Extracted TB'!M:M,$P885,'TUNZ Extracted TB'!G:G)</f>
        <v>0</v>
      </c>
      <c r="M885" s="311"/>
      <c r="N885" s="311">
        <f>+SUMIF('Input Sheet'!$AE:$AE,P885,'Input Sheet'!$X:$X)</f>
        <v>0</v>
      </c>
      <c r="O885" s="311"/>
      <c r="P885" t="str">
        <f t="shared" si="83"/>
        <v>132-4535</v>
      </c>
      <c r="Q885" s="315" t="str">
        <f t="shared" si="84"/>
        <v>LEX Parts</v>
      </c>
      <c r="R885" s="315" t="str">
        <f t="shared" si="85"/>
        <v>LEX PartsTrade Sales Gross Profit % of Sales</v>
      </c>
      <c r="S885" s="199"/>
      <c r="T885" s="199"/>
      <c r="U885" s="199"/>
    </row>
    <row r="886" spans="1:21" x14ac:dyDescent="0.25">
      <c r="A886" t="s">
        <v>996</v>
      </c>
      <c r="B886" t="s">
        <v>997</v>
      </c>
      <c r="C886" t="s">
        <v>997</v>
      </c>
      <c r="D886">
        <v>4535</v>
      </c>
      <c r="E886">
        <v>936</v>
      </c>
      <c r="F886" t="s">
        <v>1175</v>
      </c>
      <c r="G886" t="s">
        <v>1176</v>
      </c>
      <c r="H886" s="315" t="s">
        <v>58</v>
      </c>
      <c r="I886" s="315" t="s">
        <v>1209</v>
      </c>
      <c r="J886" s="315" t="str">
        <f t="shared" si="81"/>
        <v>BridgestoneTrade Sales Gross Profit % of Sales</v>
      </c>
      <c r="K886" s="315" t="str">
        <f t="shared" si="82"/>
        <v>936Other franchise/business expense</v>
      </c>
      <c r="L886" s="311">
        <f>+SUMIF('TUNZ Extracted TB'!M:M,$P886,'TUNZ Extracted TB'!G:G)</f>
        <v>0</v>
      </c>
      <c r="M886" s="311"/>
      <c r="N886" s="311">
        <f>+SUMIF('Input Sheet'!$AE:$AE,P886,'Input Sheet'!$X:$X)</f>
        <v>0</v>
      </c>
      <c r="O886" s="311"/>
      <c r="P886" t="str">
        <f t="shared" si="83"/>
        <v>936-4535</v>
      </c>
      <c r="Q886" s="315" t="str">
        <f t="shared" si="84"/>
        <v>Bridgestone</v>
      </c>
      <c r="R886" s="315" t="str">
        <f t="shared" si="85"/>
        <v>BridgestoneTrade Sales Gross Profit % of Sales</v>
      </c>
      <c r="S886" s="199"/>
      <c r="T886" s="199"/>
      <c r="U886" s="199"/>
    </row>
    <row r="887" spans="1:21" x14ac:dyDescent="0.25">
      <c r="A887" t="s">
        <v>996</v>
      </c>
      <c r="B887" t="s">
        <v>997</v>
      </c>
      <c r="C887" t="s">
        <v>997</v>
      </c>
      <c r="D887">
        <v>4535</v>
      </c>
      <c r="E887">
        <v>935</v>
      </c>
      <c r="F887" t="s">
        <v>1175</v>
      </c>
      <c r="G887" t="s">
        <v>1176</v>
      </c>
      <c r="H887" s="315" t="s">
        <v>58</v>
      </c>
      <c r="I887" s="315" t="s">
        <v>1209</v>
      </c>
      <c r="J887" s="315" t="str">
        <f t="shared" si="81"/>
        <v>BridgestoneTrade Sales Gross Profit % of Sales</v>
      </c>
      <c r="K887" s="315" t="str">
        <f t="shared" si="82"/>
        <v>935Other franchise/business expense</v>
      </c>
      <c r="L887" s="311">
        <f>+SUMIF('TUNZ Extracted TB'!M:M,$P887,'TUNZ Extracted TB'!G:G)</f>
        <v>0</v>
      </c>
      <c r="M887" s="311"/>
      <c r="N887" s="311">
        <f>+SUMIF('Input Sheet'!$AE:$AE,P887,'Input Sheet'!$X:$X)</f>
        <v>0</v>
      </c>
      <c r="O887" s="311"/>
      <c r="P887" t="str">
        <f t="shared" si="83"/>
        <v>935-4535</v>
      </c>
      <c r="Q887" s="315" t="str">
        <f t="shared" si="84"/>
        <v>Bridgestone</v>
      </c>
      <c r="R887" s="315" t="str">
        <f t="shared" si="85"/>
        <v>BridgestoneTrade Sales Gross Profit % of Sales</v>
      </c>
      <c r="S887" s="199"/>
      <c r="T887" s="199"/>
      <c r="U887" s="199"/>
    </row>
    <row r="888" spans="1:21" x14ac:dyDescent="0.25">
      <c r="A888" t="s">
        <v>996</v>
      </c>
      <c r="B888" t="s">
        <v>997</v>
      </c>
      <c r="C888" t="s">
        <v>1012</v>
      </c>
      <c r="D888">
        <v>4535</v>
      </c>
      <c r="E888">
        <v>430</v>
      </c>
      <c r="F888" t="s">
        <v>1207</v>
      </c>
      <c r="G888" t="s">
        <v>1208</v>
      </c>
      <c r="H888" s="315" t="s">
        <v>5</v>
      </c>
      <c r="I888" s="315" t="s">
        <v>1209</v>
      </c>
      <c r="J888" s="315" t="str">
        <f t="shared" si="81"/>
        <v>PartsTrade Sales Gross Profit % of Sales</v>
      </c>
      <c r="K888" s="315" t="str">
        <f t="shared" si="82"/>
        <v>430Parts Trade COS - Toyota</v>
      </c>
      <c r="L888" s="311">
        <f>+SUMIF('TUNZ Extracted TB'!M:M,$P888,'TUNZ Extracted TB'!G:G)</f>
        <v>0</v>
      </c>
      <c r="M888" s="311"/>
      <c r="N888" s="311">
        <f>+SUMIF('Input Sheet'!$AE:$AE,P888,'Input Sheet'!$X:$X)</f>
        <v>0</v>
      </c>
      <c r="O888" s="311"/>
      <c r="P888" t="str">
        <f t="shared" si="83"/>
        <v>430-4535</v>
      </c>
      <c r="Q888" s="315" t="str">
        <f t="shared" si="84"/>
        <v>Parts</v>
      </c>
      <c r="R888" s="315" t="str">
        <f t="shared" si="85"/>
        <v>PartsTrade Sales Gross Profit % of Sales</v>
      </c>
      <c r="S888" s="199"/>
      <c r="T888" s="199"/>
      <c r="U888" s="199"/>
    </row>
    <row r="889" spans="1:21" x14ac:dyDescent="0.25">
      <c r="A889" t="s">
        <v>996</v>
      </c>
      <c r="B889" t="s">
        <v>997</v>
      </c>
      <c r="C889" t="s">
        <v>1013</v>
      </c>
      <c r="D889">
        <v>4535</v>
      </c>
      <c r="E889">
        <v>330</v>
      </c>
      <c r="F889" t="s">
        <v>1207</v>
      </c>
      <c r="G889" t="s">
        <v>1208</v>
      </c>
      <c r="H889" s="315" t="s">
        <v>5</v>
      </c>
      <c r="I889" s="315" t="s">
        <v>1209</v>
      </c>
      <c r="J889" s="315" t="str">
        <f t="shared" si="81"/>
        <v>PartsTrade Sales Gross Profit % of Sales</v>
      </c>
      <c r="K889" s="315" t="str">
        <f t="shared" si="82"/>
        <v>330Parts Trade COS - Toyota</v>
      </c>
      <c r="L889" s="311">
        <f>+SUMIF('TUNZ Extracted TB'!M:M,$P889,'TUNZ Extracted TB'!G:G)</f>
        <v>0</v>
      </c>
      <c r="M889" s="311"/>
      <c r="N889" s="311">
        <f>+SUMIF('Input Sheet'!$AE:$AE,P889,'Input Sheet'!$X:$X)</f>
        <v>0</v>
      </c>
      <c r="O889" s="311"/>
      <c r="P889" t="str">
        <f t="shared" si="83"/>
        <v>330-4535</v>
      </c>
      <c r="Q889" s="315" t="str">
        <f t="shared" si="84"/>
        <v>Parts</v>
      </c>
      <c r="R889" s="315" t="str">
        <f t="shared" si="85"/>
        <v>PartsTrade Sales Gross Profit % of Sales</v>
      </c>
      <c r="S889" s="199"/>
      <c r="T889" s="199"/>
      <c r="U889" s="199"/>
    </row>
    <row r="890" spans="1:21" x14ac:dyDescent="0.25">
      <c r="A890" t="s">
        <v>996</v>
      </c>
      <c r="B890" t="s">
        <v>997</v>
      </c>
      <c r="C890" t="s">
        <v>997</v>
      </c>
      <c r="D890">
        <v>4550</v>
      </c>
      <c r="E890">
        <v>132</v>
      </c>
      <c r="F890" t="s">
        <v>1237</v>
      </c>
      <c r="G890" t="s">
        <v>1238</v>
      </c>
      <c r="H890" s="315" t="s">
        <v>143</v>
      </c>
      <c r="I890" s="315" t="s">
        <v>1222</v>
      </c>
      <c r="J890" s="315" t="str">
        <f t="shared" si="81"/>
        <v>LEX PartsOther Sales Gross Profit % of Sales</v>
      </c>
      <c r="K890" s="315" t="str">
        <f t="shared" si="82"/>
        <v>132Parts Other COS - Lexus</v>
      </c>
      <c r="L890" s="311">
        <f>+SUMIF('TUNZ Extracted TB'!M:M,$P890,'TUNZ Extracted TB'!G:G)</f>
        <v>0</v>
      </c>
      <c r="M890" s="311"/>
      <c r="N890" s="311">
        <f>+SUMIF('Input Sheet'!$AE:$AE,P890,'Input Sheet'!$X:$X)</f>
        <v>0</v>
      </c>
      <c r="O890" s="311"/>
      <c r="P890" t="str">
        <f t="shared" si="83"/>
        <v>132-4550</v>
      </c>
      <c r="Q890" s="315" t="str">
        <f t="shared" si="84"/>
        <v>LEX Parts</v>
      </c>
      <c r="R890" s="315" t="str">
        <f t="shared" si="85"/>
        <v>LEX PartsOther Sales Gross Profit % of Sales</v>
      </c>
      <c r="S890" s="199"/>
      <c r="T890" s="199"/>
      <c r="U890" s="199"/>
    </row>
    <row r="891" spans="1:21" x14ac:dyDescent="0.25">
      <c r="A891" t="s">
        <v>996</v>
      </c>
      <c r="B891" t="s">
        <v>997</v>
      </c>
      <c r="C891" t="s">
        <v>997</v>
      </c>
      <c r="D891">
        <v>4550</v>
      </c>
      <c r="E891">
        <v>130</v>
      </c>
      <c r="F891" t="s">
        <v>1220</v>
      </c>
      <c r="G891" t="s">
        <v>1221</v>
      </c>
      <c r="H891" s="315" t="s">
        <v>5</v>
      </c>
      <c r="I891" s="315" t="s">
        <v>1222</v>
      </c>
      <c r="J891" s="315" t="str">
        <f t="shared" si="81"/>
        <v>PartsOther Sales Gross Profit % of Sales</v>
      </c>
      <c r="K891" s="315" t="str">
        <f t="shared" si="82"/>
        <v>130Parts Other COS - Toyota</v>
      </c>
      <c r="L891" s="311">
        <f>+SUMIF('TUNZ Extracted TB'!M:M,$P891,'TUNZ Extracted TB'!G:G)</f>
        <v>0</v>
      </c>
      <c r="M891" s="311"/>
      <c r="N891" s="311">
        <f>+SUMIF('Input Sheet'!$AE:$AE,P891,'Input Sheet'!$X:$X)</f>
        <v>0</v>
      </c>
      <c r="O891" s="311"/>
      <c r="P891" t="str">
        <f t="shared" si="83"/>
        <v>130-4550</v>
      </c>
      <c r="Q891" s="315" t="str">
        <f t="shared" si="84"/>
        <v>Parts</v>
      </c>
      <c r="R891" s="315" t="str">
        <f t="shared" si="85"/>
        <v>PartsOther Sales Gross Profit % of Sales</v>
      </c>
      <c r="S891" s="199"/>
      <c r="T891" s="199"/>
      <c r="U891" s="199"/>
    </row>
    <row r="892" spans="1:21" x14ac:dyDescent="0.25">
      <c r="A892" t="s">
        <v>996</v>
      </c>
      <c r="B892" t="s">
        <v>997</v>
      </c>
      <c r="C892" t="s">
        <v>997</v>
      </c>
      <c r="D892">
        <v>4550</v>
      </c>
      <c r="E892">
        <v>936</v>
      </c>
      <c r="F892" t="s">
        <v>1175</v>
      </c>
      <c r="G892" t="s">
        <v>1176</v>
      </c>
      <c r="H892" s="315" t="s">
        <v>58</v>
      </c>
      <c r="I892" s="315" t="s">
        <v>1222</v>
      </c>
      <c r="J892" s="315" t="str">
        <f t="shared" si="81"/>
        <v>BridgestoneOther Sales Gross Profit % of Sales</v>
      </c>
      <c r="K892" s="315" t="str">
        <f t="shared" si="82"/>
        <v>936Other franchise/business expense</v>
      </c>
      <c r="L892" s="311">
        <f>+SUMIF('TUNZ Extracted TB'!M:M,$P892,'TUNZ Extracted TB'!G:G)</f>
        <v>0</v>
      </c>
      <c r="M892" s="311"/>
      <c r="N892" s="311">
        <f>+SUMIF('Input Sheet'!$AE:$AE,P892,'Input Sheet'!$X:$X)</f>
        <v>0</v>
      </c>
      <c r="O892" s="311"/>
      <c r="P892" t="str">
        <f t="shared" si="83"/>
        <v>936-4550</v>
      </c>
      <c r="Q892" s="315" t="str">
        <f t="shared" si="84"/>
        <v>Bridgestone</v>
      </c>
      <c r="R892" s="315" t="str">
        <f t="shared" si="85"/>
        <v>BridgestoneOther Sales Gross Profit % of Sales</v>
      </c>
      <c r="S892" s="199"/>
      <c r="T892" s="199"/>
      <c r="U892" s="199"/>
    </row>
    <row r="893" spans="1:21" x14ac:dyDescent="0.25">
      <c r="A893" t="s">
        <v>996</v>
      </c>
      <c r="B893" t="s">
        <v>997</v>
      </c>
      <c r="C893" t="s">
        <v>997</v>
      </c>
      <c r="D893">
        <v>4550</v>
      </c>
      <c r="E893">
        <v>935</v>
      </c>
      <c r="F893" t="s">
        <v>1175</v>
      </c>
      <c r="G893" t="s">
        <v>1176</v>
      </c>
      <c r="H893" s="315" t="s">
        <v>58</v>
      </c>
      <c r="I893" s="315" t="s">
        <v>1222</v>
      </c>
      <c r="J893" s="315" t="str">
        <f t="shared" si="81"/>
        <v>BridgestoneOther Sales Gross Profit % of Sales</v>
      </c>
      <c r="K893" s="315" t="str">
        <f t="shared" si="82"/>
        <v>935Other franchise/business expense</v>
      </c>
      <c r="L893" s="311">
        <f>+SUMIF('TUNZ Extracted TB'!M:M,$P893,'TUNZ Extracted TB'!G:G)</f>
        <v>0</v>
      </c>
      <c r="M893" s="311"/>
      <c r="N893" s="311">
        <f>+SUMIF('Input Sheet'!$AE:$AE,P893,'Input Sheet'!$X:$X)</f>
        <v>0</v>
      </c>
      <c r="O893" s="311"/>
      <c r="P893" t="str">
        <f t="shared" si="83"/>
        <v>935-4550</v>
      </c>
      <c r="Q893" s="315" t="str">
        <f t="shared" si="84"/>
        <v>Bridgestone</v>
      </c>
      <c r="R893" s="315" t="str">
        <f t="shared" si="85"/>
        <v>BridgestoneOther Sales Gross Profit % of Sales</v>
      </c>
      <c r="S893" s="199"/>
      <c r="T893" s="199"/>
      <c r="U893" s="199"/>
    </row>
    <row r="894" spans="1:21" x14ac:dyDescent="0.25">
      <c r="A894" t="s">
        <v>996</v>
      </c>
      <c r="B894" t="s">
        <v>997</v>
      </c>
      <c r="C894" t="s">
        <v>1012</v>
      </c>
      <c r="D894">
        <v>4550</v>
      </c>
      <c r="E894">
        <v>430</v>
      </c>
      <c r="F894" t="s">
        <v>1220</v>
      </c>
      <c r="G894" t="s">
        <v>1221</v>
      </c>
      <c r="H894" s="315" t="s">
        <v>5</v>
      </c>
      <c r="I894" s="315" t="s">
        <v>1222</v>
      </c>
      <c r="J894" s="315" t="str">
        <f t="shared" si="81"/>
        <v>PartsOther Sales Gross Profit % of Sales</v>
      </c>
      <c r="K894" s="315" t="str">
        <f t="shared" si="82"/>
        <v>430Parts Other COS - Toyota</v>
      </c>
      <c r="L894" s="311">
        <f>+SUMIF('TUNZ Extracted TB'!M:M,$P894,'TUNZ Extracted TB'!G:G)</f>
        <v>0</v>
      </c>
      <c r="M894" s="311"/>
      <c r="N894" s="311">
        <f>+SUMIF('Input Sheet'!$AE:$AE,P894,'Input Sheet'!$X:$X)</f>
        <v>0</v>
      </c>
      <c r="O894" s="311"/>
      <c r="P894" t="str">
        <f t="shared" si="83"/>
        <v>430-4550</v>
      </c>
      <c r="Q894" s="315" t="str">
        <f t="shared" si="84"/>
        <v>Parts</v>
      </c>
      <c r="R894" s="315" t="str">
        <f t="shared" si="85"/>
        <v>PartsOther Sales Gross Profit % of Sales</v>
      </c>
      <c r="S894" s="199"/>
      <c r="T894" s="199"/>
      <c r="U894" s="199"/>
    </row>
    <row r="895" spans="1:21" x14ac:dyDescent="0.25">
      <c r="A895" t="s">
        <v>996</v>
      </c>
      <c r="B895" t="s">
        <v>997</v>
      </c>
      <c r="C895" t="s">
        <v>1013</v>
      </c>
      <c r="D895">
        <v>4550</v>
      </c>
      <c r="E895">
        <v>330</v>
      </c>
      <c r="F895" t="s">
        <v>1220</v>
      </c>
      <c r="G895" t="s">
        <v>1221</v>
      </c>
      <c r="H895" s="315" t="s">
        <v>5</v>
      </c>
      <c r="I895" s="315" t="s">
        <v>1222</v>
      </c>
      <c r="J895" s="315" t="str">
        <f t="shared" si="81"/>
        <v>PartsOther Sales Gross Profit % of Sales</v>
      </c>
      <c r="K895" s="315" t="str">
        <f t="shared" si="82"/>
        <v>330Parts Other COS - Toyota</v>
      </c>
      <c r="L895" s="311">
        <f>+SUMIF('TUNZ Extracted TB'!M:M,$P895,'TUNZ Extracted TB'!G:G)</f>
        <v>0</v>
      </c>
      <c r="M895" s="311"/>
      <c r="N895" s="311">
        <f>+SUMIF('Input Sheet'!$AE:$AE,P895,'Input Sheet'!$X:$X)</f>
        <v>0</v>
      </c>
      <c r="O895" s="311"/>
      <c r="P895" t="str">
        <f t="shared" si="83"/>
        <v>330-4550</v>
      </c>
      <c r="Q895" s="315" t="str">
        <f t="shared" si="84"/>
        <v>Parts</v>
      </c>
      <c r="R895" s="315" t="str">
        <f t="shared" si="85"/>
        <v>PartsOther Sales Gross Profit % of Sales</v>
      </c>
      <c r="S895" s="199"/>
      <c r="T895" s="199"/>
      <c r="U895" s="199"/>
    </row>
    <row r="896" spans="1:21" x14ac:dyDescent="0.25">
      <c r="A896" t="s">
        <v>996</v>
      </c>
      <c r="B896" t="s">
        <v>997</v>
      </c>
      <c r="C896" t="s">
        <v>997</v>
      </c>
      <c r="D896">
        <v>4551</v>
      </c>
      <c r="E896">
        <v>132</v>
      </c>
      <c r="F896" t="s">
        <v>1205</v>
      </c>
      <c r="G896" t="s">
        <v>1206</v>
      </c>
      <c r="H896" s="315" t="s">
        <v>143</v>
      </c>
      <c r="I896" s="315" t="s">
        <v>1201</v>
      </c>
      <c r="J896" s="315" t="str">
        <f t="shared" si="81"/>
        <v>LEX PartsCounter Sales Gross Profit % of Sales</v>
      </c>
      <c r="K896" s="315" t="str">
        <f t="shared" si="82"/>
        <v>132Parts Counter COS - Lexus</v>
      </c>
      <c r="L896" s="311">
        <f>+SUMIF('TUNZ Extracted TB'!M:M,$P896,'TUNZ Extracted TB'!G:G)</f>
        <v>0</v>
      </c>
      <c r="M896" s="311"/>
      <c r="N896" s="311">
        <f>+SUMIF('Input Sheet'!$AE:$AE,P896,'Input Sheet'!$X:$X)</f>
        <v>0</v>
      </c>
      <c r="O896" s="311"/>
      <c r="P896" t="str">
        <f t="shared" si="83"/>
        <v>132-4551</v>
      </c>
      <c r="Q896" s="315" t="str">
        <f t="shared" si="84"/>
        <v>LEX Parts</v>
      </c>
      <c r="R896" s="315" t="str">
        <f t="shared" si="85"/>
        <v>LEX PartsCounter Sales Gross Profit % of Sales</v>
      </c>
      <c r="S896" s="199"/>
      <c r="T896" s="199"/>
      <c r="U896" s="199"/>
    </row>
    <row r="897" spans="1:21" x14ac:dyDescent="0.25">
      <c r="A897" t="s">
        <v>996</v>
      </c>
      <c r="B897" t="s">
        <v>997</v>
      </c>
      <c r="C897" t="s">
        <v>997</v>
      </c>
      <c r="D897">
        <v>4551</v>
      </c>
      <c r="E897">
        <v>130</v>
      </c>
      <c r="F897" t="s">
        <v>1199</v>
      </c>
      <c r="G897" t="s">
        <v>1200</v>
      </c>
      <c r="H897" s="315" t="s">
        <v>5</v>
      </c>
      <c r="I897" s="315" t="s">
        <v>1201</v>
      </c>
      <c r="J897" s="315" t="str">
        <f t="shared" si="81"/>
        <v>PartsCounter Sales Gross Profit % of Sales</v>
      </c>
      <c r="K897" s="315" t="str">
        <f t="shared" si="82"/>
        <v>130Parts Counter COS - Toyota</v>
      </c>
      <c r="L897" s="311">
        <f>+SUMIF('TUNZ Extracted TB'!M:M,$P897,'TUNZ Extracted TB'!G:G)</f>
        <v>0</v>
      </c>
      <c r="M897" s="311"/>
      <c r="N897" s="311">
        <f>+SUMIF('Input Sheet'!$AE:$AE,P897,'Input Sheet'!$X:$X)</f>
        <v>0</v>
      </c>
      <c r="O897" s="311"/>
      <c r="P897" t="str">
        <f t="shared" si="83"/>
        <v>130-4551</v>
      </c>
      <c r="Q897" s="315" t="str">
        <f t="shared" si="84"/>
        <v>Parts</v>
      </c>
      <c r="R897" s="315" t="str">
        <f t="shared" si="85"/>
        <v>PartsCounter Sales Gross Profit % of Sales</v>
      </c>
      <c r="S897" s="199"/>
      <c r="T897" s="199"/>
      <c r="U897" s="199"/>
    </row>
    <row r="898" spans="1:21" x14ac:dyDescent="0.25">
      <c r="A898" t="s">
        <v>996</v>
      </c>
      <c r="B898" t="s">
        <v>997</v>
      </c>
      <c r="C898" t="s">
        <v>997</v>
      </c>
      <c r="D898">
        <v>4551</v>
      </c>
      <c r="E898">
        <v>936</v>
      </c>
      <c r="F898" t="s">
        <v>1175</v>
      </c>
      <c r="G898" t="s">
        <v>1176</v>
      </c>
      <c r="H898" s="315" t="s">
        <v>58</v>
      </c>
      <c r="I898" s="315" t="s">
        <v>1201</v>
      </c>
      <c r="J898" s="315" t="str">
        <f t="shared" si="81"/>
        <v>BridgestoneCounter Sales Gross Profit % of Sales</v>
      </c>
      <c r="K898" s="315" t="str">
        <f t="shared" si="82"/>
        <v>936Other franchise/business expense</v>
      </c>
      <c r="L898" s="311">
        <f>+SUMIF('TUNZ Extracted TB'!M:M,$P898,'TUNZ Extracted TB'!G:G)</f>
        <v>0</v>
      </c>
      <c r="M898" s="311"/>
      <c r="N898" s="311">
        <f>+SUMIF('Input Sheet'!$AE:$AE,P898,'Input Sheet'!$X:$X)</f>
        <v>0</v>
      </c>
      <c r="O898" s="311"/>
      <c r="P898" t="str">
        <f t="shared" si="83"/>
        <v>936-4551</v>
      </c>
      <c r="Q898" s="315" t="str">
        <f t="shared" si="84"/>
        <v>Bridgestone</v>
      </c>
      <c r="R898" s="315" t="str">
        <f t="shared" si="85"/>
        <v>BridgestoneCounter Sales Gross Profit % of Sales</v>
      </c>
      <c r="S898" s="199"/>
      <c r="T898" s="199"/>
      <c r="U898" s="199"/>
    </row>
    <row r="899" spans="1:21" x14ac:dyDescent="0.25">
      <c r="A899" t="s">
        <v>996</v>
      </c>
      <c r="B899" t="s">
        <v>997</v>
      </c>
      <c r="C899" t="s">
        <v>997</v>
      </c>
      <c r="D899">
        <v>4551</v>
      </c>
      <c r="E899">
        <v>935</v>
      </c>
      <c r="F899" t="s">
        <v>1175</v>
      </c>
      <c r="G899" t="s">
        <v>1176</v>
      </c>
      <c r="H899" s="315" t="s">
        <v>58</v>
      </c>
      <c r="I899" s="315" t="s">
        <v>1201</v>
      </c>
      <c r="J899" s="315" t="str">
        <f t="shared" ref="J899:J962" si="86">+H899&amp;I899</f>
        <v>BridgestoneCounter Sales Gross Profit % of Sales</v>
      </c>
      <c r="K899" s="315" t="str">
        <f t="shared" ref="K899:K962" si="87">+E899&amp;G899</f>
        <v>935Other franchise/business expense</v>
      </c>
      <c r="L899" s="311">
        <f>+SUMIF('TUNZ Extracted TB'!M:M,$P899,'TUNZ Extracted TB'!G:G)</f>
        <v>0</v>
      </c>
      <c r="M899" s="311"/>
      <c r="N899" s="311">
        <f>+SUMIF('Input Sheet'!$AE:$AE,P899,'Input Sheet'!$X:$X)</f>
        <v>0</v>
      </c>
      <c r="O899" s="311"/>
      <c r="P899" t="str">
        <f t="shared" ref="P899:P962" si="88">+E899&amp;"-"&amp;D899</f>
        <v>935-4551</v>
      </c>
      <c r="Q899" s="315" t="str">
        <f t="shared" ref="Q899:Q962" si="89">H899</f>
        <v>Bridgestone</v>
      </c>
      <c r="R899" s="315" t="str">
        <f t="shared" ref="R899:R962" si="90">J899</f>
        <v>BridgestoneCounter Sales Gross Profit % of Sales</v>
      </c>
      <c r="S899" s="199"/>
      <c r="T899" s="199"/>
      <c r="U899" s="199"/>
    </row>
    <row r="900" spans="1:21" x14ac:dyDescent="0.25">
      <c r="A900" t="s">
        <v>996</v>
      </c>
      <c r="B900" t="s">
        <v>997</v>
      </c>
      <c r="C900" t="s">
        <v>1012</v>
      </c>
      <c r="D900">
        <v>4551</v>
      </c>
      <c r="E900">
        <v>430</v>
      </c>
      <c r="F900" t="s">
        <v>1199</v>
      </c>
      <c r="G900" t="s">
        <v>1200</v>
      </c>
      <c r="H900" s="315" t="s">
        <v>5</v>
      </c>
      <c r="I900" s="315" t="s">
        <v>1201</v>
      </c>
      <c r="J900" s="315" t="str">
        <f t="shared" si="86"/>
        <v>PartsCounter Sales Gross Profit % of Sales</v>
      </c>
      <c r="K900" s="315" t="str">
        <f t="shared" si="87"/>
        <v>430Parts Counter COS - Toyota</v>
      </c>
      <c r="L900" s="311">
        <f>+SUMIF('TUNZ Extracted TB'!M:M,$P900,'TUNZ Extracted TB'!G:G)</f>
        <v>0</v>
      </c>
      <c r="M900" s="311"/>
      <c r="N900" s="311">
        <f>+SUMIF('Input Sheet'!$AE:$AE,P900,'Input Sheet'!$X:$X)</f>
        <v>0</v>
      </c>
      <c r="O900" s="311"/>
      <c r="P900" t="str">
        <f t="shared" si="88"/>
        <v>430-4551</v>
      </c>
      <c r="Q900" s="315" t="str">
        <f t="shared" si="89"/>
        <v>Parts</v>
      </c>
      <c r="R900" s="315" t="str">
        <f t="shared" si="90"/>
        <v>PartsCounter Sales Gross Profit % of Sales</v>
      </c>
      <c r="S900" s="199"/>
      <c r="T900" s="199"/>
      <c r="U900" s="199"/>
    </row>
    <row r="901" spans="1:21" x14ac:dyDescent="0.25">
      <c r="A901" t="s">
        <v>996</v>
      </c>
      <c r="B901" t="s">
        <v>997</v>
      </c>
      <c r="C901" t="s">
        <v>1013</v>
      </c>
      <c r="D901">
        <v>4551</v>
      </c>
      <c r="E901">
        <v>330</v>
      </c>
      <c r="F901" t="s">
        <v>1199</v>
      </c>
      <c r="G901" t="s">
        <v>1200</v>
      </c>
      <c r="H901" s="315" t="s">
        <v>5</v>
      </c>
      <c r="I901" s="315" t="s">
        <v>1201</v>
      </c>
      <c r="J901" s="315" t="str">
        <f t="shared" si="86"/>
        <v>PartsCounter Sales Gross Profit % of Sales</v>
      </c>
      <c r="K901" s="315" t="str">
        <f t="shared" si="87"/>
        <v>330Parts Counter COS - Toyota</v>
      </c>
      <c r="L901" s="311">
        <f>+SUMIF('TUNZ Extracted TB'!M:M,$P901,'TUNZ Extracted TB'!G:G)</f>
        <v>0</v>
      </c>
      <c r="M901" s="311"/>
      <c r="N901" s="311">
        <f>+SUMIF('Input Sheet'!$AE:$AE,P901,'Input Sheet'!$X:$X)</f>
        <v>0</v>
      </c>
      <c r="O901" s="311"/>
      <c r="P901" t="str">
        <f t="shared" si="88"/>
        <v>330-4551</v>
      </c>
      <c r="Q901" s="315" t="str">
        <f t="shared" si="89"/>
        <v>Parts</v>
      </c>
      <c r="R901" s="315" t="str">
        <f t="shared" si="90"/>
        <v>PartsCounter Sales Gross Profit % of Sales</v>
      </c>
      <c r="S901" s="199"/>
      <c r="T901" s="199"/>
      <c r="U901" s="199"/>
    </row>
    <row r="902" spans="1:21" x14ac:dyDescent="0.25">
      <c r="A902" t="s">
        <v>996</v>
      </c>
      <c r="B902" t="s">
        <v>997</v>
      </c>
      <c r="C902" t="s">
        <v>997</v>
      </c>
      <c r="D902">
        <v>4560</v>
      </c>
      <c r="E902">
        <v>132</v>
      </c>
      <c r="F902" t="s">
        <v>1235</v>
      </c>
      <c r="G902" t="s">
        <v>1236</v>
      </c>
      <c r="H902" s="315" t="s">
        <v>143</v>
      </c>
      <c r="I902" s="315" t="s">
        <v>1222</v>
      </c>
      <c r="J902" s="315" t="str">
        <f t="shared" si="86"/>
        <v>LEX PartsOther Sales Gross Profit % of Sales</v>
      </c>
      <c r="K902" s="315" t="str">
        <f t="shared" si="87"/>
        <v>132Parts Other COS - Inventory adjustment - Lexus</v>
      </c>
      <c r="L902" s="311">
        <f>+SUMIF('TUNZ Extracted TB'!M:M,$P902,'TUNZ Extracted TB'!G:G)</f>
        <v>0</v>
      </c>
      <c r="M902" s="311"/>
      <c r="N902" s="311">
        <f>+SUMIF('Input Sheet'!$AE:$AE,P902,'Input Sheet'!$X:$X)</f>
        <v>0</v>
      </c>
      <c r="O902" s="311"/>
      <c r="P902" t="str">
        <f t="shared" si="88"/>
        <v>132-4560</v>
      </c>
      <c r="Q902" s="315" t="str">
        <f t="shared" si="89"/>
        <v>LEX Parts</v>
      </c>
      <c r="R902" s="315" t="str">
        <f t="shared" si="90"/>
        <v>LEX PartsOther Sales Gross Profit % of Sales</v>
      </c>
      <c r="S902" s="199"/>
      <c r="T902" s="199"/>
      <c r="U902" s="199"/>
    </row>
    <row r="903" spans="1:21" x14ac:dyDescent="0.25">
      <c r="A903" t="s">
        <v>996</v>
      </c>
      <c r="B903" t="s">
        <v>997</v>
      </c>
      <c r="C903" t="s">
        <v>997</v>
      </c>
      <c r="D903">
        <v>4560</v>
      </c>
      <c r="E903">
        <v>130</v>
      </c>
      <c r="F903" t="s">
        <v>1233</v>
      </c>
      <c r="G903" t="s">
        <v>1234</v>
      </c>
      <c r="H903" s="315" t="s">
        <v>5</v>
      </c>
      <c r="I903" s="315" t="s">
        <v>1222</v>
      </c>
      <c r="J903" s="315" t="str">
        <f t="shared" si="86"/>
        <v>PartsOther Sales Gross Profit % of Sales</v>
      </c>
      <c r="K903" s="315" t="str">
        <f t="shared" si="87"/>
        <v>130Parts Other COS - Inventory adjustment -Toyota</v>
      </c>
      <c r="L903" s="311">
        <f>+SUMIF('TUNZ Extracted TB'!M:M,$P903,'TUNZ Extracted TB'!G:G)</f>
        <v>0</v>
      </c>
      <c r="M903" s="311"/>
      <c r="N903" s="311">
        <f>+SUMIF('Input Sheet'!$AE:$AE,P903,'Input Sheet'!$X:$X)</f>
        <v>0</v>
      </c>
      <c r="O903" s="311"/>
      <c r="P903" t="str">
        <f t="shared" si="88"/>
        <v>130-4560</v>
      </c>
      <c r="Q903" s="315" t="str">
        <f t="shared" si="89"/>
        <v>Parts</v>
      </c>
      <c r="R903" s="315" t="str">
        <f t="shared" si="90"/>
        <v>PartsOther Sales Gross Profit % of Sales</v>
      </c>
      <c r="S903" s="199"/>
      <c r="T903" s="199"/>
      <c r="U903" s="199"/>
    </row>
    <row r="904" spans="1:21" x14ac:dyDescent="0.25">
      <c r="A904" t="s">
        <v>996</v>
      </c>
      <c r="B904" t="s">
        <v>997</v>
      </c>
      <c r="C904" t="s">
        <v>997</v>
      </c>
      <c r="D904">
        <v>4560</v>
      </c>
      <c r="E904">
        <v>936</v>
      </c>
      <c r="F904" t="s">
        <v>1175</v>
      </c>
      <c r="G904" t="s">
        <v>1176</v>
      </c>
      <c r="H904" s="315" t="s">
        <v>58</v>
      </c>
      <c r="I904" s="315" t="s">
        <v>1222</v>
      </c>
      <c r="J904" s="315" t="str">
        <f t="shared" si="86"/>
        <v>BridgestoneOther Sales Gross Profit % of Sales</v>
      </c>
      <c r="K904" s="315" t="str">
        <f t="shared" si="87"/>
        <v>936Other franchise/business expense</v>
      </c>
      <c r="L904" s="311">
        <f>+SUMIF('TUNZ Extracted TB'!M:M,$P904,'TUNZ Extracted TB'!G:G)</f>
        <v>0</v>
      </c>
      <c r="M904" s="311"/>
      <c r="N904" s="311">
        <f>+SUMIF('Input Sheet'!$AE:$AE,P904,'Input Sheet'!$X:$X)</f>
        <v>0</v>
      </c>
      <c r="O904" s="311"/>
      <c r="P904" t="str">
        <f t="shared" si="88"/>
        <v>936-4560</v>
      </c>
      <c r="Q904" s="315" t="str">
        <f t="shared" si="89"/>
        <v>Bridgestone</v>
      </c>
      <c r="R904" s="315" t="str">
        <f t="shared" si="90"/>
        <v>BridgestoneOther Sales Gross Profit % of Sales</v>
      </c>
      <c r="S904" s="199"/>
      <c r="T904" s="199"/>
      <c r="U904" s="199"/>
    </row>
    <row r="905" spans="1:21" x14ac:dyDescent="0.25">
      <c r="A905" t="s">
        <v>996</v>
      </c>
      <c r="B905" t="s">
        <v>997</v>
      </c>
      <c r="C905" t="s">
        <v>997</v>
      </c>
      <c r="D905">
        <v>4560</v>
      </c>
      <c r="E905">
        <v>935</v>
      </c>
      <c r="F905" t="s">
        <v>1175</v>
      </c>
      <c r="G905" t="s">
        <v>1176</v>
      </c>
      <c r="H905" s="315" t="s">
        <v>58</v>
      </c>
      <c r="I905" s="315" t="s">
        <v>1222</v>
      </c>
      <c r="J905" s="315" t="str">
        <f t="shared" si="86"/>
        <v>BridgestoneOther Sales Gross Profit % of Sales</v>
      </c>
      <c r="K905" s="315" t="str">
        <f t="shared" si="87"/>
        <v>935Other franchise/business expense</v>
      </c>
      <c r="L905" s="311">
        <f>+SUMIF('TUNZ Extracted TB'!M:M,$P905,'TUNZ Extracted TB'!G:G)</f>
        <v>0</v>
      </c>
      <c r="M905" s="311"/>
      <c r="N905" s="311">
        <f>+SUMIF('Input Sheet'!$AE:$AE,P905,'Input Sheet'!$X:$X)</f>
        <v>0</v>
      </c>
      <c r="O905" s="311"/>
      <c r="P905" t="str">
        <f t="shared" si="88"/>
        <v>935-4560</v>
      </c>
      <c r="Q905" s="315" t="str">
        <f t="shared" si="89"/>
        <v>Bridgestone</v>
      </c>
      <c r="R905" s="315" t="str">
        <f t="shared" si="90"/>
        <v>BridgestoneOther Sales Gross Profit % of Sales</v>
      </c>
      <c r="S905" s="199"/>
      <c r="T905" s="199"/>
      <c r="U905" s="199"/>
    </row>
    <row r="906" spans="1:21" x14ac:dyDescent="0.25">
      <c r="A906" t="s">
        <v>996</v>
      </c>
      <c r="B906" t="s">
        <v>997</v>
      </c>
      <c r="C906" t="s">
        <v>1012</v>
      </c>
      <c r="D906">
        <v>4560</v>
      </c>
      <c r="E906">
        <v>430</v>
      </c>
      <c r="F906" t="s">
        <v>1233</v>
      </c>
      <c r="G906" t="s">
        <v>1234</v>
      </c>
      <c r="H906" s="315" t="s">
        <v>5</v>
      </c>
      <c r="I906" s="315" t="s">
        <v>1222</v>
      </c>
      <c r="J906" s="315" t="str">
        <f t="shared" si="86"/>
        <v>PartsOther Sales Gross Profit % of Sales</v>
      </c>
      <c r="K906" s="315" t="str">
        <f t="shared" si="87"/>
        <v>430Parts Other COS - Inventory adjustment -Toyota</v>
      </c>
      <c r="L906" s="311">
        <f>+SUMIF('TUNZ Extracted TB'!M:M,$P906,'TUNZ Extracted TB'!G:G)</f>
        <v>0</v>
      </c>
      <c r="M906" s="311"/>
      <c r="N906" s="311">
        <f>+SUMIF('Input Sheet'!$AE:$AE,P906,'Input Sheet'!$X:$X)</f>
        <v>0</v>
      </c>
      <c r="O906" s="311"/>
      <c r="P906" t="str">
        <f t="shared" si="88"/>
        <v>430-4560</v>
      </c>
      <c r="Q906" s="315" t="str">
        <f t="shared" si="89"/>
        <v>Parts</v>
      </c>
      <c r="R906" s="315" t="str">
        <f t="shared" si="90"/>
        <v>PartsOther Sales Gross Profit % of Sales</v>
      </c>
      <c r="S906" s="199"/>
      <c r="T906" s="199"/>
      <c r="U906" s="199"/>
    </row>
    <row r="907" spans="1:21" x14ac:dyDescent="0.25">
      <c r="A907" t="s">
        <v>996</v>
      </c>
      <c r="B907" t="s">
        <v>997</v>
      </c>
      <c r="C907" t="s">
        <v>1013</v>
      </c>
      <c r="D907">
        <v>4560</v>
      </c>
      <c r="E907">
        <v>330</v>
      </c>
      <c r="F907" t="s">
        <v>1233</v>
      </c>
      <c r="G907" t="s">
        <v>1234</v>
      </c>
      <c r="H907" s="315" t="s">
        <v>5</v>
      </c>
      <c r="I907" s="315" t="s">
        <v>1222</v>
      </c>
      <c r="J907" s="315" t="str">
        <f t="shared" si="86"/>
        <v>PartsOther Sales Gross Profit % of Sales</v>
      </c>
      <c r="K907" s="315" t="str">
        <f t="shared" si="87"/>
        <v>330Parts Other COS - Inventory adjustment -Toyota</v>
      </c>
      <c r="L907" s="311">
        <f>+SUMIF('TUNZ Extracted TB'!M:M,$P907,'TUNZ Extracted TB'!G:G)</f>
        <v>0</v>
      </c>
      <c r="M907" s="311"/>
      <c r="N907" s="311">
        <f>+SUMIF('Input Sheet'!$AE:$AE,P907,'Input Sheet'!$X:$X)</f>
        <v>0</v>
      </c>
      <c r="O907" s="311"/>
      <c r="P907" t="str">
        <f t="shared" si="88"/>
        <v>330-4560</v>
      </c>
      <c r="Q907" s="315" t="str">
        <f t="shared" si="89"/>
        <v>Parts</v>
      </c>
      <c r="R907" s="315" t="str">
        <f t="shared" si="90"/>
        <v>PartsOther Sales Gross Profit % of Sales</v>
      </c>
      <c r="S907" s="199"/>
      <c r="T907" s="199"/>
      <c r="U907" s="199"/>
    </row>
    <row r="908" spans="1:21" x14ac:dyDescent="0.25">
      <c r="A908" t="s">
        <v>996</v>
      </c>
      <c r="B908" t="s">
        <v>997</v>
      </c>
      <c r="C908" t="s">
        <v>1005</v>
      </c>
      <c r="D908">
        <v>7000</v>
      </c>
      <c r="E908">
        <v>220</v>
      </c>
      <c r="F908" t="s">
        <v>1239</v>
      </c>
      <c r="G908" t="s">
        <v>1240</v>
      </c>
      <c r="H908" s="315" t="s">
        <v>30</v>
      </c>
      <c r="I908" s="315" t="s">
        <v>1241</v>
      </c>
      <c r="J908" s="315" t="str">
        <f t="shared" si="86"/>
        <v>Used VehicleSalaries &amp; Wages per retail</v>
      </c>
      <c r="K908" s="315" t="str">
        <f t="shared" si="87"/>
        <v>220Toyota UV Salaries &amp; Wages</v>
      </c>
      <c r="L908" s="311">
        <f>+SUMIF('TUNZ Extracted TB'!M:M,$P908,'TUNZ Extracted TB'!G:G)</f>
        <v>21994.01</v>
      </c>
      <c r="M908" s="311"/>
      <c r="N908" s="311">
        <f>+SUMIF('Input Sheet'!$AE:$AE,P908,'Input Sheet'!$X:$X)</f>
        <v>0</v>
      </c>
      <c r="O908" s="311"/>
      <c r="P908" t="str">
        <f t="shared" si="88"/>
        <v>220-7000</v>
      </c>
      <c r="Q908" s="315" t="str">
        <f t="shared" si="89"/>
        <v>Used Vehicle</v>
      </c>
      <c r="R908" s="315" t="str">
        <f t="shared" si="90"/>
        <v>Used VehicleSalaries &amp; Wages per retail</v>
      </c>
      <c r="S908" s="199"/>
      <c r="T908" s="199"/>
      <c r="U908" s="199"/>
    </row>
    <row r="909" spans="1:21" x14ac:dyDescent="0.25">
      <c r="A909" t="s">
        <v>996</v>
      </c>
      <c r="B909" t="s">
        <v>997</v>
      </c>
      <c r="C909" t="s">
        <v>997</v>
      </c>
      <c r="D909">
        <v>7000</v>
      </c>
      <c r="E909">
        <v>120</v>
      </c>
      <c r="F909" t="s">
        <v>1239</v>
      </c>
      <c r="G909" t="s">
        <v>1240</v>
      </c>
      <c r="H909" s="315" t="s">
        <v>30</v>
      </c>
      <c r="I909" s="315" t="s">
        <v>1241</v>
      </c>
      <c r="J909" s="315" t="str">
        <f t="shared" si="86"/>
        <v>Used VehicleSalaries &amp; Wages per retail</v>
      </c>
      <c r="K909" s="315" t="str">
        <f t="shared" si="87"/>
        <v>120Toyota UV Salaries &amp; Wages</v>
      </c>
      <c r="L909" s="311">
        <f>+SUMIF('TUNZ Extracted TB'!M:M,$P909,'TUNZ Extracted TB'!G:G)</f>
        <v>15358.99</v>
      </c>
      <c r="M909" s="311"/>
      <c r="N909" s="311">
        <f>+SUMIF('Input Sheet'!$AE:$AE,P909,'Input Sheet'!$X:$X)</f>
        <v>0</v>
      </c>
      <c r="O909" s="311"/>
      <c r="P909" t="str">
        <f t="shared" si="88"/>
        <v>120-7000</v>
      </c>
      <c r="Q909" s="315" t="str">
        <f t="shared" si="89"/>
        <v>Used Vehicle</v>
      </c>
      <c r="R909" s="315" t="str">
        <f t="shared" si="90"/>
        <v>Used VehicleSalaries &amp; Wages per retail</v>
      </c>
      <c r="S909" s="199"/>
      <c r="T909" s="199"/>
      <c r="U909" s="199"/>
    </row>
    <row r="910" spans="1:21" x14ac:dyDescent="0.25">
      <c r="A910" t="s">
        <v>996</v>
      </c>
      <c r="B910" t="s">
        <v>997</v>
      </c>
      <c r="C910" t="s">
        <v>1005</v>
      </c>
      <c r="D910">
        <v>7000</v>
      </c>
      <c r="E910">
        <v>210</v>
      </c>
      <c r="F910" t="s">
        <v>1242</v>
      </c>
      <c r="G910" t="s">
        <v>1243</v>
      </c>
      <c r="H910" s="315" t="s">
        <v>29</v>
      </c>
      <c r="I910" s="315" t="s">
        <v>1244</v>
      </c>
      <c r="J910" s="315" t="str">
        <f t="shared" si="86"/>
        <v>New VehicleSalaries &amp; Wages p.u.</v>
      </c>
      <c r="K910" s="315" t="str">
        <f t="shared" si="87"/>
        <v>210NV Salaries &amp; Wages - Toyota</v>
      </c>
      <c r="L910" s="311">
        <f>+SUMIF('TUNZ Extracted TB'!M:M,$P910,'TUNZ Extracted TB'!G:G)</f>
        <v>10545.78</v>
      </c>
      <c r="M910" s="311"/>
      <c r="N910" s="311">
        <f>+SUMIF('Input Sheet'!$AE:$AE,P910,'Input Sheet'!$X:$X)</f>
        <v>0</v>
      </c>
      <c r="O910" s="311"/>
      <c r="P910" t="str">
        <f t="shared" si="88"/>
        <v>210-7000</v>
      </c>
      <c r="Q910" s="315" t="str">
        <f t="shared" si="89"/>
        <v>New Vehicle</v>
      </c>
      <c r="R910" s="315" t="str">
        <f t="shared" si="90"/>
        <v>New VehicleSalaries &amp; Wages p.u.</v>
      </c>
      <c r="S910" s="199"/>
      <c r="T910" s="199"/>
      <c r="U910" s="199"/>
    </row>
    <row r="911" spans="1:21" x14ac:dyDescent="0.25">
      <c r="A911" t="s">
        <v>996</v>
      </c>
      <c r="B911" t="s">
        <v>997</v>
      </c>
      <c r="C911" t="s">
        <v>997</v>
      </c>
      <c r="D911">
        <v>7000</v>
      </c>
      <c r="E911">
        <v>121</v>
      </c>
      <c r="F911" t="s">
        <v>1239</v>
      </c>
      <c r="G911" t="s">
        <v>1240</v>
      </c>
      <c r="H911" s="315" t="s">
        <v>30</v>
      </c>
      <c r="I911" s="315" t="s">
        <v>1241</v>
      </c>
      <c r="J911" s="315" t="str">
        <f t="shared" si="86"/>
        <v>Used VehicleSalaries &amp; Wages per retail</v>
      </c>
      <c r="K911" s="315" t="str">
        <f t="shared" si="87"/>
        <v>121Toyota UV Salaries &amp; Wages</v>
      </c>
      <c r="L911" s="311">
        <f>+SUMIF('TUNZ Extracted TB'!M:M,$P911,'TUNZ Extracted TB'!G:G)</f>
        <v>12413.59</v>
      </c>
      <c r="M911" s="311"/>
      <c r="N911" s="311">
        <f>+SUMIF('Input Sheet'!$AE:$AE,P911,'Input Sheet'!$X:$X)</f>
        <v>0</v>
      </c>
      <c r="O911" s="311"/>
      <c r="P911" t="str">
        <f t="shared" si="88"/>
        <v>121-7000</v>
      </c>
      <c r="Q911" s="315" t="str">
        <f t="shared" si="89"/>
        <v>Used Vehicle</v>
      </c>
      <c r="R911" s="315" t="str">
        <f t="shared" si="90"/>
        <v>Used VehicleSalaries &amp; Wages per retail</v>
      </c>
      <c r="S911" s="199"/>
      <c r="T911" s="199"/>
      <c r="U911" s="199"/>
    </row>
    <row r="912" spans="1:21" x14ac:dyDescent="0.25">
      <c r="A912" t="s">
        <v>996</v>
      </c>
      <c r="B912" t="s">
        <v>997</v>
      </c>
      <c r="C912" t="s">
        <v>997</v>
      </c>
      <c r="D912">
        <v>7000</v>
      </c>
      <c r="E912">
        <v>122</v>
      </c>
      <c r="F912" t="s">
        <v>1245</v>
      </c>
      <c r="G912" t="s">
        <v>1246</v>
      </c>
      <c r="H912" s="315" t="s">
        <v>1041</v>
      </c>
      <c r="I912" s="315" t="s">
        <v>1241</v>
      </c>
      <c r="J912" s="315" t="str">
        <f t="shared" si="86"/>
        <v>LEX Used VehicleSalaries &amp; Wages per retail</v>
      </c>
      <c r="K912" s="315" t="str">
        <f t="shared" si="87"/>
        <v>122Lexus UV Salaries &amp; Wages</v>
      </c>
      <c r="L912" s="311">
        <f>+SUMIF('TUNZ Extracted TB'!M:M,$P912,'TUNZ Extracted TB'!G:G)</f>
        <v>12410.9</v>
      </c>
      <c r="M912" s="311"/>
      <c r="N912" s="311">
        <f>+SUMIF('Input Sheet'!$AE:$AE,P912,'Input Sheet'!$X:$X)</f>
        <v>0</v>
      </c>
      <c r="O912" s="311"/>
      <c r="P912" t="str">
        <f t="shared" si="88"/>
        <v>122-7000</v>
      </c>
      <c r="Q912" s="315" t="str">
        <f t="shared" si="89"/>
        <v>LEX Used Vehicle</v>
      </c>
      <c r="R912" s="315" t="str">
        <f t="shared" si="90"/>
        <v>LEX Used VehicleSalaries &amp; Wages per retail</v>
      </c>
      <c r="S912" s="199"/>
      <c r="T912" s="199"/>
      <c r="U912" s="199"/>
    </row>
    <row r="913" spans="1:21" x14ac:dyDescent="0.25">
      <c r="A913" t="s">
        <v>996</v>
      </c>
      <c r="B913" t="s">
        <v>997</v>
      </c>
      <c r="C913" t="s">
        <v>1005</v>
      </c>
      <c r="D913">
        <v>7000</v>
      </c>
      <c r="E913">
        <v>260</v>
      </c>
      <c r="F913" t="s">
        <v>1247</v>
      </c>
      <c r="G913" t="s">
        <v>1248</v>
      </c>
      <c r="H913" s="315" t="s">
        <v>16</v>
      </c>
      <c r="I913" s="315" t="s">
        <v>1249</v>
      </c>
      <c r="J913" s="315" t="str">
        <f t="shared" si="86"/>
        <v>F&amp;ISalaries &amp; Commission per vehicle retailed</v>
      </c>
      <c r="K913" s="315" t="str">
        <f t="shared" si="87"/>
        <v>260F&amp;I Salaries &amp; Commission - Toyota</v>
      </c>
      <c r="L913" s="311">
        <f>+SUMIF('TUNZ Extracted TB'!M:M,$P913,'TUNZ Extracted TB'!G:G)</f>
        <v>553.41</v>
      </c>
      <c r="M913" s="311"/>
      <c r="N913" s="311">
        <f>+SUMIF('Input Sheet'!$AE:$AE,P913,'Input Sheet'!$X:$X)</f>
        <v>0</v>
      </c>
      <c r="O913" s="311"/>
      <c r="P913" t="str">
        <f t="shared" si="88"/>
        <v>260-7000</v>
      </c>
      <c r="Q913" s="315" t="str">
        <f t="shared" si="89"/>
        <v>F&amp;I</v>
      </c>
      <c r="R913" s="315" t="str">
        <f t="shared" si="90"/>
        <v>F&amp;ISalaries &amp; Commission per vehicle retailed</v>
      </c>
      <c r="S913" s="199"/>
      <c r="T913" s="199"/>
      <c r="U913" s="199"/>
    </row>
    <row r="914" spans="1:21" x14ac:dyDescent="0.25">
      <c r="A914" t="s">
        <v>996</v>
      </c>
      <c r="B914" t="s">
        <v>997</v>
      </c>
      <c r="C914" t="s">
        <v>997</v>
      </c>
      <c r="D914">
        <v>7000</v>
      </c>
      <c r="E914">
        <v>160</v>
      </c>
      <c r="F914" t="s">
        <v>1247</v>
      </c>
      <c r="G914" t="s">
        <v>1248</v>
      </c>
      <c r="H914" s="315" t="s">
        <v>16</v>
      </c>
      <c r="I914" s="315" t="s">
        <v>1249</v>
      </c>
      <c r="J914" s="315" t="str">
        <f t="shared" si="86"/>
        <v>F&amp;ISalaries &amp; Commission per vehicle retailed</v>
      </c>
      <c r="K914" s="315" t="str">
        <f t="shared" si="87"/>
        <v>160F&amp;I Salaries &amp; Commission - Toyota</v>
      </c>
      <c r="L914" s="311">
        <f>+SUMIF('TUNZ Extracted TB'!M:M,$P914,'TUNZ Extracted TB'!G:G)</f>
        <v>553.41</v>
      </c>
      <c r="M914" s="311"/>
      <c r="N914" s="311">
        <f>+SUMIF('Input Sheet'!$AE:$AE,P914,'Input Sheet'!$X:$X)</f>
        <v>0</v>
      </c>
      <c r="O914" s="311"/>
      <c r="P914" t="str">
        <f t="shared" si="88"/>
        <v>160-7000</v>
      </c>
      <c r="Q914" s="315" t="str">
        <f t="shared" si="89"/>
        <v>F&amp;I</v>
      </c>
      <c r="R914" s="315" t="str">
        <f t="shared" si="90"/>
        <v>F&amp;ISalaries &amp; Commission per vehicle retailed</v>
      </c>
      <c r="S914" s="199"/>
      <c r="T914" s="199"/>
      <c r="U914" s="199"/>
    </row>
    <row r="915" spans="1:21" x14ac:dyDescent="0.25">
      <c r="A915" t="s">
        <v>996</v>
      </c>
      <c r="B915" t="s">
        <v>997</v>
      </c>
      <c r="C915" t="s">
        <v>997</v>
      </c>
      <c r="D915">
        <v>7000</v>
      </c>
      <c r="E915">
        <v>140</v>
      </c>
      <c r="F915" t="s">
        <v>1250</v>
      </c>
      <c r="G915" t="s">
        <v>1251</v>
      </c>
      <c r="H915" s="315" t="s">
        <v>17</v>
      </c>
      <c r="I915" s="315" t="s">
        <v>1252</v>
      </c>
      <c r="J915" s="315" t="str">
        <f t="shared" si="86"/>
        <v>ServiceSalaries, Commission &amp; Leave as % of Sales</v>
      </c>
      <c r="K915" s="315" t="str">
        <f t="shared" si="87"/>
        <v>140Service Salaries &amp; Commission - Toyota</v>
      </c>
      <c r="L915" s="311">
        <f>+SUMIF('TUNZ Extracted TB'!M:M,$P915,'TUNZ Extracted TB'!G:G)</f>
        <v>0</v>
      </c>
      <c r="M915" s="311"/>
      <c r="N915" s="311">
        <f>+SUMIF('Input Sheet'!$AE:$AE,P915,'Input Sheet'!$X:$X)</f>
        <v>0</v>
      </c>
      <c r="O915" s="311"/>
      <c r="P915" t="str">
        <f t="shared" si="88"/>
        <v>140-7000</v>
      </c>
      <c r="Q915" s="315" t="str">
        <f t="shared" si="89"/>
        <v>Service</v>
      </c>
      <c r="R915" s="315" t="str">
        <f t="shared" si="90"/>
        <v>ServiceSalaries, Commission &amp; Leave as % of Sales</v>
      </c>
      <c r="S915" s="199"/>
      <c r="T915" s="199"/>
      <c r="U915" s="199"/>
    </row>
    <row r="916" spans="1:21" x14ac:dyDescent="0.25">
      <c r="A916" s="316">
        <v>45078</v>
      </c>
      <c r="B916" t="s">
        <v>997</v>
      </c>
      <c r="C916" t="s">
        <v>997</v>
      </c>
      <c r="D916">
        <v>7000</v>
      </c>
      <c r="E916">
        <v>150</v>
      </c>
      <c r="G916" t="s">
        <v>924</v>
      </c>
      <c r="H916" s="315" t="s">
        <v>145</v>
      </c>
      <c r="I916" s="315" t="s">
        <v>1252</v>
      </c>
      <c r="J916" s="315" t="str">
        <f t="shared" si="86"/>
        <v>Retail DetailingSalaries, Commission &amp; Leave as % of Sales</v>
      </c>
      <c r="K916" s="315" t="str">
        <f t="shared" si="87"/>
        <v>150Salaries: Salesperson</v>
      </c>
      <c r="L916" s="311">
        <f>+SUMIF('TUNZ Extracted TB'!M:M,$P916,'TUNZ Extracted TB'!G:G)</f>
        <v>0</v>
      </c>
      <c r="M916" s="311"/>
      <c r="N916" s="311">
        <f>+SUMIF('Input Sheet'!$AE:$AE,P916,'Input Sheet'!$X:$X)</f>
        <v>0</v>
      </c>
      <c r="O916" s="311"/>
      <c r="P916" t="str">
        <f t="shared" si="88"/>
        <v>150-7000</v>
      </c>
      <c r="Q916" s="315" t="str">
        <f t="shared" si="89"/>
        <v>Retail Detailing</v>
      </c>
      <c r="R916" s="315" t="str">
        <f t="shared" si="90"/>
        <v>Retail DetailingSalaries, Commission &amp; Leave as % of Sales</v>
      </c>
      <c r="S916" s="199"/>
      <c r="T916" s="199"/>
      <c r="U916" s="199"/>
    </row>
    <row r="917" spans="1:21" x14ac:dyDescent="0.25">
      <c r="A917" t="s">
        <v>996</v>
      </c>
      <c r="B917" t="s">
        <v>997</v>
      </c>
      <c r="C917" t="s">
        <v>997</v>
      </c>
      <c r="D917">
        <v>7000</v>
      </c>
      <c r="E917">
        <v>132</v>
      </c>
      <c r="F917" t="s">
        <v>1253</v>
      </c>
      <c r="G917" t="s">
        <v>1254</v>
      </c>
      <c r="H917" s="315" t="s">
        <v>143</v>
      </c>
      <c r="I917" s="315" t="s">
        <v>1255</v>
      </c>
      <c r="J917" s="315" t="str">
        <f t="shared" si="86"/>
        <v>LEX PartsSalaries &amp; Commission as % of Sales</v>
      </c>
      <c r="K917" s="315" t="str">
        <f t="shared" si="87"/>
        <v>132Parts Salaries &amp; Commission - Lexus</v>
      </c>
      <c r="L917" s="311">
        <f>+SUMIF('TUNZ Extracted TB'!M:M,$P917,'TUNZ Extracted TB'!G:G)</f>
        <v>0</v>
      </c>
      <c r="M917" s="311"/>
      <c r="N917" s="311">
        <f>+SUMIF('Input Sheet'!$AE:$AE,P917,'Input Sheet'!$X:$X)</f>
        <v>0</v>
      </c>
      <c r="O917" s="311"/>
      <c r="P917" t="str">
        <f t="shared" si="88"/>
        <v>132-7000</v>
      </c>
      <c r="Q917" s="315" t="str">
        <f t="shared" si="89"/>
        <v>LEX Parts</v>
      </c>
      <c r="R917" s="315" t="str">
        <f t="shared" si="90"/>
        <v>LEX PartsSalaries &amp; Commission as % of Sales</v>
      </c>
      <c r="S917" s="199"/>
      <c r="T917" s="199"/>
      <c r="U917" s="199"/>
    </row>
    <row r="918" spans="1:21" x14ac:dyDescent="0.25">
      <c r="A918" t="s">
        <v>996</v>
      </c>
      <c r="B918" t="s">
        <v>997</v>
      </c>
      <c r="C918" t="s">
        <v>997</v>
      </c>
      <c r="D918">
        <v>7000</v>
      </c>
      <c r="E918">
        <v>130</v>
      </c>
      <c r="F918" t="s">
        <v>1256</v>
      </c>
      <c r="G918" t="s">
        <v>1257</v>
      </c>
      <c r="H918" s="315" t="s">
        <v>5</v>
      </c>
      <c r="I918" s="315" t="s">
        <v>1255</v>
      </c>
      <c r="J918" s="315" t="str">
        <f t="shared" si="86"/>
        <v>PartsSalaries &amp; Commission as % of Sales</v>
      </c>
      <c r="K918" s="315" t="str">
        <f t="shared" si="87"/>
        <v>130Parts Salaries &amp; Commission - Toyota</v>
      </c>
      <c r="L918" s="311">
        <f>+SUMIF('TUNZ Extracted TB'!M:M,$P918,'TUNZ Extracted TB'!G:G)</f>
        <v>0</v>
      </c>
      <c r="M918" s="311"/>
      <c r="N918" s="311">
        <f>+SUMIF('Input Sheet'!$AE:$AE,P918,'Input Sheet'!$X:$X)</f>
        <v>0</v>
      </c>
      <c r="O918" s="311"/>
      <c r="P918" t="str">
        <f t="shared" si="88"/>
        <v>130-7000</v>
      </c>
      <c r="Q918" s="315" t="str">
        <f t="shared" si="89"/>
        <v>Parts</v>
      </c>
      <c r="R918" s="315" t="str">
        <f t="shared" si="90"/>
        <v>PartsSalaries &amp; Commission as % of Sales</v>
      </c>
      <c r="S918" s="199"/>
      <c r="T918" s="199"/>
      <c r="U918" s="199"/>
    </row>
    <row r="919" spans="1:21" x14ac:dyDescent="0.25">
      <c r="A919" t="s">
        <v>996</v>
      </c>
      <c r="B919" t="s">
        <v>997</v>
      </c>
      <c r="C919" t="s">
        <v>997</v>
      </c>
      <c r="D919">
        <v>7000</v>
      </c>
      <c r="E919">
        <v>110</v>
      </c>
      <c r="F919" t="s">
        <v>1242</v>
      </c>
      <c r="G919" t="s">
        <v>1243</v>
      </c>
      <c r="H919" s="315" t="s">
        <v>29</v>
      </c>
      <c r="I919" s="315" t="s">
        <v>1244</v>
      </c>
      <c r="J919" s="315" t="str">
        <f t="shared" si="86"/>
        <v>New VehicleSalaries &amp; Wages p.u.</v>
      </c>
      <c r="K919" s="315" t="str">
        <f t="shared" si="87"/>
        <v>110NV Salaries &amp; Wages - Toyota</v>
      </c>
      <c r="L919" s="311">
        <f>+SUMIF('TUNZ Extracted TB'!M:M,$P919,'TUNZ Extracted TB'!G:G)</f>
        <v>25923.71</v>
      </c>
      <c r="M919" s="311"/>
      <c r="N919" s="311">
        <f>+SUMIF('Input Sheet'!$AE:$AE,P919,'Input Sheet'!$X:$X)</f>
        <v>0</v>
      </c>
      <c r="O919" s="311"/>
      <c r="P919" t="str">
        <f t="shared" si="88"/>
        <v>110-7000</v>
      </c>
      <c r="Q919" s="315" t="str">
        <f t="shared" si="89"/>
        <v>New Vehicle</v>
      </c>
      <c r="R919" s="315" t="str">
        <f t="shared" si="90"/>
        <v>New VehicleSalaries &amp; Wages p.u.</v>
      </c>
      <c r="S919" s="199"/>
      <c r="T919" s="199"/>
      <c r="U919" s="199"/>
    </row>
    <row r="920" spans="1:21" x14ac:dyDescent="0.25">
      <c r="A920" t="s">
        <v>996</v>
      </c>
      <c r="B920" t="s">
        <v>997</v>
      </c>
      <c r="C920" t="s">
        <v>997</v>
      </c>
      <c r="D920">
        <v>7000</v>
      </c>
      <c r="E920">
        <v>112</v>
      </c>
      <c r="F920" t="s">
        <v>1258</v>
      </c>
      <c r="G920" t="s">
        <v>1259</v>
      </c>
      <c r="H920" s="315" t="s">
        <v>1011</v>
      </c>
      <c r="I920" s="315" t="s">
        <v>1244</v>
      </c>
      <c r="J920" s="315" t="str">
        <f t="shared" si="86"/>
        <v>LEX New VehicleSalaries &amp; Wages p.u.</v>
      </c>
      <c r="K920" s="315" t="str">
        <f t="shared" si="87"/>
        <v>112NV Salaries &amp; Wages - Lexus</v>
      </c>
      <c r="L920" s="311">
        <f>+SUMIF('TUNZ Extracted TB'!M:M,$P920,'TUNZ Extracted TB'!G:G)</f>
        <v>12566.38</v>
      </c>
      <c r="M920" s="311"/>
      <c r="N920" s="311">
        <f>+SUMIF('Input Sheet'!$AE:$AE,P920,'Input Sheet'!$X:$X)</f>
        <v>0</v>
      </c>
      <c r="O920" s="311"/>
      <c r="P920" t="str">
        <f t="shared" si="88"/>
        <v>112-7000</v>
      </c>
      <c r="Q920" s="315" t="str">
        <f t="shared" si="89"/>
        <v>LEX New Vehicle</v>
      </c>
      <c r="R920" s="315" t="str">
        <f t="shared" si="90"/>
        <v>LEX New VehicleSalaries &amp; Wages p.u.</v>
      </c>
      <c r="S920" s="199"/>
      <c r="T920" s="199"/>
      <c r="U920" s="199"/>
    </row>
    <row r="921" spans="1:21" x14ac:dyDescent="0.25">
      <c r="A921" t="s">
        <v>996</v>
      </c>
      <c r="B921" t="s">
        <v>997</v>
      </c>
      <c r="C921" t="s">
        <v>997</v>
      </c>
      <c r="D921">
        <v>7000</v>
      </c>
      <c r="E921">
        <v>100</v>
      </c>
      <c r="F921" t="s">
        <v>1242</v>
      </c>
      <c r="G921" t="s">
        <v>1243</v>
      </c>
      <c r="H921" s="315" t="s">
        <v>29</v>
      </c>
      <c r="I921" s="315" t="s">
        <v>1244</v>
      </c>
      <c r="J921" s="315" t="str">
        <f t="shared" si="86"/>
        <v>New VehicleSalaries &amp; Wages p.u.</v>
      </c>
      <c r="K921" s="315" t="str">
        <f t="shared" si="87"/>
        <v>100NV Salaries &amp; Wages - Toyota</v>
      </c>
      <c r="L921" s="311">
        <f>+SUMIF('TUNZ Extracted TB'!M:M,$P921,'TUNZ Extracted TB'!G:G)</f>
        <v>0</v>
      </c>
      <c r="M921" s="311"/>
      <c r="N921" s="311">
        <f>+SUMIF('Input Sheet'!$AE:$AE,P921,'Input Sheet'!$X:$X)</f>
        <v>0</v>
      </c>
      <c r="O921" s="311"/>
      <c r="P921" t="str">
        <f t="shared" si="88"/>
        <v>100-7000</v>
      </c>
      <c r="Q921" s="315" t="str">
        <f t="shared" si="89"/>
        <v>New Vehicle</v>
      </c>
      <c r="R921" s="315" t="str">
        <f t="shared" si="90"/>
        <v>New VehicleSalaries &amp; Wages p.u.</v>
      </c>
      <c r="S921" s="199"/>
      <c r="T921" s="199"/>
      <c r="U921" s="199"/>
    </row>
    <row r="922" spans="1:21" x14ac:dyDescent="0.25">
      <c r="A922" t="s">
        <v>996</v>
      </c>
      <c r="B922" t="s">
        <v>997</v>
      </c>
      <c r="C922" t="s">
        <v>997</v>
      </c>
      <c r="D922">
        <v>7000</v>
      </c>
      <c r="E922">
        <v>162</v>
      </c>
      <c r="F922" t="s">
        <v>1260</v>
      </c>
      <c r="G922" t="s">
        <v>1261</v>
      </c>
      <c r="H922" s="315" t="s">
        <v>142</v>
      </c>
      <c r="I922" s="315" t="s">
        <v>1249</v>
      </c>
      <c r="J922" s="315" t="str">
        <f t="shared" si="86"/>
        <v>LEX F&amp;ISalaries &amp; Commission per vehicle retailed</v>
      </c>
      <c r="K922" s="315" t="str">
        <f t="shared" si="87"/>
        <v>162F&amp;I Salaries &amp; Commission - Lexus</v>
      </c>
      <c r="L922" s="311">
        <f>+SUMIF('TUNZ Extracted TB'!M:M,$P922,'TUNZ Extracted TB'!G:G)</f>
        <v>0</v>
      </c>
      <c r="M922" s="311"/>
      <c r="N922" s="311">
        <f>+SUMIF('Input Sheet'!$AE:$AE,P922,'Input Sheet'!$X:$X)</f>
        <v>0</v>
      </c>
      <c r="O922" s="311"/>
      <c r="P922" t="str">
        <f t="shared" si="88"/>
        <v>162-7000</v>
      </c>
      <c r="Q922" s="315" t="str">
        <f t="shared" si="89"/>
        <v>LEX F&amp;I</v>
      </c>
      <c r="R922" s="315" t="str">
        <f t="shared" si="90"/>
        <v>LEX F&amp;ISalaries &amp; Commission per vehicle retailed</v>
      </c>
      <c r="S922" s="199"/>
      <c r="T922" s="199"/>
      <c r="U922" s="199"/>
    </row>
    <row r="923" spans="1:21" x14ac:dyDescent="0.25">
      <c r="A923" t="s">
        <v>996</v>
      </c>
      <c r="B923" t="s">
        <v>997</v>
      </c>
      <c r="C923" t="s">
        <v>1012</v>
      </c>
      <c r="D923">
        <v>7000</v>
      </c>
      <c r="E923">
        <v>460</v>
      </c>
      <c r="F923" t="s">
        <v>1247</v>
      </c>
      <c r="G923" t="s">
        <v>1248</v>
      </c>
      <c r="H923" s="315" t="s">
        <v>16</v>
      </c>
      <c r="I923" s="315" t="s">
        <v>1249</v>
      </c>
      <c r="J923" s="315" t="str">
        <f t="shared" si="86"/>
        <v>F&amp;ISalaries &amp; Commission per vehicle retailed</v>
      </c>
      <c r="K923" s="315" t="str">
        <f t="shared" si="87"/>
        <v>460F&amp;I Salaries &amp; Commission - Toyota</v>
      </c>
      <c r="L923" s="311">
        <f>+SUMIF('TUNZ Extracted TB'!M:M,$P923,'TUNZ Extracted TB'!G:G)</f>
        <v>0</v>
      </c>
      <c r="M923" s="311"/>
      <c r="N923" s="311">
        <f>+SUMIF('Input Sheet'!$AE:$AE,P923,'Input Sheet'!$X:$X)</f>
        <v>0</v>
      </c>
      <c r="O923" s="311"/>
      <c r="P923" t="str">
        <f t="shared" si="88"/>
        <v>460-7000</v>
      </c>
      <c r="Q923" s="315" t="str">
        <f t="shared" si="89"/>
        <v>F&amp;I</v>
      </c>
      <c r="R923" s="315" t="str">
        <f t="shared" si="90"/>
        <v>F&amp;ISalaries &amp; Commission per vehicle retailed</v>
      </c>
      <c r="S923" s="199"/>
      <c r="T923" s="199"/>
      <c r="U923" s="199"/>
    </row>
    <row r="924" spans="1:21" x14ac:dyDescent="0.25">
      <c r="A924" t="s">
        <v>996</v>
      </c>
      <c r="B924" t="s">
        <v>997</v>
      </c>
      <c r="C924" t="s">
        <v>1013</v>
      </c>
      <c r="D924">
        <v>7000</v>
      </c>
      <c r="E924">
        <v>360</v>
      </c>
      <c r="F924" t="s">
        <v>1247</v>
      </c>
      <c r="G924" t="s">
        <v>1248</v>
      </c>
      <c r="H924" s="315" t="s">
        <v>16</v>
      </c>
      <c r="I924" s="315" t="s">
        <v>1249</v>
      </c>
      <c r="J924" s="315" t="str">
        <f t="shared" si="86"/>
        <v>F&amp;ISalaries &amp; Commission per vehicle retailed</v>
      </c>
      <c r="K924" s="315" t="str">
        <f t="shared" si="87"/>
        <v>360F&amp;I Salaries &amp; Commission - Toyota</v>
      </c>
      <c r="L924" s="311">
        <f>+SUMIF('TUNZ Extracted TB'!M:M,$P924,'TUNZ Extracted TB'!G:G)</f>
        <v>0</v>
      </c>
      <c r="M924" s="311"/>
      <c r="N924" s="311">
        <f>+SUMIF('Input Sheet'!$AE:$AE,P924,'Input Sheet'!$X:$X)</f>
        <v>0</v>
      </c>
      <c r="O924" s="311"/>
      <c r="P924" t="str">
        <f t="shared" si="88"/>
        <v>360-7000</v>
      </c>
      <c r="Q924" s="315" t="str">
        <f t="shared" si="89"/>
        <v>F&amp;I</v>
      </c>
      <c r="R924" s="315" t="str">
        <f t="shared" si="90"/>
        <v>F&amp;ISalaries &amp; Commission per vehicle retailed</v>
      </c>
      <c r="S924" s="199"/>
      <c r="T924" s="199"/>
      <c r="U924" s="199"/>
    </row>
    <row r="925" spans="1:21" x14ac:dyDescent="0.25">
      <c r="A925" t="s">
        <v>996</v>
      </c>
      <c r="B925" t="s">
        <v>997</v>
      </c>
      <c r="C925" t="s">
        <v>1005</v>
      </c>
      <c r="D925">
        <v>7000</v>
      </c>
      <c r="E925">
        <v>200</v>
      </c>
      <c r="F925" t="s">
        <v>1242</v>
      </c>
      <c r="G925" t="s">
        <v>1243</v>
      </c>
      <c r="H925" s="315" t="s">
        <v>29</v>
      </c>
      <c r="I925" s="315" t="s">
        <v>1244</v>
      </c>
      <c r="J925" s="315" t="str">
        <f t="shared" si="86"/>
        <v>New VehicleSalaries &amp; Wages p.u.</v>
      </c>
      <c r="K925" s="315" t="str">
        <f t="shared" si="87"/>
        <v>200NV Salaries &amp; Wages - Toyota</v>
      </c>
      <c r="L925" s="311">
        <f>+SUMIF('TUNZ Extracted TB'!M:M,$P925,'TUNZ Extracted TB'!G:G)</f>
        <v>0</v>
      </c>
      <c r="M925" s="311"/>
      <c r="N925" s="311">
        <f>+SUMIF('Input Sheet'!$AE:$AE,P925,'Input Sheet'!$X:$X)</f>
        <v>0</v>
      </c>
      <c r="O925" s="311"/>
      <c r="P925" t="str">
        <f t="shared" si="88"/>
        <v>200-7000</v>
      </c>
      <c r="Q925" s="315" t="str">
        <f t="shared" si="89"/>
        <v>New Vehicle</v>
      </c>
      <c r="R925" s="315" t="str">
        <f t="shared" si="90"/>
        <v>New VehicleSalaries &amp; Wages p.u.</v>
      </c>
      <c r="S925" s="199"/>
      <c r="T925" s="199"/>
      <c r="U925" s="199"/>
    </row>
    <row r="926" spans="1:21" x14ac:dyDescent="0.25">
      <c r="A926" t="s">
        <v>996</v>
      </c>
      <c r="B926" t="s">
        <v>997</v>
      </c>
      <c r="C926" t="s">
        <v>1012</v>
      </c>
      <c r="D926">
        <v>7000</v>
      </c>
      <c r="E926">
        <v>400</v>
      </c>
      <c r="F926" t="s">
        <v>1242</v>
      </c>
      <c r="G926" t="s">
        <v>1243</v>
      </c>
      <c r="H926" s="315" t="s">
        <v>29</v>
      </c>
      <c r="I926" s="315" t="s">
        <v>1244</v>
      </c>
      <c r="J926" s="315" t="str">
        <f t="shared" si="86"/>
        <v>New VehicleSalaries &amp; Wages p.u.</v>
      </c>
      <c r="K926" s="315" t="str">
        <f t="shared" si="87"/>
        <v>400NV Salaries &amp; Wages - Toyota</v>
      </c>
      <c r="L926" s="311">
        <f>+SUMIF('TUNZ Extracted TB'!M:M,$P926,'TUNZ Extracted TB'!G:G)</f>
        <v>0</v>
      </c>
      <c r="M926" s="311"/>
      <c r="N926" s="311">
        <f>+SUMIF('Input Sheet'!$AE:$AE,P926,'Input Sheet'!$X:$X)</f>
        <v>0</v>
      </c>
      <c r="O926" s="311"/>
      <c r="P926" t="str">
        <f t="shared" si="88"/>
        <v>400-7000</v>
      </c>
      <c r="Q926" s="315" t="str">
        <f t="shared" si="89"/>
        <v>New Vehicle</v>
      </c>
      <c r="R926" s="315" t="str">
        <f t="shared" si="90"/>
        <v>New VehicleSalaries &amp; Wages p.u.</v>
      </c>
      <c r="S926" s="199"/>
      <c r="T926" s="199"/>
      <c r="U926" s="199"/>
    </row>
    <row r="927" spans="1:21" x14ac:dyDescent="0.25">
      <c r="A927" t="s">
        <v>996</v>
      </c>
      <c r="B927" t="s">
        <v>997</v>
      </c>
      <c r="C927" t="s">
        <v>1013</v>
      </c>
      <c r="D927">
        <v>7000</v>
      </c>
      <c r="E927">
        <v>300</v>
      </c>
      <c r="F927" t="s">
        <v>1242</v>
      </c>
      <c r="G927" t="s">
        <v>1243</v>
      </c>
      <c r="H927" s="315" t="s">
        <v>29</v>
      </c>
      <c r="I927" s="315" t="s">
        <v>1244</v>
      </c>
      <c r="J927" s="315" t="str">
        <f t="shared" si="86"/>
        <v>New VehicleSalaries &amp; Wages p.u.</v>
      </c>
      <c r="K927" s="315" t="str">
        <f t="shared" si="87"/>
        <v>300NV Salaries &amp; Wages - Toyota</v>
      </c>
      <c r="L927" s="311">
        <f>+SUMIF('TUNZ Extracted TB'!M:M,$P927,'TUNZ Extracted TB'!G:G)</f>
        <v>0</v>
      </c>
      <c r="M927" s="311"/>
      <c r="N927" s="311">
        <f>+SUMIF('Input Sheet'!$AE:$AE,P927,'Input Sheet'!$X:$X)</f>
        <v>0</v>
      </c>
      <c r="O927" s="311"/>
      <c r="P927" t="str">
        <f t="shared" si="88"/>
        <v>300-7000</v>
      </c>
      <c r="Q927" s="315" t="str">
        <f t="shared" si="89"/>
        <v>New Vehicle</v>
      </c>
      <c r="R927" s="315" t="str">
        <f t="shared" si="90"/>
        <v>New VehicleSalaries &amp; Wages p.u.</v>
      </c>
      <c r="S927" s="199"/>
      <c r="T927" s="199"/>
      <c r="U927" s="199"/>
    </row>
    <row r="928" spans="1:21" x14ac:dyDescent="0.25">
      <c r="A928" t="s">
        <v>996</v>
      </c>
      <c r="B928" t="s">
        <v>997</v>
      </c>
      <c r="C928" t="s">
        <v>1005</v>
      </c>
      <c r="D928">
        <v>7000</v>
      </c>
      <c r="E928">
        <v>230</v>
      </c>
      <c r="F928" t="s">
        <v>1256</v>
      </c>
      <c r="G928" t="s">
        <v>1257</v>
      </c>
      <c r="H928" s="315" t="s">
        <v>5</v>
      </c>
      <c r="I928" s="315" t="s">
        <v>1255</v>
      </c>
      <c r="J928" s="315" t="str">
        <f t="shared" si="86"/>
        <v>PartsSalaries &amp; Commission as % of Sales</v>
      </c>
      <c r="K928" s="315" t="str">
        <f t="shared" si="87"/>
        <v>230Parts Salaries &amp; Commission - Toyota</v>
      </c>
      <c r="L928" s="311">
        <f>+SUMIF('TUNZ Extracted TB'!M:M,$P928,'TUNZ Extracted TB'!G:G)</f>
        <v>0</v>
      </c>
      <c r="M928" s="311"/>
      <c r="N928" s="311">
        <f>+SUMIF('Input Sheet'!$AE:$AE,P928,'Input Sheet'!$X:$X)</f>
        <v>0</v>
      </c>
      <c r="O928" s="311"/>
      <c r="P928" t="str">
        <f t="shared" si="88"/>
        <v>230-7000</v>
      </c>
      <c r="Q928" s="315" t="str">
        <f t="shared" si="89"/>
        <v>Parts</v>
      </c>
      <c r="R928" s="315" t="str">
        <f t="shared" si="90"/>
        <v>PartsSalaries &amp; Commission as % of Sales</v>
      </c>
      <c r="S928" s="199"/>
      <c r="T928" s="199"/>
      <c r="U928" s="199"/>
    </row>
    <row r="929" spans="1:21" x14ac:dyDescent="0.25">
      <c r="A929" t="s">
        <v>996</v>
      </c>
      <c r="B929" t="s">
        <v>997</v>
      </c>
      <c r="C929" t="s">
        <v>997</v>
      </c>
      <c r="D929">
        <v>7000</v>
      </c>
      <c r="E929">
        <v>147</v>
      </c>
      <c r="F929" t="s">
        <v>1250</v>
      </c>
      <c r="G929" t="s">
        <v>1251</v>
      </c>
      <c r="H929" s="315" t="s">
        <v>17</v>
      </c>
      <c r="I929" s="315" t="s">
        <v>1252</v>
      </c>
      <c r="J929" s="315" t="str">
        <f t="shared" si="86"/>
        <v>ServiceSalaries, Commission &amp; Leave as % of Sales</v>
      </c>
      <c r="K929" s="315" t="str">
        <f t="shared" si="87"/>
        <v>147Service Salaries &amp; Commission - Toyota</v>
      </c>
      <c r="L929" s="311">
        <f>+SUMIF('TUNZ Extracted TB'!M:M,$P929,'TUNZ Extracted TB'!G:G)</f>
        <v>0</v>
      </c>
      <c r="M929" s="311"/>
      <c r="N929" s="311">
        <f>+SUMIF('Input Sheet'!$AE:$AE,P929,'Input Sheet'!$X:$X)</f>
        <v>0</v>
      </c>
      <c r="O929" s="311"/>
      <c r="P929" t="str">
        <f t="shared" si="88"/>
        <v>147-7000</v>
      </c>
      <c r="Q929" s="315" t="str">
        <f t="shared" si="89"/>
        <v>Service</v>
      </c>
      <c r="R929" s="315" t="str">
        <f t="shared" si="90"/>
        <v>ServiceSalaries, Commission &amp; Leave as % of Sales</v>
      </c>
      <c r="S929" s="199"/>
      <c r="T929" s="199"/>
      <c r="U929" s="199"/>
    </row>
    <row r="930" spans="1:21" x14ac:dyDescent="0.25">
      <c r="A930" t="s">
        <v>996</v>
      </c>
      <c r="B930" t="s">
        <v>997</v>
      </c>
      <c r="C930" t="s">
        <v>1005</v>
      </c>
      <c r="D930">
        <v>7000</v>
      </c>
      <c r="E930">
        <v>221</v>
      </c>
      <c r="F930" t="s">
        <v>1239</v>
      </c>
      <c r="G930" t="s">
        <v>1240</v>
      </c>
      <c r="H930" s="315" t="s">
        <v>30</v>
      </c>
      <c r="I930" s="315" t="s">
        <v>1241</v>
      </c>
      <c r="J930" s="315" t="str">
        <f t="shared" si="86"/>
        <v>Used VehicleSalaries &amp; Wages per retail</v>
      </c>
      <c r="K930" s="315" t="str">
        <f t="shared" si="87"/>
        <v>221Toyota UV Salaries &amp; Wages</v>
      </c>
      <c r="L930" s="311">
        <f>+SUMIF('TUNZ Extracted TB'!M:M,$P930,'TUNZ Extracted TB'!G:G)</f>
        <v>0</v>
      </c>
      <c r="M930" s="311"/>
      <c r="N930" s="311">
        <f>+SUMIF('Input Sheet'!$AE:$AE,P930,'Input Sheet'!$X:$X)</f>
        <v>0</v>
      </c>
      <c r="O930" s="311"/>
      <c r="P930" t="str">
        <f t="shared" si="88"/>
        <v>221-7000</v>
      </c>
      <c r="Q930" s="315" t="str">
        <f t="shared" si="89"/>
        <v>Used Vehicle</v>
      </c>
      <c r="R930" s="315" t="str">
        <f t="shared" si="90"/>
        <v>Used VehicleSalaries &amp; Wages per retail</v>
      </c>
      <c r="S930" s="199"/>
      <c r="T930" s="199"/>
      <c r="U930" s="199"/>
    </row>
    <row r="931" spans="1:21" x14ac:dyDescent="0.25">
      <c r="A931" t="s">
        <v>996</v>
      </c>
      <c r="B931" t="s">
        <v>997</v>
      </c>
      <c r="C931" t="s">
        <v>1012</v>
      </c>
      <c r="D931">
        <v>7000</v>
      </c>
      <c r="E931">
        <v>410</v>
      </c>
      <c r="F931" t="s">
        <v>1239</v>
      </c>
      <c r="G931" t="s">
        <v>1240</v>
      </c>
      <c r="H931" s="315" t="s">
        <v>30</v>
      </c>
      <c r="I931" s="315" t="s">
        <v>1241</v>
      </c>
      <c r="J931" s="315" t="str">
        <f t="shared" si="86"/>
        <v>Used VehicleSalaries &amp; Wages per retail</v>
      </c>
      <c r="K931" s="315" t="str">
        <f t="shared" si="87"/>
        <v>410Toyota UV Salaries &amp; Wages</v>
      </c>
      <c r="L931" s="311">
        <f>+SUMIF('TUNZ Extracted TB'!M:M,$P931,'TUNZ Extracted TB'!G:G)</f>
        <v>0</v>
      </c>
      <c r="M931" s="311"/>
      <c r="N931" s="311">
        <f>+SUMIF('Input Sheet'!$AE:$AE,P931,'Input Sheet'!$X:$X)</f>
        <v>0</v>
      </c>
      <c r="O931" s="311"/>
      <c r="P931" t="str">
        <f t="shared" si="88"/>
        <v>410-7000</v>
      </c>
      <c r="Q931" s="315" t="str">
        <f t="shared" si="89"/>
        <v>Used Vehicle</v>
      </c>
      <c r="R931" s="315" t="str">
        <f t="shared" si="90"/>
        <v>Used VehicleSalaries &amp; Wages per retail</v>
      </c>
      <c r="S931" s="199"/>
      <c r="T931" s="199"/>
      <c r="U931" s="199"/>
    </row>
    <row r="932" spans="1:21" x14ac:dyDescent="0.25">
      <c r="A932" t="s">
        <v>996</v>
      </c>
      <c r="B932" t="s">
        <v>997</v>
      </c>
      <c r="C932" t="s">
        <v>1012</v>
      </c>
      <c r="D932">
        <v>7000</v>
      </c>
      <c r="E932">
        <v>420</v>
      </c>
      <c r="F932" t="s">
        <v>1239</v>
      </c>
      <c r="G932" t="s">
        <v>1240</v>
      </c>
      <c r="H932" s="315" t="s">
        <v>30</v>
      </c>
      <c r="I932" s="315" t="s">
        <v>1241</v>
      </c>
      <c r="J932" s="315" t="str">
        <f t="shared" si="86"/>
        <v>Used VehicleSalaries &amp; Wages per retail</v>
      </c>
      <c r="K932" s="315" t="str">
        <f t="shared" si="87"/>
        <v>420Toyota UV Salaries &amp; Wages</v>
      </c>
      <c r="L932" s="311">
        <f>+SUMIF('TUNZ Extracted TB'!M:M,$P932,'TUNZ Extracted TB'!G:G)</f>
        <v>0</v>
      </c>
      <c r="M932" s="311"/>
      <c r="N932" s="311">
        <f>+SUMIF('Input Sheet'!$AE:$AE,P932,'Input Sheet'!$X:$X)</f>
        <v>0</v>
      </c>
      <c r="O932" s="311"/>
      <c r="P932" t="str">
        <f t="shared" si="88"/>
        <v>420-7000</v>
      </c>
      <c r="Q932" s="315" t="str">
        <f t="shared" si="89"/>
        <v>Used Vehicle</v>
      </c>
      <c r="R932" s="315" t="str">
        <f t="shared" si="90"/>
        <v>Used VehicleSalaries &amp; Wages per retail</v>
      </c>
      <c r="S932" s="199"/>
      <c r="T932" s="199"/>
      <c r="U932" s="199"/>
    </row>
    <row r="933" spans="1:21" x14ac:dyDescent="0.25">
      <c r="A933" t="s">
        <v>996</v>
      </c>
      <c r="B933" t="s">
        <v>997</v>
      </c>
      <c r="C933" t="s">
        <v>1012</v>
      </c>
      <c r="D933">
        <v>7000</v>
      </c>
      <c r="E933">
        <v>421</v>
      </c>
      <c r="F933" t="s">
        <v>1239</v>
      </c>
      <c r="G933" t="s">
        <v>1240</v>
      </c>
      <c r="H933" s="315" t="s">
        <v>30</v>
      </c>
      <c r="I933" s="315" t="s">
        <v>1241</v>
      </c>
      <c r="J933" s="315" t="str">
        <f t="shared" si="86"/>
        <v>Used VehicleSalaries &amp; Wages per retail</v>
      </c>
      <c r="K933" s="315" t="str">
        <f t="shared" si="87"/>
        <v>421Toyota UV Salaries &amp; Wages</v>
      </c>
      <c r="L933" s="311">
        <f>+SUMIF('TUNZ Extracted TB'!M:M,$P933,'TUNZ Extracted TB'!G:G)</f>
        <v>0</v>
      </c>
      <c r="M933" s="311"/>
      <c r="N933" s="311">
        <f>+SUMIF('Input Sheet'!$AE:$AE,P933,'Input Sheet'!$X:$X)</f>
        <v>0</v>
      </c>
      <c r="O933" s="311"/>
      <c r="P933" t="str">
        <f t="shared" si="88"/>
        <v>421-7000</v>
      </c>
      <c r="Q933" s="315" t="str">
        <f t="shared" si="89"/>
        <v>Used Vehicle</v>
      </c>
      <c r="R933" s="315" t="str">
        <f t="shared" si="90"/>
        <v>Used VehicleSalaries &amp; Wages per retail</v>
      </c>
      <c r="S933" s="199"/>
      <c r="T933" s="199"/>
      <c r="U933" s="199"/>
    </row>
    <row r="934" spans="1:21" x14ac:dyDescent="0.25">
      <c r="A934" t="s">
        <v>996</v>
      </c>
      <c r="B934" t="s">
        <v>997</v>
      </c>
      <c r="C934" t="s">
        <v>1013</v>
      </c>
      <c r="D934">
        <v>7000</v>
      </c>
      <c r="E934">
        <v>310</v>
      </c>
      <c r="F934" t="s">
        <v>1239</v>
      </c>
      <c r="G934" t="s">
        <v>1240</v>
      </c>
      <c r="H934" s="315" t="s">
        <v>30</v>
      </c>
      <c r="I934" s="315" t="s">
        <v>1241</v>
      </c>
      <c r="J934" s="315" t="str">
        <f t="shared" si="86"/>
        <v>Used VehicleSalaries &amp; Wages per retail</v>
      </c>
      <c r="K934" s="315" t="str">
        <f t="shared" si="87"/>
        <v>310Toyota UV Salaries &amp; Wages</v>
      </c>
      <c r="L934" s="311">
        <f>+SUMIF('TUNZ Extracted TB'!M:M,$P934,'TUNZ Extracted TB'!G:G)</f>
        <v>0</v>
      </c>
      <c r="M934" s="311"/>
      <c r="N934" s="311">
        <f>+SUMIF('Input Sheet'!$AE:$AE,P934,'Input Sheet'!$X:$X)</f>
        <v>0</v>
      </c>
      <c r="O934" s="311"/>
      <c r="P934" t="str">
        <f t="shared" si="88"/>
        <v>310-7000</v>
      </c>
      <c r="Q934" s="315" t="str">
        <f t="shared" si="89"/>
        <v>Used Vehicle</v>
      </c>
      <c r="R934" s="315" t="str">
        <f t="shared" si="90"/>
        <v>Used VehicleSalaries &amp; Wages per retail</v>
      </c>
      <c r="S934" s="199"/>
      <c r="T934" s="199"/>
      <c r="U934" s="199"/>
    </row>
    <row r="935" spans="1:21" x14ac:dyDescent="0.25">
      <c r="A935" t="s">
        <v>996</v>
      </c>
      <c r="B935" t="s">
        <v>997</v>
      </c>
      <c r="C935" t="s">
        <v>1013</v>
      </c>
      <c r="D935">
        <v>7000</v>
      </c>
      <c r="E935">
        <v>321</v>
      </c>
      <c r="F935" t="s">
        <v>1239</v>
      </c>
      <c r="G935" t="s">
        <v>1240</v>
      </c>
      <c r="H935" s="315" t="s">
        <v>30</v>
      </c>
      <c r="I935" s="315" t="s">
        <v>1241</v>
      </c>
      <c r="J935" s="315" t="str">
        <f t="shared" si="86"/>
        <v>Used VehicleSalaries &amp; Wages per retail</v>
      </c>
      <c r="K935" s="315" t="str">
        <f t="shared" si="87"/>
        <v>321Toyota UV Salaries &amp; Wages</v>
      </c>
      <c r="L935" s="311">
        <f>+SUMIF('TUNZ Extracted TB'!M:M,$P935,'TUNZ Extracted TB'!G:G)</f>
        <v>0</v>
      </c>
      <c r="M935" s="311"/>
      <c r="N935" s="311">
        <f>+SUMIF('Input Sheet'!$AE:$AE,P935,'Input Sheet'!$X:$X)</f>
        <v>0</v>
      </c>
      <c r="O935" s="311"/>
      <c r="P935" t="str">
        <f t="shared" si="88"/>
        <v>321-7000</v>
      </c>
      <c r="Q935" s="315" t="str">
        <f t="shared" si="89"/>
        <v>Used Vehicle</v>
      </c>
      <c r="R935" s="315" t="str">
        <f t="shared" si="90"/>
        <v>Used VehicleSalaries &amp; Wages per retail</v>
      </c>
      <c r="S935" s="199"/>
      <c r="T935" s="199"/>
      <c r="U935" s="199"/>
    </row>
    <row r="936" spans="1:21" x14ac:dyDescent="0.25">
      <c r="A936" t="s">
        <v>996</v>
      </c>
      <c r="B936" t="s">
        <v>997</v>
      </c>
      <c r="C936" t="s">
        <v>997</v>
      </c>
      <c r="D936">
        <v>7020</v>
      </c>
      <c r="E936">
        <v>120</v>
      </c>
      <c r="F936" t="s">
        <v>1262</v>
      </c>
      <c r="G936" t="s">
        <v>1263</v>
      </c>
      <c r="H936" s="315" t="s">
        <v>30</v>
      </c>
      <c r="I936" s="315" t="s">
        <v>1264</v>
      </c>
      <c r="J936" s="315" t="str">
        <f t="shared" si="86"/>
        <v>Used VehicleCommission per retail</v>
      </c>
      <c r="K936" s="315" t="str">
        <f t="shared" si="87"/>
        <v>120Toyota UV Commission expense</v>
      </c>
      <c r="L936" s="311">
        <f>+SUMIF('TUNZ Extracted TB'!M:M,$P936,'TUNZ Extracted TB'!G:G)</f>
        <v>37610</v>
      </c>
      <c r="M936" s="311"/>
      <c r="N936" s="311">
        <f>+SUMIF('Input Sheet'!$AE:$AE,P936,'Input Sheet'!$X:$X)</f>
        <v>43372.393333333326</v>
      </c>
      <c r="O936" s="311"/>
      <c r="P936" t="str">
        <f t="shared" si="88"/>
        <v>120-7020</v>
      </c>
      <c r="Q936" s="315" t="str">
        <f t="shared" si="89"/>
        <v>Used Vehicle</v>
      </c>
      <c r="R936" s="315" t="str">
        <f t="shared" si="90"/>
        <v>Used VehicleCommission per retail</v>
      </c>
      <c r="S936" s="199"/>
      <c r="T936" s="199"/>
      <c r="U936" s="199"/>
    </row>
    <row r="937" spans="1:21" x14ac:dyDescent="0.25">
      <c r="A937" t="s">
        <v>996</v>
      </c>
      <c r="B937" t="s">
        <v>997</v>
      </c>
      <c r="C937" t="s">
        <v>997</v>
      </c>
      <c r="D937">
        <v>7020</v>
      </c>
      <c r="E937">
        <v>160</v>
      </c>
      <c r="F937" t="s">
        <v>1247</v>
      </c>
      <c r="G937" t="s">
        <v>1248</v>
      </c>
      <c r="H937" s="315" t="s">
        <v>16</v>
      </c>
      <c r="I937" s="315" t="s">
        <v>1249</v>
      </c>
      <c r="J937" s="315" t="str">
        <f t="shared" si="86"/>
        <v>F&amp;ISalaries &amp; Commission per vehicle retailed</v>
      </c>
      <c r="K937" s="315" t="str">
        <f t="shared" si="87"/>
        <v>160F&amp;I Salaries &amp; Commission - Toyota</v>
      </c>
      <c r="L937" s="311">
        <f>+SUMIF('TUNZ Extracted TB'!M:M,$P937,'TUNZ Extracted TB'!G:G)</f>
        <v>23254.68</v>
      </c>
      <c r="M937" s="311"/>
      <c r="N937" s="311">
        <f>+SUMIF('Input Sheet'!$AE:$AE,P937,'Input Sheet'!$X:$X)</f>
        <v>35400</v>
      </c>
      <c r="O937" s="311"/>
      <c r="P937" t="str">
        <f t="shared" si="88"/>
        <v>160-7020</v>
      </c>
      <c r="Q937" s="315" t="str">
        <f t="shared" si="89"/>
        <v>F&amp;I</v>
      </c>
      <c r="R937" s="315" t="str">
        <f t="shared" si="90"/>
        <v>F&amp;ISalaries &amp; Commission per vehicle retailed</v>
      </c>
      <c r="S937" s="199"/>
      <c r="T937" s="199"/>
      <c r="U937" s="199"/>
    </row>
    <row r="938" spans="1:21" x14ac:dyDescent="0.25">
      <c r="A938" t="s">
        <v>996</v>
      </c>
      <c r="B938" t="s">
        <v>997</v>
      </c>
      <c r="C938" t="s">
        <v>1005</v>
      </c>
      <c r="D938">
        <v>7020</v>
      </c>
      <c r="E938">
        <v>210</v>
      </c>
      <c r="F938" t="s">
        <v>1265</v>
      </c>
      <c r="G938" t="s">
        <v>1266</v>
      </c>
      <c r="H938" s="315" t="s">
        <v>29</v>
      </c>
      <c r="I938" s="315" t="s">
        <v>1267</v>
      </c>
      <c r="J938" s="315" t="str">
        <f t="shared" si="86"/>
        <v>New VehicleCommission p.u.</v>
      </c>
      <c r="K938" s="315" t="str">
        <f t="shared" si="87"/>
        <v>210NV Commission - Toyota</v>
      </c>
      <c r="L938" s="311">
        <f>+SUMIF('TUNZ Extracted TB'!M:M,$P938,'TUNZ Extracted TB'!G:G)</f>
        <v>25750</v>
      </c>
      <c r="M938" s="311"/>
      <c r="N938" s="311">
        <f>+SUMIF('Input Sheet'!$AE:$AE,P938,'Input Sheet'!$X:$X)</f>
        <v>0</v>
      </c>
      <c r="O938" s="311"/>
      <c r="P938" t="str">
        <f t="shared" si="88"/>
        <v>210-7020</v>
      </c>
      <c r="Q938" s="315" t="str">
        <f t="shared" si="89"/>
        <v>New Vehicle</v>
      </c>
      <c r="R938" s="315" t="str">
        <f t="shared" si="90"/>
        <v>New VehicleCommission p.u.</v>
      </c>
      <c r="S938" s="199"/>
      <c r="T938" s="199"/>
      <c r="U938" s="199"/>
    </row>
    <row r="939" spans="1:21" x14ac:dyDescent="0.25">
      <c r="A939" t="s">
        <v>996</v>
      </c>
      <c r="B939" t="s">
        <v>997</v>
      </c>
      <c r="C939" t="s">
        <v>1005</v>
      </c>
      <c r="D939">
        <v>7020</v>
      </c>
      <c r="E939">
        <v>260</v>
      </c>
      <c r="F939" t="s">
        <v>1247</v>
      </c>
      <c r="G939" t="s">
        <v>1248</v>
      </c>
      <c r="H939" s="315" t="s">
        <v>16</v>
      </c>
      <c r="I939" s="315" t="s">
        <v>1249</v>
      </c>
      <c r="J939" s="315" t="str">
        <f t="shared" si="86"/>
        <v>F&amp;ISalaries &amp; Commission per vehicle retailed</v>
      </c>
      <c r="K939" s="315" t="str">
        <f t="shared" si="87"/>
        <v>260F&amp;I Salaries &amp; Commission - Toyota</v>
      </c>
      <c r="L939" s="311">
        <f>+SUMIF('TUNZ Extracted TB'!M:M,$P939,'TUNZ Extracted TB'!G:G)</f>
        <v>13464</v>
      </c>
      <c r="M939" s="311"/>
      <c r="N939" s="311">
        <f>+SUMIF('Input Sheet'!$AE:$AE,P939,'Input Sheet'!$X:$X)</f>
        <v>26781.333333333332</v>
      </c>
      <c r="O939" s="311"/>
      <c r="P939" t="str">
        <f t="shared" si="88"/>
        <v>260-7020</v>
      </c>
      <c r="Q939" s="315" t="str">
        <f t="shared" si="89"/>
        <v>F&amp;I</v>
      </c>
      <c r="R939" s="315" t="str">
        <f t="shared" si="90"/>
        <v>F&amp;ISalaries &amp; Commission per vehicle retailed</v>
      </c>
      <c r="S939" s="199"/>
      <c r="T939" s="199"/>
      <c r="U939" s="199"/>
    </row>
    <row r="940" spans="1:21" x14ac:dyDescent="0.25">
      <c r="A940" t="s">
        <v>996</v>
      </c>
      <c r="B940" t="s">
        <v>997</v>
      </c>
      <c r="C940" t="s">
        <v>997</v>
      </c>
      <c r="D940">
        <v>7020</v>
      </c>
      <c r="E940">
        <v>162</v>
      </c>
      <c r="F940" t="s">
        <v>1260</v>
      </c>
      <c r="G940" t="s">
        <v>1261</v>
      </c>
      <c r="H940" s="315" t="s">
        <v>142</v>
      </c>
      <c r="I940" s="315" t="s">
        <v>1249</v>
      </c>
      <c r="J940" s="315" t="str">
        <f t="shared" si="86"/>
        <v>LEX F&amp;ISalaries &amp; Commission per vehicle retailed</v>
      </c>
      <c r="K940" s="315" t="str">
        <f t="shared" si="87"/>
        <v>162F&amp;I Salaries &amp; Commission - Lexus</v>
      </c>
      <c r="L940" s="311">
        <f>+SUMIF('TUNZ Extracted TB'!M:M,$P940,'TUNZ Extracted TB'!G:G)</f>
        <v>9967</v>
      </c>
      <c r="M940" s="311"/>
      <c r="N940" s="311">
        <f>+SUMIF('Input Sheet'!$AE:$AE,P940,'Input Sheet'!$X:$X)</f>
        <v>10200</v>
      </c>
      <c r="O940" s="311"/>
      <c r="P940" t="str">
        <f t="shared" si="88"/>
        <v>162-7020</v>
      </c>
      <c r="Q940" s="315" t="str">
        <f t="shared" si="89"/>
        <v>LEX F&amp;I</v>
      </c>
      <c r="R940" s="315" t="str">
        <f t="shared" si="90"/>
        <v>LEX F&amp;ISalaries &amp; Commission per vehicle retailed</v>
      </c>
      <c r="S940" s="199"/>
      <c r="T940" s="199"/>
      <c r="U940" s="199"/>
    </row>
    <row r="941" spans="1:21" x14ac:dyDescent="0.25">
      <c r="A941" t="s">
        <v>996</v>
      </c>
      <c r="B941" t="s">
        <v>997</v>
      </c>
      <c r="C941" t="s">
        <v>1005</v>
      </c>
      <c r="D941">
        <v>7020</v>
      </c>
      <c r="E941">
        <v>220</v>
      </c>
      <c r="F941" t="s">
        <v>1262</v>
      </c>
      <c r="G941" t="s">
        <v>1263</v>
      </c>
      <c r="H941" s="315" t="s">
        <v>30</v>
      </c>
      <c r="I941" s="315" t="s">
        <v>1264</v>
      </c>
      <c r="J941" s="315" t="str">
        <f t="shared" si="86"/>
        <v>Used VehicleCommission per retail</v>
      </c>
      <c r="K941" s="315" t="str">
        <f t="shared" si="87"/>
        <v>220Toyota UV Commission expense</v>
      </c>
      <c r="L941" s="311">
        <f>+SUMIF('TUNZ Extracted TB'!M:M,$P941,'TUNZ Extracted TB'!G:G)</f>
        <v>15790</v>
      </c>
      <c r="M941" s="311"/>
      <c r="N941" s="311">
        <f>+SUMIF('Input Sheet'!$AE:$AE,P941,'Input Sheet'!$X:$X)</f>
        <v>21923.866045454546</v>
      </c>
      <c r="O941" s="311"/>
      <c r="P941" t="str">
        <f t="shared" si="88"/>
        <v>220-7020</v>
      </c>
      <c r="Q941" s="315" t="str">
        <f t="shared" si="89"/>
        <v>Used Vehicle</v>
      </c>
      <c r="R941" s="315" t="str">
        <f t="shared" si="90"/>
        <v>Used VehicleCommission per retail</v>
      </c>
      <c r="S941" s="199"/>
      <c r="T941" s="199"/>
      <c r="U941" s="199"/>
    </row>
    <row r="942" spans="1:21" x14ac:dyDescent="0.25">
      <c r="A942" t="s">
        <v>996</v>
      </c>
      <c r="B942" t="s">
        <v>997</v>
      </c>
      <c r="C942" t="s">
        <v>997</v>
      </c>
      <c r="D942">
        <v>7020</v>
      </c>
      <c r="E942">
        <v>122</v>
      </c>
      <c r="F942" t="s">
        <v>1268</v>
      </c>
      <c r="G942" t="s">
        <v>1269</v>
      </c>
      <c r="H942" s="315" t="s">
        <v>1041</v>
      </c>
      <c r="I942" s="315" t="s">
        <v>1264</v>
      </c>
      <c r="J942" s="315" t="str">
        <f t="shared" si="86"/>
        <v>LEX Used VehicleCommission per retail</v>
      </c>
      <c r="K942" s="315" t="str">
        <f t="shared" si="87"/>
        <v>122Lexus UV Commission expense</v>
      </c>
      <c r="L942" s="311">
        <f>+SUMIF('TUNZ Extracted TB'!M:M,$P942,'TUNZ Extracted TB'!G:G)</f>
        <v>11745.46</v>
      </c>
      <c r="M942" s="311"/>
      <c r="N942" s="311">
        <f>+SUMIF('Input Sheet'!$AE:$AE,P942,'Input Sheet'!$X:$X)</f>
        <v>5000</v>
      </c>
      <c r="O942" s="311"/>
      <c r="P942" t="str">
        <f t="shared" si="88"/>
        <v>122-7020</v>
      </c>
      <c r="Q942" s="315" t="str">
        <f t="shared" si="89"/>
        <v>LEX Used Vehicle</v>
      </c>
      <c r="R942" s="315" t="str">
        <f t="shared" si="90"/>
        <v>LEX Used VehicleCommission per retail</v>
      </c>
      <c r="S942" s="199"/>
      <c r="T942" s="199"/>
      <c r="U942" s="199"/>
    </row>
    <row r="943" spans="1:21" x14ac:dyDescent="0.25">
      <c r="A943" t="s">
        <v>996</v>
      </c>
      <c r="B943" t="s">
        <v>997</v>
      </c>
      <c r="C943" t="s">
        <v>1005</v>
      </c>
      <c r="D943">
        <v>7020</v>
      </c>
      <c r="E943">
        <v>240</v>
      </c>
      <c r="F943" t="s">
        <v>1250</v>
      </c>
      <c r="G943" t="s">
        <v>1251</v>
      </c>
      <c r="H943" s="315" t="s">
        <v>17</v>
      </c>
      <c r="I943" s="315" t="s">
        <v>1252</v>
      </c>
      <c r="J943" s="315" t="str">
        <f t="shared" si="86"/>
        <v>ServiceSalaries, Commission &amp; Leave as % of Sales</v>
      </c>
      <c r="K943" s="315" t="str">
        <f t="shared" si="87"/>
        <v>240Service Salaries &amp; Commission - Toyota</v>
      </c>
      <c r="L943" s="311">
        <f>+SUMIF('TUNZ Extracted TB'!M:M,$P943,'TUNZ Extracted TB'!G:G)</f>
        <v>2625</v>
      </c>
      <c r="M943" s="311"/>
      <c r="N943" s="311">
        <f>+SUMIF('Input Sheet'!$AE:$AE,P943,'Input Sheet'!$X:$X)</f>
        <v>21266.008039296259</v>
      </c>
      <c r="O943" s="311"/>
      <c r="P943" t="str">
        <f t="shared" si="88"/>
        <v>240-7020</v>
      </c>
      <c r="Q943" s="315" t="str">
        <f t="shared" si="89"/>
        <v>Service</v>
      </c>
      <c r="R943" s="315" t="str">
        <f t="shared" si="90"/>
        <v>ServiceSalaries, Commission &amp; Leave as % of Sales</v>
      </c>
      <c r="S943" s="199"/>
      <c r="T943" s="199"/>
      <c r="U943" s="199"/>
    </row>
    <row r="944" spans="1:21" x14ac:dyDescent="0.25">
      <c r="A944" t="s">
        <v>996</v>
      </c>
      <c r="B944" t="s">
        <v>997</v>
      </c>
      <c r="C944" t="s">
        <v>1012</v>
      </c>
      <c r="D944">
        <v>7020</v>
      </c>
      <c r="E944">
        <v>440</v>
      </c>
      <c r="F944" t="s">
        <v>1250</v>
      </c>
      <c r="G944" t="s">
        <v>1251</v>
      </c>
      <c r="H944" s="315" t="s">
        <v>17</v>
      </c>
      <c r="I944" s="315" t="s">
        <v>1252</v>
      </c>
      <c r="J944" s="315" t="str">
        <f t="shared" si="86"/>
        <v>ServiceSalaries, Commission &amp; Leave as % of Sales</v>
      </c>
      <c r="K944" s="315" t="str">
        <f t="shared" si="87"/>
        <v>440Service Salaries &amp; Commission - Toyota</v>
      </c>
      <c r="L944" s="311">
        <f>+SUMIF('TUNZ Extracted TB'!M:M,$P944,'TUNZ Extracted TB'!G:G)</f>
        <v>2541.67</v>
      </c>
      <c r="M944" s="311"/>
      <c r="N944" s="311">
        <f>+SUMIF('Input Sheet'!$AE:$AE,P944,'Input Sheet'!$X:$X)</f>
        <v>14038.705397083804</v>
      </c>
      <c r="O944" s="311"/>
      <c r="P944" t="str">
        <f t="shared" si="88"/>
        <v>440-7020</v>
      </c>
      <c r="Q944" s="315" t="str">
        <f t="shared" si="89"/>
        <v>Service</v>
      </c>
      <c r="R944" s="315" t="str">
        <f t="shared" si="90"/>
        <v>ServiceSalaries, Commission &amp; Leave as % of Sales</v>
      </c>
      <c r="S944" s="199"/>
      <c r="T944" s="199"/>
      <c r="U944" s="199"/>
    </row>
    <row r="945" spans="1:21" x14ac:dyDescent="0.25">
      <c r="A945" s="316">
        <v>44774</v>
      </c>
      <c r="B945" t="s">
        <v>997</v>
      </c>
      <c r="C945" t="s">
        <v>997</v>
      </c>
      <c r="D945">
        <v>7020</v>
      </c>
      <c r="E945">
        <v>150</v>
      </c>
      <c r="G945" t="s">
        <v>75</v>
      </c>
      <c r="H945" s="315" t="s">
        <v>145</v>
      </c>
      <c r="I945" s="315" t="s">
        <v>1252</v>
      </c>
      <c r="J945" s="315" t="str">
        <f t="shared" si="86"/>
        <v>Retail DetailingSalaries, Commission &amp; Leave as % of Sales</v>
      </c>
      <c r="K945" s="315" t="str">
        <f t="shared" si="87"/>
        <v>150Commission: Salesperson</v>
      </c>
      <c r="L945" s="311">
        <f>+SUMIF('TUNZ Extracted TB'!M:M,$P945,'TUNZ Extracted TB'!G:G)</f>
        <v>1333.33</v>
      </c>
      <c r="M945" s="311"/>
      <c r="N945" s="311">
        <f>+SUMIF('Input Sheet'!$AE:$AE,P945,'Input Sheet'!$X:$X)</f>
        <v>56476.067199999998</v>
      </c>
      <c r="O945" s="311"/>
      <c r="P945" t="str">
        <f t="shared" si="88"/>
        <v>150-7020</v>
      </c>
      <c r="Q945" s="315" t="str">
        <f t="shared" si="89"/>
        <v>Retail Detailing</v>
      </c>
      <c r="R945" s="315" t="str">
        <f t="shared" si="90"/>
        <v>Retail DetailingSalaries, Commission &amp; Leave as % of Sales</v>
      </c>
      <c r="S945" s="199"/>
      <c r="T945" s="199"/>
      <c r="U945" s="199"/>
    </row>
    <row r="946" spans="1:21" x14ac:dyDescent="0.25">
      <c r="A946" t="s">
        <v>996</v>
      </c>
      <c r="B946" t="s">
        <v>997</v>
      </c>
      <c r="C946" t="s">
        <v>1005</v>
      </c>
      <c r="D946">
        <v>7020</v>
      </c>
      <c r="E946">
        <v>230</v>
      </c>
      <c r="F946" t="s">
        <v>1256</v>
      </c>
      <c r="G946" t="s">
        <v>1257</v>
      </c>
      <c r="H946" s="315" t="s">
        <v>5</v>
      </c>
      <c r="I946" s="315" t="s">
        <v>1255</v>
      </c>
      <c r="J946" s="315" t="str">
        <f t="shared" si="86"/>
        <v>PartsSalaries &amp; Commission as % of Sales</v>
      </c>
      <c r="K946" s="315" t="str">
        <f t="shared" si="87"/>
        <v>230Parts Salaries &amp; Commission - Toyota</v>
      </c>
      <c r="L946" s="311">
        <f>+SUMIF('TUNZ Extracted TB'!M:M,$P946,'TUNZ Extracted TB'!G:G)</f>
        <v>683.33</v>
      </c>
      <c r="M946" s="311"/>
      <c r="N946" s="311">
        <f>+SUMIF('Input Sheet'!$AE:$AE,P946,'Input Sheet'!$X:$X)</f>
        <v>33191.581410388178</v>
      </c>
      <c r="O946" s="311"/>
      <c r="P946" t="str">
        <f t="shared" si="88"/>
        <v>230-7020</v>
      </c>
      <c r="Q946" s="315" t="str">
        <f t="shared" si="89"/>
        <v>Parts</v>
      </c>
      <c r="R946" s="315" t="str">
        <f t="shared" si="90"/>
        <v>PartsSalaries &amp; Commission as % of Sales</v>
      </c>
      <c r="S946" s="199"/>
      <c r="T946" s="199"/>
      <c r="U946" s="199"/>
    </row>
    <row r="947" spans="1:21" x14ac:dyDescent="0.25">
      <c r="A947" t="s">
        <v>996</v>
      </c>
      <c r="B947" t="s">
        <v>997</v>
      </c>
      <c r="C947" t="s">
        <v>997</v>
      </c>
      <c r="D947">
        <v>7020</v>
      </c>
      <c r="E947">
        <v>935</v>
      </c>
      <c r="F947" t="s">
        <v>1175</v>
      </c>
      <c r="G947" t="s">
        <v>1176</v>
      </c>
      <c r="H947" s="315" t="s">
        <v>58</v>
      </c>
      <c r="I947" s="315" t="s">
        <v>1252</v>
      </c>
      <c r="J947" s="315" t="str">
        <f t="shared" si="86"/>
        <v>BridgestoneSalaries, Commission &amp; Leave as % of Sales</v>
      </c>
      <c r="K947" s="315" t="str">
        <f t="shared" si="87"/>
        <v>935Other franchise/business expense</v>
      </c>
      <c r="L947" s="311">
        <f>+SUMIF('TUNZ Extracted TB'!M:M,$P947,'TUNZ Extracted TB'!G:G)</f>
        <v>542.61</v>
      </c>
      <c r="M947" s="311"/>
      <c r="N947" s="311">
        <f>+SUMIF('Input Sheet'!$AE:$AE,P947,'Input Sheet'!$X:$X)</f>
        <v>53571.428571428572</v>
      </c>
      <c r="O947" s="311"/>
      <c r="P947" t="str">
        <f t="shared" si="88"/>
        <v>935-7020</v>
      </c>
      <c r="Q947" s="315" t="str">
        <f t="shared" si="89"/>
        <v>Bridgestone</v>
      </c>
      <c r="R947" s="315" t="str">
        <f t="shared" si="90"/>
        <v>BridgestoneSalaries, Commission &amp; Leave as % of Sales</v>
      </c>
      <c r="S947" s="199"/>
      <c r="T947" s="199"/>
      <c r="U947" s="199"/>
    </row>
    <row r="948" spans="1:21" x14ac:dyDescent="0.25">
      <c r="A948" t="s">
        <v>996</v>
      </c>
      <c r="B948" t="s">
        <v>997</v>
      </c>
      <c r="C948" t="s">
        <v>997</v>
      </c>
      <c r="D948">
        <v>7020</v>
      </c>
      <c r="E948">
        <v>936</v>
      </c>
      <c r="F948" t="s">
        <v>1175</v>
      </c>
      <c r="G948" t="s">
        <v>1176</v>
      </c>
      <c r="H948" s="315" t="s">
        <v>58</v>
      </c>
      <c r="I948" s="315" t="s">
        <v>1252</v>
      </c>
      <c r="J948" s="315" t="str">
        <f t="shared" si="86"/>
        <v>BridgestoneSalaries, Commission &amp; Leave as % of Sales</v>
      </c>
      <c r="K948" s="315" t="str">
        <f t="shared" si="87"/>
        <v>936Other franchise/business expense</v>
      </c>
      <c r="L948" s="311">
        <f>+SUMIF('TUNZ Extracted TB'!M:M,$P948,'TUNZ Extracted TB'!G:G)</f>
        <v>166.67</v>
      </c>
      <c r="M948" s="311"/>
      <c r="N948" s="311">
        <f>+SUMIF('Input Sheet'!$AE:$AE,P948,'Input Sheet'!$X:$X)</f>
        <v>21428.571428571428</v>
      </c>
      <c r="O948" s="311"/>
      <c r="P948" t="str">
        <f t="shared" si="88"/>
        <v>936-7020</v>
      </c>
      <c r="Q948" s="315" t="str">
        <f t="shared" si="89"/>
        <v>Bridgestone</v>
      </c>
      <c r="R948" s="315" t="str">
        <f t="shared" si="90"/>
        <v>BridgestoneSalaries, Commission &amp; Leave as % of Sales</v>
      </c>
      <c r="S948" s="199"/>
      <c r="T948" s="199"/>
      <c r="U948" s="199"/>
    </row>
    <row r="949" spans="1:21" x14ac:dyDescent="0.25">
      <c r="A949" t="s">
        <v>996</v>
      </c>
      <c r="B949" t="s">
        <v>997</v>
      </c>
      <c r="C949" t="s">
        <v>997</v>
      </c>
      <c r="D949">
        <v>7020</v>
      </c>
      <c r="E949">
        <v>140</v>
      </c>
      <c r="F949" t="s">
        <v>1250</v>
      </c>
      <c r="G949" t="s">
        <v>1251</v>
      </c>
      <c r="H949" s="315" t="s">
        <v>17</v>
      </c>
      <c r="I949" s="315" t="s">
        <v>1252</v>
      </c>
      <c r="J949" s="315" t="str">
        <f t="shared" si="86"/>
        <v>ServiceSalaries, Commission &amp; Leave as % of Sales</v>
      </c>
      <c r="K949" s="315" t="str">
        <f t="shared" si="87"/>
        <v>140Service Salaries &amp; Commission - Toyota</v>
      </c>
      <c r="L949" s="311">
        <f>+SUMIF('TUNZ Extracted TB'!M:M,$P949,'TUNZ Extracted TB'!G:G)</f>
        <v>3587</v>
      </c>
      <c r="M949" s="311"/>
      <c r="N949" s="311">
        <f>+SUMIF('Input Sheet'!$AE:$AE,P949,'Input Sheet'!$X:$X)</f>
        <v>40929.316720402974</v>
      </c>
      <c r="O949" s="311"/>
      <c r="P949" t="str">
        <f t="shared" si="88"/>
        <v>140-7020</v>
      </c>
      <c r="Q949" s="315" t="str">
        <f t="shared" si="89"/>
        <v>Service</v>
      </c>
      <c r="R949" s="315" t="str">
        <f t="shared" si="90"/>
        <v>ServiceSalaries, Commission &amp; Leave as % of Sales</v>
      </c>
      <c r="S949" s="199"/>
      <c r="T949" s="199"/>
      <c r="U949" s="199"/>
    </row>
    <row r="950" spans="1:21" x14ac:dyDescent="0.25">
      <c r="A950" t="s">
        <v>996</v>
      </c>
      <c r="B950" t="s">
        <v>997</v>
      </c>
      <c r="C950" t="s">
        <v>997</v>
      </c>
      <c r="D950">
        <v>7020</v>
      </c>
      <c r="E950">
        <v>142</v>
      </c>
      <c r="F950" t="s">
        <v>1270</v>
      </c>
      <c r="G950" t="s">
        <v>1271</v>
      </c>
      <c r="H950" s="315" t="s">
        <v>1022</v>
      </c>
      <c r="I950" s="315" t="s">
        <v>1252</v>
      </c>
      <c r="J950" s="315" t="str">
        <f t="shared" si="86"/>
        <v>Lex ServiceSalaries, Commission &amp; Leave as % of Sales</v>
      </c>
      <c r="K950" s="315" t="str">
        <f t="shared" si="87"/>
        <v>142Service Salaries &amp; Commission - Lexus</v>
      </c>
      <c r="L950" s="311">
        <f>+SUMIF('TUNZ Extracted TB'!M:M,$P950,'TUNZ Extracted TB'!G:G)</f>
        <v>3954.67</v>
      </c>
      <c r="M950" s="311"/>
      <c r="N950" s="311">
        <f>+SUMIF('Input Sheet'!$AE:$AE,P950,'Input Sheet'!$X:$X)</f>
        <v>42053.760000000002</v>
      </c>
      <c r="O950" s="311"/>
      <c r="P950" t="str">
        <f t="shared" si="88"/>
        <v>142-7020</v>
      </c>
      <c r="Q950" s="315" t="str">
        <f t="shared" si="89"/>
        <v>Lex Service</v>
      </c>
      <c r="R950" s="315" t="str">
        <f t="shared" si="90"/>
        <v>Lex ServiceSalaries, Commission &amp; Leave as % of Sales</v>
      </c>
      <c r="S950" s="199"/>
      <c r="T950" s="199"/>
      <c r="U950" s="199"/>
    </row>
    <row r="951" spans="1:21" x14ac:dyDescent="0.25">
      <c r="A951" t="s">
        <v>996</v>
      </c>
      <c r="B951" t="s">
        <v>997</v>
      </c>
      <c r="C951" t="s">
        <v>1012</v>
      </c>
      <c r="D951">
        <v>7020</v>
      </c>
      <c r="E951">
        <v>430</v>
      </c>
      <c r="F951" t="s">
        <v>1256</v>
      </c>
      <c r="G951" t="s">
        <v>1257</v>
      </c>
      <c r="H951" s="315" t="s">
        <v>5</v>
      </c>
      <c r="I951" s="315" t="s">
        <v>1255</v>
      </c>
      <c r="J951" s="315" t="str">
        <f t="shared" si="86"/>
        <v>PartsSalaries &amp; Commission as % of Sales</v>
      </c>
      <c r="K951" s="315" t="str">
        <f t="shared" si="87"/>
        <v>430Parts Salaries &amp; Commission - Toyota</v>
      </c>
      <c r="L951" s="311">
        <f>+SUMIF('TUNZ Extracted TB'!M:M,$P951,'TUNZ Extracted TB'!G:G)</f>
        <v>300</v>
      </c>
      <c r="M951" s="311"/>
      <c r="N951" s="311">
        <f>+SUMIF('Input Sheet'!$AE:$AE,P951,'Input Sheet'!$X:$X)</f>
        <v>19736.774876263367</v>
      </c>
      <c r="O951" s="311"/>
      <c r="P951" t="str">
        <f t="shared" si="88"/>
        <v>430-7020</v>
      </c>
      <c r="Q951" s="315" t="str">
        <f t="shared" si="89"/>
        <v>Parts</v>
      </c>
      <c r="R951" s="315" t="str">
        <f t="shared" si="90"/>
        <v>PartsSalaries &amp; Commission as % of Sales</v>
      </c>
      <c r="S951" s="199"/>
      <c r="T951" s="199"/>
      <c r="U951" s="199"/>
    </row>
    <row r="952" spans="1:21" x14ac:dyDescent="0.25">
      <c r="A952" t="s">
        <v>996</v>
      </c>
      <c r="B952" t="s">
        <v>997</v>
      </c>
      <c r="C952" t="s">
        <v>1013</v>
      </c>
      <c r="D952">
        <v>7020</v>
      </c>
      <c r="E952">
        <v>330</v>
      </c>
      <c r="F952" t="s">
        <v>1256</v>
      </c>
      <c r="G952" t="s">
        <v>1257</v>
      </c>
      <c r="H952" s="315" t="s">
        <v>5</v>
      </c>
      <c r="I952" s="315" t="s">
        <v>1255</v>
      </c>
      <c r="J952" s="315" t="str">
        <f t="shared" si="86"/>
        <v>PartsSalaries &amp; Commission as % of Sales</v>
      </c>
      <c r="K952" s="315" t="str">
        <f t="shared" si="87"/>
        <v>330Parts Salaries &amp; Commission - Toyota</v>
      </c>
      <c r="L952" s="311">
        <f>+SUMIF('TUNZ Extracted TB'!M:M,$P952,'TUNZ Extracted TB'!G:G)</f>
        <v>283.33</v>
      </c>
      <c r="M952" s="311"/>
      <c r="N952" s="311">
        <f>+SUMIF('Input Sheet'!$AE:$AE,P952,'Input Sheet'!$X:$X)</f>
        <v>12776.776837240155</v>
      </c>
      <c r="O952" s="311"/>
      <c r="P952" t="str">
        <f t="shared" si="88"/>
        <v>330-7020</v>
      </c>
      <c r="Q952" s="315" t="str">
        <f t="shared" si="89"/>
        <v>Parts</v>
      </c>
      <c r="R952" s="315" t="str">
        <f t="shared" si="90"/>
        <v>PartsSalaries &amp; Commission as % of Sales</v>
      </c>
      <c r="S952" s="199"/>
      <c r="T952" s="199"/>
      <c r="U952" s="199"/>
    </row>
    <row r="953" spans="1:21" x14ac:dyDescent="0.25">
      <c r="A953" t="s">
        <v>996</v>
      </c>
      <c r="B953" t="s">
        <v>997</v>
      </c>
      <c r="C953" t="s">
        <v>997</v>
      </c>
      <c r="D953">
        <v>7020</v>
      </c>
      <c r="E953">
        <v>130</v>
      </c>
      <c r="F953" t="s">
        <v>1256</v>
      </c>
      <c r="G953" t="s">
        <v>1257</v>
      </c>
      <c r="H953" s="315" t="s">
        <v>5</v>
      </c>
      <c r="I953" s="315" t="s">
        <v>1255</v>
      </c>
      <c r="J953" s="315" t="str">
        <f t="shared" si="86"/>
        <v>PartsSalaries &amp; Commission as % of Sales</v>
      </c>
      <c r="K953" s="315" t="str">
        <f t="shared" si="87"/>
        <v>130Parts Salaries &amp; Commission - Toyota</v>
      </c>
      <c r="L953" s="311">
        <f>+SUMIF('TUNZ Extracted TB'!M:M,$P953,'TUNZ Extracted TB'!G:G)</f>
        <v>4041.33</v>
      </c>
      <c r="M953" s="311"/>
      <c r="N953" s="311">
        <f>+SUMIF('Input Sheet'!$AE:$AE,P953,'Input Sheet'!$X:$X)</f>
        <v>65008.532542774941</v>
      </c>
      <c r="O953" s="311"/>
      <c r="P953" t="str">
        <f t="shared" si="88"/>
        <v>130-7020</v>
      </c>
      <c r="Q953" s="315" t="str">
        <f t="shared" si="89"/>
        <v>Parts</v>
      </c>
      <c r="R953" s="315" t="str">
        <f t="shared" si="90"/>
        <v>PartsSalaries &amp; Commission as % of Sales</v>
      </c>
      <c r="S953" s="199"/>
      <c r="T953" s="199"/>
      <c r="U953" s="199"/>
    </row>
    <row r="954" spans="1:21" x14ac:dyDescent="0.25">
      <c r="A954" t="s">
        <v>996</v>
      </c>
      <c r="B954" t="s">
        <v>997</v>
      </c>
      <c r="C954" t="s">
        <v>997</v>
      </c>
      <c r="D954">
        <v>7020</v>
      </c>
      <c r="E954">
        <v>132</v>
      </c>
      <c r="F954" t="s">
        <v>1253</v>
      </c>
      <c r="G954" t="s">
        <v>1254</v>
      </c>
      <c r="H954" s="315" t="s">
        <v>143</v>
      </c>
      <c r="I954" s="315" t="s">
        <v>1255</v>
      </c>
      <c r="J954" s="315" t="str">
        <f t="shared" si="86"/>
        <v>LEX PartsSalaries &amp; Commission as % of Sales</v>
      </c>
      <c r="K954" s="315" t="str">
        <f t="shared" si="87"/>
        <v>132Parts Salaries &amp; Commission - Lexus</v>
      </c>
      <c r="L954" s="311">
        <f>+SUMIF('TUNZ Extracted TB'!M:M,$P954,'TUNZ Extracted TB'!G:G)</f>
        <v>0</v>
      </c>
      <c r="M954" s="311"/>
      <c r="N954" s="311">
        <f>+SUMIF('Input Sheet'!$AE:$AE,P954,'Input Sheet'!$X:$X)</f>
        <v>0</v>
      </c>
      <c r="O954" s="311"/>
      <c r="P954" t="str">
        <f t="shared" si="88"/>
        <v>132-7020</v>
      </c>
      <c r="Q954" s="315" t="str">
        <f t="shared" si="89"/>
        <v>LEX Parts</v>
      </c>
      <c r="R954" s="315" t="str">
        <f t="shared" si="90"/>
        <v>LEX PartsSalaries &amp; Commission as % of Sales</v>
      </c>
      <c r="S954" s="199"/>
      <c r="T954" s="199"/>
      <c r="U954" s="199"/>
    </row>
    <row r="955" spans="1:21" x14ac:dyDescent="0.25">
      <c r="A955" t="s">
        <v>996</v>
      </c>
      <c r="B955" t="s">
        <v>997</v>
      </c>
      <c r="C955" t="s">
        <v>997</v>
      </c>
      <c r="D955">
        <v>7020</v>
      </c>
      <c r="E955">
        <v>112</v>
      </c>
      <c r="F955" t="s">
        <v>1272</v>
      </c>
      <c r="G955" t="s">
        <v>1273</v>
      </c>
      <c r="H955" s="315" t="s">
        <v>1011</v>
      </c>
      <c r="I955" s="315" t="s">
        <v>1267</v>
      </c>
      <c r="J955" s="315" t="str">
        <f t="shared" si="86"/>
        <v>LEX New VehicleCommission p.u.</v>
      </c>
      <c r="K955" s="315" t="str">
        <f t="shared" si="87"/>
        <v>112NV Commission - Lexus</v>
      </c>
      <c r="L955" s="311">
        <f>+SUMIF('TUNZ Extracted TB'!M:M,$P955,'TUNZ Extracted TB'!G:G)</f>
        <v>23593.94</v>
      </c>
      <c r="M955" s="311"/>
      <c r="N955" s="311">
        <f>+SUMIF('Input Sheet'!$AE:$AE,P955,'Input Sheet'!$X:$X)</f>
        <v>43500</v>
      </c>
      <c r="O955" s="311"/>
      <c r="P955" t="str">
        <f t="shared" si="88"/>
        <v>112-7020</v>
      </c>
      <c r="Q955" s="315" t="str">
        <f t="shared" si="89"/>
        <v>LEX New Vehicle</v>
      </c>
      <c r="R955" s="315" t="str">
        <f t="shared" si="90"/>
        <v>LEX New VehicleCommission p.u.</v>
      </c>
      <c r="S955" s="199"/>
      <c r="T955" s="199"/>
      <c r="U955" s="199"/>
    </row>
    <row r="956" spans="1:21" x14ac:dyDescent="0.25">
      <c r="A956" t="s">
        <v>996</v>
      </c>
      <c r="B956" t="s">
        <v>997</v>
      </c>
      <c r="C956" t="s">
        <v>997</v>
      </c>
      <c r="D956">
        <v>7020</v>
      </c>
      <c r="E956">
        <v>110</v>
      </c>
      <c r="F956" t="s">
        <v>1265</v>
      </c>
      <c r="G956" t="s">
        <v>1266</v>
      </c>
      <c r="H956" s="315" t="s">
        <v>29</v>
      </c>
      <c r="I956" s="315" t="s">
        <v>1267</v>
      </c>
      <c r="J956" s="315" t="str">
        <f t="shared" si="86"/>
        <v>New VehicleCommission p.u.</v>
      </c>
      <c r="K956" s="315" t="str">
        <f t="shared" si="87"/>
        <v>110NV Commission - Toyota</v>
      </c>
      <c r="L956" s="311">
        <f>+SUMIF('TUNZ Extracted TB'!M:M,$P956,'TUNZ Extracted TB'!G:G)</f>
        <v>18850</v>
      </c>
      <c r="M956" s="311"/>
      <c r="N956" s="311">
        <f>+SUMIF('Input Sheet'!$AE:$AE,P956,'Input Sheet'!$X:$X)</f>
        <v>0</v>
      </c>
      <c r="O956" s="311"/>
      <c r="P956" t="str">
        <f t="shared" si="88"/>
        <v>110-7020</v>
      </c>
      <c r="Q956" s="315" t="str">
        <f t="shared" si="89"/>
        <v>New Vehicle</v>
      </c>
      <c r="R956" s="315" t="str">
        <f t="shared" si="90"/>
        <v>New VehicleCommission p.u.</v>
      </c>
      <c r="S956" s="199"/>
      <c r="T956" s="199"/>
      <c r="U956" s="199"/>
    </row>
    <row r="957" spans="1:21" x14ac:dyDescent="0.25">
      <c r="A957" t="s">
        <v>996</v>
      </c>
      <c r="B957" t="s">
        <v>997</v>
      </c>
      <c r="C957" t="s">
        <v>1012</v>
      </c>
      <c r="D957">
        <v>7020</v>
      </c>
      <c r="E957">
        <v>400</v>
      </c>
      <c r="F957" t="s">
        <v>1265</v>
      </c>
      <c r="G957" t="s">
        <v>1266</v>
      </c>
      <c r="H957" s="315" t="s">
        <v>29</v>
      </c>
      <c r="I957" s="315" t="s">
        <v>1267</v>
      </c>
      <c r="J957" s="315" t="str">
        <f t="shared" si="86"/>
        <v>New VehicleCommission p.u.</v>
      </c>
      <c r="K957" s="315" t="str">
        <f t="shared" si="87"/>
        <v>400NV Commission - Toyota</v>
      </c>
      <c r="L957" s="311">
        <f>+SUMIF('TUNZ Extracted TB'!M:M,$P957,'TUNZ Extracted TB'!G:G)</f>
        <v>0</v>
      </c>
      <c r="M957" s="311"/>
      <c r="N957" s="311">
        <f>+SUMIF('Input Sheet'!$AE:$AE,P957,'Input Sheet'!$X:$X)</f>
        <v>0</v>
      </c>
      <c r="O957" s="311"/>
      <c r="P957" t="str">
        <f t="shared" si="88"/>
        <v>400-7020</v>
      </c>
      <c r="Q957" s="315" t="str">
        <f t="shared" si="89"/>
        <v>New Vehicle</v>
      </c>
      <c r="R957" s="315" t="str">
        <f t="shared" si="90"/>
        <v>New VehicleCommission p.u.</v>
      </c>
      <c r="S957" s="199"/>
      <c r="T957" s="199"/>
      <c r="U957" s="199"/>
    </row>
    <row r="958" spans="1:21" x14ac:dyDescent="0.25">
      <c r="A958" t="s">
        <v>996</v>
      </c>
      <c r="B958" t="s">
        <v>997</v>
      </c>
      <c r="C958" t="s">
        <v>997</v>
      </c>
      <c r="D958">
        <v>7020</v>
      </c>
      <c r="E958">
        <v>170</v>
      </c>
      <c r="F958" t="s">
        <v>1274</v>
      </c>
      <c r="G958" t="s">
        <v>1275</v>
      </c>
      <c r="H958" s="315" t="s">
        <v>1000</v>
      </c>
      <c r="I958" s="315" t="s">
        <v>1276</v>
      </c>
      <c r="J958" s="315" t="str">
        <f t="shared" si="86"/>
        <v xml:space="preserve">Admin &amp; OtherStaff Remuneration &amp; Benefits as % of Total Gross </v>
      </c>
      <c r="K958" s="315" t="str">
        <f t="shared" si="87"/>
        <v>170Admin Staff Salaries - Toyota</v>
      </c>
      <c r="L958" s="311">
        <f>+SUMIF('TUNZ Extracted TB'!M:M,$P958,'TUNZ Extracted TB'!G:G)</f>
        <v>0</v>
      </c>
      <c r="M958" s="311"/>
      <c r="N958" s="311">
        <f>+SUMIF('Input Sheet'!$AE:$AE,P958,'Input Sheet'!$X:$X)</f>
        <v>0</v>
      </c>
      <c r="O958" s="311"/>
      <c r="P958" t="str">
        <f t="shared" si="88"/>
        <v>170-7020</v>
      </c>
      <c r="Q958" s="315" t="str">
        <f t="shared" si="89"/>
        <v>Admin &amp; Other</v>
      </c>
      <c r="R958" s="315" t="str">
        <f t="shared" si="90"/>
        <v xml:space="preserve">Admin &amp; OtherStaff Remuneration &amp; Benefits as % of Total Gross </v>
      </c>
      <c r="S958" s="199"/>
      <c r="T958" s="199"/>
      <c r="U958" s="199"/>
    </row>
    <row r="959" spans="1:21" x14ac:dyDescent="0.25">
      <c r="A959" t="s">
        <v>996</v>
      </c>
      <c r="B959" t="s">
        <v>997</v>
      </c>
      <c r="C959" t="s">
        <v>1013</v>
      </c>
      <c r="D959">
        <v>7020</v>
      </c>
      <c r="E959">
        <v>300</v>
      </c>
      <c r="F959" t="s">
        <v>1265</v>
      </c>
      <c r="G959" t="s">
        <v>1266</v>
      </c>
      <c r="H959" s="315" t="s">
        <v>29</v>
      </c>
      <c r="I959" s="315" t="s">
        <v>1267</v>
      </c>
      <c r="J959" s="315" t="str">
        <f t="shared" si="86"/>
        <v>New VehicleCommission p.u.</v>
      </c>
      <c r="K959" s="315" t="str">
        <f t="shared" si="87"/>
        <v>300NV Commission - Toyota</v>
      </c>
      <c r="L959" s="311">
        <f>+SUMIF('TUNZ Extracted TB'!M:M,$P959,'TUNZ Extracted TB'!G:G)</f>
        <v>0</v>
      </c>
      <c r="M959" s="311"/>
      <c r="N959" s="311">
        <f>+SUMIF('Input Sheet'!$AE:$AE,P959,'Input Sheet'!$X:$X)</f>
        <v>0</v>
      </c>
      <c r="O959" s="311"/>
      <c r="P959" t="str">
        <f t="shared" si="88"/>
        <v>300-7020</v>
      </c>
      <c r="Q959" s="315" t="str">
        <f t="shared" si="89"/>
        <v>New Vehicle</v>
      </c>
      <c r="R959" s="315" t="str">
        <f t="shared" si="90"/>
        <v>New VehicleCommission p.u.</v>
      </c>
      <c r="S959" s="199"/>
      <c r="T959" s="199"/>
      <c r="U959" s="199"/>
    </row>
    <row r="960" spans="1:21" x14ac:dyDescent="0.25">
      <c r="A960" t="s">
        <v>996</v>
      </c>
      <c r="B960" t="s">
        <v>997</v>
      </c>
      <c r="C960" t="s">
        <v>1005</v>
      </c>
      <c r="D960">
        <v>7030</v>
      </c>
      <c r="E960">
        <v>210</v>
      </c>
      <c r="F960" t="s">
        <v>1277</v>
      </c>
      <c r="G960" t="s">
        <v>1278</v>
      </c>
      <c r="H960" s="315" t="s">
        <v>29</v>
      </c>
      <c r="I960" s="315" t="s">
        <v>1279</v>
      </c>
      <c r="J960" s="315" t="str">
        <f t="shared" si="86"/>
        <v>New VehicleOther Variable expenses p.u.</v>
      </c>
      <c r="K960" s="315" t="str">
        <f t="shared" si="87"/>
        <v>210NV Other variable expenses - Toyota</v>
      </c>
      <c r="L960" s="311">
        <f>+SUMIF('TUNZ Extracted TB'!M:M,$P960,'TUNZ Extracted TB'!G:G)</f>
        <v>100</v>
      </c>
      <c r="M960" s="311"/>
      <c r="N960" s="311">
        <f>+SUMIF('Input Sheet'!$AE:$AE,P960,'Input Sheet'!$X:$X)</f>
        <v>0</v>
      </c>
      <c r="O960" s="311"/>
      <c r="P960" t="str">
        <f t="shared" si="88"/>
        <v>210-7030</v>
      </c>
      <c r="Q960" s="315" t="str">
        <f t="shared" si="89"/>
        <v>New Vehicle</v>
      </c>
      <c r="R960" s="315" t="str">
        <f t="shared" si="90"/>
        <v>New VehicleOther Variable expenses p.u.</v>
      </c>
      <c r="S960" s="199"/>
      <c r="T960" s="199"/>
      <c r="U960" s="199"/>
    </row>
    <row r="961" spans="1:21" x14ac:dyDescent="0.25">
      <c r="A961" t="s">
        <v>996</v>
      </c>
      <c r="B961" t="s">
        <v>997</v>
      </c>
      <c r="C961" t="s">
        <v>997</v>
      </c>
      <c r="D961">
        <v>7030</v>
      </c>
      <c r="E961">
        <v>112</v>
      </c>
      <c r="F961" t="s">
        <v>1280</v>
      </c>
      <c r="G961" t="s">
        <v>1281</v>
      </c>
      <c r="H961" s="315" t="s">
        <v>1011</v>
      </c>
      <c r="I961" s="315" t="s">
        <v>1279</v>
      </c>
      <c r="J961" s="315" t="str">
        <f t="shared" si="86"/>
        <v>LEX New VehicleOther Variable expenses p.u.</v>
      </c>
      <c r="K961" s="315" t="str">
        <f t="shared" si="87"/>
        <v>112NV Other variable expenses - Lexus</v>
      </c>
      <c r="L961" s="311">
        <f>+SUMIF('TUNZ Extracted TB'!M:M,$P961,'TUNZ Extracted TB'!G:G)</f>
        <v>900</v>
      </c>
      <c r="M961" s="311"/>
      <c r="N961" s="311">
        <f>+SUMIF('Input Sheet'!$AE:$AE,P961,'Input Sheet'!$X:$X)</f>
        <v>0</v>
      </c>
      <c r="O961" s="311"/>
      <c r="P961" t="str">
        <f t="shared" si="88"/>
        <v>112-7030</v>
      </c>
      <c r="Q961" s="315" t="str">
        <f t="shared" si="89"/>
        <v>LEX New Vehicle</v>
      </c>
      <c r="R961" s="315" t="str">
        <f t="shared" si="90"/>
        <v>LEX New VehicleOther Variable expenses p.u.</v>
      </c>
      <c r="S961" s="199"/>
      <c r="T961" s="199"/>
      <c r="U961" s="199"/>
    </row>
    <row r="962" spans="1:21" x14ac:dyDescent="0.25">
      <c r="A962" t="s">
        <v>996</v>
      </c>
      <c r="B962" t="s">
        <v>997</v>
      </c>
      <c r="C962" t="s">
        <v>997</v>
      </c>
      <c r="D962">
        <v>7020</v>
      </c>
      <c r="E962">
        <v>147</v>
      </c>
      <c r="F962" t="s">
        <v>1250</v>
      </c>
      <c r="G962" t="s">
        <v>1251</v>
      </c>
      <c r="H962" s="315" t="s">
        <v>17</v>
      </c>
      <c r="I962" s="315" t="s">
        <v>1252</v>
      </c>
      <c r="J962" s="315" t="str">
        <f t="shared" si="86"/>
        <v>ServiceSalaries, Commission &amp; Leave as % of Sales</v>
      </c>
      <c r="K962" s="315" t="str">
        <f t="shared" si="87"/>
        <v>147Service Salaries &amp; Commission - Toyota</v>
      </c>
      <c r="L962" s="311">
        <f>+SUMIF('TUNZ Extracted TB'!M:M,$P962,'TUNZ Extracted TB'!G:G)</f>
        <v>0</v>
      </c>
      <c r="M962" s="311"/>
      <c r="N962" s="311">
        <f>+SUMIF('Input Sheet'!$AE:$AE,P962,'Input Sheet'!$X:$X)</f>
        <v>364.48530272024215</v>
      </c>
      <c r="O962" s="311"/>
      <c r="P962" t="str">
        <f t="shared" si="88"/>
        <v>147-7020</v>
      </c>
      <c r="Q962" s="315" t="str">
        <f t="shared" si="89"/>
        <v>Service</v>
      </c>
      <c r="R962" s="315" t="str">
        <f t="shared" si="90"/>
        <v>ServiceSalaries, Commission &amp; Leave as % of Sales</v>
      </c>
      <c r="S962" s="199"/>
      <c r="T962" s="199"/>
      <c r="U962" s="199"/>
    </row>
    <row r="963" spans="1:21" x14ac:dyDescent="0.25">
      <c r="A963" t="s">
        <v>996</v>
      </c>
      <c r="B963" t="s">
        <v>997</v>
      </c>
      <c r="C963" t="s">
        <v>997</v>
      </c>
      <c r="D963">
        <v>7020</v>
      </c>
      <c r="E963">
        <v>121</v>
      </c>
      <c r="F963" t="s">
        <v>1262</v>
      </c>
      <c r="G963" t="s">
        <v>1263</v>
      </c>
      <c r="H963" s="315" t="s">
        <v>30</v>
      </c>
      <c r="I963" s="315" t="s">
        <v>1264</v>
      </c>
      <c r="J963" s="315" t="str">
        <f t="shared" ref="J963:J1026" si="91">+H963&amp;I963</f>
        <v>Used VehicleCommission per retail</v>
      </c>
      <c r="K963" s="315" t="str">
        <f t="shared" ref="K963:K1026" si="92">+E963&amp;G963</f>
        <v>121Toyota UV Commission expense</v>
      </c>
      <c r="L963" s="311">
        <f>+SUMIF('TUNZ Extracted TB'!M:M,$P963,'TUNZ Extracted TB'!G:G)</f>
        <v>0</v>
      </c>
      <c r="M963" s="311"/>
      <c r="N963" s="311">
        <f>+SUMIF('Input Sheet'!$AE:$AE,P963,'Input Sheet'!$X:$X)</f>
        <v>0</v>
      </c>
      <c r="O963" s="311"/>
      <c r="P963" t="str">
        <f t="shared" ref="P963:P1026" si="93">+E963&amp;"-"&amp;D963</f>
        <v>121-7020</v>
      </c>
      <c r="Q963" s="315" t="str">
        <f t="shared" ref="Q963:Q1026" si="94">H963</f>
        <v>Used Vehicle</v>
      </c>
      <c r="R963" s="315" t="str">
        <f t="shared" ref="R963:R1026" si="95">J963</f>
        <v>Used VehicleCommission per retail</v>
      </c>
      <c r="S963" s="199"/>
      <c r="T963" s="199"/>
      <c r="U963" s="199"/>
    </row>
    <row r="964" spans="1:21" x14ac:dyDescent="0.25">
      <c r="A964" t="s">
        <v>996</v>
      </c>
      <c r="B964" t="s">
        <v>997</v>
      </c>
      <c r="C964" t="s">
        <v>1005</v>
      </c>
      <c r="D964">
        <v>7020</v>
      </c>
      <c r="E964">
        <v>221</v>
      </c>
      <c r="F964" t="s">
        <v>1262</v>
      </c>
      <c r="G964" t="s">
        <v>1263</v>
      </c>
      <c r="H964" s="315" t="s">
        <v>30</v>
      </c>
      <c r="I964" s="315" t="s">
        <v>1264</v>
      </c>
      <c r="J964" s="315" t="str">
        <f t="shared" si="91"/>
        <v>Used VehicleCommission per retail</v>
      </c>
      <c r="K964" s="315" t="str">
        <f t="shared" si="92"/>
        <v>221Toyota UV Commission expense</v>
      </c>
      <c r="L964" s="311">
        <f>+SUMIF('TUNZ Extracted TB'!M:M,$P964,'TUNZ Extracted TB'!G:G)</f>
        <v>0</v>
      </c>
      <c r="M964" s="311"/>
      <c r="N964" s="311">
        <f>+SUMIF('Input Sheet'!$AE:$AE,P964,'Input Sheet'!$X:$X)</f>
        <v>0</v>
      </c>
      <c r="O964" s="311"/>
      <c r="P964" t="str">
        <f t="shared" si="93"/>
        <v>221-7020</v>
      </c>
      <c r="Q964" s="315" t="str">
        <f t="shared" si="94"/>
        <v>Used Vehicle</v>
      </c>
      <c r="R964" s="315" t="str">
        <f t="shared" si="95"/>
        <v>Used VehicleCommission per retail</v>
      </c>
      <c r="S964" s="199"/>
      <c r="T964" s="199"/>
      <c r="U964" s="199"/>
    </row>
    <row r="965" spans="1:21" x14ac:dyDescent="0.25">
      <c r="A965" t="s">
        <v>996</v>
      </c>
      <c r="B965" t="s">
        <v>997</v>
      </c>
      <c r="C965" t="s">
        <v>1012</v>
      </c>
      <c r="D965">
        <v>7020</v>
      </c>
      <c r="E965">
        <v>410</v>
      </c>
      <c r="F965" t="s">
        <v>1262</v>
      </c>
      <c r="G965" t="s">
        <v>1263</v>
      </c>
      <c r="H965" s="315" t="s">
        <v>30</v>
      </c>
      <c r="I965" s="315" t="s">
        <v>1264</v>
      </c>
      <c r="J965" s="315" t="str">
        <f t="shared" si="91"/>
        <v>Used VehicleCommission per retail</v>
      </c>
      <c r="K965" s="315" t="str">
        <f t="shared" si="92"/>
        <v>410Toyota UV Commission expense</v>
      </c>
      <c r="L965" s="311">
        <f>+SUMIF('TUNZ Extracted TB'!M:M,$P965,'TUNZ Extracted TB'!G:G)</f>
        <v>0</v>
      </c>
      <c r="M965" s="311"/>
      <c r="N965" s="311">
        <f>+SUMIF('Input Sheet'!$AE:$AE,P965,'Input Sheet'!$X:$X)</f>
        <v>0</v>
      </c>
      <c r="O965" s="311"/>
      <c r="P965" t="str">
        <f t="shared" si="93"/>
        <v>410-7020</v>
      </c>
      <c r="Q965" s="315" t="str">
        <f t="shared" si="94"/>
        <v>Used Vehicle</v>
      </c>
      <c r="R965" s="315" t="str">
        <f t="shared" si="95"/>
        <v>Used VehicleCommission per retail</v>
      </c>
      <c r="S965" s="199"/>
      <c r="T965" s="199"/>
      <c r="U965" s="199"/>
    </row>
    <row r="966" spans="1:21" x14ac:dyDescent="0.25">
      <c r="A966" t="s">
        <v>996</v>
      </c>
      <c r="B966" t="s">
        <v>997</v>
      </c>
      <c r="C966" t="s">
        <v>1012</v>
      </c>
      <c r="D966">
        <v>7020</v>
      </c>
      <c r="E966">
        <v>420</v>
      </c>
      <c r="F966" t="s">
        <v>1262</v>
      </c>
      <c r="G966" t="s">
        <v>1263</v>
      </c>
      <c r="H966" s="315" t="s">
        <v>30</v>
      </c>
      <c r="I966" s="315" t="s">
        <v>1264</v>
      </c>
      <c r="J966" s="315" t="str">
        <f t="shared" si="91"/>
        <v>Used VehicleCommission per retail</v>
      </c>
      <c r="K966" s="315" t="str">
        <f t="shared" si="92"/>
        <v>420Toyota UV Commission expense</v>
      </c>
      <c r="L966" s="311">
        <f>+SUMIF('TUNZ Extracted TB'!M:M,$P966,'TUNZ Extracted TB'!G:G)</f>
        <v>0</v>
      </c>
      <c r="M966" s="311"/>
      <c r="N966" s="311">
        <f>+SUMIF('Input Sheet'!$AE:$AE,P966,'Input Sheet'!$X:$X)</f>
        <v>0</v>
      </c>
      <c r="O966" s="311"/>
      <c r="P966" t="str">
        <f t="shared" si="93"/>
        <v>420-7020</v>
      </c>
      <c r="Q966" s="315" t="str">
        <f t="shared" si="94"/>
        <v>Used Vehicle</v>
      </c>
      <c r="R966" s="315" t="str">
        <f t="shared" si="95"/>
        <v>Used VehicleCommission per retail</v>
      </c>
      <c r="S966" s="199"/>
      <c r="T966" s="199"/>
      <c r="U966" s="199"/>
    </row>
    <row r="967" spans="1:21" x14ac:dyDescent="0.25">
      <c r="A967" t="s">
        <v>996</v>
      </c>
      <c r="B967" t="s">
        <v>997</v>
      </c>
      <c r="C967" t="s">
        <v>1012</v>
      </c>
      <c r="D967">
        <v>7020</v>
      </c>
      <c r="E967">
        <v>421</v>
      </c>
      <c r="F967" t="s">
        <v>1262</v>
      </c>
      <c r="G967" t="s">
        <v>1263</v>
      </c>
      <c r="H967" s="315" t="s">
        <v>30</v>
      </c>
      <c r="I967" s="315" t="s">
        <v>1264</v>
      </c>
      <c r="J967" s="315" t="str">
        <f t="shared" si="91"/>
        <v>Used VehicleCommission per retail</v>
      </c>
      <c r="K967" s="315" t="str">
        <f t="shared" si="92"/>
        <v>421Toyota UV Commission expense</v>
      </c>
      <c r="L967" s="311">
        <f>+SUMIF('TUNZ Extracted TB'!M:M,$P967,'TUNZ Extracted TB'!G:G)</f>
        <v>0</v>
      </c>
      <c r="M967" s="311"/>
      <c r="N967" s="311">
        <f>+SUMIF('Input Sheet'!$AE:$AE,P967,'Input Sheet'!$X:$X)</f>
        <v>0</v>
      </c>
      <c r="O967" s="311"/>
      <c r="P967" t="str">
        <f t="shared" si="93"/>
        <v>421-7020</v>
      </c>
      <c r="Q967" s="315" t="str">
        <f t="shared" si="94"/>
        <v>Used Vehicle</v>
      </c>
      <c r="R967" s="315" t="str">
        <f t="shared" si="95"/>
        <v>Used VehicleCommission per retail</v>
      </c>
      <c r="S967" s="199"/>
      <c r="T967" s="199"/>
      <c r="U967" s="199"/>
    </row>
    <row r="968" spans="1:21" x14ac:dyDescent="0.25">
      <c r="A968" t="s">
        <v>996</v>
      </c>
      <c r="B968" t="s">
        <v>997</v>
      </c>
      <c r="C968" t="s">
        <v>1013</v>
      </c>
      <c r="D968">
        <v>7020</v>
      </c>
      <c r="E968">
        <v>310</v>
      </c>
      <c r="F968" t="s">
        <v>1262</v>
      </c>
      <c r="G968" t="s">
        <v>1263</v>
      </c>
      <c r="H968" s="315" t="s">
        <v>30</v>
      </c>
      <c r="I968" s="315" t="s">
        <v>1264</v>
      </c>
      <c r="J968" s="315" t="str">
        <f t="shared" si="91"/>
        <v>Used VehicleCommission per retail</v>
      </c>
      <c r="K968" s="315" t="str">
        <f t="shared" si="92"/>
        <v>310Toyota UV Commission expense</v>
      </c>
      <c r="L968" s="311">
        <f>+SUMIF('TUNZ Extracted TB'!M:M,$P968,'TUNZ Extracted TB'!G:G)</f>
        <v>0</v>
      </c>
      <c r="M968" s="311"/>
      <c r="N968" s="311">
        <f>+SUMIF('Input Sheet'!$AE:$AE,P968,'Input Sheet'!$X:$X)</f>
        <v>0</v>
      </c>
      <c r="O968" s="311"/>
      <c r="P968" t="str">
        <f t="shared" si="93"/>
        <v>310-7020</v>
      </c>
      <c r="Q968" s="315" t="str">
        <f t="shared" si="94"/>
        <v>Used Vehicle</v>
      </c>
      <c r="R968" s="315" t="str">
        <f t="shared" si="95"/>
        <v>Used VehicleCommission per retail</v>
      </c>
      <c r="S968" s="199"/>
      <c r="T968" s="199"/>
      <c r="U968" s="199"/>
    </row>
    <row r="969" spans="1:21" x14ac:dyDescent="0.25">
      <c r="A969" t="s">
        <v>996</v>
      </c>
      <c r="B969" t="s">
        <v>997</v>
      </c>
      <c r="C969" t="s">
        <v>1013</v>
      </c>
      <c r="D969">
        <v>7020</v>
      </c>
      <c r="E969">
        <v>321</v>
      </c>
      <c r="F969" t="s">
        <v>1262</v>
      </c>
      <c r="G969" t="s">
        <v>1263</v>
      </c>
      <c r="H969" s="315" t="s">
        <v>30</v>
      </c>
      <c r="I969" s="315" t="s">
        <v>1264</v>
      </c>
      <c r="J969" s="315" t="str">
        <f t="shared" si="91"/>
        <v>Used VehicleCommission per retail</v>
      </c>
      <c r="K969" s="315" t="str">
        <f t="shared" si="92"/>
        <v>321Toyota UV Commission expense</v>
      </c>
      <c r="L969" s="311">
        <f>+SUMIF('TUNZ Extracted TB'!M:M,$P969,'TUNZ Extracted TB'!G:G)</f>
        <v>0</v>
      </c>
      <c r="M969" s="311"/>
      <c r="N969" s="311">
        <f>+SUMIF('Input Sheet'!$AE:$AE,P969,'Input Sheet'!$X:$X)</f>
        <v>0</v>
      </c>
      <c r="O969" s="311"/>
      <c r="P969" t="str">
        <f t="shared" si="93"/>
        <v>321-7020</v>
      </c>
      <c r="Q969" s="315" t="str">
        <f t="shared" si="94"/>
        <v>Used Vehicle</v>
      </c>
      <c r="R969" s="315" t="str">
        <f t="shared" si="95"/>
        <v>Used VehicleCommission per retail</v>
      </c>
      <c r="S969" s="199"/>
      <c r="T969" s="199"/>
      <c r="U969" s="199"/>
    </row>
    <row r="970" spans="1:21" x14ac:dyDescent="0.25">
      <c r="A970" t="s">
        <v>996</v>
      </c>
      <c r="B970" t="s">
        <v>997</v>
      </c>
      <c r="C970" t="s">
        <v>1013</v>
      </c>
      <c r="D970">
        <v>7020</v>
      </c>
      <c r="E970">
        <v>340</v>
      </c>
      <c r="F970" t="s">
        <v>1250</v>
      </c>
      <c r="G970" t="s">
        <v>1251</v>
      </c>
      <c r="H970" s="315" t="s">
        <v>17</v>
      </c>
      <c r="I970" s="315" t="s">
        <v>1252</v>
      </c>
      <c r="J970" s="315" t="str">
        <f t="shared" si="91"/>
        <v>ServiceSalaries, Commission &amp; Leave as % of Sales</v>
      </c>
      <c r="K970" s="315" t="str">
        <f t="shared" si="92"/>
        <v>340Service Salaries &amp; Commission - Toyota</v>
      </c>
      <c r="L970" s="311">
        <f>+SUMIF('TUNZ Extracted TB'!M:M,$P970,'TUNZ Extracted TB'!G:G)</f>
        <v>1541.67</v>
      </c>
      <c r="M970" s="311"/>
      <c r="N970" s="311">
        <f>+SUMIF('Input Sheet'!$AE:$AE,P970,'Input Sheet'!$X:$X)</f>
        <v>12272.980488395464</v>
      </c>
      <c r="O970" s="311"/>
      <c r="P970" t="str">
        <f t="shared" si="93"/>
        <v>340-7020</v>
      </c>
      <c r="Q970" s="315" t="str">
        <f t="shared" si="94"/>
        <v>Service</v>
      </c>
      <c r="R970" s="315" t="str">
        <f t="shared" si="95"/>
        <v>ServiceSalaries, Commission &amp; Leave as % of Sales</v>
      </c>
      <c r="S970" s="199"/>
      <c r="T970" s="199"/>
      <c r="U970" s="199"/>
    </row>
    <row r="971" spans="1:21" x14ac:dyDescent="0.25">
      <c r="A971" t="s">
        <v>996</v>
      </c>
      <c r="B971" t="s">
        <v>997</v>
      </c>
      <c r="C971" t="s">
        <v>997</v>
      </c>
      <c r="D971">
        <v>7025</v>
      </c>
      <c r="E971">
        <v>162</v>
      </c>
      <c r="F971" t="s">
        <v>1260</v>
      </c>
      <c r="G971" t="s">
        <v>1261</v>
      </c>
      <c r="H971" s="315" t="s">
        <v>142</v>
      </c>
      <c r="I971" s="315" t="s">
        <v>1249</v>
      </c>
      <c r="J971" s="315" t="str">
        <f t="shared" si="91"/>
        <v>LEX F&amp;ISalaries &amp; Commission per vehicle retailed</v>
      </c>
      <c r="K971" s="315" t="str">
        <f t="shared" si="92"/>
        <v>162F&amp;I Salaries &amp; Commission - Lexus</v>
      </c>
      <c r="L971" s="311">
        <f>+SUMIF('TUNZ Extracted TB'!M:M,$P971,'TUNZ Extracted TB'!G:G)</f>
        <v>0</v>
      </c>
      <c r="M971" s="311"/>
      <c r="N971" s="311">
        <f>+SUMIF('Input Sheet'!$AE:$AE,P971,'Input Sheet'!$X:$X)</f>
        <v>0</v>
      </c>
      <c r="O971" s="311"/>
      <c r="P971" t="str">
        <f t="shared" si="93"/>
        <v>162-7025</v>
      </c>
      <c r="Q971" s="315" t="str">
        <f t="shared" si="94"/>
        <v>LEX F&amp;I</v>
      </c>
      <c r="R971" s="315" t="str">
        <f t="shared" si="95"/>
        <v>LEX F&amp;ISalaries &amp; Commission per vehicle retailed</v>
      </c>
      <c r="S971" s="199"/>
      <c r="T971" s="199"/>
      <c r="U971" s="199"/>
    </row>
    <row r="972" spans="1:21" x14ac:dyDescent="0.25">
      <c r="A972" t="s">
        <v>996</v>
      </c>
      <c r="B972" t="s">
        <v>997</v>
      </c>
      <c r="C972" t="s">
        <v>1005</v>
      </c>
      <c r="D972">
        <v>7025</v>
      </c>
      <c r="E972">
        <v>260</v>
      </c>
      <c r="F972" t="s">
        <v>1247</v>
      </c>
      <c r="G972" t="s">
        <v>1248</v>
      </c>
      <c r="H972" s="315" t="s">
        <v>16</v>
      </c>
      <c r="I972" s="315" t="s">
        <v>1249</v>
      </c>
      <c r="J972" s="315" t="str">
        <f t="shared" si="91"/>
        <v>F&amp;ISalaries &amp; Commission per vehicle retailed</v>
      </c>
      <c r="K972" s="315" t="str">
        <f t="shared" si="92"/>
        <v>260F&amp;I Salaries &amp; Commission - Toyota</v>
      </c>
      <c r="L972" s="311">
        <f>+SUMIF('TUNZ Extracted TB'!M:M,$P972,'TUNZ Extracted TB'!G:G)</f>
        <v>0</v>
      </c>
      <c r="M972" s="311"/>
      <c r="N972" s="311">
        <f>+SUMIF('Input Sheet'!$AE:$AE,P972,'Input Sheet'!$X:$X)</f>
        <v>0</v>
      </c>
      <c r="O972" s="311"/>
      <c r="P972" t="str">
        <f t="shared" si="93"/>
        <v>260-7025</v>
      </c>
      <c r="Q972" s="315" t="str">
        <f t="shared" si="94"/>
        <v>F&amp;I</v>
      </c>
      <c r="R972" s="315" t="str">
        <f t="shared" si="95"/>
        <v>F&amp;ISalaries &amp; Commission per vehicle retailed</v>
      </c>
      <c r="S972" s="199"/>
      <c r="T972" s="199"/>
      <c r="U972" s="199"/>
    </row>
    <row r="973" spans="1:21" x14ac:dyDescent="0.25">
      <c r="A973" t="s">
        <v>996</v>
      </c>
      <c r="B973" t="s">
        <v>997</v>
      </c>
      <c r="C973" t="s">
        <v>1012</v>
      </c>
      <c r="D973">
        <v>7025</v>
      </c>
      <c r="E973">
        <v>460</v>
      </c>
      <c r="F973" t="s">
        <v>1247</v>
      </c>
      <c r="G973" t="s">
        <v>1248</v>
      </c>
      <c r="H973" s="315" t="s">
        <v>16</v>
      </c>
      <c r="I973" s="315" t="s">
        <v>1249</v>
      </c>
      <c r="J973" s="315" t="str">
        <f t="shared" si="91"/>
        <v>F&amp;ISalaries &amp; Commission per vehicle retailed</v>
      </c>
      <c r="K973" s="315" t="str">
        <f t="shared" si="92"/>
        <v>460F&amp;I Salaries &amp; Commission - Toyota</v>
      </c>
      <c r="L973" s="311">
        <f>+SUMIF('TUNZ Extracted TB'!M:M,$P973,'TUNZ Extracted TB'!G:G)</f>
        <v>0</v>
      </c>
      <c r="M973" s="311"/>
      <c r="N973" s="311">
        <f>+SUMIF('Input Sheet'!$AE:$AE,P973,'Input Sheet'!$X:$X)</f>
        <v>0</v>
      </c>
      <c r="O973" s="311"/>
      <c r="P973" t="str">
        <f t="shared" si="93"/>
        <v>460-7025</v>
      </c>
      <c r="Q973" s="315" t="str">
        <f t="shared" si="94"/>
        <v>F&amp;I</v>
      </c>
      <c r="R973" s="315" t="str">
        <f t="shared" si="95"/>
        <v>F&amp;ISalaries &amp; Commission per vehicle retailed</v>
      </c>
      <c r="S973" s="199"/>
      <c r="T973" s="199"/>
      <c r="U973" s="199"/>
    </row>
    <row r="974" spans="1:21" x14ac:dyDescent="0.25">
      <c r="A974" t="s">
        <v>996</v>
      </c>
      <c r="B974" t="s">
        <v>997</v>
      </c>
      <c r="C974" t="s">
        <v>1013</v>
      </c>
      <c r="D974">
        <v>7025</v>
      </c>
      <c r="E974">
        <v>360</v>
      </c>
      <c r="F974" t="s">
        <v>1247</v>
      </c>
      <c r="G974" t="s">
        <v>1248</v>
      </c>
      <c r="H974" s="315" t="s">
        <v>16</v>
      </c>
      <c r="I974" s="315" t="s">
        <v>1249</v>
      </c>
      <c r="J974" s="315" t="str">
        <f t="shared" si="91"/>
        <v>F&amp;ISalaries &amp; Commission per vehicle retailed</v>
      </c>
      <c r="K974" s="315" t="str">
        <f t="shared" si="92"/>
        <v>360F&amp;I Salaries &amp; Commission - Toyota</v>
      </c>
      <c r="L974" s="311">
        <f>+SUMIF('TUNZ Extracted TB'!M:M,$P974,'TUNZ Extracted TB'!G:G)</f>
        <v>0</v>
      </c>
      <c r="M974" s="311"/>
      <c r="N974" s="311">
        <f>+SUMIF('Input Sheet'!$AE:$AE,P974,'Input Sheet'!$X:$X)</f>
        <v>0</v>
      </c>
      <c r="O974" s="311"/>
      <c r="P974" t="str">
        <f t="shared" si="93"/>
        <v>360-7025</v>
      </c>
      <c r="Q974" s="315" t="str">
        <f t="shared" si="94"/>
        <v>F&amp;I</v>
      </c>
      <c r="R974" s="315" t="str">
        <f t="shared" si="95"/>
        <v>F&amp;ISalaries &amp; Commission per vehicle retailed</v>
      </c>
      <c r="S974" s="199"/>
      <c r="T974" s="199"/>
      <c r="U974" s="199"/>
    </row>
    <row r="975" spans="1:21" x14ac:dyDescent="0.25">
      <c r="A975" t="s">
        <v>996</v>
      </c>
      <c r="B975" t="s">
        <v>997</v>
      </c>
      <c r="C975" t="s">
        <v>997</v>
      </c>
      <c r="D975">
        <v>7025</v>
      </c>
      <c r="E975">
        <v>160</v>
      </c>
      <c r="F975" t="s">
        <v>1247</v>
      </c>
      <c r="G975" t="s">
        <v>1248</v>
      </c>
      <c r="H975" s="315" t="s">
        <v>16</v>
      </c>
      <c r="I975" s="315" t="s">
        <v>1249</v>
      </c>
      <c r="J975" s="315" t="str">
        <f t="shared" si="91"/>
        <v>F&amp;ISalaries &amp; Commission per vehicle retailed</v>
      </c>
      <c r="K975" s="315" t="str">
        <f t="shared" si="92"/>
        <v>160F&amp;I Salaries &amp; Commission - Toyota</v>
      </c>
      <c r="L975" s="311">
        <f>+SUMIF('TUNZ Extracted TB'!M:M,$P975,'TUNZ Extracted TB'!G:G)</f>
        <v>0</v>
      </c>
      <c r="M975" s="311"/>
      <c r="N975" s="311">
        <f>+SUMIF('Input Sheet'!$AE:$AE,P975,'Input Sheet'!$X:$X)</f>
        <v>0</v>
      </c>
      <c r="O975" s="311"/>
      <c r="P975" t="str">
        <f t="shared" si="93"/>
        <v>160-7025</v>
      </c>
      <c r="Q975" s="315" t="str">
        <f t="shared" si="94"/>
        <v>F&amp;I</v>
      </c>
      <c r="R975" s="315" t="str">
        <f t="shared" si="95"/>
        <v>F&amp;ISalaries &amp; Commission per vehicle retailed</v>
      </c>
      <c r="S975" s="199"/>
      <c r="T975" s="199"/>
      <c r="U975" s="199"/>
    </row>
    <row r="976" spans="1:21" x14ac:dyDescent="0.25">
      <c r="A976" t="s">
        <v>996</v>
      </c>
      <c r="B976" t="s">
        <v>997</v>
      </c>
      <c r="C976" t="s">
        <v>997</v>
      </c>
      <c r="D976">
        <v>7025</v>
      </c>
      <c r="E976">
        <v>170</v>
      </c>
      <c r="F976" t="s">
        <v>1247</v>
      </c>
      <c r="G976" t="s">
        <v>1248</v>
      </c>
      <c r="H976" s="315" t="s">
        <v>16</v>
      </c>
      <c r="I976" s="315" t="s">
        <v>1249</v>
      </c>
      <c r="J976" s="315" t="str">
        <f t="shared" si="91"/>
        <v>F&amp;ISalaries &amp; Commission per vehicle retailed</v>
      </c>
      <c r="K976" s="315" t="str">
        <f t="shared" si="92"/>
        <v>170F&amp;I Salaries &amp; Commission - Toyota</v>
      </c>
      <c r="L976" s="311">
        <f>+SUMIF('TUNZ Extracted TB'!M:M,$P976,'TUNZ Extracted TB'!G:G)</f>
        <v>0</v>
      </c>
      <c r="M976" s="311"/>
      <c r="N976" s="311">
        <f>+SUMIF('Input Sheet'!$AE:$AE,P976,'Input Sheet'!$X:$X)</f>
        <v>0</v>
      </c>
      <c r="O976" s="311"/>
      <c r="P976" t="str">
        <f t="shared" si="93"/>
        <v>170-7025</v>
      </c>
      <c r="Q976" s="315" t="str">
        <f t="shared" si="94"/>
        <v>F&amp;I</v>
      </c>
      <c r="R976" s="315" t="str">
        <f t="shared" si="95"/>
        <v>F&amp;ISalaries &amp; Commission per vehicle retailed</v>
      </c>
      <c r="S976" s="199"/>
      <c r="T976" s="199"/>
      <c r="U976" s="199"/>
    </row>
    <row r="977" spans="1:21" x14ac:dyDescent="0.25">
      <c r="A977" t="s">
        <v>996</v>
      </c>
      <c r="B977" t="s">
        <v>997</v>
      </c>
      <c r="C977" t="s">
        <v>997</v>
      </c>
      <c r="D977">
        <v>7025</v>
      </c>
      <c r="E977">
        <v>147</v>
      </c>
      <c r="F977" t="s">
        <v>1250</v>
      </c>
      <c r="G977" t="s">
        <v>1251</v>
      </c>
      <c r="H977" s="315" t="s">
        <v>17</v>
      </c>
      <c r="I977" s="315" t="s">
        <v>1252</v>
      </c>
      <c r="J977" s="315" t="str">
        <f t="shared" si="91"/>
        <v>ServiceSalaries, Commission &amp; Leave as % of Sales</v>
      </c>
      <c r="K977" s="315" t="str">
        <f t="shared" si="92"/>
        <v>147Service Salaries &amp; Commission - Toyota</v>
      </c>
      <c r="L977" s="311">
        <f>+SUMIF('TUNZ Extracted TB'!M:M,$P977,'TUNZ Extracted TB'!G:G)</f>
        <v>0</v>
      </c>
      <c r="M977" s="311"/>
      <c r="N977" s="311">
        <f>+SUMIF('Input Sheet'!$AE:$AE,P977,'Input Sheet'!$X:$X)</f>
        <v>0</v>
      </c>
      <c r="O977" s="311"/>
      <c r="P977" t="str">
        <f t="shared" si="93"/>
        <v>147-7025</v>
      </c>
      <c r="Q977" s="315" t="str">
        <f t="shared" si="94"/>
        <v>Service</v>
      </c>
      <c r="R977" s="315" t="str">
        <f t="shared" si="95"/>
        <v>ServiceSalaries, Commission &amp; Leave as % of Sales</v>
      </c>
      <c r="S977" s="199"/>
      <c r="T977" s="199"/>
      <c r="U977" s="199"/>
    </row>
    <row r="978" spans="1:21" x14ac:dyDescent="0.25">
      <c r="A978" t="s">
        <v>996</v>
      </c>
      <c r="B978" t="s">
        <v>997</v>
      </c>
      <c r="C978" t="s">
        <v>997</v>
      </c>
      <c r="D978">
        <v>7026</v>
      </c>
      <c r="E978">
        <v>162</v>
      </c>
      <c r="F978" t="s">
        <v>1260</v>
      </c>
      <c r="G978" t="s">
        <v>1261</v>
      </c>
      <c r="H978" s="315" t="s">
        <v>142</v>
      </c>
      <c r="I978" s="315" t="s">
        <v>1249</v>
      </c>
      <c r="J978" s="315" t="str">
        <f t="shared" si="91"/>
        <v>LEX F&amp;ISalaries &amp; Commission per vehicle retailed</v>
      </c>
      <c r="K978" s="315" t="str">
        <f t="shared" si="92"/>
        <v>162F&amp;I Salaries &amp; Commission - Lexus</v>
      </c>
      <c r="L978" s="311">
        <f>+SUMIF('TUNZ Extracted TB'!M:M,$P978,'TUNZ Extracted TB'!G:G)</f>
        <v>0</v>
      </c>
      <c r="M978" s="311"/>
      <c r="N978" s="311">
        <f>+SUMIF('Input Sheet'!$AE:$AE,P978,'Input Sheet'!$X:$X)</f>
        <v>0</v>
      </c>
      <c r="O978" s="311"/>
      <c r="P978" t="str">
        <f t="shared" si="93"/>
        <v>162-7026</v>
      </c>
      <c r="Q978" s="315" t="str">
        <f t="shared" si="94"/>
        <v>LEX F&amp;I</v>
      </c>
      <c r="R978" s="315" t="str">
        <f t="shared" si="95"/>
        <v>LEX F&amp;ISalaries &amp; Commission per vehicle retailed</v>
      </c>
      <c r="S978" s="199"/>
      <c r="T978" s="199"/>
      <c r="U978" s="199"/>
    </row>
    <row r="979" spans="1:21" x14ac:dyDescent="0.25">
      <c r="A979" t="s">
        <v>996</v>
      </c>
      <c r="B979" t="s">
        <v>997</v>
      </c>
      <c r="C979" t="s">
        <v>1005</v>
      </c>
      <c r="D979">
        <v>7026</v>
      </c>
      <c r="E979">
        <v>260</v>
      </c>
      <c r="F979" t="s">
        <v>1247</v>
      </c>
      <c r="G979" t="s">
        <v>1248</v>
      </c>
      <c r="H979" s="315" t="s">
        <v>16</v>
      </c>
      <c r="I979" s="315" t="s">
        <v>1249</v>
      </c>
      <c r="J979" s="315" t="str">
        <f t="shared" si="91"/>
        <v>F&amp;ISalaries &amp; Commission per vehicle retailed</v>
      </c>
      <c r="K979" s="315" t="str">
        <f t="shared" si="92"/>
        <v>260F&amp;I Salaries &amp; Commission - Toyota</v>
      </c>
      <c r="L979" s="311">
        <f>+SUMIF('TUNZ Extracted TB'!M:M,$P979,'TUNZ Extracted TB'!G:G)</f>
        <v>0</v>
      </c>
      <c r="M979" s="311"/>
      <c r="N979" s="311">
        <f>+SUMIF('Input Sheet'!$AE:$AE,P979,'Input Sheet'!$X:$X)</f>
        <v>0</v>
      </c>
      <c r="O979" s="311"/>
      <c r="P979" t="str">
        <f t="shared" si="93"/>
        <v>260-7026</v>
      </c>
      <c r="Q979" s="315" t="str">
        <f t="shared" si="94"/>
        <v>F&amp;I</v>
      </c>
      <c r="R979" s="315" t="str">
        <f t="shared" si="95"/>
        <v>F&amp;ISalaries &amp; Commission per vehicle retailed</v>
      </c>
      <c r="S979" s="199"/>
      <c r="T979" s="199"/>
      <c r="U979" s="199"/>
    </row>
    <row r="980" spans="1:21" x14ac:dyDescent="0.25">
      <c r="A980" t="s">
        <v>996</v>
      </c>
      <c r="B980" t="s">
        <v>997</v>
      </c>
      <c r="C980" t="s">
        <v>1012</v>
      </c>
      <c r="D980">
        <v>7026</v>
      </c>
      <c r="E980">
        <v>460</v>
      </c>
      <c r="F980" t="s">
        <v>1247</v>
      </c>
      <c r="G980" t="s">
        <v>1248</v>
      </c>
      <c r="H980" s="315" t="s">
        <v>16</v>
      </c>
      <c r="I980" s="315" t="s">
        <v>1249</v>
      </c>
      <c r="J980" s="315" t="str">
        <f t="shared" si="91"/>
        <v>F&amp;ISalaries &amp; Commission per vehicle retailed</v>
      </c>
      <c r="K980" s="315" t="str">
        <f t="shared" si="92"/>
        <v>460F&amp;I Salaries &amp; Commission - Toyota</v>
      </c>
      <c r="L980" s="311">
        <f>+SUMIF('TUNZ Extracted TB'!M:M,$P980,'TUNZ Extracted TB'!G:G)</f>
        <v>0</v>
      </c>
      <c r="M980" s="311"/>
      <c r="N980" s="311">
        <f>+SUMIF('Input Sheet'!$AE:$AE,P980,'Input Sheet'!$X:$X)</f>
        <v>0</v>
      </c>
      <c r="O980" s="311"/>
      <c r="P980" t="str">
        <f t="shared" si="93"/>
        <v>460-7026</v>
      </c>
      <c r="Q980" s="315" t="str">
        <f t="shared" si="94"/>
        <v>F&amp;I</v>
      </c>
      <c r="R980" s="315" t="str">
        <f t="shared" si="95"/>
        <v>F&amp;ISalaries &amp; Commission per vehicle retailed</v>
      </c>
      <c r="S980" s="199"/>
      <c r="T980" s="199"/>
      <c r="U980" s="199"/>
    </row>
    <row r="981" spans="1:21" x14ac:dyDescent="0.25">
      <c r="A981" t="s">
        <v>996</v>
      </c>
      <c r="B981" t="s">
        <v>997</v>
      </c>
      <c r="C981" t="s">
        <v>1013</v>
      </c>
      <c r="D981">
        <v>7026</v>
      </c>
      <c r="E981">
        <v>360</v>
      </c>
      <c r="F981" t="s">
        <v>1247</v>
      </c>
      <c r="G981" t="s">
        <v>1248</v>
      </c>
      <c r="H981" s="315" t="s">
        <v>16</v>
      </c>
      <c r="I981" s="315" t="s">
        <v>1249</v>
      </c>
      <c r="J981" s="315" t="str">
        <f t="shared" si="91"/>
        <v>F&amp;ISalaries &amp; Commission per vehicle retailed</v>
      </c>
      <c r="K981" s="315" t="str">
        <f t="shared" si="92"/>
        <v>360F&amp;I Salaries &amp; Commission - Toyota</v>
      </c>
      <c r="L981" s="311">
        <f>+SUMIF('TUNZ Extracted TB'!M:M,$P981,'TUNZ Extracted TB'!G:G)</f>
        <v>0</v>
      </c>
      <c r="M981" s="311"/>
      <c r="N981" s="311">
        <f>+SUMIF('Input Sheet'!$AE:$AE,P981,'Input Sheet'!$X:$X)</f>
        <v>0</v>
      </c>
      <c r="O981" s="311"/>
      <c r="P981" t="str">
        <f t="shared" si="93"/>
        <v>360-7026</v>
      </c>
      <c r="Q981" s="315" t="str">
        <f t="shared" si="94"/>
        <v>F&amp;I</v>
      </c>
      <c r="R981" s="315" t="str">
        <f t="shared" si="95"/>
        <v>F&amp;ISalaries &amp; Commission per vehicle retailed</v>
      </c>
      <c r="S981" s="199"/>
      <c r="T981" s="199"/>
      <c r="U981" s="199"/>
    </row>
    <row r="982" spans="1:21" x14ac:dyDescent="0.25">
      <c r="A982" t="s">
        <v>996</v>
      </c>
      <c r="B982" t="s">
        <v>997</v>
      </c>
      <c r="C982" t="s">
        <v>997</v>
      </c>
      <c r="D982">
        <v>7026</v>
      </c>
      <c r="E982">
        <v>160</v>
      </c>
      <c r="F982" t="s">
        <v>1247</v>
      </c>
      <c r="G982" t="s">
        <v>1248</v>
      </c>
      <c r="H982" s="315" t="s">
        <v>16</v>
      </c>
      <c r="I982" s="315" t="s">
        <v>1249</v>
      </c>
      <c r="J982" s="315" t="str">
        <f t="shared" si="91"/>
        <v>F&amp;ISalaries &amp; Commission per vehicle retailed</v>
      </c>
      <c r="K982" s="315" t="str">
        <f t="shared" si="92"/>
        <v>160F&amp;I Salaries &amp; Commission - Toyota</v>
      </c>
      <c r="L982" s="311">
        <f>+SUMIF('TUNZ Extracted TB'!M:M,$P982,'TUNZ Extracted TB'!G:G)</f>
        <v>0</v>
      </c>
      <c r="M982" s="311"/>
      <c r="N982" s="311">
        <f>+SUMIF('Input Sheet'!$AE:$AE,P982,'Input Sheet'!$X:$X)</f>
        <v>0</v>
      </c>
      <c r="O982" s="311"/>
      <c r="P982" t="str">
        <f t="shared" si="93"/>
        <v>160-7026</v>
      </c>
      <c r="Q982" s="315" t="str">
        <f t="shared" si="94"/>
        <v>F&amp;I</v>
      </c>
      <c r="R982" s="315" t="str">
        <f t="shared" si="95"/>
        <v>F&amp;ISalaries &amp; Commission per vehicle retailed</v>
      </c>
      <c r="S982" s="199"/>
      <c r="T982" s="199"/>
      <c r="U982" s="199"/>
    </row>
    <row r="983" spans="1:21" x14ac:dyDescent="0.25">
      <c r="A983" t="s">
        <v>996</v>
      </c>
      <c r="B983" t="s">
        <v>997</v>
      </c>
      <c r="C983" t="s">
        <v>997</v>
      </c>
      <c r="D983">
        <v>7026</v>
      </c>
      <c r="E983">
        <v>170</v>
      </c>
      <c r="F983" t="s">
        <v>1247</v>
      </c>
      <c r="G983" t="s">
        <v>1248</v>
      </c>
      <c r="H983" s="315" t="s">
        <v>16</v>
      </c>
      <c r="I983" s="315" t="s">
        <v>1249</v>
      </c>
      <c r="J983" s="315" t="str">
        <f t="shared" si="91"/>
        <v>F&amp;ISalaries &amp; Commission per vehicle retailed</v>
      </c>
      <c r="K983" s="315" t="str">
        <f t="shared" si="92"/>
        <v>170F&amp;I Salaries &amp; Commission - Toyota</v>
      </c>
      <c r="L983" s="311">
        <f>+SUMIF('TUNZ Extracted TB'!M:M,$P983,'TUNZ Extracted TB'!G:G)</f>
        <v>0</v>
      </c>
      <c r="M983" s="311"/>
      <c r="N983" s="311">
        <f>+SUMIF('Input Sheet'!$AE:$AE,P983,'Input Sheet'!$X:$X)</f>
        <v>0</v>
      </c>
      <c r="O983" s="311"/>
      <c r="P983" t="str">
        <f t="shared" si="93"/>
        <v>170-7026</v>
      </c>
      <c r="Q983" s="315" t="str">
        <f t="shared" si="94"/>
        <v>F&amp;I</v>
      </c>
      <c r="R983" s="315" t="str">
        <f t="shared" si="95"/>
        <v>F&amp;ISalaries &amp; Commission per vehicle retailed</v>
      </c>
      <c r="S983" s="199"/>
      <c r="T983" s="199"/>
      <c r="U983" s="199"/>
    </row>
    <row r="984" spans="1:21" x14ac:dyDescent="0.25">
      <c r="A984" t="s">
        <v>996</v>
      </c>
      <c r="B984" t="s">
        <v>997</v>
      </c>
      <c r="C984" t="s">
        <v>997</v>
      </c>
      <c r="D984">
        <v>7026</v>
      </c>
      <c r="E984">
        <v>147</v>
      </c>
      <c r="F984" t="s">
        <v>1250</v>
      </c>
      <c r="G984" t="s">
        <v>1251</v>
      </c>
      <c r="H984" s="315" t="s">
        <v>17</v>
      </c>
      <c r="I984" s="315" t="s">
        <v>1252</v>
      </c>
      <c r="J984" s="315" t="str">
        <f t="shared" si="91"/>
        <v>ServiceSalaries, Commission &amp; Leave as % of Sales</v>
      </c>
      <c r="K984" s="315" t="str">
        <f t="shared" si="92"/>
        <v>147Service Salaries &amp; Commission - Toyota</v>
      </c>
      <c r="L984" s="311">
        <f>+SUMIF('TUNZ Extracted TB'!M:M,$P984,'TUNZ Extracted TB'!G:G)</f>
        <v>0</v>
      </c>
      <c r="M984" s="311"/>
      <c r="N984" s="311">
        <f>+SUMIF('Input Sheet'!$AE:$AE,P984,'Input Sheet'!$X:$X)</f>
        <v>0</v>
      </c>
      <c r="O984" s="311"/>
      <c r="P984" t="str">
        <f t="shared" si="93"/>
        <v>147-7026</v>
      </c>
      <c r="Q984" s="315" t="str">
        <f t="shared" si="94"/>
        <v>Service</v>
      </c>
      <c r="R984" s="315" t="str">
        <f t="shared" si="95"/>
        <v>ServiceSalaries, Commission &amp; Leave as % of Sales</v>
      </c>
      <c r="S984" s="199"/>
      <c r="T984" s="199"/>
      <c r="U984" s="199"/>
    </row>
    <row r="985" spans="1:21" x14ac:dyDescent="0.25">
      <c r="A985" t="s">
        <v>996</v>
      </c>
      <c r="B985" t="s">
        <v>997</v>
      </c>
      <c r="C985" t="s">
        <v>997</v>
      </c>
      <c r="D985">
        <v>7030</v>
      </c>
      <c r="E985">
        <v>100</v>
      </c>
      <c r="F985" t="s">
        <v>1277</v>
      </c>
      <c r="G985" t="s">
        <v>1278</v>
      </c>
      <c r="H985" s="315" t="s">
        <v>29</v>
      </c>
      <c r="I985" s="315" t="s">
        <v>1279</v>
      </c>
      <c r="J985" s="315" t="str">
        <f t="shared" si="91"/>
        <v>New VehicleOther Variable expenses p.u.</v>
      </c>
      <c r="K985" s="315" t="str">
        <f t="shared" si="92"/>
        <v>100NV Other variable expenses - Toyota</v>
      </c>
      <c r="L985" s="311">
        <f>+SUMIF('TUNZ Extracted TB'!M:M,$P985,'TUNZ Extracted TB'!G:G)</f>
        <v>0</v>
      </c>
      <c r="M985" s="311"/>
      <c r="N985" s="311">
        <f>+SUMIF('Input Sheet'!$AE:$AE,P985,'Input Sheet'!$X:$X)</f>
        <v>0</v>
      </c>
      <c r="O985" s="311"/>
      <c r="P985" t="str">
        <f t="shared" si="93"/>
        <v>100-7030</v>
      </c>
      <c r="Q985" s="315" t="str">
        <f t="shared" si="94"/>
        <v>New Vehicle</v>
      </c>
      <c r="R985" s="315" t="str">
        <f t="shared" si="95"/>
        <v>New VehicleOther Variable expenses p.u.</v>
      </c>
      <c r="S985" s="199"/>
      <c r="T985" s="199"/>
      <c r="U985" s="199"/>
    </row>
    <row r="986" spans="1:21" x14ac:dyDescent="0.25">
      <c r="A986" t="s">
        <v>996</v>
      </c>
      <c r="B986" t="s">
        <v>997</v>
      </c>
      <c r="C986" t="s">
        <v>997</v>
      </c>
      <c r="D986">
        <v>7030</v>
      </c>
      <c r="E986">
        <v>120</v>
      </c>
      <c r="F986" t="s">
        <v>1165</v>
      </c>
      <c r="G986" t="s">
        <v>1166</v>
      </c>
      <c r="H986" s="315" t="s">
        <v>30</v>
      </c>
      <c r="I986" s="315" t="s">
        <v>1167</v>
      </c>
      <c r="J986" s="315" t="str">
        <f t="shared" si="91"/>
        <v>Used VehicleOther Variable expenses per retail</v>
      </c>
      <c r="K986" s="315" t="str">
        <f t="shared" si="92"/>
        <v>120Toyota UV Other Variable expense</v>
      </c>
      <c r="L986" s="311">
        <f>+SUMIF('TUNZ Extracted TB'!M:M,$P986,'TUNZ Extracted TB'!G:G)</f>
        <v>800</v>
      </c>
      <c r="M986" s="311"/>
      <c r="N986" s="311">
        <f>+SUMIF('Input Sheet'!$AE:$AE,P986,'Input Sheet'!$X:$X)</f>
        <v>0</v>
      </c>
      <c r="O986" s="311"/>
      <c r="P986" t="str">
        <f t="shared" si="93"/>
        <v>120-7030</v>
      </c>
      <c r="Q986" s="315" t="str">
        <f t="shared" si="94"/>
        <v>Used Vehicle</v>
      </c>
      <c r="R986" s="315" t="str">
        <f t="shared" si="95"/>
        <v>Used VehicleOther Variable expenses per retail</v>
      </c>
      <c r="S986" s="199"/>
      <c r="T986" s="199"/>
      <c r="U986" s="199"/>
    </row>
    <row r="987" spans="1:21" x14ac:dyDescent="0.25">
      <c r="A987" t="s">
        <v>996</v>
      </c>
      <c r="B987" t="s">
        <v>997</v>
      </c>
      <c r="C987" t="s">
        <v>997</v>
      </c>
      <c r="D987">
        <v>7030</v>
      </c>
      <c r="E987">
        <v>122</v>
      </c>
      <c r="F987" t="s">
        <v>1282</v>
      </c>
      <c r="G987" t="s">
        <v>1283</v>
      </c>
      <c r="H987" s="315" t="s">
        <v>1041</v>
      </c>
      <c r="I987" s="315" t="s">
        <v>1167</v>
      </c>
      <c r="J987" s="315" t="str">
        <f t="shared" si="91"/>
        <v>LEX Used VehicleOther Variable expenses per retail</v>
      </c>
      <c r="K987" s="315" t="str">
        <f t="shared" si="92"/>
        <v>122Lexus UV Other Variable expense</v>
      </c>
      <c r="L987" s="311">
        <f>+SUMIF('TUNZ Extracted TB'!M:M,$P987,'TUNZ Extracted TB'!G:G)</f>
        <v>0</v>
      </c>
      <c r="M987" s="311"/>
      <c r="N987" s="311">
        <f>+SUMIF('Input Sheet'!$AE:$AE,P987,'Input Sheet'!$X:$X)</f>
        <v>0</v>
      </c>
      <c r="O987" s="311"/>
      <c r="P987" t="str">
        <f t="shared" si="93"/>
        <v>122-7030</v>
      </c>
      <c r="Q987" s="315" t="str">
        <f t="shared" si="94"/>
        <v>LEX Used Vehicle</v>
      </c>
      <c r="R987" s="315" t="str">
        <f t="shared" si="95"/>
        <v>LEX Used VehicleOther Variable expenses per retail</v>
      </c>
      <c r="S987" s="199"/>
      <c r="T987" s="199"/>
      <c r="U987" s="199"/>
    </row>
    <row r="988" spans="1:21" x14ac:dyDescent="0.25">
      <c r="A988" t="s">
        <v>996</v>
      </c>
      <c r="B988" t="s">
        <v>997</v>
      </c>
      <c r="C988" t="s">
        <v>997</v>
      </c>
      <c r="D988">
        <v>7030</v>
      </c>
      <c r="E988">
        <v>142</v>
      </c>
      <c r="F988" t="s">
        <v>1284</v>
      </c>
      <c r="G988" t="s">
        <v>1285</v>
      </c>
      <c r="H988" s="315" t="s">
        <v>1022</v>
      </c>
      <c r="I988" s="315" t="s">
        <v>1286</v>
      </c>
      <c r="J988" s="315" t="str">
        <f t="shared" si="91"/>
        <v>Lex ServiceOther Expenses as % of Sales</v>
      </c>
      <c r="K988" s="315" t="str">
        <f t="shared" si="92"/>
        <v>142Service Other expenses - Lexus</v>
      </c>
      <c r="L988" s="311">
        <f>+SUMIF('TUNZ Extracted TB'!M:M,$P988,'TUNZ Extracted TB'!G:G)</f>
        <v>0</v>
      </c>
      <c r="M988" s="311"/>
      <c r="N988" s="311">
        <f>+SUMIF('Input Sheet'!$AE:$AE,P988,'Input Sheet'!$X:$X)</f>
        <v>0</v>
      </c>
      <c r="O988" s="311"/>
      <c r="P988" t="str">
        <f t="shared" si="93"/>
        <v>142-7030</v>
      </c>
      <c r="Q988" s="315" t="str">
        <f t="shared" si="94"/>
        <v>Lex Service</v>
      </c>
      <c r="R988" s="315" t="str">
        <f t="shared" si="95"/>
        <v>Lex ServiceOther Expenses as % of Sales</v>
      </c>
      <c r="S988" s="199"/>
      <c r="T988" s="199"/>
      <c r="U988" s="199"/>
    </row>
    <row r="989" spans="1:21" x14ac:dyDescent="0.25">
      <c r="A989" t="s">
        <v>996</v>
      </c>
      <c r="B989" t="s">
        <v>997</v>
      </c>
      <c r="C989" t="s">
        <v>1005</v>
      </c>
      <c r="D989">
        <v>7030</v>
      </c>
      <c r="E989">
        <v>200</v>
      </c>
      <c r="F989" t="s">
        <v>1277</v>
      </c>
      <c r="G989" t="s">
        <v>1278</v>
      </c>
      <c r="H989" s="315" t="s">
        <v>29</v>
      </c>
      <c r="I989" s="315" t="s">
        <v>1279</v>
      </c>
      <c r="J989" s="315" t="str">
        <f t="shared" si="91"/>
        <v>New VehicleOther Variable expenses p.u.</v>
      </c>
      <c r="K989" s="315" t="str">
        <f t="shared" si="92"/>
        <v>200NV Other variable expenses - Toyota</v>
      </c>
      <c r="L989" s="311">
        <f>+SUMIF('TUNZ Extracted TB'!M:M,$P989,'TUNZ Extracted TB'!G:G)</f>
        <v>0</v>
      </c>
      <c r="M989" s="311"/>
      <c r="N989" s="311">
        <f>+SUMIF('Input Sheet'!$AE:$AE,P989,'Input Sheet'!$X:$X)</f>
        <v>0</v>
      </c>
      <c r="O989" s="311"/>
      <c r="P989" t="str">
        <f t="shared" si="93"/>
        <v>200-7030</v>
      </c>
      <c r="Q989" s="315" t="str">
        <f t="shared" si="94"/>
        <v>New Vehicle</v>
      </c>
      <c r="R989" s="315" t="str">
        <f t="shared" si="95"/>
        <v>New VehicleOther Variable expenses p.u.</v>
      </c>
      <c r="S989" s="199"/>
      <c r="T989" s="199"/>
      <c r="U989" s="199"/>
    </row>
    <row r="990" spans="1:21" x14ac:dyDescent="0.25">
      <c r="A990" t="s">
        <v>996</v>
      </c>
      <c r="B990" t="s">
        <v>997</v>
      </c>
      <c r="C990" t="s">
        <v>997</v>
      </c>
      <c r="D990">
        <v>7030</v>
      </c>
      <c r="E990">
        <v>110</v>
      </c>
      <c r="F990" t="s">
        <v>1165</v>
      </c>
      <c r="G990" t="s">
        <v>1166</v>
      </c>
      <c r="H990" s="315" t="s">
        <v>30</v>
      </c>
      <c r="I990" s="315" t="s">
        <v>1167</v>
      </c>
      <c r="J990" s="315" t="str">
        <f t="shared" si="91"/>
        <v>Used VehicleOther Variable expenses per retail</v>
      </c>
      <c r="K990" s="315" t="str">
        <f t="shared" si="92"/>
        <v>110Toyota UV Other Variable expense</v>
      </c>
      <c r="L990" s="311">
        <f>+SUMIF('TUNZ Extracted TB'!M:M,$P990,'TUNZ Extracted TB'!G:G)</f>
        <v>200</v>
      </c>
      <c r="M990" s="311"/>
      <c r="N990" s="311">
        <f>+SUMIF('Input Sheet'!$AE:$AE,P990,'Input Sheet'!$X:$X)</f>
        <v>0</v>
      </c>
      <c r="O990" s="311"/>
      <c r="P990" t="str">
        <f t="shared" si="93"/>
        <v>110-7030</v>
      </c>
      <c r="Q990" s="315" t="str">
        <f t="shared" si="94"/>
        <v>Used Vehicle</v>
      </c>
      <c r="R990" s="315" t="str">
        <f t="shared" si="95"/>
        <v>Used VehicleOther Variable expenses per retail</v>
      </c>
      <c r="S990" s="199"/>
      <c r="T990" s="199"/>
      <c r="U990" s="199"/>
    </row>
    <row r="991" spans="1:21" x14ac:dyDescent="0.25">
      <c r="A991" t="s">
        <v>996</v>
      </c>
      <c r="B991" t="s">
        <v>997</v>
      </c>
      <c r="C991" t="s">
        <v>1012</v>
      </c>
      <c r="D991">
        <v>7030</v>
      </c>
      <c r="E991">
        <v>400</v>
      </c>
      <c r="F991" t="s">
        <v>1277</v>
      </c>
      <c r="G991" t="s">
        <v>1278</v>
      </c>
      <c r="H991" s="315" t="s">
        <v>29</v>
      </c>
      <c r="I991" s="315" t="s">
        <v>1279</v>
      </c>
      <c r="J991" s="315" t="str">
        <f t="shared" si="91"/>
        <v>New VehicleOther Variable expenses p.u.</v>
      </c>
      <c r="K991" s="315" t="str">
        <f t="shared" si="92"/>
        <v>400NV Other variable expenses - Toyota</v>
      </c>
      <c r="L991" s="311">
        <f>+SUMIF('TUNZ Extracted TB'!M:M,$P991,'TUNZ Extracted TB'!G:G)</f>
        <v>0</v>
      </c>
      <c r="M991" s="311"/>
      <c r="N991" s="311">
        <f>+SUMIF('Input Sheet'!$AE:$AE,P991,'Input Sheet'!$X:$X)</f>
        <v>0</v>
      </c>
      <c r="O991" s="311"/>
      <c r="P991" t="str">
        <f t="shared" si="93"/>
        <v>400-7030</v>
      </c>
      <c r="Q991" s="315" t="str">
        <f t="shared" si="94"/>
        <v>New Vehicle</v>
      </c>
      <c r="R991" s="315" t="str">
        <f t="shared" si="95"/>
        <v>New VehicleOther Variable expenses p.u.</v>
      </c>
      <c r="S991" s="199"/>
      <c r="T991" s="199"/>
      <c r="U991" s="199"/>
    </row>
    <row r="992" spans="1:21" x14ac:dyDescent="0.25">
      <c r="A992" t="s">
        <v>996</v>
      </c>
      <c r="B992" t="s">
        <v>997</v>
      </c>
      <c r="C992" t="s">
        <v>1013</v>
      </c>
      <c r="D992">
        <v>7030</v>
      </c>
      <c r="E992">
        <v>300</v>
      </c>
      <c r="F992" t="s">
        <v>1277</v>
      </c>
      <c r="G992" t="s">
        <v>1278</v>
      </c>
      <c r="H992" s="315" t="s">
        <v>29</v>
      </c>
      <c r="I992" s="315" t="s">
        <v>1279</v>
      </c>
      <c r="J992" s="315" t="str">
        <f t="shared" si="91"/>
        <v>New VehicleOther Variable expenses p.u.</v>
      </c>
      <c r="K992" s="315" t="str">
        <f t="shared" si="92"/>
        <v>300NV Other variable expenses - Toyota</v>
      </c>
      <c r="L992" s="311">
        <f>+SUMIF('TUNZ Extracted TB'!M:M,$P992,'TUNZ Extracted TB'!G:G)</f>
        <v>0</v>
      </c>
      <c r="M992" s="311"/>
      <c r="N992" s="311">
        <f>+SUMIF('Input Sheet'!$AE:$AE,P992,'Input Sheet'!$X:$X)</f>
        <v>0</v>
      </c>
      <c r="O992" s="311"/>
      <c r="P992" t="str">
        <f t="shared" si="93"/>
        <v>300-7030</v>
      </c>
      <c r="Q992" s="315" t="str">
        <f t="shared" si="94"/>
        <v>New Vehicle</v>
      </c>
      <c r="R992" s="315" t="str">
        <f t="shared" si="95"/>
        <v>New VehicleOther Variable expenses p.u.</v>
      </c>
      <c r="S992" s="199"/>
      <c r="T992" s="199"/>
      <c r="U992" s="199"/>
    </row>
    <row r="993" spans="1:21" x14ac:dyDescent="0.25">
      <c r="A993" t="s">
        <v>996</v>
      </c>
      <c r="B993" t="s">
        <v>997</v>
      </c>
      <c r="C993" t="s">
        <v>997</v>
      </c>
      <c r="D993">
        <v>7040</v>
      </c>
      <c r="E993">
        <v>112</v>
      </c>
      <c r="F993" t="s">
        <v>1280</v>
      </c>
      <c r="G993" t="s">
        <v>1281</v>
      </c>
      <c r="H993" s="315" t="s">
        <v>1011</v>
      </c>
      <c r="I993" s="315" t="s">
        <v>1279</v>
      </c>
      <c r="J993" s="315" t="str">
        <f t="shared" si="91"/>
        <v>LEX New VehicleOther Variable expenses p.u.</v>
      </c>
      <c r="K993" s="315" t="str">
        <f t="shared" si="92"/>
        <v>112NV Other variable expenses - Lexus</v>
      </c>
      <c r="L993" s="311">
        <f>+SUMIF('TUNZ Extracted TB'!M:M,$P993,'TUNZ Extracted TB'!G:G)</f>
        <v>3002.3</v>
      </c>
      <c r="M993" s="311"/>
      <c r="N993" s="311">
        <f>+SUMIF('Input Sheet'!$AE:$AE,P993,'Input Sheet'!$X:$X)</f>
        <v>0</v>
      </c>
      <c r="O993" s="311"/>
      <c r="P993" t="str">
        <f t="shared" si="93"/>
        <v>112-7040</v>
      </c>
      <c r="Q993" s="315" t="str">
        <f t="shared" si="94"/>
        <v>LEX New Vehicle</v>
      </c>
      <c r="R993" s="315" t="str">
        <f t="shared" si="95"/>
        <v>LEX New VehicleOther Variable expenses p.u.</v>
      </c>
      <c r="S993" s="199"/>
      <c r="T993" s="199"/>
      <c r="U993" s="199"/>
    </row>
    <row r="994" spans="1:21" x14ac:dyDescent="0.25">
      <c r="A994" t="s">
        <v>996</v>
      </c>
      <c r="B994" t="s">
        <v>997</v>
      </c>
      <c r="C994" t="s">
        <v>997</v>
      </c>
      <c r="D994">
        <v>7040</v>
      </c>
      <c r="E994">
        <v>100</v>
      </c>
      <c r="F994" t="s">
        <v>1277</v>
      </c>
      <c r="G994" t="s">
        <v>1278</v>
      </c>
      <c r="H994" s="315" t="s">
        <v>29</v>
      </c>
      <c r="I994" s="315" t="s">
        <v>1279</v>
      </c>
      <c r="J994" s="315" t="str">
        <f t="shared" si="91"/>
        <v>New VehicleOther Variable expenses p.u.</v>
      </c>
      <c r="K994" s="315" t="str">
        <f t="shared" si="92"/>
        <v>100NV Other variable expenses - Toyota</v>
      </c>
      <c r="L994" s="311">
        <f>+SUMIF('TUNZ Extracted TB'!M:M,$P994,'TUNZ Extracted TB'!G:G)</f>
        <v>0</v>
      </c>
      <c r="M994" s="311"/>
      <c r="N994" s="311">
        <f>+SUMIF('Input Sheet'!$AE:$AE,P994,'Input Sheet'!$X:$X)</f>
        <v>0</v>
      </c>
      <c r="O994" s="311"/>
      <c r="P994" t="str">
        <f t="shared" si="93"/>
        <v>100-7040</v>
      </c>
      <c r="Q994" s="315" t="str">
        <f t="shared" si="94"/>
        <v>New Vehicle</v>
      </c>
      <c r="R994" s="315" t="str">
        <f t="shared" si="95"/>
        <v>New VehicleOther Variable expenses p.u.</v>
      </c>
      <c r="S994" s="199"/>
      <c r="T994" s="199"/>
      <c r="U994" s="199"/>
    </row>
    <row r="995" spans="1:21" x14ac:dyDescent="0.25">
      <c r="A995" t="s">
        <v>996</v>
      </c>
      <c r="B995" t="s">
        <v>997</v>
      </c>
      <c r="C995" t="s">
        <v>997</v>
      </c>
      <c r="D995">
        <v>7030</v>
      </c>
      <c r="E995">
        <v>170</v>
      </c>
      <c r="F995" t="s">
        <v>1098</v>
      </c>
      <c r="G995" t="s">
        <v>1099</v>
      </c>
      <c r="H995" s="315" t="s">
        <v>1000</v>
      </c>
      <c r="I995" s="315" t="s">
        <v>1001</v>
      </c>
      <c r="J995" s="315" t="str">
        <f t="shared" si="91"/>
        <v>Admin &amp; OtherOther Overheads as % of Total Gross Profit</v>
      </c>
      <c r="K995" s="315" t="str">
        <f t="shared" si="92"/>
        <v>170Other Income - Toyota</v>
      </c>
      <c r="L995" s="311">
        <f>+SUMIF('TUNZ Extracted TB'!M:M,$P995,'TUNZ Extracted TB'!G:G)</f>
        <v>0</v>
      </c>
      <c r="M995" s="311"/>
      <c r="N995" s="311">
        <f>+SUMIF('Input Sheet'!$AE:$AE,P995,'Input Sheet'!$X:$X)</f>
        <v>0</v>
      </c>
      <c r="O995" s="311"/>
      <c r="P995" t="str">
        <f t="shared" si="93"/>
        <v>170-7030</v>
      </c>
      <c r="Q995" s="315" t="str">
        <f t="shared" si="94"/>
        <v>Admin &amp; Other</v>
      </c>
      <c r="R995" s="315" t="str">
        <f t="shared" si="95"/>
        <v>Admin &amp; OtherOther Overheads as % of Total Gross Profit</v>
      </c>
      <c r="S995" s="199"/>
      <c r="T995" s="199"/>
      <c r="U995" s="199"/>
    </row>
    <row r="996" spans="1:21" x14ac:dyDescent="0.25">
      <c r="A996" t="s">
        <v>996</v>
      </c>
      <c r="B996" t="s">
        <v>997</v>
      </c>
      <c r="C996" t="s">
        <v>1012</v>
      </c>
      <c r="D996">
        <v>7030</v>
      </c>
      <c r="E996">
        <v>440</v>
      </c>
      <c r="F996" t="s">
        <v>1250</v>
      </c>
      <c r="G996" t="s">
        <v>1251</v>
      </c>
      <c r="H996" s="315" t="s">
        <v>17</v>
      </c>
      <c r="I996" s="315" t="s">
        <v>1252</v>
      </c>
      <c r="J996" s="315" t="str">
        <f t="shared" si="91"/>
        <v>ServiceSalaries, Commission &amp; Leave as % of Sales</v>
      </c>
      <c r="K996" s="315" t="str">
        <f t="shared" si="92"/>
        <v>440Service Salaries &amp; Commission - Toyota</v>
      </c>
      <c r="L996" s="311">
        <f>+SUMIF('TUNZ Extracted TB'!M:M,$P996,'TUNZ Extracted TB'!G:G)</f>
        <v>0</v>
      </c>
      <c r="M996" s="311"/>
      <c r="N996" s="311">
        <f>+SUMIF('Input Sheet'!$AE:$AE,P996,'Input Sheet'!$X:$X)</f>
        <v>0</v>
      </c>
      <c r="O996" s="311"/>
      <c r="P996" t="str">
        <f t="shared" si="93"/>
        <v>440-7030</v>
      </c>
      <c r="Q996" s="315" t="str">
        <f t="shared" si="94"/>
        <v>Service</v>
      </c>
      <c r="R996" s="315" t="str">
        <f t="shared" si="95"/>
        <v>ServiceSalaries, Commission &amp; Leave as % of Sales</v>
      </c>
      <c r="S996" s="199"/>
      <c r="T996" s="199"/>
      <c r="U996" s="199"/>
    </row>
    <row r="997" spans="1:21" x14ac:dyDescent="0.25">
      <c r="A997" t="s">
        <v>996</v>
      </c>
      <c r="B997" t="s">
        <v>997</v>
      </c>
      <c r="C997" t="s">
        <v>997</v>
      </c>
      <c r="D997">
        <v>7030</v>
      </c>
      <c r="E997">
        <v>147</v>
      </c>
      <c r="F997" t="s">
        <v>1250</v>
      </c>
      <c r="G997" t="s">
        <v>1251</v>
      </c>
      <c r="H997" s="315" t="s">
        <v>17</v>
      </c>
      <c r="I997" s="315" t="s">
        <v>1252</v>
      </c>
      <c r="J997" s="315" t="str">
        <f t="shared" si="91"/>
        <v>ServiceSalaries, Commission &amp; Leave as % of Sales</v>
      </c>
      <c r="K997" s="315" t="str">
        <f t="shared" si="92"/>
        <v>147Service Salaries &amp; Commission - Toyota</v>
      </c>
      <c r="L997" s="311">
        <f>+SUMIF('TUNZ Extracted TB'!M:M,$P997,'TUNZ Extracted TB'!G:G)</f>
        <v>0</v>
      </c>
      <c r="M997" s="311"/>
      <c r="N997" s="311">
        <f>+SUMIF('Input Sheet'!$AE:$AE,P997,'Input Sheet'!$X:$X)</f>
        <v>0</v>
      </c>
      <c r="O997" s="311"/>
      <c r="P997" t="str">
        <f t="shared" si="93"/>
        <v>147-7030</v>
      </c>
      <c r="Q997" s="315" t="str">
        <f t="shared" si="94"/>
        <v>Service</v>
      </c>
      <c r="R997" s="315" t="str">
        <f t="shared" si="95"/>
        <v>ServiceSalaries, Commission &amp; Leave as % of Sales</v>
      </c>
      <c r="S997" s="199"/>
      <c r="T997" s="199"/>
      <c r="U997" s="199"/>
    </row>
    <row r="998" spans="1:21" x14ac:dyDescent="0.25">
      <c r="A998" t="s">
        <v>996</v>
      </c>
      <c r="B998" t="s">
        <v>997</v>
      </c>
      <c r="C998" t="s">
        <v>1005</v>
      </c>
      <c r="D998">
        <v>7030</v>
      </c>
      <c r="E998">
        <v>220</v>
      </c>
      <c r="F998" t="s">
        <v>1165</v>
      </c>
      <c r="G998" t="s">
        <v>1166</v>
      </c>
      <c r="H998" s="315" t="s">
        <v>30</v>
      </c>
      <c r="I998" s="315" t="s">
        <v>1167</v>
      </c>
      <c r="J998" s="315" t="str">
        <f t="shared" si="91"/>
        <v>Used VehicleOther Variable expenses per retail</v>
      </c>
      <c r="K998" s="315" t="str">
        <f t="shared" si="92"/>
        <v>220Toyota UV Other Variable expense</v>
      </c>
      <c r="L998" s="311">
        <f>+SUMIF('TUNZ Extracted TB'!M:M,$P998,'TUNZ Extracted TB'!G:G)</f>
        <v>200</v>
      </c>
      <c r="M998" s="311"/>
      <c r="N998" s="311">
        <f>+SUMIF('Input Sheet'!$AE:$AE,P998,'Input Sheet'!$X:$X)</f>
        <v>0</v>
      </c>
      <c r="O998" s="311"/>
      <c r="P998" t="str">
        <f t="shared" si="93"/>
        <v>220-7030</v>
      </c>
      <c r="Q998" s="315" t="str">
        <f t="shared" si="94"/>
        <v>Used Vehicle</v>
      </c>
      <c r="R998" s="315" t="str">
        <f t="shared" si="95"/>
        <v>Used VehicleOther Variable expenses per retail</v>
      </c>
      <c r="S998" s="199"/>
      <c r="T998" s="199"/>
      <c r="U998" s="199"/>
    </row>
    <row r="999" spans="1:21" x14ac:dyDescent="0.25">
      <c r="A999" t="s">
        <v>996</v>
      </c>
      <c r="B999" t="s">
        <v>997</v>
      </c>
      <c r="C999" t="s">
        <v>997</v>
      </c>
      <c r="D999">
        <v>7030</v>
      </c>
      <c r="E999">
        <v>121</v>
      </c>
      <c r="F999" t="s">
        <v>1165</v>
      </c>
      <c r="G999" t="s">
        <v>1166</v>
      </c>
      <c r="H999" s="315" t="s">
        <v>30</v>
      </c>
      <c r="I999" s="315" t="s">
        <v>1167</v>
      </c>
      <c r="J999" s="315" t="str">
        <f t="shared" si="91"/>
        <v>Used VehicleOther Variable expenses per retail</v>
      </c>
      <c r="K999" s="315" t="str">
        <f t="shared" si="92"/>
        <v>121Toyota UV Other Variable expense</v>
      </c>
      <c r="L999" s="311">
        <f>+SUMIF('TUNZ Extracted TB'!M:M,$P999,'TUNZ Extracted TB'!G:G)</f>
        <v>0</v>
      </c>
      <c r="M999" s="311"/>
      <c r="N999" s="311">
        <f>+SUMIF('Input Sheet'!$AE:$AE,P999,'Input Sheet'!$X:$X)</f>
        <v>0</v>
      </c>
      <c r="O999" s="311"/>
      <c r="P999" t="str">
        <f t="shared" si="93"/>
        <v>121-7030</v>
      </c>
      <c r="Q999" s="315" t="str">
        <f t="shared" si="94"/>
        <v>Used Vehicle</v>
      </c>
      <c r="R999" s="315" t="str">
        <f t="shared" si="95"/>
        <v>Used VehicleOther Variable expenses per retail</v>
      </c>
      <c r="S999" s="199"/>
      <c r="T999" s="199"/>
      <c r="U999" s="199"/>
    </row>
    <row r="1000" spans="1:21" x14ac:dyDescent="0.25">
      <c r="A1000" t="s">
        <v>996</v>
      </c>
      <c r="B1000" t="s">
        <v>997</v>
      </c>
      <c r="C1000" t="s">
        <v>1005</v>
      </c>
      <c r="D1000">
        <v>7030</v>
      </c>
      <c r="E1000">
        <v>221</v>
      </c>
      <c r="F1000" t="s">
        <v>1165</v>
      </c>
      <c r="G1000" t="s">
        <v>1166</v>
      </c>
      <c r="H1000" s="315" t="s">
        <v>30</v>
      </c>
      <c r="I1000" s="315" t="s">
        <v>1167</v>
      </c>
      <c r="J1000" s="315" t="str">
        <f t="shared" si="91"/>
        <v>Used VehicleOther Variable expenses per retail</v>
      </c>
      <c r="K1000" s="315" t="str">
        <f t="shared" si="92"/>
        <v>221Toyota UV Other Variable expense</v>
      </c>
      <c r="L1000" s="311">
        <f>+SUMIF('TUNZ Extracted TB'!M:M,$P1000,'TUNZ Extracted TB'!G:G)</f>
        <v>0</v>
      </c>
      <c r="M1000" s="311"/>
      <c r="N1000" s="311">
        <f>+SUMIF('Input Sheet'!$AE:$AE,P1000,'Input Sheet'!$X:$X)</f>
        <v>0</v>
      </c>
      <c r="O1000" s="311"/>
      <c r="P1000" t="str">
        <f t="shared" si="93"/>
        <v>221-7030</v>
      </c>
      <c r="Q1000" s="315" t="str">
        <f t="shared" si="94"/>
        <v>Used Vehicle</v>
      </c>
      <c r="R1000" s="315" t="str">
        <f t="shared" si="95"/>
        <v>Used VehicleOther Variable expenses per retail</v>
      </c>
      <c r="S1000" s="199"/>
      <c r="T1000" s="199"/>
      <c r="U1000" s="199"/>
    </row>
    <row r="1001" spans="1:21" x14ac:dyDescent="0.25">
      <c r="A1001" t="s">
        <v>996</v>
      </c>
      <c r="B1001" t="s">
        <v>997</v>
      </c>
      <c r="C1001" t="s">
        <v>1012</v>
      </c>
      <c r="D1001">
        <v>7030</v>
      </c>
      <c r="E1001">
        <v>410</v>
      </c>
      <c r="F1001" t="s">
        <v>1165</v>
      </c>
      <c r="G1001" t="s">
        <v>1166</v>
      </c>
      <c r="H1001" s="315" t="s">
        <v>30</v>
      </c>
      <c r="I1001" s="315" t="s">
        <v>1167</v>
      </c>
      <c r="J1001" s="315" t="str">
        <f t="shared" si="91"/>
        <v>Used VehicleOther Variable expenses per retail</v>
      </c>
      <c r="K1001" s="315" t="str">
        <f t="shared" si="92"/>
        <v>410Toyota UV Other Variable expense</v>
      </c>
      <c r="L1001" s="311">
        <f>+SUMIF('TUNZ Extracted TB'!M:M,$P1001,'TUNZ Extracted TB'!G:G)</f>
        <v>0</v>
      </c>
      <c r="M1001" s="311"/>
      <c r="N1001" s="311">
        <f>+SUMIF('Input Sheet'!$AE:$AE,P1001,'Input Sheet'!$X:$X)</f>
        <v>0</v>
      </c>
      <c r="O1001" s="311"/>
      <c r="P1001" t="str">
        <f t="shared" si="93"/>
        <v>410-7030</v>
      </c>
      <c r="Q1001" s="315" t="str">
        <f t="shared" si="94"/>
        <v>Used Vehicle</v>
      </c>
      <c r="R1001" s="315" t="str">
        <f t="shared" si="95"/>
        <v>Used VehicleOther Variable expenses per retail</v>
      </c>
      <c r="S1001" s="199"/>
      <c r="T1001" s="199"/>
      <c r="U1001" s="199"/>
    </row>
    <row r="1002" spans="1:21" x14ac:dyDescent="0.25">
      <c r="A1002" t="s">
        <v>996</v>
      </c>
      <c r="B1002" t="s">
        <v>997</v>
      </c>
      <c r="C1002" t="s">
        <v>1012</v>
      </c>
      <c r="D1002">
        <v>7030</v>
      </c>
      <c r="E1002">
        <v>420</v>
      </c>
      <c r="F1002" t="s">
        <v>1165</v>
      </c>
      <c r="G1002" t="s">
        <v>1166</v>
      </c>
      <c r="H1002" s="315" t="s">
        <v>30</v>
      </c>
      <c r="I1002" s="315" t="s">
        <v>1167</v>
      </c>
      <c r="J1002" s="315" t="str">
        <f t="shared" si="91"/>
        <v>Used VehicleOther Variable expenses per retail</v>
      </c>
      <c r="K1002" s="315" t="str">
        <f t="shared" si="92"/>
        <v>420Toyota UV Other Variable expense</v>
      </c>
      <c r="L1002" s="311">
        <f>+SUMIF('TUNZ Extracted TB'!M:M,$P1002,'TUNZ Extracted TB'!G:G)</f>
        <v>0</v>
      </c>
      <c r="M1002" s="311"/>
      <c r="N1002" s="311">
        <f>+SUMIF('Input Sheet'!$AE:$AE,P1002,'Input Sheet'!$X:$X)</f>
        <v>0</v>
      </c>
      <c r="O1002" s="311"/>
      <c r="P1002" t="str">
        <f t="shared" si="93"/>
        <v>420-7030</v>
      </c>
      <c r="Q1002" s="315" t="str">
        <f t="shared" si="94"/>
        <v>Used Vehicle</v>
      </c>
      <c r="R1002" s="315" t="str">
        <f t="shared" si="95"/>
        <v>Used VehicleOther Variable expenses per retail</v>
      </c>
      <c r="S1002" s="199"/>
      <c r="T1002" s="199"/>
      <c r="U1002" s="199"/>
    </row>
    <row r="1003" spans="1:21" x14ac:dyDescent="0.25">
      <c r="A1003" t="s">
        <v>996</v>
      </c>
      <c r="B1003" t="s">
        <v>997</v>
      </c>
      <c r="C1003" t="s">
        <v>1012</v>
      </c>
      <c r="D1003">
        <v>7030</v>
      </c>
      <c r="E1003">
        <v>421</v>
      </c>
      <c r="F1003" t="s">
        <v>1165</v>
      </c>
      <c r="G1003" t="s">
        <v>1166</v>
      </c>
      <c r="H1003" s="315" t="s">
        <v>30</v>
      </c>
      <c r="I1003" s="315" t="s">
        <v>1167</v>
      </c>
      <c r="J1003" s="315" t="str">
        <f t="shared" si="91"/>
        <v>Used VehicleOther Variable expenses per retail</v>
      </c>
      <c r="K1003" s="315" t="str">
        <f t="shared" si="92"/>
        <v>421Toyota UV Other Variable expense</v>
      </c>
      <c r="L1003" s="311">
        <f>+SUMIF('TUNZ Extracted TB'!M:M,$P1003,'TUNZ Extracted TB'!G:G)</f>
        <v>0</v>
      </c>
      <c r="M1003" s="311"/>
      <c r="N1003" s="311">
        <f>+SUMIF('Input Sheet'!$AE:$AE,P1003,'Input Sheet'!$X:$X)</f>
        <v>0</v>
      </c>
      <c r="O1003" s="311"/>
      <c r="P1003" t="str">
        <f t="shared" si="93"/>
        <v>421-7030</v>
      </c>
      <c r="Q1003" s="315" t="str">
        <f t="shared" si="94"/>
        <v>Used Vehicle</v>
      </c>
      <c r="R1003" s="315" t="str">
        <f t="shared" si="95"/>
        <v>Used VehicleOther Variable expenses per retail</v>
      </c>
      <c r="S1003" s="199"/>
      <c r="T1003" s="199"/>
      <c r="U1003" s="199"/>
    </row>
    <row r="1004" spans="1:21" x14ac:dyDescent="0.25">
      <c r="A1004" t="s">
        <v>996</v>
      </c>
      <c r="B1004" t="s">
        <v>997</v>
      </c>
      <c r="C1004" t="s">
        <v>1013</v>
      </c>
      <c r="D1004">
        <v>7030</v>
      </c>
      <c r="E1004">
        <v>310</v>
      </c>
      <c r="F1004" t="s">
        <v>1165</v>
      </c>
      <c r="G1004" t="s">
        <v>1166</v>
      </c>
      <c r="H1004" s="315" t="s">
        <v>30</v>
      </c>
      <c r="I1004" s="315" t="s">
        <v>1167</v>
      </c>
      <c r="J1004" s="315" t="str">
        <f t="shared" si="91"/>
        <v>Used VehicleOther Variable expenses per retail</v>
      </c>
      <c r="K1004" s="315" t="str">
        <f t="shared" si="92"/>
        <v>310Toyota UV Other Variable expense</v>
      </c>
      <c r="L1004" s="311">
        <f>+SUMIF('TUNZ Extracted TB'!M:M,$P1004,'TUNZ Extracted TB'!G:G)</f>
        <v>0</v>
      </c>
      <c r="M1004" s="311"/>
      <c r="N1004" s="311">
        <f>+SUMIF('Input Sheet'!$AE:$AE,P1004,'Input Sheet'!$X:$X)</f>
        <v>0</v>
      </c>
      <c r="O1004" s="311"/>
      <c r="P1004" t="str">
        <f t="shared" si="93"/>
        <v>310-7030</v>
      </c>
      <c r="Q1004" s="315" t="str">
        <f t="shared" si="94"/>
        <v>Used Vehicle</v>
      </c>
      <c r="R1004" s="315" t="str">
        <f t="shared" si="95"/>
        <v>Used VehicleOther Variable expenses per retail</v>
      </c>
      <c r="S1004" s="199"/>
      <c r="T1004" s="199"/>
      <c r="U1004" s="199"/>
    </row>
    <row r="1005" spans="1:21" x14ac:dyDescent="0.25">
      <c r="A1005" t="s">
        <v>996</v>
      </c>
      <c r="B1005" t="s">
        <v>997</v>
      </c>
      <c r="C1005" t="s">
        <v>1013</v>
      </c>
      <c r="D1005">
        <v>7030</v>
      </c>
      <c r="E1005">
        <v>321</v>
      </c>
      <c r="F1005" t="s">
        <v>1165</v>
      </c>
      <c r="G1005" t="s">
        <v>1166</v>
      </c>
      <c r="H1005" s="315" t="s">
        <v>30</v>
      </c>
      <c r="I1005" s="315" t="s">
        <v>1167</v>
      </c>
      <c r="J1005" s="315" t="str">
        <f t="shared" si="91"/>
        <v>Used VehicleOther Variable expenses per retail</v>
      </c>
      <c r="K1005" s="315" t="str">
        <f t="shared" si="92"/>
        <v>321Toyota UV Other Variable expense</v>
      </c>
      <c r="L1005" s="311">
        <f>+SUMIF('TUNZ Extracted TB'!M:M,$P1005,'TUNZ Extracted TB'!G:G)</f>
        <v>0</v>
      </c>
      <c r="M1005" s="311"/>
      <c r="N1005" s="311">
        <f>+SUMIF('Input Sheet'!$AE:$AE,P1005,'Input Sheet'!$X:$X)</f>
        <v>0</v>
      </c>
      <c r="O1005" s="311"/>
      <c r="P1005" t="str">
        <f t="shared" si="93"/>
        <v>321-7030</v>
      </c>
      <c r="Q1005" s="315" t="str">
        <f t="shared" si="94"/>
        <v>Used Vehicle</v>
      </c>
      <c r="R1005" s="315" t="str">
        <f t="shared" si="95"/>
        <v>Used VehicleOther Variable expenses per retail</v>
      </c>
      <c r="S1005" s="199"/>
      <c r="T1005" s="199"/>
      <c r="U1005" s="199"/>
    </row>
    <row r="1006" spans="1:21" x14ac:dyDescent="0.25">
      <c r="A1006" t="s">
        <v>996</v>
      </c>
      <c r="B1006" t="s">
        <v>997</v>
      </c>
      <c r="C1006" t="s">
        <v>1005</v>
      </c>
      <c r="D1006">
        <v>7040</v>
      </c>
      <c r="E1006">
        <v>210</v>
      </c>
      <c r="F1006" t="s">
        <v>1287</v>
      </c>
      <c r="G1006" t="s">
        <v>1288</v>
      </c>
      <c r="H1006" s="315" t="s">
        <v>30</v>
      </c>
      <c r="I1006" s="315" t="s">
        <v>1016</v>
      </c>
      <c r="J1006" s="315" t="str">
        <f t="shared" si="91"/>
        <v>Used VehicleEx NV demonstrators gross profit p.u.</v>
      </c>
      <c r="K1006" s="315" t="str">
        <f t="shared" si="92"/>
        <v>210Ex-Toyota NV demonstrator Cost of Sales</v>
      </c>
      <c r="L1006" s="311">
        <f>+SUMIF('TUNZ Extracted TB'!M:M,$P1006,'TUNZ Extracted TB'!G:G)</f>
        <v>1162.08</v>
      </c>
      <c r="M1006" s="311"/>
      <c r="N1006" s="311">
        <f>+SUMIF('Input Sheet'!$AE:$AE,P1006,'Input Sheet'!$X:$X)</f>
        <v>0</v>
      </c>
      <c r="O1006" s="311"/>
      <c r="P1006" t="str">
        <f t="shared" si="93"/>
        <v>210-7040</v>
      </c>
      <c r="Q1006" s="315" t="str">
        <f t="shared" si="94"/>
        <v>Used Vehicle</v>
      </c>
      <c r="R1006" s="315" t="str">
        <f t="shared" si="95"/>
        <v>Used VehicleEx NV demonstrators gross profit p.u.</v>
      </c>
      <c r="S1006" s="199"/>
      <c r="T1006" s="199"/>
      <c r="U1006" s="199"/>
    </row>
    <row r="1007" spans="1:21" x14ac:dyDescent="0.25">
      <c r="A1007" t="s">
        <v>996</v>
      </c>
      <c r="B1007" t="s">
        <v>997</v>
      </c>
      <c r="C1007" t="s">
        <v>997</v>
      </c>
      <c r="D1007">
        <v>7040</v>
      </c>
      <c r="E1007">
        <v>120</v>
      </c>
      <c r="F1007" t="s">
        <v>1165</v>
      </c>
      <c r="G1007" t="s">
        <v>1166</v>
      </c>
      <c r="H1007" s="315" t="s">
        <v>30</v>
      </c>
      <c r="I1007" s="315" t="s">
        <v>1167</v>
      </c>
      <c r="J1007" s="315" t="str">
        <f t="shared" si="91"/>
        <v>Used VehicleOther Variable expenses per retail</v>
      </c>
      <c r="K1007" s="315" t="str">
        <f t="shared" si="92"/>
        <v>120Toyota UV Other Variable expense</v>
      </c>
      <c r="L1007" s="311">
        <f>+SUMIF('TUNZ Extracted TB'!M:M,$P1007,'TUNZ Extracted TB'!G:G)</f>
        <v>600</v>
      </c>
      <c r="M1007" s="311"/>
      <c r="N1007" s="311">
        <f>+SUMIF('Input Sheet'!$AE:$AE,P1007,'Input Sheet'!$X:$X)</f>
        <v>0</v>
      </c>
      <c r="O1007" s="311"/>
      <c r="P1007" t="str">
        <f t="shared" si="93"/>
        <v>120-7040</v>
      </c>
      <c r="Q1007" s="315" t="str">
        <f t="shared" si="94"/>
        <v>Used Vehicle</v>
      </c>
      <c r="R1007" s="315" t="str">
        <f t="shared" si="95"/>
        <v>Used VehicleOther Variable expenses per retail</v>
      </c>
      <c r="S1007" s="199"/>
      <c r="T1007" s="199"/>
      <c r="U1007" s="199"/>
    </row>
    <row r="1008" spans="1:21" x14ac:dyDescent="0.25">
      <c r="A1008" t="s">
        <v>996</v>
      </c>
      <c r="B1008" t="s">
        <v>997</v>
      </c>
      <c r="C1008" t="s">
        <v>1005</v>
      </c>
      <c r="D1008">
        <v>7040</v>
      </c>
      <c r="E1008">
        <v>220</v>
      </c>
      <c r="F1008" t="s">
        <v>1165</v>
      </c>
      <c r="G1008" t="s">
        <v>1166</v>
      </c>
      <c r="H1008" s="315" t="s">
        <v>30</v>
      </c>
      <c r="I1008" s="315" t="s">
        <v>1167</v>
      </c>
      <c r="J1008" s="315" t="str">
        <f t="shared" si="91"/>
        <v>Used VehicleOther Variable expenses per retail</v>
      </c>
      <c r="K1008" s="315" t="str">
        <f t="shared" si="92"/>
        <v>220Toyota UV Other Variable expense</v>
      </c>
      <c r="L1008" s="311">
        <f>+SUMIF('TUNZ Extracted TB'!M:M,$P1008,'TUNZ Extracted TB'!G:G)</f>
        <v>557.09</v>
      </c>
      <c r="M1008" s="311"/>
      <c r="N1008" s="311">
        <f>+SUMIF('Input Sheet'!$AE:$AE,P1008,'Input Sheet'!$X:$X)</f>
        <v>0</v>
      </c>
      <c r="O1008" s="311"/>
      <c r="P1008" t="str">
        <f t="shared" si="93"/>
        <v>220-7040</v>
      </c>
      <c r="Q1008" s="315" t="str">
        <f t="shared" si="94"/>
        <v>Used Vehicle</v>
      </c>
      <c r="R1008" s="315" t="str">
        <f t="shared" si="95"/>
        <v>Used VehicleOther Variable expenses per retail</v>
      </c>
      <c r="S1008" s="199"/>
      <c r="T1008" s="199"/>
      <c r="U1008" s="199"/>
    </row>
    <row r="1009" spans="1:21" x14ac:dyDescent="0.25">
      <c r="A1009" t="s">
        <v>996</v>
      </c>
      <c r="B1009" t="s">
        <v>997</v>
      </c>
      <c r="C1009" t="s">
        <v>997</v>
      </c>
      <c r="D1009">
        <v>7040</v>
      </c>
      <c r="E1009">
        <v>122</v>
      </c>
      <c r="F1009" t="s">
        <v>1282</v>
      </c>
      <c r="G1009" t="s">
        <v>1283</v>
      </c>
      <c r="H1009" s="315" t="s">
        <v>1041</v>
      </c>
      <c r="I1009" s="315" t="s">
        <v>1167</v>
      </c>
      <c r="J1009" s="315" t="str">
        <f t="shared" si="91"/>
        <v>LEX Used VehicleOther Variable expenses per retail</v>
      </c>
      <c r="K1009" s="315" t="str">
        <f t="shared" si="92"/>
        <v>122Lexus UV Other Variable expense</v>
      </c>
      <c r="L1009" s="311">
        <f>+SUMIF('TUNZ Extracted TB'!M:M,$P1009,'TUNZ Extracted TB'!G:G)</f>
        <v>1287</v>
      </c>
      <c r="M1009" s="311"/>
      <c r="N1009" s="311">
        <f>+SUMIF('Input Sheet'!$AE:$AE,P1009,'Input Sheet'!$X:$X)</f>
        <v>0</v>
      </c>
      <c r="O1009" s="311"/>
      <c r="P1009" t="str">
        <f t="shared" si="93"/>
        <v>122-7040</v>
      </c>
      <c r="Q1009" s="315" t="str">
        <f t="shared" si="94"/>
        <v>LEX Used Vehicle</v>
      </c>
      <c r="R1009" s="315" t="str">
        <f t="shared" si="95"/>
        <v>LEX Used VehicleOther Variable expenses per retail</v>
      </c>
      <c r="S1009" s="199"/>
      <c r="T1009" s="199"/>
      <c r="U1009" s="199"/>
    </row>
    <row r="1010" spans="1:21" x14ac:dyDescent="0.25">
      <c r="A1010" t="s">
        <v>996</v>
      </c>
      <c r="B1010" t="s">
        <v>997</v>
      </c>
      <c r="C1010" t="s">
        <v>997</v>
      </c>
      <c r="D1010">
        <v>7040</v>
      </c>
      <c r="E1010">
        <v>142</v>
      </c>
      <c r="F1010" t="s">
        <v>1284</v>
      </c>
      <c r="G1010" t="s">
        <v>1285</v>
      </c>
      <c r="H1010" s="315" t="s">
        <v>1022</v>
      </c>
      <c r="I1010" s="315" t="s">
        <v>1286</v>
      </c>
      <c r="J1010" s="315" t="str">
        <f t="shared" si="91"/>
        <v>Lex ServiceOther Expenses as % of Sales</v>
      </c>
      <c r="K1010" s="315" t="str">
        <f t="shared" si="92"/>
        <v>142Service Other expenses - Lexus</v>
      </c>
      <c r="L1010" s="311">
        <f>+SUMIF('TUNZ Extracted TB'!M:M,$P1010,'TUNZ Extracted TB'!G:G)</f>
        <v>0</v>
      </c>
      <c r="M1010" s="311"/>
      <c r="N1010" s="311">
        <f>+SUMIF('Input Sheet'!$AE:$AE,P1010,'Input Sheet'!$X:$X)</f>
        <v>0</v>
      </c>
      <c r="O1010" s="311"/>
      <c r="P1010" t="str">
        <f t="shared" si="93"/>
        <v>142-7040</v>
      </c>
      <c r="Q1010" s="315" t="str">
        <f t="shared" si="94"/>
        <v>Lex Service</v>
      </c>
      <c r="R1010" s="315" t="str">
        <f t="shared" si="95"/>
        <v>Lex ServiceOther Expenses as % of Sales</v>
      </c>
      <c r="S1010" s="199"/>
      <c r="T1010" s="199"/>
      <c r="U1010" s="199"/>
    </row>
    <row r="1011" spans="1:21" x14ac:dyDescent="0.25">
      <c r="A1011" t="s">
        <v>996</v>
      </c>
      <c r="B1011" t="s">
        <v>997</v>
      </c>
      <c r="C1011" t="s">
        <v>997</v>
      </c>
      <c r="D1011">
        <v>7040</v>
      </c>
      <c r="E1011">
        <v>110</v>
      </c>
      <c r="F1011" t="s">
        <v>1287</v>
      </c>
      <c r="G1011" t="s">
        <v>1288</v>
      </c>
      <c r="H1011" s="315" t="s">
        <v>30</v>
      </c>
      <c r="I1011" s="315" t="s">
        <v>1016</v>
      </c>
      <c r="J1011" s="315" t="str">
        <f t="shared" si="91"/>
        <v>Used VehicleEx NV demonstrators gross profit p.u.</v>
      </c>
      <c r="K1011" s="315" t="str">
        <f t="shared" si="92"/>
        <v>110Ex-Toyota NV demonstrator Cost of Sales</v>
      </c>
      <c r="L1011" s="311">
        <f>+SUMIF('TUNZ Extracted TB'!M:M,$P1011,'TUNZ Extracted TB'!G:G)</f>
        <v>3391.26</v>
      </c>
      <c r="M1011" s="311"/>
      <c r="N1011" s="311">
        <f>+SUMIF('Input Sheet'!$AE:$AE,P1011,'Input Sheet'!$X:$X)</f>
        <v>0</v>
      </c>
      <c r="O1011" s="311"/>
      <c r="P1011" t="str">
        <f t="shared" si="93"/>
        <v>110-7040</v>
      </c>
      <c r="Q1011" s="315" t="str">
        <f t="shared" si="94"/>
        <v>Used Vehicle</v>
      </c>
      <c r="R1011" s="315" t="str">
        <f t="shared" si="95"/>
        <v>Used VehicleEx NV demonstrators gross profit p.u.</v>
      </c>
      <c r="S1011" s="199"/>
      <c r="T1011" s="199"/>
      <c r="U1011" s="199"/>
    </row>
    <row r="1012" spans="1:21" x14ac:dyDescent="0.25">
      <c r="A1012" t="s">
        <v>996</v>
      </c>
      <c r="B1012" t="s">
        <v>997</v>
      </c>
      <c r="C1012" t="s">
        <v>1005</v>
      </c>
      <c r="D1012">
        <v>7040</v>
      </c>
      <c r="E1012">
        <v>200</v>
      </c>
      <c r="F1012" t="s">
        <v>1277</v>
      </c>
      <c r="G1012" t="s">
        <v>1278</v>
      </c>
      <c r="H1012" s="315" t="s">
        <v>29</v>
      </c>
      <c r="I1012" s="315" t="s">
        <v>1279</v>
      </c>
      <c r="J1012" s="315" t="str">
        <f t="shared" si="91"/>
        <v>New VehicleOther Variable expenses p.u.</v>
      </c>
      <c r="K1012" s="315" t="str">
        <f t="shared" si="92"/>
        <v>200NV Other variable expenses - Toyota</v>
      </c>
      <c r="L1012" s="311">
        <f>+SUMIF('TUNZ Extracted TB'!M:M,$P1012,'TUNZ Extracted TB'!G:G)</f>
        <v>0</v>
      </c>
      <c r="M1012" s="311"/>
      <c r="N1012" s="311">
        <f>+SUMIF('Input Sheet'!$AE:$AE,P1012,'Input Sheet'!$X:$X)</f>
        <v>0</v>
      </c>
      <c r="O1012" s="311"/>
      <c r="P1012" t="str">
        <f t="shared" si="93"/>
        <v>200-7040</v>
      </c>
      <c r="Q1012" s="315" t="str">
        <f t="shared" si="94"/>
        <v>New Vehicle</v>
      </c>
      <c r="R1012" s="315" t="str">
        <f t="shared" si="95"/>
        <v>New VehicleOther Variable expenses p.u.</v>
      </c>
      <c r="S1012" s="199"/>
      <c r="T1012" s="199"/>
      <c r="U1012" s="199"/>
    </row>
    <row r="1013" spans="1:21" x14ac:dyDescent="0.25">
      <c r="A1013" t="s">
        <v>996</v>
      </c>
      <c r="B1013" t="s">
        <v>997</v>
      </c>
      <c r="C1013" t="s">
        <v>1012</v>
      </c>
      <c r="D1013">
        <v>7040</v>
      </c>
      <c r="E1013">
        <v>400</v>
      </c>
      <c r="F1013" t="s">
        <v>1277</v>
      </c>
      <c r="G1013" t="s">
        <v>1278</v>
      </c>
      <c r="H1013" s="315" t="s">
        <v>29</v>
      </c>
      <c r="I1013" s="315" t="s">
        <v>1279</v>
      </c>
      <c r="J1013" s="315" t="str">
        <f t="shared" si="91"/>
        <v>New VehicleOther Variable expenses p.u.</v>
      </c>
      <c r="K1013" s="315" t="str">
        <f t="shared" si="92"/>
        <v>400NV Other variable expenses - Toyota</v>
      </c>
      <c r="L1013" s="311">
        <f>+SUMIF('TUNZ Extracted TB'!M:M,$P1013,'TUNZ Extracted TB'!G:G)</f>
        <v>0</v>
      </c>
      <c r="M1013" s="311"/>
      <c r="N1013" s="311">
        <f>+SUMIF('Input Sheet'!$AE:$AE,P1013,'Input Sheet'!$X:$X)</f>
        <v>0</v>
      </c>
      <c r="O1013" s="311"/>
      <c r="P1013" t="str">
        <f t="shared" si="93"/>
        <v>400-7040</v>
      </c>
      <c r="Q1013" s="315" t="str">
        <f t="shared" si="94"/>
        <v>New Vehicle</v>
      </c>
      <c r="R1013" s="315" t="str">
        <f t="shared" si="95"/>
        <v>New VehicleOther Variable expenses p.u.</v>
      </c>
      <c r="S1013" s="199"/>
      <c r="T1013" s="199"/>
      <c r="U1013" s="199"/>
    </row>
    <row r="1014" spans="1:21" x14ac:dyDescent="0.25">
      <c r="A1014" t="s">
        <v>996</v>
      </c>
      <c r="B1014" t="s">
        <v>997</v>
      </c>
      <c r="C1014" t="s">
        <v>1012</v>
      </c>
      <c r="D1014">
        <v>7040</v>
      </c>
      <c r="E1014">
        <v>410</v>
      </c>
      <c r="F1014" t="s">
        <v>1287</v>
      </c>
      <c r="G1014" t="s">
        <v>1288</v>
      </c>
      <c r="H1014" s="315" t="s">
        <v>30</v>
      </c>
      <c r="I1014" s="315" t="s">
        <v>1016</v>
      </c>
      <c r="J1014" s="315" t="str">
        <f t="shared" si="91"/>
        <v>Used VehicleEx NV demonstrators gross profit p.u.</v>
      </c>
      <c r="K1014" s="315" t="str">
        <f t="shared" si="92"/>
        <v>410Ex-Toyota NV demonstrator Cost of Sales</v>
      </c>
      <c r="L1014" s="311">
        <f>+SUMIF('TUNZ Extracted TB'!M:M,$P1014,'TUNZ Extracted TB'!G:G)</f>
        <v>0</v>
      </c>
      <c r="M1014" s="311"/>
      <c r="N1014" s="311">
        <f>+SUMIF('Input Sheet'!$AE:$AE,P1014,'Input Sheet'!$X:$X)</f>
        <v>0</v>
      </c>
      <c r="O1014" s="311"/>
      <c r="P1014" t="str">
        <f t="shared" si="93"/>
        <v>410-7040</v>
      </c>
      <c r="Q1014" s="315" t="str">
        <f t="shared" si="94"/>
        <v>Used Vehicle</v>
      </c>
      <c r="R1014" s="315" t="str">
        <f t="shared" si="95"/>
        <v>Used VehicleEx NV demonstrators gross profit p.u.</v>
      </c>
      <c r="S1014" s="199"/>
      <c r="T1014" s="199"/>
      <c r="U1014" s="199"/>
    </row>
    <row r="1015" spans="1:21" x14ac:dyDescent="0.25">
      <c r="A1015" t="s">
        <v>996</v>
      </c>
      <c r="B1015" t="s">
        <v>997</v>
      </c>
      <c r="C1015" t="s">
        <v>1013</v>
      </c>
      <c r="D1015">
        <v>7040</v>
      </c>
      <c r="E1015">
        <v>310</v>
      </c>
      <c r="F1015" t="s">
        <v>1287</v>
      </c>
      <c r="G1015" t="s">
        <v>1288</v>
      </c>
      <c r="H1015" s="315" t="s">
        <v>30</v>
      </c>
      <c r="I1015" s="315" t="s">
        <v>1016</v>
      </c>
      <c r="J1015" s="315" t="str">
        <f t="shared" si="91"/>
        <v>Used VehicleEx NV demonstrators gross profit p.u.</v>
      </c>
      <c r="K1015" s="315" t="str">
        <f t="shared" si="92"/>
        <v>310Ex-Toyota NV demonstrator Cost of Sales</v>
      </c>
      <c r="L1015" s="311">
        <f>+SUMIF('TUNZ Extracted TB'!M:M,$P1015,'TUNZ Extracted TB'!G:G)</f>
        <v>0</v>
      </c>
      <c r="M1015" s="311"/>
      <c r="N1015" s="311">
        <f>+SUMIF('Input Sheet'!$AE:$AE,P1015,'Input Sheet'!$X:$X)</f>
        <v>0</v>
      </c>
      <c r="O1015" s="311"/>
      <c r="P1015" t="str">
        <f t="shared" si="93"/>
        <v>310-7040</v>
      </c>
      <c r="Q1015" s="315" t="str">
        <f t="shared" si="94"/>
        <v>Used Vehicle</v>
      </c>
      <c r="R1015" s="315" t="str">
        <f t="shared" si="95"/>
        <v>Used VehicleEx NV demonstrators gross profit p.u.</v>
      </c>
      <c r="S1015" s="199"/>
      <c r="T1015" s="199"/>
      <c r="U1015" s="199"/>
    </row>
    <row r="1016" spans="1:21" x14ac:dyDescent="0.25">
      <c r="A1016" t="s">
        <v>996</v>
      </c>
      <c r="B1016" t="s">
        <v>997</v>
      </c>
      <c r="C1016" t="s">
        <v>997</v>
      </c>
      <c r="D1016">
        <v>7040</v>
      </c>
      <c r="E1016">
        <v>170</v>
      </c>
      <c r="F1016" t="s">
        <v>998</v>
      </c>
      <c r="G1016" t="s">
        <v>999</v>
      </c>
      <c r="H1016" s="315" t="s">
        <v>1000</v>
      </c>
      <c r="I1016" s="315" t="s">
        <v>1001</v>
      </c>
      <c r="J1016" s="315" t="str">
        <f t="shared" si="91"/>
        <v>Admin &amp; OtherOther Overheads as % of Total Gross Profit</v>
      </c>
      <c r="K1016" s="315" t="str">
        <f t="shared" si="92"/>
        <v>170Miscellaneous expenses - Toyota</v>
      </c>
      <c r="L1016" s="311">
        <f>+SUMIF('TUNZ Extracted TB'!M:M,$P1016,'TUNZ Extracted TB'!G:G)</f>
        <v>0</v>
      </c>
      <c r="M1016" s="311"/>
      <c r="N1016" s="311">
        <f>+SUMIF('Input Sheet'!$AE:$AE,P1016,'Input Sheet'!$X:$X)</f>
        <v>0</v>
      </c>
      <c r="O1016" s="311"/>
      <c r="P1016" t="str">
        <f t="shared" si="93"/>
        <v>170-7040</v>
      </c>
      <c r="Q1016" s="315" t="str">
        <f t="shared" si="94"/>
        <v>Admin &amp; Other</v>
      </c>
      <c r="R1016" s="315" t="str">
        <f t="shared" si="95"/>
        <v>Admin &amp; OtherOther Overheads as % of Total Gross Profit</v>
      </c>
      <c r="S1016" s="199"/>
      <c r="T1016" s="199"/>
      <c r="U1016" s="199"/>
    </row>
    <row r="1017" spans="1:21" x14ac:dyDescent="0.25">
      <c r="A1017" t="s">
        <v>996</v>
      </c>
      <c r="B1017" t="s">
        <v>997</v>
      </c>
      <c r="C1017" t="s">
        <v>1013</v>
      </c>
      <c r="D1017">
        <v>7040</v>
      </c>
      <c r="E1017">
        <v>300</v>
      </c>
      <c r="F1017" t="s">
        <v>1277</v>
      </c>
      <c r="G1017" t="s">
        <v>1278</v>
      </c>
      <c r="H1017" s="315" t="s">
        <v>29</v>
      </c>
      <c r="I1017" s="315" t="s">
        <v>1279</v>
      </c>
      <c r="J1017" s="315" t="str">
        <f t="shared" si="91"/>
        <v>New VehicleOther Variable expenses p.u.</v>
      </c>
      <c r="K1017" s="315" t="str">
        <f t="shared" si="92"/>
        <v>300NV Other variable expenses - Toyota</v>
      </c>
      <c r="L1017" s="311">
        <f>+SUMIF('TUNZ Extracted TB'!M:M,$P1017,'TUNZ Extracted TB'!G:G)</f>
        <v>0</v>
      </c>
      <c r="M1017" s="311"/>
      <c r="N1017" s="311">
        <f>+SUMIF('Input Sheet'!$AE:$AE,P1017,'Input Sheet'!$X:$X)</f>
        <v>0</v>
      </c>
      <c r="O1017" s="311"/>
      <c r="P1017" t="str">
        <f t="shared" si="93"/>
        <v>300-7040</v>
      </c>
      <c r="Q1017" s="315" t="str">
        <f t="shared" si="94"/>
        <v>New Vehicle</v>
      </c>
      <c r="R1017" s="315" t="str">
        <f t="shared" si="95"/>
        <v>New VehicleOther Variable expenses p.u.</v>
      </c>
      <c r="S1017" s="199"/>
      <c r="T1017" s="199"/>
      <c r="U1017" s="199"/>
    </row>
    <row r="1018" spans="1:21" x14ac:dyDescent="0.25">
      <c r="A1018" t="s">
        <v>996</v>
      </c>
      <c r="B1018" t="s">
        <v>997</v>
      </c>
      <c r="C1018" t="s">
        <v>1005</v>
      </c>
      <c r="D1018">
        <v>7060</v>
      </c>
      <c r="E1018">
        <v>210</v>
      </c>
      <c r="F1018" t="s">
        <v>1277</v>
      </c>
      <c r="G1018" t="s">
        <v>1278</v>
      </c>
      <c r="H1018" s="315" t="s">
        <v>29</v>
      </c>
      <c r="I1018" s="315" t="s">
        <v>1279</v>
      </c>
      <c r="J1018" s="315" t="str">
        <f t="shared" si="91"/>
        <v>New VehicleOther Variable expenses p.u.</v>
      </c>
      <c r="K1018" s="315" t="str">
        <f t="shared" si="92"/>
        <v>210NV Other variable expenses - Toyota</v>
      </c>
      <c r="L1018" s="311">
        <f>+SUMIF('TUNZ Extracted TB'!M:M,$P1018,'TUNZ Extracted TB'!G:G)</f>
        <v>1460.95</v>
      </c>
      <c r="M1018" s="311"/>
      <c r="N1018" s="311">
        <f>+SUMIF('Input Sheet'!$AE:$AE,P1018,'Input Sheet'!$X:$X)</f>
        <v>0</v>
      </c>
      <c r="O1018" s="311"/>
      <c r="P1018" t="str">
        <f t="shared" si="93"/>
        <v>210-7060</v>
      </c>
      <c r="Q1018" s="315" t="str">
        <f t="shared" si="94"/>
        <v>New Vehicle</v>
      </c>
      <c r="R1018" s="315" t="str">
        <f t="shared" si="95"/>
        <v>New VehicleOther Variable expenses p.u.</v>
      </c>
      <c r="S1018" s="199"/>
      <c r="T1018" s="199"/>
      <c r="U1018" s="199"/>
    </row>
    <row r="1019" spans="1:21" x14ac:dyDescent="0.25">
      <c r="A1019" t="s">
        <v>996</v>
      </c>
      <c r="B1019" t="s">
        <v>997</v>
      </c>
      <c r="C1019" t="s">
        <v>997</v>
      </c>
      <c r="D1019">
        <v>7060</v>
      </c>
      <c r="E1019">
        <v>112</v>
      </c>
      <c r="F1019" t="s">
        <v>1280</v>
      </c>
      <c r="G1019" t="s">
        <v>1281</v>
      </c>
      <c r="H1019" s="315" t="s">
        <v>1011</v>
      </c>
      <c r="I1019" s="315" t="s">
        <v>1279</v>
      </c>
      <c r="J1019" s="315" t="str">
        <f t="shared" si="91"/>
        <v>LEX New VehicleOther Variable expenses p.u.</v>
      </c>
      <c r="K1019" s="315" t="str">
        <f t="shared" si="92"/>
        <v>112NV Other variable expenses - Lexus</v>
      </c>
      <c r="L1019" s="311">
        <f>+SUMIF('TUNZ Extracted TB'!M:M,$P1019,'TUNZ Extracted TB'!G:G)</f>
        <v>6424.86</v>
      </c>
      <c r="M1019" s="311"/>
      <c r="N1019" s="311">
        <f>+SUMIF('Input Sheet'!$AE:$AE,P1019,'Input Sheet'!$X:$X)</f>
        <v>0</v>
      </c>
      <c r="O1019" s="311"/>
      <c r="P1019" t="str">
        <f t="shared" si="93"/>
        <v>112-7060</v>
      </c>
      <c r="Q1019" s="315" t="str">
        <f t="shared" si="94"/>
        <v>LEX New Vehicle</v>
      </c>
      <c r="R1019" s="315" t="str">
        <f t="shared" si="95"/>
        <v>LEX New VehicleOther Variable expenses p.u.</v>
      </c>
      <c r="S1019" s="199"/>
      <c r="T1019" s="199"/>
      <c r="U1019" s="199"/>
    </row>
    <row r="1020" spans="1:21" x14ac:dyDescent="0.25">
      <c r="A1020" t="s">
        <v>996</v>
      </c>
      <c r="B1020" t="s">
        <v>997</v>
      </c>
      <c r="C1020" t="s">
        <v>997</v>
      </c>
      <c r="D1020">
        <v>7040</v>
      </c>
      <c r="E1020">
        <v>147</v>
      </c>
      <c r="F1020" t="s">
        <v>1182</v>
      </c>
      <c r="G1020" t="s">
        <v>1183</v>
      </c>
      <c r="H1020" s="315" t="s">
        <v>17</v>
      </c>
      <c r="I1020" s="315" t="s">
        <v>1184</v>
      </c>
      <c r="J1020" s="315" t="str">
        <f t="shared" si="91"/>
        <v>ServiceInternal Gross Profit % of  Sales</v>
      </c>
      <c r="K1020" s="315" t="str">
        <f t="shared" si="92"/>
        <v>147Service Internal labour COS - Toyota</v>
      </c>
      <c r="L1020" s="311">
        <f>+SUMIF('TUNZ Extracted TB'!M:M,$P1020,'TUNZ Extracted TB'!G:G)</f>
        <v>0</v>
      </c>
      <c r="M1020" s="311"/>
      <c r="N1020" s="311">
        <f>+SUMIF('Input Sheet'!$AE:$AE,P1020,'Input Sheet'!$X:$X)</f>
        <v>0</v>
      </c>
      <c r="O1020" s="311"/>
      <c r="P1020" t="str">
        <f t="shared" si="93"/>
        <v>147-7040</v>
      </c>
      <c r="Q1020" s="315" t="str">
        <f t="shared" si="94"/>
        <v>Service</v>
      </c>
      <c r="R1020" s="315" t="str">
        <f t="shared" si="95"/>
        <v>ServiceInternal Gross Profit % of  Sales</v>
      </c>
      <c r="S1020" s="199"/>
      <c r="T1020" s="199"/>
      <c r="U1020" s="199"/>
    </row>
    <row r="1021" spans="1:21" x14ac:dyDescent="0.25">
      <c r="A1021" t="s">
        <v>996</v>
      </c>
      <c r="B1021" t="s">
        <v>997</v>
      </c>
      <c r="C1021" t="s">
        <v>997</v>
      </c>
      <c r="D1021">
        <v>7040</v>
      </c>
      <c r="E1021">
        <v>121</v>
      </c>
      <c r="F1021" t="s">
        <v>1165</v>
      </c>
      <c r="G1021" t="s">
        <v>1166</v>
      </c>
      <c r="H1021" s="315" t="s">
        <v>30</v>
      </c>
      <c r="I1021" s="315" t="s">
        <v>1167</v>
      </c>
      <c r="J1021" s="315" t="str">
        <f t="shared" si="91"/>
        <v>Used VehicleOther Variable expenses per retail</v>
      </c>
      <c r="K1021" s="315" t="str">
        <f t="shared" si="92"/>
        <v>121Toyota UV Other Variable expense</v>
      </c>
      <c r="L1021" s="311">
        <f>+SUMIF('TUNZ Extracted TB'!M:M,$P1021,'TUNZ Extracted TB'!G:G)</f>
        <v>0</v>
      </c>
      <c r="M1021" s="311"/>
      <c r="N1021" s="311">
        <f>+SUMIF('Input Sheet'!$AE:$AE,P1021,'Input Sheet'!$X:$X)</f>
        <v>0</v>
      </c>
      <c r="O1021" s="311"/>
      <c r="P1021" t="str">
        <f t="shared" si="93"/>
        <v>121-7040</v>
      </c>
      <c r="Q1021" s="315" t="str">
        <f t="shared" si="94"/>
        <v>Used Vehicle</v>
      </c>
      <c r="R1021" s="315" t="str">
        <f t="shared" si="95"/>
        <v>Used VehicleOther Variable expenses per retail</v>
      </c>
      <c r="S1021" s="199"/>
      <c r="T1021" s="199"/>
      <c r="U1021" s="199"/>
    </row>
    <row r="1022" spans="1:21" x14ac:dyDescent="0.25">
      <c r="A1022" t="s">
        <v>996</v>
      </c>
      <c r="B1022" t="s">
        <v>997</v>
      </c>
      <c r="C1022" t="s">
        <v>1005</v>
      </c>
      <c r="D1022">
        <v>7040</v>
      </c>
      <c r="E1022">
        <v>221</v>
      </c>
      <c r="F1022" t="s">
        <v>1165</v>
      </c>
      <c r="G1022" t="s">
        <v>1166</v>
      </c>
      <c r="H1022" s="315" t="s">
        <v>30</v>
      </c>
      <c r="I1022" s="315" t="s">
        <v>1167</v>
      </c>
      <c r="J1022" s="315" t="str">
        <f t="shared" si="91"/>
        <v>Used VehicleOther Variable expenses per retail</v>
      </c>
      <c r="K1022" s="315" t="str">
        <f t="shared" si="92"/>
        <v>221Toyota UV Other Variable expense</v>
      </c>
      <c r="L1022" s="311">
        <f>+SUMIF('TUNZ Extracted TB'!M:M,$P1022,'TUNZ Extracted TB'!G:G)</f>
        <v>0</v>
      </c>
      <c r="M1022" s="311"/>
      <c r="N1022" s="311">
        <f>+SUMIF('Input Sheet'!$AE:$AE,P1022,'Input Sheet'!$X:$X)</f>
        <v>0</v>
      </c>
      <c r="O1022" s="311"/>
      <c r="P1022" t="str">
        <f t="shared" si="93"/>
        <v>221-7040</v>
      </c>
      <c r="Q1022" s="315" t="str">
        <f t="shared" si="94"/>
        <v>Used Vehicle</v>
      </c>
      <c r="R1022" s="315" t="str">
        <f t="shared" si="95"/>
        <v>Used VehicleOther Variable expenses per retail</v>
      </c>
      <c r="S1022" s="199"/>
      <c r="T1022" s="199"/>
      <c r="U1022" s="199"/>
    </row>
    <row r="1023" spans="1:21" x14ac:dyDescent="0.25">
      <c r="A1023" t="s">
        <v>996</v>
      </c>
      <c r="B1023" t="s">
        <v>997</v>
      </c>
      <c r="C1023" t="s">
        <v>1012</v>
      </c>
      <c r="D1023">
        <v>7040</v>
      </c>
      <c r="E1023">
        <v>420</v>
      </c>
      <c r="F1023" t="s">
        <v>1165</v>
      </c>
      <c r="G1023" t="s">
        <v>1166</v>
      </c>
      <c r="H1023" s="315" t="s">
        <v>30</v>
      </c>
      <c r="I1023" s="315" t="s">
        <v>1167</v>
      </c>
      <c r="J1023" s="315" t="str">
        <f t="shared" si="91"/>
        <v>Used VehicleOther Variable expenses per retail</v>
      </c>
      <c r="K1023" s="315" t="str">
        <f t="shared" si="92"/>
        <v>420Toyota UV Other Variable expense</v>
      </c>
      <c r="L1023" s="311">
        <f>+SUMIF('TUNZ Extracted TB'!M:M,$P1023,'TUNZ Extracted TB'!G:G)</f>
        <v>0</v>
      </c>
      <c r="M1023" s="311"/>
      <c r="N1023" s="311">
        <f>+SUMIF('Input Sheet'!$AE:$AE,P1023,'Input Sheet'!$X:$X)</f>
        <v>0</v>
      </c>
      <c r="O1023" s="311"/>
      <c r="P1023" t="str">
        <f t="shared" si="93"/>
        <v>420-7040</v>
      </c>
      <c r="Q1023" s="315" t="str">
        <f t="shared" si="94"/>
        <v>Used Vehicle</v>
      </c>
      <c r="R1023" s="315" t="str">
        <f t="shared" si="95"/>
        <v>Used VehicleOther Variable expenses per retail</v>
      </c>
      <c r="S1023" s="199"/>
      <c r="T1023" s="199"/>
      <c r="U1023" s="199"/>
    </row>
    <row r="1024" spans="1:21" x14ac:dyDescent="0.25">
      <c r="A1024" t="s">
        <v>996</v>
      </c>
      <c r="B1024" t="s">
        <v>997</v>
      </c>
      <c r="C1024" t="s">
        <v>1012</v>
      </c>
      <c r="D1024">
        <v>7040</v>
      </c>
      <c r="E1024">
        <v>421</v>
      </c>
      <c r="F1024" t="s">
        <v>1165</v>
      </c>
      <c r="G1024" t="s">
        <v>1166</v>
      </c>
      <c r="H1024" s="315" t="s">
        <v>30</v>
      </c>
      <c r="I1024" s="315" t="s">
        <v>1167</v>
      </c>
      <c r="J1024" s="315" t="str">
        <f t="shared" si="91"/>
        <v>Used VehicleOther Variable expenses per retail</v>
      </c>
      <c r="K1024" s="315" t="str">
        <f t="shared" si="92"/>
        <v>421Toyota UV Other Variable expense</v>
      </c>
      <c r="L1024" s="311">
        <f>+SUMIF('TUNZ Extracted TB'!M:M,$P1024,'TUNZ Extracted TB'!G:G)</f>
        <v>0</v>
      </c>
      <c r="M1024" s="311"/>
      <c r="N1024" s="311">
        <f>+SUMIF('Input Sheet'!$AE:$AE,P1024,'Input Sheet'!$X:$X)</f>
        <v>0</v>
      </c>
      <c r="O1024" s="311"/>
      <c r="P1024" t="str">
        <f t="shared" si="93"/>
        <v>421-7040</v>
      </c>
      <c r="Q1024" s="315" t="str">
        <f t="shared" si="94"/>
        <v>Used Vehicle</v>
      </c>
      <c r="R1024" s="315" t="str">
        <f t="shared" si="95"/>
        <v>Used VehicleOther Variable expenses per retail</v>
      </c>
      <c r="S1024" s="199"/>
      <c r="T1024" s="199"/>
      <c r="U1024" s="199"/>
    </row>
    <row r="1025" spans="1:21" x14ac:dyDescent="0.25">
      <c r="A1025" t="s">
        <v>996</v>
      </c>
      <c r="B1025" t="s">
        <v>997</v>
      </c>
      <c r="C1025" t="s">
        <v>1013</v>
      </c>
      <c r="D1025">
        <v>7040</v>
      </c>
      <c r="E1025">
        <v>321</v>
      </c>
      <c r="F1025" t="s">
        <v>1165</v>
      </c>
      <c r="G1025" t="s">
        <v>1166</v>
      </c>
      <c r="H1025" s="315" t="s">
        <v>30</v>
      </c>
      <c r="I1025" s="315" t="s">
        <v>1167</v>
      </c>
      <c r="J1025" s="315" t="str">
        <f t="shared" si="91"/>
        <v>Used VehicleOther Variable expenses per retail</v>
      </c>
      <c r="K1025" s="315" t="str">
        <f t="shared" si="92"/>
        <v>321Toyota UV Other Variable expense</v>
      </c>
      <c r="L1025" s="311">
        <f>+SUMIF('TUNZ Extracted TB'!M:M,$P1025,'TUNZ Extracted TB'!G:G)</f>
        <v>0</v>
      </c>
      <c r="M1025" s="311"/>
      <c r="N1025" s="311">
        <f>+SUMIF('Input Sheet'!$AE:$AE,P1025,'Input Sheet'!$X:$X)</f>
        <v>0</v>
      </c>
      <c r="O1025" s="311"/>
      <c r="P1025" t="str">
        <f t="shared" si="93"/>
        <v>321-7040</v>
      </c>
      <c r="Q1025" s="315" t="str">
        <f t="shared" si="94"/>
        <v>Used Vehicle</v>
      </c>
      <c r="R1025" s="315" t="str">
        <f t="shared" si="95"/>
        <v>Used VehicleOther Variable expenses per retail</v>
      </c>
      <c r="S1025" s="199"/>
      <c r="T1025" s="199"/>
      <c r="U1025" s="199"/>
    </row>
    <row r="1026" spans="1:21" x14ac:dyDescent="0.25">
      <c r="A1026" t="s">
        <v>996</v>
      </c>
      <c r="B1026" t="s">
        <v>997</v>
      </c>
      <c r="C1026" t="s">
        <v>997</v>
      </c>
      <c r="D1026">
        <v>7060</v>
      </c>
      <c r="E1026">
        <v>120</v>
      </c>
      <c r="F1026" t="s">
        <v>1165</v>
      </c>
      <c r="G1026" t="s">
        <v>1166</v>
      </c>
      <c r="H1026" s="315" t="s">
        <v>30</v>
      </c>
      <c r="I1026" s="315" t="s">
        <v>1167</v>
      </c>
      <c r="J1026" s="315" t="str">
        <f t="shared" si="91"/>
        <v>Used VehicleOther Variable expenses per retail</v>
      </c>
      <c r="K1026" s="315" t="str">
        <f t="shared" si="92"/>
        <v>120Toyota UV Other Variable expense</v>
      </c>
      <c r="L1026" s="311">
        <f>+SUMIF('TUNZ Extracted TB'!M:M,$P1026,'TUNZ Extracted TB'!G:G)</f>
        <v>4210.57</v>
      </c>
      <c r="M1026" s="311"/>
      <c r="N1026" s="311">
        <f>+SUMIF('Input Sheet'!$AE:$AE,P1026,'Input Sheet'!$X:$X)</f>
        <v>0</v>
      </c>
      <c r="O1026" s="311"/>
      <c r="P1026" t="str">
        <f t="shared" si="93"/>
        <v>120-7060</v>
      </c>
      <c r="Q1026" s="315" t="str">
        <f t="shared" si="94"/>
        <v>Used Vehicle</v>
      </c>
      <c r="R1026" s="315" t="str">
        <f t="shared" si="95"/>
        <v>Used VehicleOther Variable expenses per retail</v>
      </c>
      <c r="S1026" s="199"/>
      <c r="T1026" s="199"/>
      <c r="U1026" s="199"/>
    </row>
    <row r="1027" spans="1:21" x14ac:dyDescent="0.25">
      <c r="A1027" t="s">
        <v>996</v>
      </c>
      <c r="B1027" t="s">
        <v>997</v>
      </c>
      <c r="C1027" t="s">
        <v>1012</v>
      </c>
      <c r="D1027">
        <v>7060</v>
      </c>
      <c r="E1027">
        <v>440</v>
      </c>
      <c r="F1027" t="s">
        <v>1289</v>
      </c>
      <c r="G1027" t="s">
        <v>1290</v>
      </c>
      <c r="H1027" s="315" t="s">
        <v>17</v>
      </c>
      <c r="I1027" s="315" t="s">
        <v>1286</v>
      </c>
      <c r="J1027" s="315" t="str">
        <f t="shared" ref="J1027:J1090" si="96">+H1027&amp;I1027</f>
        <v>ServiceOther Expenses as % of Sales</v>
      </c>
      <c r="K1027" s="315" t="str">
        <f t="shared" ref="K1027:K1090" si="97">+E1027&amp;G1027</f>
        <v>440Service Other expenses - Toyota</v>
      </c>
      <c r="L1027" s="311">
        <f>+SUMIF('TUNZ Extracted TB'!M:M,$P1027,'TUNZ Extracted TB'!G:G)</f>
        <v>2075.37</v>
      </c>
      <c r="M1027" s="311"/>
      <c r="N1027" s="311">
        <f>+SUMIF('Input Sheet'!$AE:$AE,P1027,'Input Sheet'!$X:$X)</f>
        <v>47613.723221050859</v>
      </c>
      <c r="O1027" s="311"/>
      <c r="P1027" t="str">
        <f t="shared" ref="P1027:P1090" si="98">+E1027&amp;"-"&amp;D1027</f>
        <v>440-7060</v>
      </c>
      <c r="Q1027" s="315" t="str">
        <f t="shared" ref="Q1027:Q1090" si="99">H1027</f>
        <v>Service</v>
      </c>
      <c r="R1027" s="315" t="str">
        <f t="shared" ref="R1027:R1090" si="100">J1027</f>
        <v>ServiceOther Expenses as % of Sales</v>
      </c>
      <c r="S1027" s="199"/>
      <c r="T1027" s="199"/>
      <c r="U1027" s="199"/>
    </row>
    <row r="1028" spans="1:21" x14ac:dyDescent="0.25">
      <c r="A1028" t="s">
        <v>996</v>
      </c>
      <c r="B1028" t="s">
        <v>997</v>
      </c>
      <c r="C1028" t="s">
        <v>997</v>
      </c>
      <c r="D1028">
        <v>7060</v>
      </c>
      <c r="E1028">
        <v>110</v>
      </c>
      <c r="F1028" t="s">
        <v>1277</v>
      </c>
      <c r="G1028" t="s">
        <v>1278</v>
      </c>
      <c r="H1028" s="315" t="s">
        <v>29</v>
      </c>
      <c r="I1028" s="315" t="s">
        <v>1279</v>
      </c>
      <c r="J1028" s="315" t="str">
        <f t="shared" si="96"/>
        <v>New VehicleOther Variable expenses p.u.</v>
      </c>
      <c r="K1028" s="315" t="str">
        <f t="shared" si="97"/>
        <v>110NV Other variable expenses - Toyota</v>
      </c>
      <c r="L1028" s="311">
        <f>+SUMIF('TUNZ Extracted TB'!M:M,$P1028,'TUNZ Extracted TB'!G:G)</f>
        <v>2096.2199999999998</v>
      </c>
      <c r="M1028" s="311"/>
      <c r="N1028" s="311">
        <f>+SUMIF('Input Sheet'!$AE:$AE,P1028,'Input Sheet'!$X:$X)</f>
        <v>0</v>
      </c>
      <c r="O1028" s="311"/>
      <c r="P1028" t="str">
        <f t="shared" si="98"/>
        <v>110-7060</v>
      </c>
      <c r="Q1028" s="315" t="str">
        <f t="shared" si="99"/>
        <v>New Vehicle</v>
      </c>
      <c r="R1028" s="315" t="str">
        <f t="shared" si="100"/>
        <v>New VehicleOther Variable expenses p.u.</v>
      </c>
      <c r="S1028" s="199"/>
      <c r="T1028" s="199"/>
      <c r="U1028" s="199"/>
    </row>
    <row r="1029" spans="1:21" x14ac:dyDescent="0.25">
      <c r="A1029" t="s">
        <v>996</v>
      </c>
      <c r="B1029" t="s">
        <v>997</v>
      </c>
      <c r="C1029" t="s">
        <v>1005</v>
      </c>
      <c r="D1029">
        <v>7060</v>
      </c>
      <c r="E1029">
        <v>220</v>
      </c>
      <c r="F1029" t="s">
        <v>1165</v>
      </c>
      <c r="G1029" t="s">
        <v>1166</v>
      </c>
      <c r="H1029" s="315" t="s">
        <v>30</v>
      </c>
      <c r="I1029" s="315" t="s">
        <v>1167</v>
      </c>
      <c r="J1029" s="315" t="str">
        <f t="shared" si="96"/>
        <v>Used VehicleOther Variable expenses per retail</v>
      </c>
      <c r="K1029" s="315" t="str">
        <f t="shared" si="97"/>
        <v>220Toyota UV Other Variable expense</v>
      </c>
      <c r="L1029" s="311">
        <f>+SUMIF('TUNZ Extracted TB'!M:M,$P1029,'TUNZ Extracted TB'!G:G)</f>
        <v>6202.36</v>
      </c>
      <c r="M1029" s="311"/>
      <c r="N1029" s="311">
        <f>+SUMIF('Input Sheet'!$AE:$AE,P1029,'Input Sheet'!$X:$X)</f>
        <v>0</v>
      </c>
      <c r="O1029" s="311"/>
      <c r="P1029" t="str">
        <f t="shared" si="98"/>
        <v>220-7060</v>
      </c>
      <c r="Q1029" s="315" t="str">
        <f t="shared" si="99"/>
        <v>Used Vehicle</v>
      </c>
      <c r="R1029" s="315" t="str">
        <f t="shared" si="100"/>
        <v>Used VehicleOther Variable expenses per retail</v>
      </c>
      <c r="S1029" s="199"/>
      <c r="T1029" s="199"/>
      <c r="U1029" s="199"/>
    </row>
    <row r="1030" spans="1:21" x14ac:dyDescent="0.25">
      <c r="A1030" t="s">
        <v>996</v>
      </c>
      <c r="B1030" t="s">
        <v>997</v>
      </c>
      <c r="C1030" t="s">
        <v>1005</v>
      </c>
      <c r="D1030">
        <v>7060</v>
      </c>
      <c r="E1030">
        <v>240</v>
      </c>
      <c r="F1030" t="s">
        <v>1289</v>
      </c>
      <c r="G1030" t="s">
        <v>1290</v>
      </c>
      <c r="H1030" s="315" t="s">
        <v>17</v>
      </c>
      <c r="I1030" s="315" t="s">
        <v>1286</v>
      </c>
      <c r="J1030" s="315" t="str">
        <f t="shared" si="96"/>
        <v>ServiceOther Expenses as % of Sales</v>
      </c>
      <c r="K1030" s="315" t="str">
        <f t="shared" si="97"/>
        <v>240Service Other expenses - Toyota</v>
      </c>
      <c r="L1030" s="311">
        <f>+SUMIF('TUNZ Extracted TB'!M:M,$P1030,'TUNZ Extracted TB'!G:G)</f>
        <v>2231.2199999999998</v>
      </c>
      <c r="M1030" s="311"/>
      <c r="N1030" s="311">
        <f>+SUMIF('Input Sheet'!$AE:$AE,P1030,'Input Sheet'!$X:$X)</f>
        <v>45217.895017333249</v>
      </c>
      <c r="O1030" s="311"/>
      <c r="P1030" t="str">
        <f t="shared" si="98"/>
        <v>240-7060</v>
      </c>
      <c r="Q1030" s="315" t="str">
        <f t="shared" si="99"/>
        <v>Service</v>
      </c>
      <c r="R1030" s="315" t="str">
        <f t="shared" si="100"/>
        <v>ServiceOther Expenses as % of Sales</v>
      </c>
      <c r="S1030" s="199"/>
      <c r="T1030" s="199"/>
      <c r="U1030" s="199"/>
    </row>
    <row r="1031" spans="1:21" x14ac:dyDescent="0.25">
      <c r="A1031" t="s">
        <v>996</v>
      </c>
      <c r="B1031" t="s">
        <v>997</v>
      </c>
      <c r="C1031" t="s">
        <v>997</v>
      </c>
      <c r="D1031">
        <v>7060</v>
      </c>
      <c r="E1031">
        <v>122</v>
      </c>
      <c r="F1031" t="s">
        <v>1282</v>
      </c>
      <c r="G1031" t="s">
        <v>1283</v>
      </c>
      <c r="H1031" s="315" t="s">
        <v>1041</v>
      </c>
      <c r="I1031" s="315" t="s">
        <v>1167</v>
      </c>
      <c r="J1031" s="315" t="str">
        <f t="shared" si="96"/>
        <v>LEX Used VehicleOther Variable expenses per retail</v>
      </c>
      <c r="K1031" s="315" t="str">
        <f t="shared" si="97"/>
        <v>122Lexus UV Other Variable expense</v>
      </c>
      <c r="L1031" s="311">
        <f>+SUMIF('TUNZ Extracted TB'!M:M,$P1031,'TUNZ Extracted TB'!G:G)</f>
        <v>2754</v>
      </c>
      <c r="M1031" s="311"/>
      <c r="N1031" s="311">
        <f>+SUMIF('Input Sheet'!$AE:$AE,P1031,'Input Sheet'!$X:$X)</f>
        <v>0</v>
      </c>
      <c r="O1031" s="311"/>
      <c r="P1031" t="str">
        <f t="shared" si="98"/>
        <v>122-7060</v>
      </c>
      <c r="Q1031" s="315" t="str">
        <f t="shared" si="99"/>
        <v>LEX Used Vehicle</v>
      </c>
      <c r="R1031" s="315" t="str">
        <f t="shared" si="100"/>
        <v>LEX Used VehicleOther Variable expenses per retail</v>
      </c>
      <c r="S1031" s="199"/>
      <c r="T1031" s="199"/>
      <c r="U1031" s="199"/>
    </row>
    <row r="1032" spans="1:21" x14ac:dyDescent="0.25">
      <c r="A1032" t="s">
        <v>996</v>
      </c>
      <c r="B1032" t="s">
        <v>997</v>
      </c>
      <c r="C1032" t="s">
        <v>1013</v>
      </c>
      <c r="D1032">
        <v>7060</v>
      </c>
      <c r="E1032">
        <v>340</v>
      </c>
      <c r="F1032" t="s">
        <v>1289</v>
      </c>
      <c r="G1032" t="s">
        <v>1290</v>
      </c>
      <c r="H1032" s="315" t="s">
        <v>17</v>
      </c>
      <c r="I1032" s="315" t="s">
        <v>1286</v>
      </c>
      <c r="J1032" s="315" t="str">
        <f t="shared" si="96"/>
        <v>ServiceOther Expenses as % of Sales</v>
      </c>
      <c r="K1032" s="315" t="str">
        <f t="shared" si="97"/>
        <v>340Service Other expenses - Toyota</v>
      </c>
      <c r="L1032" s="311">
        <f>+SUMIF('TUNZ Extracted TB'!M:M,$P1032,'TUNZ Extracted TB'!G:G)</f>
        <v>3834.08</v>
      </c>
      <c r="M1032" s="311"/>
      <c r="N1032" s="311">
        <f>+SUMIF('Input Sheet'!$AE:$AE,P1032,'Input Sheet'!$X:$X)</f>
        <v>42936.198137438441</v>
      </c>
      <c r="O1032" s="311"/>
      <c r="P1032" t="str">
        <f t="shared" si="98"/>
        <v>340-7060</v>
      </c>
      <c r="Q1032" s="315" t="str">
        <f t="shared" si="99"/>
        <v>Service</v>
      </c>
      <c r="R1032" s="315" t="str">
        <f t="shared" si="100"/>
        <v>ServiceOther Expenses as % of Sales</v>
      </c>
      <c r="S1032" s="199"/>
      <c r="T1032" s="199"/>
      <c r="U1032" s="199"/>
    </row>
    <row r="1033" spans="1:21" x14ac:dyDescent="0.25">
      <c r="A1033" t="s">
        <v>996</v>
      </c>
      <c r="B1033" t="s">
        <v>997</v>
      </c>
      <c r="C1033" t="s">
        <v>997</v>
      </c>
      <c r="D1033">
        <v>7060</v>
      </c>
      <c r="E1033">
        <v>121</v>
      </c>
      <c r="F1033" t="s">
        <v>1165</v>
      </c>
      <c r="G1033" t="s">
        <v>1166</v>
      </c>
      <c r="H1033" s="315" t="s">
        <v>30</v>
      </c>
      <c r="I1033" s="315" t="s">
        <v>1167</v>
      </c>
      <c r="J1033" s="315" t="str">
        <f t="shared" si="96"/>
        <v>Used VehicleOther Variable expenses per retail</v>
      </c>
      <c r="K1033" s="315" t="str">
        <f t="shared" si="97"/>
        <v>121Toyota UV Other Variable expense</v>
      </c>
      <c r="L1033" s="311">
        <f>+SUMIF('TUNZ Extracted TB'!M:M,$P1033,'TUNZ Extracted TB'!G:G)</f>
        <v>0</v>
      </c>
      <c r="M1033" s="311"/>
      <c r="N1033" s="311">
        <f>+SUMIF('Input Sheet'!$AE:$AE,P1033,'Input Sheet'!$X:$X)</f>
        <v>0</v>
      </c>
      <c r="O1033" s="311"/>
      <c r="P1033" t="str">
        <f t="shared" si="98"/>
        <v>121-7060</v>
      </c>
      <c r="Q1033" s="315" t="str">
        <f t="shared" si="99"/>
        <v>Used Vehicle</v>
      </c>
      <c r="R1033" s="315" t="str">
        <f t="shared" si="100"/>
        <v>Used VehicleOther Variable expenses per retail</v>
      </c>
      <c r="S1033" s="199"/>
      <c r="T1033" s="199"/>
      <c r="U1033" s="199"/>
    </row>
    <row r="1034" spans="1:21" x14ac:dyDescent="0.25">
      <c r="A1034" t="s">
        <v>996</v>
      </c>
      <c r="B1034" t="s">
        <v>997</v>
      </c>
      <c r="C1034" t="s">
        <v>1012</v>
      </c>
      <c r="D1034">
        <v>7060</v>
      </c>
      <c r="E1034">
        <v>430</v>
      </c>
      <c r="F1034" t="s">
        <v>1291</v>
      </c>
      <c r="G1034" t="s">
        <v>1292</v>
      </c>
      <c r="H1034" s="315" t="s">
        <v>5</v>
      </c>
      <c r="I1034" s="315" t="s">
        <v>1286</v>
      </c>
      <c r="J1034" s="315" t="str">
        <f t="shared" si="96"/>
        <v>PartsOther Expenses as % of Sales</v>
      </c>
      <c r="K1034" s="315" t="str">
        <f t="shared" si="97"/>
        <v>430Parts Other Expenses - Toyota</v>
      </c>
      <c r="L1034" s="311">
        <f>+SUMIF('TUNZ Extracted TB'!M:M,$P1034,'TUNZ Extracted TB'!G:G)</f>
        <v>0</v>
      </c>
      <c r="M1034" s="311"/>
      <c r="N1034" s="311">
        <f>+SUMIF('Input Sheet'!$AE:$AE,P1034,'Input Sheet'!$X:$X)</f>
        <v>0</v>
      </c>
      <c r="O1034" s="311"/>
      <c r="P1034" t="str">
        <f t="shared" si="98"/>
        <v>430-7060</v>
      </c>
      <c r="Q1034" s="315" t="str">
        <f t="shared" si="99"/>
        <v>Parts</v>
      </c>
      <c r="R1034" s="315" t="str">
        <f t="shared" si="100"/>
        <v>PartsOther Expenses as % of Sales</v>
      </c>
      <c r="S1034" s="199"/>
      <c r="T1034" s="199"/>
      <c r="U1034" s="199"/>
    </row>
    <row r="1035" spans="1:21" x14ac:dyDescent="0.25">
      <c r="A1035" t="s">
        <v>996</v>
      </c>
      <c r="B1035" t="s">
        <v>997</v>
      </c>
      <c r="C1035" t="s">
        <v>997</v>
      </c>
      <c r="D1035">
        <v>7060</v>
      </c>
      <c r="E1035">
        <v>140</v>
      </c>
      <c r="F1035" t="s">
        <v>1289</v>
      </c>
      <c r="G1035" t="s">
        <v>1290</v>
      </c>
      <c r="H1035" s="315" t="s">
        <v>17</v>
      </c>
      <c r="I1035" s="315" t="s">
        <v>1286</v>
      </c>
      <c r="J1035" s="315" t="str">
        <f t="shared" si="96"/>
        <v>ServiceOther Expenses as % of Sales</v>
      </c>
      <c r="K1035" s="315" t="str">
        <f t="shared" si="97"/>
        <v>140Service Other expenses - Toyota</v>
      </c>
      <c r="L1035" s="311">
        <f>+SUMIF('TUNZ Extracted TB'!M:M,$P1035,'TUNZ Extracted TB'!G:G)</f>
        <v>2061.63</v>
      </c>
      <c r="M1035" s="311"/>
      <c r="N1035" s="311">
        <f>+SUMIF('Input Sheet'!$AE:$AE,P1035,'Input Sheet'!$X:$X)</f>
        <v>94847.47397863197</v>
      </c>
      <c r="O1035" s="311"/>
      <c r="P1035" t="str">
        <f t="shared" si="98"/>
        <v>140-7060</v>
      </c>
      <c r="Q1035" s="315" t="str">
        <f t="shared" si="99"/>
        <v>Service</v>
      </c>
      <c r="R1035" s="315" t="str">
        <f t="shared" si="100"/>
        <v>ServiceOther Expenses as % of Sales</v>
      </c>
      <c r="S1035" s="199"/>
      <c r="T1035" s="199"/>
      <c r="U1035" s="199"/>
    </row>
    <row r="1036" spans="1:21" x14ac:dyDescent="0.25">
      <c r="A1036" t="s">
        <v>996</v>
      </c>
      <c r="B1036" t="s">
        <v>997</v>
      </c>
      <c r="C1036" t="s">
        <v>997</v>
      </c>
      <c r="D1036">
        <v>7060</v>
      </c>
      <c r="E1036">
        <v>142</v>
      </c>
      <c r="F1036" t="s">
        <v>1284</v>
      </c>
      <c r="G1036" t="s">
        <v>1285</v>
      </c>
      <c r="H1036" s="315" t="s">
        <v>1022</v>
      </c>
      <c r="I1036" s="315" t="s">
        <v>1286</v>
      </c>
      <c r="J1036" s="315" t="str">
        <f t="shared" si="96"/>
        <v>Lex ServiceOther Expenses as % of Sales</v>
      </c>
      <c r="K1036" s="315" t="str">
        <f t="shared" si="97"/>
        <v>142Service Other expenses - Lexus</v>
      </c>
      <c r="L1036" s="311">
        <f>+SUMIF('TUNZ Extracted TB'!M:M,$P1036,'TUNZ Extracted TB'!G:G)</f>
        <v>5283.43</v>
      </c>
      <c r="M1036" s="311"/>
      <c r="N1036" s="311">
        <f>+SUMIF('Input Sheet'!$AE:$AE,P1036,'Input Sheet'!$X:$X)</f>
        <v>16091.506666666666</v>
      </c>
      <c r="O1036" s="311"/>
      <c r="P1036" t="str">
        <f t="shared" si="98"/>
        <v>142-7060</v>
      </c>
      <c r="Q1036" s="315" t="str">
        <f t="shared" si="99"/>
        <v>Lex Service</v>
      </c>
      <c r="R1036" s="315" t="str">
        <f t="shared" si="100"/>
        <v>Lex ServiceOther Expenses as % of Sales</v>
      </c>
      <c r="S1036" s="199"/>
      <c r="T1036" s="199"/>
      <c r="U1036" s="199"/>
    </row>
    <row r="1037" spans="1:21" x14ac:dyDescent="0.25">
      <c r="A1037" t="s">
        <v>996</v>
      </c>
      <c r="B1037" t="s">
        <v>997</v>
      </c>
      <c r="C1037" t="s">
        <v>997</v>
      </c>
      <c r="D1037">
        <v>7060</v>
      </c>
      <c r="E1037">
        <v>130</v>
      </c>
      <c r="F1037" t="s">
        <v>1291</v>
      </c>
      <c r="G1037" t="s">
        <v>1292</v>
      </c>
      <c r="H1037" s="315" t="s">
        <v>5</v>
      </c>
      <c r="I1037" s="315" t="s">
        <v>1286</v>
      </c>
      <c r="J1037" s="315" t="str">
        <f t="shared" si="96"/>
        <v>PartsOther Expenses as % of Sales</v>
      </c>
      <c r="K1037" s="315" t="str">
        <f t="shared" si="97"/>
        <v>130Parts Other Expenses - Toyota</v>
      </c>
      <c r="L1037" s="311">
        <f>+SUMIF('TUNZ Extracted TB'!M:M,$P1037,'TUNZ Extracted TB'!G:G)</f>
        <v>0</v>
      </c>
      <c r="M1037" s="311"/>
      <c r="N1037" s="311">
        <f>+SUMIF('Input Sheet'!$AE:$AE,P1037,'Input Sheet'!$X:$X)</f>
        <v>0</v>
      </c>
      <c r="O1037" s="311"/>
      <c r="P1037" t="str">
        <f t="shared" si="98"/>
        <v>130-7060</v>
      </c>
      <c r="Q1037" s="315" t="str">
        <f t="shared" si="99"/>
        <v>Parts</v>
      </c>
      <c r="R1037" s="315" t="str">
        <f t="shared" si="100"/>
        <v>PartsOther Expenses as % of Sales</v>
      </c>
      <c r="S1037" s="199"/>
      <c r="T1037" s="199"/>
      <c r="U1037" s="199"/>
    </row>
    <row r="1038" spans="1:21" x14ac:dyDescent="0.25">
      <c r="A1038" t="s">
        <v>996</v>
      </c>
      <c r="B1038" t="s">
        <v>997</v>
      </c>
      <c r="C1038" t="s">
        <v>997</v>
      </c>
      <c r="D1038">
        <v>7060</v>
      </c>
      <c r="E1038">
        <v>100</v>
      </c>
      <c r="F1038" t="s">
        <v>1277</v>
      </c>
      <c r="G1038" t="s">
        <v>1278</v>
      </c>
      <c r="H1038" s="315" t="s">
        <v>29</v>
      </c>
      <c r="I1038" s="315" t="s">
        <v>1279</v>
      </c>
      <c r="J1038" s="315" t="str">
        <f t="shared" si="96"/>
        <v>New VehicleOther Variable expenses p.u.</v>
      </c>
      <c r="K1038" s="315" t="str">
        <f t="shared" si="97"/>
        <v>100NV Other variable expenses - Toyota</v>
      </c>
      <c r="L1038" s="311">
        <f>+SUMIF('TUNZ Extracted TB'!M:M,$P1038,'TUNZ Extracted TB'!G:G)</f>
        <v>0</v>
      </c>
      <c r="M1038" s="311"/>
      <c r="N1038" s="311">
        <f>+SUMIF('Input Sheet'!$AE:$AE,P1038,'Input Sheet'!$X:$X)</f>
        <v>0</v>
      </c>
      <c r="O1038" s="311"/>
      <c r="P1038" t="str">
        <f t="shared" si="98"/>
        <v>100-7060</v>
      </c>
      <c r="Q1038" s="315" t="str">
        <f t="shared" si="99"/>
        <v>New Vehicle</v>
      </c>
      <c r="R1038" s="315" t="str">
        <f t="shared" si="100"/>
        <v>New VehicleOther Variable expenses p.u.</v>
      </c>
      <c r="S1038" s="199"/>
      <c r="T1038" s="199"/>
      <c r="U1038" s="199"/>
    </row>
    <row r="1039" spans="1:21" x14ac:dyDescent="0.25">
      <c r="A1039" t="s">
        <v>996</v>
      </c>
      <c r="B1039" t="s">
        <v>997</v>
      </c>
      <c r="C1039" t="s">
        <v>1005</v>
      </c>
      <c r="D1039">
        <v>7060</v>
      </c>
      <c r="E1039">
        <v>200</v>
      </c>
      <c r="F1039" t="s">
        <v>1277</v>
      </c>
      <c r="G1039" t="s">
        <v>1278</v>
      </c>
      <c r="H1039" s="315" t="s">
        <v>29</v>
      </c>
      <c r="I1039" s="315" t="s">
        <v>1279</v>
      </c>
      <c r="J1039" s="315" t="str">
        <f t="shared" si="96"/>
        <v>New VehicleOther Variable expenses p.u.</v>
      </c>
      <c r="K1039" s="315" t="str">
        <f t="shared" si="97"/>
        <v>200NV Other variable expenses - Toyota</v>
      </c>
      <c r="L1039" s="311">
        <f>+SUMIF('TUNZ Extracted TB'!M:M,$P1039,'TUNZ Extracted TB'!G:G)</f>
        <v>0</v>
      </c>
      <c r="M1039" s="311"/>
      <c r="N1039" s="311">
        <f>+SUMIF('Input Sheet'!$AE:$AE,P1039,'Input Sheet'!$X:$X)</f>
        <v>0</v>
      </c>
      <c r="O1039" s="311"/>
      <c r="P1039" t="str">
        <f t="shared" si="98"/>
        <v>200-7060</v>
      </c>
      <c r="Q1039" s="315" t="str">
        <f t="shared" si="99"/>
        <v>New Vehicle</v>
      </c>
      <c r="R1039" s="315" t="str">
        <f t="shared" si="100"/>
        <v>New VehicleOther Variable expenses p.u.</v>
      </c>
      <c r="S1039" s="199"/>
      <c r="T1039" s="199"/>
      <c r="U1039" s="199"/>
    </row>
    <row r="1040" spans="1:21" x14ac:dyDescent="0.25">
      <c r="A1040" t="s">
        <v>996</v>
      </c>
      <c r="B1040" t="s">
        <v>997</v>
      </c>
      <c r="C1040" t="s">
        <v>1013</v>
      </c>
      <c r="D1040">
        <v>7060</v>
      </c>
      <c r="E1040">
        <v>300</v>
      </c>
      <c r="F1040" t="s">
        <v>1277</v>
      </c>
      <c r="G1040" t="s">
        <v>1278</v>
      </c>
      <c r="H1040" s="315" t="s">
        <v>29</v>
      </c>
      <c r="I1040" s="315" t="s">
        <v>1279</v>
      </c>
      <c r="J1040" s="315" t="str">
        <f t="shared" si="96"/>
        <v>New VehicleOther Variable expenses p.u.</v>
      </c>
      <c r="K1040" s="315" t="str">
        <f t="shared" si="97"/>
        <v>300NV Other variable expenses - Toyota</v>
      </c>
      <c r="L1040" s="311">
        <f>+SUMIF('TUNZ Extracted TB'!M:M,$P1040,'TUNZ Extracted TB'!G:G)</f>
        <v>0</v>
      </c>
      <c r="M1040" s="311"/>
      <c r="N1040" s="311">
        <f>+SUMIF('Input Sheet'!$AE:$AE,P1040,'Input Sheet'!$X:$X)</f>
        <v>0</v>
      </c>
      <c r="O1040" s="311"/>
      <c r="P1040" t="str">
        <f t="shared" si="98"/>
        <v>300-7060</v>
      </c>
      <c r="Q1040" s="315" t="str">
        <f t="shared" si="99"/>
        <v>New Vehicle</v>
      </c>
      <c r="R1040" s="315" t="str">
        <f t="shared" si="100"/>
        <v>New VehicleOther Variable expenses p.u.</v>
      </c>
      <c r="S1040" s="199"/>
      <c r="T1040" s="199"/>
      <c r="U1040" s="199"/>
    </row>
    <row r="1041" spans="1:21" x14ac:dyDescent="0.25">
      <c r="A1041" t="s">
        <v>996</v>
      </c>
      <c r="B1041" t="s">
        <v>997</v>
      </c>
      <c r="C1041" t="s">
        <v>997</v>
      </c>
      <c r="D1041">
        <v>7060</v>
      </c>
      <c r="E1041">
        <v>160</v>
      </c>
      <c r="F1041" t="s">
        <v>1293</v>
      </c>
      <c r="G1041" t="s">
        <v>1294</v>
      </c>
      <c r="H1041" s="315" t="s">
        <v>16</v>
      </c>
      <c r="I1041" s="315" t="s">
        <v>1295</v>
      </c>
      <c r="J1041" s="315" t="str">
        <f t="shared" si="96"/>
        <v>F&amp;IOther Expenses per vehicle retailed</v>
      </c>
      <c r="K1041" s="315" t="str">
        <f t="shared" si="97"/>
        <v>160F&amp;I Other expenses - Toyota</v>
      </c>
      <c r="L1041" s="311">
        <f>+SUMIF('TUNZ Extracted TB'!M:M,$P1041,'TUNZ Extracted TB'!G:G)</f>
        <v>0</v>
      </c>
      <c r="M1041" s="311"/>
      <c r="N1041" s="311">
        <f>+SUMIF('Input Sheet'!$AE:$AE,P1041,'Input Sheet'!$X:$X)</f>
        <v>0</v>
      </c>
      <c r="O1041" s="311"/>
      <c r="P1041" t="str">
        <f t="shared" si="98"/>
        <v>160-7060</v>
      </c>
      <c r="Q1041" s="315" t="str">
        <f t="shared" si="99"/>
        <v>F&amp;I</v>
      </c>
      <c r="R1041" s="315" t="str">
        <f t="shared" si="100"/>
        <v>F&amp;IOther Expenses per vehicle retailed</v>
      </c>
      <c r="S1041" s="199"/>
      <c r="T1041" s="199"/>
      <c r="U1041" s="199"/>
    </row>
    <row r="1042" spans="1:21" x14ac:dyDescent="0.25">
      <c r="A1042" t="s">
        <v>996</v>
      </c>
      <c r="B1042" t="s">
        <v>997</v>
      </c>
      <c r="C1042" t="s">
        <v>1012</v>
      </c>
      <c r="D1042">
        <v>7060</v>
      </c>
      <c r="E1042">
        <v>400</v>
      </c>
      <c r="F1042" t="s">
        <v>1277</v>
      </c>
      <c r="G1042" t="s">
        <v>1278</v>
      </c>
      <c r="H1042" s="315" t="s">
        <v>29</v>
      </c>
      <c r="I1042" s="315" t="s">
        <v>1279</v>
      </c>
      <c r="J1042" s="315" t="str">
        <f t="shared" si="96"/>
        <v>New VehicleOther Variable expenses p.u.</v>
      </c>
      <c r="K1042" s="315" t="str">
        <f t="shared" si="97"/>
        <v>400NV Other variable expenses - Toyota</v>
      </c>
      <c r="L1042" s="311">
        <f>+SUMIF('TUNZ Extracted TB'!M:M,$P1042,'TUNZ Extracted TB'!G:G)</f>
        <v>0</v>
      </c>
      <c r="M1042" s="311"/>
      <c r="N1042" s="311">
        <f>+SUMIF('Input Sheet'!$AE:$AE,P1042,'Input Sheet'!$X:$X)</f>
        <v>0</v>
      </c>
      <c r="O1042" s="311"/>
      <c r="P1042" t="str">
        <f t="shared" si="98"/>
        <v>400-7060</v>
      </c>
      <c r="Q1042" s="315" t="str">
        <f t="shared" si="99"/>
        <v>New Vehicle</v>
      </c>
      <c r="R1042" s="315" t="str">
        <f t="shared" si="100"/>
        <v>New VehicleOther Variable expenses p.u.</v>
      </c>
      <c r="S1042" s="199"/>
      <c r="T1042" s="199"/>
      <c r="U1042" s="199"/>
    </row>
    <row r="1043" spans="1:21" x14ac:dyDescent="0.25">
      <c r="A1043" t="s">
        <v>996</v>
      </c>
      <c r="B1043" t="s">
        <v>997</v>
      </c>
      <c r="C1043" t="s">
        <v>1005</v>
      </c>
      <c r="D1043">
        <v>7080</v>
      </c>
      <c r="E1043">
        <v>210</v>
      </c>
      <c r="F1043" t="s">
        <v>1296</v>
      </c>
      <c r="G1043" t="s">
        <v>1297</v>
      </c>
      <c r="H1043" s="315" t="s">
        <v>29</v>
      </c>
      <c r="I1043" s="315" t="s">
        <v>1298</v>
      </c>
      <c r="J1043" s="315" t="str">
        <f t="shared" si="96"/>
        <v>New VehicleAdvertising p.u.</v>
      </c>
      <c r="K1043" s="315" t="str">
        <f t="shared" si="97"/>
        <v>210NV Advertising &amp; Promotion - Toyota</v>
      </c>
      <c r="L1043" s="311">
        <f>+SUMIF('TUNZ Extracted TB'!M:M,$P1043,'TUNZ Extracted TB'!G:G)</f>
        <v>220.85</v>
      </c>
      <c r="M1043" s="311"/>
      <c r="N1043" s="311">
        <f>+SUMIF('Input Sheet'!$AE:$AE,P1043,'Input Sheet'!$X:$X)</f>
        <v>0</v>
      </c>
      <c r="O1043" s="311"/>
      <c r="P1043" t="str">
        <f t="shared" si="98"/>
        <v>210-7080</v>
      </c>
      <c r="Q1043" s="315" t="str">
        <f t="shared" si="99"/>
        <v>New Vehicle</v>
      </c>
      <c r="R1043" s="315" t="str">
        <f t="shared" si="100"/>
        <v>New VehicleAdvertising p.u.</v>
      </c>
      <c r="S1043" s="199"/>
      <c r="T1043" s="199"/>
      <c r="U1043" s="199"/>
    </row>
    <row r="1044" spans="1:21" x14ac:dyDescent="0.25">
      <c r="A1044" t="s">
        <v>996</v>
      </c>
      <c r="B1044" t="s">
        <v>997</v>
      </c>
      <c r="C1044" t="s">
        <v>997</v>
      </c>
      <c r="D1044">
        <v>7080</v>
      </c>
      <c r="E1044">
        <v>110</v>
      </c>
      <c r="F1044" t="s">
        <v>1296</v>
      </c>
      <c r="G1044" t="s">
        <v>1297</v>
      </c>
      <c r="H1044" s="315" t="s">
        <v>29</v>
      </c>
      <c r="I1044" s="315" t="s">
        <v>1298</v>
      </c>
      <c r="J1044" s="315" t="str">
        <f t="shared" si="96"/>
        <v>New VehicleAdvertising p.u.</v>
      </c>
      <c r="K1044" s="315" t="str">
        <f t="shared" si="97"/>
        <v>110NV Advertising &amp; Promotion - Toyota</v>
      </c>
      <c r="L1044" s="311">
        <f>+SUMIF('TUNZ Extracted TB'!M:M,$P1044,'TUNZ Extracted TB'!G:G)</f>
        <v>2731.76</v>
      </c>
      <c r="M1044" s="311"/>
      <c r="N1044" s="311">
        <f>+SUMIF('Input Sheet'!$AE:$AE,P1044,'Input Sheet'!$X:$X)</f>
        <v>0</v>
      </c>
      <c r="O1044" s="311"/>
      <c r="P1044" t="str">
        <f t="shared" si="98"/>
        <v>110-7080</v>
      </c>
      <c r="Q1044" s="315" t="str">
        <f t="shared" si="99"/>
        <v>New Vehicle</v>
      </c>
      <c r="R1044" s="315" t="str">
        <f t="shared" si="100"/>
        <v>New VehicleAdvertising p.u.</v>
      </c>
      <c r="S1044" s="199"/>
      <c r="T1044" s="199"/>
      <c r="U1044" s="199"/>
    </row>
    <row r="1045" spans="1:21" x14ac:dyDescent="0.25">
      <c r="A1045" t="s">
        <v>996</v>
      </c>
      <c r="B1045" t="s">
        <v>997</v>
      </c>
      <c r="C1045" t="s">
        <v>997</v>
      </c>
      <c r="D1045">
        <v>7060</v>
      </c>
      <c r="E1045">
        <v>936</v>
      </c>
      <c r="F1045" t="s">
        <v>1175</v>
      </c>
      <c r="G1045" t="s">
        <v>1176</v>
      </c>
      <c r="H1045" s="315" t="s">
        <v>58</v>
      </c>
      <c r="I1045" s="315" t="s">
        <v>1286</v>
      </c>
      <c r="J1045" s="315" t="str">
        <f t="shared" si="96"/>
        <v>BridgestoneOther Expenses as % of Sales</v>
      </c>
      <c r="K1045" s="315" t="str">
        <f t="shared" si="97"/>
        <v>936Other franchise/business expense</v>
      </c>
      <c r="L1045" s="311">
        <f>+SUMIF('TUNZ Extracted TB'!M:M,$P1045,'TUNZ Extracted TB'!G:G)</f>
        <v>0</v>
      </c>
      <c r="M1045" s="311"/>
      <c r="N1045" s="311">
        <f>+SUMIF('Input Sheet'!$AE:$AE,P1045,'Input Sheet'!$X:$X)</f>
        <v>0</v>
      </c>
      <c r="O1045" s="311"/>
      <c r="P1045" t="str">
        <f t="shared" si="98"/>
        <v>936-7060</v>
      </c>
      <c r="Q1045" s="315" t="str">
        <f t="shared" si="99"/>
        <v>Bridgestone</v>
      </c>
      <c r="R1045" s="315" t="str">
        <f t="shared" si="100"/>
        <v>BridgestoneOther Expenses as % of Sales</v>
      </c>
      <c r="S1045" s="199"/>
      <c r="T1045" s="199"/>
      <c r="U1045" s="199"/>
    </row>
    <row r="1046" spans="1:21" x14ac:dyDescent="0.25">
      <c r="A1046" t="s">
        <v>996</v>
      </c>
      <c r="B1046" t="s">
        <v>997</v>
      </c>
      <c r="C1046" t="s">
        <v>997</v>
      </c>
      <c r="D1046">
        <v>7060</v>
      </c>
      <c r="E1046">
        <v>935</v>
      </c>
      <c r="F1046" t="s">
        <v>1175</v>
      </c>
      <c r="G1046" t="s">
        <v>1176</v>
      </c>
      <c r="H1046" s="315" t="s">
        <v>58</v>
      </c>
      <c r="I1046" s="315" t="s">
        <v>1286</v>
      </c>
      <c r="J1046" s="315" t="str">
        <f t="shared" si="96"/>
        <v>BridgestoneOther Expenses as % of Sales</v>
      </c>
      <c r="K1046" s="315" t="str">
        <f t="shared" si="97"/>
        <v>935Other franchise/business expense</v>
      </c>
      <c r="L1046" s="311">
        <f>+SUMIF('TUNZ Extracted TB'!M:M,$P1046,'TUNZ Extracted TB'!G:G)</f>
        <v>0</v>
      </c>
      <c r="M1046" s="311"/>
      <c r="N1046" s="311">
        <f>+SUMIF('Input Sheet'!$AE:$AE,P1046,'Input Sheet'!$X:$X)</f>
        <v>0</v>
      </c>
      <c r="O1046" s="311"/>
      <c r="P1046" t="str">
        <f t="shared" si="98"/>
        <v>935-7060</v>
      </c>
      <c r="Q1046" s="315" t="str">
        <f t="shared" si="99"/>
        <v>Bridgestone</v>
      </c>
      <c r="R1046" s="315" t="str">
        <f t="shared" si="100"/>
        <v>BridgestoneOther Expenses as % of Sales</v>
      </c>
      <c r="S1046" s="199"/>
      <c r="T1046" s="199"/>
      <c r="U1046" s="199"/>
    </row>
    <row r="1047" spans="1:21" x14ac:dyDescent="0.25">
      <c r="A1047" t="s">
        <v>996</v>
      </c>
      <c r="B1047" t="s">
        <v>997</v>
      </c>
      <c r="C1047" t="s">
        <v>1005</v>
      </c>
      <c r="D1047">
        <v>7060</v>
      </c>
      <c r="E1047">
        <v>230</v>
      </c>
      <c r="F1047" t="s">
        <v>1291</v>
      </c>
      <c r="G1047" t="s">
        <v>1292</v>
      </c>
      <c r="H1047" s="315" t="s">
        <v>5</v>
      </c>
      <c r="I1047" s="315" t="s">
        <v>1286</v>
      </c>
      <c r="J1047" s="315" t="str">
        <f t="shared" si="96"/>
        <v>PartsOther Expenses as % of Sales</v>
      </c>
      <c r="K1047" s="315" t="str">
        <f t="shared" si="97"/>
        <v>230Parts Other Expenses - Toyota</v>
      </c>
      <c r="L1047" s="311">
        <f>+SUMIF('TUNZ Extracted TB'!M:M,$P1047,'TUNZ Extracted TB'!G:G)</f>
        <v>0</v>
      </c>
      <c r="M1047" s="311"/>
      <c r="N1047" s="311">
        <f>+SUMIF('Input Sheet'!$AE:$AE,P1047,'Input Sheet'!$X:$X)</f>
        <v>0</v>
      </c>
      <c r="O1047" s="311"/>
      <c r="P1047" t="str">
        <f t="shared" si="98"/>
        <v>230-7060</v>
      </c>
      <c r="Q1047" s="315" t="str">
        <f t="shared" si="99"/>
        <v>Parts</v>
      </c>
      <c r="R1047" s="315" t="str">
        <f t="shared" si="100"/>
        <v>PartsOther Expenses as % of Sales</v>
      </c>
      <c r="S1047" s="199"/>
      <c r="T1047" s="199"/>
      <c r="U1047" s="199"/>
    </row>
    <row r="1048" spans="1:21" x14ac:dyDescent="0.25">
      <c r="A1048" t="s">
        <v>996</v>
      </c>
      <c r="B1048" t="s">
        <v>997</v>
      </c>
      <c r="C1048" t="s">
        <v>997</v>
      </c>
      <c r="D1048">
        <v>7060</v>
      </c>
      <c r="E1048">
        <v>147</v>
      </c>
      <c r="F1048" t="s">
        <v>1289</v>
      </c>
      <c r="G1048" t="s">
        <v>1290</v>
      </c>
      <c r="H1048" s="315" t="s">
        <v>17</v>
      </c>
      <c r="I1048" s="315" t="s">
        <v>1286</v>
      </c>
      <c r="J1048" s="315" t="str">
        <f t="shared" si="96"/>
        <v>ServiceOther Expenses as % of Sales</v>
      </c>
      <c r="K1048" s="315" t="str">
        <f t="shared" si="97"/>
        <v>147Service Other expenses - Toyota</v>
      </c>
      <c r="L1048" s="311">
        <f>+SUMIF('TUNZ Extracted TB'!M:M,$P1048,'TUNZ Extracted TB'!G:G)</f>
        <v>0</v>
      </c>
      <c r="M1048" s="311"/>
      <c r="N1048" s="311">
        <f>+SUMIF('Input Sheet'!$AE:$AE,P1048,'Input Sheet'!$X:$X)</f>
        <v>425.52703098006606</v>
      </c>
      <c r="O1048" s="311"/>
      <c r="P1048" t="str">
        <f t="shared" si="98"/>
        <v>147-7060</v>
      </c>
      <c r="Q1048" s="315" t="str">
        <f t="shared" si="99"/>
        <v>Service</v>
      </c>
      <c r="R1048" s="315" t="str">
        <f t="shared" si="100"/>
        <v>ServiceOther Expenses as % of Sales</v>
      </c>
      <c r="S1048" s="199"/>
      <c r="T1048" s="199"/>
      <c r="U1048" s="199"/>
    </row>
    <row r="1049" spans="1:21" x14ac:dyDescent="0.25">
      <c r="A1049" t="s">
        <v>996</v>
      </c>
      <c r="B1049" t="s">
        <v>997</v>
      </c>
      <c r="C1049" t="s">
        <v>1005</v>
      </c>
      <c r="D1049">
        <v>7060</v>
      </c>
      <c r="E1049">
        <v>221</v>
      </c>
      <c r="F1049" t="s">
        <v>1165</v>
      </c>
      <c r="G1049" t="s">
        <v>1166</v>
      </c>
      <c r="H1049" s="315" t="s">
        <v>30</v>
      </c>
      <c r="I1049" s="315" t="s">
        <v>1167</v>
      </c>
      <c r="J1049" s="315" t="str">
        <f t="shared" si="96"/>
        <v>Used VehicleOther Variable expenses per retail</v>
      </c>
      <c r="K1049" s="315" t="str">
        <f t="shared" si="97"/>
        <v>221Toyota UV Other Variable expense</v>
      </c>
      <c r="L1049" s="311">
        <f>+SUMIF('TUNZ Extracted TB'!M:M,$P1049,'TUNZ Extracted TB'!G:G)</f>
        <v>0</v>
      </c>
      <c r="M1049" s="311"/>
      <c r="N1049" s="311">
        <f>+SUMIF('Input Sheet'!$AE:$AE,P1049,'Input Sheet'!$X:$X)</f>
        <v>0</v>
      </c>
      <c r="O1049" s="311"/>
      <c r="P1049" t="str">
        <f t="shared" si="98"/>
        <v>221-7060</v>
      </c>
      <c r="Q1049" s="315" t="str">
        <f t="shared" si="99"/>
        <v>Used Vehicle</v>
      </c>
      <c r="R1049" s="315" t="str">
        <f t="shared" si="100"/>
        <v>Used VehicleOther Variable expenses per retail</v>
      </c>
      <c r="S1049" s="199"/>
      <c r="T1049" s="199"/>
      <c r="U1049" s="199"/>
    </row>
    <row r="1050" spans="1:21" x14ac:dyDescent="0.25">
      <c r="A1050" t="s">
        <v>996</v>
      </c>
      <c r="B1050" t="s">
        <v>997</v>
      </c>
      <c r="C1050" t="s">
        <v>1012</v>
      </c>
      <c r="D1050">
        <v>7060</v>
      </c>
      <c r="E1050">
        <v>410</v>
      </c>
      <c r="F1050" t="s">
        <v>1165</v>
      </c>
      <c r="G1050" t="s">
        <v>1166</v>
      </c>
      <c r="H1050" s="315" t="s">
        <v>30</v>
      </c>
      <c r="I1050" s="315" t="s">
        <v>1167</v>
      </c>
      <c r="J1050" s="315" t="str">
        <f t="shared" si="96"/>
        <v>Used VehicleOther Variable expenses per retail</v>
      </c>
      <c r="K1050" s="315" t="str">
        <f t="shared" si="97"/>
        <v>410Toyota UV Other Variable expense</v>
      </c>
      <c r="L1050" s="311">
        <f>+SUMIF('TUNZ Extracted TB'!M:M,$P1050,'TUNZ Extracted TB'!G:G)</f>
        <v>0</v>
      </c>
      <c r="M1050" s="311"/>
      <c r="N1050" s="311">
        <f>+SUMIF('Input Sheet'!$AE:$AE,P1050,'Input Sheet'!$X:$X)</f>
        <v>0</v>
      </c>
      <c r="O1050" s="311"/>
      <c r="P1050" t="str">
        <f t="shared" si="98"/>
        <v>410-7060</v>
      </c>
      <c r="Q1050" s="315" t="str">
        <f t="shared" si="99"/>
        <v>Used Vehicle</v>
      </c>
      <c r="R1050" s="315" t="str">
        <f t="shared" si="100"/>
        <v>Used VehicleOther Variable expenses per retail</v>
      </c>
      <c r="S1050" s="199"/>
      <c r="T1050" s="199"/>
      <c r="U1050" s="199"/>
    </row>
    <row r="1051" spans="1:21" x14ac:dyDescent="0.25">
      <c r="A1051" t="s">
        <v>996</v>
      </c>
      <c r="B1051" t="s">
        <v>997</v>
      </c>
      <c r="C1051" t="s">
        <v>1012</v>
      </c>
      <c r="D1051">
        <v>7060</v>
      </c>
      <c r="E1051">
        <v>420</v>
      </c>
      <c r="F1051" t="s">
        <v>1165</v>
      </c>
      <c r="G1051" t="s">
        <v>1166</v>
      </c>
      <c r="H1051" s="315" t="s">
        <v>30</v>
      </c>
      <c r="I1051" s="315" t="s">
        <v>1167</v>
      </c>
      <c r="J1051" s="315" t="str">
        <f t="shared" si="96"/>
        <v>Used VehicleOther Variable expenses per retail</v>
      </c>
      <c r="K1051" s="315" t="str">
        <f t="shared" si="97"/>
        <v>420Toyota UV Other Variable expense</v>
      </c>
      <c r="L1051" s="311">
        <f>+SUMIF('TUNZ Extracted TB'!M:M,$P1051,'TUNZ Extracted TB'!G:G)</f>
        <v>0</v>
      </c>
      <c r="M1051" s="311"/>
      <c r="N1051" s="311">
        <f>+SUMIF('Input Sheet'!$AE:$AE,P1051,'Input Sheet'!$X:$X)</f>
        <v>0</v>
      </c>
      <c r="O1051" s="311"/>
      <c r="P1051" t="str">
        <f t="shared" si="98"/>
        <v>420-7060</v>
      </c>
      <c r="Q1051" s="315" t="str">
        <f t="shared" si="99"/>
        <v>Used Vehicle</v>
      </c>
      <c r="R1051" s="315" t="str">
        <f t="shared" si="100"/>
        <v>Used VehicleOther Variable expenses per retail</v>
      </c>
      <c r="S1051" s="199"/>
      <c r="T1051" s="199"/>
      <c r="U1051" s="199"/>
    </row>
    <row r="1052" spans="1:21" x14ac:dyDescent="0.25">
      <c r="A1052" t="s">
        <v>996</v>
      </c>
      <c r="B1052" t="s">
        <v>997</v>
      </c>
      <c r="C1052" t="s">
        <v>1012</v>
      </c>
      <c r="D1052">
        <v>7060</v>
      </c>
      <c r="E1052">
        <v>421</v>
      </c>
      <c r="F1052" t="s">
        <v>1165</v>
      </c>
      <c r="G1052" t="s">
        <v>1166</v>
      </c>
      <c r="H1052" s="315" t="s">
        <v>30</v>
      </c>
      <c r="I1052" s="315" t="s">
        <v>1167</v>
      </c>
      <c r="J1052" s="315" t="str">
        <f t="shared" si="96"/>
        <v>Used VehicleOther Variable expenses per retail</v>
      </c>
      <c r="K1052" s="315" t="str">
        <f t="shared" si="97"/>
        <v>421Toyota UV Other Variable expense</v>
      </c>
      <c r="L1052" s="311">
        <f>+SUMIF('TUNZ Extracted TB'!M:M,$P1052,'TUNZ Extracted TB'!G:G)</f>
        <v>0</v>
      </c>
      <c r="M1052" s="311"/>
      <c r="N1052" s="311">
        <f>+SUMIF('Input Sheet'!$AE:$AE,P1052,'Input Sheet'!$X:$X)</f>
        <v>0</v>
      </c>
      <c r="O1052" s="311"/>
      <c r="P1052" t="str">
        <f t="shared" si="98"/>
        <v>421-7060</v>
      </c>
      <c r="Q1052" s="315" t="str">
        <f t="shared" si="99"/>
        <v>Used Vehicle</v>
      </c>
      <c r="R1052" s="315" t="str">
        <f t="shared" si="100"/>
        <v>Used VehicleOther Variable expenses per retail</v>
      </c>
      <c r="S1052" s="199"/>
      <c r="T1052" s="199"/>
      <c r="U1052" s="199"/>
    </row>
    <row r="1053" spans="1:21" x14ac:dyDescent="0.25">
      <c r="A1053" t="s">
        <v>996</v>
      </c>
      <c r="B1053" t="s">
        <v>997</v>
      </c>
      <c r="C1053" t="s">
        <v>1013</v>
      </c>
      <c r="D1053">
        <v>7060</v>
      </c>
      <c r="E1053">
        <v>310</v>
      </c>
      <c r="F1053" t="s">
        <v>1165</v>
      </c>
      <c r="G1053" t="s">
        <v>1166</v>
      </c>
      <c r="H1053" s="315" t="s">
        <v>30</v>
      </c>
      <c r="I1053" s="315" t="s">
        <v>1167</v>
      </c>
      <c r="J1053" s="315" t="str">
        <f t="shared" si="96"/>
        <v>Used VehicleOther Variable expenses per retail</v>
      </c>
      <c r="K1053" s="315" t="str">
        <f t="shared" si="97"/>
        <v>310Toyota UV Other Variable expense</v>
      </c>
      <c r="L1053" s="311">
        <f>+SUMIF('TUNZ Extracted TB'!M:M,$P1053,'TUNZ Extracted TB'!G:G)</f>
        <v>0</v>
      </c>
      <c r="M1053" s="311"/>
      <c r="N1053" s="311">
        <f>+SUMIF('Input Sheet'!$AE:$AE,P1053,'Input Sheet'!$X:$X)</f>
        <v>0</v>
      </c>
      <c r="O1053" s="311"/>
      <c r="P1053" t="str">
        <f t="shared" si="98"/>
        <v>310-7060</v>
      </c>
      <c r="Q1053" s="315" t="str">
        <f t="shared" si="99"/>
        <v>Used Vehicle</v>
      </c>
      <c r="R1053" s="315" t="str">
        <f t="shared" si="100"/>
        <v>Used VehicleOther Variable expenses per retail</v>
      </c>
      <c r="S1053" s="199"/>
      <c r="T1053" s="199"/>
      <c r="U1053" s="199"/>
    </row>
    <row r="1054" spans="1:21" x14ac:dyDescent="0.25">
      <c r="A1054" t="s">
        <v>996</v>
      </c>
      <c r="B1054" t="s">
        <v>997</v>
      </c>
      <c r="C1054" t="s">
        <v>1013</v>
      </c>
      <c r="D1054">
        <v>7060</v>
      </c>
      <c r="E1054">
        <v>320</v>
      </c>
      <c r="F1054" t="s">
        <v>1165</v>
      </c>
      <c r="G1054" t="s">
        <v>1166</v>
      </c>
      <c r="H1054" s="315" t="s">
        <v>30</v>
      </c>
      <c r="I1054" s="315" t="s">
        <v>1167</v>
      </c>
      <c r="J1054" s="315" t="str">
        <f t="shared" si="96"/>
        <v>Used VehicleOther Variable expenses per retail</v>
      </c>
      <c r="K1054" s="315" t="str">
        <f t="shared" si="97"/>
        <v>320Toyota UV Other Variable expense</v>
      </c>
      <c r="L1054" s="311">
        <f>+SUMIF('TUNZ Extracted TB'!M:M,$P1054,'TUNZ Extracted TB'!G:G)</f>
        <v>0</v>
      </c>
      <c r="M1054" s="311"/>
      <c r="N1054" s="311">
        <f>+SUMIF('Input Sheet'!$AE:$AE,P1054,'Input Sheet'!$X:$X)</f>
        <v>0</v>
      </c>
      <c r="O1054" s="311"/>
      <c r="P1054" t="str">
        <f t="shared" si="98"/>
        <v>320-7060</v>
      </c>
      <c r="Q1054" s="315" t="str">
        <f t="shared" si="99"/>
        <v>Used Vehicle</v>
      </c>
      <c r="R1054" s="315" t="str">
        <f t="shared" si="100"/>
        <v>Used VehicleOther Variable expenses per retail</v>
      </c>
      <c r="S1054" s="199"/>
      <c r="T1054" s="199"/>
      <c r="U1054" s="199"/>
    </row>
    <row r="1055" spans="1:21" x14ac:dyDescent="0.25">
      <c r="A1055" t="s">
        <v>996</v>
      </c>
      <c r="B1055" t="s">
        <v>997</v>
      </c>
      <c r="C1055" t="s">
        <v>1013</v>
      </c>
      <c r="D1055">
        <v>7060</v>
      </c>
      <c r="E1055">
        <v>321</v>
      </c>
      <c r="F1055" t="s">
        <v>1165</v>
      </c>
      <c r="G1055" t="s">
        <v>1166</v>
      </c>
      <c r="H1055" s="315" t="s">
        <v>30</v>
      </c>
      <c r="I1055" s="315" t="s">
        <v>1167</v>
      </c>
      <c r="J1055" s="315" t="str">
        <f t="shared" si="96"/>
        <v>Used VehicleOther Variable expenses per retail</v>
      </c>
      <c r="K1055" s="315" t="str">
        <f t="shared" si="97"/>
        <v>321Toyota UV Other Variable expense</v>
      </c>
      <c r="L1055" s="311">
        <f>+SUMIF('TUNZ Extracted TB'!M:M,$P1055,'TUNZ Extracted TB'!G:G)</f>
        <v>0</v>
      </c>
      <c r="M1055" s="311"/>
      <c r="N1055" s="311">
        <f>+SUMIF('Input Sheet'!$AE:$AE,P1055,'Input Sheet'!$X:$X)</f>
        <v>0</v>
      </c>
      <c r="O1055" s="311"/>
      <c r="P1055" t="str">
        <f t="shared" si="98"/>
        <v>321-7060</v>
      </c>
      <c r="Q1055" s="315" t="str">
        <f t="shared" si="99"/>
        <v>Used Vehicle</v>
      </c>
      <c r="R1055" s="315" t="str">
        <f t="shared" si="100"/>
        <v>Used VehicleOther Variable expenses per retail</v>
      </c>
      <c r="S1055" s="199"/>
      <c r="T1055" s="199"/>
      <c r="U1055" s="199"/>
    </row>
    <row r="1056" spans="1:21" x14ac:dyDescent="0.25">
      <c r="A1056" t="s">
        <v>996</v>
      </c>
      <c r="B1056" t="s">
        <v>997</v>
      </c>
      <c r="C1056" t="s">
        <v>997</v>
      </c>
      <c r="D1056">
        <v>7080</v>
      </c>
      <c r="E1056">
        <v>935</v>
      </c>
      <c r="F1056" t="s">
        <v>1175</v>
      </c>
      <c r="G1056" t="s">
        <v>1176</v>
      </c>
      <c r="H1056" s="315" t="s">
        <v>58</v>
      </c>
      <c r="I1056" s="315" t="s">
        <v>1286</v>
      </c>
      <c r="J1056" s="315" t="str">
        <f t="shared" si="96"/>
        <v>BridgestoneOther Expenses as % of Sales</v>
      </c>
      <c r="K1056" s="315" t="str">
        <f t="shared" si="97"/>
        <v>935Other franchise/business expense</v>
      </c>
      <c r="L1056" s="311">
        <f>+SUMIF('TUNZ Extracted TB'!M:M,$P1056,'TUNZ Extracted TB'!G:G)</f>
        <v>0</v>
      </c>
      <c r="M1056" s="311"/>
      <c r="N1056" s="311">
        <f>+SUMIF('Input Sheet'!$AE:$AE,P1056,'Input Sheet'!$X:$X)</f>
        <v>0</v>
      </c>
      <c r="O1056" s="311"/>
      <c r="P1056" t="str">
        <f t="shared" si="98"/>
        <v>935-7080</v>
      </c>
      <c r="Q1056" s="315" t="str">
        <f t="shared" si="99"/>
        <v>Bridgestone</v>
      </c>
      <c r="R1056" s="315" t="str">
        <f t="shared" si="100"/>
        <v>BridgestoneOther Expenses as % of Sales</v>
      </c>
      <c r="S1056" s="199"/>
      <c r="T1056" s="199"/>
      <c r="U1056" s="199"/>
    </row>
    <row r="1057" spans="1:21" x14ac:dyDescent="0.25">
      <c r="A1057" t="s">
        <v>996</v>
      </c>
      <c r="B1057" t="s">
        <v>997</v>
      </c>
      <c r="C1057" t="s">
        <v>997</v>
      </c>
      <c r="D1057">
        <v>7080</v>
      </c>
      <c r="E1057">
        <v>120</v>
      </c>
      <c r="F1057" t="s">
        <v>1299</v>
      </c>
      <c r="G1057" t="s">
        <v>1300</v>
      </c>
      <c r="H1057" s="315" t="s">
        <v>30</v>
      </c>
      <c r="I1057" s="315" t="s">
        <v>1301</v>
      </c>
      <c r="J1057" s="315" t="str">
        <f t="shared" si="96"/>
        <v>Used VehicleAdvertising per retail</v>
      </c>
      <c r="K1057" s="315" t="str">
        <f t="shared" si="97"/>
        <v>120Toyota UV Advertising &amp; Promotion</v>
      </c>
      <c r="L1057" s="311">
        <f>+SUMIF('TUNZ Extracted TB'!M:M,$P1057,'TUNZ Extracted TB'!G:G)</f>
        <v>5831.21</v>
      </c>
      <c r="M1057" s="311"/>
      <c r="N1057" s="311">
        <f>+SUMIF('Input Sheet'!$AE:$AE,P1057,'Input Sheet'!$X:$X)</f>
        <v>65536.153333333335</v>
      </c>
      <c r="O1057" s="311"/>
      <c r="P1057" t="str">
        <f t="shared" si="98"/>
        <v>120-7080</v>
      </c>
      <c r="Q1057" s="315" t="str">
        <f t="shared" si="99"/>
        <v>Used Vehicle</v>
      </c>
      <c r="R1057" s="315" t="str">
        <f t="shared" si="100"/>
        <v>Used VehicleAdvertising per retail</v>
      </c>
      <c r="S1057" s="199"/>
      <c r="T1057" s="199"/>
      <c r="U1057" s="199"/>
    </row>
    <row r="1058" spans="1:21" x14ac:dyDescent="0.25">
      <c r="A1058" t="s">
        <v>996</v>
      </c>
      <c r="B1058" t="s">
        <v>997</v>
      </c>
      <c r="C1058" t="s">
        <v>997</v>
      </c>
      <c r="D1058">
        <v>7080</v>
      </c>
      <c r="E1058">
        <v>112</v>
      </c>
      <c r="F1058" t="s">
        <v>1302</v>
      </c>
      <c r="G1058" t="s">
        <v>1303</v>
      </c>
      <c r="H1058" s="315" t="s">
        <v>1011</v>
      </c>
      <c r="I1058" s="315" t="s">
        <v>1298</v>
      </c>
      <c r="J1058" s="315" t="str">
        <f t="shared" si="96"/>
        <v>LEX New VehicleAdvertising p.u.</v>
      </c>
      <c r="K1058" s="315" t="str">
        <f t="shared" si="97"/>
        <v>112NV Advertising &amp; Promotion - Lexus</v>
      </c>
      <c r="L1058" s="311">
        <f>+SUMIF('TUNZ Extracted TB'!M:M,$P1058,'TUNZ Extracted TB'!G:G)</f>
        <v>1081.55</v>
      </c>
      <c r="M1058" s="311"/>
      <c r="N1058" s="311">
        <f>+SUMIF('Input Sheet'!$AE:$AE,P1058,'Input Sheet'!$X:$X)</f>
        <v>145000</v>
      </c>
      <c r="O1058" s="311"/>
      <c r="P1058" t="str">
        <f t="shared" si="98"/>
        <v>112-7080</v>
      </c>
      <c r="Q1058" s="315" t="str">
        <f t="shared" si="99"/>
        <v>LEX New Vehicle</v>
      </c>
      <c r="R1058" s="315" t="str">
        <f t="shared" si="100"/>
        <v>LEX New VehicleAdvertising p.u.</v>
      </c>
      <c r="S1058" s="199"/>
      <c r="T1058" s="199"/>
      <c r="U1058" s="199"/>
    </row>
    <row r="1059" spans="1:21" x14ac:dyDescent="0.25">
      <c r="A1059" t="s">
        <v>996</v>
      </c>
      <c r="B1059" t="s">
        <v>997</v>
      </c>
      <c r="C1059" t="s">
        <v>997</v>
      </c>
      <c r="D1059">
        <v>7080</v>
      </c>
      <c r="E1059">
        <v>122</v>
      </c>
      <c r="F1059" t="s">
        <v>1304</v>
      </c>
      <c r="G1059" t="s">
        <v>1305</v>
      </c>
      <c r="H1059" s="315" t="s">
        <v>1041</v>
      </c>
      <c r="I1059" s="315" t="s">
        <v>1301</v>
      </c>
      <c r="J1059" s="315" t="str">
        <f t="shared" si="96"/>
        <v>LEX Used VehicleAdvertising per retail</v>
      </c>
      <c r="K1059" s="315" t="str">
        <f t="shared" si="97"/>
        <v>122Lexus UV Advertising &amp; Promotion</v>
      </c>
      <c r="L1059" s="311">
        <f>+SUMIF('TUNZ Extracted TB'!M:M,$P1059,'TUNZ Extracted TB'!G:G)</f>
        <v>411</v>
      </c>
      <c r="M1059" s="311"/>
      <c r="N1059" s="311">
        <f>+SUMIF('Input Sheet'!$AE:$AE,P1059,'Input Sheet'!$X:$X)</f>
        <v>10169.34</v>
      </c>
      <c r="O1059" s="311"/>
      <c r="P1059" t="str">
        <f t="shared" si="98"/>
        <v>122-7080</v>
      </c>
      <c r="Q1059" s="315" t="str">
        <f t="shared" si="99"/>
        <v>LEX Used Vehicle</v>
      </c>
      <c r="R1059" s="315" t="str">
        <f t="shared" si="100"/>
        <v>LEX Used VehicleAdvertising per retail</v>
      </c>
      <c r="S1059" s="199"/>
      <c r="T1059" s="199"/>
      <c r="U1059" s="199"/>
    </row>
    <row r="1060" spans="1:21" x14ac:dyDescent="0.25">
      <c r="A1060" t="s">
        <v>996</v>
      </c>
      <c r="B1060" t="s">
        <v>997</v>
      </c>
      <c r="C1060" t="s">
        <v>1012</v>
      </c>
      <c r="D1060">
        <v>7080</v>
      </c>
      <c r="E1060">
        <v>440</v>
      </c>
      <c r="F1060" t="s">
        <v>1306</v>
      </c>
      <c r="G1060" t="s">
        <v>1307</v>
      </c>
      <c r="H1060" s="315" t="s">
        <v>17</v>
      </c>
      <c r="I1060" s="315" t="s">
        <v>1286</v>
      </c>
      <c r="J1060" s="315" t="str">
        <f t="shared" si="96"/>
        <v>ServiceOther Expenses as % of Sales</v>
      </c>
      <c r="K1060" s="315" t="str">
        <f t="shared" si="97"/>
        <v>440Service Advertising &amp; Promotion - Toyota</v>
      </c>
      <c r="L1060" s="311">
        <f>+SUMIF('TUNZ Extracted TB'!M:M,$P1060,'TUNZ Extracted TB'!G:G)</f>
        <v>0</v>
      </c>
      <c r="M1060" s="311"/>
      <c r="N1060" s="311">
        <f>+SUMIF('Input Sheet'!$AE:$AE,P1060,'Input Sheet'!$X:$X)</f>
        <v>0</v>
      </c>
      <c r="O1060" s="311"/>
      <c r="P1060" t="str">
        <f t="shared" si="98"/>
        <v>440-7080</v>
      </c>
      <c r="Q1060" s="315" t="str">
        <f t="shared" si="99"/>
        <v>Service</v>
      </c>
      <c r="R1060" s="315" t="str">
        <f t="shared" si="100"/>
        <v>ServiceOther Expenses as % of Sales</v>
      </c>
      <c r="S1060" s="199"/>
      <c r="T1060" s="199"/>
      <c r="U1060" s="199"/>
    </row>
    <row r="1061" spans="1:21" x14ac:dyDescent="0.25">
      <c r="A1061" t="s">
        <v>996</v>
      </c>
      <c r="B1061" t="s">
        <v>997</v>
      </c>
      <c r="C1061" t="s">
        <v>1005</v>
      </c>
      <c r="D1061">
        <v>7080</v>
      </c>
      <c r="E1061">
        <v>220</v>
      </c>
      <c r="F1061" t="s">
        <v>1299</v>
      </c>
      <c r="G1061" t="s">
        <v>1300</v>
      </c>
      <c r="H1061" s="315" t="s">
        <v>30</v>
      </c>
      <c r="I1061" s="315" t="s">
        <v>1301</v>
      </c>
      <c r="J1061" s="315" t="str">
        <f t="shared" si="96"/>
        <v>Used VehicleAdvertising per retail</v>
      </c>
      <c r="K1061" s="315" t="str">
        <f t="shared" si="97"/>
        <v>220Toyota UV Advertising &amp; Promotion</v>
      </c>
      <c r="L1061" s="311">
        <f>+SUMIF('TUNZ Extracted TB'!M:M,$P1061,'TUNZ Extracted TB'!G:G)</f>
        <v>188.49</v>
      </c>
      <c r="M1061" s="311"/>
      <c r="N1061" s="311">
        <f>+SUMIF('Input Sheet'!$AE:$AE,P1061,'Input Sheet'!$X:$X)</f>
        <v>53842.726666666647</v>
      </c>
      <c r="O1061" s="311"/>
      <c r="P1061" t="str">
        <f t="shared" si="98"/>
        <v>220-7080</v>
      </c>
      <c r="Q1061" s="315" t="str">
        <f t="shared" si="99"/>
        <v>Used Vehicle</v>
      </c>
      <c r="R1061" s="315" t="str">
        <f t="shared" si="100"/>
        <v>Used VehicleAdvertising per retail</v>
      </c>
      <c r="S1061" s="199"/>
      <c r="T1061" s="199"/>
      <c r="U1061" s="199"/>
    </row>
    <row r="1062" spans="1:21" x14ac:dyDescent="0.25">
      <c r="A1062" t="s">
        <v>996</v>
      </c>
      <c r="B1062" t="s">
        <v>997</v>
      </c>
      <c r="C1062" t="s">
        <v>997</v>
      </c>
      <c r="D1062">
        <v>7080</v>
      </c>
      <c r="E1062">
        <v>140</v>
      </c>
      <c r="F1062" t="s">
        <v>1306</v>
      </c>
      <c r="G1062" t="s">
        <v>1307</v>
      </c>
      <c r="H1062" s="315" t="s">
        <v>17</v>
      </c>
      <c r="I1062" s="315" t="s">
        <v>1286</v>
      </c>
      <c r="J1062" s="315" t="str">
        <f t="shared" si="96"/>
        <v>ServiceOther Expenses as % of Sales</v>
      </c>
      <c r="K1062" s="315" t="str">
        <f t="shared" si="97"/>
        <v>140Service Advertising &amp; Promotion - Toyota</v>
      </c>
      <c r="L1062" s="311">
        <f>+SUMIF('TUNZ Extracted TB'!M:M,$P1062,'TUNZ Extracted TB'!G:G)</f>
        <v>2153.12</v>
      </c>
      <c r="M1062" s="311"/>
      <c r="N1062" s="311">
        <f>+SUMIF('Input Sheet'!$AE:$AE,P1062,'Input Sheet'!$X:$X)</f>
        <v>0</v>
      </c>
      <c r="O1062" s="311"/>
      <c r="P1062" t="str">
        <f t="shared" si="98"/>
        <v>140-7080</v>
      </c>
      <c r="Q1062" s="315" t="str">
        <f t="shared" si="99"/>
        <v>Service</v>
      </c>
      <c r="R1062" s="315" t="str">
        <f t="shared" si="100"/>
        <v>ServiceOther Expenses as % of Sales</v>
      </c>
      <c r="S1062" s="199"/>
      <c r="T1062" s="199"/>
      <c r="U1062" s="199"/>
    </row>
    <row r="1063" spans="1:21" x14ac:dyDescent="0.25">
      <c r="A1063" t="s">
        <v>996</v>
      </c>
      <c r="B1063" t="s">
        <v>997</v>
      </c>
      <c r="C1063" t="s">
        <v>997</v>
      </c>
      <c r="D1063">
        <v>7080</v>
      </c>
      <c r="E1063">
        <v>142</v>
      </c>
      <c r="F1063" t="s">
        <v>1308</v>
      </c>
      <c r="G1063" t="s">
        <v>1309</v>
      </c>
      <c r="H1063" s="315" t="s">
        <v>1022</v>
      </c>
      <c r="I1063" s="315" t="s">
        <v>1286</v>
      </c>
      <c r="J1063" s="315" t="str">
        <f t="shared" si="96"/>
        <v>Lex ServiceOther Expenses as % of Sales</v>
      </c>
      <c r="K1063" s="315" t="str">
        <f t="shared" si="97"/>
        <v>142Service Advertising &amp; Promotion - Lexus</v>
      </c>
      <c r="L1063" s="311">
        <f>+SUMIF('TUNZ Extracted TB'!M:M,$P1063,'TUNZ Extracted TB'!G:G)</f>
        <v>0</v>
      </c>
      <c r="M1063" s="311"/>
      <c r="N1063" s="311">
        <f>+SUMIF('Input Sheet'!$AE:$AE,P1063,'Input Sheet'!$X:$X)</f>
        <v>0</v>
      </c>
      <c r="O1063" s="311"/>
      <c r="P1063" t="str">
        <f t="shared" si="98"/>
        <v>142-7080</v>
      </c>
      <c r="Q1063" s="315" t="str">
        <f t="shared" si="99"/>
        <v>Lex Service</v>
      </c>
      <c r="R1063" s="315" t="str">
        <f t="shared" si="100"/>
        <v>Lex ServiceOther Expenses as % of Sales</v>
      </c>
      <c r="S1063" s="199"/>
      <c r="T1063" s="199"/>
      <c r="U1063" s="199"/>
    </row>
    <row r="1064" spans="1:21" x14ac:dyDescent="0.25">
      <c r="A1064" t="s">
        <v>996</v>
      </c>
      <c r="B1064" t="s">
        <v>997</v>
      </c>
      <c r="C1064" t="s">
        <v>997</v>
      </c>
      <c r="D1064">
        <v>7080</v>
      </c>
      <c r="E1064">
        <v>130</v>
      </c>
      <c r="F1064" t="s">
        <v>1310</v>
      </c>
      <c r="G1064" t="s">
        <v>1311</v>
      </c>
      <c r="H1064" s="315" t="s">
        <v>5</v>
      </c>
      <c r="I1064" s="315" t="s">
        <v>1286</v>
      </c>
      <c r="J1064" s="315" t="str">
        <f t="shared" si="96"/>
        <v>PartsOther Expenses as % of Sales</v>
      </c>
      <c r="K1064" s="315" t="str">
        <f t="shared" si="97"/>
        <v>130Parts Advertising &amp; Promotion - Toyota</v>
      </c>
      <c r="L1064" s="311">
        <f>+SUMIF('TUNZ Extracted TB'!M:M,$P1064,'TUNZ Extracted TB'!G:G)</f>
        <v>2131.3000000000002</v>
      </c>
      <c r="M1064" s="311"/>
      <c r="N1064" s="311">
        <f>+SUMIF('Input Sheet'!$AE:$AE,P1064,'Input Sheet'!$X:$X)</f>
        <v>0</v>
      </c>
      <c r="O1064" s="311"/>
      <c r="P1064" t="str">
        <f t="shared" si="98"/>
        <v>130-7080</v>
      </c>
      <c r="Q1064" s="315" t="str">
        <f t="shared" si="99"/>
        <v>Parts</v>
      </c>
      <c r="R1064" s="315" t="str">
        <f t="shared" si="100"/>
        <v>PartsOther Expenses as % of Sales</v>
      </c>
      <c r="S1064" s="199"/>
      <c r="T1064" s="199"/>
      <c r="U1064" s="199"/>
    </row>
    <row r="1065" spans="1:21" x14ac:dyDescent="0.25">
      <c r="A1065" t="s">
        <v>996</v>
      </c>
      <c r="B1065" t="s">
        <v>997</v>
      </c>
      <c r="C1065" t="s">
        <v>1012</v>
      </c>
      <c r="D1065">
        <v>7080</v>
      </c>
      <c r="E1065">
        <v>400</v>
      </c>
      <c r="F1065" t="s">
        <v>1296</v>
      </c>
      <c r="G1065" t="s">
        <v>1297</v>
      </c>
      <c r="H1065" s="315" t="s">
        <v>29</v>
      </c>
      <c r="I1065" s="315" t="s">
        <v>1298</v>
      </c>
      <c r="J1065" s="315" t="str">
        <f t="shared" si="96"/>
        <v>New VehicleAdvertising p.u.</v>
      </c>
      <c r="K1065" s="315" t="str">
        <f t="shared" si="97"/>
        <v>400NV Advertising &amp; Promotion - Toyota</v>
      </c>
      <c r="L1065" s="311">
        <f>+SUMIF('TUNZ Extracted TB'!M:M,$P1065,'TUNZ Extracted TB'!G:G)</f>
        <v>0</v>
      </c>
      <c r="M1065" s="311"/>
      <c r="N1065" s="311">
        <f>+SUMIF('Input Sheet'!$AE:$AE,P1065,'Input Sheet'!$X:$X)</f>
        <v>0</v>
      </c>
      <c r="O1065" s="311"/>
      <c r="P1065" t="str">
        <f t="shared" si="98"/>
        <v>400-7080</v>
      </c>
      <c r="Q1065" s="315" t="str">
        <f t="shared" si="99"/>
        <v>New Vehicle</v>
      </c>
      <c r="R1065" s="315" t="str">
        <f t="shared" si="100"/>
        <v>New VehicleAdvertising p.u.</v>
      </c>
      <c r="S1065" s="199"/>
      <c r="T1065" s="199"/>
      <c r="U1065" s="199"/>
    </row>
    <row r="1066" spans="1:21" x14ac:dyDescent="0.25">
      <c r="A1066" t="s">
        <v>996</v>
      </c>
      <c r="B1066" t="s">
        <v>997</v>
      </c>
      <c r="C1066" t="s">
        <v>1013</v>
      </c>
      <c r="D1066">
        <v>7080</v>
      </c>
      <c r="E1066">
        <v>300</v>
      </c>
      <c r="F1066" t="s">
        <v>1296</v>
      </c>
      <c r="G1066" t="s">
        <v>1297</v>
      </c>
      <c r="H1066" s="315" t="s">
        <v>29</v>
      </c>
      <c r="I1066" s="315" t="s">
        <v>1298</v>
      </c>
      <c r="J1066" s="315" t="str">
        <f t="shared" si="96"/>
        <v>New VehicleAdvertising p.u.</v>
      </c>
      <c r="K1066" s="315" t="str">
        <f t="shared" si="97"/>
        <v>300NV Advertising &amp; Promotion - Toyota</v>
      </c>
      <c r="L1066" s="311">
        <f>+SUMIF('TUNZ Extracted TB'!M:M,$P1066,'TUNZ Extracted TB'!G:G)</f>
        <v>0</v>
      </c>
      <c r="M1066" s="311"/>
      <c r="N1066" s="311">
        <f>+SUMIF('Input Sheet'!$AE:$AE,P1066,'Input Sheet'!$X:$X)</f>
        <v>0</v>
      </c>
      <c r="O1066" s="311"/>
      <c r="P1066" t="str">
        <f t="shared" si="98"/>
        <v>300-7080</v>
      </c>
      <c r="Q1066" s="315" t="str">
        <f t="shared" si="99"/>
        <v>New Vehicle</v>
      </c>
      <c r="R1066" s="315" t="str">
        <f t="shared" si="100"/>
        <v>New VehicleAdvertising p.u.</v>
      </c>
      <c r="S1066" s="199"/>
      <c r="T1066" s="199"/>
      <c r="U1066" s="199"/>
    </row>
    <row r="1067" spans="1:21" x14ac:dyDescent="0.25">
      <c r="A1067" t="s">
        <v>996</v>
      </c>
      <c r="B1067" t="s">
        <v>997</v>
      </c>
      <c r="C1067" t="s">
        <v>997</v>
      </c>
      <c r="D1067">
        <v>7100</v>
      </c>
      <c r="E1067">
        <v>112</v>
      </c>
      <c r="F1067" t="s">
        <v>1312</v>
      </c>
      <c r="G1067" t="s">
        <v>1313</v>
      </c>
      <c r="H1067" s="315" t="s">
        <v>1011</v>
      </c>
      <c r="I1067" s="315" t="s">
        <v>1314</v>
      </c>
      <c r="J1067" s="315" t="str">
        <f t="shared" si="96"/>
        <v>LEX New VehicleDemo Expenses (incl. interest) p.u.</v>
      </c>
      <c r="K1067" s="315" t="str">
        <f t="shared" si="97"/>
        <v>112NV Demo Expenses - Lexus</v>
      </c>
      <c r="L1067" s="311">
        <f>+SUMIF('TUNZ Extracted TB'!M:M,$P1067,'TUNZ Extracted TB'!G:G)</f>
        <v>0</v>
      </c>
      <c r="M1067" s="311"/>
      <c r="N1067" s="311">
        <f>+SUMIF('Input Sheet'!$AE:$AE,P1067,'Input Sheet'!$X:$X)</f>
        <v>0</v>
      </c>
      <c r="O1067" s="311"/>
      <c r="P1067" t="str">
        <f t="shared" si="98"/>
        <v>112-7100</v>
      </c>
      <c r="Q1067" s="315" t="str">
        <f t="shared" si="99"/>
        <v>LEX New Vehicle</v>
      </c>
      <c r="R1067" s="315" t="str">
        <f t="shared" si="100"/>
        <v>LEX New VehicleDemo Expenses (incl. interest) p.u.</v>
      </c>
      <c r="S1067" s="199"/>
      <c r="T1067" s="199"/>
      <c r="U1067" s="199"/>
    </row>
    <row r="1068" spans="1:21" x14ac:dyDescent="0.25">
      <c r="A1068" t="s">
        <v>996</v>
      </c>
      <c r="B1068" t="s">
        <v>997</v>
      </c>
      <c r="C1068" t="s">
        <v>997</v>
      </c>
      <c r="D1068">
        <v>7080</v>
      </c>
      <c r="E1068">
        <v>162</v>
      </c>
      <c r="F1068" t="s">
        <v>1315</v>
      </c>
      <c r="G1068" t="s">
        <v>1316</v>
      </c>
      <c r="H1068" s="315" t="s">
        <v>142</v>
      </c>
      <c r="I1068" s="315" t="s">
        <v>1295</v>
      </c>
      <c r="J1068" s="315" t="str">
        <f t="shared" si="96"/>
        <v>LEX F&amp;IOther Expenses per vehicle retailed</v>
      </c>
      <c r="K1068" s="315" t="str">
        <f t="shared" si="97"/>
        <v>162F&amp;I Advertising &amp; Promotion - Lexus</v>
      </c>
      <c r="L1068" s="311">
        <f>+SUMIF('TUNZ Extracted TB'!M:M,$P1068,'TUNZ Extracted TB'!G:G)</f>
        <v>0</v>
      </c>
      <c r="M1068" s="311"/>
      <c r="N1068" s="311">
        <f>+SUMIF('Input Sheet'!$AE:$AE,P1068,'Input Sheet'!$X:$X)</f>
        <v>0</v>
      </c>
      <c r="O1068" s="311"/>
      <c r="P1068" t="str">
        <f t="shared" si="98"/>
        <v>162-7080</v>
      </c>
      <c r="Q1068" s="315" t="str">
        <f t="shared" si="99"/>
        <v>LEX F&amp;I</v>
      </c>
      <c r="R1068" s="315" t="str">
        <f t="shared" si="100"/>
        <v>LEX F&amp;IOther Expenses per vehicle retailed</v>
      </c>
      <c r="S1068" s="199"/>
      <c r="T1068" s="199"/>
      <c r="U1068" s="199"/>
    </row>
    <row r="1069" spans="1:21" x14ac:dyDescent="0.25">
      <c r="A1069" t="s">
        <v>996</v>
      </c>
      <c r="B1069" t="s">
        <v>997</v>
      </c>
      <c r="C1069" t="s">
        <v>997</v>
      </c>
      <c r="D1069">
        <v>7080</v>
      </c>
      <c r="E1069">
        <v>160</v>
      </c>
      <c r="F1069" t="s">
        <v>1317</v>
      </c>
      <c r="G1069" t="s">
        <v>1318</v>
      </c>
      <c r="H1069" s="315" t="s">
        <v>16</v>
      </c>
      <c r="I1069" s="315" t="s">
        <v>1295</v>
      </c>
      <c r="J1069" s="315" t="str">
        <f t="shared" si="96"/>
        <v>F&amp;IOther Expenses per vehicle retailed</v>
      </c>
      <c r="K1069" s="315" t="str">
        <f t="shared" si="97"/>
        <v>160F&amp;I Advertising &amp; Promotion - Toyota</v>
      </c>
      <c r="L1069" s="311">
        <f>+SUMIF('TUNZ Extracted TB'!M:M,$P1069,'TUNZ Extracted TB'!G:G)</f>
        <v>72.73</v>
      </c>
      <c r="M1069" s="311"/>
      <c r="N1069" s="311">
        <f>+SUMIF('Input Sheet'!$AE:$AE,P1069,'Input Sheet'!$X:$X)</f>
        <v>0</v>
      </c>
      <c r="O1069" s="311"/>
      <c r="P1069" t="str">
        <f t="shared" si="98"/>
        <v>160-7080</v>
      </c>
      <c r="Q1069" s="315" t="str">
        <f t="shared" si="99"/>
        <v>F&amp;I</v>
      </c>
      <c r="R1069" s="315" t="str">
        <f t="shared" si="100"/>
        <v>F&amp;IOther Expenses per vehicle retailed</v>
      </c>
      <c r="S1069" s="199"/>
      <c r="T1069" s="199"/>
      <c r="U1069" s="199"/>
    </row>
    <row r="1070" spans="1:21" x14ac:dyDescent="0.25">
      <c r="A1070" t="s">
        <v>996</v>
      </c>
      <c r="B1070" t="s">
        <v>997</v>
      </c>
      <c r="C1070" t="s">
        <v>997</v>
      </c>
      <c r="D1070">
        <v>7100</v>
      </c>
      <c r="E1070">
        <v>100</v>
      </c>
      <c r="F1070" t="s">
        <v>1319</v>
      </c>
      <c r="G1070" t="s">
        <v>1320</v>
      </c>
      <c r="H1070" s="315" t="s">
        <v>29</v>
      </c>
      <c r="I1070" s="315" t="s">
        <v>1314</v>
      </c>
      <c r="J1070" s="315" t="str">
        <f t="shared" si="96"/>
        <v>New VehicleDemo Expenses (incl. interest) p.u.</v>
      </c>
      <c r="K1070" s="315" t="str">
        <f t="shared" si="97"/>
        <v>100NV Demo Expenses - Toyota</v>
      </c>
      <c r="L1070" s="311">
        <f>+SUMIF('TUNZ Extracted TB'!M:M,$P1070,'TUNZ Extracted TB'!G:G)</f>
        <v>0</v>
      </c>
      <c r="M1070" s="311"/>
      <c r="N1070" s="311">
        <f>+SUMIF('Input Sheet'!$AE:$AE,P1070,'Input Sheet'!$X:$X)</f>
        <v>0</v>
      </c>
      <c r="O1070" s="311"/>
      <c r="P1070" t="str">
        <f t="shared" si="98"/>
        <v>100-7100</v>
      </c>
      <c r="Q1070" s="315" t="str">
        <f t="shared" si="99"/>
        <v>New Vehicle</v>
      </c>
      <c r="R1070" s="315" t="str">
        <f t="shared" si="100"/>
        <v>New VehicleDemo Expenses (incl. interest) p.u.</v>
      </c>
      <c r="S1070" s="199"/>
      <c r="T1070" s="199"/>
      <c r="U1070" s="199"/>
    </row>
    <row r="1071" spans="1:21" x14ac:dyDescent="0.25">
      <c r="A1071" t="s">
        <v>996</v>
      </c>
      <c r="B1071" t="s">
        <v>997</v>
      </c>
      <c r="C1071" t="s">
        <v>997</v>
      </c>
      <c r="D1071">
        <v>7100</v>
      </c>
      <c r="E1071">
        <v>110</v>
      </c>
      <c r="F1071" t="s">
        <v>1319</v>
      </c>
      <c r="G1071" t="s">
        <v>1320</v>
      </c>
      <c r="H1071" s="315" t="s">
        <v>29</v>
      </c>
      <c r="I1071" s="315" t="s">
        <v>1314</v>
      </c>
      <c r="J1071" s="315" t="str">
        <f t="shared" si="96"/>
        <v>New VehicleDemo Expenses (incl. interest) p.u.</v>
      </c>
      <c r="K1071" s="315" t="str">
        <f t="shared" si="97"/>
        <v>110NV Demo Expenses - Toyota</v>
      </c>
      <c r="L1071" s="311">
        <f>+SUMIF('TUNZ Extracted TB'!M:M,$P1071,'TUNZ Extracted TB'!G:G)</f>
        <v>0</v>
      </c>
      <c r="M1071" s="311"/>
      <c r="N1071" s="311">
        <f>+SUMIF('Input Sheet'!$AE:$AE,P1071,'Input Sheet'!$X:$X)</f>
        <v>0</v>
      </c>
      <c r="O1071" s="311"/>
      <c r="P1071" t="str">
        <f t="shared" si="98"/>
        <v>110-7100</v>
      </c>
      <c r="Q1071" s="315" t="str">
        <f t="shared" si="99"/>
        <v>New Vehicle</v>
      </c>
      <c r="R1071" s="315" t="str">
        <f t="shared" si="100"/>
        <v>New VehicleDemo Expenses (incl. interest) p.u.</v>
      </c>
      <c r="S1071" s="199"/>
      <c r="T1071" s="199"/>
      <c r="U1071" s="199"/>
    </row>
    <row r="1072" spans="1:21" x14ac:dyDescent="0.25">
      <c r="A1072" t="s">
        <v>996</v>
      </c>
      <c r="B1072" t="s">
        <v>997</v>
      </c>
      <c r="C1072" t="s">
        <v>1005</v>
      </c>
      <c r="D1072">
        <v>7100</v>
      </c>
      <c r="E1072">
        <v>200</v>
      </c>
      <c r="F1072" t="s">
        <v>1319</v>
      </c>
      <c r="G1072" t="s">
        <v>1320</v>
      </c>
      <c r="H1072" s="315" t="s">
        <v>29</v>
      </c>
      <c r="I1072" s="315" t="s">
        <v>1314</v>
      </c>
      <c r="J1072" s="315" t="str">
        <f t="shared" si="96"/>
        <v>New VehicleDemo Expenses (incl. interest) p.u.</v>
      </c>
      <c r="K1072" s="315" t="str">
        <f t="shared" si="97"/>
        <v>200NV Demo Expenses - Toyota</v>
      </c>
      <c r="L1072" s="311">
        <f>+SUMIF('TUNZ Extracted TB'!M:M,$P1072,'TUNZ Extracted TB'!G:G)</f>
        <v>0</v>
      </c>
      <c r="M1072" s="311"/>
      <c r="N1072" s="311">
        <f>+SUMIF('Input Sheet'!$AE:$AE,P1072,'Input Sheet'!$X:$X)</f>
        <v>0</v>
      </c>
      <c r="O1072" s="311"/>
      <c r="P1072" t="str">
        <f t="shared" si="98"/>
        <v>200-7100</v>
      </c>
      <c r="Q1072" s="315" t="str">
        <f t="shared" si="99"/>
        <v>New Vehicle</v>
      </c>
      <c r="R1072" s="315" t="str">
        <f t="shared" si="100"/>
        <v>New VehicleDemo Expenses (incl. interest) p.u.</v>
      </c>
      <c r="S1072" s="199"/>
      <c r="T1072" s="199"/>
      <c r="U1072" s="199"/>
    </row>
    <row r="1073" spans="1:21" x14ac:dyDescent="0.25">
      <c r="A1073" t="s">
        <v>996</v>
      </c>
      <c r="B1073" t="s">
        <v>997</v>
      </c>
      <c r="C1073" t="s">
        <v>997</v>
      </c>
      <c r="D1073">
        <v>7080</v>
      </c>
      <c r="E1073">
        <v>936</v>
      </c>
      <c r="F1073" t="s">
        <v>1175</v>
      </c>
      <c r="G1073" t="s">
        <v>1176</v>
      </c>
      <c r="H1073" s="315" t="s">
        <v>58</v>
      </c>
      <c r="I1073" s="315" t="s">
        <v>1286</v>
      </c>
      <c r="J1073" s="315" t="str">
        <f t="shared" si="96"/>
        <v>BridgestoneOther Expenses as % of Sales</v>
      </c>
      <c r="K1073" s="315" t="str">
        <f t="shared" si="97"/>
        <v>936Other franchise/business expense</v>
      </c>
      <c r="L1073" s="311">
        <f>+SUMIF('TUNZ Extracted TB'!M:M,$P1073,'TUNZ Extracted TB'!G:G)</f>
        <v>0</v>
      </c>
      <c r="M1073" s="311"/>
      <c r="N1073" s="311">
        <f>+SUMIF('Input Sheet'!$AE:$AE,P1073,'Input Sheet'!$X:$X)</f>
        <v>0</v>
      </c>
      <c r="O1073" s="311"/>
      <c r="P1073" t="str">
        <f t="shared" si="98"/>
        <v>936-7080</v>
      </c>
      <c r="Q1073" s="315" t="str">
        <f t="shared" si="99"/>
        <v>Bridgestone</v>
      </c>
      <c r="R1073" s="315" t="str">
        <f t="shared" si="100"/>
        <v>BridgestoneOther Expenses as % of Sales</v>
      </c>
      <c r="S1073" s="199"/>
      <c r="T1073" s="199"/>
      <c r="U1073" s="199"/>
    </row>
    <row r="1074" spans="1:21" x14ac:dyDescent="0.25">
      <c r="A1074" t="s">
        <v>996</v>
      </c>
      <c r="B1074" t="s">
        <v>997</v>
      </c>
      <c r="C1074" t="s">
        <v>1005</v>
      </c>
      <c r="D1074">
        <v>7080</v>
      </c>
      <c r="E1074">
        <v>230</v>
      </c>
      <c r="F1074" t="s">
        <v>1310</v>
      </c>
      <c r="G1074" t="s">
        <v>1311</v>
      </c>
      <c r="H1074" s="315" t="s">
        <v>5</v>
      </c>
      <c r="I1074" s="315" t="s">
        <v>1286</v>
      </c>
      <c r="J1074" s="315" t="str">
        <f t="shared" si="96"/>
        <v>PartsOther Expenses as % of Sales</v>
      </c>
      <c r="K1074" s="315" t="str">
        <f t="shared" si="97"/>
        <v>230Parts Advertising &amp; Promotion - Toyota</v>
      </c>
      <c r="L1074" s="311">
        <f>+SUMIF('TUNZ Extracted TB'!M:M,$P1074,'TUNZ Extracted TB'!G:G)</f>
        <v>193.83</v>
      </c>
      <c r="M1074" s="311"/>
      <c r="N1074" s="311">
        <f>+SUMIF('Input Sheet'!$AE:$AE,P1074,'Input Sheet'!$X:$X)</f>
        <v>0</v>
      </c>
      <c r="O1074" s="311"/>
      <c r="P1074" t="str">
        <f t="shared" si="98"/>
        <v>230-7080</v>
      </c>
      <c r="Q1074" s="315" t="str">
        <f t="shared" si="99"/>
        <v>Parts</v>
      </c>
      <c r="R1074" s="315" t="str">
        <f t="shared" si="100"/>
        <v>PartsOther Expenses as % of Sales</v>
      </c>
      <c r="S1074" s="199"/>
      <c r="T1074" s="199"/>
      <c r="U1074" s="199"/>
    </row>
    <row r="1075" spans="1:21" x14ac:dyDescent="0.25">
      <c r="A1075" t="s">
        <v>996</v>
      </c>
      <c r="B1075" t="s">
        <v>997</v>
      </c>
      <c r="C1075" t="s">
        <v>1005</v>
      </c>
      <c r="D1075">
        <v>7080</v>
      </c>
      <c r="E1075">
        <v>240</v>
      </c>
      <c r="F1075" t="s">
        <v>1306</v>
      </c>
      <c r="G1075" t="s">
        <v>1307</v>
      </c>
      <c r="H1075" s="315" t="s">
        <v>17</v>
      </c>
      <c r="I1075" s="315" t="s">
        <v>1286</v>
      </c>
      <c r="J1075" s="315" t="str">
        <f t="shared" si="96"/>
        <v>ServiceOther Expenses as % of Sales</v>
      </c>
      <c r="K1075" s="315" t="str">
        <f t="shared" si="97"/>
        <v>240Service Advertising &amp; Promotion - Toyota</v>
      </c>
      <c r="L1075" s="311">
        <f>+SUMIF('TUNZ Extracted TB'!M:M,$P1075,'TUNZ Extracted TB'!G:G)</f>
        <v>176.61</v>
      </c>
      <c r="M1075" s="311"/>
      <c r="N1075" s="311">
        <f>+SUMIF('Input Sheet'!$AE:$AE,P1075,'Input Sheet'!$X:$X)</f>
        <v>0</v>
      </c>
      <c r="O1075" s="311"/>
      <c r="P1075" t="str">
        <f t="shared" si="98"/>
        <v>240-7080</v>
      </c>
      <c r="Q1075" s="315" t="str">
        <f t="shared" si="99"/>
        <v>Service</v>
      </c>
      <c r="R1075" s="315" t="str">
        <f t="shared" si="100"/>
        <v>ServiceOther Expenses as % of Sales</v>
      </c>
      <c r="S1075" s="199"/>
      <c r="T1075" s="199"/>
      <c r="U1075" s="199"/>
    </row>
    <row r="1076" spans="1:21" x14ac:dyDescent="0.25">
      <c r="A1076" t="s">
        <v>996</v>
      </c>
      <c r="B1076" t="s">
        <v>997</v>
      </c>
      <c r="C1076" t="s">
        <v>1013</v>
      </c>
      <c r="D1076">
        <v>7080</v>
      </c>
      <c r="E1076">
        <v>340</v>
      </c>
      <c r="F1076" t="s">
        <v>1306</v>
      </c>
      <c r="G1076" t="s">
        <v>1307</v>
      </c>
      <c r="H1076" s="315" t="s">
        <v>17</v>
      </c>
      <c r="I1076" s="315" t="s">
        <v>1286</v>
      </c>
      <c r="J1076" s="315" t="str">
        <f t="shared" si="96"/>
        <v>ServiceOther Expenses as % of Sales</v>
      </c>
      <c r="K1076" s="315" t="str">
        <f t="shared" si="97"/>
        <v>340Service Advertising &amp; Promotion - Toyota</v>
      </c>
      <c r="L1076" s="311">
        <f>+SUMIF('TUNZ Extracted TB'!M:M,$P1076,'TUNZ Extracted TB'!G:G)</f>
        <v>88.97</v>
      </c>
      <c r="M1076" s="311"/>
      <c r="N1076" s="311">
        <f>+SUMIF('Input Sheet'!$AE:$AE,P1076,'Input Sheet'!$X:$X)</f>
        <v>0</v>
      </c>
      <c r="O1076" s="311"/>
      <c r="P1076" t="str">
        <f t="shared" si="98"/>
        <v>340-7080</v>
      </c>
      <c r="Q1076" s="315" t="str">
        <f t="shared" si="99"/>
        <v>Service</v>
      </c>
      <c r="R1076" s="315" t="str">
        <f t="shared" si="100"/>
        <v>ServiceOther Expenses as % of Sales</v>
      </c>
      <c r="S1076" s="199"/>
      <c r="T1076" s="199"/>
      <c r="U1076" s="199"/>
    </row>
    <row r="1077" spans="1:21" x14ac:dyDescent="0.25">
      <c r="A1077" t="s">
        <v>996</v>
      </c>
      <c r="B1077" t="s">
        <v>997</v>
      </c>
      <c r="C1077" t="s">
        <v>997</v>
      </c>
      <c r="D1077">
        <v>7080</v>
      </c>
      <c r="E1077">
        <v>147</v>
      </c>
      <c r="F1077" t="s">
        <v>1306</v>
      </c>
      <c r="G1077" t="s">
        <v>1307</v>
      </c>
      <c r="H1077" s="315" t="s">
        <v>17</v>
      </c>
      <c r="I1077" s="315" t="s">
        <v>1286</v>
      </c>
      <c r="J1077" s="315" t="str">
        <f t="shared" si="96"/>
        <v>ServiceOther Expenses as % of Sales</v>
      </c>
      <c r="K1077" s="315" t="str">
        <f t="shared" si="97"/>
        <v>147Service Advertising &amp; Promotion - Toyota</v>
      </c>
      <c r="L1077" s="311">
        <f>+SUMIF('TUNZ Extracted TB'!M:M,$P1077,'TUNZ Extracted TB'!G:G)</f>
        <v>0</v>
      </c>
      <c r="M1077" s="311"/>
      <c r="N1077" s="311">
        <f>+SUMIF('Input Sheet'!$AE:$AE,P1077,'Input Sheet'!$X:$X)</f>
        <v>0</v>
      </c>
      <c r="O1077" s="311"/>
      <c r="P1077" t="str">
        <f t="shared" si="98"/>
        <v>147-7080</v>
      </c>
      <c r="Q1077" s="315" t="str">
        <f t="shared" si="99"/>
        <v>Service</v>
      </c>
      <c r="R1077" s="315" t="str">
        <f t="shared" si="100"/>
        <v>ServiceOther Expenses as % of Sales</v>
      </c>
      <c r="S1077" s="199"/>
      <c r="T1077" s="199"/>
      <c r="U1077" s="199"/>
    </row>
    <row r="1078" spans="1:21" x14ac:dyDescent="0.25">
      <c r="A1078" t="s">
        <v>996</v>
      </c>
      <c r="B1078" t="s">
        <v>997</v>
      </c>
      <c r="C1078" t="s">
        <v>997</v>
      </c>
      <c r="D1078">
        <v>7080</v>
      </c>
      <c r="E1078">
        <v>121</v>
      </c>
      <c r="F1078" t="s">
        <v>1299</v>
      </c>
      <c r="G1078" t="s">
        <v>1300</v>
      </c>
      <c r="H1078" s="315" t="s">
        <v>30</v>
      </c>
      <c r="I1078" s="315" t="s">
        <v>1301</v>
      </c>
      <c r="J1078" s="315" t="str">
        <f t="shared" si="96"/>
        <v>Used VehicleAdvertising per retail</v>
      </c>
      <c r="K1078" s="315" t="str">
        <f t="shared" si="97"/>
        <v>121Toyota UV Advertising &amp; Promotion</v>
      </c>
      <c r="L1078" s="311">
        <f>+SUMIF('TUNZ Extracted TB'!M:M,$P1078,'TUNZ Extracted TB'!G:G)</f>
        <v>0</v>
      </c>
      <c r="M1078" s="311"/>
      <c r="N1078" s="311">
        <f>+SUMIF('Input Sheet'!$AE:$AE,P1078,'Input Sheet'!$X:$X)</f>
        <v>0</v>
      </c>
      <c r="O1078" s="311"/>
      <c r="P1078" t="str">
        <f t="shared" si="98"/>
        <v>121-7080</v>
      </c>
      <c r="Q1078" s="315" t="str">
        <f t="shared" si="99"/>
        <v>Used Vehicle</v>
      </c>
      <c r="R1078" s="315" t="str">
        <f t="shared" si="100"/>
        <v>Used VehicleAdvertising per retail</v>
      </c>
      <c r="S1078" s="199"/>
      <c r="T1078" s="199"/>
      <c r="U1078" s="199"/>
    </row>
    <row r="1079" spans="1:21" x14ac:dyDescent="0.25">
      <c r="A1079" t="s">
        <v>996</v>
      </c>
      <c r="B1079" t="s">
        <v>997</v>
      </c>
      <c r="C1079" t="s">
        <v>1005</v>
      </c>
      <c r="D1079">
        <v>7080</v>
      </c>
      <c r="E1079">
        <v>221</v>
      </c>
      <c r="F1079" t="s">
        <v>1299</v>
      </c>
      <c r="G1079" t="s">
        <v>1300</v>
      </c>
      <c r="H1079" s="315" t="s">
        <v>30</v>
      </c>
      <c r="I1079" s="315" t="s">
        <v>1301</v>
      </c>
      <c r="J1079" s="315" t="str">
        <f t="shared" si="96"/>
        <v>Used VehicleAdvertising per retail</v>
      </c>
      <c r="K1079" s="315" t="str">
        <f t="shared" si="97"/>
        <v>221Toyota UV Advertising &amp; Promotion</v>
      </c>
      <c r="L1079" s="311">
        <f>+SUMIF('TUNZ Extracted TB'!M:M,$P1079,'TUNZ Extracted TB'!G:G)</f>
        <v>0</v>
      </c>
      <c r="M1079" s="311"/>
      <c r="N1079" s="311">
        <f>+SUMIF('Input Sheet'!$AE:$AE,P1079,'Input Sheet'!$X:$X)</f>
        <v>0</v>
      </c>
      <c r="O1079" s="311"/>
      <c r="P1079" t="str">
        <f t="shared" si="98"/>
        <v>221-7080</v>
      </c>
      <c r="Q1079" s="315" t="str">
        <f t="shared" si="99"/>
        <v>Used Vehicle</v>
      </c>
      <c r="R1079" s="315" t="str">
        <f t="shared" si="100"/>
        <v>Used VehicleAdvertising per retail</v>
      </c>
      <c r="S1079" s="199"/>
      <c r="T1079" s="199"/>
      <c r="U1079" s="199"/>
    </row>
    <row r="1080" spans="1:21" x14ac:dyDescent="0.25">
      <c r="A1080" t="s">
        <v>996</v>
      </c>
      <c r="B1080" t="s">
        <v>997</v>
      </c>
      <c r="C1080" t="s">
        <v>1012</v>
      </c>
      <c r="D1080">
        <v>7080</v>
      </c>
      <c r="E1080">
        <v>410</v>
      </c>
      <c r="F1080" t="s">
        <v>1299</v>
      </c>
      <c r="G1080" t="s">
        <v>1300</v>
      </c>
      <c r="H1080" s="315" t="s">
        <v>30</v>
      </c>
      <c r="I1080" s="315" t="s">
        <v>1301</v>
      </c>
      <c r="J1080" s="315" t="str">
        <f t="shared" si="96"/>
        <v>Used VehicleAdvertising per retail</v>
      </c>
      <c r="K1080" s="315" t="str">
        <f t="shared" si="97"/>
        <v>410Toyota UV Advertising &amp; Promotion</v>
      </c>
      <c r="L1080" s="311">
        <f>+SUMIF('TUNZ Extracted TB'!M:M,$P1080,'TUNZ Extracted TB'!G:G)</f>
        <v>0</v>
      </c>
      <c r="M1080" s="311"/>
      <c r="N1080" s="311">
        <f>+SUMIF('Input Sheet'!$AE:$AE,P1080,'Input Sheet'!$X:$X)</f>
        <v>0</v>
      </c>
      <c r="O1080" s="311"/>
      <c r="P1080" t="str">
        <f t="shared" si="98"/>
        <v>410-7080</v>
      </c>
      <c r="Q1080" s="315" t="str">
        <f t="shared" si="99"/>
        <v>Used Vehicle</v>
      </c>
      <c r="R1080" s="315" t="str">
        <f t="shared" si="100"/>
        <v>Used VehicleAdvertising per retail</v>
      </c>
      <c r="S1080" s="199"/>
      <c r="T1080" s="199"/>
      <c r="U1080" s="199"/>
    </row>
    <row r="1081" spans="1:21" x14ac:dyDescent="0.25">
      <c r="A1081" t="s">
        <v>996</v>
      </c>
      <c r="B1081" t="s">
        <v>997</v>
      </c>
      <c r="C1081" t="s">
        <v>1012</v>
      </c>
      <c r="D1081">
        <v>7080</v>
      </c>
      <c r="E1081">
        <v>420</v>
      </c>
      <c r="F1081" t="s">
        <v>1299</v>
      </c>
      <c r="G1081" t="s">
        <v>1300</v>
      </c>
      <c r="H1081" s="315" t="s">
        <v>30</v>
      </c>
      <c r="I1081" s="315" t="s">
        <v>1301</v>
      </c>
      <c r="J1081" s="315" t="str">
        <f t="shared" si="96"/>
        <v>Used VehicleAdvertising per retail</v>
      </c>
      <c r="K1081" s="315" t="str">
        <f t="shared" si="97"/>
        <v>420Toyota UV Advertising &amp; Promotion</v>
      </c>
      <c r="L1081" s="311">
        <f>+SUMIF('TUNZ Extracted TB'!M:M,$P1081,'TUNZ Extracted TB'!G:G)</f>
        <v>0</v>
      </c>
      <c r="M1081" s="311"/>
      <c r="N1081" s="311">
        <f>+SUMIF('Input Sheet'!$AE:$AE,P1081,'Input Sheet'!$X:$X)</f>
        <v>0</v>
      </c>
      <c r="O1081" s="311"/>
      <c r="P1081" t="str">
        <f t="shared" si="98"/>
        <v>420-7080</v>
      </c>
      <c r="Q1081" s="315" t="str">
        <f t="shared" si="99"/>
        <v>Used Vehicle</v>
      </c>
      <c r="R1081" s="315" t="str">
        <f t="shared" si="100"/>
        <v>Used VehicleAdvertising per retail</v>
      </c>
      <c r="S1081" s="199"/>
      <c r="T1081" s="199"/>
      <c r="U1081" s="199"/>
    </row>
    <row r="1082" spans="1:21" x14ac:dyDescent="0.25">
      <c r="A1082" t="s">
        <v>996</v>
      </c>
      <c r="B1082" t="s">
        <v>997</v>
      </c>
      <c r="C1082" t="s">
        <v>1012</v>
      </c>
      <c r="D1082">
        <v>7080</v>
      </c>
      <c r="E1082">
        <v>421</v>
      </c>
      <c r="F1082" t="s">
        <v>1299</v>
      </c>
      <c r="G1082" t="s">
        <v>1300</v>
      </c>
      <c r="H1082" s="315" t="s">
        <v>30</v>
      </c>
      <c r="I1082" s="315" t="s">
        <v>1301</v>
      </c>
      <c r="J1082" s="315" t="str">
        <f t="shared" si="96"/>
        <v>Used VehicleAdvertising per retail</v>
      </c>
      <c r="K1082" s="315" t="str">
        <f t="shared" si="97"/>
        <v>421Toyota UV Advertising &amp; Promotion</v>
      </c>
      <c r="L1082" s="311">
        <f>+SUMIF('TUNZ Extracted TB'!M:M,$P1082,'TUNZ Extracted TB'!G:G)</f>
        <v>0</v>
      </c>
      <c r="M1082" s="311"/>
      <c r="N1082" s="311">
        <f>+SUMIF('Input Sheet'!$AE:$AE,P1082,'Input Sheet'!$X:$X)</f>
        <v>0</v>
      </c>
      <c r="O1082" s="311"/>
      <c r="P1082" t="str">
        <f t="shared" si="98"/>
        <v>421-7080</v>
      </c>
      <c r="Q1082" s="315" t="str">
        <f t="shared" si="99"/>
        <v>Used Vehicle</v>
      </c>
      <c r="R1082" s="315" t="str">
        <f t="shared" si="100"/>
        <v>Used VehicleAdvertising per retail</v>
      </c>
      <c r="S1082" s="199"/>
      <c r="T1082" s="199"/>
      <c r="U1082" s="199"/>
    </row>
    <row r="1083" spans="1:21" x14ac:dyDescent="0.25">
      <c r="A1083" t="s">
        <v>996</v>
      </c>
      <c r="B1083" t="s">
        <v>997</v>
      </c>
      <c r="C1083" t="s">
        <v>1013</v>
      </c>
      <c r="D1083">
        <v>7080</v>
      </c>
      <c r="E1083">
        <v>310</v>
      </c>
      <c r="F1083" t="s">
        <v>1299</v>
      </c>
      <c r="G1083" t="s">
        <v>1300</v>
      </c>
      <c r="H1083" s="315" t="s">
        <v>30</v>
      </c>
      <c r="I1083" s="315" t="s">
        <v>1301</v>
      </c>
      <c r="J1083" s="315" t="str">
        <f t="shared" si="96"/>
        <v>Used VehicleAdvertising per retail</v>
      </c>
      <c r="K1083" s="315" t="str">
        <f t="shared" si="97"/>
        <v>310Toyota UV Advertising &amp; Promotion</v>
      </c>
      <c r="L1083" s="311">
        <f>+SUMIF('TUNZ Extracted TB'!M:M,$P1083,'TUNZ Extracted TB'!G:G)</f>
        <v>0</v>
      </c>
      <c r="M1083" s="311"/>
      <c r="N1083" s="311">
        <f>+SUMIF('Input Sheet'!$AE:$AE,P1083,'Input Sheet'!$X:$X)</f>
        <v>0</v>
      </c>
      <c r="O1083" s="311"/>
      <c r="P1083" t="str">
        <f t="shared" si="98"/>
        <v>310-7080</v>
      </c>
      <c r="Q1083" s="315" t="str">
        <f t="shared" si="99"/>
        <v>Used Vehicle</v>
      </c>
      <c r="R1083" s="315" t="str">
        <f t="shared" si="100"/>
        <v>Used VehicleAdvertising per retail</v>
      </c>
      <c r="S1083" s="199"/>
      <c r="T1083" s="199"/>
      <c r="U1083" s="199"/>
    </row>
    <row r="1084" spans="1:21" x14ac:dyDescent="0.25">
      <c r="A1084" t="s">
        <v>996</v>
      </c>
      <c r="B1084" t="s">
        <v>997</v>
      </c>
      <c r="C1084" t="s">
        <v>997</v>
      </c>
      <c r="D1084">
        <v>7100</v>
      </c>
      <c r="E1084">
        <v>140</v>
      </c>
      <c r="F1084" t="s">
        <v>1289</v>
      </c>
      <c r="G1084" t="s">
        <v>1290</v>
      </c>
      <c r="H1084" s="315" t="s">
        <v>17</v>
      </c>
      <c r="I1084" s="315" t="s">
        <v>1286</v>
      </c>
      <c r="J1084" s="315" t="str">
        <f t="shared" si="96"/>
        <v>ServiceOther Expenses as % of Sales</v>
      </c>
      <c r="K1084" s="315" t="str">
        <f t="shared" si="97"/>
        <v>140Service Other expenses - Toyota</v>
      </c>
      <c r="L1084" s="311">
        <f>+SUMIF('TUNZ Extracted TB'!M:M,$P1084,'TUNZ Extracted TB'!G:G)</f>
        <v>0</v>
      </c>
      <c r="M1084" s="311"/>
      <c r="N1084" s="311">
        <f>+SUMIF('Input Sheet'!$AE:$AE,P1084,'Input Sheet'!$X:$X)</f>
        <v>0</v>
      </c>
      <c r="O1084" s="311"/>
      <c r="P1084" t="str">
        <f t="shared" si="98"/>
        <v>140-7100</v>
      </c>
      <c r="Q1084" s="315" t="str">
        <f t="shared" si="99"/>
        <v>Service</v>
      </c>
      <c r="R1084" s="315" t="str">
        <f t="shared" si="100"/>
        <v>ServiceOther Expenses as % of Sales</v>
      </c>
      <c r="S1084" s="199"/>
      <c r="T1084" s="199"/>
      <c r="U1084" s="199"/>
    </row>
    <row r="1085" spans="1:21" x14ac:dyDescent="0.25">
      <c r="A1085" t="s">
        <v>996</v>
      </c>
      <c r="B1085" t="s">
        <v>997</v>
      </c>
      <c r="C1085" t="s">
        <v>997</v>
      </c>
      <c r="D1085">
        <v>7100</v>
      </c>
      <c r="E1085">
        <v>130</v>
      </c>
      <c r="F1085" t="s">
        <v>1233</v>
      </c>
      <c r="G1085" t="s">
        <v>1234</v>
      </c>
      <c r="H1085" s="315" t="s">
        <v>5</v>
      </c>
      <c r="I1085" s="315" t="s">
        <v>1222</v>
      </c>
      <c r="J1085" s="315" t="str">
        <f t="shared" si="96"/>
        <v>PartsOther Sales Gross Profit % of Sales</v>
      </c>
      <c r="K1085" s="315" t="str">
        <f t="shared" si="97"/>
        <v>130Parts Other COS - Inventory adjustment -Toyota</v>
      </c>
      <c r="L1085" s="311">
        <f>+SUMIF('TUNZ Extracted TB'!M:M,$P1085,'TUNZ Extracted TB'!G:G)</f>
        <v>0</v>
      </c>
      <c r="M1085" s="311"/>
      <c r="N1085" s="311">
        <f>+SUMIF('Input Sheet'!$AE:$AE,P1085,'Input Sheet'!$X:$X)</f>
        <v>0</v>
      </c>
      <c r="O1085" s="311"/>
      <c r="P1085" t="str">
        <f t="shared" si="98"/>
        <v>130-7100</v>
      </c>
      <c r="Q1085" s="315" t="str">
        <f t="shared" si="99"/>
        <v>Parts</v>
      </c>
      <c r="R1085" s="315" t="str">
        <f t="shared" si="100"/>
        <v>PartsOther Sales Gross Profit % of Sales</v>
      </c>
      <c r="S1085" s="199"/>
      <c r="T1085" s="199"/>
      <c r="U1085" s="199"/>
    </row>
    <row r="1086" spans="1:21" x14ac:dyDescent="0.25">
      <c r="A1086" t="s">
        <v>996</v>
      </c>
      <c r="B1086" t="s">
        <v>997</v>
      </c>
      <c r="C1086" t="s">
        <v>1005</v>
      </c>
      <c r="D1086">
        <v>7100</v>
      </c>
      <c r="E1086">
        <v>210</v>
      </c>
      <c r="F1086" t="s">
        <v>1319</v>
      </c>
      <c r="G1086" t="s">
        <v>1320</v>
      </c>
      <c r="H1086" s="315" t="s">
        <v>29</v>
      </c>
      <c r="I1086" s="315" t="s">
        <v>1314</v>
      </c>
      <c r="J1086" s="315" t="str">
        <f t="shared" si="96"/>
        <v>New VehicleDemo Expenses (incl. interest) p.u.</v>
      </c>
      <c r="K1086" s="315" t="str">
        <f t="shared" si="97"/>
        <v>210NV Demo Expenses - Toyota</v>
      </c>
      <c r="L1086" s="311">
        <f>+SUMIF('TUNZ Extracted TB'!M:M,$P1086,'TUNZ Extracted TB'!G:G)</f>
        <v>0</v>
      </c>
      <c r="M1086" s="311"/>
      <c r="N1086" s="311">
        <f>+SUMIF('Input Sheet'!$AE:$AE,P1086,'Input Sheet'!$X:$X)</f>
        <v>0</v>
      </c>
      <c r="O1086" s="311"/>
      <c r="P1086" t="str">
        <f t="shared" si="98"/>
        <v>210-7100</v>
      </c>
      <c r="Q1086" s="315" t="str">
        <f t="shared" si="99"/>
        <v>New Vehicle</v>
      </c>
      <c r="R1086" s="315" t="str">
        <f t="shared" si="100"/>
        <v>New VehicleDemo Expenses (incl. interest) p.u.</v>
      </c>
      <c r="S1086" s="199"/>
      <c r="T1086" s="199"/>
      <c r="U1086" s="199"/>
    </row>
    <row r="1087" spans="1:21" x14ac:dyDescent="0.25">
      <c r="A1087" t="s">
        <v>996</v>
      </c>
      <c r="B1087" t="s">
        <v>997</v>
      </c>
      <c r="C1087" t="s">
        <v>1012</v>
      </c>
      <c r="D1087">
        <v>7100</v>
      </c>
      <c r="E1087">
        <v>400</v>
      </c>
      <c r="F1087" t="s">
        <v>1319</v>
      </c>
      <c r="G1087" t="s">
        <v>1320</v>
      </c>
      <c r="H1087" s="315" t="s">
        <v>29</v>
      </c>
      <c r="I1087" s="315" t="s">
        <v>1314</v>
      </c>
      <c r="J1087" s="315" t="str">
        <f t="shared" si="96"/>
        <v>New VehicleDemo Expenses (incl. interest) p.u.</v>
      </c>
      <c r="K1087" s="315" t="str">
        <f t="shared" si="97"/>
        <v>400NV Demo Expenses - Toyota</v>
      </c>
      <c r="L1087" s="311">
        <f>+SUMIF('TUNZ Extracted TB'!M:M,$P1087,'TUNZ Extracted TB'!G:G)</f>
        <v>0</v>
      </c>
      <c r="M1087" s="311"/>
      <c r="N1087" s="311">
        <f>+SUMIF('Input Sheet'!$AE:$AE,P1087,'Input Sheet'!$X:$X)</f>
        <v>0</v>
      </c>
      <c r="O1087" s="311"/>
      <c r="P1087" t="str">
        <f t="shared" si="98"/>
        <v>400-7100</v>
      </c>
      <c r="Q1087" s="315" t="str">
        <f t="shared" si="99"/>
        <v>New Vehicle</v>
      </c>
      <c r="R1087" s="315" t="str">
        <f t="shared" si="100"/>
        <v>New VehicleDemo Expenses (incl. interest) p.u.</v>
      </c>
      <c r="S1087" s="199"/>
      <c r="T1087" s="199"/>
      <c r="U1087" s="199"/>
    </row>
    <row r="1088" spans="1:21" x14ac:dyDescent="0.25">
      <c r="A1088" t="s">
        <v>996</v>
      </c>
      <c r="B1088" t="s">
        <v>997</v>
      </c>
      <c r="C1088" t="s">
        <v>1012</v>
      </c>
      <c r="D1088">
        <v>7100</v>
      </c>
      <c r="E1088">
        <v>410</v>
      </c>
      <c r="F1088" t="s">
        <v>1319</v>
      </c>
      <c r="G1088" t="s">
        <v>1320</v>
      </c>
      <c r="H1088" s="315" t="s">
        <v>29</v>
      </c>
      <c r="I1088" s="315" t="s">
        <v>1314</v>
      </c>
      <c r="J1088" s="315" t="str">
        <f t="shared" si="96"/>
        <v>New VehicleDemo Expenses (incl. interest) p.u.</v>
      </c>
      <c r="K1088" s="315" t="str">
        <f t="shared" si="97"/>
        <v>410NV Demo Expenses - Toyota</v>
      </c>
      <c r="L1088" s="311">
        <f>+SUMIF('TUNZ Extracted TB'!M:M,$P1088,'TUNZ Extracted TB'!G:G)</f>
        <v>0</v>
      </c>
      <c r="M1088" s="311"/>
      <c r="N1088" s="311">
        <f>+SUMIF('Input Sheet'!$AE:$AE,P1088,'Input Sheet'!$X:$X)</f>
        <v>0</v>
      </c>
      <c r="O1088" s="311"/>
      <c r="P1088" t="str">
        <f t="shared" si="98"/>
        <v>410-7100</v>
      </c>
      <c r="Q1088" s="315" t="str">
        <f t="shared" si="99"/>
        <v>New Vehicle</v>
      </c>
      <c r="R1088" s="315" t="str">
        <f t="shared" si="100"/>
        <v>New VehicleDemo Expenses (incl. interest) p.u.</v>
      </c>
      <c r="S1088" s="199"/>
      <c r="T1088" s="199"/>
      <c r="U1088" s="199"/>
    </row>
    <row r="1089" spans="1:21" x14ac:dyDescent="0.25">
      <c r="A1089" t="s">
        <v>996</v>
      </c>
      <c r="B1089" t="s">
        <v>997</v>
      </c>
      <c r="C1089" t="s">
        <v>997</v>
      </c>
      <c r="D1089">
        <v>7100</v>
      </c>
      <c r="E1089">
        <v>132</v>
      </c>
      <c r="F1089" t="s">
        <v>1321</v>
      </c>
      <c r="G1089" t="s">
        <v>1322</v>
      </c>
      <c r="H1089" s="315" t="s">
        <v>143</v>
      </c>
      <c r="I1089" s="315" t="s">
        <v>1222</v>
      </c>
      <c r="J1089" s="315" t="str">
        <f t="shared" si="96"/>
        <v>LEX PartsOther Sales Gross Profit % of Sales</v>
      </c>
      <c r="K1089" s="315" t="str">
        <f t="shared" si="97"/>
        <v>132Parts Other Expenses - Lexus</v>
      </c>
      <c r="L1089" s="311">
        <f>+SUMIF('TUNZ Extracted TB'!M:M,$P1089,'TUNZ Extracted TB'!G:G)</f>
        <v>0</v>
      </c>
      <c r="M1089" s="311"/>
      <c r="N1089" s="311">
        <f>+SUMIF('Input Sheet'!$AE:$AE,P1089,'Input Sheet'!$X:$X)</f>
        <v>0</v>
      </c>
      <c r="O1089" s="311"/>
      <c r="P1089" t="str">
        <f t="shared" si="98"/>
        <v>132-7100</v>
      </c>
      <c r="Q1089" s="315" t="str">
        <f t="shared" si="99"/>
        <v>LEX Parts</v>
      </c>
      <c r="R1089" s="315" t="str">
        <f t="shared" si="100"/>
        <v>LEX PartsOther Sales Gross Profit % of Sales</v>
      </c>
      <c r="S1089" s="199"/>
      <c r="T1089" s="199"/>
      <c r="U1089" s="199"/>
    </row>
    <row r="1090" spans="1:21" x14ac:dyDescent="0.25">
      <c r="A1090" t="s">
        <v>996</v>
      </c>
      <c r="B1090" t="s">
        <v>997</v>
      </c>
      <c r="C1090" t="s">
        <v>997</v>
      </c>
      <c r="D1090">
        <v>7100</v>
      </c>
      <c r="E1090">
        <v>162</v>
      </c>
      <c r="F1090" t="s">
        <v>1323</v>
      </c>
      <c r="G1090" t="s">
        <v>1324</v>
      </c>
      <c r="H1090" s="315" t="s">
        <v>142</v>
      </c>
      <c r="I1090" s="315" t="s">
        <v>1295</v>
      </c>
      <c r="J1090" s="315" t="str">
        <f t="shared" si="96"/>
        <v>LEX F&amp;IOther Expenses per vehicle retailed</v>
      </c>
      <c r="K1090" s="315" t="str">
        <f t="shared" si="97"/>
        <v>162F&amp;I Other expenses - Lexus</v>
      </c>
      <c r="L1090" s="311">
        <f>+SUMIF('TUNZ Extracted TB'!M:M,$P1090,'TUNZ Extracted TB'!G:G)</f>
        <v>0</v>
      </c>
      <c r="M1090" s="311"/>
      <c r="N1090" s="311">
        <f>+SUMIF('Input Sheet'!$AE:$AE,P1090,'Input Sheet'!$X:$X)</f>
        <v>0</v>
      </c>
      <c r="O1090" s="311"/>
      <c r="P1090" t="str">
        <f t="shared" si="98"/>
        <v>162-7100</v>
      </c>
      <c r="Q1090" s="315" t="str">
        <f t="shared" si="99"/>
        <v>LEX F&amp;I</v>
      </c>
      <c r="R1090" s="315" t="str">
        <f t="shared" si="100"/>
        <v>LEX F&amp;IOther Expenses per vehicle retailed</v>
      </c>
      <c r="S1090" s="199"/>
      <c r="T1090" s="199"/>
      <c r="U1090" s="199"/>
    </row>
    <row r="1091" spans="1:21" x14ac:dyDescent="0.25">
      <c r="A1091" t="s">
        <v>996</v>
      </c>
      <c r="B1091" t="s">
        <v>997</v>
      </c>
      <c r="C1091" t="s">
        <v>1005</v>
      </c>
      <c r="D1091">
        <v>7100</v>
      </c>
      <c r="E1091">
        <v>260</v>
      </c>
      <c r="F1091" t="s">
        <v>1293</v>
      </c>
      <c r="G1091" t="s">
        <v>1294</v>
      </c>
      <c r="H1091" s="315" t="s">
        <v>16</v>
      </c>
      <c r="I1091" s="315" t="s">
        <v>1295</v>
      </c>
      <c r="J1091" s="315" t="str">
        <f t="shared" ref="J1091:J1154" si="101">+H1091&amp;I1091</f>
        <v>F&amp;IOther Expenses per vehicle retailed</v>
      </c>
      <c r="K1091" s="315" t="str">
        <f t="shared" ref="K1091:K1154" si="102">+E1091&amp;G1091</f>
        <v>260F&amp;I Other expenses - Toyota</v>
      </c>
      <c r="L1091" s="311">
        <f>+SUMIF('TUNZ Extracted TB'!M:M,$P1091,'TUNZ Extracted TB'!G:G)</f>
        <v>0</v>
      </c>
      <c r="M1091" s="311"/>
      <c r="N1091" s="311">
        <f>+SUMIF('Input Sheet'!$AE:$AE,P1091,'Input Sheet'!$X:$X)</f>
        <v>0</v>
      </c>
      <c r="O1091" s="311"/>
      <c r="P1091" t="str">
        <f t="shared" ref="P1091:P1154" si="103">+E1091&amp;"-"&amp;D1091</f>
        <v>260-7100</v>
      </c>
      <c r="Q1091" s="315" t="str">
        <f t="shared" ref="Q1091:Q1154" si="104">H1091</f>
        <v>F&amp;I</v>
      </c>
      <c r="R1091" s="315" t="str">
        <f t="shared" ref="R1091:R1154" si="105">J1091</f>
        <v>F&amp;IOther Expenses per vehicle retailed</v>
      </c>
      <c r="S1091" s="199"/>
      <c r="T1091" s="199"/>
      <c r="U1091" s="199"/>
    </row>
    <row r="1092" spans="1:21" x14ac:dyDescent="0.25">
      <c r="A1092" t="s">
        <v>996</v>
      </c>
      <c r="B1092" t="s">
        <v>997</v>
      </c>
      <c r="C1092" t="s">
        <v>1012</v>
      </c>
      <c r="D1092">
        <v>7100</v>
      </c>
      <c r="E1092">
        <v>460</v>
      </c>
      <c r="F1092" t="s">
        <v>1293</v>
      </c>
      <c r="G1092" t="s">
        <v>1294</v>
      </c>
      <c r="H1092" s="315" t="s">
        <v>16</v>
      </c>
      <c r="I1092" s="315" t="s">
        <v>1295</v>
      </c>
      <c r="J1092" s="315" t="str">
        <f t="shared" si="101"/>
        <v>F&amp;IOther Expenses per vehicle retailed</v>
      </c>
      <c r="K1092" s="315" t="str">
        <f t="shared" si="102"/>
        <v>460F&amp;I Other expenses - Toyota</v>
      </c>
      <c r="L1092" s="311">
        <f>+SUMIF('TUNZ Extracted TB'!M:M,$P1092,'TUNZ Extracted TB'!G:G)</f>
        <v>0</v>
      </c>
      <c r="M1092" s="311"/>
      <c r="N1092" s="311">
        <f>+SUMIF('Input Sheet'!$AE:$AE,P1092,'Input Sheet'!$X:$X)</f>
        <v>0</v>
      </c>
      <c r="O1092" s="311"/>
      <c r="P1092" t="str">
        <f t="shared" si="103"/>
        <v>460-7100</v>
      </c>
      <c r="Q1092" s="315" t="str">
        <f t="shared" si="104"/>
        <v>F&amp;I</v>
      </c>
      <c r="R1092" s="315" t="str">
        <f t="shared" si="105"/>
        <v>F&amp;IOther Expenses per vehicle retailed</v>
      </c>
      <c r="S1092" s="199"/>
      <c r="T1092" s="199"/>
      <c r="U1092" s="199"/>
    </row>
    <row r="1093" spans="1:21" x14ac:dyDescent="0.25">
      <c r="A1093" t="s">
        <v>996</v>
      </c>
      <c r="B1093" t="s">
        <v>997</v>
      </c>
      <c r="C1093" t="s">
        <v>1013</v>
      </c>
      <c r="D1093">
        <v>7100</v>
      </c>
      <c r="E1093">
        <v>360</v>
      </c>
      <c r="F1093" t="s">
        <v>1293</v>
      </c>
      <c r="G1093" t="s">
        <v>1294</v>
      </c>
      <c r="H1093" s="315" t="s">
        <v>16</v>
      </c>
      <c r="I1093" s="315" t="s">
        <v>1295</v>
      </c>
      <c r="J1093" s="315" t="str">
        <f t="shared" si="101"/>
        <v>F&amp;IOther Expenses per vehicle retailed</v>
      </c>
      <c r="K1093" s="315" t="str">
        <f t="shared" si="102"/>
        <v>360F&amp;I Other expenses - Toyota</v>
      </c>
      <c r="L1093" s="311">
        <f>+SUMIF('TUNZ Extracted TB'!M:M,$P1093,'TUNZ Extracted TB'!G:G)</f>
        <v>0</v>
      </c>
      <c r="M1093" s="311"/>
      <c r="N1093" s="311">
        <f>+SUMIF('Input Sheet'!$AE:$AE,P1093,'Input Sheet'!$X:$X)</f>
        <v>0</v>
      </c>
      <c r="O1093" s="311"/>
      <c r="P1093" t="str">
        <f t="shared" si="103"/>
        <v>360-7100</v>
      </c>
      <c r="Q1093" s="315" t="str">
        <f t="shared" si="104"/>
        <v>F&amp;I</v>
      </c>
      <c r="R1093" s="315" t="str">
        <f t="shared" si="105"/>
        <v>F&amp;IOther Expenses per vehicle retailed</v>
      </c>
      <c r="S1093" s="199"/>
      <c r="T1093" s="199"/>
      <c r="U1093" s="199"/>
    </row>
    <row r="1094" spans="1:21" x14ac:dyDescent="0.25">
      <c r="A1094" t="s">
        <v>996</v>
      </c>
      <c r="B1094" t="s">
        <v>997</v>
      </c>
      <c r="C1094" t="s">
        <v>997</v>
      </c>
      <c r="D1094">
        <v>7100</v>
      </c>
      <c r="E1094">
        <v>160</v>
      </c>
      <c r="F1094" t="s">
        <v>1293</v>
      </c>
      <c r="G1094" t="s">
        <v>1294</v>
      </c>
      <c r="H1094" s="315" t="s">
        <v>16</v>
      </c>
      <c r="I1094" s="315" t="s">
        <v>1295</v>
      </c>
      <c r="J1094" s="315" t="str">
        <f t="shared" si="101"/>
        <v>F&amp;IOther Expenses per vehicle retailed</v>
      </c>
      <c r="K1094" s="315" t="str">
        <f t="shared" si="102"/>
        <v>160F&amp;I Other expenses - Toyota</v>
      </c>
      <c r="L1094" s="311">
        <f>+SUMIF('TUNZ Extracted TB'!M:M,$P1094,'TUNZ Extracted TB'!G:G)</f>
        <v>0</v>
      </c>
      <c r="M1094" s="311"/>
      <c r="N1094" s="311">
        <f>+SUMIF('Input Sheet'!$AE:$AE,P1094,'Input Sheet'!$X:$X)</f>
        <v>0</v>
      </c>
      <c r="O1094" s="311"/>
      <c r="P1094" t="str">
        <f t="shared" si="103"/>
        <v>160-7100</v>
      </c>
      <c r="Q1094" s="315" t="str">
        <f t="shared" si="104"/>
        <v>F&amp;I</v>
      </c>
      <c r="R1094" s="315" t="str">
        <f t="shared" si="105"/>
        <v>F&amp;IOther Expenses per vehicle retailed</v>
      </c>
      <c r="S1094" s="199"/>
      <c r="T1094" s="199"/>
      <c r="U1094" s="199"/>
    </row>
    <row r="1095" spans="1:21" x14ac:dyDescent="0.25">
      <c r="A1095" t="s">
        <v>996</v>
      </c>
      <c r="B1095" t="s">
        <v>997</v>
      </c>
      <c r="C1095" t="s">
        <v>997</v>
      </c>
      <c r="D1095">
        <v>7100</v>
      </c>
      <c r="E1095">
        <v>122</v>
      </c>
      <c r="F1095" t="s">
        <v>1325</v>
      </c>
      <c r="G1095" t="s">
        <v>1326</v>
      </c>
      <c r="H1095" s="315" t="s">
        <v>1041</v>
      </c>
      <c r="I1095" s="315" t="s">
        <v>1327</v>
      </c>
      <c r="J1095" s="315" t="str">
        <f t="shared" si="101"/>
        <v>LEX Used VehicleOther Semi-Fixed expenses per retail</v>
      </c>
      <c r="K1095" s="315" t="str">
        <f t="shared" si="102"/>
        <v>122Lexus UV Other Semi-Fixed expenses</v>
      </c>
      <c r="L1095" s="311">
        <f>+SUMIF('TUNZ Extracted TB'!M:M,$P1095,'TUNZ Extracted TB'!G:G)</f>
        <v>0</v>
      </c>
      <c r="M1095" s="311"/>
      <c r="N1095" s="311">
        <f>+SUMIF('Input Sheet'!$AE:$AE,P1095,'Input Sheet'!$X:$X)</f>
        <v>0</v>
      </c>
      <c r="O1095" s="311"/>
      <c r="P1095" t="str">
        <f t="shared" si="103"/>
        <v>122-7100</v>
      </c>
      <c r="Q1095" s="315" t="str">
        <f t="shared" si="104"/>
        <v>LEX Used Vehicle</v>
      </c>
      <c r="R1095" s="315" t="str">
        <f t="shared" si="105"/>
        <v>LEX Used VehicleOther Semi-Fixed expenses per retail</v>
      </c>
      <c r="S1095" s="199"/>
      <c r="T1095" s="199"/>
      <c r="U1095" s="199"/>
    </row>
    <row r="1096" spans="1:21" x14ac:dyDescent="0.25">
      <c r="A1096" t="s">
        <v>996</v>
      </c>
      <c r="B1096" t="s">
        <v>997</v>
      </c>
      <c r="C1096" t="s">
        <v>997</v>
      </c>
      <c r="D1096">
        <v>7100</v>
      </c>
      <c r="E1096">
        <v>170</v>
      </c>
      <c r="F1096" t="s">
        <v>998</v>
      </c>
      <c r="G1096" t="s">
        <v>999</v>
      </c>
      <c r="H1096" s="315" t="s">
        <v>1000</v>
      </c>
      <c r="I1096" s="315" t="s">
        <v>1001</v>
      </c>
      <c r="J1096" s="315" t="str">
        <f t="shared" si="101"/>
        <v>Admin &amp; OtherOther Overheads as % of Total Gross Profit</v>
      </c>
      <c r="K1096" s="315" t="str">
        <f t="shared" si="102"/>
        <v>170Miscellaneous expenses - Toyota</v>
      </c>
      <c r="L1096" s="311">
        <f>+SUMIF('TUNZ Extracted TB'!M:M,$P1096,'TUNZ Extracted TB'!G:G)</f>
        <v>0</v>
      </c>
      <c r="M1096" s="311"/>
      <c r="N1096" s="311">
        <f>+SUMIF('Input Sheet'!$AE:$AE,P1096,'Input Sheet'!$X:$X)</f>
        <v>0</v>
      </c>
      <c r="O1096" s="311"/>
      <c r="P1096" t="str">
        <f t="shared" si="103"/>
        <v>170-7100</v>
      </c>
      <c r="Q1096" s="315" t="str">
        <f t="shared" si="104"/>
        <v>Admin &amp; Other</v>
      </c>
      <c r="R1096" s="315" t="str">
        <f t="shared" si="105"/>
        <v>Admin &amp; OtherOther Overheads as % of Total Gross Profit</v>
      </c>
      <c r="S1096" s="199"/>
      <c r="T1096" s="199"/>
      <c r="U1096" s="199"/>
    </row>
    <row r="1097" spans="1:21" x14ac:dyDescent="0.25">
      <c r="A1097" t="s">
        <v>996</v>
      </c>
      <c r="B1097" t="s">
        <v>997</v>
      </c>
      <c r="C1097" t="s">
        <v>1013</v>
      </c>
      <c r="D1097">
        <v>7100</v>
      </c>
      <c r="E1097">
        <v>300</v>
      </c>
      <c r="F1097" t="s">
        <v>1319</v>
      </c>
      <c r="G1097" t="s">
        <v>1320</v>
      </c>
      <c r="H1097" s="315" t="s">
        <v>29</v>
      </c>
      <c r="I1097" s="315" t="s">
        <v>1314</v>
      </c>
      <c r="J1097" s="315" t="str">
        <f t="shared" si="101"/>
        <v>New VehicleDemo Expenses (incl. interest) p.u.</v>
      </c>
      <c r="K1097" s="315" t="str">
        <f t="shared" si="102"/>
        <v>300NV Demo Expenses - Toyota</v>
      </c>
      <c r="L1097" s="311">
        <f>+SUMIF('TUNZ Extracted TB'!M:M,$P1097,'TUNZ Extracted TB'!G:G)</f>
        <v>0</v>
      </c>
      <c r="M1097" s="311"/>
      <c r="N1097" s="311">
        <f>+SUMIF('Input Sheet'!$AE:$AE,P1097,'Input Sheet'!$X:$X)</f>
        <v>0</v>
      </c>
      <c r="O1097" s="311"/>
      <c r="P1097" t="str">
        <f t="shared" si="103"/>
        <v>300-7100</v>
      </c>
      <c r="Q1097" s="315" t="str">
        <f t="shared" si="104"/>
        <v>New Vehicle</v>
      </c>
      <c r="R1097" s="315" t="str">
        <f t="shared" si="105"/>
        <v>New VehicleDemo Expenses (incl. interest) p.u.</v>
      </c>
      <c r="S1097" s="199"/>
      <c r="T1097" s="199"/>
      <c r="U1097" s="199"/>
    </row>
    <row r="1098" spans="1:21" x14ac:dyDescent="0.25">
      <c r="A1098" t="s">
        <v>996</v>
      </c>
      <c r="B1098" t="s">
        <v>997</v>
      </c>
      <c r="C1098" t="s">
        <v>1013</v>
      </c>
      <c r="D1098">
        <v>7100</v>
      </c>
      <c r="E1098">
        <v>310</v>
      </c>
      <c r="F1098" t="s">
        <v>1319</v>
      </c>
      <c r="G1098" t="s">
        <v>1320</v>
      </c>
      <c r="H1098" s="315" t="s">
        <v>29</v>
      </c>
      <c r="I1098" s="315" t="s">
        <v>1314</v>
      </c>
      <c r="J1098" s="315" t="str">
        <f t="shared" si="101"/>
        <v>New VehicleDemo Expenses (incl. interest) p.u.</v>
      </c>
      <c r="K1098" s="315" t="str">
        <f t="shared" si="102"/>
        <v>310NV Demo Expenses - Toyota</v>
      </c>
      <c r="L1098" s="311">
        <f>+SUMIF('TUNZ Extracted TB'!M:M,$P1098,'TUNZ Extracted TB'!G:G)</f>
        <v>0</v>
      </c>
      <c r="M1098" s="311"/>
      <c r="N1098" s="311">
        <f>+SUMIF('Input Sheet'!$AE:$AE,P1098,'Input Sheet'!$X:$X)</f>
        <v>0</v>
      </c>
      <c r="O1098" s="311"/>
      <c r="P1098" t="str">
        <f t="shared" si="103"/>
        <v>310-7100</v>
      </c>
      <c r="Q1098" s="315" t="str">
        <f t="shared" si="104"/>
        <v>New Vehicle</v>
      </c>
      <c r="R1098" s="315" t="str">
        <f t="shared" si="105"/>
        <v>New VehicleDemo Expenses (incl. interest) p.u.</v>
      </c>
      <c r="S1098" s="199"/>
      <c r="T1098" s="199"/>
      <c r="U1098" s="199"/>
    </row>
    <row r="1099" spans="1:21" x14ac:dyDescent="0.25">
      <c r="A1099" t="s">
        <v>996</v>
      </c>
      <c r="B1099" t="s">
        <v>997</v>
      </c>
      <c r="C1099" t="s">
        <v>997</v>
      </c>
      <c r="D1099">
        <v>7110</v>
      </c>
      <c r="E1099">
        <v>112</v>
      </c>
      <c r="F1099" t="s">
        <v>1312</v>
      </c>
      <c r="G1099" t="s">
        <v>1313</v>
      </c>
      <c r="H1099" s="315" t="s">
        <v>1011</v>
      </c>
      <c r="I1099" s="315" t="s">
        <v>1314</v>
      </c>
      <c r="J1099" s="315" t="str">
        <f t="shared" si="101"/>
        <v>LEX New VehicleDemo Expenses (incl. interest) p.u.</v>
      </c>
      <c r="K1099" s="315" t="str">
        <f t="shared" si="102"/>
        <v>112NV Demo Expenses - Lexus</v>
      </c>
      <c r="L1099" s="311">
        <f>+SUMIF('TUNZ Extracted TB'!M:M,$P1099,'TUNZ Extracted TB'!G:G)</f>
        <v>0</v>
      </c>
      <c r="M1099" s="311"/>
      <c r="N1099" s="311">
        <f>+SUMIF('Input Sheet'!$AE:$AE,P1099,'Input Sheet'!$X:$X)</f>
        <v>0</v>
      </c>
      <c r="O1099" s="311"/>
      <c r="P1099" t="str">
        <f t="shared" si="103"/>
        <v>112-7110</v>
      </c>
      <c r="Q1099" s="315" t="str">
        <f t="shared" si="104"/>
        <v>LEX New Vehicle</v>
      </c>
      <c r="R1099" s="315" t="str">
        <f t="shared" si="105"/>
        <v>LEX New VehicleDemo Expenses (incl. interest) p.u.</v>
      </c>
      <c r="S1099" s="199"/>
      <c r="T1099" s="199"/>
      <c r="U1099" s="199"/>
    </row>
    <row r="1100" spans="1:21" x14ac:dyDescent="0.25">
      <c r="A1100" t="s">
        <v>996</v>
      </c>
      <c r="B1100" t="s">
        <v>997</v>
      </c>
      <c r="C1100" t="s">
        <v>997</v>
      </c>
      <c r="D1100">
        <v>7110</v>
      </c>
      <c r="E1100">
        <v>100</v>
      </c>
      <c r="F1100" t="s">
        <v>1319</v>
      </c>
      <c r="G1100" t="s">
        <v>1320</v>
      </c>
      <c r="H1100" s="315" t="s">
        <v>29</v>
      </c>
      <c r="I1100" s="315" t="s">
        <v>1314</v>
      </c>
      <c r="J1100" s="315" t="str">
        <f t="shared" si="101"/>
        <v>New VehicleDemo Expenses (incl. interest) p.u.</v>
      </c>
      <c r="K1100" s="315" t="str">
        <f t="shared" si="102"/>
        <v>100NV Demo Expenses - Toyota</v>
      </c>
      <c r="L1100" s="311">
        <f>+SUMIF('TUNZ Extracted TB'!M:M,$P1100,'TUNZ Extracted TB'!G:G)</f>
        <v>0</v>
      </c>
      <c r="M1100" s="311"/>
      <c r="N1100" s="311">
        <f>+SUMIF('Input Sheet'!$AE:$AE,P1100,'Input Sheet'!$X:$X)</f>
        <v>0</v>
      </c>
      <c r="O1100" s="311"/>
      <c r="P1100" t="str">
        <f t="shared" si="103"/>
        <v>100-7110</v>
      </c>
      <c r="Q1100" s="315" t="str">
        <f t="shared" si="104"/>
        <v>New Vehicle</v>
      </c>
      <c r="R1100" s="315" t="str">
        <f t="shared" si="105"/>
        <v>New VehicleDemo Expenses (incl. interest) p.u.</v>
      </c>
      <c r="S1100" s="199"/>
      <c r="T1100" s="199"/>
      <c r="U1100" s="199"/>
    </row>
    <row r="1101" spans="1:21" x14ac:dyDescent="0.25">
      <c r="A1101" t="s">
        <v>996</v>
      </c>
      <c r="B1101" t="s">
        <v>997</v>
      </c>
      <c r="C1101" t="s">
        <v>997</v>
      </c>
      <c r="D1101">
        <v>7110</v>
      </c>
      <c r="E1101">
        <v>110</v>
      </c>
      <c r="F1101" t="s">
        <v>1319</v>
      </c>
      <c r="G1101" t="s">
        <v>1320</v>
      </c>
      <c r="H1101" s="315" t="s">
        <v>29</v>
      </c>
      <c r="I1101" s="315" t="s">
        <v>1314</v>
      </c>
      <c r="J1101" s="315" t="str">
        <f t="shared" si="101"/>
        <v>New VehicleDemo Expenses (incl. interest) p.u.</v>
      </c>
      <c r="K1101" s="315" t="str">
        <f t="shared" si="102"/>
        <v>110NV Demo Expenses - Toyota</v>
      </c>
      <c r="L1101" s="311">
        <f>+SUMIF('TUNZ Extracted TB'!M:M,$P1101,'TUNZ Extracted TB'!G:G)</f>
        <v>0</v>
      </c>
      <c r="M1101" s="311"/>
      <c r="N1101" s="311">
        <f>+SUMIF('Input Sheet'!$AE:$AE,P1101,'Input Sheet'!$X:$X)</f>
        <v>0</v>
      </c>
      <c r="O1101" s="311"/>
      <c r="P1101" t="str">
        <f t="shared" si="103"/>
        <v>110-7110</v>
      </c>
      <c r="Q1101" s="315" t="str">
        <f t="shared" si="104"/>
        <v>New Vehicle</v>
      </c>
      <c r="R1101" s="315" t="str">
        <f t="shared" si="105"/>
        <v>New VehicleDemo Expenses (incl. interest) p.u.</v>
      </c>
      <c r="S1101" s="199"/>
      <c r="T1101" s="199"/>
      <c r="U1101" s="199"/>
    </row>
    <row r="1102" spans="1:21" x14ac:dyDescent="0.25">
      <c r="A1102" t="s">
        <v>996</v>
      </c>
      <c r="B1102" t="s">
        <v>997</v>
      </c>
      <c r="C1102" t="s">
        <v>1005</v>
      </c>
      <c r="D1102">
        <v>7110</v>
      </c>
      <c r="E1102">
        <v>200</v>
      </c>
      <c r="F1102" t="s">
        <v>1319</v>
      </c>
      <c r="G1102" t="s">
        <v>1320</v>
      </c>
      <c r="H1102" s="315" t="s">
        <v>29</v>
      </c>
      <c r="I1102" s="315" t="s">
        <v>1314</v>
      </c>
      <c r="J1102" s="315" t="str">
        <f t="shared" si="101"/>
        <v>New VehicleDemo Expenses (incl. interest) p.u.</v>
      </c>
      <c r="K1102" s="315" t="str">
        <f t="shared" si="102"/>
        <v>200NV Demo Expenses - Toyota</v>
      </c>
      <c r="L1102" s="311">
        <f>+SUMIF('TUNZ Extracted TB'!M:M,$P1102,'TUNZ Extracted TB'!G:G)</f>
        <v>0</v>
      </c>
      <c r="M1102" s="311"/>
      <c r="N1102" s="311">
        <f>+SUMIF('Input Sheet'!$AE:$AE,P1102,'Input Sheet'!$X:$X)</f>
        <v>0</v>
      </c>
      <c r="O1102" s="311"/>
      <c r="P1102" t="str">
        <f t="shared" si="103"/>
        <v>200-7110</v>
      </c>
      <c r="Q1102" s="315" t="str">
        <f t="shared" si="104"/>
        <v>New Vehicle</v>
      </c>
      <c r="R1102" s="315" t="str">
        <f t="shared" si="105"/>
        <v>New VehicleDemo Expenses (incl. interest) p.u.</v>
      </c>
      <c r="S1102" s="199"/>
      <c r="T1102" s="199"/>
      <c r="U1102" s="199"/>
    </row>
    <row r="1103" spans="1:21" x14ac:dyDescent="0.25">
      <c r="A1103" t="s">
        <v>996</v>
      </c>
      <c r="B1103" t="s">
        <v>997</v>
      </c>
      <c r="C1103" t="s">
        <v>997</v>
      </c>
      <c r="D1103">
        <v>7100</v>
      </c>
      <c r="E1103">
        <v>936</v>
      </c>
      <c r="F1103" t="s">
        <v>1175</v>
      </c>
      <c r="G1103" t="s">
        <v>1176</v>
      </c>
      <c r="H1103" s="315" t="s">
        <v>58</v>
      </c>
      <c r="I1103" s="315" t="s">
        <v>1286</v>
      </c>
      <c r="J1103" s="315" t="str">
        <f t="shared" si="101"/>
        <v>BridgestoneOther Expenses as % of Sales</v>
      </c>
      <c r="K1103" s="315" t="str">
        <f t="shared" si="102"/>
        <v>936Other franchise/business expense</v>
      </c>
      <c r="L1103" s="311">
        <f>+SUMIF('TUNZ Extracted TB'!M:M,$P1103,'TUNZ Extracted TB'!G:G)</f>
        <v>0</v>
      </c>
      <c r="M1103" s="311"/>
      <c r="N1103" s="311">
        <f>+SUMIF('Input Sheet'!$AE:$AE,P1103,'Input Sheet'!$X:$X)</f>
        <v>0</v>
      </c>
      <c r="O1103" s="311"/>
      <c r="P1103" t="str">
        <f t="shared" si="103"/>
        <v>936-7100</v>
      </c>
      <c r="Q1103" s="315" t="str">
        <f t="shared" si="104"/>
        <v>Bridgestone</v>
      </c>
      <c r="R1103" s="315" t="str">
        <f t="shared" si="105"/>
        <v>BridgestoneOther Expenses as % of Sales</v>
      </c>
      <c r="S1103" s="199"/>
      <c r="T1103" s="199"/>
      <c r="U1103" s="199"/>
    </row>
    <row r="1104" spans="1:21" x14ac:dyDescent="0.25">
      <c r="A1104" t="s">
        <v>996</v>
      </c>
      <c r="B1104" t="s">
        <v>997</v>
      </c>
      <c r="C1104" t="s">
        <v>997</v>
      </c>
      <c r="D1104">
        <v>7100</v>
      </c>
      <c r="E1104">
        <v>935</v>
      </c>
      <c r="F1104" t="s">
        <v>1175</v>
      </c>
      <c r="G1104" t="s">
        <v>1176</v>
      </c>
      <c r="H1104" s="315" t="s">
        <v>58</v>
      </c>
      <c r="I1104" s="315" t="s">
        <v>1286</v>
      </c>
      <c r="J1104" s="315" t="str">
        <f t="shared" si="101"/>
        <v>BridgestoneOther Expenses as % of Sales</v>
      </c>
      <c r="K1104" s="315" t="str">
        <f t="shared" si="102"/>
        <v>935Other franchise/business expense</v>
      </c>
      <c r="L1104" s="311">
        <f>+SUMIF('TUNZ Extracted TB'!M:M,$P1104,'TUNZ Extracted TB'!G:G)</f>
        <v>0</v>
      </c>
      <c r="M1104" s="311"/>
      <c r="N1104" s="311">
        <f>+SUMIF('Input Sheet'!$AE:$AE,P1104,'Input Sheet'!$X:$X)</f>
        <v>0</v>
      </c>
      <c r="O1104" s="311"/>
      <c r="P1104" t="str">
        <f t="shared" si="103"/>
        <v>935-7100</v>
      </c>
      <c r="Q1104" s="315" t="str">
        <f t="shared" si="104"/>
        <v>Bridgestone</v>
      </c>
      <c r="R1104" s="315" t="str">
        <f t="shared" si="105"/>
        <v>BridgestoneOther Expenses as % of Sales</v>
      </c>
      <c r="S1104" s="199"/>
      <c r="T1104" s="199"/>
      <c r="U1104" s="199"/>
    </row>
    <row r="1105" spans="1:21" x14ac:dyDescent="0.25">
      <c r="A1105" t="s">
        <v>996</v>
      </c>
      <c r="B1105" t="s">
        <v>997</v>
      </c>
      <c r="C1105" t="s">
        <v>1005</v>
      </c>
      <c r="D1105">
        <v>7100</v>
      </c>
      <c r="E1105">
        <v>230</v>
      </c>
      <c r="F1105" t="s">
        <v>1233</v>
      </c>
      <c r="G1105" t="s">
        <v>1234</v>
      </c>
      <c r="H1105" s="315" t="s">
        <v>5</v>
      </c>
      <c r="I1105" s="315" t="s">
        <v>1222</v>
      </c>
      <c r="J1105" s="315" t="str">
        <f t="shared" si="101"/>
        <v>PartsOther Sales Gross Profit % of Sales</v>
      </c>
      <c r="K1105" s="315" t="str">
        <f t="shared" si="102"/>
        <v>230Parts Other COS - Inventory adjustment -Toyota</v>
      </c>
      <c r="L1105" s="311">
        <f>+SUMIF('TUNZ Extracted TB'!M:M,$P1105,'TUNZ Extracted TB'!G:G)</f>
        <v>0</v>
      </c>
      <c r="M1105" s="311"/>
      <c r="N1105" s="311">
        <f>+SUMIF('Input Sheet'!$AE:$AE,P1105,'Input Sheet'!$X:$X)</f>
        <v>0</v>
      </c>
      <c r="O1105" s="311"/>
      <c r="P1105" t="str">
        <f t="shared" si="103"/>
        <v>230-7100</v>
      </c>
      <c r="Q1105" s="315" t="str">
        <f t="shared" si="104"/>
        <v>Parts</v>
      </c>
      <c r="R1105" s="315" t="str">
        <f t="shared" si="105"/>
        <v>PartsOther Sales Gross Profit % of Sales</v>
      </c>
      <c r="S1105" s="199"/>
      <c r="T1105" s="199"/>
      <c r="U1105" s="199"/>
    </row>
    <row r="1106" spans="1:21" x14ac:dyDescent="0.25">
      <c r="A1106" t="s">
        <v>996</v>
      </c>
      <c r="B1106" t="s">
        <v>997</v>
      </c>
      <c r="C1106" t="s">
        <v>1012</v>
      </c>
      <c r="D1106">
        <v>7100</v>
      </c>
      <c r="E1106">
        <v>430</v>
      </c>
      <c r="F1106" t="s">
        <v>1233</v>
      </c>
      <c r="G1106" t="s">
        <v>1234</v>
      </c>
      <c r="H1106" s="315" t="s">
        <v>5</v>
      </c>
      <c r="I1106" s="315" t="s">
        <v>1222</v>
      </c>
      <c r="J1106" s="315" t="str">
        <f t="shared" si="101"/>
        <v>PartsOther Sales Gross Profit % of Sales</v>
      </c>
      <c r="K1106" s="315" t="str">
        <f t="shared" si="102"/>
        <v>430Parts Other COS - Inventory adjustment -Toyota</v>
      </c>
      <c r="L1106" s="311">
        <f>+SUMIF('TUNZ Extracted TB'!M:M,$P1106,'TUNZ Extracted TB'!G:G)</f>
        <v>0</v>
      </c>
      <c r="M1106" s="311"/>
      <c r="N1106" s="311">
        <f>+SUMIF('Input Sheet'!$AE:$AE,P1106,'Input Sheet'!$X:$X)</f>
        <v>0</v>
      </c>
      <c r="O1106" s="311"/>
      <c r="P1106" t="str">
        <f t="shared" si="103"/>
        <v>430-7100</v>
      </c>
      <c r="Q1106" s="315" t="str">
        <f t="shared" si="104"/>
        <v>Parts</v>
      </c>
      <c r="R1106" s="315" t="str">
        <f t="shared" si="105"/>
        <v>PartsOther Sales Gross Profit % of Sales</v>
      </c>
      <c r="S1106" s="199"/>
      <c r="T1106" s="199"/>
      <c r="U1106" s="199"/>
    </row>
    <row r="1107" spans="1:21" x14ac:dyDescent="0.25">
      <c r="A1107" t="s">
        <v>996</v>
      </c>
      <c r="B1107" t="s">
        <v>997</v>
      </c>
      <c r="C1107" t="s">
        <v>1013</v>
      </c>
      <c r="D1107">
        <v>7100</v>
      </c>
      <c r="E1107">
        <v>330</v>
      </c>
      <c r="F1107" t="s">
        <v>1233</v>
      </c>
      <c r="G1107" t="s">
        <v>1234</v>
      </c>
      <c r="H1107" s="315" t="s">
        <v>5</v>
      </c>
      <c r="I1107" s="315" t="s">
        <v>1222</v>
      </c>
      <c r="J1107" s="315" t="str">
        <f t="shared" si="101"/>
        <v>PartsOther Sales Gross Profit % of Sales</v>
      </c>
      <c r="K1107" s="315" t="str">
        <f t="shared" si="102"/>
        <v>330Parts Other COS - Inventory adjustment -Toyota</v>
      </c>
      <c r="L1107" s="311">
        <f>+SUMIF('TUNZ Extracted TB'!M:M,$P1107,'TUNZ Extracted TB'!G:G)</f>
        <v>0</v>
      </c>
      <c r="M1107" s="311"/>
      <c r="N1107" s="311">
        <f>+SUMIF('Input Sheet'!$AE:$AE,P1107,'Input Sheet'!$X:$X)</f>
        <v>0</v>
      </c>
      <c r="O1107" s="311"/>
      <c r="P1107" t="str">
        <f t="shared" si="103"/>
        <v>330-7100</v>
      </c>
      <c r="Q1107" s="315" t="str">
        <f t="shared" si="104"/>
        <v>Parts</v>
      </c>
      <c r="R1107" s="315" t="str">
        <f t="shared" si="105"/>
        <v>PartsOther Sales Gross Profit % of Sales</v>
      </c>
      <c r="S1107" s="199"/>
      <c r="T1107" s="199"/>
      <c r="U1107" s="199"/>
    </row>
    <row r="1108" spans="1:21" x14ac:dyDescent="0.25">
      <c r="A1108" t="s">
        <v>996</v>
      </c>
      <c r="B1108" t="s">
        <v>997</v>
      </c>
      <c r="C1108" t="s">
        <v>1005</v>
      </c>
      <c r="D1108">
        <v>7100</v>
      </c>
      <c r="E1108">
        <v>240</v>
      </c>
      <c r="F1108" t="s">
        <v>1289</v>
      </c>
      <c r="G1108" t="s">
        <v>1290</v>
      </c>
      <c r="H1108" s="315" t="s">
        <v>17</v>
      </c>
      <c r="I1108" s="315" t="s">
        <v>1286</v>
      </c>
      <c r="J1108" s="315" t="str">
        <f t="shared" si="101"/>
        <v>ServiceOther Expenses as % of Sales</v>
      </c>
      <c r="K1108" s="315" t="str">
        <f t="shared" si="102"/>
        <v>240Service Other expenses - Toyota</v>
      </c>
      <c r="L1108" s="311">
        <f>+SUMIF('TUNZ Extracted TB'!M:M,$P1108,'TUNZ Extracted TB'!G:G)</f>
        <v>0</v>
      </c>
      <c r="M1108" s="311"/>
      <c r="N1108" s="311">
        <f>+SUMIF('Input Sheet'!$AE:$AE,P1108,'Input Sheet'!$X:$X)</f>
        <v>0</v>
      </c>
      <c r="O1108" s="311"/>
      <c r="P1108" t="str">
        <f t="shared" si="103"/>
        <v>240-7100</v>
      </c>
      <c r="Q1108" s="315" t="str">
        <f t="shared" si="104"/>
        <v>Service</v>
      </c>
      <c r="R1108" s="315" t="str">
        <f t="shared" si="105"/>
        <v>ServiceOther Expenses as % of Sales</v>
      </c>
      <c r="S1108" s="199"/>
      <c r="T1108" s="199"/>
      <c r="U1108" s="199"/>
    </row>
    <row r="1109" spans="1:21" x14ac:dyDescent="0.25">
      <c r="A1109" t="s">
        <v>996</v>
      </c>
      <c r="B1109" t="s">
        <v>997</v>
      </c>
      <c r="C1109" t="s">
        <v>1012</v>
      </c>
      <c r="D1109">
        <v>7100</v>
      </c>
      <c r="E1109">
        <v>440</v>
      </c>
      <c r="F1109" t="s">
        <v>1289</v>
      </c>
      <c r="G1109" t="s">
        <v>1290</v>
      </c>
      <c r="H1109" s="315" t="s">
        <v>17</v>
      </c>
      <c r="I1109" s="315" t="s">
        <v>1286</v>
      </c>
      <c r="J1109" s="315" t="str">
        <f t="shared" si="101"/>
        <v>ServiceOther Expenses as % of Sales</v>
      </c>
      <c r="K1109" s="315" t="str">
        <f t="shared" si="102"/>
        <v>440Service Other expenses - Toyota</v>
      </c>
      <c r="L1109" s="311">
        <f>+SUMIF('TUNZ Extracted TB'!M:M,$P1109,'TUNZ Extracted TB'!G:G)</f>
        <v>0</v>
      </c>
      <c r="M1109" s="311"/>
      <c r="N1109" s="311">
        <f>+SUMIF('Input Sheet'!$AE:$AE,P1109,'Input Sheet'!$X:$X)</f>
        <v>0</v>
      </c>
      <c r="O1109" s="311"/>
      <c r="P1109" t="str">
        <f t="shared" si="103"/>
        <v>440-7100</v>
      </c>
      <c r="Q1109" s="315" t="str">
        <f t="shared" si="104"/>
        <v>Service</v>
      </c>
      <c r="R1109" s="315" t="str">
        <f t="shared" si="105"/>
        <v>ServiceOther Expenses as % of Sales</v>
      </c>
      <c r="S1109" s="199"/>
      <c r="T1109" s="199"/>
      <c r="U1109" s="199"/>
    </row>
    <row r="1110" spans="1:21" x14ac:dyDescent="0.25">
      <c r="A1110" t="s">
        <v>996</v>
      </c>
      <c r="B1110" t="s">
        <v>997</v>
      </c>
      <c r="C1110" t="s">
        <v>1013</v>
      </c>
      <c r="D1110">
        <v>7100</v>
      </c>
      <c r="E1110">
        <v>340</v>
      </c>
      <c r="F1110" t="s">
        <v>1289</v>
      </c>
      <c r="G1110" t="s">
        <v>1290</v>
      </c>
      <c r="H1110" s="315" t="s">
        <v>17</v>
      </c>
      <c r="I1110" s="315" t="s">
        <v>1286</v>
      </c>
      <c r="J1110" s="315" t="str">
        <f t="shared" si="101"/>
        <v>ServiceOther Expenses as % of Sales</v>
      </c>
      <c r="K1110" s="315" t="str">
        <f t="shared" si="102"/>
        <v>340Service Other expenses - Toyota</v>
      </c>
      <c r="L1110" s="311">
        <f>+SUMIF('TUNZ Extracted TB'!M:M,$P1110,'TUNZ Extracted TB'!G:G)</f>
        <v>0</v>
      </c>
      <c r="M1110" s="311"/>
      <c r="N1110" s="311">
        <f>+SUMIF('Input Sheet'!$AE:$AE,P1110,'Input Sheet'!$X:$X)</f>
        <v>0</v>
      </c>
      <c r="O1110" s="311"/>
      <c r="P1110" t="str">
        <f t="shared" si="103"/>
        <v>340-7100</v>
      </c>
      <c r="Q1110" s="315" t="str">
        <f t="shared" si="104"/>
        <v>Service</v>
      </c>
      <c r="R1110" s="315" t="str">
        <f t="shared" si="105"/>
        <v>ServiceOther Expenses as % of Sales</v>
      </c>
      <c r="S1110" s="199"/>
      <c r="T1110" s="199"/>
      <c r="U1110" s="199"/>
    </row>
    <row r="1111" spans="1:21" x14ac:dyDescent="0.25">
      <c r="A1111" t="s">
        <v>996</v>
      </c>
      <c r="B1111" t="s">
        <v>997</v>
      </c>
      <c r="C1111" t="s">
        <v>997</v>
      </c>
      <c r="D1111">
        <v>7100</v>
      </c>
      <c r="E1111">
        <v>147</v>
      </c>
      <c r="F1111" t="s">
        <v>1289</v>
      </c>
      <c r="G1111" t="s">
        <v>1290</v>
      </c>
      <c r="H1111" s="315" t="s">
        <v>17</v>
      </c>
      <c r="I1111" s="315" t="s">
        <v>1286</v>
      </c>
      <c r="J1111" s="315" t="str">
        <f t="shared" si="101"/>
        <v>ServiceOther Expenses as % of Sales</v>
      </c>
      <c r="K1111" s="315" t="str">
        <f t="shared" si="102"/>
        <v>147Service Other expenses - Toyota</v>
      </c>
      <c r="L1111" s="311">
        <f>+SUMIF('TUNZ Extracted TB'!M:M,$P1111,'TUNZ Extracted TB'!G:G)</f>
        <v>0</v>
      </c>
      <c r="M1111" s="311"/>
      <c r="N1111" s="311">
        <f>+SUMIF('Input Sheet'!$AE:$AE,P1111,'Input Sheet'!$X:$X)</f>
        <v>0</v>
      </c>
      <c r="O1111" s="311"/>
      <c r="P1111" t="str">
        <f t="shared" si="103"/>
        <v>147-7100</v>
      </c>
      <c r="Q1111" s="315" t="str">
        <f t="shared" si="104"/>
        <v>Service</v>
      </c>
      <c r="R1111" s="315" t="str">
        <f t="shared" si="105"/>
        <v>ServiceOther Expenses as % of Sales</v>
      </c>
      <c r="S1111" s="199"/>
      <c r="T1111" s="199"/>
      <c r="U1111" s="199"/>
    </row>
    <row r="1112" spans="1:21" x14ac:dyDescent="0.25">
      <c r="A1112" t="s">
        <v>996</v>
      </c>
      <c r="B1112" t="s">
        <v>997</v>
      </c>
      <c r="C1112" t="s">
        <v>1005</v>
      </c>
      <c r="D1112">
        <v>7100</v>
      </c>
      <c r="E1112">
        <v>220</v>
      </c>
      <c r="F1112" t="s">
        <v>1328</v>
      </c>
      <c r="G1112" t="s">
        <v>1329</v>
      </c>
      <c r="H1112" s="315" t="s">
        <v>30</v>
      </c>
      <c r="I1112" s="315" t="s">
        <v>1327</v>
      </c>
      <c r="J1112" s="315" t="str">
        <f t="shared" si="101"/>
        <v>Used VehicleOther Semi-Fixed expenses per retail</v>
      </c>
      <c r="K1112" s="315" t="str">
        <f t="shared" si="102"/>
        <v>220Toyota UV Other Semi-Fixed expenses</v>
      </c>
      <c r="L1112" s="311">
        <f>+SUMIF('TUNZ Extracted TB'!M:M,$P1112,'TUNZ Extracted TB'!G:G)</f>
        <v>0</v>
      </c>
      <c r="M1112" s="311"/>
      <c r="N1112" s="311">
        <f>+SUMIF('Input Sheet'!$AE:$AE,P1112,'Input Sheet'!$X:$X)</f>
        <v>0</v>
      </c>
      <c r="O1112" s="311"/>
      <c r="P1112" t="str">
        <f t="shared" si="103"/>
        <v>220-7100</v>
      </c>
      <c r="Q1112" s="315" t="str">
        <f t="shared" si="104"/>
        <v>Used Vehicle</v>
      </c>
      <c r="R1112" s="315" t="str">
        <f t="shared" si="105"/>
        <v>Used VehicleOther Semi-Fixed expenses per retail</v>
      </c>
      <c r="S1112" s="199"/>
      <c r="T1112" s="199"/>
      <c r="U1112" s="199"/>
    </row>
    <row r="1113" spans="1:21" x14ac:dyDescent="0.25">
      <c r="A1113" t="s">
        <v>996</v>
      </c>
      <c r="B1113" t="s">
        <v>997</v>
      </c>
      <c r="C1113" t="s">
        <v>1005</v>
      </c>
      <c r="D1113">
        <v>7100</v>
      </c>
      <c r="E1113">
        <v>221</v>
      </c>
      <c r="F1113" t="s">
        <v>1328</v>
      </c>
      <c r="G1113" t="s">
        <v>1329</v>
      </c>
      <c r="H1113" s="315" t="s">
        <v>30</v>
      </c>
      <c r="I1113" s="315" t="s">
        <v>1327</v>
      </c>
      <c r="J1113" s="315" t="str">
        <f t="shared" si="101"/>
        <v>Used VehicleOther Semi-Fixed expenses per retail</v>
      </c>
      <c r="K1113" s="315" t="str">
        <f t="shared" si="102"/>
        <v>221Toyota UV Other Semi-Fixed expenses</v>
      </c>
      <c r="L1113" s="311">
        <f>+SUMIF('TUNZ Extracted TB'!M:M,$P1113,'TUNZ Extracted TB'!G:G)</f>
        <v>0</v>
      </c>
      <c r="M1113" s="311"/>
      <c r="N1113" s="311">
        <f>+SUMIF('Input Sheet'!$AE:$AE,P1113,'Input Sheet'!$X:$X)</f>
        <v>0</v>
      </c>
      <c r="O1113" s="311"/>
      <c r="P1113" t="str">
        <f t="shared" si="103"/>
        <v>221-7100</v>
      </c>
      <c r="Q1113" s="315" t="str">
        <f t="shared" si="104"/>
        <v>Used Vehicle</v>
      </c>
      <c r="R1113" s="315" t="str">
        <f t="shared" si="105"/>
        <v>Used VehicleOther Semi-Fixed expenses per retail</v>
      </c>
      <c r="S1113" s="199"/>
      <c r="T1113" s="199"/>
      <c r="U1113" s="199"/>
    </row>
    <row r="1114" spans="1:21" x14ac:dyDescent="0.25">
      <c r="A1114" t="s">
        <v>996</v>
      </c>
      <c r="B1114" t="s">
        <v>997</v>
      </c>
      <c r="C1114" t="s">
        <v>1012</v>
      </c>
      <c r="D1114">
        <v>7100</v>
      </c>
      <c r="E1114">
        <v>420</v>
      </c>
      <c r="F1114" t="s">
        <v>1328</v>
      </c>
      <c r="G1114" t="s">
        <v>1329</v>
      </c>
      <c r="H1114" s="315" t="s">
        <v>30</v>
      </c>
      <c r="I1114" s="315" t="s">
        <v>1327</v>
      </c>
      <c r="J1114" s="315" t="str">
        <f t="shared" si="101"/>
        <v>Used VehicleOther Semi-Fixed expenses per retail</v>
      </c>
      <c r="K1114" s="315" t="str">
        <f t="shared" si="102"/>
        <v>420Toyota UV Other Semi-Fixed expenses</v>
      </c>
      <c r="L1114" s="311">
        <f>+SUMIF('TUNZ Extracted TB'!M:M,$P1114,'TUNZ Extracted TB'!G:G)</f>
        <v>0</v>
      </c>
      <c r="M1114" s="311"/>
      <c r="N1114" s="311">
        <f>+SUMIF('Input Sheet'!$AE:$AE,P1114,'Input Sheet'!$X:$X)</f>
        <v>0</v>
      </c>
      <c r="O1114" s="311"/>
      <c r="P1114" t="str">
        <f t="shared" si="103"/>
        <v>420-7100</v>
      </c>
      <c r="Q1114" s="315" t="str">
        <f t="shared" si="104"/>
        <v>Used Vehicle</v>
      </c>
      <c r="R1114" s="315" t="str">
        <f t="shared" si="105"/>
        <v>Used VehicleOther Semi-Fixed expenses per retail</v>
      </c>
      <c r="S1114" s="199"/>
      <c r="T1114" s="199"/>
      <c r="U1114" s="199"/>
    </row>
    <row r="1115" spans="1:21" x14ac:dyDescent="0.25">
      <c r="A1115" t="s">
        <v>996</v>
      </c>
      <c r="B1115" t="s">
        <v>997</v>
      </c>
      <c r="C1115" t="s">
        <v>1012</v>
      </c>
      <c r="D1115">
        <v>7100</v>
      </c>
      <c r="E1115">
        <v>421</v>
      </c>
      <c r="F1115" t="s">
        <v>1328</v>
      </c>
      <c r="G1115" t="s">
        <v>1329</v>
      </c>
      <c r="H1115" s="315" t="s">
        <v>30</v>
      </c>
      <c r="I1115" s="315" t="s">
        <v>1327</v>
      </c>
      <c r="J1115" s="315" t="str">
        <f t="shared" si="101"/>
        <v>Used VehicleOther Semi-Fixed expenses per retail</v>
      </c>
      <c r="K1115" s="315" t="str">
        <f t="shared" si="102"/>
        <v>421Toyota UV Other Semi-Fixed expenses</v>
      </c>
      <c r="L1115" s="311">
        <f>+SUMIF('TUNZ Extracted TB'!M:M,$P1115,'TUNZ Extracted TB'!G:G)</f>
        <v>0</v>
      </c>
      <c r="M1115" s="311"/>
      <c r="N1115" s="311">
        <f>+SUMIF('Input Sheet'!$AE:$AE,P1115,'Input Sheet'!$X:$X)</f>
        <v>0</v>
      </c>
      <c r="O1115" s="311"/>
      <c r="P1115" t="str">
        <f t="shared" si="103"/>
        <v>421-7100</v>
      </c>
      <c r="Q1115" s="315" t="str">
        <f t="shared" si="104"/>
        <v>Used Vehicle</v>
      </c>
      <c r="R1115" s="315" t="str">
        <f t="shared" si="105"/>
        <v>Used VehicleOther Semi-Fixed expenses per retail</v>
      </c>
      <c r="S1115" s="199"/>
      <c r="T1115" s="199"/>
      <c r="U1115" s="199"/>
    </row>
    <row r="1116" spans="1:21" x14ac:dyDescent="0.25">
      <c r="A1116" t="s">
        <v>996</v>
      </c>
      <c r="B1116" t="s">
        <v>997</v>
      </c>
      <c r="C1116" t="s">
        <v>1013</v>
      </c>
      <c r="D1116">
        <v>7100</v>
      </c>
      <c r="E1116">
        <v>321</v>
      </c>
      <c r="F1116" t="s">
        <v>1328</v>
      </c>
      <c r="G1116" t="s">
        <v>1329</v>
      </c>
      <c r="H1116" s="315" t="s">
        <v>30</v>
      </c>
      <c r="I1116" s="315" t="s">
        <v>1327</v>
      </c>
      <c r="J1116" s="315" t="str">
        <f t="shared" si="101"/>
        <v>Used VehicleOther Semi-Fixed expenses per retail</v>
      </c>
      <c r="K1116" s="315" t="str">
        <f t="shared" si="102"/>
        <v>321Toyota UV Other Semi-Fixed expenses</v>
      </c>
      <c r="L1116" s="311">
        <f>+SUMIF('TUNZ Extracted TB'!M:M,$P1116,'TUNZ Extracted TB'!G:G)</f>
        <v>0</v>
      </c>
      <c r="M1116" s="311"/>
      <c r="N1116" s="311">
        <f>+SUMIF('Input Sheet'!$AE:$AE,P1116,'Input Sheet'!$X:$X)</f>
        <v>0</v>
      </c>
      <c r="O1116" s="311"/>
      <c r="P1116" t="str">
        <f t="shared" si="103"/>
        <v>321-7100</v>
      </c>
      <c r="Q1116" s="315" t="str">
        <f t="shared" si="104"/>
        <v>Used Vehicle</v>
      </c>
      <c r="R1116" s="315" t="str">
        <f t="shared" si="105"/>
        <v>Used VehicleOther Semi-Fixed expenses per retail</v>
      </c>
      <c r="S1116" s="199"/>
      <c r="T1116" s="199"/>
      <c r="U1116" s="199"/>
    </row>
    <row r="1117" spans="1:21" x14ac:dyDescent="0.25">
      <c r="A1117" t="s">
        <v>996</v>
      </c>
      <c r="B1117" t="s">
        <v>997</v>
      </c>
      <c r="C1117" t="s">
        <v>997</v>
      </c>
      <c r="D1117">
        <v>7100</v>
      </c>
      <c r="E1117">
        <v>120</v>
      </c>
      <c r="F1117" t="s">
        <v>1328</v>
      </c>
      <c r="G1117" t="s">
        <v>1329</v>
      </c>
      <c r="H1117" s="315" t="s">
        <v>30</v>
      </c>
      <c r="I1117" s="315" t="s">
        <v>1327</v>
      </c>
      <c r="J1117" s="315" t="str">
        <f t="shared" si="101"/>
        <v>Used VehicleOther Semi-Fixed expenses per retail</v>
      </c>
      <c r="K1117" s="315" t="str">
        <f t="shared" si="102"/>
        <v>120Toyota UV Other Semi-Fixed expenses</v>
      </c>
      <c r="L1117" s="311">
        <f>+SUMIF('TUNZ Extracted TB'!M:M,$P1117,'TUNZ Extracted TB'!G:G)</f>
        <v>0</v>
      </c>
      <c r="M1117" s="311"/>
      <c r="N1117" s="311">
        <f>+SUMIF('Input Sheet'!$AE:$AE,P1117,'Input Sheet'!$X:$X)</f>
        <v>0</v>
      </c>
      <c r="O1117" s="311"/>
      <c r="P1117" t="str">
        <f t="shared" si="103"/>
        <v>120-7100</v>
      </c>
      <c r="Q1117" s="315" t="str">
        <f t="shared" si="104"/>
        <v>Used Vehicle</v>
      </c>
      <c r="R1117" s="315" t="str">
        <f t="shared" si="105"/>
        <v>Used VehicleOther Semi-Fixed expenses per retail</v>
      </c>
      <c r="S1117" s="199"/>
      <c r="T1117" s="199"/>
      <c r="U1117" s="199"/>
    </row>
    <row r="1118" spans="1:21" x14ac:dyDescent="0.25">
      <c r="A1118" t="s">
        <v>996</v>
      </c>
      <c r="B1118" t="s">
        <v>997</v>
      </c>
      <c r="C1118" t="s">
        <v>997</v>
      </c>
      <c r="D1118">
        <v>7100</v>
      </c>
      <c r="E1118">
        <v>121</v>
      </c>
      <c r="F1118" t="s">
        <v>1328</v>
      </c>
      <c r="G1118" t="s">
        <v>1329</v>
      </c>
      <c r="H1118" s="315" t="s">
        <v>30</v>
      </c>
      <c r="I1118" s="315" t="s">
        <v>1327</v>
      </c>
      <c r="J1118" s="315" t="str">
        <f t="shared" si="101"/>
        <v>Used VehicleOther Semi-Fixed expenses per retail</v>
      </c>
      <c r="K1118" s="315" t="str">
        <f t="shared" si="102"/>
        <v>121Toyota UV Other Semi-Fixed expenses</v>
      </c>
      <c r="L1118" s="311">
        <f>+SUMIF('TUNZ Extracted TB'!M:M,$P1118,'TUNZ Extracted TB'!G:G)</f>
        <v>0</v>
      </c>
      <c r="M1118" s="311"/>
      <c r="N1118" s="311">
        <f>+SUMIF('Input Sheet'!$AE:$AE,P1118,'Input Sheet'!$X:$X)</f>
        <v>0</v>
      </c>
      <c r="O1118" s="311"/>
      <c r="P1118" t="str">
        <f t="shared" si="103"/>
        <v>121-7100</v>
      </c>
      <c r="Q1118" s="315" t="str">
        <f t="shared" si="104"/>
        <v>Used Vehicle</v>
      </c>
      <c r="R1118" s="315" t="str">
        <f t="shared" si="105"/>
        <v>Used VehicleOther Semi-Fixed expenses per retail</v>
      </c>
      <c r="S1118" s="199"/>
      <c r="T1118" s="199"/>
      <c r="U1118" s="199"/>
    </row>
    <row r="1119" spans="1:21" x14ac:dyDescent="0.25">
      <c r="A1119" t="s">
        <v>996</v>
      </c>
      <c r="B1119" t="s">
        <v>997</v>
      </c>
      <c r="C1119" t="s">
        <v>997</v>
      </c>
      <c r="D1119">
        <v>7110</v>
      </c>
      <c r="E1119">
        <v>140</v>
      </c>
      <c r="F1119" t="s">
        <v>1289</v>
      </c>
      <c r="G1119" t="s">
        <v>1290</v>
      </c>
      <c r="H1119" s="315" t="s">
        <v>17</v>
      </c>
      <c r="I1119" s="315" t="s">
        <v>1286</v>
      </c>
      <c r="J1119" s="315" t="str">
        <f t="shared" si="101"/>
        <v>ServiceOther Expenses as % of Sales</v>
      </c>
      <c r="K1119" s="315" t="str">
        <f t="shared" si="102"/>
        <v>140Service Other expenses - Toyota</v>
      </c>
      <c r="L1119" s="311">
        <f>+SUMIF('TUNZ Extracted TB'!M:M,$P1119,'TUNZ Extracted TB'!G:G)</f>
        <v>0</v>
      </c>
      <c r="M1119" s="311"/>
      <c r="N1119" s="311">
        <f>+SUMIF('Input Sheet'!$AE:$AE,P1119,'Input Sheet'!$X:$X)</f>
        <v>0</v>
      </c>
      <c r="O1119" s="311"/>
      <c r="P1119" t="str">
        <f t="shared" si="103"/>
        <v>140-7110</v>
      </c>
      <c r="Q1119" s="315" t="str">
        <f t="shared" si="104"/>
        <v>Service</v>
      </c>
      <c r="R1119" s="315" t="str">
        <f t="shared" si="105"/>
        <v>ServiceOther Expenses as % of Sales</v>
      </c>
      <c r="S1119" s="199"/>
      <c r="T1119" s="199"/>
      <c r="U1119" s="199"/>
    </row>
    <row r="1120" spans="1:21" x14ac:dyDescent="0.25">
      <c r="A1120" t="s">
        <v>996</v>
      </c>
      <c r="B1120" t="s">
        <v>997</v>
      </c>
      <c r="C1120" t="s">
        <v>1005</v>
      </c>
      <c r="D1120">
        <v>7110</v>
      </c>
      <c r="E1120">
        <v>210</v>
      </c>
      <c r="F1120" t="s">
        <v>1319</v>
      </c>
      <c r="G1120" t="s">
        <v>1320</v>
      </c>
      <c r="H1120" s="315" t="s">
        <v>29</v>
      </c>
      <c r="I1120" s="315" t="s">
        <v>1314</v>
      </c>
      <c r="J1120" s="315" t="str">
        <f t="shared" si="101"/>
        <v>New VehicleDemo Expenses (incl. interest) p.u.</v>
      </c>
      <c r="K1120" s="315" t="str">
        <f t="shared" si="102"/>
        <v>210NV Demo Expenses - Toyota</v>
      </c>
      <c r="L1120" s="311">
        <f>+SUMIF('TUNZ Extracted TB'!M:M,$P1120,'TUNZ Extracted TB'!G:G)</f>
        <v>0</v>
      </c>
      <c r="M1120" s="311"/>
      <c r="N1120" s="311">
        <f>+SUMIF('Input Sheet'!$AE:$AE,P1120,'Input Sheet'!$X:$X)</f>
        <v>0</v>
      </c>
      <c r="O1120" s="311"/>
      <c r="P1120" t="str">
        <f t="shared" si="103"/>
        <v>210-7110</v>
      </c>
      <c r="Q1120" s="315" t="str">
        <f t="shared" si="104"/>
        <v>New Vehicle</v>
      </c>
      <c r="R1120" s="315" t="str">
        <f t="shared" si="105"/>
        <v>New VehicleDemo Expenses (incl. interest) p.u.</v>
      </c>
      <c r="S1120" s="199"/>
      <c r="T1120" s="199"/>
      <c r="U1120" s="199"/>
    </row>
    <row r="1121" spans="1:21" x14ac:dyDescent="0.25">
      <c r="A1121" t="s">
        <v>996</v>
      </c>
      <c r="B1121" t="s">
        <v>997</v>
      </c>
      <c r="C1121" t="s">
        <v>1012</v>
      </c>
      <c r="D1121">
        <v>7110</v>
      </c>
      <c r="E1121">
        <v>400</v>
      </c>
      <c r="F1121" t="s">
        <v>1319</v>
      </c>
      <c r="G1121" t="s">
        <v>1320</v>
      </c>
      <c r="H1121" s="315" t="s">
        <v>29</v>
      </c>
      <c r="I1121" s="315" t="s">
        <v>1314</v>
      </c>
      <c r="J1121" s="315" t="str">
        <f t="shared" si="101"/>
        <v>New VehicleDemo Expenses (incl. interest) p.u.</v>
      </c>
      <c r="K1121" s="315" t="str">
        <f t="shared" si="102"/>
        <v>400NV Demo Expenses - Toyota</v>
      </c>
      <c r="L1121" s="311">
        <f>+SUMIF('TUNZ Extracted TB'!M:M,$P1121,'TUNZ Extracted TB'!G:G)</f>
        <v>0</v>
      </c>
      <c r="M1121" s="311"/>
      <c r="N1121" s="311">
        <f>+SUMIF('Input Sheet'!$AE:$AE,P1121,'Input Sheet'!$X:$X)</f>
        <v>0</v>
      </c>
      <c r="O1121" s="311"/>
      <c r="P1121" t="str">
        <f t="shared" si="103"/>
        <v>400-7110</v>
      </c>
      <c r="Q1121" s="315" t="str">
        <f t="shared" si="104"/>
        <v>New Vehicle</v>
      </c>
      <c r="R1121" s="315" t="str">
        <f t="shared" si="105"/>
        <v>New VehicleDemo Expenses (incl. interest) p.u.</v>
      </c>
      <c r="S1121" s="199"/>
      <c r="T1121" s="199"/>
      <c r="U1121" s="199"/>
    </row>
    <row r="1122" spans="1:21" x14ac:dyDescent="0.25">
      <c r="A1122" t="s">
        <v>996</v>
      </c>
      <c r="B1122" t="s">
        <v>997</v>
      </c>
      <c r="C1122" t="s">
        <v>1012</v>
      </c>
      <c r="D1122">
        <v>7110</v>
      </c>
      <c r="E1122">
        <v>410</v>
      </c>
      <c r="F1122" t="s">
        <v>1319</v>
      </c>
      <c r="G1122" t="s">
        <v>1320</v>
      </c>
      <c r="H1122" s="315" t="s">
        <v>29</v>
      </c>
      <c r="I1122" s="315" t="s">
        <v>1314</v>
      </c>
      <c r="J1122" s="315" t="str">
        <f t="shared" si="101"/>
        <v>New VehicleDemo Expenses (incl. interest) p.u.</v>
      </c>
      <c r="K1122" s="315" t="str">
        <f t="shared" si="102"/>
        <v>410NV Demo Expenses - Toyota</v>
      </c>
      <c r="L1122" s="311">
        <f>+SUMIF('TUNZ Extracted TB'!M:M,$P1122,'TUNZ Extracted TB'!G:G)</f>
        <v>0</v>
      </c>
      <c r="M1122" s="311"/>
      <c r="N1122" s="311">
        <f>+SUMIF('Input Sheet'!$AE:$AE,P1122,'Input Sheet'!$X:$X)</f>
        <v>0</v>
      </c>
      <c r="O1122" s="311"/>
      <c r="P1122" t="str">
        <f t="shared" si="103"/>
        <v>410-7110</v>
      </c>
      <c r="Q1122" s="315" t="str">
        <f t="shared" si="104"/>
        <v>New Vehicle</v>
      </c>
      <c r="R1122" s="315" t="str">
        <f t="shared" si="105"/>
        <v>New VehicleDemo Expenses (incl. interest) p.u.</v>
      </c>
      <c r="S1122" s="199"/>
      <c r="T1122" s="199"/>
      <c r="U1122" s="199"/>
    </row>
    <row r="1123" spans="1:21" x14ac:dyDescent="0.25">
      <c r="A1123" t="s">
        <v>996</v>
      </c>
      <c r="B1123" t="s">
        <v>997</v>
      </c>
      <c r="C1123" t="s">
        <v>997</v>
      </c>
      <c r="D1123">
        <v>7110</v>
      </c>
      <c r="E1123">
        <v>132</v>
      </c>
      <c r="F1123" t="s">
        <v>1321</v>
      </c>
      <c r="G1123" t="s">
        <v>1322</v>
      </c>
      <c r="H1123" s="315" t="s">
        <v>143</v>
      </c>
      <c r="I1123" s="315" t="s">
        <v>1286</v>
      </c>
      <c r="J1123" s="315" t="str">
        <f t="shared" si="101"/>
        <v>LEX PartsOther Expenses as % of Sales</v>
      </c>
      <c r="K1123" s="315" t="str">
        <f t="shared" si="102"/>
        <v>132Parts Other Expenses - Lexus</v>
      </c>
      <c r="L1123" s="311">
        <f>+SUMIF('TUNZ Extracted TB'!M:M,$P1123,'TUNZ Extracted TB'!G:G)</f>
        <v>0</v>
      </c>
      <c r="M1123" s="311"/>
      <c r="N1123" s="311">
        <f>+SUMIF('Input Sheet'!$AE:$AE,P1123,'Input Sheet'!$X:$X)</f>
        <v>0</v>
      </c>
      <c r="O1123" s="311"/>
      <c r="P1123" t="str">
        <f t="shared" si="103"/>
        <v>132-7110</v>
      </c>
      <c r="Q1123" s="315" t="str">
        <f t="shared" si="104"/>
        <v>LEX Parts</v>
      </c>
      <c r="R1123" s="315" t="str">
        <f t="shared" si="105"/>
        <v>LEX PartsOther Expenses as % of Sales</v>
      </c>
      <c r="S1123" s="199"/>
      <c r="T1123" s="199"/>
      <c r="U1123" s="199"/>
    </row>
    <row r="1124" spans="1:21" x14ac:dyDescent="0.25">
      <c r="A1124" t="s">
        <v>996</v>
      </c>
      <c r="B1124" t="s">
        <v>997</v>
      </c>
      <c r="C1124" t="s">
        <v>997</v>
      </c>
      <c r="D1124">
        <v>7110</v>
      </c>
      <c r="E1124">
        <v>130</v>
      </c>
      <c r="F1124" t="s">
        <v>1291</v>
      </c>
      <c r="G1124" t="s">
        <v>1292</v>
      </c>
      <c r="H1124" s="315" t="s">
        <v>5</v>
      </c>
      <c r="I1124" s="315" t="s">
        <v>1286</v>
      </c>
      <c r="J1124" s="315" t="str">
        <f t="shared" si="101"/>
        <v>PartsOther Expenses as % of Sales</v>
      </c>
      <c r="K1124" s="315" t="str">
        <f t="shared" si="102"/>
        <v>130Parts Other Expenses - Toyota</v>
      </c>
      <c r="L1124" s="311">
        <f>+SUMIF('TUNZ Extracted TB'!M:M,$P1124,'TUNZ Extracted TB'!G:G)</f>
        <v>0</v>
      </c>
      <c r="M1124" s="311"/>
      <c r="N1124" s="311">
        <f>+SUMIF('Input Sheet'!$AE:$AE,P1124,'Input Sheet'!$X:$X)</f>
        <v>0</v>
      </c>
      <c r="O1124" s="311"/>
      <c r="P1124" t="str">
        <f t="shared" si="103"/>
        <v>130-7110</v>
      </c>
      <c r="Q1124" s="315" t="str">
        <f t="shared" si="104"/>
        <v>Parts</v>
      </c>
      <c r="R1124" s="315" t="str">
        <f t="shared" si="105"/>
        <v>PartsOther Expenses as % of Sales</v>
      </c>
      <c r="S1124" s="199"/>
      <c r="T1124" s="199"/>
      <c r="U1124" s="199"/>
    </row>
    <row r="1125" spans="1:21" x14ac:dyDescent="0.25">
      <c r="A1125" t="s">
        <v>996</v>
      </c>
      <c r="B1125" t="s">
        <v>997</v>
      </c>
      <c r="C1125" t="s">
        <v>997</v>
      </c>
      <c r="D1125">
        <v>7110</v>
      </c>
      <c r="E1125">
        <v>162</v>
      </c>
      <c r="F1125" t="s">
        <v>1323</v>
      </c>
      <c r="G1125" t="s">
        <v>1324</v>
      </c>
      <c r="H1125" s="315" t="s">
        <v>142</v>
      </c>
      <c r="I1125" s="315" t="s">
        <v>1295</v>
      </c>
      <c r="J1125" s="315" t="str">
        <f t="shared" si="101"/>
        <v>LEX F&amp;IOther Expenses per vehicle retailed</v>
      </c>
      <c r="K1125" s="315" t="str">
        <f t="shared" si="102"/>
        <v>162F&amp;I Other expenses - Lexus</v>
      </c>
      <c r="L1125" s="311">
        <f>+SUMIF('TUNZ Extracted TB'!M:M,$P1125,'TUNZ Extracted TB'!G:G)</f>
        <v>0</v>
      </c>
      <c r="M1125" s="311"/>
      <c r="N1125" s="311">
        <f>+SUMIF('Input Sheet'!$AE:$AE,P1125,'Input Sheet'!$X:$X)</f>
        <v>0</v>
      </c>
      <c r="O1125" s="311"/>
      <c r="P1125" t="str">
        <f t="shared" si="103"/>
        <v>162-7110</v>
      </c>
      <c r="Q1125" s="315" t="str">
        <f t="shared" si="104"/>
        <v>LEX F&amp;I</v>
      </c>
      <c r="R1125" s="315" t="str">
        <f t="shared" si="105"/>
        <v>LEX F&amp;IOther Expenses per vehicle retailed</v>
      </c>
      <c r="S1125" s="199"/>
      <c r="T1125" s="199"/>
      <c r="U1125" s="199"/>
    </row>
    <row r="1126" spans="1:21" x14ac:dyDescent="0.25">
      <c r="A1126" t="s">
        <v>996</v>
      </c>
      <c r="B1126" t="s">
        <v>997</v>
      </c>
      <c r="C1126" t="s">
        <v>1005</v>
      </c>
      <c r="D1126">
        <v>7110</v>
      </c>
      <c r="E1126">
        <v>260</v>
      </c>
      <c r="F1126" t="s">
        <v>1293</v>
      </c>
      <c r="G1126" t="s">
        <v>1294</v>
      </c>
      <c r="H1126" s="315" t="s">
        <v>16</v>
      </c>
      <c r="I1126" s="315" t="s">
        <v>1295</v>
      </c>
      <c r="J1126" s="315" t="str">
        <f t="shared" si="101"/>
        <v>F&amp;IOther Expenses per vehicle retailed</v>
      </c>
      <c r="K1126" s="315" t="str">
        <f t="shared" si="102"/>
        <v>260F&amp;I Other expenses - Toyota</v>
      </c>
      <c r="L1126" s="311">
        <f>+SUMIF('TUNZ Extracted TB'!M:M,$P1126,'TUNZ Extracted TB'!G:G)</f>
        <v>0</v>
      </c>
      <c r="M1126" s="311"/>
      <c r="N1126" s="311">
        <f>+SUMIF('Input Sheet'!$AE:$AE,P1126,'Input Sheet'!$X:$X)</f>
        <v>0</v>
      </c>
      <c r="O1126" s="311"/>
      <c r="P1126" t="str">
        <f t="shared" si="103"/>
        <v>260-7110</v>
      </c>
      <c r="Q1126" s="315" t="str">
        <f t="shared" si="104"/>
        <v>F&amp;I</v>
      </c>
      <c r="R1126" s="315" t="str">
        <f t="shared" si="105"/>
        <v>F&amp;IOther Expenses per vehicle retailed</v>
      </c>
      <c r="S1126" s="199"/>
      <c r="T1126" s="199"/>
      <c r="U1126" s="199"/>
    </row>
    <row r="1127" spans="1:21" x14ac:dyDescent="0.25">
      <c r="A1127" t="s">
        <v>996</v>
      </c>
      <c r="B1127" t="s">
        <v>997</v>
      </c>
      <c r="C1127" t="s">
        <v>1012</v>
      </c>
      <c r="D1127">
        <v>7110</v>
      </c>
      <c r="E1127">
        <v>460</v>
      </c>
      <c r="F1127" t="s">
        <v>1293</v>
      </c>
      <c r="G1127" t="s">
        <v>1294</v>
      </c>
      <c r="H1127" s="315" t="s">
        <v>16</v>
      </c>
      <c r="I1127" s="315" t="s">
        <v>1295</v>
      </c>
      <c r="J1127" s="315" t="str">
        <f t="shared" si="101"/>
        <v>F&amp;IOther Expenses per vehicle retailed</v>
      </c>
      <c r="K1127" s="315" t="str">
        <f t="shared" si="102"/>
        <v>460F&amp;I Other expenses - Toyota</v>
      </c>
      <c r="L1127" s="311">
        <f>+SUMIF('TUNZ Extracted TB'!M:M,$P1127,'TUNZ Extracted TB'!G:G)</f>
        <v>0</v>
      </c>
      <c r="M1127" s="311"/>
      <c r="N1127" s="311">
        <f>+SUMIF('Input Sheet'!$AE:$AE,P1127,'Input Sheet'!$X:$X)</f>
        <v>0</v>
      </c>
      <c r="O1127" s="311"/>
      <c r="P1127" t="str">
        <f t="shared" si="103"/>
        <v>460-7110</v>
      </c>
      <c r="Q1127" s="315" t="str">
        <f t="shared" si="104"/>
        <v>F&amp;I</v>
      </c>
      <c r="R1127" s="315" t="str">
        <f t="shared" si="105"/>
        <v>F&amp;IOther Expenses per vehicle retailed</v>
      </c>
      <c r="S1127" s="199"/>
      <c r="T1127" s="199"/>
      <c r="U1127" s="199"/>
    </row>
    <row r="1128" spans="1:21" x14ac:dyDescent="0.25">
      <c r="A1128" t="s">
        <v>996</v>
      </c>
      <c r="B1128" t="s">
        <v>997</v>
      </c>
      <c r="C1128" t="s">
        <v>1013</v>
      </c>
      <c r="D1128">
        <v>7110</v>
      </c>
      <c r="E1128">
        <v>360</v>
      </c>
      <c r="F1128" t="s">
        <v>1293</v>
      </c>
      <c r="G1128" t="s">
        <v>1294</v>
      </c>
      <c r="H1128" s="315" t="s">
        <v>16</v>
      </c>
      <c r="I1128" s="315" t="s">
        <v>1295</v>
      </c>
      <c r="J1128" s="315" t="str">
        <f t="shared" si="101"/>
        <v>F&amp;IOther Expenses per vehicle retailed</v>
      </c>
      <c r="K1128" s="315" t="str">
        <f t="shared" si="102"/>
        <v>360F&amp;I Other expenses - Toyota</v>
      </c>
      <c r="L1128" s="311">
        <f>+SUMIF('TUNZ Extracted TB'!M:M,$P1128,'TUNZ Extracted TB'!G:G)</f>
        <v>0</v>
      </c>
      <c r="M1128" s="311"/>
      <c r="N1128" s="311">
        <f>+SUMIF('Input Sheet'!$AE:$AE,P1128,'Input Sheet'!$X:$X)</f>
        <v>0</v>
      </c>
      <c r="O1128" s="311"/>
      <c r="P1128" t="str">
        <f t="shared" si="103"/>
        <v>360-7110</v>
      </c>
      <c r="Q1128" s="315" t="str">
        <f t="shared" si="104"/>
        <v>F&amp;I</v>
      </c>
      <c r="R1128" s="315" t="str">
        <f t="shared" si="105"/>
        <v>F&amp;IOther Expenses per vehicle retailed</v>
      </c>
      <c r="S1128" s="199"/>
      <c r="T1128" s="199"/>
      <c r="U1128" s="199"/>
    </row>
    <row r="1129" spans="1:21" x14ac:dyDescent="0.25">
      <c r="A1129" t="s">
        <v>996</v>
      </c>
      <c r="B1129" t="s">
        <v>997</v>
      </c>
      <c r="C1129" t="s">
        <v>997</v>
      </c>
      <c r="D1129">
        <v>7110</v>
      </c>
      <c r="E1129">
        <v>160</v>
      </c>
      <c r="F1129" t="s">
        <v>1293</v>
      </c>
      <c r="G1129" t="s">
        <v>1294</v>
      </c>
      <c r="H1129" s="315" t="s">
        <v>16</v>
      </c>
      <c r="I1129" s="315" t="s">
        <v>1295</v>
      </c>
      <c r="J1129" s="315" t="str">
        <f t="shared" si="101"/>
        <v>F&amp;IOther Expenses per vehicle retailed</v>
      </c>
      <c r="K1129" s="315" t="str">
        <f t="shared" si="102"/>
        <v>160F&amp;I Other expenses - Toyota</v>
      </c>
      <c r="L1129" s="311">
        <f>+SUMIF('TUNZ Extracted TB'!M:M,$P1129,'TUNZ Extracted TB'!G:G)</f>
        <v>0</v>
      </c>
      <c r="M1129" s="311"/>
      <c r="N1129" s="311">
        <f>+SUMIF('Input Sheet'!$AE:$AE,P1129,'Input Sheet'!$X:$X)</f>
        <v>0</v>
      </c>
      <c r="O1129" s="311"/>
      <c r="P1129" t="str">
        <f t="shared" si="103"/>
        <v>160-7110</v>
      </c>
      <c r="Q1129" s="315" t="str">
        <f t="shared" si="104"/>
        <v>F&amp;I</v>
      </c>
      <c r="R1129" s="315" t="str">
        <f t="shared" si="105"/>
        <v>F&amp;IOther Expenses per vehicle retailed</v>
      </c>
      <c r="S1129" s="199"/>
      <c r="T1129" s="199"/>
      <c r="U1129" s="199"/>
    </row>
    <row r="1130" spans="1:21" x14ac:dyDescent="0.25">
      <c r="A1130" t="s">
        <v>996</v>
      </c>
      <c r="B1130" t="s">
        <v>997</v>
      </c>
      <c r="C1130" t="s">
        <v>997</v>
      </c>
      <c r="D1130">
        <v>7110</v>
      </c>
      <c r="E1130">
        <v>122</v>
      </c>
      <c r="F1130" t="s">
        <v>1325</v>
      </c>
      <c r="G1130" t="s">
        <v>1326</v>
      </c>
      <c r="H1130" s="315" t="s">
        <v>1041</v>
      </c>
      <c r="I1130" s="315" t="s">
        <v>1327</v>
      </c>
      <c r="J1130" s="315" t="str">
        <f t="shared" si="101"/>
        <v>LEX Used VehicleOther Semi-Fixed expenses per retail</v>
      </c>
      <c r="K1130" s="315" t="str">
        <f t="shared" si="102"/>
        <v>122Lexus UV Other Semi-Fixed expenses</v>
      </c>
      <c r="L1130" s="311">
        <f>+SUMIF('TUNZ Extracted TB'!M:M,$P1130,'TUNZ Extracted TB'!G:G)</f>
        <v>0</v>
      </c>
      <c r="M1130" s="311"/>
      <c r="N1130" s="311">
        <f>+SUMIF('Input Sheet'!$AE:$AE,P1130,'Input Sheet'!$X:$X)</f>
        <v>0</v>
      </c>
      <c r="O1130" s="311"/>
      <c r="P1130" t="str">
        <f t="shared" si="103"/>
        <v>122-7110</v>
      </c>
      <c r="Q1130" s="315" t="str">
        <f t="shared" si="104"/>
        <v>LEX Used Vehicle</v>
      </c>
      <c r="R1130" s="315" t="str">
        <f t="shared" si="105"/>
        <v>LEX Used VehicleOther Semi-Fixed expenses per retail</v>
      </c>
      <c r="S1130" s="199"/>
      <c r="T1130" s="199"/>
      <c r="U1130" s="199"/>
    </row>
    <row r="1131" spans="1:21" x14ac:dyDescent="0.25">
      <c r="A1131" t="s">
        <v>996</v>
      </c>
      <c r="B1131" t="s">
        <v>997</v>
      </c>
      <c r="C1131" t="s">
        <v>1013</v>
      </c>
      <c r="D1131">
        <v>7110</v>
      </c>
      <c r="E1131">
        <v>300</v>
      </c>
      <c r="F1131" t="s">
        <v>1319</v>
      </c>
      <c r="G1131" t="s">
        <v>1320</v>
      </c>
      <c r="H1131" s="315" t="s">
        <v>29</v>
      </c>
      <c r="I1131" s="315" t="s">
        <v>1314</v>
      </c>
      <c r="J1131" s="315" t="str">
        <f t="shared" si="101"/>
        <v>New VehicleDemo Expenses (incl. interest) p.u.</v>
      </c>
      <c r="K1131" s="315" t="str">
        <f t="shared" si="102"/>
        <v>300NV Demo Expenses - Toyota</v>
      </c>
      <c r="L1131" s="311">
        <f>+SUMIF('TUNZ Extracted TB'!M:M,$P1131,'TUNZ Extracted TB'!G:G)</f>
        <v>0</v>
      </c>
      <c r="M1131" s="311"/>
      <c r="N1131" s="311">
        <f>+SUMIF('Input Sheet'!$AE:$AE,P1131,'Input Sheet'!$X:$X)</f>
        <v>0</v>
      </c>
      <c r="O1131" s="311"/>
      <c r="P1131" t="str">
        <f t="shared" si="103"/>
        <v>300-7110</v>
      </c>
      <c r="Q1131" s="315" t="str">
        <f t="shared" si="104"/>
        <v>New Vehicle</v>
      </c>
      <c r="R1131" s="315" t="str">
        <f t="shared" si="105"/>
        <v>New VehicleDemo Expenses (incl. interest) p.u.</v>
      </c>
      <c r="S1131" s="199"/>
      <c r="T1131" s="199"/>
      <c r="U1131" s="199"/>
    </row>
    <row r="1132" spans="1:21" x14ac:dyDescent="0.25">
      <c r="A1132" t="s">
        <v>996</v>
      </c>
      <c r="B1132" t="s">
        <v>997</v>
      </c>
      <c r="C1132" t="s">
        <v>1013</v>
      </c>
      <c r="D1132">
        <v>7110</v>
      </c>
      <c r="E1132">
        <v>310</v>
      </c>
      <c r="F1132" t="s">
        <v>1319</v>
      </c>
      <c r="G1132" t="s">
        <v>1320</v>
      </c>
      <c r="H1132" s="315" t="s">
        <v>29</v>
      </c>
      <c r="I1132" s="315" t="s">
        <v>1314</v>
      </c>
      <c r="J1132" s="315" t="str">
        <f t="shared" si="101"/>
        <v>New VehicleDemo Expenses (incl. interest) p.u.</v>
      </c>
      <c r="K1132" s="315" t="str">
        <f t="shared" si="102"/>
        <v>310NV Demo Expenses - Toyota</v>
      </c>
      <c r="L1132" s="311">
        <f>+SUMIF('TUNZ Extracted TB'!M:M,$P1132,'TUNZ Extracted TB'!G:G)</f>
        <v>0</v>
      </c>
      <c r="M1132" s="311"/>
      <c r="N1132" s="311">
        <f>+SUMIF('Input Sheet'!$AE:$AE,P1132,'Input Sheet'!$X:$X)</f>
        <v>0</v>
      </c>
      <c r="O1132" s="311"/>
      <c r="P1132" t="str">
        <f t="shared" si="103"/>
        <v>310-7110</v>
      </c>
      <c r="Q1132" s="315" t="str">
        <f t="shared" si="104"/>
        <v>New Vehicle</v>
      </c>
      <c r="R1132" s="315" t="str">
        <f t="shared" si="105"/>
        <v>New VehicleDemo Expenses (incl. interest) p.u.</v>
      </c>
      <c r="S1132" s="199"/>
      <c r="T1132" s="199"/>
      <c r="U1132" s="199"/>
    </row>
    <row r="1133" spans="1:21" x14ac:dyDescent="0.25">
      <c r="A1133" t="s">
        <v>996</v>
      </c>
      <c r="B1133" t="s">
        <v>997</v>
      </c>
      <c r="C1133" t="s">
        <v>997</v>
      </c>
      <c r="D1133">
        <v>7110</v>
      </c>
      <c r="E1133">
        <v>170</v>
      </c>
      <c r="F1133" t="s">
        <v>1319</v>
      </c>
      <c r="G1133" t="s">
        <v>1320</v>
      </c>
      <c r="H1133" s="315" t="s">
        <v>29</v>
      </c>
      <c r="I1133" s="315" t="s">
        <v>1314</v>
      </c>
      <c r="J1133" s="315" t="str">
        <f t="shared" si="101"/>
        <v>New VehicleDemo Expenses (incl. interest) p.u.</v>
      </c>
      <c r="K1133" s="315" t="str">
        <f t="shared" si="102"/>
        <v>170NV Demo Expenses - Toyota</v>
      </c>
      <c r="L1133" s="311">
        <f>+SUMIF('TUNZ Extracted TB'!M:M,$P1133,'TUNZ Extracted TB'!G:G)</f>
        <v>0</v>
      </c>
      <c r="M1133" s="311"/>
      <c r="N1133" s="311">
        <f>+SUMIF('Input Sheet'!$AE:$AE,P1133,'Input Sheet'!$X:$X)</f>
        <v>0</v>
      </c>
      <c r="O1133" s="311"/>
      <c r="P1133" t="str">
        <f t="shared" si="103"/>
        <v>170-7110</v>
      </c>
      <c r="Q1133" s="315" t="str">
        <f t="shared" si="104"/>
        <v>New Vehicle</v>
      </c>
      <c r="R1133" s="315" t="str">
        <f t="shared" si="105"/>
        <v>New VehicleDemo Expenses (incl. interest) p.u.</v>
      </c>
      <c r="S1133" s="199"/>
      <c r="T1133" s="199"/>
      <c r="U1133" s="199"/>
    </row>
    <row r="1134" spans="1:21" x14ac:dyDescent="0.25">
      <c r="A1134" t="s">
        <v>996</v>
      </c>
      <c r="B1134" t="s">
        <v>997</v>
      </c>
      <c r="C1134" t="s">
        <v>997</v>
      </c>
      <c r="D1134">
        <v>7120</v>
      </c>
      <c r="E1134">
        <v>112</v>
      </c>
      <c r="F1134" t="s">
        <v>1330</v>
      </c>
      <c r="G1134" t="s">
        <v>1331</v>
      </c>
      <c r="H1134" s="315" t="s">
        <v>1011</v>
      </c>
      <c r="I1134" s="315" t="s">
        <v>1314</v>
      </c>
      <c r="J1134" s="315" t="str">
        <f t="shared" si="101"/>
        <v>LEX New VehicleDemo Expenses (incl. interest) p.u.</v>
      </c>
      <c r="K1134" s="315" t="str">
        <f t="shared" si="102"/>
        <v>112NV Lexus Interest expense</v>
      </c>
      <c r="L1134" s="311">
        <f>+SUMIF('TUNZ Extracted TB'!M:M,$P1134,'TUNZ Extracted TB'!G:G)</f>
        <v>0</v>
      </c>
      <c r="M1134" s="311"/>
      <c r="N1134" s="311">
        <f>+SUMIF('Input Sheet'!$AE:$AE,P1134,'Input Sheet'!$X:$X)</f>
        <v>0</v>
      </c>
      <c r="O1134" s="311"/>
      <c r="P1134" t="str">
        <f t="shared" si="103"/>
        <v>112-7120</v>
      </c>
      <c r="Q1134" s="315" t="str">
        <f t="shared" si="104"/>
        <v>LEX New Vehicle</v>
      </c>
      <c r="R1134" s="315" t="str">
        <f t="shared" si="105"/>
        <v>LEX New VehicleDemo Expenses (incl. interest) p.u.</v>
      </c>
      <c r="S1134" s="199"/>
      <c r="T1134" s="199"/>
      <c r="U1134" s="199"/>
    </row>
    <row r="1135" spans="1:21" x14ac:dyDescent="0.25">
      <c r="A1135" t="s">
        <v>996</v>
      </c>
      <c r="B1135" t="s">
        <v>997</v>
      </c>
      <c r="C1135" t="s">
        <v>997</v>
      </c>
      <c r="D1135">
        <v>7120</v>
      </c>
      <c r="E1135">
        <v>100</v>
      </c>
      <c r="F1135" t="s">
        <v>1332</v>
      </c>
      <c r="G1135" t="s">
        <v>1333</v>
      </c>
      <c r="H1135" s="315" t="s">
        <v>29</v>
      </c>
      <c r="I1135" s="315" t="s">
        <v>1314</v>
      </c>
      <c r="J1135" s="315" t="str">
        <f t="shared" si="101"/>
        <v>New VehicleDemo Expenses (incl. interest) p.u.</v>
      </c>
      <c r="K1135" s="315" t="str">
        <f t="shared" si="102"/>
        <v>100NV Toyota Interest expense</v>
      </c>
      <c r="L1135" s="311">
        <f>+SUMIF('TUNZ Extracted TB'!M:M,$P1135,'TUNZ Extracted TB'!G:G)</f>
        <v>0</v>
      </c>
      <c r="M1135" s="311"/>
      <c r="N1135" s="311">
        <f>+SUMIF('Input Sheet'!$AE:$AE,P1135,'Input Sheet'!$X:$X)</f>
        <v>0</v>
      </c>
      <c r="O1135" s="311"/>
      <c r="P1135" t="str">
        <f t="shared" si="103"/>
        <v>100-7120</v>
      </c>
      <c r="Q1135" s="315" t="str">
        <f t="shared" si="104"/>
        <v>New Vehicle</v>
      </c>
      <c r="R1135" s="315" t="str">
        <f t="shared" si="105"/>
        <v>New VehicleDemo Expenses (incl. interest) p.u.</v>
      </c>
      <c r="S1135" s="199"/>
      <c r="T1135" s="199"/>
      <c r="U1135" s="199"/>
    </row>
    <row r="1136" spans="1:21" x14ac:dyDescent="0.25">
      <c r="A1136" t="s">
        <v>996</v>
      </c>
      <c r="B1136" t="s">
        <v>997</v>
      </c>
      <c r="C1136" t="s">
        <v>997</v>
      </c>
      <c r="D1136">
        <v>7120</v>
      </c>
      <c r="E1136">
        <v>110</v>
      </c>
      <c r="F1136" t="s">
        <v>1332</v>
      </c>
      <c r="G1136" t="s">
        <v>1333</v>
      </c>
      <c r="H1136" s="315" t="s">
        <v>29</v>
      </c>
      <c r="I1136" s="315" t="s">
        <v>1314</v>
      </c>
      <c r="J1136" s="315" t="str">
        <f t="shared" si="101"/>
        <v>New VehicleDemo Expenses (incl. interest) p.u.</v>
      </c>
      <c r="K1136" s="315" t="str">
        <f t="shared" si="102"/>
        <v>110NV Toyota Interest expense</v>
      </c>
      <c r="L1136" s="311">
        <f>+SUMIF('TUNZ Extracted TB'!M:M,$P1136,'TUNZ Extracted TB'!G:G)</f>
        <v>0</v>
      </c>
      <c r="M1136" s="311"/>
      <c r="N1136" s="311">
        <f>+SUMIF('Input Sheet'!$AE:$AE,P1136,'Input Sheet'!$X:$X)</f>
        <v>0</v>
      </c>
      <c r="O1136" s="311"/>
      <c r="P1136" t="str">
        <f t="shared" si="103"/>
        <v>110-7120</v>
      </c>
      <c r="Q1136" s="315" t="str">
        <f t="shared" si="104"/>
        <v>New Vehicle</v>
      </c>
      <c r="R1136" s="315" t="str">
        <f t="shared" si="105"/>
        <v>New VehicleDemo Expenses (incl. interest) p.u.</v>
      </c>
      <c r="S1136" s="199"/>
      <c r="T1136" s="199"/>
      <c r="U1136" s="199"/>
    </row>
    <row r="1137" spans="1:21" x14ac:dyDescent="0.25">
      <c r="A1137" t="s">
        <v>996</v>
      </c>
      <c r="B1137" t="s">
        <v>997</v>
      </c>
      <c r="C1137" t="s">
        <v>1005</v>
      </c>
      <c r="D1137">
        <v>7120</v>
      </c>
      <c r="E1137">
        <v>200</v>
      </c>
      <c r="F1137" t="s">
        <v>1332</v>
      </c>
      <c r="G1137" t="s">
        <v>1333</v>
      </c>
      <c r="H1137" s="315" t="s">
        <v>29</v>
      </c>
      <c r="I1137" s="315" t="s">
        <v>1314</v>
      </c>
      <c r="J1137" s="315" t="str">
        <f t="shared" si="101"/>
        <v>New VehicleDemo Expenses (incl. interest) p.u.</v>
      </c>
      <c r="K1137" s="315" t="str">
        <f t="shared" si="102"/>
        <v>200NV Toyota Interest expense</v>
      </c>
      <c r="L1137" s="311">
        <f>+SUMIF('TUNZ Extracted TB'!M:M,$P1137,'TUNZ Extracted TB'!G:G)</f>
        <v>0</v>
      </c>
      <c r="M1137" s="311"/>
      <c r="N1137" s="311">
        <f>+SUMIF('Input Sheet'!$AE:$AE,P1137,'Input Sheet'!$X:$X)</f>
        <v>0</v>
      </c>
      <c r="O1137" s="311"/>
      <c r="P1137" t="str">
        <f t="shared" si="103"/>
        <v>200-7120</v>
      </c>
      <c r="Q1137" s="315" t="str">
        <f t="shared" si="104"/>
        <v>New Vehicle</v>
      </c>
      <c r="R1137" s="315" t="str">
        <f t="shared" si="105"/>
        <v>New VehicleDemo Expenses (incl. interest) p.u.</v>
      </c>
      <c r="S1137" s="199"/>
      <c r="T1137" s="199"/>
      <c r="U1137" s="199"/>
    </row>
    <row r="1138" spans="1:21" x14ac:dyDescent="0.25">
      <c r="A1138" t="s">
        <v>996</v>
      </c>
      <c r="B1138" t="s">
        <v>997</v>
      </c>
      <c r="C1138" t="s">
        <v>997</v>
      </c>
      <c r="D1138">
        <v>7110</v>
      </c>
      <c r="E1138">
        <v>936</v>
      </c>
      <c r="F1138" t="s">
        <v>1175</v>
      </c>
      <c r="G1138" t="s">
        <v>1176</v>
      </c>
      <c r="H1138" s="315" t="s">
        <v>58</v>
      </c>
      <c r="I1138" s="315" t="s">
        <v>1286</v>
      </c>
      <c r="J1138" s="315" t="str">
        <f t="shared" si="101"/>
        <v>BridgestoneOther Expenses as % of Sales</v>
      </c>
      <c r="K1138" s="315" t="str">
        <f t="shared" si="102"/>
        <v>936Other franchise/business expense</v>
      </c>
      <c r="L1138" s="311">
        <f>+SUMIF('TUNZ Extracted TB'!M:M,$P1138,'TUNZ Extracted TB'!G:G)</f>
        <v>0</v>
      </c>
      <c r="M1138" s="311"/>
      <c r="N1138" s="311">
        <f>+SUMIF('Input Sheet'!$AE:$AE,P1138,'Input Sheet'!$X:$X)</f>
        <v>0</v>
      </c>
      <c r="O1138" s="311"/>
      <c r="P1138" t="str">
        <f t="shared" si="103"/>
        <v>936-7110</v>
      </c>
      <c r="Q1138" s="315" t="str">
        <f t="shared" si="104"/>
        <v>Bridgestone</v>
      </c>
      <c r="R1138" s="315" t="str">
        <f t="shared" si="105"/>
        <v>BridgestoneOther Expenses as % of Sales</v>
      </c>
      <c r="S1138" s="199"/>
      <c r="T1138" s="199"/>
      <c r="U1138" s="199"/>
    </row>
    <row r="1139" spans="1:21" x14ac:dyDescent="0.25">
      <c r="A1139" t="s">
        <v>996</v>
      </c>
      <c r="B1139" t="s">
        <v>997</v>
      </c>
      <c r="C1139" t="s">
        <v>997</v>
      </c>
      <c r="D1139">
        <v>7110</v>
      </c>
      <c r="E1139">
        <v>935</v>
      </c>
      <c r="F1139" t="s">
        <v>1175</v>
      </c>
      <c r="G1139" t="s">
        <v>1176</v>
      </c>
      <c r="H1139" s="315" t="s">
        <v>58</v>
      </c>
      <c r="I1139" s="315" t="s">
        <v>1286</v>
      </c>
      <c r="J1139" s="315" t="str">
        <f t="shared" si="101"/>
        <v>BridgestoneOther Expenses as % of Sales</v>
      </c>
      <c r="K1139" s="315" t="str">
        <f t="shared" si="102"/>
        <v>935Other franchise/business expense</v>
      </c>
      <c r="L1139" s="311">
        <f>+SUMIF('TUNZ Extracted TB'!M:M,$P1139,'TUNZ Extracted TB'!G:G)</f>
        <v>0</v>
      </c>
      <c r="M1139" s="311"/>
      <c r="N1139" s="311">
        <f>+SUMIF('Input Sheet'!$AE:$AE,P1139,'Input Sheet'!$X:$X)</f>
        <v>0</v>
      </c>
      <c r="O1139" s="311"/>
      <c r="P1139" t="str">
        <f t="shared" si="103"/>
        <v>935-7110</v>
      </c>
      <c r="Q1139" s="315" t="str">
        <f t="shared" si="104"/>
        <v>Bridgestone</v>
      </c>
      <c r="R1139" s="315" t="str">
        <f t="shared" si="105"/>
        <v>BridgestoneOther Expenses as % of Sales</v>
      </c>
      <c r="S1139" s="199"/>
      <c r="T1139" s="199"/>
      <c r="U1139" s="199"/>
    </row>
    <row r="1140" spans="1:21" x14ac:dyDescent="0.25">
      <c r="A1140" t="s">
        <v>996</v>
      </c>
      <c r="B1140" t="s">
        <v>997</v>
      </c>
      <c r="C1140" t="s">
        <v>1005</v>
      </c>
      <c r="D1140">
        <v>7110</v>
      </c>
      <c r="E1140">
        <v>230</v>
      </c>
      <c r="F1140" t="s">
        <v>1291</v>
      </c>
      <c r="G1140" t="s">
        <v>1292</v>
      </c>
      <c r="H1140" s="315" t="s">
        <v>5</v>
      </c>
      <c r="I1140" s="315" t="s">
        <v>1286</v>
      </c>
      <c r="J1140" s="315" t="str">
        <f t="shared" si="101"/>
        <v>PartsOther Expenses as % of Sales</v>
      </c>
      <c r="K1140" s="315" t="str">
        <f t="shared" si="102"/>
        <v>230Parts Other Expenses - Toyota</v>
      </c>
      <c r="L1140" s="311">
        <f>+SUMIF('TUNZ Extracted TB'!M:M,$P1140,'TUNZ Extracted TB'!G:G)</f>
        <v>0</v>
      </c>
      <c r="M1140" s="311"/>
      <c r="N1140" s="311">
        <f>+SUMIF('Input Sheet'!$AE:$AE,P1140,'Input Sheet'!$X:$X)</f>
        <v>0</v>
      </c>
      <c r="O1140" s="311"/>
      <c r="P1140" t="str">
        <f t="shared" si="103"/>
        <v>230-7110</v>
      </c>
      <c r="Q1140" s="315" t="str">
        <f t="shared" si="104"/>
        <v>Parts</v>
      </c>
      <c r="R1140" s="315" t="str">
        <f t="shared" si="105"/>
        <v>PartsOther Expenses as % of Sales</v>
      </c>
      <c r="S1140" s="199"/>
      <c r="T1140" s="199"/>
      <c r="U1140" s="199"/>
    </row>
    <row r="1141" spans="1:21" x14ac:dyDescent="0.25">
      <c r="A1141" t="s">
        <v>996</v>
      </c>
      <c r="B1141" t="s">
        <v>997</v>
      </c>
      <c r="C1141" t="s">
        <v>1012</v>
      </c>
      <c r="D1141">
        <v>7110</v>
      </c>
      <c r="E1141">
        <v>430</v>
      </c>
      <c r="F1141" t="s">
        <v>1291</v>
      </c>
      <c r="G1141" t="s">
        <v>1292</v>
      </c>
      <c r="H1141" s="315" t="s">
        <v>5</v>
      </c>
      <c r="I1141" s="315" t="s">
        <v>1286</v>
      </c>
      <c r="J1141" s="315" t="str">
        <f t="shared" si="101"/>
        <v>PartsOther Expenses as % of Sales</v>
      </c>
      <c r="K1141" s="315" t="str">
        <f t="shared" si="102"/>
        <v>430Parts Other Expenses - Toyota</v>
      </c>
      <c r="L1141" s="311">
        <f>+SUMIF('TUNZ Extracted TB'!M:M,$P1141,'TUNZ Extracted TB'!G:G)</f>
        <v>0</v>
      </c>
      <c r="M1141" s="311"/>
      <c r="N1141" s="311">
        <f>+SUMIF('Input Sheet'!$AE:$AE,P1141,'Input Sheet'!$X:$X)</f>
        <v>0</v>
      </c>
      <c r="O1141" s="311"/>
      <c r="P1141" t="str">
        <f t="shared" si="103"/>
        <v>430-7110</v>
      </c>
      <c r="Q1141" s="315" t="str">
        <f t="shared" si="104"/>
        <v>Parts</v>
      </c>
      <c r="R1141" s="315" t="str">
        <f t="shared" si="105"/>
        <v>PartsOther Expenses as % of Sales</v>
      </c>
      <c r="S1141" s="199"/>
      <c r="T1141" s="199"/>
      <c r="U1141" s="199"/>
    </row>
    <row r="1142" spans="1:21" x14ac:dyDescent="0.25">
      <c r="A1142" t="s">
        <v>996</v>
      </c>
      <c r="B1142" t="s">
        <v>997</v>
      </c>
      <c r="C1142" t="s">
        <v>1013</v>
      </c>
      <c r="D1142">
        <v>7110</v>
      </c>
      <c r="E1142">
        <v>330</v>
      </c>
      <c r="F1142" t="s">
        <v>1291</v>
      </c>
      <c r="G1142" t="s">
        <v>1292</v>
      </c>
      <c r="H1142" s="315" t="s">
        <v>5</v>
      </c>
      <c r="I1142" s="315" t="s">
        <v>1286</v>
      </c>
      <c r="J1142" s="315" t="str">
        <f t="shared" si="101"/>
        <v>PartsOther Expenses as % of Sales</v>
      </c>
      <c r="K1142" s="315" t="str">
        <f t="shared" si="102"/>
        <v>330Parts Other Expenses - Toyota</v>
      </c>
      <c r="L1142" s="311">
        <f>+SUMIF('TUNZ Extracted TB'!M:M,$P1142,'TUNZ Extracted TB'!G:G)</f>
        <v>0</v>
      </c>
      <c r="M1142" s="311"/>
      <c r="N1142" s="311">
        <f>+SUMIF('Input Sheet'!$AE:$AE,P1142,'Input Sheet'!$X:$X)</f>
        <v>0</v>
      </c>
      <c r="O1142" s="311"/>
      <c r="P1142" t="str">
        <f t="shared" si="103"/>
        <v>330-7110</v>
      </c>
      <c r="Q1142" s="315" t="str">
        <f t="shared" si="104"/>
        <v>Parts</v>
      </c>
      <c r="R1142" s="315" t="str">
        <f t="shared" si="105"/>
        <v>PartsOther Expenses as % of Sales</v>
      </c>
      <c r="S1142" s="199"/>
      <c r="T1142" s="199"/>
      <c r="U1142" s="199"/>
    </row>
    <row r="1143" spans="1:21" x14ac:dyDescent="0.25">
      <c r="A1143" t="s">
        <v>996</v>
      </c>
      <c r="B1143" t="s">
        <v>997</v>
      </c>
      <c r="C1143" t="s">
        <v>1005</v>
      </c>
      <c r="D1143">
        <v>7110</v>
      </c>
      <c r="E1143">
        <v>240</v>
      </c>
      <c r="F1143" t="s">
        <v>1289</v>
      </c>
      <c r="G1143" t="s">
        <v>1290</v>
      </c>
      <c r="H1143" s="315" t="s">
        <v>17</v>
      </c>
      <c r="I1143" s="315" t="s">
        <v>1286</v>
      </c>
      <c r="J1143" s="315" t="str">
        <f t="shared" si="101"/>
        <v>ServiceOther Expenses as % of Sales</v>
      </c>
      <c r="K1143" s="315" t="str">
        <f t="shared" si="102"/>
        <v>240Service Other expenses - Toyota</v>
      </c>
      <c r="L1143" s="311">
        <f>+SUMIF('TUNZ Extracted TB'!M:M,$P1143,'TUNZ Extracted TB'!G:G)</f>
        <v>0</v>
      </c>
      <c r="M1143" s="311"/>
      <c r="N1143" s="311">
        <f>+SUMIF('Input Sheet'!$AE:$AE,P1143,'Input Sheet'!$X:$X)</f>
        <v>0</v>
      </c>
      <c r="O1143" s="311"/>
      <c r="P1143" t="str">
        <f t="shared" si="103"/>
        <v>240-7110</v>
      </c>
      <c r="Q1143" s="315" t="str">
        <f t="shared" si="104"/>
        <v>Service</v>
      </c>
      <c r="R1143" s="315" t="str">
        <f t="shared" si="105"/>
        <v>ServiceOther Expenses as % of Sales</v>
      </c>
      <c r="S1143" s="199"/>
      <c r="T1143" s="199"/>
      <c r="U1143" s="199"/>
    </row>
    <row r="1144" spans="1:21" x14ac:dyDescent="0.25">
      <c r="A1144" t="s">
        <v>996</v>
      </c>
      <c r="B1144" t="s">
        <v>997</v>
      </c>
      <c r="C1144" t="s">
        <v>1012</v>
      </c>
      <c r="D1144">
        <v>7110</v>
      </c>
      <c r="E1144">
        <v>440</v>
      </c>
      <c r="F1144" t="s">
        <v>1289</v>
      </c>
      <c r="G1144" t="s">
        <v>1290</v>
      </c>
      <c r="H1144" s="315" t="s">
        <v>17</v>
      </c>
      <c r="I1144" s="315" t="s">
        <v>1286</v>
      </c>
      <c r="J1144" s="315" t="str">
        <f t="shared" si="101"/>
        <v>ServiceOther Expenses as % of Sales</v>
      </c>
      <c r="K1144" s="315" t="str">
        <f t="shared" si="102"/>
        <v>440Service Other expenses - Toyota</v>
      </c>
      <c r="L1144" s="311">
        <f>+SUMIF('TUNZ Extracted TB'!M:M,$P1144,'TUNZ Extracted TB'!G:G)</f>
        <v>0</v>
      </c>
      <c r="M1144" s="311"/>
      <c r="N1144" s="311">
        <f>+SUMIF('Input Sheet'!$AE:$AE,P1144,'Input Sheet'!$X:$X)</f>
        <v>0</v>
      </c>
      <c r="O1144" s="311"/>
      <c r="P1144" t="str">
        <f t="shared" si="103"/>
        <v>440-7110</v>
      </c>
      <c r="Q1144" s="315" t="str">
        <f t="shared" si="104"/>
        <v>Service</v>
      </c>
      <c r="R1144" s="315" t="str">
        <f t="shared" si="105"/>
        <v>ServiceOther Expenses as % of Sales</v>
      </c>
      <c r="S1144" s="199"/>
      <c r="T1144" s="199"/>
      <c r="U1144" s="199"/>
    </row>
    <row r="1145" spans="1:21" x14ac:dyDescent="0.25">
      <c r="A1145" t="s">
        <v>996</v>
      </c>
      <c r="B1145" t="s">
        <v>997</v>
      </c>
      <c r="C1145" t="s">
        <v>1013</v>
      </c>
      <c r="D1145">
        <v>7110</v>
      </c>
      <c r="E1145">
        <v>340</v>
      </c>
      <c r="F1145" t="s">
        <v>1289</v>
      </c>
      <c r="G1145" t="s">
        <v>1290</v>
      </c>
      <c r="H1145" s="315" t="s">
        <v>17</v>
      </c>
      <c r="I1145" s="315" t="s">
        <v>1286</v>
      </c>
      <c r="J1145" s="315" t="str">
        <f t="shared" si="101"/>
        <v>ServiceOther Expenses as % of Sales</v>
      </c>
      <c r="K1145" s="315" t="str">
        <f t="shared" si="102"/>
        <v>340Service Other expenses - Toyota</v>
      </c>
      <c r="L1145" s="311">
        <f>+SUMIF('TUNZ Extracted TB'!M:M,$P1145,'TUNZ Extracted TB'!G:G)</f>
        <v>0</v>
      </c>
      <c r="M1145" s="311"/>
      <c r="N1145" s="311">
        <f>+SUMIF('Input Sheet'!$AE:$AE,P1145,'Input Sheet'!$X:$X)</f>
        <v>0</v>
      </c>
      <c r="O1145" s="311"/>
      <c r="P1145" t="str">
        <f t="shared" si="103"/>
        <v>340-7110</v>
      </c>
      <c r="Q1145" s="315" t="str">
        <f t="shared" si="104"/>
        <v>Service</v>
      </c>
      <c r="R1145" s="315" t="str">
        <f t="shared" si="105"/>
        <v>ServiceOther Expenses as % of Sales</v>
      </c>
      <c r="S1145" s="199"/>
      <c r="T1145" s="199"/>
      <c r="U1145" s="199"/>
    </row>
    <row r="1146" spans="1:21" x14ac:dyDescent="0.25">
      <c r="A1146" t="s">
        <v>996</v>
      </c>
      <c r="B1146" t="s">
        <v>997</v>
      </c>
      <c r="C1146" t="s">
        <v>997</v>
      </c>
      <c r="D1146">
        <v>7110</v>
      </c>
      <c r="E1146">
        <v>147</v>
      </c>
      <c r="F1146" t="s">
        <v>1289</v>
      </c>
      <c r="G1146" t="s">
        <v>1290</v>
      </c>
      <c r="H1146" s="315" t="s">
        <v>17</v>
      </c>
      <c r="I1146" s="315" t="s">
        <v>1286</v>
      </c>
      <c r="J1146" s="315" t="str">
        <f t="shared" si="101"/>
        <v>ServiceOther Expenses as % of Sales</v>
      </c>
      <c r="K1146" s="315" t="str">
        <f t="shared" si="102"/>
        <v>147Service Other expenses - Toyota</v>
      </c>
      <c r="L1146" s="311">
        <f>+SUMIF('TUNZ Extracted TB'!M:M,$P1146,'TUNZ Extracted TB'!G:G)</f>
        <v>0</v>
      </c>
      <c r="M1146" s="311"/>
      <c r="N1146" s="311">
        <f>+SUMIF('Input Sheet'!$AE:$AE,P1146,'Input Sheet'!$X:$X)</f>
        <v>0</v>
      </c>
      <c r="O1146" s="311"/>
      <c r="P1146" t="str">
        <f t="shared" si="103"/>
        <v>147-7110</v>
      </c>
      <c r="Q1146" s="315" t="str">
        <f t="shared" si="104"/>
        <v>Service</v>
      </c>
      <c r="R1146" s="315" t="str">
        <f t="shared" si="105"/>
        <v>ServiceOther Expenses as % of Sales</v>
      </c>
      <c r="S1146" s="199"/>
      <c r="T1146" s="199"/>
      <c r="U1146" s="199"/>
    </row>
    <row r="1147" spans="1:21" x14ac:dyDescent="0.25">
      <c r="A1147" t="s">
        <v>996</v>
      </c>
      <c r="B1147" t="s">
        <v>997</v>
      </c>
      <c r="C1147" t="s">
        <v>1005</v>
      </c>
      <c r="D1147">
        <v>7110</v>
      </c>
      <c r="E1147">
        <v>220</v>
      </c>
      <c r="F1147" t="s">
        <v>1328</v>
      </c>
      <c r="G1147" t="s">
        <v>1329</v>
      </c>
      <c r="H1147" s="315" t="s">
        <v>30</v>
      </c>
      <c r="I1147" s="315" t="s">
        <v>1327</v>
      </c>
      <c r="J1147" s="315" t="str">
        <f t="shared" si="101"/>
        <v>Used VehicleOther Semi-Fixed expenses per retail</v>
      </c>
      <c r="K1147" s="315" t="str">
        <f t="shared" si="102"/>
        <v>220Toyota UV Other Semi-Fixed expenses</v>
      </c>
      <c r="L1147" s="311">
        <f>+SUMIF('TUNZ Extracted TB'!M:M,$P1147,'TUNZ Extracted TB'!G:G)</f>
        <v>0</v>
      </c>
      <c r="M1147" s="311"/>
      <c r="N1147" s="311">
        <f>+SUMIF('Input Sheet'!$AE:$AE,P1147,'Input Sheet'!$X:$X)</f>
        <v>0</v>
      </c>
      <c r="O1147" s="311"/>
      <c r="P1147" t="str">
        <f t="shared" si="103"/>
        <v>220-7110</v>
      </c>
      <c r="Q1147" s="315" t="str">
        <f t="shared" si="104"/>
        <v>Used Vehicle</v>
      </c>
      <c r="R1147" s="315" t="str">
        <f t="shared" si="105"/>
        <v>Used VehicleOther Semi-Fixed expenses per retail</v>
      </c>
      <c r="S1147" s="199"/>
      <c r="T1147" s="199"/>
      <c r="U1147" s="199"/>
    </row>
    <row r="1148" spans="1:21" x14ac:dyDescent="0.25">
      <c r="A1148" t="s">
        <v>996</v>
      </c>
      <c r="B1148" t="s">
        <v>997</v>
      </c>
      <c r="C1148" t="s">
        <v>1005</v>
      </c>
      <c r="D1148">
        <v>7110</v>
      </c>
      <c r="E1148">
        <v>221</v>
      </c>
      <c r="F1148" t="s">
        <v>1328</v>
      </c>
      <c r="G1148" t="s">
        <v>1329</v>
      </c>
      <c r="H1148" s="315" t="s">
        <v>30</v>
      </c>
      <c r="I1148" s="315" t="s">
        <v>1327</v>
      </c>
      <c r="J1148" s="315" t="str">
        <f t="shared" si="101"/>
        <v>Used VehicleOther Semi-Fixed expenses per retail</v>
      </c>
      <c r="K1148" s="315" t="str">
        <f t="shared" si="102"/>
        <v>221Toyota UV Other Semi-Fixed expenses</v>
      </c>
      <c r="L1148" s="311">
        <f>+SUMIF('TUNZ Extracted TB'!M:M,$P1148,'TUNZ Extracted TB'!G:G)</f>
        <v>0</v>
      </c>
      <c r="M1148" s="311"/>
      <c r="N1148" s="311">
        <f>+SUMIF('Input Sheet'!$AE:$AE,P1148,'Input Sheet'!$X:$X)</f>
        <v>0</v>
      </c>
      <c r="O1148" s="311"/>
      <c r="P1148" t="str">
        <f t="shared" si="103"/>
        <v>221-7110</v>
      </c>
      <c r="Q1148" s="315" t="str">
        <f t="shared" si="104"/>
        <v>Used Vehicle</v>
      </c>
      <c r="R1148" s="315" t="str">
        <f t="shared" si="105"/>
        <v>Used VehicleOther Semi-Fixed expenses per retail</v>
      </c>
      <c r="S1148" s="199"/>
      <c r="T1148" s="199"/>
      <c r="U1148" s="199"/>
    </row>
    <row r="1149" spans="1:21" x14ac:dyDescent="0.25">
      <c r="A1149" t="s">
        <v>996</v>
      </c>
      <c r="B1149" t="s">
        <v>997</v>
      </c>
      <c r="C1149" t="s">
        <v>1012</v>
      </c>
      <c r="D1149">
        <v>7110</v>
      </c>
      <c r="E1149">
        <v>420</v>
      </c>
      <c r="F1149" t="s">
        <v>1328</v>
      </c>
      <c r="G1149" t="s">
        <v>1329</v>
      </c>
      <c r="H1149" s="315" t="s">
        <v>30</v>
      </c>
      <c r="I1149" s="315" t="s">
        <v>1327</v>
      </c>
      <c r="J1149" s="315" t="str">
        <f t="shared" si="101"/>
        <v>Used VehicleOther Semi-Fixed expenses per retail</v>
      </c>
      <c r="K1149" s="315" t="str">
        <f t="shared" si="102"/>
        <v>420Toyota UV Other Semi-Fixed expenses</v>
      </c>
      <c r="L1149" s="311">
        <f>+SUMIF('TUNZ Extracted TB'!M:M,$P1149,'TUNZ Extracted TB'!G:G)</f>
        <v>0</v>
      </c>
      <c r="M1149" s="311"/>
      <c r="N1149" s="311">
        <f>+SUMIF('Input Sheet'!$AE:$AE,P1149,'Input Sheet'!$X:$X)</f>
        <v>0</v>
      </c>
      <c r="O1149" s="311"/>
      <c r="P1149" t="str">
        <f t="shared" si="103"/>
        <v>420-7110</v>
      </c>
      <c r="Q1149" s="315" t="str">
        <f t="shared" si="104"/>
        <v>Used Vehicle</v>
      </c>
      <c r="R1149" s="315" t="str">
        <f t="shared" si="105"/>
        <v>Used VehicleOther Semi-Fixed expenses per retail</v>
      </c>
      <c r="S1149" s="199"/>
      <c r="T1149" s="199"/>
      <c r="U1149" s="199"/>
    </row>
    <row r="1150" spans="1:21" x14ac:dyDescent="0.25">
      <c r="A1150" t="s">
        <v>996</v>
      </c>
      <c r="B1150" t="s">
        <v>997</v>
      </c>
      <c r="C1150" t="s">
        <v>1012</v>
      </c>
      <c r="D1150">
        <v>7110</v>
      </c>
      <c r="E1150">
        <v>421</v>
      </c>
      <c r="F1150" t="s">
        <v>1328</v>
      </c>
      <c r="G1150" t="s">
        <v>1329</v>
      </c>
      <c r="H1150" s="315" t="s">
        <v>30</v>
      </c>
      <c r="I1150" s="315" t="s">
        <v>1327</v>
      </c>
      <c r="J1150" s="315" t="str">
        <f t="shared" si="101"/>
        <v>Used VehicleOther Semi-Fixed expenses per retail</v>
      </c>
      <c r="K1150" s="315" t="str">
        <f t="shared" si="102"/>
        <v>421Toyota UV Other Semi-Fixed expenses</v>
      </c>
      <c r="L1150" s="311">
        <f>+SUMIF('TUNZ Extracted TB'!M:M,$P1150,'TUNZ Extracted TB'!G:G)</f>
        <v>0</v>
      </c>
      <c r="M1150" s="311"/>
      <c r="N1150" s="311">
        <f>+SUMIF('Input Sheet'!$AE:$AE,P1150,'Input Sheet'!$X:$X)</f>
        <v>0</v>
      </c>
      <c r="O1150" s="311"/>
      <c r="P1150" t="str">
        <f t="shared" si="103"/>
        <v>421-7110</v>
      </c>
      <c r="Q1150" s="315" t="str">
        <f t="shared" si="104"/>
        <v>Used Vehicle</v>
      </c>
      <c r="R1150" s="315" t="str">
        <f t="shared" si="105"/>
        <v>Used VehicleOther Semi-Fixed expenses per retail</v>
      </c>
      <c r="S1150" s="199"/>
      <c r="T1150" s="199"/>
      <c r="U1150" s="199"/>
    </row>
    <row r="1151" spans="1:21" x14ac:dyDescent="0.25">
      <c r="A1151" t="s">
        <v>996</v>
      </c>
      <c r="B1151" t="s">
        <v>997</v>
      </c>
      <c r="C1151" t="s">
        <v>1013</v>
      </c>
      <c r="D1151">
        <v>7110</v>
      </c>
      <c r="E1151">
        <v>321</v>
      </c>
      <c r="F1151" t="s">
        <v>1328</v>
      </c>
      <c r="G1151" t="s">
        <v>1329</v>
      </c>
      <c r="H1151" s="315" t="s">
        <v>30</v>
      </c>
      <c r="I1151" s="315" t="s">
        <v>1327</v>
      </c>
      <c r="J1151" s="315" t="str">
        <f t="shared" si="101"/>
        <v>Used VehicleOther Semi-Fixed expenses per retail</v>
      </c>
      <c r="K1151" s="315" t="str">
        <f t="shared" si="102"/>
        <v>321Toyota UV Other Semi-Fixed expenses</v>
      </c>
      <c r="L1151" s="311">
        <f>+SUMIF('TUNZ Extracted TB'!M:M,$P1151,'TUNZ Extracted TB'!G:G)</f>
        <v>0</v>
      </c>
      <c r="M1151" s="311"/>
      <c r="N1151" s="311">
        <f>+SUMIF('Input Sheet'!$AE:$AE,P1151,'Input Sheet'!$X:$X)</f>
        <v>0</v>
      </c>
      <c r="O1151" s="311"/>
      <c r="P1151" t="str">
        <f t="shared" si="103"/>
        <v>321-7110</v>
      </c>
      <c r="Q1151" s="315" t="str">
        <f t="shared" si="104"/>
        <v>Used Vehicle</v>
      </c>
      <c r="R1151" s="315" t="str">
        <f t="shared" si="105"/>
        <v>Used VehicleOther Semi-Fixed expenses per retail</v>
      </c>
      <c r="S1151" s="199"/>
      <c r="T1151" s="199"/>
      <c r="U1151" s="199"/>
    </row>
    <row r="1152" spans="1:21" x14ac:dyDescent="0.25">
      <c r="A1152" t="s">
        <v>996</v>
      </c>
      <c r="B1152" t="s">
        <v>997</v>
      </c>
      <c r="C1152" t="s">
        <v>997</v>
      </c>
      <c r="D1152">
        <v>7110</v>
      </c>
      <c r="E1152">
        <v>121</v>
      </c>
      <c r="F1152" t="s">
        <v>1328</v>
      </c>
      <c r="G1152" t="s">
        <v>1329</v>
      </c>
      <c r="H1152" s="315" t="s">
        <v>30</v>
      </c>
      <c r="I1152" s="315" t="s">
        <v>1327</v>
      </c>
      <c r="J1152" s="315" t="str">
        <f t="shared" si="101"/>
        <v>Used VehicleOther Semi-Fixed expenses per retail</v>
      </c>
      <c r="K1152" s="315" t="str">
        <f t="shared" si="102"/>
        <v>121Toyota UV Other Semi-Fixed expenses</v>
      </c>
      <c r="L1152" s="311">
        <f>+SUMIF('TUNZ Extracted TB'!M:M,$P1152,'TUNZ Extracted TB'!G:G)</f>
        <v>0</v>
      </c>
      <c r="M1152" s="311"/>
      <c r="N1152" s="311">
        <f>+SUMIF('Input Sheet'!$AE:$AE,P1152,'Input Sheet'!$X:$X)</f>
        <v>0</v>
      </c>
      <c r="O1152" s="311"/>
      <c r="P1152" t="str">
        <f t="shared" si="103"/>
        <v>121-7110</v>
      </c>
      <c r="Q1152" s="315" t="str">
        <f t="shared" si="104"/>
        <v>Used Vehicle</v>
      </c>
      <c r="R1152" s="315" t="str">
        <f t="shared" si="105"/>
        <v>Used VehicleOther Semi-Fixed expenses per retail</v>
      </c>
      <c r="S1152" s="199"/>
      <c r="T1152" s="199"/>
      <c r="U1152" s="199"/>
    </row>
    <row r="1153" spans="1:21" x14ac:dyDescent="0.25">
      <c r="A1153" t="s">
        <v>996</v>
      </c>
      <c r="B1153" t="s">
        <v>997</v>
      </c>
      <c r="C1153" t="s">
        <v>1005</v>
      </c>
      <c r="D1153">
        <v>7120</v>
      </c>
      <c r="E1153">
        <v>210</v>
      </c>
      <c r="F1153" t="s">
        <v>1332</v>
      </c>
      <c r="G1153" t="s">
        <v>1333</v>
      </c>
      <c r="H1153" s="315" t="s">
        <v>29</v>
      </c>
      <c r="I1153" s="315" t="s">
        <v>1314</v>
      </c>
      <c r="J1153" s="315" t="str">
        <f t="shared" si="101"/>
        <v>New VehicleDemo Expenses (incl. interest) p.u.</v>
      </c>
      <c r="K1153" s="315" t="str">
        <f t="shared" si="102"/>
        <v>210NV Toyota Interest expense</v>
      </c>
      <c r="L1153" s="311">
        <f>+SUMIF('TUNZ Extracted TB'!M:M,$P1153,'TUNZ Extracted TB'!G:G)</f>
        <v>0</v>
      </c>
      <c r="M1153" s="311"/>
      <c r="N1153" s="311">
        <f>+SUMIF('Input Sheet'!$AE:$AE,P1153,'Input Sheet'!$X:$X)</f>
        <v>0</v>
      </c>
      <c r="O1153" s="311"/>
      <c r="P1153" t="str">
        <f t="shared" si="103"/>
        <v>210-7120</v>
      </c>
      <c r="Q1153" s="315" t="str">
        <f t="shared" si="104"/>
        <v>New Vehicle</v>
      </c>
      <c r="R1153" s="315" t="str">
        <f t="shared" si="105"/>
        <v>New VehicleDemo Expenses (incl. interest) p.u.</v>
      </c>
      <c r="S1153" s="199"/>
      <c r="T1153" s="199"/>
      <c r="U1153" s="199"/>
    </row>
    <row r="1154" spans="1:21" x14ac:dyDescent="0.25">
      <c r="A1154" t="s">
        <v>996</v>
      </c>
      <c r="B1154" t="s">
        <v>997</v>
      </c>
      <c r="C1154" t="s">
        <v>1012</v>
      </c>
      <c r="D1154">
        <v>7120</v>
      </c>
      <c r="E1154">
        <v>400</v>
      </c>
      <c r="F1154" t="s">
        <v>1332</v>
      </c>
      <c r="G1154" t="s">
        <v>1333</v>
      </c>
      <c r="H1154" s="315" t="s">
        <v>29</v>
      </c>
      <c r="I1154" s="315" t="s">
        <v>1314</v>
      </c>
      <c r="J1154" s="315" t="str">
        <f t="shared" si="101"/>
        <v>New VehicleDemo Expenses (incl. interest) p.u.</v>
      </c>
      <c r="K1154" s="315" t="str">
        <f t="shared" si="102"/>
        <v>400NV Toyota Interest expense</v>
      </c>
      <c r="L1154" s="311">
        <f>+SUMIF('TUNZ Extracted TB'!M:M,$P1154,'TUNZ Extracted TB'!G:G)</f>
        <v>0</v>
      </c>
      <c r="M1154" s="311"/>
      <c r="N1154" s="311">
        <f>+SUMIF('Input Sheet'!$AE:$AE,P1154,'Input Sheet'!$X:$X)</f>
        <v>0</v>
      </c>
      <c r="O1154" s="311"/>
      <c r="P1154" t="str">
        <f t="shared" si="103"/>
        <v>400-7120</v>
      </c>
      <c r="Q1154" s="315" t="str">
        <f t="shared" si="104"/>
        <v>New Vehicle</v>
      </c>
      <c r="R1154" s="315" t="str">
        <f t="shared" si="105"/>
        <v>New VehicleDemo Expenses (incl. interest) p.u.</v>
      </c>
      <c r="S1154" s="199"/>
      <c r="T1154" s="199"/>
      <c r="U1154" s="199"/>
    </row>
    <row r="1155" spans="1:21" x14ac:dyDescent="0.25">
      <c r="A1155" t="s">
        <v>996</v>
      </c>
      <c r="B1155" t="s">
        <v>997</v>
      </c>
      <c r="C1155" t="s">
        <v>1012</v>
      </c>
      <c r="D1155">
        <v>7120</v>
      </c>
      <c r="E1155">
        <v>410</v>
      </c>
      <c r="F1155" t="s">
        <v>1332</v>
      </c>
      <c r="G1155" t="s">
        <v>1333</v>
      </c>
      <c r="H1155" s="315" t="s">
        <v>29</v>
      </c>
      <c r="I1155" s="315" t="s">
        <v>1314</v>
      </c>
      <c r="J1155" s="315" t="str">
        <f t="shared" ref="J1155:J1218" si="106">+H1155&amp;I1155</f>
        <v>New VehicleDemo Expenses (incl. interest) p.u.</v>
      </c>
      <c r="K1155" s="315" t="str">
        <f t="shared" ref="K1155:K1218" si="107">+E1155&amp;G1155</f>
        <v>410NV Toyota Interest expense</v>
      </c>
      <c r="L1155" s="311">
        <f>+SUMIF('TUNZ Extracted TB'!M:M,$P1155,'TUNZ Extracted TB'!G:G)</f>
        <v>0</v>
      </c>
      <c r="M1155" s="311"/>
      <c r="N1155" s="311">
        <f>+SUMIF('Input Sheet'!$AE:$AE,P1155,'Input Sheet'!$X:$X)</f>
        <v>0</v>
      </c>
      <c r="O1155" s="311"/>
      <c r="P1155" t="str">
        <f t="shared" ref="P1155:P1218" si="108">+E1155&amp;"-"&amp;D1155</f>
        <v>410-7120</v>
      </c>
      <c r="Q1155" s="315" t="str">
        <f t="shared" ref="Q1155:Q1218" si="109">H1155</f>
        <v>New Vehicle</v>
      </c>
      <c r="R1155" s="315" t="str">
        <f t="shared" ref="R1155:R1218" si="110">J1155</f>
        <v>New VehicleDemo Expenses (incl. interest) p.u.</v>
      </c>
      <c r="S1155" s="199"/>
      <c r="T1155" s="199"/>
      <c r="U1155" s="199"/>
    </row>
    <row r="1156" spans="1:21" x14ac:dyDescent="0.25">
      <c r="A1156" t="s">
        <v>996</v>
      </c>
      <c r="B1156" t="s">
        <v>997</v>
      </c>
      <c r="C1156" t="s">
        <v>997</v>
      </c>
      <c r="D1156">
        <v>7120</v>
      </c>
      <c r="E1156">
        <v>162</v>
      </c>
      <c r="F1156" t="s">
        <v>1334</v>
      </c>
      <c r="G1156" t="s">
        <v>1335</v>
      </c>
      <c r="H1156" s="315" t="s">
        <v>1023</v>
      </c>
      <c r="I1156" s="315" t="s">
        <v>1336</v>
      </c>
      <c r="J1156" s="315" t="str">
        <f t="shared" si="106"/>
        <v>LEX Admin &amp; Otherinterest &amp; Bank Charges as % of Total Gross Profit</v>
      </c>
      <c r="K1156" s="315" t="str">
        <f t="shared" si="107"/>
        <v>162Interest &amp; Bank Charges - Lexus</v>
      </c>
      <c r="L1156" s="311">
        <f>+SUMIF('TUNZ Extracted TB'!M:M,$P1156,'TUNZ Extracted TB'!G:G)</f>
        <v>0</v>
      </c>
      <c r="M1156" s="311"/>
      <c r="N1156" s="311">
        <f>+SUMIF('Input Sheet'!$AE:$AE,P1156,'Input Sheet'!$X:$X)</f>
        <v>0</v>
      </c>
      <c r="O1156" s="311"/>
      <c r="P1156" t="str">
        <f t="shared" si="108"/>
        <v>162-7120</v>
      </c>
      <c r="Q1156" s="315" t="str">
        <f t="shared" si="109"/>
        <v>LEX Admin &amp; Other</v>
      </c>
      <c r="R1156" s="315" t="str">
        <f t="shared" si="110"/>
        <v>LEX Admin &amp; Otherinterest &amp; Bank Charges as % of Total Gross Profit</v>
      </c>
      <c r="S1156" s="199"/>
      <c r="T1156" s="199"/>
      <c r="U1156" s="199"/>
    </row>
    <row r="1157" spans="1:21" x14ac:dyDescent="0.25">
      <c r="A1157" t="s">
        <v>996</v>
      </c>
      <c r="B1157" t="s">
        <v>997</v>
      </c>
      <c r="C1157" t="s">
        <v>1005</v>
      </c>
      <c r="D1157">
        <v>7120</v>
      </c>
      <c r="E1157">
        <v>260</v>
      </c>
      <c r="F1157" t="s">
        <v>1337</v>
      </c>
      <c r="G1157" t="s">
        <v>1338</v>
      </c>
      <c r="H1157" s="315" t="s">
        <v>1000</v>
      </c>
      <c r="I1157" s="315" t="s">
        <v>1336</v>
      </c>
      <c r="J1157" s="315" t="str">
        <f t="shared" si="106"/>
        <v>Admin &amp; Otherinterest &amp; Bank Charges as % of Total Gross Profit</v>
      </c>
      <c r="K1157" s="315" t="str">
        <f t="shared" si="107"/>
        <v>260Interest &amp; Bank Charges - Toyota</v>
      </c>
      <c r="L1157" s="311">
        <f>+SUMIF('TUNZ Extracted TB'!M:M,$P1157,'TUNZ Extracted TB'!G:G)</f>
        <v>0</v>
      </c>
      <c r="M1157" s="311"/>
      <c r="N1157" s="311">
        <f>+SUMIF('Input Sheet'!$AE:$AE,P1157,'Input Sheet'!$X:$X)</f>
        <v>0</v>
      </c>
      <c r="O1157" s="311"/>
      <c r="P1157" t="str">
        <f t="shared" si="108"/>
        <v>260-7120</v>
      </c>
      <c r="Q1157" s="315" t="str">
        <f t="shared" si="109"/>
        <v>Admin &amp; Other</v>
      </c>
      <c r="R1157" s="315" t="str">
        <f t="shared" si="110"/>
        <v>Admin &amp; Otherinterest &amp; Bank Charges as % of Total Gross Profit</v>
      </c>
      <c r="S1157" s="199"/>
      <c r="T1157" s="199"/>
      <c r="U1157" s="199"/>
    </row>
    <row r="1158" spans="1:21" x14ac:dyDescent="0.25">
      <c r="A1158" t="s">
        <v>996</v>
      </c>
      <c r="B1158" t="s">
        <v>997</v>
      </c>
      <c r="C1158" t="s">
        <v>1012</v>
      </c>
      <c r="D1158">
        <v>7120</v>
      </c>
      <c r="E1158">
        <v>430</v>
      </c>
      <c r="F1158" t="s">
        <v>1337</v>
      </c>
      <c r="G1158" t="s">
        <v>1338</v>
      </c>
      <c r="H1158" s="315" t="s">
        <v>1000</v>
      </c>
      <c r="I1158" s="315" t="s">
        <v>1336</v>
      </c>
      <c r="J1158" s="315" t="str">
        <f t="shared" si="106"/>
        <v>Admin &amp; Otherinterest &amp; Bank Charges as % of Total Gross Profit</v>
      </c>
      <c r="K1158" s="315" t="str">
        <f t="shared" si="107"/>
        <v>430Interest &amp; Bank Charges - Toyota</v>
      </c>
      <c r="L1158" s="311">
        <f>+SUMIF('TUNZ Extracted TB'!M:M,$P1158,'TUNZ Extracted TB'!G:G)</f>
        <v>0</v>
      </c>
      <c r="M1158" s="311"/>
      <c r="N1158" s="311">
        <f>+SUMIF('Input Sheet'!$AE:$AE,P1158,'Input Sheet'!$X:$X)</f>
        <v>0</v>
      </c>
      <c r="O1158" s="311"/>
      <c r="P1158" t="str">
        <f t="shared" si="108"/>
        <v>430-7120</v>
      </c>
      <c r="Q1158" s="315" t="str">
        <f t="shared" si="109"/>
        <v>Admin &amp; Other</v>
      </c>
      <c r="R1158" s="315" t="str">
        <f t="shared" si="110"/>
        <v>Admin &amp; Otherinterest &amp; Bank Charges as % of Total Gross Profit</v>
      </c>
      <c r="S1158" s="199"/>
      <c r="T1158" s="199"/>
      <c r="U1158" s="199"/>
    </row>
    <row r="1159" spans="1:21" x14ac:dyDescent="0.25">
      <c r="A1159" t="s">
        <v>996</v>
      </c>
      <c r="B1159" t="s">
        <v>997</v>
      </c>
      <c r="C1159" t="s">
        <v>1012</v>
      </c>
      <c r="D1159">
        <v>7120</v>
      </c>
      <c r="E1159">
        <v>460</v>
      </c>
      <c r="F1159" t="s">
        <v>1337</v>
      </c>
      <c r="G1159" t="s">
        <v>1338</v>
      </c>
      <c r="H1159" s="315" t="s">
        <v>1000</v>
      </c>
      <c r="I1159" s="315" t="s">
        <v>1336</v>
      </c>
      <c r="J1159" s="315" t="str">
        <f t="shared" si="106"/>
        <v>Admin &amp; Otherinterest &amp; Bank Charges as % of Total Gross Profit</v>
      </c>
      <c r="K1159" s="315" t="str">
        <f t="shared" si="107"/>
        <v>460Interest &amp; Bank Charges - Toyota</v>
      </c>
      <c r="L1159" s="311">
        <f>+SUMIF('TUNZ Extracted TB'!M:M,$P1159,'TUNZ Extracted TB'!G:G)</f>
        <v>0</v>
      </c>
      <c r="M1159" s="311"/>
      <c r="N1159" s="311">
        <f>+SUMIF('Input Sheet'!$AE:$AE,P1159,'Input Sheet'!$X:$X)</f>
        <v>0</v>
      </c>
      <c r="O1159" s="311"/>
      <c r="P1159" t="str">
        <f t="shared" si="108"/>
        <v>460-7120</v>
      </c>
      <c r="Q1159" s="315" t="str">
        <f t="shared" si="109"/>
        <v>Admin &amp; Other</v>
      </c>
      <c r="R1159" s="315" t="str">
        <f t="shared" si="110"/>
        <v>Admin &amp; Otherinterest &amp; Bank Charges as % of Total Gross Profit</v>
      </c>
      <c r="S1159" s="199"/>
      <c r="T1159" s="199"/>
      <c r="U1159" s="199"/>
    </row>
    <row r="1160" spans="1:21" x14ac:dyDescent="0.25">
      <c r="A1160" t="s">
        <v>996</v>
      </c>
      <c r="B1160" t="s">
        <v>997</v>
      </c>
      <c r="C1160" t="s">
        <v>1013</v>
      </c>
      <c r="D1160">
        <v>7120</v>
      </c>
      <c r="E1160">
        <v>340</v>
      </c>
      <c r="F1160" t="s">
        <v>1337</v>
      </c>
      <c r="G1160" t="s">
        <v>1338</v>
      </c>
      <c r="H1160" s="315" t="s">
        <v>1000</v>
      </c>
      <c r="I1160" s="315" t="s">
        <v>1336</v>
      </c>
      <c r="J1160" s="315" t="str">
        <f t="shared" si="106"/>
        <v>Admin &amp; Otherinterest &amp; Bank Charges as % of Total Gross Profit</v>
      </c>
      <c r="K1160" s="315" t="str">
        <f t="shared" si="107"/>
        <v>340Interest &amp; Bank Charges - Toyota</v>
      </c>
      <c r="L1160" s="311">
        <f>+SUMIF('TUNZ Extracted TB'!M:M,$P1160,'TUNZ Extracted TB'!G:G)</f>
        <v>0</v>
      </c>
      <c r="M1160" s="311"/>
      <c r="N1160" s="311">
        <f>+SUMIF('Input Sheet'!$AE:$AE,P1160,'Input Sheet'!$X:$X)</f>
        <v>0</v>
      </c>
      <c r="O1160" s="311"/>
      <c r="P1160" t="str">
        <f t="shared" si="108"/>
        <v>340-7120</v>
      </c>
      <c r="Q1160" s="315" t="str">
        <f t="shared" si="109"/>
        <v>Admin &amp; Other</v>
      </c>
      <c r="R1160" s="315" t="str">
        <f t="shared" si="110"/>
        <v>Admin &amp; Otherinterest &amp; Bank Charges as % of Total Gross Profit</v>
      </c>
      <c r="S1160" s="199"/>
      <c r="T1160" s="199"/>
      <c r="U1160" s="199"/>
    </row>
    <row r="1161" spans="1:21" x14ac:dyDescent="0.25">
      <c r="A1161" t="s">
        <v>996</v>
      </c>
      <c r="B1161" t="s">
        <v>997</v>
      </c>
      <c r="C1161" t="s">
        <v>1013</v>
      </c>
      <c r="D1161">
        <v>7120</v>
      </c>
      <c r="E1161">
        <v>360</v>
      </c>
      <c r="F1161" t="s">
        <v>1337</v>
      </c>
      <c r="G1161" t="s">
        <v>1338</v>
      </c>
      <c r="H1161" s="315" t="s">
        <v>1000</v>
      </c>
      <c r="I1161" s="315" t="s">
        <v>1336</v>
      </c>
      <c r="J1161" s="315" t="str">
        <f t="shared" si="106"/>
        <v>Admin &amp; Otherinterest &amp; Bank Charges as % of Total Gross Profit</v>
      </c>
      <c r="K1161" s="315" t="str">
        <f t="shared" si="107"/>
        <v>360Interest &amp; Bank Charges - Toyota</v>
      </c>
      <c r="L1161" s="311">
        <f>+SUMIF('TUNZ Extracted TB'!M:M,$P1161,'TUNZ Extracted TB'!G:G)</f>
        <v>0</v>
      </c>
      <c r="M1161" s="311"/>
      <c r="N1161" s="311">
        <f>+SUMIF('Input Sheet'!$AE:$AE,P1161,'Input Sheet'!$X:$X)</f>
        <v>0</v>
      </c>
      <c r="O1161" s="311"/>
      <c r="P1161" t="str">
        <f t="shared" si="108"/>
        <v>360-7120</v>
      </c>
      <c r="Q1161" s="315" t="str">
        <f t="shared" si="109"/>
        <v>Admin &amp; Other</v>
      </c>
      <c r="R1161" s="315" t="str">
        <f t="shared" si="110"/>
        <v>Admin &amp; Otherinterest &amp; Bank Charges as % of Total Gross Profit</v>
      </c>
      <c r="S1161" s="199"/>
      <c r="T1161" s="199"/>
      <c r="U1161" s="199"/>
    </row>
    <row r="1162" spans="1:21" x14ac:dyDescent="0.25">
      <c r="A1162" t="s">
        <v>996</v>
      </c>
      <c r="B1162" t="s">
        <v>997</v>
      </c>
      <c r="C1162" t="s">
        <v>997</v>
      </c>
      <c r="D1162">
        <v>7120</v>
      </c>
      <c r="E1162">
        <v>147</v>
      </c>
      <c r="F1162" t="s">
        <v>1337</v>
      </c>
      <c r="G1162" t="s">
        <v>1338</v>
      </c>
      <c r="H1162" s="315" t="s">
        <v>1000</v>
      </c>
      <c r="I1162" s="315" t="s">
        <v>1336</v>
      </c>
      <c r="J1162" s="315" t="str">
        <f t="shared" si="106"/>
        <v>Admin &amp; Otherinterest &amp; Bank Charges as % of Total Gross Profit</v>
      </c>
      <c r="K1162" s="315" t="str">
        <f t="shared" si="107"/>
        <v>147Interest &amp; Bank Charges - Toyota</v>
      </c>
      <c r="L1162" s="311">
        <f>+SUMIF('TUNZ Extracted TB'!M:M,$P1162,'TUNZ Extracted TB'!G:G)</f>
        <v>0</v>
      </c>
      <c r="M1162" s="311"/>
      <c r="N1162" s="311">
        <f>+SUMIF('Input Sheet'!$AE:$AE,P1162,'Input Sheet'!$X:$X)</f>
        <v>0</v>
      </c>
      <c r="O1162" s="311"/>
      <c r="P1162" t="str">
        <f t="shared" si="108"/>
        <v>147-7120</v>
      </c>
      <c r="Q1162" s="315" t="str">
        <f t="shared" si="109"/>
        <v>Admin &amp; Other</v>
      </c>
      <c r="R1162" s="315" t="str">
        <f t="shared" si="110"/>
        <v>Admin &amp; Otherinterest &amp; Bank Charges as % of Total Gross Profit</v>
      </c>
      <c r="S1162" s="199"/>
      <c r="T1162" s="199"/>
      <c r="U1162" s="199"/>
    </row>
    <row r="1163" spans="1:21" x14ac:dyDescent="0.25">
      <c r="A1163" t="s">
        <v>996</v>
      </c>
      <c r="B1163" t="s">
        <v>997</v>
      </c>
      <c r="C1163" t="s">
        <v>997</v>
      </c>
      <c r="D1163">
        <v>7120</v>
      </c>
      <c r="E1163">
        <v>160</v>
      </c>
      <c r="F1163" t="s">
        <v>1337</v>
      </c>
      <c r="G1163" t="s">
        <v>1338</v>
      </c>
      <c r="H1163" s="315" t="s">
        <v>1000</v>
      </c>
      <c r="I1163" s="315" t="s">
        <v>1336</v>
      </c>
      <c r="J1163" s="315" t="str">
        <f t="shared" si="106"/>
        <v>Admin &amp; Otherinterest &amp; Bank Charges as % of Total Gross Profit</v>
      </c>
      <c r="K1163" s="315" t="str">
        <f t="shared" si="107"/>
        <v>160Interest &amp; Bank Charges - Toyota</v>
      </c>
      <c r="L1163" s="311">
        <f>+SUMIF('TUNZ Extracted TB'!M:M,$P1163,'TUNZ Extracted TB'!G:G)</f>
        <v>0</v>
      </c>
      <c r="M1163" s="311"/>
      <c r="N1163" s="311">
        <f>+SUMIF('Input Sheet'!$AE:$AE,P1163,'Input Sheet'!$X:$X)</f>
        <v>0</v>
      </c>
      <c r="O1163" s="311"/>
      <c r="P1163" t="str">
        <f t="shared" si="108"/>
        <v>160-7120</v>
      </c>
      <c r="Q1163" s="315" t="str">
        <f t="shared" si="109"/>
        <v>Admin &amp; Other</v>
      </c>
      <c r="R1163" s="315" t="str">
        <f t="shared" si="110"/>
        <v>Admin &amp; Otherinterest &amp; Bank Charges as % of Total Gross Profit</v>
      </c>
      <c r="S1163" s="199"/>
      <c r="T1163" s="199"/>
      <c r="U1163" s="199"/>
    </row>
    <row r="1164" spans="1:21" x14ac:dyDescent="0.25">
      <c r="A1164" t="s">
        <v>996</v>
      </c>
      <c r="B1164" t="s">
        <v>997</v>
      </c>
      <c r="C1164" t="s">
        <v>997</v>
      </c>
      <c r="D1164">
        <v>7120</v>
      </c>
      <c r="E1164">
        <v>170</v>
      </c>
      <c r="F1164" t="s">
        <v>1337</v>
      </c>
      <c r="G1164" t="s">
        <v>1338</v>
      </c>
      <c r="H1164" s="315" t="s">
        <v>1000</v>
      </c>
      <c r="I1164" s="315" t="s">
        <v>1336</v>
      </c>
      <c r="J1164" s="315" t="str">
        <f t="shared" si="106"/>
        <v>Admin &amp; Otherinterest &amp; Bank Charges as % of Total Gross Profit</v>
      </c>
      <c r="K1164" s="315" t="str">
        <f t="shared" si="107"/>
        <v>170Interest &amp; Bank Charges - Toyota</v>
      </c>
      <c r="L1164" s="311">
        <f>+SUMIF('TUNZ Extracted TB'!M:M,$P1164,'TUNZ Extracted TB'!G:G)</f>
        <v>0</v>
      </c>
      <c r="M1164" s="311"/>
      <c r="N1164" s="311">
        <f>+SUMIF('Input Sheet'!$AE:$AE,P1164,'Input Sheet'!$X:$X)</f>
        <v>0</v>
      </c>
      <c r="O1164" s="311"/>
      <c r="P1164" t="str">
        <f t="shared" si="108"/>
        <v>170-7120</v>
      </c>
      <c r="Q1164" s="315" t="str">
        <f t="shared" si="109"/>
        <v>Admin &amp; Other</v>
      </c>
      <c r="R1164" s="315" t="str">
        <f t="shared" si="110"/>
        <v>Admin &amp; Otherinterest &amp; Bank Charges as % of Total Gross Profit</v>
      </c>
      <c r="S1164" s="199"/>
      <c r="T1164" s="199"/>
      <c r="U1164" s="199"/>
    </row>
    <row r="1165" spans="1:21" x14ac:dyDescent="0.25">
      <c r="A1165" t="s">
        <v>996</v>
      </c>
      <c r="B1165" t="s">
        <v>997</v>
      </c>
      <c r="C1165" t="s">
        <v>997</v>
      </c>
      <c r="D1165">
        <v>7120</v>
      </c>
      <c r="E1165">
        <v>122</v>
      </c>
      <c r="F1165" t="s">
        <v>1339</v>
      </c>
      <c r="G1165" t="s">
        <v>1340</v>
      </c>
      <c r="H1165" s="315" t="s">
        <v>1041</v>
      </c>
      <c r="I1165" s="315" t="s">
        <v>1341</v>
      </c>
      <c r="J1165" s="315" t="str">
        <f t="shared" si="106"/>
        <v>LEX Used VehicleFloorplan interest per retail</v>
      </c>
      <c r="K1165" s="315" t="str">
        <f t="shared" si="107"/>
        <v>122Lexus UV Floorplan Interest</v>
      </c>
      <c r="L1165" s="311">
        <f>+SUMIF('TUNZ Extracted TB'!M:M,$P1165,'TUNZ Extracted TB'!G:G)</f>
        <v>0</v>
      </c>
      <c r="M1165" s="311"/>
      <c r="N1165" s="311">
        <f>+SUMIF('Input Sheet'!$AE:$AE,P1165,'Input Sheet'!$X:$X)</f>
        <v>0</v>
      </c>
      <c r="O1165" s="311"/>
      <c r="P1165" t="str">
        <f t="shared" si="108"/>
        <v>122-7120</v>
      </c>
      <c r="Q1165" s="315" t="str">
        <f t="shared" si="109"/>
        <v>LEX Used Vehicle</v>
      </c>
      <c r="R1165" s="315" t="str">
        <f t="shared" si="110"/>
        <v>LEX Used VehicleFloorplan interest per retail</v>
      </c>
      <c r="S1165" s="199"/>
      <c r="T1165" s="199"/>
      <c r="U1165" s="199"/>
    </row>
    <row r="1166" spans="1:21" x14ac:dyDescent="0.25">
      <c r="A1166" t="s">
        <v>996</v>
      </c>
      <c r="B1166" t="s">
        <v>997</v>
      </c>
      <c r="C1166" t="s">
        <v>1013</v>
      </c>
      <c r="D1166">
        <v>7120</v>
      </c>
      <c r="E1166">
        <v>300</v>
      </c>
      <c r="F1166" t="s">
        <v>1332</v>
      </c>
      <c r="G1166" t="s">
        <v>1333</v>
      </c>
      <c r="H1166" s="315" t="s">
        <v>29</v>
      </c>
      <c r="I1166" s="315" t="s">
        <v>1314</v>
      </c>
      <c r="J1166" s="315" t="str">
        <f t="shared" si="106"/>
        <v>New VehicleDemo Expenses (incl. interest) p.u.</v>
      </c>
      <c r="K1166" s="315" t="str">
        <f t="shared" si="107"/>
        <v>300NV Toyota Interest expense</v>
      </c>
      <c r="L1166" s="311">
        <f>+SUMIF('TUNZ Extracted TB'!M:M,$P1166,'TUNZ Extracted TB'!G:G)</f>
        <v>0</v>
      </c>
      <c r="M1166" s="311"/>
      <c r="N1166" s="311">
        <f>+SUMIF('Input Sheet'!$AE:$AE,P1166,'Input Sheet'!$X:$X)</f>
        <v>0</v>
      </c>
      <c r="O1166" s="311"/>
      <c r="P1166" t="str">
        <f t="shared" si="108"/>
        <v>300-7120</v>
      </c>
      <c r="Q1166" s="315" t="str">
        <f t="shared" si="109"/>
        <v>New Vehicle</v>
      </c>
      <c r="R1166" s="315" t="str">
        <f t="shared" si="110"/>
        <v>New VehicleDemo Expenses (incl. interest) p.u.</v>
      </c>
      <c r="S1166" s="199"/>
      <c r="T1166" s="199"/>
      <c r="U1166" s="199"/>
    </row>
    <row r="1167" spans="1:21" x14ac:dyDescent="0.25">
      <c r="A1167" t="s">
        <v>996</v>
      </c>
      <c r="B1167" t="s">
        <v>997</v>
      </c>
      <c r="C1167" t="s">
        <v>1013</v>
      </c>
      <c r="D1167">
        <v>7120</v>
      </c>
      <c r="E1167">
        <v>310</v>
      </c>
      <c r="F1167" t="s">
        <v>1332</v>
      </c>
      <c r="G1167" t="s">
        <v>1333</v>
      </c>
      <c r="H1167" s="315" t="s">
        <v>29</v>
      </c>
      <c r="I1167" s="315" t="s">
        <v>1314</v>
      </c>
      <c r="J1167" s="315" t="str">
        <f t="shared" si="106"/>
        <v>New VehicleDemo Expenses (incl. interest) p.u.</v>
      </c>
      <c r="K1167" s="315" t="str">
        <f t="shared" si="107"/>
        <v>310NV Toyota Interest expense</v>
      </c>
      <c r="L1167" s="311">
        <f>+SUMIF('TUNZ Extracted TB'!M:M,$P1167,'TUNZ Extracted TB'!G:G)</f>
        <v>0</v>
      </c>
      <c r="M1167" s="311"/>
      <c r="N1167" s="311">
        <f>+SUMIF('Input Sheet'!$AE:$AE,P1167,'Input Sheet'!$X:$X)</f>
        <v>0</v>
      </c>
      <c r="O1167" s="311"/>
      <c r="P1167" t="str">
        <f t="shared" si="108"/>
        <v>310-7120</v>
      </c>
      <c r="Q1167" s="315" t="str">
        <f t="shared" si="109"/>
        <v>New Vehicle</v>
      </c>
      <c r="R1167" s="315" t="str">
        <f t="shared" si="110"/>
        <v>New VehicleDemo Expenses (incl. interest) p.u.</v>
      </c>
      <c r="S1167" s="199"/>
      <c r="T1167" s="199"/>
      <c r="U1167" s="199"/>
    </row>
    <row r="1168" spans="1:21" x14ac:dyDescent="0.25">
      <c r="A1168" t="s">
        <v>996</v>
      </c>
      <c r="B1168" t="s">
        <v>997</v>
      </c>
      <c r="C1168" t="s">
        <v>1005</v>
      </c>
      <c r="D1168">
        <v>7170</v>
      </c>
      <c r="E1168">
        <v>210</v>
      </c>
      <c r="F1168" t="s">
        <v>1242</v>
      </c>
      <c r="G1168" t="s">
        <v>1243</v>
      </c>
      <c r="H1168" s="315" t="s">
        <v>29</v>
      </c>
      <c r="I1168" s="315" t="s">
        <v>1244</v>
      </c>
      <c r="J1168" s="315" t="str">
        <f t="shared" si="106"/>
        <v>New VehicleSalaries &amp; Wages p.u.</v>
      </c>
      <c r="K1168" s="315" t="str">
        <f t="shared" si="107"/>
        <v>210NV Salaries &amp; Wages - Toyota</v>
      </c>
      <c r="L1168" s="311">
        <f>+SUMIF('TUNZ Extracted TB'!M:M,$P1168,'TUNZ Extracted TB'!G:G)</f>
        <v>7022.45</v>
      </c>
      <c r="M1168" s="311"/>
      <c r="N1168" s="311">
        <f>+SUMIF('Input Sheet'!$AE:$AE,P1168,'Input Sheet'!$X:$X)</f>
        <v>0</v>
      </c>
      <c r="O1168" s="311"/>
      <c r="P1168" t="str">
        <f t="shared" si="108"/>
        <v>210-7170</v>
      </c>
      <c r="Q1168" s="315" t="str">
        <f t="shared" si="109"/>
        <v>New Vehicle</v>
      </c>
      <c r="R1168" s="315" t="str">
        <f t="shared" si="110"/>
        <v>New VehicleSalaries &amp; Wages p.u.</v>
      </c>
      <c r="S1168" s="199"/>
      <c r="T1168" s="199"/>
      <c r="U1168" s="199"/>
    </row>
    <row r="1169" spans="1:21" x14ac:dyDescent="0.25">
      <c r="A1169" t="s">
        <v>996</v>
      </c>
      <c r="B1169" t="s">
        <v>997</v>
      </c>
      <c r="C1169" t="s">
        <v>997</v>
      </c>
      <c r="D1169">
        <v>7170</v>
      </c>
      <c r="E1169">
        <v>110</v>
      </c>
      <c r="F1169" t="s">
        <v>1242</v>
      </c>
      <c r="G1169" t="s">
        <v>1243</v>
      </c>
      <c r="H1169" s="315" t="s">
        <v>29</v>
      </c>
      <c r="I1169" s="315" t="s">
        <v>1244</v>
      </c>
      <c r="J1169" s="315" t="str">
        <f t="shared" si="106"/>
        <v>New VehicleSalaries &amp; Wages p.u.</v>
      </c>
      <c r="K1169" s="315" t="str">
        <f t="shared" si="107"/>
        <v>110NV Salaries &amp; Wages - Toyota</v>
      </c>
      <c r="L1169" s="311">
        <f>+SUMIF('TUNZ Extracted TB'!M:M,$P1169,'TUNZ Extracted TB'!G:G)</f>
        <v>13238.95</v>
      </c>
      <c r="M1169" s="311"/>
      <c r="N1169" s="311">
        <f>+SUMIF('Input Sheet'!$AE:$AE,P1169,'Input Sheet'!$X:$X)</f>
        <v>0</v>
      </c>
      <c r="O1169" s="311"/>
      <c r="P1169" t="str">
        <f t="shared" si="108"/>
        <v>110-7170</v>
      </c>
      <c r="Q1169" s="315" t="str">
        <f t="shared" si="109"/>
        <v>New Vehicle</v>
      </c>
      <c r="R1169" s="315" t="str">
        <f t="shared" si="110"/>
        <v>New VehicleSalaries &amp; Wages p.u.</v>
      </c>
      <c r="S1169" s="199"/>
      <c r="T1169" s="199"/>
      <c r="U1169" s="199"/>
    </row>
    <row r="1170" spans="1:21" x14ac:dyDescent="0.25">
      <c r="A1170" t="s">
        <v>996</v>
      </c>
      <c r="B1170" t="s">
        <v>997</v>
      </c>
      <c r="C1170" t="s">
        <v>997</v>
      </c>
      <c r="D1170">
        <v>7170</v>
      </c>
      <c r="E1170">
        <v>112</v>
      </c>
      <c r="F1170" t="s">
        <v>1258</v>
      </c>
      <c r="G1170" t="s">
        <v>1259</v>
      </c>
      <c r="H1170" s="315" t="s">
        <v>1011</v>
      </c>
      <c r="I1170" s="315" t="s">
        <v>1244</v>
      </c>
      <c r="J1170" s="315" t="str">
        <f t="shared" si="106"/>
        <v>LEX New VehicleSalaries &amp; Wages p.u.</v>
      </c>
      <c r="K1170" s="315" t="str">
        <f t="shared" si="107"/>
        <v>112NV Salaries &amp; Wages - Lexus</v>
      </c>
      <c r="L1170" s="311">
        <f>+SUMIF('TUNZ Extracted TB'!M:M,$P1170,'TUNZ Extracted TB'!G:G)</f>
        <v>705.56</v>
      </c>
      <c r="M1170" s="311"/>
      <c r="N1170" s="311">
        <f>+SUMIF('Input Sheet'!$AE:$AE,P1170,'Input Sheet'!$X:$X)</f>
        <v>0</v>
      </c>
      <c r="O1170" s="311"/>
      <c r="P1170" t="str">
        <f t="shared" si="108"/>
        <v>112-7170</v>
      </c>
      <c r="Q1170" s="315" t="str">
        <f t="shared" si="109"/>
        <v>LEX New Vehicle</v>
      </c>
      <c r="R1170" s="315" t="str">
        <f t="shared" si="110"/>
        <v>LEX New VehicleSalaries &amp; Wages p.u.</v>
      </c>
      <c r="S1170" s="199"/>
      <c r="T1170" s="199"/>
      <c r="U1170" s="199"/>
    </row>
    <row r="1171" spans="1:21" x14ac:dyDescent="0.25">
      <c r="A1171" t="s">
        <v>996</v>
      </c>
      <c r="B1171" t="s">
        <v>997</v>
      </c>
      <c r="C1171" t="s">
        <v>997</v>
      </c>
      <c r="D1171">
        <v>7170</v>
      </c>
      <c r="E1171">
        <v>100</v>
      </c>
      <c r="F1171" t="s">
        <v>1242</v>
      </c>
      <c r="G1171" t="s">
        <v>1243</v>
      </c>
      <c r="H1171" s="315" t="s">
        <v>29</v>
      </c>
      <c r="I1171" s="315" t="s">
        <v>1244</v>
      </c>
      <c r="J1171" s="315" t="str">
        <f t="shared" si="106"/>
        <v>New VehicleSalaries &amp; Wages p.u.</v>
      </c>
      <c r="K1171" s="315" t="str">
        <f t="shared" si="107"/>
        <v>100NV Salaries &amp; Wages - Toyota</v>
      </c>
      <c r="L1171" s="311">
        <f>+SUMIF('TUNZ Extracted TB'!M:M,$P1171,'TUNZ Extracted TB'!G:G)</f>
        <v>0</v>
      </c>
      <c r="M1171" s="311"/>
      <c r="N1171" s="311">
        <f>+SUMIF('Input Sheet'!$AE:$AE,P1171,'Input Sheet'!$X:$X)</f>
        <v>0</v>
      </c>
      <c r="O1171" s="311"/>
      <c r="P1171" t="str">
        <f t="shared" si="108"/>
        <v>100-7170</v>
      </c>
      <c r="Q1171" s="315" t="str">
        <f t="shared" si="109"/>
        <v>New Vehicle</v>
      </c>
      <c r="R1171" s="315" t="str">
        <f t="shared" si="110"/>
        <v>New VehicleSalaries &amp; Wages p.u.</v>
      </c>
      <c r="S1171" s="199"/>
      <c r="T1171" s="199"/>
      <c r="U1171" s="199"/>
    </row>
    <row r="1172" spans="1:21" x14ac:dyDescent="0.25">
      <c r="A1172" t="s">
        <v>996</v>
      </c>
      <c r="B1172" t="s">
        <v>997</v>
      </c>
      <c r="C1172" t="s">
        <v>1005</v>
      </c>
      <c r="D1172">
        <v>7120</v>
      </c>
      <c r="E1172">
        <v>220</v>
      </c>
      <c r="F1172" t="s">
        <v>1342</v>
      </c>
      <c r="G1172" t="s">
        <v>1343</v>
      </c>
      <c r="H1172" s="315" t="s">
        <v>30</v>
      </c>
      <c r="I1172" s="315" t="s">
        <v>1341</v>
      </c>
      <c r="J1172" s="315" t="str">
        <f t="shared" si="106"/>
        <v>Used VehicleFloorplan interest per retail</v>
      </c>
      <c r="K1172" s="315" t="str">
        <f t="shared" si="107"/>
        <v>220Toyota UV Floorplan Interest</v>
      </c>
      <c r="L1172" s="311">
        <f>+SUMIF('TUNZ Extracted TB'!M:M,$P1172,'TUNZ Extracted TB'!G:G)</f>
        <v>0</v>
      </c>
      <c r="M1172" s="311"/>
      <c r="N1172" s="311">
        <f>+SUMIF('Input Sheet'!$AE:$AE,P1172,'Input Sheet'!$X:$X)</f>
        <v>0</v>
      </c>
      <c r="O1172" s="311"/>
      <c r="P1172" t="str">
        <f t="shared" si="108"/>
        <v>220-7120</v>
      </c>
      <c r="Q1172" s="315" t="str">
        <f t="shared" si="109"/>
        <v>Used Vehicle</v>
      </c>
      <c r="R1172" s="315" t="str">
        <f t="shared" si="110"/>
        <v>Used VehicleFloorplan interest per retail</v>
      </c>
      <c r="S1172" s="199"/>
      <c r="T1172" s="199"/>
      <c r="U1172" s="199"/>
    </row>
    <row r="1173" spans="1:21" x14ac:dyDescent="0.25">
      <c r="A1173" t="s">
        <v>996</v>
      </c>
      <c r="B1173" t="s">
        <v>997</v>
      </c>
      <c r="C1173" t="s">
        <v>1005</v>
      </c>
      <c r="D1173">
        <v>7120</v>
      </c>
      <c r="E1173">
        <v>221</v>
      </c>
      <c r="F1173" t="s">
        <v>1342</v>
      </c>
      <c r="G1173" t="s">
        <v>1343</v>
      </c>
      <c r="H1173" s="315" t="s">
        <v>30</v>
      </c>
      <c r="I1173" s="315" t="s">
        <v>1341</v>
      </c>
      <c r="J1173" s="315" t="str">
        <f t="shared" si="106"/>
        <v>Used VehicleFloorplan interest per retail</v>
      </c>
      <c r="K1173" s="315" t="str">
        <f t="shared" si="107"/>
        <v>221Toyota UV Floorplan Interest</v>
      </c>
      <c r="L1173" s="311">
        <f>+SUMIF('TUNZ Extracted TB'!M:M,$P1173,'TUNZ Extracted TB'!G:G)</f>
        <v>0</v>
      </c>
      <c r="M1173" s="311"/>
      <c r="N1173" s="311">
        <f>+SUMIF('Input Sheet'!$AE:$AE,P1173,'Input Sheet'!$X:$X)</f>
        <v>0</v>
      </c>
      <c r="O1173" s="311"/>
      <c r="P1173" t="str">
        <f t="shared" si="108"/>
        <v>221-7120</v>
      </c>
      <c r="Q1173" s="315" t="str">
        <f t="shared" si="109"/>
        <v>Used Vehicle</v>
      </c>
      <c r="R1173" s="315" t="str">
        <f t="shared" si="110"/>
        <v>Used VehicleFloorplan interest per retail</v>
      </c>
      <c r="S1173" s="199"/>
      <c r="T1173" s="199"/>
      <c r="U1173" s="199"/>
    </row>
    <row r="1174" spans="1:21" x14ac:dyDescent="0.25">
      <c r="A1174" t="s">
        <v>996</v>
      </c>
      <c r="B1174" t="s">
        <v>997</v>
      </c>
      <c r="C1174" t="s">
        <v>1012</v>
      </c>
      <c r="D1174">
        <v>7120</v>
      </c>
      <c r="E1174">
        <v>420</v>
      </c>
      <c r="F1174" t="s">
        <v>1342</v>
      </c>
      <c r="G1174" t="s">
        <v>1343</v>
      </c>
      <c r="H1174" s="315" t="s">
        <v>30</v>
      </c>
      <c r="I1174" s="315" t="s">
        <v>1341</v>
      </c>
      <c r="J1174" s="315" t="str">
        <f t="shared" si="106"/>
        <v>Used VehicleFloorplan interest per retail</v>
      </c>
      <c r="K1174" s="315" t="str">
        <f t="shared" si="107"/>
        <v>420Toyota UV Floorplan Interest</v>
      </c>
      <c r="L1174" s="311">
        <f>+SUMIF('TUNZ Extracted TB'!M:M,$P1174,'TUNZ Extracted TB'!G:G)</f>
        <v>0</v>
      </c>
      <c r="M1174" s="311"/>
      <c r="N1174" s="311">
        <f>+SUMIF('Input Sheet'!$AE:$AE,P1174,'Input Sheet'!$X:$X)</f>
        <v>0</v>
      </c>
      <c r="O1174" s="311"/>
      <c r="P1174" t="str">
        <f t="shared" si="108"/>
        <v>420-7120</v>
      </c>
      <c r="Q1174" s="315" t="str">
        <f t="shared" si="109"/>
        <v>Used Vehicle</v>
      </c>
      <c r="R1174" s="315" t="str">
        <f t="shared" si="110"/>
        <v>Used VehicleFloorplan interest per retail</v>
      </c>
      <c r="S1174" s="199"/>
      <c r="T1174" s="199"/>
      <c r="U1174" s="199"/>
    </row>
    <row r="1175" spans="1:21" x14ac:dyDescent="0.25">
      <c r="A1175" t="s">
        <v>996</v>
      </c>
      <c r="B1175" t="s">
        <v>997</v>
      </c>
      <c r="C1175" t="s">
        <v>1012</v>
      </c>
      <c r="D1175">
        <v>7120</v>
      </c>
      <c r="E1175">
        <v>421</v>
      </c>
      <c r="F1175" t="s">
        <v>1342</v>
      </c>
      <c r="G1175" t="s">
        <v>1343</v>
      </c>
      <c r="H1175" s="315" t="s">
        <v>30</v>
      </c>
      <c r="I1175" s="315" t="s">
        <v>1341</v>
      </c>
      <c r="J1175" s="315" t="str">
        <f t="shared" si="106"/>
        <v>Used VehicleFloorplan interest per retail</v>
      </c>
      <c r="K1175" s="315" t="str">
        <f t="shared" si="107"/>
        <v>421Toyota UV Floorplan Interest</v>
      </c>
      <c r="L1175" s="311">
        <f>+SUMIF('TUNZ Extracted TB'!M:M,$P1175,'TUNZ Extracted TB'!G:G)</f>
        <v>0</v>
      </c>
      <c r="M1175" s="311"/>
      <c r="N1175" s="311">
        <f>+SUMIF('Input Sheet'!$AE:$AE,P1175,'Input Sheet'!$X:$X)</f>
        <v>0</v>
      </c>
      <c r="O1175" s="311"/>
      <c r="P1175" t="str">
        <f t="shared" si="108"/>
        <v>421-7120</v>
      </c>
      <c r="Q1175" s="315" t="str">
        <f t="shared" si="109"/>
        <v>Used Vehicle</v>
      </c>
      <c r="R1175" s="315" t="str">
        <f t="shared" si="110"/>
        <v>Used VehicleFloorplan interest per retail</v>
      </c>
      <c r="S1175" s="199"/>
      <c r="T1175" s="199"/>
      <c r="U1175" s="199"/>
    </row>
    <row r="1176" spans="1:21" x14ac:dyDescent="0.25">
      <c r="A1176" t="s">
        <v>996</v>
      </c>
      <c r="B1176" t="s">
        <v>997</v>
      </c>
      <c r="C1176" t="s">
        <v>1013</v>
      </c>
      <c r="D1176">
        <v>7120</v>
      </c>
      <c r="E1176">
        <v>321</v>
      </c>
      <c r="F1176" t="s">
        <v>1342</v>
      </c>
      <c r="G1176" t="s">
        <v>1343</v>
      </c>
      <c r="H1176" s="315" t="s">
        <v>30</v>
      </c>
      <c r="I1176" s="315" t="s">
        <v>1341</v>
      </c>
      <c r="J1176" s="315" t="str">
        <f t="shared" si="106"/>
        <v>Used VehicleFloorplan interest per retail</v>
      </c>
      <c r="K1176" s="315" t="str">
        <f t="shared" si="107"/>
        <v>321Toyota UV Floorplan Interest</v>
      </c>
      <c r="L1176" s="311">
        <f>+SUMIF('TUNZ Extracted TB'!M:M,$P1176,'TUNZ Extracted TB'!G:G)</f>
        <v>0</v>
      </c>
      <c r="M1176" s="311"/>
      <c r="N1176" s="311">
        <f>+SUMIF('Input Sheet'!$AE:$AE,P1176,'Input Sheet'!$X:$X)</f>
        <v>0</v>
      </c>
      <c r="O1176" s="311"/>
      <c r="P1176" t="str">
        <f t="shared" si="108"/>
        <v>321-7120</v>
      </c>
      <c r="Q1176" s="315" t="str">
        <f t="shared" si="109"/>
        <v>Used Vehicle</v>
      </c>
      <c r="R1176" s="315" t="str">
        <f t="shared" si="110"/>
        <v>Used VehicleFloorplan interest per retail</v>
      </c>
      <c r="S1176" s="199"/>
      <c r="T1176" s="199"/>
      <c r="U1176" s="199"/>
    </row>
    <row r="1177" spans="1:21" x14ac:dyDescent="0.25">
      <c r="A1177" t="s">
        <v>996</v>
      </c>
      <c r="B1177" t="s">
        <v>997</v>
      </c>
      <c r="C1177" t="s">
        <v>997</v>
      </c>
      <c r="D1177">
        <v>7120</v>
      </c>
      <c r="E1177">
        <v>120</v>
      </c>
      <c r="F1177" t="s">
        <v>1342</v>
      </c>
      <c r="G1177" t="s">
        <v>1343</v>
      </c>
      <c r="H1177" s="315" t="s">
        <v>30</v>
      </c>
      <c r="I1177" s="315" t="s">
        <v>1341</v>
      </c>
      <c r="J1177" s="315" t="str">
        <f t="shared" si="106"/>
        <v>Used VehicleFloorplan interest per retail</v>
      </c>
      <c r="K1177" s="315" t="str">
        <f t="shared" si="107"/>
        <v>120Toyota UV Floorplan Interest</v>
      </c>
      <c r="L1177" s="311">
        <f>+SUMIF('TUNZ Extracted TB'!M:M,$P1177,'TUNZ Extracted TB'!G:G)</f>
        <v>0</v>
      </c>
      <c r="M1177" s="311"/>
      <c r="N1177" s="311">
        <f>+SUMIF('Input Sheet'!$AE:$AE,P1177,'Input Sheet'!$X:$X)</f>
        <v>0</v>
      </c>
      <c r="O1177" s="311"/>
      <c r="P1177" t="str">
        <f t="shared" si="108"/>
        <v>120-7120</v>
      </c>
      <c r="Q1177" s="315" t="str">
        <f t="shared" si="109"/>
        <v>Used Vehicle</v>
      </c>
      <c r="R1177" s="315" t="str">
        <f t="shared" si="110"/>
        <v>Used VehicleFloorplan interest per retail</v>
      </c>
      <c r="S1177" s="199"/>
      <c r="T1177" s="199"/>
      <c r="U1177" s="199"/>
    </row>
    <row r="1178" spans="1:21" x14ac:dyDescent="0.25">
      <c r="A1178" t="s">
        <v>996</v>
      </c>
      <c r="B1178" t="s">
        <v>997</v>
      </c>
      <c r="C1178" t="s">
        <v>997</v>
      </c>
      <c r="D1178">
        <v>7120</v>
      </c>
      <c r="E1178">
        <v>121</v>
      </c>
      <c r="F1178" t="s">
        <v>1342</v>
      </c>
      <c r="G1178" t="s">
        <v>1343</v>
      </c>
      <c r="H1178" s="315" t="s">
        <v>30</v>
      </c>
      <c r="I1178" s="315" t="s">
        <v>1341</v>
      </c>
      <c r="J1178" s="315" t="str">
        <f t="shared" si="106"/>
        <v>Used VehicleFloorplan interest per retail</v>
      </c>
      <c r="K1178" s="315" t="str">
        <f t="shared" si="107"/>
        <v>121Toyota UV Floorplan Interest</v>
      </c>
      <c r="L1178" s="311">
        <f>+SUMIF('TUNZ Extracted TB'!M:M,$P1178,'TUNZ Extracted TB'!G:G)</f>
        <v>0</v>
      </c>
      <c r="M1178" s="311"/>
      <c r="N1178" s="311">
        <f>+SUMIF('Input Sheet'!$AE:$AE,P1178,'Input Sheet'!$X:$X)</f>
        <v>0</v>
      </c>
      <c r="O1178" s="311"/>
      <c r="P1178" t="str">
        <f t="shared" si="108"/>
        <v>121-7120</v>
      </c>
      <c r="Q1178" s="315" t="str">
        <f t="shared" si="109"/>
        <v>Used Vehicle</v>
      </c>
      <c r="R1178" s="315" t="str">
        <f t="shared" si="110"/>
        <v>Used VehicleFloorplan interest per retail</v>
      </c>
      <c r="S1178" s="199"/>
      <c r="T1178" s="199"/>
      <c r="U1178" s="199"/>
    </row>
    <row r="1179" spans="1:21" x14ac:dyDescent="0.25">
      <c r="A1179" t="s">
        <v>996</v>
      </c>
      <c r="B1179" t="s">
        <v>997</v>
      </c>
      <c r="C1179" t="s">
        <v>997</v>
      </c>
      <c r="D1179">
        <v>7160</v>
      </c>
      <c r="E1179">
        <v>140</v>
      </c>
      <c r="F1179" t="s">
        <v>1344</v>
      </c>
      <c r="G1179" t="s">
        <v>1345</v>
      </c>
      <c r="H1179" s="315" t="s">
        <v>1000</v>
      </c>
      <c r="I1179" s="315" t="s">
        <v>1001</v>
      </c>
      <c r="J1179" s="315" t="str">
        <f t="shared" si="106"/>
        <v>Admin &amp; OtherOther Overheads as % of Total Gross Profit</v>
      </c>
      <c r="K1179" s="315" t="str">
        <f t="shared" si="107"/>
        <v>140Internal Group charges/income - Toyota</v>
      </c>
      <c r="L1179" s="311">
        <f>+SUMIF('TUNZ Extracted TB'!M:M,$P1179,'TUNZ Extracted TB'!G:G)</f>
        <v>0</v>
      </c>
      <c r="M1179" s="311"/>
      <c r="N1179" s="311">
        <f>+SUMIF('Input Sheet'!$AE:$AE,P1179,'Input Sheet'!$X:$X)</f>
        <v>0</v>
      </c>
      <c r="O1179" s="311"/>
      <c r="P1179" t="str">
        <f t="shared" si="108"/>
        <v>140-7160</v>
      </c>
      <c r="Q1179" s="315" t="str">
        <f t="shared" si="109"/>
        <v>Admin &amp; Other</v>
      </c>
      <c r="R1179" s="315" t="str">
        <f t="shared" si="110"/>
        <v>Admin &amp; OtherOther Overheads as % of Total Gross Profit</v>
      </c>
      <c r="S1179" s="199"/>
      <c r="T1179" s="199"/>
      <c r="U1179" s="199"/>
    </row>
    <row r="1180" spans="1:21" x14ac:dyDescent="0.25">
      <c r="A1180" t="s">
        <v>996</v>
      </c>
      <c r="B1180" t="s">
        <v>997</v>
      </c>
      <c r="C1180" t="s">
        <v>997</v>
      </c>
      <c r="D1180">
        <v>7160</v>
      </c>
      <c r="E1180">
        <v>112</v>
      </c>
      <c r="F1180" t="s">
        <v>1346</v>
      </c>
      <c r="G1180" t="s">
        <v>1347</v>
      </c>
      <c r="H1180" s="315" t="s">
        <v>1023</v>
      </c>
      <c r="I1180" s="315" t="s">
        <v>1276</v>
      </c>
      <c r="J1180" s="315" t="str">
        <f t="shared" si="106"/>
        <v xml:space="preserve">LEX Admin &amp; OtherStaff Remuneration &amp; Benefits as % of Total Gross </v>
      </c>
      <c r="K1180" s="315" t="str">
        <f t="shared" si="107"/>
        <v>112Admin Staff Salaries - Lexus</v>
      </c>
      <c r="L1180" s="311">
        <f>+SUMIF('TUNZ Extracted TB'!M:M,$P1180,'TUNZ Extracted TB'!G:G)</f>
        <v>0</v>
      </c>
      <c r="M1180" s="311"/>
      <c r="N1180" s="311">
        <f>+SUMIF('Input Sheet'!$AE:$AE,P1180,'Input Sheet'!$X:$X)</f>
        <v>0</v>
      </c>
      <c r="O1180" s="311"/>
      <c r="P1180" t="str">
        <f t="shared" si="108"/>
        <v>112-7160</v>
      </c>
      <c r="Q1180" s="315" t="str">
        <f t="shared" si="109"/>
        <v>LEX Admin &amp; Other</v>
      </c>
      <c r="R1180" s="315" t="str">
        <f t="shared" si="110"/>
        <v xml:space="preserve">LEX Admin &amp; OtherStaff Remuneration &amp; Benefits as % of Total Gross </v>
      </c>
      <c r="S1180" s="199"/>
      <c r="T1180" s="199"/>
      <c r="U1180" s="199"/>
    </row>
    <row r="1181" spans="1:21" x14ac:dyDescent="0.25">
      <c r="A1181" t="s">
        <v>996</v>
      </c>
      <c r="B1181" t="s">
        <v>997</v>
      </c>
      <c r="C1181" t="s">
        <v>997</v>
      </c>
      <c r="D1181">
        <v>7160</v>
      </c>
      <c r="E1181">
        <v>100</v>
      </c>
      <c r="F1181" t="s">
        <v>1274</v>
      </c>
      <c r="G1181" t="s">
        <v>1275</v>
      </c>
      <c r="H1181" s="315" t="s">
        <v>1000</v>
      </c>
      <c r="I1181" s="315" t="s">
        <v>1276</v>
      </c>
      <c r="J1181" s="315" t="str">
        <f t="shared" si="106"/>
        <v xml:space="preserve">Admin &amp; OtherStaff Remuneration &amp; Benefits as % of Total Gross </v>
      </c>
      <c r="K1181" s="315" t="str">
        <f t="shared" si="107"/>
        <v>100Admin Staff Salaries - Toyota</v>
      </c>
      <c r="L1181" s="311">
        <f>+SUMIF('TUNZ Extracted TB'!M:M,$P1181,'TUNZ Extracted TB'!G:G)</f>
        <v>0</v>
      </c>
      <c r="M1181" s="311"/>
      <c r="N1181" s="311">
        <f>+SUMIF('Input Sheet'!$AE:$AE,P1181,'Input Sheet'!$X:$X)</f>
        <v>0</v>
      </c>
      <c r="O1181" s="311"/>
      <c r="P1181" t="str">
        <f t="shared" si="108"/>
        <v>100-7160</v>
      </c>
      <c r="Q1181" s="315" t="str">
        <f t="shared" si="109"/>
        <v>Admin &amp; Other</v>
      </c>
      <c r="R1181" s="315" t="str">
        <f t="shared" si="110"/>
        <v xml:space="preserve">Admin &amp; OtherStaff Remuneration &amp; Benefits as % of Total Gross </v>
      </c>
      <c r="S1181" s="199"/>
      <c r="T1181" s="199"/>
      <c r="U1181" s="199"/>
    </row>
    <row r="1182" spans="1:21" x14ac:dyDescent="0.25">
      <c r="A1182" t="s">
        <v>996</v>
      </c>
      <c r="B1182" t="s">
        <v>997</v>
      </c>
      <c r="C1182" t="s">
        <v>997</v>
      </c>
      <c r="D1182">
        <v>7160</v>
      </c>
      <c r="E1182">
        <v>110</v>
      </c>
      <c r="F1182" t="s">
        <v>1239</v>
      </c>
      <c r="G1182" t="s">
        <v>1240</v>
      </c>
      <c r="H1182" s="315" t="s">
        <v>30</v>
      </c>
      <c r="I1182" s="315" t="s">
        <v>1241</v>
      </c>
      <c r="J1182" s="315" t="str">
        <f t="shared" si="106"/>
        <v>Used VehicleSalaries &amp; Wages per retail</v>
      </c>
      <c r="K1182" s="315" t="str">
        <f t="shared" si="107"/>
        <v>110Toyota UV Salaries &amp; Wages</v>
      </c>
      <c r="L1182" s="311">
        <f>+SUMIF('TUNZ Extracted TB'!M:M,$P1182,'TUNZ Extracted TB'!G:G)</f>
        <v>0</v>
      </c>
      <c r="M1182" s="311"/>
      <c r="N1182" s="311">
        <f>+SUMIF('Input Sheet'!$AE:$AE,P1182,'Input Sheet'!$X:$X)</f>
        <v>0</v>
      </c>
      <c r="O1182" s="311"/>
      <c r="P1182" t="str">
        <f t="shared" si="108"/>
        <v>110-7160</v>
      </c>
      <c r="Q1182" s="315" t="str">
        <f t="shared" si="109"/>
        <v>Used Vehicle</v>
      </c>
      <c r="R1182" s="315" t="str">
        <f t="shared" si="110"/>
        <v>Used VehicleSalaries &amp; Wages per retail</v>
      </c>
      <c r="S1182" s="199"/>
      <c r="T1182" s="199"/>
      <c r="U1182" s="199"/>
    </row>
    <row r="1183" spans="1:21" x14ac:dyDescent="0.25">
      <c r="A1183" t="s">
        <v>996</v>
      </c>
      <c r="B1183" t="s">
        <v>997</v>
      </c>
      <c r="C1183" t="s">
        <v>997</v>
      </c>
      <c r="D1183">
        <v>7160</v>
      </c>
      <c r="E1183">
        <v>130</v>
      </c>
      <c r="F1183" t="s">
        <v>1274</v>
      </c>
      <c r="G1183" t="s">
        <v>1275</v>
      </c>
      <c r="H1183" s="315" t="s">
        <v>1000</v>
      </c>
      <c r="I1183" s="315" t="s">
        <v>1276</v>
      </c>
      <c r="J1183" s="315" t="str">
        <f t="shared" si="106"/>
        <v xml:space="preserve">Admin &amp; OtherStaff Remuneration &amp; Benefits as % of Total Gross </v>
      </c>
      <c r="K1183" s="315" t="str">
        <f t="shared" si="107"/>
        <v>130Admin Staff Salaries - Toyota</v>
      </c>
      <c r="L1183" s="311">
        <f>+SUMIF('TUNZ Extracted TB'!M:M,$P1183,'TUNZ Extracted TB'!G:G)</f>
        <v>0</v>
      </c>
      <c r="M1183" s="311"/>
      <c r="N1183" s="311">
        <f>+SUMIF('Input Sheet'!$AE:$AE,P1183,'Input Sheet'!$X:$X)</f>
        <v>0</v>
      </c>
      <c r="O1183" s="311"/>
      <c r="P1183" t="str">
        <f t="shared" si="108"/>
        <v>130-7160</v>
      </c>
      <c r="Q1183" s="315" t="str">
        <f t="shared" si="109"/>
        <v>Admin &amp; Other</v>
      </c>
      <c r="R1183" s="315" t="str">
        <f t="shared" si="110"/>
        <v xml:space="preserve">Admin &amp; OtherStaff Remuneration &amp; Benefits as % of Total Gross </v>
      </c>
      <c r="S1183" s="199"/>
      <c r="T1183" s="199"/>
      <c r="U1183" s="199"/>
    </row>
    <row r="1184" spans="1:21" x14ac:dyDescent="0.25">
      <c r="A1184" t="s">
        <v>996</v>
      </c>
      <c r="B1184" t="s">
        <v>997</v>
      </c>
      <c r="C1184" t="s">
        <v>997</v>
      </c>
      <c r="D1184">
        <v>7160</v>
      </c>
      <c r="E1184">
        <v>122</v>
      </c>
      <c r="F1184" t="s">
        <v>1346</v>
      </c>
      <c r="G1184" t="s">
        <v>1347</v>
      </c>
      <c r="H1184" s="315" t="s">
        <v>1023</v>
      </c>
      <c r="I1184" s="315" t="s">
        <v>1276</v>
      </c>
      <c r="J1184" s="315" t="str">
        <f t="shared" si="106"/>
        <v xml:space="preserve">LEX Admin &amp; OtherStaff Remuneration &amp; Benefits as % of Total Gross </v>
      </c>
      <c r="K1184" s="315" t="str">
        <f t="shared" si="107"/>
        <v>122Admin Staff Salaries - Lexus</v>
      </c>
      <c r="L1184" s="311">
        <f>+SUMIF('TUNZ Extracted TB'!M:M,$P1184,'TUNZ Extracted TB'!G:G)</f>
        <v>0</v>
      </c>
      <c r="M1184" s="311"/>
      <c r="N1184" s="311">
        <f>+SUMIF('Input Sheet'!$AE:$AE,P1184,'Input Sheet'!$X:$X)</f>
        <v>0</v>
      </c>
      <c r="O1184" s="311"/>
      <c r="P1184" t="str">
        <f t="shared" si="108"/>
        <v>122-7160</v>
      </c>
      <c r="Q1184" s="315" t="str">
        <f t="shared" si="109"/>
        <v>LEX Admin &amp; Other</v>
      </c>
      <c r="R1184" s="315" t="str">
        <f t="shared" si="110"/>
        <v xml:space="preserve">LEX Admin &amp; OtherStaff Remuneration &amp; Benefits as % of Total Gross </v>
      </c>
      <c r="S1184" s="199"/>
      <c r="T1184" s="199"/>
      <c r="U1184" s="199"/>
    </row>
    <row r="1185" spans="1:21" x14ac:dyDescent="0.25">
      <c r="A1185" t="s">
        <v>996</v>
      </c>
      <c r="B1185" t="s">
        <v>997</v>
      </c>
      <c r="C1185" t="s">
        <v>997</v>
      </c>
      <c r="D1185">
        <v>7160</v>
      </c>
      <c r="E1185">
        <v>162</v>
      </c>
      <c r="F1185" t="s">
        <v>1346</v>
      </c>
      <c r="G1185" t="s">
        <v>1347</v>
      </c>
      <c r="H1185" s="315" t="s">
        <v>1023</v>
      </c>
      <c r="I1185" s="315" t="s">
        <v>1276</v>
      </c>
      <c r="J1185" s="315" t="str">
        <f t="shared" si="106"/>
        <v xml:space="preserve">LEX Admin &amp; OtherStaff Remuneration &amp; Benefits as % of Total Gross </v>
      </c>
      <c r="K1185" s="315" t="str">
        <f t="shared" si="107"/>
        <v>162Admin Staff Salaries - Lexus</v>
      </c>
      <c r="L1185" s="311">
        <f>+SUMIF('TUNZ Extracted TB'!M:M,$P1185,'TUNZ Extracted TB'!G:G)</f>
        <v>0</v>
      </c>
      <c r="M1185" s="311"/>
      <c r="N1185" s="311">
        <f>+SUMIF('Input Sheet'!$AE:$AE,P1185,'Input Sheet'!$X:$X)</f>
        <v>0</v>
      </c>
      <c r="O1185" s="311"/>
      <c r="P1185" t="str">
        <f t="shared" si="108"/>
        <v>162-7160</v>
      </c>
      <c r="Q1185" s="315" t="str">
        <f t="shared" si="109"/>
        <v>LEX Admin &amp; Other</v>
      </c>
      <c r="R1185" s="315" t="str">
        <f t="shared" si="110"/>
        <v xml:space="preserve">LEX Admin &amp; OtherStaff Remuneration &amp; Benefits as % of Total Gross </v>
      </c>
      <c r="S1185" s="199"/>
      <c r="T1185" s="199"/>
      <c r="U1185" s="199"/>
    </row>
    <row r="1186" spans="1:21" x14ac:dyDescent="0.25">
      <c r="A1186" t="s">
        <v>996</v>
      </c>
      <c r="B1186" t="s">
        <v>997</v>
      </c>
      <c r="C1186" t="s">
        <v>1005</v>
      </c>
      <c r="D1186">
        <v>7160</v>
      </c>
      <c r="E1186">
        <v>200</v>
      </c>
      <c r="F1186" t="s">
        <v>1274</v>
      </c>
      <c r="G1186" t="s">
        <v>1275</v>
      </c>
      <c r="H1186" s="315" t="s">
        <v>1000</v>
      </c>
      <c r="I1186" s="315" t="s">
        <v>1276</v>
      </c>
      <c r="J1186" s="315" t="str">
        <f t="shared" si="106"/>
        <v xml:space="preserve">Admin &amp; OtherStaff Remuneration &amp; Benefits as % of Total Gross </v>
      </c>
      <c r="K1186" s="315" t="str">
        <f t="shared" si="107"/>
        <v>200Admin Staff Salaries - Toyota</v>
      </c>
      <c r="L1186" s="311">
        <f>+SUMIF('TUNZ Extracted TB'!M:M,$P1186,'TUNZ Extracted TB'!G:G)</f>
        <v>0</v>
      </c>
      <c r="M1186" s="311"/>
      <c r="N1186" s="311">
        <f>+SUMIF('Input Sheet'!$AE:$AE,P1186,'Input Sheet'!$X:$X)</f>
        <v>0</v>
      </c>
      <c r="O1186" s="311"/>
      <c r="P1186" t="str">
        <f t="shared" si="108"/>
        <v>200-7160</v>
      </c>
      <c r="Q1186" s="315" t="str">
        <f t="shared" si="109"/>
        <v>Admin &amp; Other</v>
      </c>
      <c r="R1186" s="315" t="str">
        <f t="shared" si="110"/>
        <v xml:space="preserve">Admin &amp; OtherStaff Remuneration &amp; Benefits as % of Total Gross </v>
      </c>
      <c r="S1186" s="199"/>
      <c r="T1186" s="199"/>
      <c r="U1186" s="199"/>
    </row>
    <row r="1187" spans="1:21" x14ac:dyDescent="0.25">
      <c r="A1187" t="s">
        <v>996</v>
      </c>
      <c r="B1187" t="s">
        <v>997</v>
      </c>
      <c r="C1187" t="s">
        <v>1005</v>
      </c>
      <c r="D1187">
        <v>7160</v>
      </c>
      <c r="E1187">
        <v>220</v>
      </c>
      <c r="F1187" t="s">
        <v>1274</v>
      </c>
      <c r="G1187" t="s">
        <v>1275</v>
      </c>
      <c r="H1187" s="315" t="s">
        <v>1000</v>
      </c>
      <c r="I1187" s="315" t="s">
        <v>1276</v>
      </c>
      <c r="J1187" s="315" t="str">
        <f t="shared" si="106"/>
        <v xml:space="preserve">Admin &amp; OtherStaff Remuneration &amp; Benefits as % of Total Gross </v>
      </c>
      <c r="K1187" s="315" t="str">
        <f t="shared" si="107"/>
        <v>220Admin Staff Salaries - Toyota</v>
      </c>
      <c r="L1187" s="311">
        <f>+SUMIF('TUNZ Extracted TB'!M:M,$P1187,'TUNZ Extracted TB'!G:G)</f>
        <v>0</v>
      </c>
      <c r="M1187" s="311"/>
      <c r="N1187" s="311">
        <f>+SUMIF('Input Sheet'!$AE:$AE,P1187,'Input Sheet'!$X:$X)</f>
        <v>0</v>
      </c>
      <c r="O1187" s="311"/>
      <c r="P1187" t="str">
        <f t="shared" si="108"/>
        <v>220-7160</v>
      </c>
      <c r="Q1187" s="315" t="str">
        <f t="shared" si="109"/>
        <v>Admin &amp; Other</v>
      </c>
      <c r="R1187" s="315" t="str">
        <f t="shared" si="110"/>
        <v xml:space="preserve">Admin &amp; OtherStaff Remuneration &amp; Benefits as % of Total Gross </v>
      </c>
      <c r="S1187" s="199"/>
      <c r="T1187" s="199"/>
      <c r="U1187" s="199"/>
    </row>
    <row r="1188" spans="1:21" x14ac:dyDescent="0.25">
      <c r="A1188" t="s">
        <v>996</v>
      </c>
      <c r="B1188" t="s">
        <v>997</v>
      </c>
      <c r="C1188" t="s">
        <v>1005</v>
      </c>
      <c r="D1188">
        <v>7160</v>
      </c>
      <c r="E1188">
        <v>221</v>
      </c>
      <c r="F1188" t="s">
        <v>1274</v>
      </c>
      <c r="G1188" t="s">
        <v>1275</v>
      </c>
      <c r="H1188" s="315" t="s">
        <v>1000</v>
      </c>
      <c r="I1188" s="315" t="s">
        <v>1276</v>
      </c>
      <c r="J1188" s="315" t="str">
        <f t="shared" si="106"/>
        <v xml:space="preserve">Admin &amp; OtherStaff Remuneration &amp; Benefits as % of Total Gross </v>
      </c>
      <c r="K1188" s="315" t="str">
        <f t="shared" si="107"/>
        <v>221Admin Staff Salaries - Toyota</v>
      </c>
      <c r="L1188" s="311">
        <f>+SUMIF('TUNZ Extracted TB'!M:M,$P1188,'TUNZ Extracted TB'!G:G)</f>
        <v>0</v>
      </c>
      <c r="M1188" s="311"/>
      <c r="N1188" s="311">
        <f>+SUMIF('Input Sheet'!$AE:$AE,P1188,'Input Sheet'!$X:$X)</f>
        <v>0</v>
      </c>
      <c r="O1188" s="311"/>
      <c r="P1188" t="str">
        <f t="shared" si="108"/>
        <v>221-7160</v>
      </c>
      <c r="Q1188" s="315" t="str">
        <f t="shared" si="109"/>
        <v>Admin &amp; Other</v>
      </c>
      <c r="R1188" s="315" t="str">
        <f t="shared" si="110"/>
        <v xml:space="preserve">Admin &amp; OtherStaff Remuneration &amp; Benefits as % of Total Gross </v>
      </c>
      <c r="S1188" s="199"/>
      <c r="T1188" s="199"/>
      <c r="U1188" s="199"/>
    </row>
    <row r="1189" spans="1:21" x14ac:dyDescent="0.25">
      <c r="A1189" t="s">
        <v>996</v>
      </c>
      <c r="B1189" t="s">
        <v>997</v>
      </c>
      <c r="C1189" t="s">
        <v>1005</v>
      </c>
      <c r="D1189">
        <v>7160</v>
      </c>
      <c r="E1189">
        <v>230</v>
      </c>
      <c r="F1189" t="s">
        <v>1274</v>
      </c>
      <c r="G1189" t="s">
        <v>1275</v>
      </c>
      <c r="H1189" s="315" t="s">
        <v>1000</v>
      </c>
      <c r="I1189" s="315" t="s">
        <v>1276</v>
      </c>
      <c r="J1189" s="315" t="str">
        <f t="shared" si="106"/>
        <v xml:space="preserve">Admin &amp; OtherStaff Remuneration &amp; Benefits as % of Total Gross </v>
      </c>
      <c r="K1189" s="315" t="str">
        <f t="shared" si="107"/>
        <v>230Admin Staff Salaries - Toyota</v>
      </c>
      <c r="L1189" s="311">
        <f>+SUMIF('TUNZ Extracted TB'!M:M,$P1189,'TUNZ Extracted TB'!G:G)</f>
        <v>0</v>
      </c>
      <c r="M1189" s="311"/>
      <c r="N1189" s="311">
        <f>+SUMIF('Input Sheet'!$AE:$AE,P1189,'Input Sheet'!$X:$X)</f>
        <v>0</v>
      </c>
      <c r="O1189" s="311"/>
      <c r="P1189" t="str">
        <f t="shared" si="108"/>
        <v>230-7160</v>
      </c>
      <c r="Q1189" s="315" t="str">
        <f t="shared" si="109"/>
        <v>Admin &amp; Other</v>
      </c>
      <c r="R1189" s="315" t="str">
        <f t="shared" si="110"/>
        <v xml:space="preserve">Admin &amp; OtherStaff Remuneration &amp; Benefits as % of Total Gross </v>
      </c>
      <c r="S1189" s="199"/>
      <c r="T1189" s="199"/>
      <c r="U1189" s="199"/>
    </row>
    <row r="1190" spans="1:21" x14ac:dyDescent="0.25">
      <c r="A1190" t="s">
        <v>996</v>
      </c>
      <c r="B1190" t="s">
        <v>997</v>
      </c>
      <c r="C1190" t="s">
        <v>1005</v>
      </c>
      <c r="D1190">
        <v>7160</v>
      </c>
      <c r="E1190">
        <v>260</v>
      </c>
      <c r="F1190" t="s">
        <v>1274</v>
      </c>
      <c r="G1190" t="s">
        <v>1275</v>
      </c>
      <c r="H1190" s="315" t="s">
        <v>1000</v>
      </c>
      <c r="I1190" s="315" t="s">
        <v>1276</v>
      </c>
      <c r="J1190" s="315" t="str">
        <f t="shared" si="106"/>
        <v xml:space="preserve">Admin &amp; OtherStaff Remuneration &amp; Benefits as % of Total Gross </v>
      </c>
      <c r="K1190" s="315" t="str">
        <f t="shared" si="107"/>
        <v>260Admin Staff Salaries - Toyota</v>
      </c>
      <c r="L1190" s="311">
        <f>+SUMIF('TUNZ Extracted TB'!M:M,$P1190,'TUNZ Extracted TB'!G:G)</f>
        <v>0</v>
      </c>
      <c r="M1190" s="311"/>
      <c r="N1190" s="311">
        <f>+SUMIF('Input Sheet'!$AE:$AE,P1190,'Input Sheet'!$X:$X)</f>
        <v>0</v>
      </c>
      <c r="O1190" s="311"/>
      <c r="P1190" t="str">
        <f t="shared" si="108"/>
        <v>260-7160</v>
      </c>
      <c r="Q1190" s="315" t="str">
        <f t="shared" si="109"/>
        <v>Admin &amp; Other</v>
      </c>
      <c r="R1190" s="315" t="str">
        <f t="shared" si="110"/>
        <v xml:space="preserve">Admin &amp; OtherStaff Remuneration &amp; Benefits as % of Total Gross </v>
      </c>
      <c r="S1190" s="199"/>
      <c r="T1190" s="199"/>
      <c r="U1190" s="199"/>
    </row>
    <row r="1191" spans="1:21" x14ac:dyDescent="0.25">
      <c r="A1191" t="s">
        <v>996</v>
      </c>
      <c r="B1191" t="s">
        <v>997</v>
      </c>
      <c r="C1191" t="s">
        <v>1012</v>
      </c>
      <c r="D1191">
        <v>7160</v>
      </c>
      <c r="E1191">
        <v>400</v>
      </c>
      <c r="F1191" t="s">
        <v>1274</v>
      </c>
      <c r="G1191" t="s">
        <v>1275</v>
      </c>
      <c r="H1191" s="315" t="s">
        <v>1000</v>
      </c>
      <c r="I1191" s="315" t="s">
        <v>1276</v>
      </c>
      <c r="J1191" s="315" t="str">
        <f t="shared" si="106"/>
        <v xml:space="preserve">Admin &amp; OtherStaff Remuneration &amp; Benefits as % of Total Gross </v>
      </c>
      <c r="K1191" s="315" t="str">
        <f t="shared" si="107"/>
        <v>400Admin Staff Salaries - Toyota</v>
      </c>
      <c r="L1191" s="311">
        <f>+SUMIF('TUNZ Extracted TB'!M:M,$P1191,'TUNZ Extracted TB'!G:G)</f>
        <v>0</v>
      </c>
      <c r="M1191" s="311"/>
      <c r="N1191" s="311">
        <f>+SUMIF('Input Sheet'!$AE:$AE,P1191,'Input Sheet'!$X:$X)</f>
        <v>0</v>
      </c>
      <c r="O1191" s="311"/>
      <c r="P1191" t="str">
        <f t="shared" si="108"/>
        <v>400-7160</v>
      </c>
      <c r="Q1191" s="315" t="str">
        <f t="shared" si="109"/>
        <v>Admin &amp; Other</v>
      </c>
      <c r="R1191" s="315" t="str">
        <f t="shared" si="110"/>
        <v xml:space="preserve">Admin &amp; OtherStaff Remuneration &amp; Benefits as % of Total Gross </v>
      </c>
      <c r="S1191" s="199"/>
      <c r="T1191" s="199"/>
      <c r="U1191" s="199"/>
    </row>
    <row r="1192" spans="1:21" x14ac:dyDescent="0.25">
      <c r="A1192" t="s">
        <v>996</v>
      </c>
      <c r="B1192" t="s">
        <v>997</v>
      </c>
      <c r="C1192" t="s">
        <v>1012</v>
      </c>
      <c r="D1192">
        <v>7160</v>
      </c>
      <c r="E1192">
        <v>420</v>
      </c>
      <c r="F1192" t="s">
        <v>1274</v>
      </c>
      <c r="G1192" t="s">
        <v>1275</v>
      </c>
      <c r="H1192" s="315" t="s">
        <v>1000</v>
      </c>
      <c r="I1192" s="315" t="s">
        <v>1276</v>
      </c>
      <c r="J1192" s="315" t="str">
        <f t="shared" si="106"/>
        <v xml:space="preserve">Admin &amp; OtherStaff Remuneration &amp; Benefits as % of Total Gross </v>
      </c>
      <c r="K1192" s="315" t="str">
        <f t="shared" si="107"/>
        <v>420Admin Staff Salaries - Toyota</v>
      </c>
      <c r="L1192" s="311">
        <f>+SUMIF('TUNZ Extracted TB'!M:M,$P1192,'TUNZ Extracted TB'!G:G)</f>
        <v>0</v>
      </c>
      <c r="M1192" s="311"/>
      <c r="N1192" s="311">
        <f>+SUMIF('Input Sheet'!$AE:$AE,P1192,'Input Sheet'!$X:$X)</f>
        <v>0</v>
      </c>
      <c r="O1192" s="311"/>
      <c r="P1192" t="str">
        <f t="shared" si="108"/>
        <v>420-7160</v>
      </c>
      <c r="Q1192" s="315" t="str">
        <f t="shared" si="109"/>
        <v>Admin &amp; Other</v>
      </c>
      <c r="R1192" s="315" t="str">
        <f t="shared" si="110"/>
        <v xml:space="preserve">Admin &amp; OtherStaff Remuneration &amp; Benefits as % of Total Gross </v>
      </c>
      <c r="S1192" s="199"/>
      <c r="T1192" s="199"/>
      <c r="U1192" s="199"/>
    </row>
    <row r="1193" spans="1:21" x14ac:dyDescent="0.25">
      <c r="A1193" t="s">
        <v>996</v>
      </c>
      <c r="B1193" t="s">
        <v>997</v>
      </c>
      <c r="C1193" t="s">
        <v>1012</v>
      </c>
      <c r="D1193">
        <v>7160</v>
      </c>
      <c r="E1193">
        <v>421</v>
      </c>
      <c r="F1193" t="s">
        <v>1274</v>
      </c>
      <c r="G1193" t="s">
        <v>1275</v>
      </c>
      <c r="H1193" s="315" t="s">
        <v>1000</v>
      </c>
      <c r="I1193" s="315" t="s">
        <v>1276</v>
      </c>
      <c r="J1193" s="315" t="str">
        <f t="shared" si="106"/>
        <v xml:space="preserve">Admin &amp; OtherStaff Remuneration &amp; Benefits as % of Total Gross </v>
      </c>
      <c r="K1193" s="315" t="str">
        <f t="shared" si="107"/>
        <v>421Admin Staff Salaries - Toyota</v>
      </c>
      <c r="L1193" s="311">
        <f>+SUMIF('TUNZ Extracted TB'!M:M,$P1193,'TUNZ Extracted TB'!G:G)</f>
        <v>0</v>
      </c>
      <c r="M1193" s="311"/>
      <c r="N1193" s="311">
        <f>+SUMIF('Input Sheet'!$AE:$AE,P1193,'Input Sheet'!$X:$X)</f>
        <v>0</v>
      </c>
      <c r="O1193" s="311"/>
      <c r="P1193" t="str">
        <f t="shared" si="108"/>
        <v>421-7160</v>
      </c>
      <c r="Q1193" s="315" t="str">
        <f t="shared" si="109"/>
        <v>Admin &amp; Other</v>
      </c>
      <c r="R1193" s="315" t="str">
        <f t="shared" si="110"/>
        <v xml:space="preserve">Admin &amp; OtherStaff Remuneration &amp; Benefits as % of Total Gross </v>
      </c>
      <c r="S1193" s="199"/>
      <c r="T1193" s="199"/>
      <c r="U1193" s="199"/>
    </row>
    <row r="1194" spans="1:21" x14ac:dyDescent="0.25">
      <c r="A1194" t="s">
        <v>996</v>
      </c>
      <c r="B1194" t="s">
        <v>997</v>
      </c>
      <c r="C1194" t="s">
        <v>1012</v>
      </c>
      <c r="D1194">
        <v>7160</v>
      </c>
      <c r="E1194">
        <v>430</v>
      </c>
      <c r="F1194" t="s">
        <v>1274</v>
      </c>
      <c r="G1194" t="s">
        <v>1275</v>
      </c>
      <c r="H1194" s="315" t="s">
        <v>1000</v>
      </c>
      <c r="I1194" s="315" t="s">
        <v>1276</v>
      </c>
      <c r="J1194" s="315" t="str">
        <f t="shared" si="106"/>
        <v xml:space="preserve">Admin &amp; OtherStaff Remuneration &amp; Benefits as % of Total Gross </v>
      </c>
      <c r="K1194" s="315" t="str">
        <f t="shared" si="107"/>
        <v>430Admin Staff Salaries - Toyota</v>
      </c>
      <c r="L1194" s="311">
        <f>+SUMIF('TUNZ Extracted TB'!M:M,$P1194,'TUNZ Extracted TB'!G:G)</f>
        <v>0</v>
      </c>
      <c r="M1194" s="311"/>
      <c r="N1194" s="311">
        <f>+SUMIF('Input Sheet'!$AE:$AE,P1194,'Input Sheet'!$X:$X)</f>
        <v>0</v>
      </c>
      <c r="O1194" s="311"/>
      <c r="P1194" t="str">
        <f t="shared" si="108"/>
        <v>430-7160</v>
      </c>
      <c r="Q1194" s="315" t="str">
        <f t="shared" si="109"/>
        <v>Admin &amp; Other</v>
      </c>
      <c r="R1194" s="315" t="str">
        <f t="shared" si="110"/>
        <v xml:space="preserve">Admin &amp; OtherStaff Remuneration &amp; Benefits as % of Total Gross </v>
      </c>
      <c r="S1194" s="199"/>
      <c r="T1194" s="199"/>
      <c r="U1194" s="199"/>
    </row>
    <row r="1195" spans="1:21" x14ac:dyDescent="0.25">
      <c r="A1195" t="s">
        <v>996</v>
      </c>
      <c r="B1195" t="s">
        <v>997</v>
      </c>
      <c r="C1195" t="s">
        <v>1012</v>
      </c>
      <c r="D1195">
        <v>7160</v>
      </c>
      <c r="E1195">
        <v>460</v>
      </c>
      <c r="F1195" t="s">
        <v>1274</v>
      </c>
      <c r="G1195" t="s">
        <v>1275</v>
      </c>
      <c r="H1195" s="315" t="s">
        <v>1000</v>
      </c>
      <c r="I1195" s="315" t="s">
        <v>1276</v>
      </c>
      <c r="J1195" s="315" t="str">
        <f t="shared" si="106"/>
        <v xml:space="preserve">Admin &amp; OtherStaff Remuneration &amp; Benefits as % of Total Gross </v>
      </c>
      <c r="K1195" s="315" t="str">
        <f t="shared" si="107"/>
        <v>460Admin Staff Salaries - Toyota</v>
      </c>
      <c r="L1195" s="311">
        <f>+SUMIF('TUNZ Extracted TB'!M:M,$P1195,'TUNZ Extracted TB'!G:G)</f>
        <v>0</v>
      </c>
      <c r="M1195" s="311"/>
      <c r="N1195" s="311">
        <f>+SUMIF('Input Sheet'!$AE:$AE,P1195,'Input Sheet'!$X:$X)</f>
        <v>0</v>
      </c>
      <c r="O1195" s="311"/>
      <c r="P1195" t="str">
        <f t="shared" si="108"/>
        <v>460-7160</v>
      </c>
      <c r="Q1195" s="315" t="str">
        <f t="shared" si="109"/>
        <v>Admin &amp; Other</v>
      </c>
      <c r="R1195" s="315" t="str">
        <f t="shared" si="110"/>
        <v xml:space="preserve">Admin &amp; OtherStaff Remuneration &amp; Benefits as % of Total Gross </v>
      </c>
      <c r="S1195" s="199"/>
      <c r="T1195" s="199"/>
      <c r="U1195" s="199"/>
    </row>
    <row r="1196" spans="1:21" x14ac:dyDescent="0.25">
      <c r="A1196" t="s">
        <v>996</v>
      </c>
      <c r="B1196" t="s">
        <v>997</v>
      </c>
      <c r="C1196" t="s">
        <v>1013</v>
      </c>
      <c r="D1196">
        <v>7160</v>
      </c>
      <c r="E1196">
        <v>300</v>
      </c>
      <c r="F1196" t="s">
        <v>1274</v>
      </c>
      <c r="G1196" t="s">
        <v>1275</v>
      </c>
      <c r="H1196" s="315" t="s">
        <v>1000</v>
      </c>
      <c r="I1196" s="315" t="s">
        <v>1276</v>
      </c>
      <c r="J1196" s="315" t="str">
        <f t="shared" si="106"/>
        <v xml:space="preserve">Admin &amp; OtherStaff Remuneration &amp; Benefits as % of Total Gross </v>
      </c>
      <c r="K1196" s="315" t="str">
        <f t="shared" si="107"/>
        <v>300Admin Staff Salaries - Toyota</v>
      </c>
      <c r="L1196" s="311">
        <f>+SUMIF('TUNZ Extracted TB'!M:M,$P1196,'TUNZ Extracted TB'!G:G)</f>
        <v>0</v>
      </c>
      <c r="M1196" s="311"/>
      <c r="N1196" s="311">
        <f>+SUMIF('Input Sheet'!$AE:$AE,P1196,'Input Sheet'!$X:$X)</f>
        <v>0</v>
      </c>
      <c r="O1196" s="311"/>
      <c r="P1196" t="str">
        <f t="shared" si="108"/>
        <v>300-7160</v>
      </c>
      <c r="Q1196" s="315" t="str">
        <f t="shared" si="109"/>
        <v>Admin &amp; Other</v>
      </c>
      <c r="R1196" s="315" t="str">
        <f t="shared" si="110"/>
        <v xml:space="preserve">Admin &amp; OtherStaff Remuneration &amp; Benefits as % of Total Gross </v>
      </c>
      <c r="S1196" s="199"/>
      <c r="T1196" s="199"/>
      <c r="U1196" s="199"/>
    </row>
    <row r="1197" spans="1:21" x14ac:dyDescent="0.25">
      <c r="A1197" t="s">
        <v>996</v>
      </c>
      <c r="B1197" t="s">
        <v>997</v>
      </c>
      <c r="C1197" t="s">
        <v>1013</v>
      </c>
      <c r="D1197">
        <v>7160</v>
      </c>
      <c r="E1197">
        <v>321</v>
      </c>
      <c r="F1197" t="s">
        <v>1274</v>
      </c>
      <c r="G1197" t="s">
        <v>1275</v>
      </c>
      <c r="H1197" s="315" t="s">
        <v>1000</v>
      </c>
      <c r="I1197" s="315" t="s">
        <v>1276</v>
      </c>
      <c r="J1197" s="315" t="str">
        <f t="shared" si="106"/>
        <v xml:space="preserve">Admin &amp; OtherStaff Remuneration &amp; Benefits as % of Total Gross </v>
      </c>
      <c r="K1197" s="315" t="str">
        <f t="shared" si="107"/>
        <v>321Admin Staff Salaries - Toyota</v>
      </c>
      <c r="L1197" s="311">
        <f>+SUMIF('TUNZ Extracted TB'!M:M,$P1197,'TUNZ Extracted TB'!G:G)</f>
        <v>0</v>
      </c>
      <c r="M1197" s="311"/>
      <c r="N1197" s="311">
        <f>+SUMIF('Input Sheet'!$AE:$AE,P1197,'Input Sheet'!$X:$X)</f>
        <v>0</v>
      </c>
      <c r="O1197" s="311"/>
      <c r="P1197" t="str">
        <f t="shared" si="108"/>
        <v>321-7160</v>
      </c>
      <c r="Q1197" s="315" t="str">
        <f t="shared" si="109"/>
        <v>Admin &amp; Other</v>
      </c>
      <c r="R1197" s="315" t="str">
        <f t="shared" si="110"/>
        <v xml:space="preserve">Admin &amp; OtherStaff Remuneration &amp; Benefits as % of Total Gross </v>
      </c>
      <c r="S1197" s="199"/>
      <c r="T1197" s="199"/>
      <c r="U1197" s="199"/>
    </row>
    <row r="1198" spans="1:21" x14ac:dyDescent="0.25">
      <c r="A1198" t="s">
        <v>996</v>
      </c>
      <c r="B1198" t="s">
        <v>997</v>
      </c>
      <c r="C1198" t="s">
        <v>1013</v>
      </c>
      <c r="D1198">
        <v>7160</v>
      </c>
      <c r="E1198">
        <v>330</v>
      </c>
      <c r="F1198" t="s">
        <v>1274</v>
      </c>
      <c r="G1198" t="s">
        <v>1275</v>
      </c>
      <c r="H1198" s="315" t="s">
        <v>1000</v>
      </c>
      <c r="I1198" s="315" t="s">
        <v>1276</v>
      </c>
      <c r="J1198" s="315" t="str">
        <f t="shared" si="106"/>
        <v xml:space="preserve">Admin &amp; OtherStaff Remuneration &amp; Benefits as % of Total Gross </v>
      </c>
      <c r="K1198" s="315" t="str">
        <f t="shared" si="107"/>
        <v>330Admin Staff Salaries - Toyota</v>
      </c>
      <c r="L1198" s="311">
        <f>+SUMIF('TUNZ Extracted TB'!M:M,$P1198,'TUNZ Extracted TB'!G:G)</f>
        <v>0</v>
      </c>
      <c r="M1198" s="311"/>
      <c r="N1198" s="311">
        <f>+SUMIF('Input Sheet'!$AE:$AE,P1198,'Input Sheet'!$X:$X)</f>
        <v>0</v>
      </c>
      <c r="O1198" s="311"/>
      <c r="P1198" t="str">
        <f t="shared" si="108"/>
        <v>330-7160</v>
      </c>
      <c r="Q1198" s="315" t="str">
        <f t="shared" si="109"/>
        <v>Admin &amp; Other</v>
      </c>
      <c r="R1198" s="315" t="str">
        <f t="shared" si="110"/>
        <v xml:space="preserve">Admin &amp; OtherStaff Remuneration &amp; Benefits as % of Total Gross </v>
      </c>
      <c r="S1198" s="199"/>
      <c r="T1198" s="199"/>
      <c r="U1198" s="199"/>
    </row>
    <row r="1199" spans="1:21" x14ac:dyDescent="0.25">
      <c r="A1199" t="s">
        <v>996</v>
      </c>
      <c r="B1199" t="s">
        <v>997</v>
      </c>
      <c r="C1199" t="s">
        <v>1013</v>
      </c>
      <c r="D1199">
        <v>7160</v>
      </c>
      <c r="E1199">
        <v>360</v>
      </c>
      <c r="F1199" t="s">
        <v>1274</v>
      </c>
      <c r="G1199" t="s">
        <v>1275</v>
      </c>
      <c r="H1199" s="315" t="s">
        <v>1000</v>
      </c>
      <c r="I1199" s="315" t="s">
        <v>1276</v>
      </c>
      <c r="J1199" s="315" t="str">
        <f t="shared" si="106"/>
        <v xml:space="preserve">Admin &amp; OtherStaff Remuneration &amp; Benefits as % of Total Gross </v>
      </c>
      <c r="K1199" s="315" t="str">
        <f t="shared" si="107"/>
        <v>360Admin Staff Salaries - Toyota</v>
      </c>
      <c r="L1199" s="311">
        <f>+SUMIF('TUNZ Extracted TB'!M:M,$P1199,'TUNZ Extracted TB'!G:G)</f>
        <v>0</v>
      </c>
      <c r="M1199" s="311"/>
      <c r="N1199" s="311">
        <f>+SUMIF('Input Sheet'!$AE:$AE,P1199,'Input Sheet'!$X:$X)</f>
        <v>0</v>
      </c>
      <c r="O1199" s="311"/>
      <c r="P1199" t="str">
        <f t="shared" si="108"/>
        <v>360-7160</v>
      </c>
      <c r="Q1199" s="315" t="str">
        <f t="shared" si="109"/>
        <v>Admin &amp; Other</v>
      </c>
      <c r="R1199" s="315" t="str">
        <f t="shared" si="110"/>
        <v xml:space="preserve">Admin &amp; OtherStaff Remuneration &amp; Benefits as % of Total Gross </v>
      </c>
      <c r="S1199" s="199"/>
      <c r="T1199" s="199"/>
      <c r="U1199" s="199"/>
    </row>
    <row r="1200" spans="1:21" x14ac:dyDescent="0.25">
      <c r="A1200" t="s">
        <v>996</v>
      </c>
      <c r="B1200" t="s">
        <v>997</v>
      </c>
      <c r="C1200" t="s">
        <v>997</v>
      </c>
      <c r="D1200">
        <v>7160</v>
      </c>
      <c r="E1200">
        <v>120</v>
      </c>
      <c r="F1200" t="s">
        <v>1274</v>
      </c>
      <c r="G1200" t="s">
        <v>1275</v>
      </c>
      <c r="H1200" s="315" t="s">
        <v>1000</v>
      </c>
      <c r="I1200" s="315" t="s">
        <v>1276</v>
      </c>
      <c r="J1200" s="315" t="str">
        <f t="shared" si="106"/>
        <v xml:space="preserve">Admin &amp; OtherStaff Remuneration &amp; Benefits as % of Total Gross </v>
      </c>
      <c r="K1200" s="315" t="str">
        <f t="shared" si="107"/>
        <v>120Admin Staff Salaries - Toyota</v>
      </c>
      <c r="L1200" s="311">
        <f>+SUMIF('TUNZ Extracted TB'!M:M,$P1200,'TUNZ Extracted TB'!G:G)</f>
        <v>0</v>
      </c>
      <c r="M1200" s="311"/>
      <c r="N1200" s="311">
        <f>+SUMIF('Input Sheet'!$AE:$AE,P1200,'Input Sheet'!$X:$X)</f>
        <v>0</v>
      </c>
      <c r="O1200" s="311"/>
      <c r="P1200" t="str">
        <f t="shared" si="108"/>
        <v>120-7160</v>
      </c>
      <c r="Q1200" s="315" t="str">
        <f t="shared" si="109"/>
        <v>Admin &amp; Other</v>
      </c>
      <c r="R1200" s="315" t="str">
        <f t="shared" si="110"/>
        <v xml:space="preserve">Admin &amp; OtherStaff Remuneration &amp; Benefits as % of Total Gross </v>
      </c>
      <c r="S1200" s="199"/>
      <c r="T1200" s="199"/>
      <c r="U1200" s="199"/>
    </row>
    <row r="1201" spans="1:21" x14ac:dyDescent="0.25">
      <c r="A1201" t="s">
        <v>996</v>
      </c>
      <c r="B1201" t="s">
        <v>997</v>
      </c>
      <c r="C1201" t="s">
        <v>997</v>
      </c>
      <c r="D1201">
        <v>7160</v>
      </c>
      <c r="E1201">
        <v>121</v>
      </c>
      <c r="F1201" t="s">
        <v>1274</v>
      </c>
      <c r="G1201" t="s">
        <v>1275</v>
      </c>
      <c r="H1201" s="315" t="s">
        <v>1000</v>
      </c>
      <c r="I1201" s="315" t="s">
        <v>1276</v>
      </c>
      <c r="J1201" s="315" t="str">
        <f t="shared" si="106"/>
        <v xml:space="preserve">Admin &amp; OtherStaff Remuneration &amp; Benefits as % of Total Gross </v>
      </c>
      <c r="K1201" s="315" t="str">
        <f t="shared" si="107"/>
        <v>121Admin Staff Salaries - Toyota</v>
      </c>
      <c r="L1201" s="311">
        <f>+SUMIF('TUNZ Extracted TB'!M:M,$P1201,'TUNZ Extracted TB'!G:G)</f>
        <v>0</v>
      </c>
      <c r="M1201" s="311"/>
      <c r="N1201" s="311">
        <f>+SUMIF('Input Sheet'!$AE:$AE,P1201,'Input Sheet'!$X:$X)</f>
        <v>0</v>
      </c>
      <c r="O1201" s="311"/>
      <c r="P1201" t="str">
        <f t="shared" si="108"/>
        <v>121-7160</v>
      </c>
      <c r="Q1201" s="315" t="str">
        <f t="shared" si="109"/>
        <v>Admin &amp; Other</v>
      </c>
      <c r="R1201" s="315" t="str">
        <f t="shared" si="110"/>
        <v xml:space="preserve">Admin &amp; OtherStaff Remuneration &amp; Benefits as % of Total Gross </v>
      </c>
      <c r="S1201" s="199"/>
      <c r="T1201" s="199"/>
      <c r="U1201" s="199"/>
    </row>
    <row r="1202" spans="1:21" x14ac:dyDescent="0.25">
      <c r="A1202" t="s">
        <v>996</v>
      </c>
      <c r="B1202" t="s">
        <v>997</v>
      </c>
      <c r="C1202" t="s">
        <v>997</v>
      </c>
      <c r="D1202">
        <v>7160</v>
      </c>
      <c r="E1202">
        <v>160</v>
      </c>
      <c r="F1202" t="s">
        <v>1274</v>
      </c>
      <c r="G1202" t="s">
        <v>1275</v>
      </c>
      <c r="H1202" s="315" t="s">
        <v>1000</v>
      </c>
      <c r="I1202" s="315" t="s">
        <v>1276</v>
      </c>
      <c r="J1202" s="315" t="str">
        <f t="shared" si="106"/>
        <v xml:space="preserve">Admin &amp; OtherStaff Remuneration &amp; Benefits as % of Total Gross </v>
      </c>
      <c r="K1202" s="315" t="str">
        <f t="shared" si="107"/>
        <v>160Admin Staff Salaries - Toyota</v>
      </c>
      <c r="L1202" s="311">
        <f>+SUMIF('TUNZ Extracted TB'!M:M,$P1202,'TUNZ Extracted TB'!G:G)</f>
        <v>0</v>
      </c>
      <c r="M1202" s="311"/>
      <c r="N1202" s="311">
        <f>+SUMIF('Input Sheet'!$AE:$AE,P1202,'Input Sheet'!$X:$X)</f>
        <v>0</v>
      </c>
      <c r="O1202" s="311"/>
      <c r="P1202" t="str">
        <f t="shared" si="108"/>
        <v>160-7160</v>
      </c>
      <c r="Q1202" s="315" t="str">
        <f t="shared" si="109"/>
        <v>Admin &amp; Other</v>
      </c>
      <c r="R1202" s="315" t="str">
        <f t="shared" si="110"/>
        <v xml:space="preserve">Admin &amp; OtherStaff Remuneration &amp; Benefits as % of Total Gross </v>
      </c>
      <c r="S1202" s="199"/>
      <c r="T1202" s="199"/>
      <c r="U1202" s="199"/>
    </row>
    <row r="1203" spans="1:21" x14ac:dyDescent="0.25">
      <c r="A1203" t="s">
        <v>996</v>
      </c>
      <c r="B1203" t="s">
        <v>997</v>
      </c>
      <c r="C1203" t="s">
        <v>997</v>
      </c>
      <c r="D1203">
        <v>7160</v>
      </c>
      <c r="E1203">
        <v>170</v>
      </c>
      <c r="F1203" t="s">
        <v>1274</v>
      </c>
      <c r="G1203" t="s">
        <v>1275</v>
      </c>
      <c r="H1203" s="315" t="s">
        <v>1000</v>
      </c>
      <c r="I1203" s="315" t="s">
        <v>1276</v>
      </c>
      <c r="J1203" s="315" t="str">
        <f t="shared" si="106"/>
        <v xml:space="preserve">Admin &amp; OtherStaff Remuneration &amp; Benefits as % of Total Gross </v>
      </c>
      <c r="K1203" s="315" t="str">
        <f t="shared" si="107"/>
        <v>170Admin Staff Salaries - Toyota</v>
      </c>
      <c r="L1203" s="311">
        <f>+SUMIF('TUNZ Extracted TB'!M:M,$P1203,'TUNZ Extracted TB'!G:G)</f>
        <v>0</v>
      </c>
      <c r="M1203" s="311"/>
      <c r="N1203" s="311">
        <f>+SUMIF('Input Sheet'!$AE:$AE,P1203,'Input Sheet'!$X:$X)</f>
        <v>0</v>
      </c>
      <c r="O1203" s="311"/>
      <c r="P1203" t="str">
        <f t="shared" si="108"/>
        <v>170-7160</v>
      </c>
      <c r="Q1203" s="315" t="str">
        <f t="shared" si="109"/>
        <v>Admin &amp; Other</v>
      </c>
      <c r="R1203" s="315" t="str">
        <f t="shared" si="110"/>
        <v xml:space="preserve">Admin &amp; OtherStaff Remuneration &amp; Benefits as % of Total Gross </v>
      </c>
      <c r="S1203" s="199"/>
      <c r="T1203" s="199"/>
      <c r="U1203" s="199"/>
    </row>
    <row r="1204" spans="1:21" x14ac:dyDescent="0.25">
      <c r="A1204" t="s">
        <v>996</v>
      </c>
      <c r="B1204" t="s">
        <v>997</v>
      </c>
      <c r="C1204" t="s">
        <v>1005</v>
      </c>
      <c r="D1204">
        <v>7160</v>
      </c>
      <c r="E1204">
        <v>240</v>
      </c>
      <c r="F1204" t="s">
        <v>1344</v>
      </c>
      <c r="G1204" t="s">
        <v>1345</v>
      </c>
      <c r="H1204" s="315" t="s">
        <v>1000</v>
      </c>
      <c r="I1204" s="315" t="s">
        <v>1001</v>
      </c>
      <c r="J1204" s="315" t="str">
        <f t="shared" si="106"/>
        <v>Admin &amp; OtherOther Overheads as % of Total Gross Profit</v>
      </c>
      <c r="K1204" s="315" t="str">
        <f t="shared" si="107"/>
        <v>240Internal Group charges/income - Toyota</v>
      </c>
      <c r="L1204" s="311">
        <f>+SUMIF('TUNZ Extracted TB'!M:M,$P1204,'TUNZ Extracted TB'!G:G)</f>
        <v>0</v>
      </c>
      <c r="M1204" s="311"/>
      <c r="N1204" s="311">
        <f>+SUMIF('Input Sheet'!$AE:$AE,P1204,'Input Sheet'!$X:$X)</f>
        <v>0</v>
      </c>
      <c r="O1204" s="311"/>
      <c r="P1204" t="str">
        <f t="shared" si="108"/>
        <v>240-7160</v>
      </c>
      <c r="Q1204" s="315" t="str">
        <f t="shared" si="109"/>
        <v>Admin &amp; Other</v>
      </c>
      <c r="R1204" s="315" t="str">
        <f t="shared" si="110"/>
        <v>Admin &amp; OtherOther Overheads as % of Total Gross Profit</v>
      </c>
      <c r="S1204" s="199"/>
      <c r="T1204" s="199"/>
      <c r="U1204" s="199"/>
    </row>
    <row r="1205" spans="1:21" x14ac:dyDescent="0.25">
      <c r="A1205" t="s">
        <v>996</v>
      </c>
      <c r="B1205" t="s">
        <v>997</v>
      </c>
      <c r="C1205" t="s">
        <v>1012</v>
      </c>
      <c r="D1205">
        <v>7160</v>
      </c>
      <c r="E1205">
        <v>440</v>
      </c>
      <c r="F1205" t="s">
        <v>1344</v>
      </c>
      <c r="G1205" t="s">
        <v>1345</v>
      </c>
      <c r="H1205" s="315" t="s">
        <v>1000</v>
      </c>
      <c r="I1205" s="315" t="s">
        <v>1001</v>
      </c>
      <c r="J1205" s="315" t="str">
        <f t="shared" si="106"/>
        <v>Admin &amp; OtherOther Overheads as % of Total Gross Profit</v>
      </c>
      <c r="K1205" s="315" t="str">
        <f t="shared" si="107"/>
        <v>440Internal Group charges/income - Toyota</v>
      </c>
      <c r="L1205" s="311">
        <f>+SUMIF('TUNZ Extracted TB'!M:M,$P1205,'TUNZ Extracted TB'!G:G)</f>
        <v>0</v>
      </c>
      <c r="M1205" s="311"/>
      <c r="N1205" s="311">
        <f>+SUMIF('Input Sheet'!$AE:$AE,P1205,'Input Sheet'!$X:$X)</f>
        <v>0</v>
      </c>
      <c r="O1205" s="311"/>
      <c r="P1205" t="str">
        <f t="shared" si="108"/>
        <v>440-7160</v>
      </c>
      <c r="Q1205" s="315" t="str">
        <f t="shared" si="109"/>
        <v>Admin &amp; Other</v>
      </c>
      <c r="R1205" s="315" t="str">
        <f t="shared" si="110"/>
        <v>Admin &amp; OtherOther Overheads as % of Total Gross Profit</v>
      </c>
      <c r="S1205" s="199"/>
      <c r="T1205" s="199"/>
      <c r="U1205" s="199"/>
    </row>
    <row r="1206" spans="1:21" x14ac:dyDescent="0.25">
      <c r="A1206" t="s">
        <v>996</v>
      </c>
      <c r="B1206" t="s">
        <v>997</v>
      </c>
      <c r="C1206" t="s">
        <v>1013</v>
      </c>
      <c r="D1206">
        <v>7160</v>
      </c>
      <c r="E1206">
        <v>340</v>
      </c>
      <c r="F1206" t="s">
        <v>1344</v>
      </c>
      <c r="G1206" t="s">
        <v>1345</v>
      </c>
      <c r="H1206" s="315" t="s">
        <v>1000</v>
      </c>
      <c r="I1206" s="315" t="s">
        <v>1001</v>
      </c>
      <c r="J1206" s="315" t="str">
        <f t="shared" si="106"/>
        <v>Admin &amp; OtherOther Overheads as % of Total Gross Profit</v>
      </c>
      <c r="K1206" s="315" t="str">
        <f t="shared" si="107"/>
        <v>340Internal Group charges/income - Toyota</v>
      </c>
      <c r="L1206" s="311">
        <f>+SUMIF('TUNZ Extracted TB'!M:M,$P1206,'TUNZ Extracted TB'!G:G)</f>
        <v>0</v>
      </c>
      <c r="M1206" s="311"/>
      <c r="N1206" s="311">
        <f>+SUMIF('Input Sheet'!$AE:$AE,P1206,'Input Sheet'!$X:$X)</f>
        <v>0</v>
      </c>
      <c r="O1206" s="311"/>
      <c r="P1206" t="str">
        <f t="shared" si="108"/>
        <v>340-7160</v>
      </c>
      <c r="Q1206" s="315" t="str">
        <f t="shared" si="109"/>
        <v>Admin &amp; Other</v>
      </c>
      <c r="R1206" s="315" t="str">
        <f t="shared" si="110"/>
        <v>Admin &amp; OtherOther Overheads as % of Total Gross Profit</v>
      </c>
      <c r="S1206" s="199"/>
      <c r="T1206" s="199"/>
      <c r="U1206" s="199"/>
    </row>
    <row r="1207" spans="1:21" x14ac:dyDescent="0.25">
      <c r="A1207" t="s">
        <v>996</v>
      </c>
      <c r="B1207" t="s">
        <v>997</v>
      </c>
      <c r="C1207" t="s">
        <v>997</v>
      </c>
      <c r="D1207">
        <v>7160</v>
      </c>
      <c r="E1207">
        <v>147</v>
      </c>
      <c r="F1207" t="s">
        <v>1344</v>
      </c>
      <c r="G1207" t="s">
        <v>1345</v>
      </c>
      <c r="H1207" s="315" t="s">
        <v>1000</v>
      </c>
      <c r="I1207" s="315" t="s">
        <v>1001</v>
      </c>
      <c r="J1207" s="315" t="str">
        <f t="shared" si="106"/>
        <v>Admin &amp; OtherOther Overheads as % of Total Gross Profit</v>
      </c>
      <c r="K1207" s="315" t="str">
        <f t="shared" si="107"/>
        <v>147Internal Group charges/income - Toyota</v>
      </c>
      <c r="L1207" s="311">
        <f>+SUMIF('TUNZ Extracted TB'!M:M,$P1207,'TUNZ Extracted TB'!G:G)</f>
        <v>0</v>
      </c>
      <c r="M1207" s="311"/>
      <c r="N1207" s="311">
        <f>+SUMIF('Input Sheet'!$AE:$AE,P1207,'Input Sheet'!$X:$X)</f>
        <v>0</v>
      </c>
      <c r="O1207" s="311"/>
      <c r="P1207" t="str">
        <f t="shared" si="108"/>
        <v>147-7160</v>
      </c>
      <c r="Q1207" s="315" t="str">
        <f t="shared" si="109"/>
        <v>Admin &amp; Other</v>
      </c>
      <c r="R1207" s="315" t="str">
        <f t="shared" si="110"/>
        <v>Admin &amp; OtherOther Overheads as % of Total Gross Profit</v>
      </c>
      <c r="S1207" s="199"/>
      <c r="T1207" s="199"/>
      <c r="U1207" s="199"/>
    </row>
    <row r="1208" spans="1:21" x14ac:dyDescent="0.25">
      <c r="A1208" t="s">
        <v>996</v>
      </c>
      <c r="B1208" t="s">
        <v>997</v>
      </c>
      <c r="C1208" t="s">
        <v>997</v>
      </c>
      <c r="D1208">
        <v>7160</v>
      </c>
      <c r="E1208">
        <v>936</v>
      </c>
      <c r="F1208" t="s">
        <v>1175</v>
      </c>
      <c r="G1208" t="s">
        <v>1176</v>
      </c>
      <c r="H1208" s="315" t="s">
        <v>1023</v>
      </c>
      <c r="I1208" s="315" t="s">
        <v>1001</v>
      </c>
      <c r="J1208" s="315" t="str">
        <f t="shared" si="106"/>
        <v>LEX Admin &amp; OtherOther Overheads as % of Total Gross Profit</v>
      </c>
      <c r="K1208" s="315" t="str">
        <f t="shared" si="107"/>
        <v>936Other franchise/business expense</v>
      </c>
      <c r="L1208" s="311">
        <f>+SUMIF('TUNZ Extracted TB'!M:M,$P1208,'TUNZ Extracted TB'!G:G)</f>
        <v>0</v>
      </c>
      <c r="M1208" s="311"/>
      <c r="N1208" s="311">
        <f>+SUMIF('Input Sheet'!$AE:$AE,P1208,'Input Sheet'!$X:$X)</f>
        <v>0</v>
      </c>
      <c r="O1208" s="311"/>
      <c r="P1208" t="str">
        <f t="shared" si="108"/>
        <v>936-7160</v>
      </c>
      <c r="Q1208" s="315" t="str">
        <f t="shared" si="109"/>
        <v>LEX Admin &amp; Other</v>
      </c>
      <c r="R1208" s="315" t="str">
        <f t="shared" si="110"/>
        <v>LEX Admin &amp; OtherOther Overheads as % of Total Gross Profit</v>
      </c>
      <c r="S1208" s="199"/>
      <c r="T1208" s="199"/>
      <c r="U1208" s="199"/>
    </row>
    <row r="1209" spans="1:21" x14ac:dyDescent="0.25">
      <c r="A1209" t="s">
        <v>996</v>
      </c>
      <c r="B1209" t="s">
        <v>997</v>
      </c>
      <c r="C1209" t="s">
        <v>997</v>
      </c>
      <c r="D1209">
        <v>7160</v>
      </c>
      <c r="E1209">
        <v>935</v>
      </c>
      <c r="F1209" t="s">
        <v>1175</v>
      </c>
      <c r="G1209" t="s">
        <v>1176</v>
      </c>
      <c r="H1209" s="315" t="s">
        <v>1023</v>
      </c>
      <c r="I1209" s="315" t="s">
        <v>1001</v>
      </c>
      <c r="J1209" s="315" t="str">
        <f t="shared" si="106"/>
        <v>LEX Admin &amp; OtherOther Overheads as % of Total Gross Profit</v>
      </c>
      <c r="K1209" s="315" t="str">
        <f t="shared" si="107"/>
        <v>935Other franchise/business expense</v>
      </c>
      <c r="L1209" s="311">
        <f>+SUMIF('TUNZ Extracted TB'!M:M,$P1209,'TUNZ Extracted TB'!G:G)</f>
        <v>0</v>
      </c>
      <c r="M1209" s="311"/>
      <c r="N1209" s="311">
        <f>+SUMIF('Input Sheet'!$AE:$AE,P1209,'Input Sheet'!$X:$X)</f>
        <v>0</v>
      </c>
      <c r="O1209" s="311"/>
      <c r="P1209" t="str">
        <f t="shared" si="108"/>
        <v>935-7160</v>
      </c>
      <c r="Q1209" s="315" t="str">
        <f t="shared" si="109"/>
        <v>LEX Admin &amp; Other</v>
      </c>
      <c r="R1209" s="315" t="str">
        <f t="shared" si="110"/>
        <v>LEX Admin &amp; OtherOther Overheads as % of Total Gross Profit</v>
      </c>
      <c r="S1209" s="199"/>
      <c r="T1209" s="199"/>
      <c r="U1209" s="199"/>
    </row>
    <row r="1210" spans="1:21" x14ac:dyDescent="0.25">
      <c r="A1210" t="s">
        <v>996</v>
      </c>
      <c r="B1210" t="s">
        <v>997</v>
      </c>
      <c r="C1210" t="s">
        <v>1005</v>
      </c>
      <c r="D1210">
        <v>7160</v>
      </c>
      <c r="E1210">
        <v>210</v>
      </c>
      <c r="F1210" t="s">
        <v>1239</v>
      </c>
      <c r="G1210" t="s">
        <v>1240</v>
      </c>
      <c r="H1210" s="315" t="s">
        <v>30</v>
      </c>
      <c r="I1210" s="315" t="s">
        <v>1241</v>
      </c>
      <c r="J1210" s="315" t="str">
        <f t="shared" si="106"/>
        <v>Used VehicleSalaries &amp; Wages per retail</v>
      </c>
      <c r="K1210" s="315" t="str">
        <f t="shared" si="107"/>
        <v>210Toyota UV Salaries &amp; Wages</v>
      </c>
      <c r="L1210" s="311">
        <f>+SUMIF('TUNZ Extracted TB'!M:M,$P1210,'TUNZ Extracted TB'!G:G)</f>
        <v>0</v>
      </c>
      <c r="M1210" s="311"/>
      <c r="N1210" s="311">
        <f>+SUMIF('Input Sheet'!$AE:$AE,P1210,'Input Sheet'!$X:$X)</f>
        <v>0</v>
      </c>
      <c r="O1210" s="311"/>
      <c r="P1210" t="str">
        <f t="shared" si="108"/>
        <v>210-7160</v>
      </c>
      <c r="Q1210" s="315" t="str">
        <f t="shared" si="109"/>
        <v>Used Vehicle</v>
      </c>
      <c r="R1210" s="315" t="str">
        <f t="shared" si="110"/>
        <v>Used VehicleSalaries &amp; Wages per retail</v>
      </c>
      <c r="S1210" s="199"/>
      <c r="T1210" s="199"/>
      <c r="U1210" s="199"/>
    </row>
    <row r="1211" spans="1:21" x14ac:dyDescent="0.25">
      <c r="A1211" t="s">
        <v>996</v>
      </c>
      <c r="B1211" t="s">
        <v>997</v>
      </c>
      <c r="C1211" t="s">
        <v>1012</v>
      </c>
      <c r="D1211">
        <v>7160</v>
      </c>
      <c r="E1211">
        <v>410</v>
      </c>
      <c r="F1211" t="s">
        <v>1239</v>
      </c>
      <c r="G1211" t="s">
        <v>1240</v>
      </c>
      <c r="H1211" s="315" t="s">
        <v>30</v>
      </c>
      <c r="I1211" s="315" t="s">
        <v>1241</v>
      </c>
      <c r="J1211" s="315" t="str">
        <f t="shared" si="106"/>
        <v>Used VehicleSalaries &amp; Wages per retail</v>
      </c>
      <c r="K1211" s="315" t="str">
        <f t="shared" si="107"/>
        <v>410Toyota UV Salaries &amp; Wages</v>
      </c>
      <c r="L1211" s="311">
        <f>+SUMIF('TUNZ Extracted TB'!M:M,$P1211,'TUNZ Extracted TB'!G:G)</f>
        <v>0</v>
      </c>
      <c r="M1211" s="311"/>
      <c r="N1211" s="311">
        <f>+SUMIF('Input Sheet'!$AE:$AE,P1211,'Input Sheet'!$X:$X)</f>
        <v>0</v>
      </c>
      <c r="O1211" s="311"/>
      <c r="P1211" t="str">
        <f t="shared" si="108"/>
        <v>410-7160</v>
      </c>
      <c r="Q1211" s="315" t="str">
        <f t="shared" si="109"/>
        <v>Used Vehicle</v>
      </c>
      <c r="R1211" s="315" t="str">
        <f t="shared" si="110"/>
        <v>Used VehicleSalaries &amp; Wages per retail</v>
      </c>
      <c r="S1211" s="199"/>
      <c r="T1211" s="199"/>
      <c r="U1211" s="199"/>
    </row>
    <row r="1212" spans="1:21" x14ac:dyDescent="0.25">
      <c r="A1212" t="s">
        <v>996</v>
      </c>
      <c r="B1212" t="s">
        <v>997</v>
      </c>
      <c r="C1212" t="s">
        <v>1013</v>
      </c>
      <c r="D1212">
        <v>7160</v>
      </c>
      <c r="E1212">
        <v>310</v>
      </c>
      <c r="F1212" t="s">
        <v>1239</v>
      </c>
      <c r="G1212" t="s">
        <v>1240</v>
      </c>
      <c r="H1212" s="315" t="s">
        <v>30</v>
      </c>
      <c r="I1212" s="315" t="s">
        <v>1241</v>
      </c>
      <c r="J1212" s="315" t="str">
        <f t="shared" si="106"/>
        <v>Used VehicleSalaries &amp; Wages per retail</v>
      </c>
      <c r="K1212" s="315" t="str">
        <f t="shared" si="107"/>
        <v>310Toyota UV Salaries &amp; Wages</v>
      </c>
      <c r="L1212" s="311">
        <f>+SUMIF('TUNZ Extracted TB'!M:M,$P1212,'TUNZ Extracted TB'!G:G)</f>
        <v>0</v>
      </c>
      <c r="M1212" s="311"/>
      <c r="N1212" s="311">
        <f>+SUMIF('Input Sheet'!$AE:$AE,P1212,'Input Sheet'!$X:$X)</f>
        <v>0</v>
      </c>
      <c r="O1212" s="311"/>
      <c r="P1212" t="str">
        <f t="shared" si="108"/>
        <v>310-7160</v>
      </c>
      <c r="Q1212" s="315" t="str">
        <f t="shared" si="109"/>
        <v>Used Vehicle</v>
      </c>
      <c r="R1212" s="315" t="str">
        <f t="shared" si="110"/>
        <v>Used VehicleSalaries &amp; Wages per retail</v>
      </c>
      <c r="S1212" s="199"/>
      <c r="T1212" s="199"/>
      <c r="U1212" s="199"/>
    </row>
    <row r="1213" spans="1:21" x14ac:dyDescent="0.25">
      <c r="A1213" t="s">
        <v>996</v>
      </c>
      <c r="B1213" t="s">
        <v>997</v>
      </c>
      <c r="C1213" t="s">
        <v>1013</v>
      </c>
      <c r="D1213">
        <v>7170</v>
      </c>
      <c r="E1213">
        <v>340</v>
      </c>
      <c r="F1213" t="s">
        <v>1250</v>
      </c>
      <c r="G1213" t="s">
        <v>1251</v>
      </c>
      <c r="H1213" s="315" t="s">
        <v>17</v>
      </c>
      <c r="I1213" s="315" t="s">
        <v>1252</v>
      </c>
      <c r="J1213" s="315" t="str">
        <f t="shared" si="106"/>
        <v>ServiceSalaries, Commission &amp; Leave as % of Sales</v>
      </c>
      <c r="K1213" s="315" t="str">
        <f t="shared" si="107"/>
        <v>340Service Salaries &amp; Commission - Toyota</v>
      </c>
      <c r="L1213" s="311">
        <f>+SUMIF('TUNZ Extracted TB'!M:M,$P1213,'TUNZ Extracted TB'!G:G)</f>
        <v>19362.27</v>
      </c>
      <c r="M1213" s="311"/>
      <c r="N1213" s="311">
        <f>+SUMIF('Input Sheet'!$AE:$AE,P1213,'Input Sheet'!$X:$X)</f>
        <v>0</v>
      </c>
      <c r="O1213" s="311"/>
      <c r="P1213" t="str">
        <f t="shared" si="108"/>
        <v>340-7170</v>
      </c>
      <c r="Q1213" s="315" t="str">
        <f t="shared" si="109"/>
        <v>Service</v>
      </c>
      <c r="R1213" s="315" t="str">
        <f t="shared" si="110"/>
        <v>ServiceSalaries, Commission &amp; Leave as % of Sales</v>
      </c>
      <c r="S1213" s="199"/>
      <c r="T1213" s="199"/>
      <c r="U1213" s="199"/>
    </row>
    <row r="1214" spans="1:21" x14ac:dyDescent="0.25">
      <c r="A1214" t="s">
        <v>996</v>
      </c>
      <c r="B1214" t="s">
        <v>997</v>
      </c>
      <c r="C1214" t="s">
        <v>1012</v>
      </c>
      <c r="D1214">
        <v>7170</v>
      </c>
      <c r="E1214">
        <v>440</v>
      </c>
      <c r="F1214" t="s">
        <v>1250</v>
      </c>
      <c r="G1214" t="s">
        <v>1251</v>
      </c>
      <c r="H1214" s="315" t="s">
        <v>17</v>
      </c>
      <c r="I1214" s="315" t="s">
        <v>1252</v>
      </c>
      <c r="J1214" s="315" t="str">
        <f t="shared" si="106"/>
        <v>ServiceSalaries, Commission &amp; Leave as % of Sales</v>
      </c>
      <c r="K1214" s="315" t="str">
        <f t="shared" si="107"/>
        <v>440Service Salaries &amp; Commission - Toyota</v>
      </c>
      <c r="L1214" s="311">
        <f>+SUMIF('TUNZ Extracted TB'!M:M,$P1214,'TUNZ Extracted TB'!G:G)</f>
        <v>7251.08</v>
      </c>
      <c r="M1214" s="311"/>
      <c r="N1214" s="311">
        <f>+SUMIF('Input Sheet'!$AE:$AE,P1214,'Input Sheet'!$X:$X)</f>
        <v>0</v>
      </c>
      <c r="O1214" s="311"/>
      <c r="P1214" t="str">
        <f t="shared" si="108"/>
        <v>440-7170</v>
      </c>
      <c r="Q1214" s="315" t="str">
        <f t="shared" si="109"/>
        <v>Service</v>
      </c>
      <c r="R1214" s="315" t="str">
        <f t="shared" si="110"/>
        <v>ServiceSalaries, Commission &amp; Leave as % of Sales</v>
      </c>
      <c r="S1214" s="199"/>
      <c r="T1214" s="199"/>
      <c r="U1214" s="199"/>
    </row>
    <row r="1215" spans="1:21" x14ac:dyDescent="0.25">
      <c r="A1215" t="s">
        <v>996</v>
      </c>
      <c r="B1215" t="s">
        <v>997</v>
      </c>
      <c r="C1215" t="s">
        <v>1005</v>
      </c>
      <c r="D1215">
        <v>7170</v>
      </c>
      <c r="E1215">
        <v>240</v>
      </c>
      <c r="F1215" t="s">
        <v>1250</v>
      </c>
      <c r="G1215" t="s">
        <v>1251</v>
      </c>
      <c r="H1215" s="315" t="s">
        <v>17</v>
      </c>
      <c r="I1215" s="315" t="s">
        <v>1252</v>
      </c>
      <c r="J1215" s="315" t="str">
        <f t="shared" si="106"/>
        <v>ServiceSalaries, Commission &amp; Leave as % of Sales</v>
      </c>
      <c r="K1215" s="315" t="str">
        <f t="shared" si="107"/>
        <v>240Service Salaries &amp; Commission - Toyota</v>
      </c>
      <c r="L1215" s="311">
        <f>+SUMIF('TUNZ Extracted TB'!M:M,$P1215,'TUNZ Extracted TB'!G:G)</f>
        <v>13966.07</v>
      </c>
      <c r="M1215" s="311"/>
      <c r="N1215" s="311">
        <f>+SUMIF('Input Sheet'!$AE:$AE,P1215,'Input Sheet'!$X:$X)</f>
        <v>0</v>
      </c>
      <c r="O1215" s="311"/>
      <c r="P1215" t="str">
        <f t="shared" si="108"/>
        <v>240-7170</v>
      </c>
      <c r="Q1215" s="315" t="str">
        <f t="shared" si="109"/>
        <v>Service</v>
      </c>
      <c r="R1215" s="315" t="str">
        <f t="shared" si="110"/>
        <v>ServiceSalaries, Commission &amp; Leave as % of Sales</v>
      </c>
      <c r="S1215" s="199"/>
      <c r="T1215" s="199"/>
      <c r="U1215" s="199"/>
    </row>
    <row r="1216" spans="1:21" x14ac:dyDescent="0.25">
      <c r="A1216" t="s">
        <v>996</v>
      </c>
      <c r="B1216" t="s">
        <v>997</v>
      </c>
      <c r="C1216" t="s">
        <v>997</v>
      </c>
      <c r="D1216">
        <v>7170</v>
      </c>
      <c r="E1216">
        <v>150</v>
      </c>
      <c r="F1216" t="s">
        <v>1250</v>
      </c>
      <c r="G1216" t="s">
        <v>1251</v>
      </c>
      <c r="H1216" s="315" t="s">
        <v>145</v>
      </c>
      <c r="I1216" s="315" t="s">
        <v>1252</v>
      </c>
      <c r="J1216" s="315" t="str">
        <f t="shared" si="106"/>
        <v>Retail DetailingSalaries, Commission &amp; Leave as % of Sales</v>
      </c>
      <c r="K1216" s="315" t="str">
        <f t="shared" si="107"/>
        <v>150Service Salaries &amp; Commission - Toyota</v>
      </c>
      <c r="L1216" s="311">
        <f>+SUMIF('TUNZ Extracted TB'!M:M,$P1216,'TUNZ Extracted TB'!G:G)</f>
        <v>7778.7</v>
      </c>
      <c r="M1216" s="311"/>
      <c r="N1216" s="311">
        <f>+SUMIF('Input Sheet'!$AE:$AE,P1216,'Input Sheet'!$X:$X)</f>
        <v>0</v>
      </c>
      <c r="O1216" s="311"/>
      <c r="P1216" t="str">
        <f t="shared" si="108"/>
        <v>150-7170</v>
      </c>
      <c r="Q1216" s="315" t="str">
        <f t="shared" si="109"/>
        <v>Retail Detailing</v>
      </c>
      <c r="R1216" s="315" t="str">
        <f t="shared" si="110"/>
        <v>Retail DetailingSalaries, Commission &amp; Leave as % of Sales</v>
      </c>
      <c r="S1216" s="199"/>
      <c r="T1216" s="199"/>
      <c r="U1216" s="199"/>
    </row>
    <row r="1217" spans="1:21" x14ac:dyDescent="0.25">
      <c r="A1217" t="s">
        <v>996</v>
      </c>
      <c r="B1217" t="s">
        <v>997</v>
      </c>
      <c r="C1217" t="s">
        <v>1005</v>
      </c>
      <c r="D1217">
        <v>7170</v>
      </c>
      <c r="E1217">
        <v>230</v>
      </c>
      <c r="F1217" t="s">
        <v>1256</v>
      </c>
      <c r="G1217" t="s">
        <v>1257</v>
      </c>
      <c r="H1217" s="315" t="s">
        <v>5</v>
      </c>
      <c r="I1217" s="315" t="s">
        <v>1255</v>
      </c>
      <c r="J1217" s="315" t="str">
        <f t="shared" si="106"/>
        <v>PartsSalaries &amp; Commission as % of Sales</v>
      </c>
      <c r="K1217" s="315" t="str">
        <f t="shared" si="107"/>
        <v>230Parts Salaries &amp; Commission - Toyota</v>
      </c>
      <c r="L1217" s="311">
        <f>+SUMIF('TUNZ Extracted TB'!M:M,$P1217,'TUNZ Extracted TB'!G:G)</f>
        <v>10271.14</v>
      </c>
      <c r="M1217" s="311"/>
      <c r="N1217" s="311">
        <f>+SUMIF('Input Sheet'!$AE:$AE,P1217,'Input Sheet'!$X:$X)</f>
        <v>0</v>
      </c>
      <c r="O1217" s="311"/>
      <c r="P1217" t="str">
        <f t="shared" si="108"/>
        <v>230-7170</v>
      </c>
      <c r="Q1217" s="315" t="str">
        <f t="shared" si="109"/>
        <v>Parts</v>
      </c>
      <c r="R1217" s="315" t="str">
        <f t="shared" si="110"/>
        <v>PartsSalaries &amp; Commission as % of Sales</v>
      </c>
      <c r="S1217" s="199"/>
      <c r="T1217" s="199"/>
      <c r="U1217" s="199"/>
    </row>
    <row r="1218" spans="1:21" x14ac:dyDescent="0.25">
      <c r="A1218" t="s">
        <v>996</v>
      </c>
      <c r="B1218" t="s">
        <v>997</v>
      </c>
      <c r="C1218" t="s">
        <v>997</v>
      </c>
      <c r="D1218">
        <v>7170</v>
      </c>
      <c r="E1218">
        <v>935</v>
      </c>
      <c r="F1218" t="s">
        <v>1175</v>
      </c>
      <c r="G1218" t="s">
        <v>1176</v>
      </c>
      <c r="H1218" s="315" t="s">
        <v>58</v>
      </c>
      <c r="I1218" s="315" t="s">
        <v>1252</v>
      </c>
      <c r="J1218" s="315" t="str">
        <f t="shared" si="106"/>
        <v>BridgestoneSalaries, Commission &amp; Leave as % of Sales</v>
      </c>
      <c r="K1218" s="315" t="str">
        <f t="shared" si="107"/>
        <v>935Other franchise/business expense</v>
      </c>
      <c r="L1218" s="311">
        <f>+SUMIF('TUNZ Extracted TB'!M:M,$P1218,'TUNZ Extracted TB'!G:G)</f>
        <v>8953.41</v>
      </c>
      <c r="M1218" s="311"/>
      <c r="N1218" s="311">
        <f>+SUMIF('Input Sheet'!$AE:$AE,P1218,'Input Sheet'!$X:$X)</f>
        <v>0</v>
      </c>
      <c r="O1218" s="311"/>
      <c r="P1218" t="str">
        <f t="shared" si="108"/>
        <v>935-7170</v>
      </c>
      <c r="Q1218" s="315" t="str">
        <f t="shared" si="109"/>
        <v>Bridgestone</v>
      </c>
      <c r="R1218" s="315" t="str">
        <f t="shared" si="110"/>
        <v>BridgestoneSalaries, Commission &amp; Leave as % of Sales</v>
      </c>
      <c r="S1218" s="199"/>
      <c r="T1218" s="199"/>
      <c r="U1218" s="199"/>
    </row>
    <row r="1219" spans="1:21" x14ac:dyDescent="0.25">
      <c r="A1219" t="s">
        <v>996</v>
      </c>
      <c r="B1219" t="s">
        <v>997</v>
      </c>
      <c r="C1219" t="s">
        <v>997</v>
      </c>
      <c r="D1219">
        <v>7170</v>
      </c>
      <c r="E1219">
        <v>120</v>
      </c>
      <c r="F1219" t="s">
        <v>1239</v>
      </c>
      <c r="G1219" t="s">
        <v>1240</v>
      </c>
      <c r="H1219" s="315" t="s">
        <v>30</v>
      </c>
      <c r="I1219" s="315" t="s">
        <v>1241</v>
      </c>
      <c r="J1219" s="315" t="str">
        <f t="shared" ref="J1219:J1282" si="111">+H1219&amp;I1219</f>
        <v>Used VehicleSalaries &amp; Wages per retail</v>
      </c>
      <c r="K1219" s="315" t="str">
        <f t="shared" ref="K1219:K1282" si="112">+E1219&amp;G1219</f>
        <v>120Toyota UV Salaries &amp; Wages</v>
      </c>
      <c r="L1219" s="311">
        <f>+SUMIF('TUNZ Extracted TB'!M:M,$P1219,'TUNZ Extracted TB'!G:G)</f>
        <v>2634.62</v>
      </c>
      <c r="M1219" s="311"/>
      <c r="N1219" s="311">
        <f>+SUMIF('Input Sheet'!$AE:$AE,P1219,'Input Sheet'!$X:$X)</f>
        <v>0</v>
      </c>
      <c r="O1219" s="311"/>
      <c r="P1219" t="str">
        <f t="shared" ref="P1219:P1282" si="113">+E1219&amp;"-"&amp;D1219</f>
        <v>120-7170</v>
      </c>
      <c r="Q1219" s="315" t="str">
        <f t="shared" ref="Q1219:Q1282" si="114">H1219</f>
        <v>Used Vehicle</v>
      </c>
      <c r="R1219" s="315" t="str">
        <f t="shared" ref="R1219:R1282" si="115">J1219</f>
        <v>Used VehicleSalaries &amp; Wages per retail</v>
      </c>
      <c r="S1219" s="199"/>
      <c r="T1219" s="199"/>
      <c r="U1219" s="199"/>
    </row>
    <row r="1220" spans="1:21" x14ac:dyDescent="0.25">
      <c r="A1220" t="s">
        <v>996</v>
      </c>
      <c r="B1220" t="s">
        <v>997</v>
      </c>
      <c r="C1220" t="s">
        <v>997</v>
      </c>
      <c r="D1220">
        <v>7170</v>
      </c>
      <c r="E1220">
        <v>936</v>
      </c>
      <c r="F1220" t="s">
        <v>1175</v>
      </c>
      <c r="G1220" t="s">
        <v>1176</v>
      </c>
      <c r="H1220" s="315" t="s">
        <v>58</v>
      </c>
      <c r="I1220" s="315" t="s">
        <v>1252</v>
      </c>
      <c r="J1220" s="315" t="str">
        <f t="shared" si="111"/>
        <v>BridgestoneSalaries, Commission &amp; Leave as % of Sales</v>
      </c>
      <c r="K1220" s="315" t="str">
        <f t="shared" si="112"/>
        <v>936Other franchise/business expense</v>
      </c>
      <c r="L1220" s="311">
        <f>+SUMIF('TUNZ Extracted TB'!M:M,$P1220,'TUNZ Extracted TB'!G:G)</f>
        <v>5797.66</v>
      </c>
      <c r="M1220" s="311"/>
      <c r="N1220" s="311">
        <f>+SUMIF('Input Sheet'!$AE:$AE,P1220,'Input Sheet'!$X:$X)</f>
        <v>0</v>
      </c>
      <c r="O1220" s="311"/>
      <c r="P1220" t="str">
        <f t="shared" si="113"/>
        <v>936-7170</v>
      </c>
      <c r="Q1220" s="315" t="str">
        <f t="shared" si="114"/>
        <v>Bridgestone</v>
      </c>
      <c r="R1220" s="315" t="str">
        <f t="shared" si="115"/>
        <v>BridgestoneSalaries, Commission &amp; Leave as % of Sales</v>
      </c>
      <c r="S1220" s="199"/>
      <c r="T1220" s="199"/>
      <c r="U1220" s="199"/>
    </row>
    <row r="1221" spans="1:21" x14ac:dyDescent="0.25">
      <c r="A1221" t="s">
        <v>996</v>
      </c>
      <c r="B1221" t="s">
        <v>997</v>
      </c>
      <c r="C1221" t="s">
        <v>997</v>
      </c>
      <c r="D1221">
        <v>7170</v>
      </c>
      <c r="E1221">
        <v>121</v>
      </c>
      <c r="F1221" t="s">
        <v>1239</v>
      </c>
      <c r="G1221" t="s">
        <v>1240</v>
      </c>
      <c r="H1221" s="315" t="s">
        <v>30</v>
      </c>
      <c r="I1221" s="315" t="s">
        <v>1241</v>
      </c>
      <c r="J1221" s="315" t="str">
        <f t="shared" si="111"/>
        <v>Used VehicleSalaries &amp; Wages per retail</v>
      </c>
      <c r="K1221" s="315" t="str">
        <f t="shared" si="112"/>
        <v>121Toyota UV Salaries &amp; Wages</v>
      </c>
      <c r="L1221" s="311">
        <f>+SUMIF('TUNZ Extracted TB'!M:M,$P1221,'TUNZ Extracted TB'!G:G)</f>
        <v>1343.38</v>
      </c>
      <c r="M1221" s="311"/>
      <c r="N1221" s="311">
        <f>+SUMIF('Input Sheet'!$AE:$AE,P1221,'Input Sheet'!$X:$X)</f>
        <v>0</v>
      </c>
      <c r="O1221" s="311"/>
      <c r="P1221" t="str">
        <f t="shared" si="113"/>
        <v>121-7170</v>
      </c>
      <c r="Q1221" s="315" t="str">
        <f t="shared" si="114"/>
        <v>Used Vehicle</v>
      </c>
      <c r="R1221" s="315" t="str">
        <f t="shared" si="115"/>
        <v>Used VehicleSalaries &amp; Wages per retail</v>
      </c>
      <c r="S1221" s="199"/>
      <c r="T1221" s="199"/>
      <c r="U1221" s="199"/>
    </row>
    <row r="1222" spans="1:21" x14ac:dyDescent="0.25">
      <c r="A1222" t="s">
        <v>996</v>
      </c>
      <c r="B1222" t="s">
        <v>997</v>
      </c>
      <c r="C1222" t="s">
        <v>1005</v>
      </c>
      <c r="D1222">
        <v>7170</v>
      </c>
      <c r="E1222">
        <v>200</v>
      </c>
      <c r="F1222" t="s">
        <v>1242</v>
      </c>
      <c r="G1222" t="s">
        <v>1243</v>
      </c>
      <c r="H1222" s="315" t="s">
        <v>29</v>
      </c>
      <c r="I1222" s="315" t="s">
        <v>1244</v>
      </c>
      <c r="J1222" s="315" t="str">
        <f t="shared" si="111"/>
        <v>New VehicleSalaries &amp; Wages p.u.</v>
      </c>
      <c r="K1222" s="315" t="str">
        <f t="shared" si="112"/>
        <v>200NV Salaries &amp; Wages - Toyota</v>
      </c>
      <c r="L1222" s="311">
        <f>+SUMIF('TUNZ Extracted TB'!M:M,$P1222,'TUNZ Extracted TB'!G:G)</f>
        <v>0</v>
      </c>
      <c r="M1222" s="311"/>
      <c r="N1222" s="311">
        <f>+SUMIF('Input Sheet'!$AE:$AE,P1222,'Input Sheet'!$X:$X)</f>
        <v>0</v>
      </c>
      <c r="O1222" s="311"/>
      <c r="P1222" t="str">
        <f t="shared" si="113"/>
        <v>200-7170</v>
      </c>
      <c r="Q1222" s="315" t="str">
        <f t="shared" si="114"/>
        <v>New Vehicle</v>
      </c>
      <c r="R1222" s="315" t="str">
        <f t="shared" si="115"/>
        <v>New VehicleSalaries &amp; Wages p.u.</v>
      </c>
      <c r="S1222" s="199"/>
      <c r="T1222" s="199"/>
      <c r="U1222" s="199"/>
    </row>
    <row r="1223" spans="1:21" x14ac:dyDescent="0.25">
      <c r="A1223" t="s">
        <v>996</v>
      </c>
      <c r="B1223" t="s">
        <v>997</v>
      </c>
      <c r="C1223" t="s">
        <v>997</v>
      </c>
      <c r="D1223">
        <v>7170</v>
      </c>
      <c r="E1223">
        <v>160</v>
      </c>
      <c r="F1223" t="s">
        <v>1247</v>
      </c>
      <c r="G1223" t="s">
        <v>1248</v>
      </c>
      <c r="H1223" s="315" t="s">
        <v>16</v>
      </c>
      <c r="I1223" s="315" t="s">
        <v>1249</v>
      </c>
      <c r="J1223" s="315" t="str">
        <f t="shared" si="111"/>
        <v>F&amp;ISalaries &amp; Commission per vehicle retailed</v>
      </c>
      <c r="K1223" s="315" t="str">
        <f t="shared" si="112"/>
        <v>160F&amp;I Salaries &amp; Commission - Toyota</v>
      </c>
      <c r="L1223" s="311">
        <f>+SUMIF('TUNZ Extracted TB'!M:M,$P1223,'TUNZ Extracted TB'!G:G)</f>
        <v>614.55999999999995</v>
      </c>
      <c r="M1223" s="311"/>
      <c r="N1223" s="311">
        <f>+SUMIF('Input Sheet'!$AE:$AE,P1223,'Input Sheet'!$X:$X)</f>
        <v>0</v>
      </c>
      <c r="O1223" s="311"/>
      <c r="P1223" t="str">
        <f t="shared" si="113"/>
        <v>160-7170</v>
      </c>
      <c r="Q1223" s="315" t="str">
        <f t="shared" si="114"/>
        <v>F&amp;I</v>
      </c>
      <c r="R1223" s="315" t="str">
        <f t="shared" si="115"/>
        <v>F&amp;ISalaries &amp; Commission per vehicle retailed</v>
      </c>
      <c r="S1223" s="199"/>
      <c r="T1223" s="199"/>
      <c r="U1223" s="199"/>
    </row>
    <row r="1224" spans="1:21" x14ac:dyDescent="0.25">
      <c r="A1224" t="s">
        <v>996</v>
      </c>
      <c r="B1224" t="s">
        <v>997</v>
      </c>
      <c r="C1224" t="s">
        <v>997</v>
      </c>
      <c r="D1224">
        <v>7170</v>
      </c>
      <c r="E1224">
        <v>162</v>
      </c>
      <c r="F1224" t="s">
        <v>1260</v>
      </c>
      <c r="G1224" t="s">
        <v>1261</v>
      </c>
      <c r="H1224" s="315" t="s">
        <v>142</v>
      </c>
      <c r="I1224" s="315" t="s">
        <v>1249</v>
      </c>
      <c r="J1224" s="315" t="str">
        <f t="shared" si="111"/>
        <v>LEX F&amp;ISalaries &amp; Commission per vehicle retailed</v>
      </c>
      <c r="K1224" s="315" t="str">
        <f t="shared" si="112"/>
        <v>162F&amp;I Salaries &amp; Commission - Lexus</v>
      </c>
      <c r="L1224" s="311">
        <f>+SUMIF('TUNZ Extracted TB'!M:M,$P1224,'TUNZ Extracted TB'!G:G)</f>
        <v>393</v>
      </c>
      <c r="M1224" s="311"/>
      <c r="N1224" s="311">
        <f>+SUMIF('Input Sheet'!$AE:$AE,P1224,'Input Sheet'!$X:$X)</f>
        <v>0</v>
      </c>
      <c r="O1224" s="311"/>
      <c r="P1224" t="str">
        <f t="shared" si="113"/>
        <v>162-7170</v>
      </c>
      <c r="Q1224" s="315" t="str">
        <f t="shared" si="114"/>
        <v>LEX F&amp;I</v>
      </c>
      <c r="R1224" s="315" t="str">
        <f t="shared" si="115"/>
        <v>LEX F&amp;ISalaries &amp; Commission per vehicle retailed</v>
      </c>
      <c r="S1224" s="199"/>
      <c r="T1224" s="199"/>
      <c r="U1224" s="199"/>
    </row>
    <row r="1225" spans="1:21" x14ac:dyDescent="0.25">
      <c r="A1225" t="s">
        <v>996</v>
      </c>
      <c r="B1225" t="s">
        <v>997</v>
      </c>
      <c r="C1225" t="s">
        <v>1005</v>
      </c>
      <c r="D1225">
        <v>7170</v>
      </c>
      <c r="E1225">
        <v>260</v>
      </c>
      <c r="F1225" t="s">
        <v>1247</v>
      </c>
      <c r="G1225" t="s">
        <v>1248</v>
      </c>
      <c r="H1225" s="315" t="s">
        <v>16</v>
      </c>
      <c r="I1225" s="315" t="s">
        <v>1249</v>
      </c>
      <c r="J1225" s="315" t="str">
        <f t="shared" si="111"/>
        <v>F&amp;ISalaries &amp; Commission per vehicle retailed</v>
      </c>
      <c r="K1225" s="315" t="str">
        <f t="shared" si="112"/>
        <v>260F&amp;I Salaries &amp; Commission - Toyota</v>
      </c>
      <c r="L1225" s="311">
        <f>+SUMIF('TUNZ Extracted TB'!M:M,$P1225,'TUNZ Extracted TB'!G:G)</f>
        <v>2808.98</v>
      </c>
      <c r="M1225" s="311"/>
      <c r="N1225" s="311">
        <f>+SUMIF('Input Sheet'!$AE:$AE,P1225,'Input Sheet'!$X:$X)</f>
        <v>0</v>
      </c>
      <c r="O1225" s="311"/>
      <c r="P1225" t="str">
        <f t="shared" si="113"/>
        <v>260-7170</v>
      </c>
      <c r="Q1225" s="315" t="str">
        <f t="shared" si="114"/>
        <v>F&amp;I</v>
      </c>
      <c r="R1225" s="315" t="str">
        <f t="shared" si="115"/>
        <v>F&amp;ISalaries &amp; Commission per vehicle retailed</v>
      </c>
      <c r="S1225" s="199"/>
      <c r="T1225" s="199"/>
      <c r="U1225" s="199"/>
    </row>
    <row r="1226" spans="1:21" x14ac:dyDescent="0.25">
      <c r="A1226" t="s">
        <v>996</v>
      </c>
      <c r="B1226" t="s">
        <v>997</v>
      </c>
      <c r="C1226" t="s">
        <v>997</v>
      </c>
      <c r="D1226">
        <v>7170</v>
      </c>
      <c r="E1226">
        <v>122</v>
      </c>
      <c r="F1226" t="s">
        <v>1245</v>
      </c>
      <c r="G1226" t="s">
        <v>1246</v>
      </c>
      <c r="H1226" s="315" t="s">
        <v>1041</v>
      </c>
      <c r="I1226" s="315" t="s">
        <v>1241</v>
      </c>
      <c r="J1226" s="315" t="str">
        <f t="shared" si="111"/>
        <v>LEX Used VehicleSalaries &amp; Wages per retail</v>
      </c>
      <c r="K1226" s="315" t="str">
        <f t="shared" si="112"/>
        <v>122Lexus UV Salaries &amp; Wages</v>
      </c>
      <c r="L1226" s="311">
        <f>+SUMIF('TUNZ Extracted TB'!M:M,$P1226,'TUNZ Extracted TB'!G:G)</f>
        <v>302</v>
      </c>
      <c r="M1226" s="311"/>
      <c r="N1226" s="311">
        <f>+SUMIF('Input Sheet'!$AE:$AE,P1226,'Input Sheet'!$X:$X)</f>
        <v>0</v>
      </c>
      <c r="O1226" s="311"/>
      <c r="P1226" t="str">
        <f t="shared" si="113"/>
        <v>122-7170</v>
      </c>
      <c r="Q1226" s="315" t="str">
        <f t="shared" si="114"/>
        <v>LEX Used Vehicle</v>
      </c>
      <c r="R1226" s="315" t="str">
        <f t="shared" si="115"/>
        <v>LEX Used VehicleSalaries &amp; Wages per retail</v>
      </c>
      <c r="S1226" s="199"/>
      <c r="T1226" s="199"/>
      <c r="U1226" s="199"/>
    </row>
    <row r="1227" spans="1:21" x14ac:dyDescent="0.25">
      <c r="A1227" t="s">
        <v>996</v>
      </c>
      <c r="B1227" t="s">
        <v>997</v>
      </c>
      <c r="C1227" t="s">
        <v>1012</v>
      </c>
      <c r="D1227">
        <v>7170</v>
      </c>
      <c r="E1227">
        <v>430</v>
      </c>
      <c r="F1227" t="s">
        <v>1256</v>
      </c>
      <c r="G1227" t="s">
        <v>1257</v>
      </c>
      <c r="H1227" s="315" t="s">
        <v>5</v>
      </c>
      <c r="I1227" s="315" t="s">
        <v>1255</v>
      </c>
      <c r="J1227" s="315" t="str">
        <f t="shared" si="111"/>
        <v>PartsSalaries &amp; Commission as % of Sales</v>
      </c>
      <c r="K1227" s="315" t="str">
        <f t="shared" si="112"/>
        <v>430Parts Salaries &amp; Commission - Toyota</v>
      </c>
      <c r="L1227" s="311">
        <f>+SUMIF('TUNZ Extracted TB'!M:M,$P1227,'TUNZ Extracted TB'!G:G)</f>
        <v>269.19</v>
      </c>
      <c r="M1227" s="311"/>
      <c r="N1227" s="311">
        <f>+SUMIF('Input Sheet'!$AE:$AE,P1227,'Input Sheet'!$X:$X)</f>
        <v>0</v>
      </c>
      <c r="O1227" s="311"/>
      <c r="P1227" t="str">
        <f t="shared" si="113"/>
        <v>430-7170</v>
      </c>
      <c r="Q1227" s="315" t="str">
        <f t="shared" si="114"/>
        <v>Parts</v>
      </c>
      <c r="R1227" s="315" t="str">
        <f t="shared" si="115"/>
        <v>PartsSalaries &amp; Commission as % of Sales</v>
      </c>
      <c r="S1227" s="199"/>
      <c r="T1227" s="199"/>
      <c r="U1227" s="199"/>
    </row>
    <row r="1228" spans="1:21" x14ac:dyDescent="0.25">
      <c r="A1228" t="s">
        <v>996</v>
      </c>
      <c r="B1228" t="s">
        <v>997</v>
      </c>
      <c r="C1228" t="s">
        <v>997</v>
      </c>
      <c r="D1228">
        <v>7170</v>
      </c>
      <c r="E1228">
        <v>140</v>
      </c>
      <c r="F1228" t="s">
        <v>1250</v>
      </c>
      <c r="G1228" t="s">
        <v>1251</v>
      </c>
      <c r="H1228" s="315" t="s">
        <v>17</v>
      </c>
      <c r="I1228" s="315" t="s">
        <v>1252</v>
      </c>
      <c r="J1228" s="315" t="str">
        <f t="shared" si="111"/>
        <v>ServiceSalaries, Commission &amp; Leave as % of Sales</v>
      </c>
      <c r="K1228" s="315" t="str">
        <f t="shared" si="112"/>
        <v>140Service Salaries &amp; Commission - Toyota</v>
      </c>
      <c r="L1228" s="311">
        <f>+SUMIF('TUNZ Extracted TB'!M:M,$P1228,'TUNZ Extracted TB'!G:G)</f>
        <v>19303.18</v>
      </c>
      <c r="M1228" s="311"/>
      <c r="N1228" s="311">
        <f>+SUMIF('Input Sheet'!$AE:$AE,P1228,'Input Sheet'!$X:$X)</f>
        <v>0</v>
      </c>
      <c r="O1228" s="311"/>
      <c r="P1228" t="str">
        <f t="shared" si="113"/>
        <v>140-7170</v>
      </c>
      <c r="Q1228" s="315" t="str">
        <f t="shared" si="114"/>
        <v>Service</v>
      </c>
      <c r="R1228" s="315" t="str">
        <f t="shared" si="115"/>
        <v>ServiceSalaries, Commission &amp; Leave as % of Sales</v>
      </c>
      <c r="S1228" s="199"/>
      <c r="T1228" s="199"/>
      <c r="U1228" s="199"/>
    </row>
    <row r="1229" spans="1:21" x14ac:dyDescent="0.25">
      <c r="A1229" t="s">
        <v>996</v>
      </c>
      <c r="B1229" t="s">
        <v>997</v>
      </c>
      <c r="C1229" t="s">
        <v>997</v>
      </c>
      <c r="D1229">
        <v>7170</v>
      </c>
      <c r="E1229">
        <v>142</v>
      </c>
      <c r="F1229" t="s">
        <v>1270</v>
      </c>
      <c r="G1229" t="s">
        <v>1271</v>
      </c>
      <c r="H1229" s="315" t="s">
        <v>1022</v>
      </c>
      <c r="I1229" s="315" t="s">
        <v>1252</v>
      </c>
      <c r="J1229" s="315" t="str">
        <f t="shared" si="111"/>
        <v>Lex ServiceSalaries, Commission &amp; Leave as % of Sales</v>
      </c>
      <c r="K1229" s="315" t="str">
        <f t="shared" si="112"/>
        <v>142Service Salaries &amp; Commission - Lexus</v>
      </c>
      <c r="L1229" s="311">
        <f>+SUMIF('TUNZ Extracted TB'!M:M,$P1229,'TUNZ Extracted TB'!G:G)</f>
        <v>8273</v>
      </c>
      <c r="M1229" s="311"/>
      <c r="N1229" s="311">
        <f>+SUMIF('Input Sheet'!$AE:$AE,P1229,'Input Sheet'!$X:$X)</f>
        <v>0</v>
      </c>
      <c r="O1229" s="311"/>
      <c r="P1229" t="str">
        <f t="shared" si="113"/>
        <v>142-7170</v>
      </c>
      <c r="Q1229" s="315" t="str">
        <f t="shared" si="114"/>
        <v>Lex Service</v>
      </c>
      <c r="R1229" s="315" t="str">
        <f t="shared" si="115"/>
        <v>Lex ServiceSalaries, Commission &amp; Leave as % of Sales</v>
      </c>
      <c r="S1229" s="199"/>
      <c r="T1229" s="199"/>
      <c r="U1229" s="199"/>
    </row>
    <row r="1230" spans="1:21" x14ac:dyDescent="0.25">
      <c r="A1230" t="s">
        <v>996</v>
      </c>
      <c r="B1230" t="s">
        <v>997</v>
      </c>
      <c r="C1230" t="s">
        <v>1012</v>
      </c>
      <c r="D1230">
        <v>7170</v>
      </c>
      <c r="E1230">
        <v>400</v>
      </c>
      <c r="F1230" t="s">
        <v>1242</v>
      </c>
      <c r="G1230" t="s">
        <v>1243</v>
      </c>
      <c r="H1230" s="315" t="s">
        <v>29</v>
      </c>
      <c r="I1230" s="315" t="s">
        <v>1244</v>
      </c>
      <c r="J1230" s="315" t="str">
        <f t="shared" si="111"/>
        <v>New VehicleSalaries &amp; Wages p.u.</v>
      </c>
      <c r="K1230" s="315" t="str">
        <f t="shared" si="112"/>
        <v>400NV Salaries &amp; Wages - Toyota</v>
      </c>
      <c r="L1230" s="311">
        <f>+SUMIF('TUNZ Extracted TB'!M:M,$P1230,'TUNZ Extracted TB'!G:G)</f>
        <v>0</v>
      </c>
      <c r="M1230" s="311"/>
      <c r="N1230" s="311">
        <f>+SUMIF('Input Sheet'!$AE:$AE,P1230,'Input Sheet'!$X:$X)</f>
        <v>0</v>
      </c>
      <c r="O1230" s="311"/>
      <c r="P1230" t="str">
        <f t="shared" si="113"/>
        <v>400-7170</v>
      </c>
      <c r="Q1230" s="315" t="str">
        <f t="shared" si="114"/>
        <v>New Vehicle</v>
      </c>
      <c r="R1230" s="315" t="str">
        <f t="shared" si="115"/>
        <v>New VehicleSalaries &amp; Wages p.u.</v>
      </c>
      <c r="S1230" s="199"/>
      <c r="T1230" s="199"/>
      <c r="U1230" s="199"/>
    </row>
    <row r="1231" spans="1:21" x14ac:dyDescent="0.25">
      <c r="A1231" t="s">
        <v>996</v>
      </c>
      <c r="B1231" t="s">
        <v>997</v>
      </c>
      <c r="C1231" t="s">
        <v>1013</v>
      </c>
      <c r="D1231">
        <v>7170</v>
      </c>
      <c r="E1231">
        <v>300</v>
      </c>
      <c r="F1231" t="s">
        <v>1242</v>
      </c>
      <c r="G1231" t="s">
        <v>1243</v>
      </c>
      <c r="H1231" s="315" t="s">
        <v>29</v>
      </c>
      <c r="I1231" s="315" t="s">
        <v>1244</v>
      </c>
      <c r="J1231" s="315" t="str">
        <f t="shared" si="111"/>
        <v>New VehicleSalaries &amp; Wages p.u.</v>
      </c>
      <c r="K1231" s="315" t="str">
        <f t="shared" si="112"/>
        <v>300NV Salaries &amp; Wages - Toyota</v>
      </c>
      <c r="L1231" s="311">
        <f>+SUMIF('TUNZ Extracted TB'!M:M,$P1231,'TUNZ Extracted TB'!G:G)</f>
        <v>0</v>
      </c>
      <c r="M1231" s="311"/>
      <c r="N1231" s="311">
        <f>+SUMIF('Input Sheet'!$AE:$AE,P1231,'Input Sheet'!$X:$X)</f>
        <v>0</v>
      </c>
      <c r="O1231" s="311"/>
      <c r="P1231" t="str">
        <f t="shared" si="113"/>
        <v>300-7170</v>
      </c>
      <c r="Q1231" s="315" t="str">
        <f t="shared" si="114"/>
        <v>New Vehicle</v>
      </c>
      <c r="R1231" s="315" t="str">
        <f t="shared" si="115"/>
        <v>New VehicleSalaries &amp; Wages p.u.</v>
      </c>
      <c r="S1231" s="199"/>
      <c r="T1231" s="199"/>
      <c r="U1231" s="199"/>
    </row>
    <row r="1232" spans="1:21" x14ac:dyDescent="0.25">
      <c r="A1232" t="s">
        <v>996</v>
      </c>
      <c r="B1232" t="s">
        <v>997</v>
      </c>
      <c r="C1232" t="s">
        <v>997</v>
      </c>
      <c r="D1232">
        <v>7175</v>
      </c>
      <c r="E1232">
        <v>110</v>
      </c>
      <c r="F1232" t="s">
        <v>1265</v>
      </c>
      <c r="G1232" t="s">
        <v>1266</v>
      </c>
      <c r="H1232" s="315" t="s">
        <v>29</v>
      </c>
      <c r="I1232" s="315" t="s">
        <v>1267</v>
      </c>
      <c r="J1232" s="315" t="str">
        <f t="shared" si="111"/>
        <v>New VehicleCommission p.u.</v>
      </c>
      <c r="K1232" s="315" t="str">
        <f t="shared" si="112"/>
        <v>110NV Commission - Toyota</v>
      </c>
      <c r="L1232" s="311">
        <f>+SUMIF('TUNZ Extracted TB'!M:M,$P1232,'TUNZ Extracted TB'!G:G)</f>
        <v>4520.83</v>
      </c>
      <c r="M1232" s="311"/>
      <c r="N1232" s="311">
        <f>+SUMIF('Input Sheet'!$AE:$AE,P1232,'Input Sheet'!$X:$X)</f>
        <v>0</v>
      </c>
      <c r="O1232" s="311"/>
      <c r="P1232" t="str">
        <f t="shared" si="113"/>
        <v>110-7175</v>
      </c>
      <c r="Q1232" s="315" t="str">
        <f t="shared" si="114"/>
        <v>New Vehicle</v>
      </c>
      <c r="R1232" s="315" t="str">
        <f t="shared" si="115"/>
        <v>New VehicleCommission p.u.</v>
      </c>
      <c r="S1232" s="199"/>
      <c r="T1232" s="199"/>
      <c r="U1232" s="199"/>
    </row>
    <row r="1233" spans="1:21" x14ac:dyDescent="0.25">
      <c r="A1233" t="s">
        <v>996</v>
      </c>
      <c r="B1233" t="s">
        <v>997</v>
      </c>
      <c r="C1233" t="s">
        <v>997</v>
      </c>
      <c r="D1233">
        <v>7170</v>
      </c>
      <c r="E1233">
        <v>130</v>
      </c>
      <c r="F1233" t="s">
        <v>1256</v>
      </c>
      <c r="G1233" t="s">
        <v>1257</v>
      </c>
      <c r="H1233" s="315" t="s">
        <v>5</v>
      </c>
      <c r="I1233" s="315" t="s">
        <v>1255</v>
      </c>
      <c r="J1233" s="315" t="str">
        <f t="shared" si="111"/>
        <v>PartsSalaries &amp; Commission as % of Sales</v>
      </c>
      <c r="K1233" s="315" t="str">
        <f t="shared" si="112"/>
        <v>130Parts Salaries &amp; Commission - Toyota</v>
      </c>
      <c r="L1233" s="311">
        <f>+SUMIF('TUNZ Extracted TB'!M:M,$P1233,'TUNZ Extracted TB'!G:G)</f>
        <v>16717.47</v>
      </c>
      <c r="M1233" s="311"/>
      <c r="N1233" s="311">
        <f>+SUMIF('Input Sheet'!$AE:$AE,P1233,'Input Sheet'!$X:$X)</f>
        <v>0</v>
      </c>
      <c r="O1233" s="311"/>
      <c r="P1233" t="str">
        <f t="shared" si="113"/>
        <v>130-7170</v>
      </c>
      <c r="Q1233" s="315" t="str">
        <f t="shared" si="114"/>
        <v>Parts</v>
      </c>
      <c r="R1233" s="315" t="str">
        <f t="shared" si="115"/>
        <v>PartsSalaries &amp; Commission as % of Sales</v>
      </c>
      <c r="S1233" s="199"/>
      <c r="T1233" s="199"/>
      <c r="U1233" s="199"/>
    </row>
    <row r="1234" spans="1:21" x14ac:dyDescent="0.25">
      <c r="A1234" t="s">
        <v>996</v>
      </c>
      <c r="B1234" t="s">
        <v>997</v>
      </c>
      <c r="C1234" t="s">
        <v>997</v>
      </c>
      <c r="D1234">
        <v>7170</v>
      </c>
      <c r="E1234">
        <v>132</v>
      </c>
      <c r="F1234" t="s">
        <v>1253</v>
      </c>
      <c r="G1234" t="s">
        <v>1254</v>
      </c>
      <c r="H1234" s="315" t="s">
        <v>143</v>
      </c>
      <c r="I1234" s="315" t="s">
        <v>1255</v>
      </c>
      <c r="J1234" s="315" t="str">
        <f t="shared" si="111"/>
        <v>LEX PartsSalaries &amp; Commission as % of Sales</v>
      </c>
      <c r="K1234" s="315" t="str">
        <f t="shared" si="112"/>
        <v>132Parts Salaries &amp; Commission - Lexus</v>
      </c>
      <c r="L1234" s="311">
        <f>+SUMIF('TUNZ Extracted TB'!M:M,$P1234,'TUNZ Extracted TB'!G:G)</f>
        <v>1858</v>
      </c>
      <c r="M1234" s="311"/>
      <c r="N1234" s="311">
        <f>+SUMIF('Input Sheet'!$AE:$AE,P1234,'Input Sheet'!$X:$X)</f>
        <v>0</v>
      </c>
      <c r="O1234" s="311"/>
      <c r="P1234" t="str">
        <f t="shared" si="113"/>
        <v>132-7170</v>
      </c>
      <c r="Q1234" s="315" t="str">
        <f t="shared" si="114"/>
        <v>LEX Parts</v>
      </c>
      <c r="R1234" s="315" t="str">
        <f t="shared" si="115"/>
        <v>LEX PartsSalaries &amp; Commission as % of Sales</v>
      </c>
      <c r="S1234" s="199"/>
      <c r="T1234" s="199"/>
      <c r="U1234" s="199"/>
    </row>
    <row r="1235" spans="1:21" x14ac:dyDescent="0.25">
      <c r="A1235" t="s">
        <v>996</v>
      </c>
      <c r="B1235" t="s">
        <v>997</v>
      </c>
      <c r="C1235" t="s">
        <v>1012</v>
      </c>
      <c r="D1235">
        <v>7170</v>
      </c>
      <c r="E1235">
        <v>460</v>
      </c>
      <c r="F1235" t="s">
        <v>1247</v>
      </c>
      <c r="G1235" t="s">
        <v>1248</v>
      </c>
      <c r="H1235" s="315" t="s">
        <v>16</v>
      </c>
      <c r="I1235" s="315" t="s">
        <v>1249</v>
      </c>
      <c r="J1235" s="315" t="str">
        <f t="shared" si="111"/>
        <v>F&amp;ISalaries &amp; Commission per vehicle retailed</v>
      </c>
      <c r="K1235" s="315" t="str">
        <f t="shared" si="112"/>
        <v>460F&amp;I Salaries &amp; Commission - Toyota</v>
      </c>
      <c r="L1235" s="311">
        <f>+SUMIF('TUNZ Extracted TB'!M:M,$P1235,'TUNZ Extracted TB'!G:G)</f>
        <v>0</v>
      </c>
      <c r="M1235" s="311"/>
      <c r="N1235" s="311">
        <f>+SUMIF('Input Sheet'!$AE:$AE,P1235,'Input Sheet'!$X:$X)</f>
        <v>0</v>
      </c>
      <c r="O1235" s="311"/>
      <c r="P1235" t="str">
        <f t="shared" si="113"/>
        <v>460-7170</v>
      </c>
      <c r="Q1235" s="315" t="str">
        <f t="shared" si="114"/>
        <v>F&amp;I</v>
      </c>
      <c r="R1235" s="315" t="str">
        <f t="shared" si="115"/>
        <v>F&amp;ISalaries &amp; Commission per vehicle retailed</v>
      </c>
      <c r="S1235" s="199"/>
      <c r="T1235" s="199"/>
      <c r="U1235" s="199"/>
    </row>
    <row r="1236" spans="1:21" x14ac:dyDescent="0.25">
      <c r="A1236" t="s">
        <v>996</v>
      </c>
      <c r="B1236" t="s">
        <v>997</v>
      </c>
      <c r="C1236" t="s">
        <v>1013</v>
      </c>
      <c r="D1236">
        <v>7170</v>
      </c>
      <c r="E1236">
        <v>360</v>
      </c>
      <c r="F1236" t="s">
        <v>1247</v>
      </c>
      <c r="G1236" t="s">
        <v>1248</v>
      </c>
      <c r="H1236" s="315" t="s">
        <v>16</v>
      </c>
      <c r="I1236" s="315" t="s">
        <v>1249</v>
      </c>
      <c r="J1236" s="315" t="str">
        <f t="shared" si="111"/>
        <v>F&amp;ISalaries &amp; Commission per vehicle retailed</v>
      </c>
      <c r="K1236" s="315" t="str">
        <f t="shared" si="112"/>
        <v>360F&amp;I Salaries &amp; Commission - Toyota</v>
      </c>
      <c r="L1236" s="311">
        <f>+SUMIF('TUNZ Extracted TB'!M:M,$P1236,'TUNZ Extracted TB'!G:G)</f>
        <v>0</v>
      </c>
      <c r="M1236" s="311"/>
      <c r="N1236" s="311">
        <f>+SUMIF('Input Sheet'!$AE:$AE,P1236,'Input Sheet'!$X:$X)</f>
        <v>0</v>
      </c>
      <c r="O1236" s="311"/>
      <c r="P1236" t="str">
        <f t="shared" si="113"/>
        <v>360-7170</v>
      </c>
      <c r="Q1236" s="315" t="str">
        <f t="shared" si="114"/>
        <v>F&amp;I</v>
      </c>
      <c r="R1236" s="315" t="str">
        <f t="shared" si="115"/>
        <v>F&amp;ISalaries &amp; Commission per vehicle retailed</v>
      </c>
      <c r="S1236" s="199"/>
      <c r="T1236" s="199"/>
      <c r="U1236" s="199"/>
    </row>
    <row r="1237" spans="1:21" x14ac:dyDescent="0.25">
      <c r="A1237" t="s">
        <v>996</v>
      </c>
      <c r="B1237" t="s">
        <v>997</v>
      </c>
      <c r="C1237" t="s">
        <v>997</v>
      </c>
      <c r="D1237">
        <v>7175</v>
      </c>
      <c r="E1237">
        <v>112</v>
      </c>
      <c r="F1237" t="s">
        <v>1272</v>
      </c>
      <c r="G1237" t="s">
        <v>1273</v>
      </c>
      <c r="H1237" s="315" t="s">
        <v>1011</v>
      </c>
      <c r="I1237" s="315" t="s">
        <v>1267</v>
      </c>
      <c r="J1237" s="315" t="str">
        <f t="shared" si="111"/>
        <v>LEX New VehicleCommission p.u.</v>
      </c>
      <c r="K1237" s="315" t="str">
        <f t="shared" si="112"/>
        <v>112NV Commission - Lexus</v>
      </c>
      <c r="L1237" s="311">
        <f>+SUMIF('TUNZ Extracted TB'!M:M,$P1237,'TUNZ Extracted TB'!G:G)</f>
        <v>1937.69</v>
      </c>
      <c r="M1237" s="311"/>
      <c r="N1237" s="311">
        <f>+SUMIF('Input Sheet'!$AE:$AE,P1237,'Input Sheet'!$X:$X)</f>
        <v>0</v>
      </c>
      <c r="O1237" s="311"/>
      <c r="P1237" t="str">
        <f t="shared" si="113"/>
        <v>112-7175</v>
      </c>
      <c r="Q1237" s="315" t="str">
        <f t="shared" si="114"/>
        <v>LEX New Vehicle</v>
      </c>
      <c r="R1237" s="315" t="str">
        <f t="shared" si="115"/>
        <v>LEX New VehicleCommission p.u.</v>
      </c>
      <c r="S1237" s="199"/>
      <c r="T1237" s="199"/>
      <c r="U1237" s="199"/>
    </row>
    <row r="1238" spans="1:21" x14ac:dyDescent="0.25">
      <c r="A1238" t="s">
        <v>996</v>
      </c>
      <c r="B1238" t="s">
        <v>997</v>
      </c>
      <c r="C1238" t="s">
        <v>997</v>
      </c>
      <c r="D1238">
        <v>7175</v>
      </c>
      <c r="E1238">
        <v>100</v>
      </c>
      <c r="F1238" t="s">
        <v>1265</v>
      </c>
      <c r="G1238" t="s">
        <v>1266</v>
      </c>
      <c r="H1238" s="315" t="s">
        <v>29</v>
      </c>
      <c r="I1238" s="315" t="s">
        <v>1267</v>
      </c>
      <c r="J1238" s="315" t="str">
        <f t="shared" si="111"/>
        <v>New VehicleCommission p.u.</v>
      </c>
      <c r="K1238" s="315" t="str">
        <f t="shared" si="112"/>
        <v>100NV Commission - Toyota</v>
      </c>
      <c r="L1238" s="311">
        <f>+SUMIF('TUNZ Extracted TB'!M:M,$P1238,'TUNZ Extracted TB'!G:G)</f>
        <v>0</v>
      </c>
      <c r="M1238" s="311"/>
      <c r="N1238" s="311">
        <f>+SUMIF('Input Sheet'!$AE:$AE,P1238,'Input Sheet'!$X:$X)</f>
        <v>0</v>
      </c>
      <c r="O1238" s="311"/>
      <c r="P1238" t="str">
        <f t="shared" si="113"/>
        <v>100-7175</v>
      </c>
      <c r="Q1238" s="315" t="str">
        <f t="shared" si="114"/>
        <v>New Vehicle</v>
      </c>
      <c r="R1238" s="315" t="str">
        <f t="shared" si="115"/>
        <v>New VehicleCommission p.u.</v>
      </c>
      <c r="S1238" s="199"/>
      <c r="T1238" s="199"/>
      <c r="U1238" s="199"/>
    </row>
    <row r="1239" spans="1:21" x14ac:dyDescent="0.25">
      <c r="A1239" t="s">
        <v>996</v>
      </c>
      <c r="B1239" t="s">
        <v>997</v>
      </c>
      <c r="C1239" t="s">
        <v>1005</v>
      </c>
      <c r="D1239">
        <v>7175</v>
      </c>
      <c r="E1239">
        <v>200</v>
      </c>
      <c r="F1239" t="s">
        <v>1265</v>
      </c>
      <c r="G1239" t="s">
        <v>1266</v>
      </c>
      <c r="H1239" s="315" t="s">
        <v>29</v>
      </c>
      <c r="I1239" s="315" t="s">
        <v>1267</v>
      </c>
      <c r="J1239" s="315" t="str">
        <f t="shared" si="111"/>
        <v>New VehicleCommission p.u.</v>
      </c>
      <c r="K1239" s="315" t="str">
        <f t="shared" si="112"/>
        <v>200NV Commission - Toyota</v>
      </c>
      <c r="L1239" s="311">
        <f>+SUMIF('TUNZ Extracted TB'!M:M,$P1239,'TUNZ Extracted TB'!G:G)</f>
        <v>0</v>
      </c>
      <c r="M1239" s="311"/>
      <c r="N1239" s="311">
        <f>+SUMIF('Input Sheet'!$AE:$AE,P1239,'Input Sheet'!$X:$X)</f>
        <v>0</v>
      </c>
      <c r="O1239" s="311"/>
      <c r="P1239" t="str">
        <f t="shared" si="113"/>
        <v>200-7175</v>
      </c>
      <c r="Q1239" s="315" t="str">
        <f t="shared" si="114"/>
        <v>New Vehicle</v>
      </c>
      <c r="R1239" s="315" t="str">
        <f t="shared" si="115"/>
        <v>New VehicleCommission p.u.</v>
      </c>
      <c r="S1239" s="199"/>
      <c r="T1239" s="199"/>
      <c r="U1239" s="199"/>
    </row>
    <row r="1240" spans="1:21" x14ac:dyDescent="0.25">
      <c r="A1240" t="s">
        <v>996</v>
      </c>
      <c r="B1240" t="s">
        <v>997</v>
      </c>
      <c r="C1240" t="s">
        <v>1013</v>
      </c>
      <c r="D1240">
        <v>7170</v>
      </c>
      <c r="E1240">
        <v>330</v>
      </c>
      <c r="F1240" t="s">
        <v>1256</v>
      </c>
      <c r="G1240" t="s">
        <v>1257</v>
      </c>
      <c r="H1240" s="315" t="s">
        <v>5</v>
      </c>
      <c r="I1240" s="315" t="s">
        <v>1255</v>
      </c>
      <c r="J1240" s="315" t="str">
        <f t="shared" si="111"/>
        <v>PartsSalaries &amp; Commission as % of Sales</v>
      </c>
      <c r="K1240" s="315" t="str">
        <f t="shared" si="112"/>
        <v>330Parts Salaries &amp; Commission - Toyota</v>
      </c>
      <c r="L1240" s="311">
        <f>+SUMIF('TUNZ Extracted TB'!M:M,$P1240,'TUNZ Extracted TB'!G:G)</f>
        <v>0</v>
      </c>
      <c r="M1240" s="311"/>
      <c r="N1240" s="311">
        <f>+SUMIF('Input Sheet'!$AE:$AE,P1240,'Input Sheet'!$X:$X)</f>
        <v>0</v>
      </c>
      <c r="O1240" s="311"/>
      <c r="P1240" t="str">
        <f t="shared" si="113"/>
        <v>330-7170</v>
      </c>
      <c r="Q1240" s="315" t="str">
        <f t="shared" si="114"/>
        <v>Parts</v>
      </c>
      <c r="R1240" s="315" t="str">
        <f t="shared" si="115"/>
        <v>PartsSalaries &amp; Commission as % of Sales</v>
      </c>
      <c r="S1240" s="199"/>
      <c r="T1240" s="199"/>
      <c r="U1240" s="199"/>
    </row>
    <row r="1241" spans="1:21" x14ac:dyDescent="0.25">
      <c r="A1241" t="s">
        <v>996</v>
      </c>
      <c r="B1241" t="s">
        <v>997</v>
      </c>
      <c r="C1241" t="s">
        <v>997</v>
      </c>
      <c r="D1241">
        <v>7170</v>
      </c>
      <c r="E1241">
        <v>147</v>
      </c>
      <c r="F1241" t="s">
        <v>1250</v>
      </c>
      <c r="G1241" t="s">
        <v>1251</v>
      </c>
      <c r="H1241" s="315" t="s">
        <v>17</v>
      </c>
      <c r="I1241" s="315" t="s">
        <v>1252</v>
      </c>
      <c r="J1241" s="315" t="str">
        <f t="shared" si="111"/>
        <v>ServiceSalaries, Commission &amp; Leave as % of Sales</v>
      </c>
      <c r="K1241" s="315" t="str">
        <f t="shared" si="112"/>
        <v>147Service Salaries &amp; Commission - Toyota</v>
      </c>
      <c r="L1241" s="311">
        <f>+SUMIF('TUNZ Extracted TB'!M:M,$P1241,'TUNZ Extracted TB'!G:G)</f>
        <v>0</v>
      </c>
      <c r="M1241" s="311"/>
      <c r="N1241" s="311">
        <f>+SUMIF('Input Sheet'!$AE:$AE,P1241,'Input Sheet'!$X:$X)</f>
        <v>0</v>
      </c>
      <c r="O1241" s="311"/>
      <c r="P1241" t="str">
        <f t="shared" si="113"/>
        <v>147-7170</v>
      </c>
      <c r="Q1241" s="315" t="str">
        <f t="shared" si="114"/>
        <v>Service</v>
      </c>
      <c r="R1241" s="315" t="str">
        <f t="shared" si="115"/>
        <v>ServiceSalaries, Commission &amp; Leave as % of Sales</v>
      </c>
      <c r="S1241" s="199"/>
      <c r="T1241" s="199"/>
      <c r="U1241" s="199"/>
    </row>
    <row r="1242" spans="1:21" x14ac:dyDescent="0.25">
      <c r="A1242" t="s">
        <v>996</v>
      </c>
      <c r="B1242" t="s">
        <v>997</v>
      </c>
      <c r="C1242" t="s">
        <v>1005</v>
      </c>
      <c r="D1242">
        <v>7170</v>
      </c>
      <c r="E1242">
        <v>220</v>
      </c>
      <c r="F1242" t="s">
        <v>1239</v>
      </c>
      <c r="G1242" t="s">
        <v>1240</v>
      </c>
      <c r="H1242" s="315" t="s">
        <v>30</v>
      </c>
      <c r="I1242" s="315" t="s">
        <v>1241</v>
      </c>
      <c r="J1242" s="315" t="str">
        <f t="shared" si="111"/>
        <v>Used VehicleSalaries &amp; Wages per retail</v>
      </c>
      <c r="K1242" s="315" t="str">
        <f t="shared" si="112"/>
        <v>220Toyota UV Salaries &amp; Wages</v>
      </c>
      <c r="L1242" s="311">
        <f>+SUMIF('TUNZ Extracted TB'!M:M,$P1242,'TUNZ Extracted TB'!G:G)</f>
        <v>0</v>
      </c>
      <c r="M1242" s="311"/>
      <c r="N1242" s="311">
        <f>+SUMIF('Input Sheet'!$AE:$AE,P1242,'Input Sheet'!$X:$X)</f>
        <v>0</v>
      </c>
      <c r="O1242" s="311"/>
      <c r="P1242" t="str">
        <f t="shared" si="113"/>
        <v>220-7170</v>
      </c>
      <c r="Q1242" s="315" t="str">
        <f t="shared" si="114"/>
        <v>Used Vehicle</v>
      </c>
      <c r="R1242" s="315" t="str">
        <f t="shared" si="115"/>
        <v>Used VehicleSalaries &amp; Wages per retail</v>
      </c>
      <c r="S1242" s="199"/>
      <c r="T1242" s="199"/>
      <c r="U1242" s="199"/>
    </row>
    <row r="1243" spans="1:21" x14ac:dyDescent="0.25">
      <c r="A1243" t="s">
        <v>996</v>
      </c>
      <c r="B1243" t="s">
        <v>997</v>
      </c>
      <c r="C1243" t="s">
        <v>1005</v>
      </c>
      <c r="D1243">
        <v>7170</v>
      </c>
      <c r="E1243">
        <v>221</v>
      </c>
      <c r="F1243" t="s">
        <v>1239</v>
      </c>
      <c r="G1243" t="s">
        <v>1240</v>
      </c>
      <c r="H1243" s="315" t="s">
        <v>30</v>
      </c>
      <c r="I1243" s="315" t="s">
        <v>1241</v>
      </c>
      <c r="J1243" s="315" t="str">
        <f t="shared" si="111"/>
        <v>Used VehicleSalaries &amp; Wages per retail</v>
      </c>
      <c r="K1243" s="315" t="str">
        <f t="shared" si="112"/>
        <v>221Toyota UV Salaries &amp; Wages</v>
      </c>
      <c r="L1243" s="311">
        <f>+SUMIF('TUNZ Extracted TB'!M:M,$P1243,'TUNZ Extracted TB'!G:G)</f>
        <v>0</v>
      </c>
      <c r="M1243" s="311"/>
      <c r="N1243" s="311">
        <f>+SUMIF('Input Sheet'!$AE:$AE,P1243,'Input Sheet'!$X:$X)</f>
        <v>0</v>
      </c>
      <c r="O1243" s="311"/>
      <c r="P1243" t="str">
        <f t="shared" si="113"/>
        <v>221-7170</v>
      </c>
      <c r="Q1243" s="315" t="str">
        <f t="shared" si="114"/>
        <v>Used Vehicle</v>
      </c>
      <c r="R1243" s="315" t="str">
        <f t="shared" si="115"/>
        <v>Used VehicleSalaries &amp; Wages per retail</v>
      </c>
      <c r="S1243" s="199"/>
      <c r="T1243" s="199"/>
      <c r="U1243" s="199"/>
    </row>
    <row r="1244" spans="1:21" x14ac:dyDescent="0.25">
      <c r="A1244" t="s">
        <v>996</v>
      </c>
      <c r="B1244" t="s">
        <v>997</v>
      </c>
      <c r="C1244" t="s">
        <v>1012</v>
      </c>
      <c r="D1244">
        <v>7170</v>
      </c>
      <c r="E1244">
        <v>410</v>
      </c>
      <c r="F1244" t="s">
        <v>1239</v>
      </c>
      <c r="G1244" t="s">
        <v>1240</v>
      </c>
      <c r="H1244" s="315" t="s">
        <v>30</v>
      </c>
      <c r="I1244" s="315" t="s">
        <v>1241</v>
      </c>
      <c r="J1244" s="315" t="str">
        <f t="shared" si="111"/>
        <v>Used VehicleSalaries &amp; Wages per retail</v>
      </c>
      <c r="K1244" s="315" t="str">
        <f t="shared" si="112"/>
        <v>410Toyota UV Salaries &amp; Wages</v>
      </c>
      <c r="L1244" s="311">
        <f>+SUMIF('TUNZ Extracted TB'!M:M,$P1244,'TUNZ Extracted TB'!G:G)</f>
        <v>0</v>
      </c>
      <c r="M1244" s="311"/>
      <c r="N1244" s="311">
        <f>+SUMIF('Input Sheet'!$AE:$AE,P1244,'Input Sheet'!$X:$X)</f>
        <v>0</v>
      </c>
      <c r="O1244" s="311"/>
      <c r="P1244" t="str">
        <f t="shared" si="113"/>
        <v>410-7170</v>
      </c>
      <c r="Q1244" s="315" t="str">
        <f t="shared" si="114"/>
        <v>Used Vehicle</v>
      </c>
      <c r="R1244" s="315" t="str">
        <f t="shared" si="115"/>
        <v>Used VehicleSalaries &amp; Wages per retail</v>
      </c>
      <c r="S1244" s="199"/>
      <c r="T1244" s="199"/>
      <c r="U1244" s="199"/>
    </row>
    <row r="1245" spans="1:21" x14ac:dyDescent="0.25">
      <c r="A1245" t="s">
        <v>996</v>
      </c>
      <c r="B1245" t="s">
        <v>997</v>
      </c>
      <c r="C1245" t="s">
        <v>1012</v>
      </c>
      <c r="D1245">
        <v>7170</v>
      </c>
      <c r="E1245">
        <v>420</v>
      </c>
      <c r="F1245" t="s">
        <v>1239</v>
      </c>
      <c r="G1245" t="s">
        <v>1240</v>
      </c>
      <c r="H1245" s="315" t="s">
        <v>30</v>
      </c>
      <c r="I1245" s="315" t="s">
        <v>1241</v>
      </c>
      <c r="J1245" s="315" t="str">
        <f t="shared" si="111"/>
        <v>Used VehicleSalaries &amp; Wages per retail</v>
      </c>
      <c r="K1245" s="315" t="str">
        <f t="shared" si="112"/>
        <v>420Toyota UV Salaries &amp; Wages</v>
      </c>
      <c r="L1245" s="311">
        <f>+SUMIF('TUNZ Extracted TB'!M:M,$P1245,'TUNZ Extracted TB'!G:G)</f>
        <v>0</v>
      </c>
      <c r="M1245" s="311"/>
      <c r="N1245" s="311">
        <f>+SUMIF('Input Sheet'!$AE:$AE,P1245,'Input Sheet'!$X:$X)</f>
        <v>0</v>
      </c>
      <c r="O1245" s="311"/>
      <c r="P1245" t="str">
        <f t="shared" si="113"/>
        <v>420-7170</v>
      </c>
      <c r="Q1245" s="315" t="str">
        <f t="shared" si="114"/>
        <v>Used Vehicle</v>
      </c>
      <c r="R1245" s="315" t="str">
        <f t="shared" si="115"/>
        <v>Used VehicleSalaries &amp; Wages per retail</v>
      </c>
      <c r="S1245" s="199"/>
      <c r="T1245" s="199"/>
      <c r="U1245" s="199"/>
    </row>
    <row r="1246" spans="1:21" x14ac:dyDescent="0.25">
      <c r="A1246" t="s">
        <v>996</v>
      </c>
      <c r="B1246" t="s">
        <v>997</v>
      </c>
      <c r="C1246" t="s">
        <v>1012</v>
      </c>
      <c r="D1246">
        <v>7170</v>
      </c>
      <c r="E1246">
        <v>421</v>
      </c>
      <c r="F1246" t="s">
        <v>1239</v>
      </c>
      <c r="G1246" t="s">
        <v>1240</v>
      </c>
      <c r="H1246" s="315" t="s">
        <v>30</v>
      </c>
      <c r="I1246" s="315" t="s">
        <v>1241</v>
      </c>
      <c r="J1246" s="315" t="str">
        <f t="shared" si="111"/>
        <v>Used VehicleSalaries &amp; Wages per retail</v>
      </c>
      <c r="K1246" s="315" t="str">
        <f t="shared" si="112"/>
        <v>421Toyota UV Salaries &amp; Wages</v>
      </c>
      <c r="L1246" s="311">
        <f>+SUMIF('TUNZ Extracted TB'!M:M,$P1246,'TUNZ Extracted TB'!G:G)</f>
        <v>0</v>
      </c>
      <c r="M1246" s="311"/>
      <c r="N1246" s="311">
        <f>+SUMIF('Input Sheet'!$AE:$AE,P1246,'Input Sheet'!$X:$X)</f>
        <v>0</v>
      </c>
      <c r="O1246" s="311"/>
      <c r="P1246" t="str">
        <f t="shared" si="113"/>
        <v>421-7170</v>
      </c>
      <c r="Q1246" s="315" t="str">
        <f t="shared" si="114"/>
        <v>Used Vehicle</v>
      </c>
      <c r="R1246" s="315" t="str">
        <f t="shared" si="115"/>
        <v>Used VehicleSalaries &amp; Wages per retail</v>
      </c>
      <c r="S1246" s="199"/>
      <c r="T1246" s="199"/>
      <c r="U1246" s="199"/>
    </row>
    <row r="1247" spans="1:21" x14ac:dyDescent="0.25">
      <c r="A1247" t="s">
        <v>996</v>
      </c>
      <c r="B1247" t="s">
        <v>997</v>
      </c>
      <c r="C1247" t="s">
        <v>1013</v>
      </c>
      <c r="D1247">
        <v>7170</v>
      </c>
      <c r="E1247">
        <v>310</v>
      </c>
      <c r="F1247" t="s">
        <v>1239</v>
      </c>
      <c r="G1247" t="s">
        <v>1240</v>
      </c>
      <c r="H1247" s="315" t="s">
        <v>30</v>
      </c>
      <c r="I1247" s="315" t="s">
        <v>1241</v>
      </c>
      <c r="J1247" s="315" t="str">
        <f t="shared" si="111"/>
        <v>Used VehicleSalaries &amp; Wages per retail</v>
      </c>
      <c r="K1247" s="315" t="str">
        <f t="shared" si="112"/>
        <v>310Toyota UV Salaries &amp; Wages</v>
      </c>
      <c r="L1247" s="311">
        <f>+SUMIF('TUNZ Extracted TB'!M:M,$P1247,'TUNZ Extracted TB'!G:G)</f>
        <v>0</v>
      </c>
      <c r="M1247" s="311"/>
      <c r="N1247" s="311">
        <f>+SUMIF('Input Sheet'!$AE:$AE,P1247,'Input Sheet'!$X:$X)</f>
        <v>0</v>
      </c>
      <c r="O1247" s="311"/>
      <c r="P1247" t="str">
        <f t="shared" si="113"/>
        <v>310-7170</v>
      </c>
      <c r="Q1247" s="315" t="str">
        <f t="shared" si="114"/>
        <v>Used Vehicle</v>
      </c>
      <c r="R1247" s="315" t="str">
        <f t="shared" si="115"/>
        <v>Used VehicleSalaries &amp; Wages per retail</v>
      </c>
      <c r="S1247" s="199"/>
      <c r="T1247" s="199"/>
      <c r="U1247" s="199"/>
    </row>
    <row r="1248" spans="1:21" x14ac:dyDescent="0.25">
      <c r="A1248" t="s">
        <v>996</v>
      </c>
      <c r="B1248" t="s">
        <v>997</v>
      </c>
      <c r="C1248" t="s">
        <v>1013</v>
      </c>
      <c r="D1248">
        <v>7170</v>
      </c>
      <c r="E1248">
        <v>321</v>
      </c>
      <c r="F1248" t="s">
        <v>1239</v>
      </c>
      <c r="G1248" t="s">
        <v>1240</v>
      </c>
      <c r="H1248" s="315" t="s">
        <v>30</v>
      </c>
      <c r="I1248" s="315" t="s">
        <v>1241</v>
      </c>
      <c r="J1248" s="315" t="str">
        <f t="shared" si="111"/>
        <v>Used VehicleSalaries &amp; Wages per retail</v>
      </c>
      <c r="K1248" s="315" t="str">
        <f t="shared" si="112"/>
        <v>321Toyota UV Salaries &amp; Wages</v>
      </c>
      <c r="L1248" s="311">
        <f>+SUMIF('TUNZ Extracted TB'!M:M,$P1248,'TUNZ Extracted TB'!G:G)</f>
        <v>0</v>
      </c>
      <c r="M1248" s="311"/>
      <c r="N1248" s="311">
        <f>+SUMIF('Input Sheet'!$AE:$AE,P1248,'Input Sheet'!$X:$X)</f>
        <v>0</v>
      </c>
      <c r="O1248" s="311"/>
      <c r="P1248" t="str">
        <f t="shared" si="113"/>
        <v>321-7170</v>
      </c>
      <c r="Q1248" s="315" t="str">
        <f t="shared" si="114"/>
        <v>Used Vehicle</v>
      </c>
      <c r="R1248" s="315" t="str">
        <f t="shared" si="115"/>
        <v>Used VehicleSalaries &amp; Wages per retail</v>
      </c>
      <c r="S1248" s="199"/>
      <c r="T1248" s="199"/>
      <c r="U1248" s="199"/>
    </row>
    <row r="1249" spans="1:21" x14ac:dyDescent="0.25">
      <c r="A1249" t="s">
        <v>996</v>
      </c>
      <c r="B1249" t="s">
        <v>997</v>
      </c>
      <c r="C1249" t="s">
        <v>1005</v>
      </c>
      <c r="D1249">
        <v>7175</v>
      </c>
      <c r="E1249">
        <v>240</v>
      </c>
      <c r="F1249" t="s">
        <v>1250</v>
      </c>
      <c r="G1249" t="s">
        <v>1251</v>
      </c>
      <c r="H1249" s="315" t="s">
        <v>17</v>
      </c>
      <c r="I1249" s="315" t="s">
        <v>1252</v>
      </c>
      <c r="J1249" s="315" t="str">
        <f t="shared" si="111"/>
        <v>ServiceSalaries, Commission &amp; Leave as % of Sales</v>
      </c>
      <c r="K1249" s="315" t="str">
        <f t="shared" si="112"/>
        <v>240Service Salaries &amp; Commission - Toyota</v>
      </c>
      <c r="L1249" s="311">
        <f>+SUMIF('TUNZ Extracted TB'!M:M,$P1249,'TUNZ Extracted TB'!G:G)</f>
        <v>5150</v>
      </c>
      <c r="M1249" s="311"/>
      <c r="N1249" s="311">
        <f>+SUMIF('Input Sheet'!$AE:$AE,P1249,'Input Sheet'!$X:$X)</f>
        <v>0</v>
      </c>
      <c r="O1249" s="311"/>
      <c r="P1249" t="str">
        <f t="shared" si="113"/>
        <v>240-7175</v>
      </c>
      <c r="Q1249" s="315" t="str">
        <f t="shared" si="114"/>
        <v>Service</v>
      </c>
      <c r="R1249" s="315" t="str">
        <f t="shared" si="115"/>
        <v>ServiceSalaries, Commission &amp; Leave as % of Sales</v>
      </c>
      <c r="S1249" s="199"/>
      <c r="T1249" s="199"/>
      <c r="U1249" s="199"/>
    </row>
    <row r="1250" spans="1:21" x14ac:dyDescent="0.25">
      <c r="A1250" t="s">
        <v>996</v>
      </c>
      <c r="B1250" t="s">
        <v>997</v>
      </c>
      <c r="C1250" t="s">
        <v>997</v>
      </c>
      <c r="D1250">
        <v>7175</v>
      </c>
      <c r="E1250">
        <v>120</v>
      </c>
      <c r="F1250" t="s">
        <v>1262</v>
      </c>
      <c r="G1250" t="s">
        <v>1263</v>
      </c>
      <c r="H1250" s="315" t="s">
        <v>30</v>
      </c>
      <c r="I1250" s="315" t="s">
        <v>1264</v>
      </c>
      <c r="J1250" s="315" t="str">
        <f t="shared" si="111"/>
        <v>Used VehicleCommission per retail</v>
      </c>
      <c r="K1250" s="315" t="str">
        <f t="shared" si="112"/>
        <v>120Toyota UV Commission expense</v>
      </c>
      <c r="L1250" s="311">
        <f>+SUMIF('TUNZ Extracted TB'!M:M,$P1250,'TUNZ Extracted TB'!G:G)</f>
        <v>4520.83</v>
      </c>
      <c r="M1250" s="311"/>
      <c r="N1250" s="311">
        <f>+SUMIF('Input Sheet'!$AE:$AE,P1250,'Input Sheet'!$X:$X)</f>
        <v>0</v>
      </c>
      <c r="O1250" s="311"/>
      <c r="P1250" t="str">
        <f t="shared" si="113"/>
        <v>120-7175</v>
      </c>
      <c r="Q1250" s="315" t="str">
        <f t="shared" si="114"/>
        <v>Used Vehicle</v>
      </c>
      <c r="R1250" s="315" t="str">
        <f t="shared" si="115"/>
        <v>Used VehicleCommission per retail</v>
      </c>
      <c r="S1250" s="199"/>
      <c r="T1250" s="199"/>
      <c r="U1250" s="199"/>
    </row>
    <row r="1251" spans="1:21" x14ac:dyDescent="0.25">
      <c r="A1251" t="s">
        <v>996</v>
      </c>
      <c r="B1251" t="s">
        <v>997</v>
      </c>
      <c r="C1251" t="s">
        <v>1005</v>
      </c>
      <c r="D1251">
        <v>7175</v>
      </c>
      <c r="E1251">
        <v>230</v>
      </c>
      <c r="F1251" t="s">
        <v>1256</v>
      </c>
      <c r="G1251" t="s">
        <v>1257</v>
      </c>
      <c r="H1251" s="315" t="s">
        <v>5</v>
      </c>
      <c r="I1251" s="315" t="s">
        <v>1255</v>
      </c>
      <c r="J1251" s="315" t="str">
        <f t="shared" si="111"/>
        <v>PartsSalaries &amp; Commission as % of Sales</v>
      </c>
      <c r="K1251" s="315" t="str">
        <f t="shared" si="112"/>
        <v>230Parts Salaries &amp; Commission - Toyota</v>
      </c>
      <c r="L1251" s="311">
        <f>+SUMIF('TUNZ Extracted TB'!M:M,$P1251,'TUNZ Extracted TB'!G:G)</f>
        <v>2585</v>
      </c>
      <c r="M1251" s="311"/>
      <c r="N1251" s="311">
        <f>+SUMIF('Input Sheet'!$AE:$AE,P1251,'Input Sheet'!$X:$X)</f>
        <v>0</v>
      </c>
      <c r="O1251" s="311"/>
      <c r="P1251" t="str">
        <f t="shared" si="113"/>
        <v>230-7175</v>
      </c>
      <c r="Q1251" s="315" t="str">
        <f t="shared" si="114"/>
        <v>Parts</v>
      </c>
      <c r="R1251" s="315" t="str">
        <f t="shared" si="115"/>
        <v>PartsSalaries &amp; Commission as % of Sales</v>
      </c>
      <c r="S1251" s="199"/>
      <c r="T1251" s="199"/>
      <c r="U1251" s="199"/>
    </row>
    <row r="1252" spans="1:21" x14ac:dyDescent="0.25">
      <c r="A1252" t="s">
        <v>996</v>
      </c>
      <c r="B1252" t="s">
        <v>997</v>
      </c>
      <c r="C1252" t="s">
        <v>1013</v>
      </c>
      <c r="D1252">
        <v>7175</v>
      </c>
      <c r="E1252">
        <v>340</v>
      </c>
      <c r="F1252" t="s">
        <v>1250</v>
      </c>
      <c r="G1252" t="s">
        <v>1251</v>
      </c>
      <c r="H1252" s="315" t="s">
        <v>17</v>
      </c>
      <c r="I1252" s="315" t="s">
        <v>1252</v>
      </c>
      <c r="J1252" s="315" t="str">
        <f t="shared" si="111"/>
        <v>ServiceSalaries, Commission &amp; Leave as % of Sales</v>
      </c>
      <c r="K1252" s="315" t="str">
        <f t="shared" si="112"/>
        <v>340Service Salaries &amp; Commission - Toyota</v>
      </c>
      <c r="L1252" s="311">
        <f>+SUMIF('TUNZ Extracted TB'!M:M,$P1252,'TUNZ Extracted TB'!G:G)</f>
        <v>2266.67</v>
      </c>
      <c r="M1252" s="311"/>
      <c r="N1252" s="311">
        <f>+SUMIF('Input Sheet'!$AE:$AE,P1252,'Input Sheet'!$X:$X)</f>
        <v>0</v>
      </c>
      <c r="O1252" s="311"/>
      <c r="P1252" t="str">
        <f t="shared" si="113"/>
        <v>340-7175</v>
      </c>
      <c r="Q1252" s="315" t="str">
        <f t="shared" si="114"/>
        <v>Service</v>
      </c>
      <c r="R1252" s="315" t="str">
        <f t="shared" si="115"/>
        <v>ServiceSalaries, Commission &amp; Leave as % of Sales</v>
      </c>
      <c r="S1252" s="199"/>
      <c r="T1252" s="199"/>
      <c r="U1252" s="199"/>
    </row>
    <row r="1253" spans="1:21" x14ac:dyDescent="0.25">
      <c r="A1253" t="s">
        <v>996</v>
      </c>
      <c r="B1253" t="s">
        <v>997</v>
      </c>
      <c r="C1253" t="s">
        <v>997</v>
      </c>
      <c r="D1253">
        <v>7175</v>
      </c>
      <c r="E1253">
        <v>935</v>
      </c>
      <c r="F1253" t="s">
        <v>1175</v>
      </c>
      <c r="G1253" t="s">
        <v>1176</v>
      </c>
      <c r="H1253" s="315" t="s">
        <v>58</v>
      </c>
      <c r="I1253" s="315" t="s">
        <v>1252</v>
      </c>
      <c r="J1253" s="315" t="str">
        <f t="shared" si="111"/>
        <v>BridgestoneSalaries, Commission &amp; Leave as % of Sales</v>
      </c>
      <c r="K1253" s="315" t="str">
        <f t="shared" si="112"/>
        <v>935Other franchise/business expense</v>
      </c>
      <c r="L1253" s="311">
        <f>+SUMIF('TUNZ Extracted TB'!M:M,$P1253,'TUNZ Extracted TB'!G:G)</f>
        <v>2100</v>
      </c>
      <c r="M1253" s="311"/>
      <c r="N1253" s="311">
        <f>+SUMIF('Input Sheet'!$AE:$AE,P1253,'Input Sheet'!$X:$X)</f>
        <v>0</v>
      </c>
      <c r="O1253" s="311"/>
      <c r="P1253" t="str">
        <f t="shared" si="113"/>
        <v>935-7175</v>
      </c>
      <c r="Q1253" s="315" t="str">
        <f t="shared" si="114"/>
        <v>Bridgestone</v>
      </c>
      <c r="R1253" s="315" t="str">
        <f t="shared" si="115"/>
        <v>BridgestoneSalaries, Commission &amp; Leave as % of Sales</v>
      </c>
      <c r="S1253" s="199"/>
      <c r="T1253" s="199"/>
      <c r="U1253" s="199"/>
    </row>
    <row r="1254" spans="1:21" x14ac:dyDescent="0.25">
      <c r="A1254" t="s">
        <v>996</v>
      </c>
      <c r="B1254" t="s">
        <v>997</v>
      </c>
      <c r="C1254" t="s">
        <v>997</v>
      </c>
      <c r="D1254">
        <v>7175</v>
      </c>
      <c r="E1254">
        <v>160</v>
      </c>
      <c r="F1254" t="s">
        <v>1247</v>
      </c>
      <c r="G1254" t="s">
        <v>1248</v>
      </c>
      <c r="H1254" s="315" t="s">
        <v>16</v>
      </c>
      <c r="I1254" s="315" t="s">
        <v>1249</v>
      </c>
      <c r="J1254" s="315" t="str">
        <f t="shared" si="111"/>
        <v>F&amp;ISalaries &amp; Commission per vehicle retailed</v>
      </c>
      <c r="K1254" s="315" t="str">
        <f t="shared" si="112"/>
        <v>160F&amp;I Salaries &amp; Commission - Toyota</v>
      </c>
      <c r="L1254" s="311">
        <f>+SUMIF('TUNZ Extracted TB'!M:M,$P1254,'TUNZ Extracted TB'!G:G)</f>
        <v>1937.5</v>
      </c>
      <c r="M1254" s="311"/>
      <c r="N1254" s="311">
        <f>+SUMIF('Input Sheet'!$AE:$AE,P1254,'Input Sheet'!$X:$X)</f>
        <v>0</v>
      </c>
      <c r="O1254" s="311"/>
      <c r="P1254" t="str">
        <f t="shared" si="113"/>
        <v>160-7175</v>
      </c>
      <c r="Q1254" s="315" t="str">
        <f t="shared" si="114"/>
        <v>F&amp;I</v>
      </c>
      <c r="R1254" s="315" t="str">
        <f t="shared" si="115"/>
        <v>F&amp;ISalaries &amp; Commission per vehicle retailed</v>
      </c>
      <c r="S1254" s="199"/>
      <c r="T1254" s="199"/>
      <c r="U1254" s="199"/>
    </row>
    <row r="1255" spans="1:21" x14ac:dyDescent="0.25">
      <c r="A1255" t="s">
        <v>996</v>
      </c>
      <c r="B1255" t="s">
        <v>997</v>
      </c>
      <c r="C1255" t="s">
        <v>1012</v>
      </c>
      <c r="D1255">
        <v>7175</v>
      </c>
      <c r="E1255">
        <v>440</v>
      </c>
      <c r="F1255" t="s">
        <v>1250</v>
      </c>
      <c r="G1255" t="s">
        <v>1251</v>
      </c>
      <c r="H1255" s="315" t="s">
        <v>17</v>
      </c>
      <c r="I1255" s="315" t="s">
        <v>1252</v>
      </c>
      <c r="J1255" s="315" t="str">
        <f t="shared" si="111"/>
        <v>ServiceSalaries, Commission &amp; Leave as % of Sales</v>
      </c>
      <c r="K1255" s="315" t="str">
        <f t="shared" si="112"/>
        <v>440Service Salaries &amp; Commission - Toyota</v>
      </c>
      <c r="L1255" s="311">
        <f>+SUMIF('TUNZ Extracted TB'!M:M,$P1255,'TUNZ Extracted TB'!G:G)</f>
        <v>1437.5</v>
      </c>
      <c r="M1255" s="311"/>
      <c r="N1255" s="311">
        <f>+SUMIF('Input Sheet'!$AE:$AE,P1255,'Input Sheet'!$X:$X)</f>
        <v>0</v>
      </c>
      <c r="O1255" s="311"/>
      <c r="P1255" t="str">
        <f t="shared" si="113"/>
        <v>440-7175</v>
      </c>
      <c r="Q1255" s="315" t="str">
        <f t="shared" si="114"/>
        <v>Service</v>
      </c>
      <c r="R1255" s="315" t="str">
        <f t="shared" si="115"/>
        <v>ServiceSalaries, Commission &amp; Leave as % of Sales</v>
      </c>
      <c r="S1255" s="199"/>
      <c r="T1255" s="199"/>
      <c r="U1255" s="199"/>
    </row>
    <row r="1256" spans="1:21" x14ac:dyDescent="0.25">
      <c r="A1256" t="s">
        <v>996</v>
      </c>
      <c r="B1256" t="s">
        <v>997</v>
      </c>
      <c r="C1256" t="s">
        <v>997</v>
      </c>
      <c r="D1256">
        <v>7175</v>
      </c>
      <c r="E1256">
        <v>936</v>
      </c>
      <c r="F1256" t="s">
        <v>1175</v>
      </c>
      <c r="G1256" t="s">
        <v>1176</v>
      </c>
      <c r="H1256" s="315" t="s">
        <v>58</v>
      </c>
      <c r="I1256" s="315" t="s">
        <v>1252</v>
      </c>
      <c r="J1256" s="315" t="str">
        <f t="shared" si="111"/>
        <v>BridgestoneSalaries, Commission &amp; Leave as % of Sales</v>
      </c>
      <c r="K1256" s="315" t="str">
        <f t="shared" si="112"/>
        <v>936Other franchise/business expense</v>
      </c>
      <c r="L1256" s="311">
        <f>+SUMIF('TUNZ Extracted TB'!M:M,$P1256,'TUNZ Extracted TB'!G:G)</f>
        <v>600</v>
      </c>
      <c r="M1256" s="311"/>
      <c r="N1256" s="311">
        <f>+SUMIF('Input Sheet'!$AE:$AE,P1256,'Input Sheet'!$X:$X)</f>
        <v>0</v>
      </c>
      <c r="O1256" s="311"/>
      <c r="P1256" t="str">
        <f t="shared" si="113"/>
        <v>936-7175</v>
      </c>
      <c r="Q1256" s="315" t="str">
        <f t="shared" si="114"/>
        <v>Bridgestone</v>
      </c>
      <c r="R1256" s="315" t="str">
        <f t="shared" si="115"/>
        <v>BridgestoneSalaries, Commission &amp; Leave as % of Sales</v>
      </c>
      <c r="S1256" s="199"/>
      <c r="T1256" s="199"/>
      <c r="U1256" s="199"/>
    </row>
    <row r="1257" spans="1:21" x14ac:dyDescent="0.25">
      <c r="A1257" t="s">
        <v>996</v>
      </c>
      <c r="B1257" t="s">
        <v>997</v>
      </c>
      <c r="C1257" t="s">
        <v>1012</v>
      </c>
      <c r="D1257">
        <v>7175</v>
      </c>
      <c r="E1257">
        <v>430</v>
      </c>
      <c r="F1257" t="s">
        <v>1256</v>
      </c>
      <c r="G1257" t="s">
        <v>1257</v>
      </c>
      <c r="H1257" s="315" t="s">
        <v>5</v>
      </c>
      <c r="I1257" s="315" t="s">
        <v>1255</v>
      </c>
      <c r="J1257" s="315" t="str">
        <f t="shared" si="111"/>
        <v>PartsSalaries &amp; Commission as % of Sales</v>
      </c>
      <c r="K1257" s="315" t="str">
        <f t="shared" si="112"/>
        <v>430Parts Salaries &amp; Commission - Toyota</v>
      </c>
      <c r="L1257" s="311">
        <f>+SUMIF('TUNZ Extracted TB'!M:M,$P1257,'TUNZ Extracted TB'!G:G)</f>
        <v>479.17</v>
      </c>
      <c r="M1257" s="311"/>
      <c r="N1257" s="311">
        <f>+SUMIF('Input Sheet'!$AE:$AE,P1257,'Input Sheet'!$X:$X)</f>
        <v>0</v>
      </c>
      <c r="O1257" s="311"/>
      <c r="P1257" t="str">
        <f t="shared" si="113"/>
        <v>430-7175</v>
      </c>
      <c r="Q1257" s="315" t="str">
        <f t="shared" si="114"/>
        <v>Parts</v>
      </c>
      <c r="R1257" s="315" t="str">
        <f t="shared" si="115"/>
        <v>PartsSalaries &amp; Commission as % of Sales</v>
      </c>
      <c r="S1257" s="199"/>
      <c r="T1257" s="199"/>
      <c r="U1257" s="199"/>
    </row>
    <row r="1258" spans="1:21" x14ac:dyDescent="0.25">
      <c r="A1258" t="s">
        <v>996</v>
      </c>
      <c r="B1258" t="s">
        <v>997</v>
      </c>
      <c r="C1258" t="s">
        <v>997</v>
      </c>
      <c r="D1258">
        <v>7175</v>
      </c>
      <c r="E1258">
        <v>140</v>
      </c>
      <c r="F1258" t="s">
        <v>1250</v>
      </c>
      <c r="G1258" t="s">
        <v>1251</v>
      </c>
      <c r="H1258" s="315" t="s">
        <v>17</v>
      </c>
      <c r="I1258" s="315" t="s">
        <v>1252</v>
      </c>
      <c r="J1258" s="315" t="str">
        <f t="shared" si="111"/>
        <v>ServiceSalaries, Commission &amp; Leave as % of Sales</v>
      </c>
      <c r="K1258" s="315" t="str">
        <f t="shared" si="112"/>
        <v>140Service Salaries &amp; Commission - Toyota</v>
      </c>
      <c r="L1258" s="311">
        <f>+SUMIF('TUNZ Extracted TB'!M:M,$P1258,'TUNZ Extracted TB'!G:G)</f>
        <v>8726.67</v>
      </c>
      <c r="M1258" s="311"/>
      <c r="N1258" s="311">
        <f>+SUMIF('Input Sheet'!$AE:$AE,P1258,'Input Sheet'!$X:$X)</f>
        <v>0</v>
      </c>
      <c r="O1258" s="311"/>
      <c r="P1258" t="str">
        <f t="shared" si="113"/>
        <v>140-7175</v>
      </c>
      <c r="Q1258" s="315" t="str">
        <f t="shared" si="114"/>
        <v>Service</v>
      </c>
      <c r="R1258" s="315" t="str">
        <f t="shared" si="115"/>
        <v>ServiceSalaries, Commission &amp; Leave as % of Sales</v>
      </c>
      <c r="S1258" s="199"/>
      <c r="T1258" s="199"/>
      <c r="U1258" s="199"/>
    </row>
    <row r="1259" spans="1:21" x14ac:dyDescent="0.25">
      <c r="A1259" t="s">
        <v>996</v>
      </c>
      <c r="B1259" t="s">
        <v>997</v>
      </c>
      <c r="C1259" t="s">
        <v>997</v>
      </c>
      <c r="D1259">
        <v>7175</v>
      </c>
      <c r="E1259">
        <v>142</v>
      </c>
      <c r="F1259" t="s">
        <v>1270</v>
      </c>
      <c r="G1259" t="s">
        <v>1271</v>
      </c>
      <c r="H1259" s="315" t="s">
        <v>1022</v>
      </c>
      <c r="I1259" s="315" t="s">
        <v>1252</v>
      </c>
      <c r="J1259" s="315" t="str">
        <f t="shared" si="111"/>
        <v>Lex ServiceSalaries, Commission &amp; Leave as % of Sales</v>
      </c>
      <c r="K1259" s="315" t="str">
        <f t="shared" si="112"/>
        <v>142Service Salaries &amp; Commission - Lexus</v>
      </c>
      <c r="L1259" s="311">
        <f>+SUMIF('TUNZ Extracted TB'!M:M,$P1259,'TUNZ Extracted TB'!G:G)</f>
        <v>1200</v>
      </c>
      <c r="M1259" s="311"/>
      <c r="N1259" s="311">
        <f>+SUMIF('Input Sheet'!$AE:$AE,P1259,'Input Sheet'!$X:$X)</f>
        <v>0</v>
      </c>
      <c r="O1259" s="311"/>
      <c r="P1259" t="str">
        <f t="shared" si="113"/>
        <v>142-7175</v>
      </c>
      <c r="Q1259" s="315" t="str">
        <f t="shared" si="114"/>
        <v>Lex Service</v>
      </c>
      <c r="R1259" s="315" t="str">
        <f t="shared" si="115"/>
        <v>Lex ServiceSalaries, Commission &amp; Leave as % of Sales</v>
      </c>
      <c r="S1259" s="199"/>
      <c r="T1259" s="199"/>
      <c r="U1259" s="199"/>
    </row>
    <row r="1260" spans="1:21" x14ac:dyDescent="0.25">
      <c r="A1260" t="s">
        <v>996</v>
      </c>
      <c r="B1260" t="s">
        <v>997</v>
      </c>
      <c r="C1260" t="s">
        <v>1012</v>
      </c>
      <c r="D1260">
        <v>7175</v>
      </c>
      <c r="E1260">
        <v>400</v>
      </c>
      <c r="F1260" t="s">
        <v>1265</v>
      </c>
      <c r="G1260" t="s">
        <v>1266</v>
      </c>
      <c r="H1260" s="315" t="s">
        <v>29</v>
      </c>
      <c r="I1260" s="315" t="s">
        <v>1267</v>
      </c>
      <c r="J1260" s="315" t="str">
        <f t="shared" si="111"/>
        <v>New VehicleCommission p.u.</v>
      </c>
      <c r="K1260" s="315" t="str">
        <f t="shared" si="112"/>
        <v>400NV Commission - Toyota</v>
      </c>
      <c r="L1260" s="311">
        <f>+SUMIF('TUNZ Extracted TB'!M:M,$P1260,'TUNZ Extracted TB'!G:G)</f>
        <v>0</v>
      </c>
      <c r="M1260" s="311"/>
      <c r="N1260" s="311">
        <f>+SUMIF('Input Sheet'!$AE:$AE,P1260,'Input Sheet'!$X:$X)</f>
        <v>0</v>
      </c>
      <c r="O1260" s="311"/>
      <c r="P1260" t="str">
        <f t="shared" si="113"/>
        <v>400-7175</v>
      </c>
      <c r="Q1260" s="315" t="str">
        <f t="shared" si="114"/>
        <v>New Vehicle</v>
      </c>
      <c r="R1260" s="315" t="str">
        <f t="shared" si="115"/>
        <v>New VehicleCommission p.u.</v>
      </c>
      <c r="S1260" s="199"/>
      <c r="T1260" s="199"/>
      <c r="U1260" s="199"/>
    </row>
    <row r="1261" spans="1:21" x14ac:dyDescent="0.25">
      <c r="A1261" t="s">
        <v>996</v>
      </c>
      <c r="B1261" t="s">
        <v>997</v>
      </c>
      <c r="C1261" t="s">
        <v>997</v>
      </c>
      <c r="D1261">
        <v>7175</v>
      </c>
      <c r="E1261">
        <v>130</v>
      </c>
      <c r="F1261" t="s">
        <v>1256</v>
      </c>
      <c r="G1261" t="s">
        <v>1257</v>
      </c>
      <c r="H1261" s="315" t="s">
        <v>5</v>
      </c>
      <c r="I1261" s="315" t="s">
        <v>1255</v>
      </c>
      <c r="J1261" s="315" t="str">
        <f t="shared" si="111"/>
        <v>PartsSalaries &amp; Commission as % of Sales</v>
      </c>
      <c r="K1261" s="315" t="str">
        <f t="shared" si="112"/>
        <v>130Parts Salaries &amp; Commission - Toyota</v>
      </c>
      <c r="L1261" s="311">
        <f>+SUMIF('TUNZ Extracted TB'!M:M,$P1261,'TUNZ Extracted TB'!G:G)</f>
        <v>2851.67</v>
      </c>
      <c r="M1261" s="311"/>
      <c r="N1261" s="311">
        <f>+SUMIF('Input Sheet'!$AE:$AE,P1261,'Input Sheet'!$X:$X)</f>
        <v>0</v>
      </c>
      <c r="O1261" s="311"/>
      <c r="P1261" t="str">
        <f t="shared" si="113"/>
        <v>130-7175</v>
      </c>
      <c r="Q1261" s="315" t="str">
        <f t="shared" si="114"/>
        <v>Parts</v>
      </c>
      <c r="R1261" s="315" t="str">
        <f t="shared" si="115"/>
        <v>PartsSalaries &amp; Commission as % of Sales</v>
      </c>
      <c r="S1261" s="199"/>
      <c r="T1261" s="199"/>
      <c r="U1261" s="199"/>
    </row>
    <row r="1262" spans="1:21" x14ac:dyDescent="0.25">
      <c r="A1262" t="s">
        <v>996</v>
      </c>
      <c r="B1262" t="s">
        <v>997</v>
      </c>
      <c r="C1262" t="s">
        <v>997</v>
      </c>
      <c r="D1262">
        <v>7175</v>
      </c>
      <c r="E1262">
        <v>132</v>
      </c>
      <c r="F1262" t="s">
        <v>1253</v>
      </c>
      <c r="G1262" t="s">
        <v>1254</v>
      </c>
      <c r="H1262" s="315" t="s">
        <v>143</v>
      </c>
      <c r="I1262" s="315" t="s">
        <v>1255</v>
      </c>
      <c r="J1262" s="315" t="str">
        <f t="shared" si="111"/>
        <v>LEX PartsSalaries &amp; Commission as % of Sales</v>
      </c>
      <c r="K1262" s="315" t="str">
        <f t="shared" si="112"/>
        <v>132Parts Salaries &amp; Commission - Lexus</v>
      </c>
      <c r="L1262" s="311">
        <f>+SUMIF('TUNZ Extracted TB'!M:M,$P1262,'TUNZ Extracted TB'!G:G)</f>
        <v>0</v>
      </c>
      <c r="M1262" s="311"/>
      <c r="N1262" s="311">
        <f>+SUMIF('Input Sheet'!$AE:$AE,P1262,'Input Sheet'!$X:$X)</f>
        <v>0</v>
      </c>
      <c r="O1262" s="311"/>
      <c r="P1262" t="str">
        <f t="shared" si="113"/>
        <v>132-7175</v>
      </c>
      <c r="Q1262" s="315" t="str">
        <f t="shared" si="114"/>
        <v>LEX Parts</v>
      </c>
      <c r="R1262" s="315" t="str">
        <f t="shared" si="115"/>
        <v>LEX PartsSalaries &amp; Commission as % of Sales</v>
      </c>
      <c r="S1262" s="199"/>
      <c r="T1262" s="199"/>
      <c r="U1262" s="199"/>
    </row>
    <row r="1263" spans="1:21" x14ac:dyDescent="0.25">
      <c r="A1263" t="s">
        <v>996</v>
      </c>
      <c r="B1263" t="s">
        <v>997</v>
      </c>
      <c r="C1263" t="s">
        <v>1013</v>
      </c>
      <c r="D1263">
        <v>7175</v>
      </c>
      <c r="E1263">
        <v>300</v>
      </c>
      <c r="F1263" t="s">
        <v>1265</v>
      </c>
      <c r="G1263" t="s">
        <v>1266</v>
      </c>
      <c r="H1263" s="315" t="s">
        <v>29</v>
      </c>
      <c r="I1263" s="315" t="s">
        <v>1267</v>
      </c>
      <c r="J1263" s="315" t="str">
        <f t="shared" si="111"/>
        <v>New VehicleCommission p.u.</v>
      </c>
      <c r="K1263" s="315" t="str">
        <f t="shared" si="112"/>
        <v>300NV Commission - Toyota</v>
      </c>
      <c r="L1263" s="311">
        <f>+SUMIF('TUNZ Extracted TB'!M:M,$P1263,'TUNZ Extracted TB'!G:G)</f>
        <v>0</v>
      </c>
      <c r="M1263" s="311"/>
      <c r="N1263" s="311">
        <f>+SUMIF('Input Sheet'!$AE:$AE,P1263,'Input Sheet'!$X:$X)</f>
        <v>0</v>
      </c>
      <c r="O1263" s="311"/>
      <c r="P1263" t="str">
        <f t="shared" si="113"/>
        <v>300-7175</v>
      </c>
      <c r="Q1263" s="315" t="str">
        <f t="shared" si="114"/>
        <v>New Vehicle</v>
      </c>
      <c r="R1263" s="315" t="str">
        <f t="shared" si="115"/>
        <v>New VehicleCommission p.u.</v>
      </c>
      <c r="S1263" s="199"/>
      <c r="T1263" s="199"/>
      <c r="U1263" s="199"/>
    </row>
    <row r="1264" spans="1:21" x14ac:dyDescent="0.25">
      <c r="A1264" t="s">
        <v>996</v>
      </c>
      <c r="B1264" t="s">
        <v>997</v>
      </c>
      <c r="C1264" t="s">
        <v>1005</v>
      </c>
      <c r="D1264">
        <v>7175</v>
      </c>
      <c r="E1264">
        <v>210</v>
      </c>
      <c r="F1264" t="s">
        <v>1265</v>
      </c>
      <c r="G1264" t="s">
        <v>1266</v>
      </c>
      <c r="H1264" s="315" t="s">
        <v>29</v>
      </c>
      <c r="I1264" s="315" t="s">
        <v>1267</v>
      </c>
      <c r="J1264" s="315" t="str">
        <f t="shared" si="111"/>
        <v>New VehicleCommission p.u.</v>
      </c>
      <c r="K1264" s="315" t="str">
        <f t="shared" si="112"/>
        <v>210NV Commission - Toyota</v>
      </c>
      <c r="L1264" s="311">
        <f>+SUMIF('TUNZ Extracted TB'!M:M,$P1264,'TUNZ Extracted TB'!G:G)</f>
        <v>2500</v>
      </c>
      <c r="M1264" s="311"/>
      <c r="N1264" s="311">
        <f>+SUMIF('Input Sheet'!$AE:$AE,P1264,'Input Sheet'!$X:$X)</f>
        <v>0</v>
      </c>
      <c r="O1264" s="311"/>
      <c r="P1264" t="str">
        <f t="shared" si="113"/>
        <v>210-7175</v>
      </c>
      <c r="Q1264" s="315" t="str">
        <f t="shared" si="114"/>
        <v>New Vehicle</v>
      </c>
      <c r="R1264" s="315" t="str">
        <f t="shared" si="115"/>
        <v>New VehicleCommission p.u.</v>
      </c>
      <c r="S1264" s="199"/>
      <c r="T1264" s="199"/>
      <c r="U1264" s="199"/>
    </row>
    <row r="1265" spans="1:21" x14ac:dyDescent="0.25">
      <c r="A1265" t="s">
        <v>996</v>
      </c>
      <c r="B1265" t="s">
        <v>997</v>
      </c>
      <c r="C1265" t="s">
        <v>997</v>
      </c>
      <c r="D1265">
        <v>7175</v>
      </c>
      <c r="E1265">
        <v>162</v>
      </c>
      <c r="F1265" t="s">
        <v>1260</v>
      </c>
      <c r="G1265" t="s">
        <v>1261</v>
      </c>
      <c r="H1265" s="315" t="s">
        <v>142</v>
      </c>
      <c r="I1265" s="315" t="s">
        <v>1249</v>
      </c>
      <c r="J1265" s="315" t="str">
        <f t="shared" si="111"/>
        <v>LEX F&amp;ISalaries &amp; Commission per vehicle retailed</v>
      </c>
      <c r="K1265" s="315" t="str">
        <f t="shared" si="112"/>
        <v>162F&amp;I Salaries &amp; Commission - Lexus</v>
      </c>
      <c r="L1265" s="311">
        <f>+SUMIF('TUNZ Extracted TB'!M:M,$P1265,'TUNZ Extracted TB'!G:G)</f>
        <v>0</v>
      </c>
      <c r="M1265" s="311"/>
      <c r="N1265" s="311">
        <f>+SUMIF('Input Sheet'!$AE:$AE,P1265,'Input Sheet'!$X:$X)</f>
        <v>0</v>
      </c>
      <c r="O1265" s="311"/>
      <c r="P1265" t="str">
        <f t="shared" si="113"/>
        <v>162-7175</v>
      </c>
      <c r="Q1265" s="315" t="str">
        <f t="shared" si="114"/>
        <v>LEX F&amp;I</v>
      </c>
      <c r="R1265" s="315" t="str">
        <f t="shared" si="115"/>
        <v>LEX F&amp;ISalaries &amp; Commission per vehicle retailed</v>
      </c>
      <c r="S1265" s="199"/>
      <c r="T1265" s="199"/>
      <c r="U1265" s="199"/>
    </row>
    <row r="1266" spans="1:21" x14ac:dyDescent="0.25">
      <c r="A1266" t="s">
        <v>996</v>
      </c>
      <c r="B1266" t="s">
        <v>997</v>
      </c>
      <c r="C1266" t="s">
        <v>1012</v>
      </c>
      <c r="D1266">
        <v>7175</v>
      </c>
      <c r="E1266">
        <v>460</v>
      </c>
      <c r="F1266" t="s">
        <v>1247</v>
      </c>
      <c r="G1266" t="s">
        <v>1248</v>
      </c>
      <c r="H1266" s="315" t="s">
        <v>16</v>
      </c>
      <c r="I1266" s="315" t="s">
        <v>1249</v>
      </c>
      <c r="J1266" s="315" t="str">
        <f t="shared" si="111"/>
        <v>F&amp;ISalaries &amp; Commission per vehicle retailed</v>
      </c>
      <c r="K1266" s="315" t="str">
        <f t="shared" si="112"/>
        <v>460F&amp;I Salaries &amp; Commission - Toyota</v>
      </c>
      <c r="L1266" s="311">
        <f>+SUMIF('TUNZ Extracted TB'!M:M,$P1266,'TUNZ Extracted TB'!G:G)</f>
        <v>0</v>
      </c>
      <c r="M1266" s="311"/>
      <c r="N1266" s="311">
        <f>+SUMIF('Input Sheet'!$AE:$AE,P1266,'Input Sheet'!$X:$X)</f>
        <v>0</v>
      </c>
      <c r="O1266" s="311"/>
      <c r="P1266" t="str">
        <f t="shared" si="113"/>
        <v>460-7175</v>
      </c>
      <c r="Q1266" s="315" t="str">
        <f t="shared" si="114"/>
        <v>F&amp;I</v>
      </c>
      <c r="R1266" s="315" t="str">
        <f t="shared" si="115"/>
        <v>F&amp;ISalaries &amp; Commission per vehicle retailed</v>
      </c>
      <c r="S1266" s="199"/>
      <c r="T1266" s="199"/>
      <c r="U1266" s="199"/>
    </row>
    <row r="1267" spans="1:21" x14ac:dyDescent="0.25">
      <c r="A1267" t="s">
        <v>996</v>
      </c>
      <c r="B1267" t="s">
        <v>997</v>
      </c>
      <c r="C1267" t="s">
        <v>1013</v>
      </c>
      <c r="D1267">
        <v>7175</v>
      </c>
      <c r="E1267">
        <v>360</v>
      </c>
      <c r="F1267" t="s">
        <v>1247</v>
      </c>
      <c r="G1267" t="s">
        <v>1248</v>
      </c>
      <c r="H1267" s="315" t="s">
        <v>16</v>
      </c>
      <c r="I1267" s="315" t="s">
        <v>1249</v>
      </c>
      <c r="J1267" s="315" t="str">
        <f t="shared" si="111"/>
        <v>F&amp;ISalaries &amp; Commission per vehicle retailed</v>
      </c>
      <c r="K1267" s="315" t="str">
        <f t="shared" si="112"/>
        <v>360F&amp;I Salaries &amp; Commission - Toyota</v>
      </c>
      <c r="L1267" s="311">
        <f>+SUMIF('TUNZ Extracted TB'!M:M,$P1267,'TUNZ Extracted TB'!G:G)</f>
        <v>0</v>
      </c>
      <c r="M1267" s="311"/>
      <c r="N1267" s="311">
        <f>+SUMIF('Input Sheet'!$AE:$AE,P1267,'Input Sheet'!$X:$X)</f>
        <v>0</v>
      </c>
      <c r="O1267" s="311"/>
      <c r="P1267" t="str">
        <f t="shared" si="113"/>
        <v>360-7175</v>
      </c>
      <c r="Q1267" s="315" t="str">
        <f t="shared" si="114"/>
        <v>F&amp;I</v>
      </c>
      <c r="R1267" s="315" t="str">
        <f t="shared" si="115"/>
        <v>F&amp;ISalaries &amp; Commission per vehicle retailed</v>
      </c>
      <c r="S1267" s="199"/>
      <c r="T1267" s="199"/>
      <c r="U1267" s="199"/>
    </row>
    <row r="1268" spans="1:21" x14ac:dyDescent="0.25">
      <c r="A1268" t="s">
        <v>996</v>
      </c>
      <c r="B1268" t="s">
        <v>997</v>
      </c>
      <c r="C1268" t="s">
        <v>997</v>
      </c>
      <c r="D1268">
        <v>7175</v>
      </c>
      <c r="E1268">
        <v>122</v>
      </c>
      <c r="F1268" t="s">
        <v>1268</v>
      </c>
      <c r="G1268" t="s">
        <v>1269</v>
      </c>
      <c r="H1268" s="315" t="s">
        <v>1041</v>
      </c>
      <c r="I1268" s="315" t="s">
        <v>1264</v>
      </c>
      <c r="J1268" s="315" t="str">
        <f t="shared" si="111"/>
        <v>LEX Used VehicleCommission per retail</v>
      </c>
      <c r="K1268" s="315" t="str">
        <f t="shared" si="112"/>
        <v>122Lexus UV Commission expense</v>
      </c>
      <c r="L1268" s="311">
        <f>+SUMIF('TUNZ Extracted TB'!M:M,$P1268,'TUNZ Extracted TB'!G:G)</f>
        <v>0</v>
      </c>
      <c r="M1268" s="311"/>
      <c r="N1268" s="311">
        <f>+SUMIF('Input Sheet'!$AE:$AE,P1268,'Input Sheet'!$X:$X)</f>
        <v>0</v>
      </c>
      <c r="O1268" s="311"/>
      <c r="P1268" t="str">
        <f t="shared" si="113"/>
        <v>122-7175</v>
      </c>
      <c r="Q1268" s="315" t="str">
        <f t="shared" si="114"/>
        <v>LEX Used Vehicle</v>
      </c>
      <c r="R1268" s="315" t="str">
        <f t="shared" si="115"/>
        <v>LEX Used VehicleCommission per retail</v>
      </c>
      <c r="S1268" s="199"/>
      <c r="T1268" s="199"/>
      <c r="U1268" s="199"/>
    </row>
    <row r="1269" spans="1:21" x14ac:dyDescent="0.25">
      <c r="A1269" t="s">
        <v>996</v>
      </c>
      <c r="B1269" t="s">
        <v>997</v>
      </c>
      <c r="C1269" t="s">
        <v>1005</v>
      </c>
      <c r="D1269">
        <v>7190</v>
      </c>
      <c r="E1269">
        <v>210</v>
      </c>
      <c r="F1269" t="s">
        <v>1242</v>
      </c>
      <c r="G1269" t="s">
        <v>1243</v>
      </c>
      <c r="H1269" s="315" t="s">
        <v>29</v>
      </c>
      <c r="I1269" s="315" t="s">
        <v>1244</v>
      </c>
      <c r="J1269" s="315" t="str">
        <f t="shared" si="111"/>
        <v>New VehicleSalaries &amp; Wages p.u.</v>
      </c>
      <c r="K1269" s="315" t="str">
        <f t="shared" si="112"/>
        <v>210NV Salaries &amp; Wages - Toyota</v>
      </c>
      <c r="L1269" s="311">
        <f>+SUMIF('TUNZ Extracted TB'!M:M,$P1269,'TUNZ Extracted TB'!G:G)</f>
        <v>10233.6</v>
      </c>
      <c r="M1269" s="311"/>
      <c r="N1269" s="311">
        <f>+SUMIF('Input Sheet'!$AE:$AE,P1269,'Input Sheet'!$X:$X)</f>
        <v>0</v>
      </c>
      <c r="O1269" s="311"/>
      <c r="P1269" t="str">
        <f t="shared" si="113"/>
        <v>210-7190</v>
      </c>
      <c r="Q1269" s="315" t="str">
        <f t="shared" si="114"/>
        <v>New Vehicle</v>
      </c>
      <c r="R1269" s="315" t="str">
        <f t="shared" si="115"/>
        <v>New VehicleSalaries &amp; Wages p.u.</v>
      </c>
      <c r="S1269" s="199"/>
      <c r="T1269" s="199"/>
      <c r="U1269" s="199"/>
    </row>
    <row r="1270" spans="1:21" x14ac:dyDescent="0.25">
      <c r="A1270" t="s">
        <v>996</v>
      </c>
      <c r="B1270" t="s">
        <v>997</v>
      </c>
      <c r="C1270" t="s">
        <v>997</v>
      </c>
      <c r="D1270">
        <v>7190</v>
      </c>
      <c r="E1270">
        <v>110</v>
      </c>
      <c r="F1270" t="s">
        <v>1242</v>
      </c>
      <c r="G1270" t="s">
        <v>1243</v>
      </c>
      <c r="H1270" s="315" t="s">
        <v>29</v>
      </c>
      <c r="I1270" s="315" t="s">
        <v>1244</v>
      </c>
      <c r="J1270" s="315" t="str">
        <f t="shared" si="111"/>
        <v>New VehicleSalaries &amp; Wages p.u.</v>
      </c>
      <c r="K1270" s="315" t="str">
        <f t="shared" si="112"/>
        <v>110NV Salaries &amp; Wages - Toyota</v>
      </c>
      <c r="L1270" s="311">
        <f>+SUMIF('TUNZ Extracted TB'!M:M,$P1270,'TUNZ Extracted TB'!G:G)</f>
        <v>3998.95</v>
      </c>
      <c r="M1270" s="311"/>
      <c r="N1270" s="311">
        <f>+SUMIF('Input Sheet'!$AE:$AE,P1270,'Input Sheet'!$X:$X)</f>
        <v>0</v>
      </c>
      <c r="O1270" s="311"/>
      <c r="P1270" t="str">
        <f t="shared" si="113"/>
        <v>110-7190</v>
      </c>
      <c r="Q1270" s="315" t="str">
        <f t="shared" si="114"/>
        <v>New Vehicle</v>
      </c>
      <c r="R1270" s="315" t="str">
        <f t="shared" si="115"/>
        <v>New VehicleSalaries &amp; Wages p.u.</v>
      </c>
      <c r="S1270" s="199"/>
      <c r="T1270" s="199"/>
      <c r="U1270" s="199"/>
    </row>
    <row r="1271" spans="1:21" x14ac:dyDescent="0.25">
      <c r="A1271" t="s">
        <v>996</v>
      </c>
      <c r="B1271" t="s">
        <v>997</v>
      </c>
      <c r="C1271" t="s">
        <v>997</v>
      </c>
      <c r="D1271">
        <v>7190</v>
      </c>
      <c r="E1271">
        <v>112</v>
      </c>
      <c r="F1271" t="s">
        <v>1258</v>
      </c>
      <c r="G1271" t="s">
        <v>1259</v>
      </c>
      <c r="H1271" s="315" t="s">
        <v>1011</v>
      </c>
      <c r="I1271" s="315" t="s">
        <v>1244</v>
      </c>
      <c r="J1271" s="315" t="str">
        <f t="shared" si="111"/>
        <v>LEX New VehicleSalaries &amp; Wages p.u.</v>
      </c>
      <c r="K1271" s="315" t="str">
        <f t="shared" si="112"/>
        <v>112NV Salaries &amp; Wages - Lexus</v>
      </c>
      <c r="L1271" s="311">
        <f>+SUMIF('TUNZ Extracted TB'!M:M,$P1271,'TUNZ Extracted TB'!G:G)</f>
        <v>0</v>
      </c>
      <c r="M1271" s="311"/>
      <c r="N1271" s="311">
        <f>+SUMIF('Input Sheet'!$AE:$AE,P1271,'Input Sheet'!$X:$X)</f>
        <v>0</v>
      </c>
      <c r="O1271" s="311"/>
      <c r="P1271" t="str">
        <f t="shared" si="113"/>
        <v>112-7190</v>
      </c>
      <c r="Q1271" s="315" t="str">
        <f t="shared" si="114"/>
        <v>LEX New Vehicle</v>
      </c>
      <c r="R1271" s="315" t="str">
        <f t="shared" si="115"/>
        <v>LEX New VehicleSalaries &amp; Wages p.u.</v>
      </c>
      <c r="S1271" s="199"/>
      <c r="T1271" s="199"/>
      <c r="U1271" s="199"/>
    </row>
    <row r="1272" spans="1:21" x14ac:dyDescent="0.25">
      <c r="A1272" t="s">
        <v>996</v>
      </c>
      <c r="B1272" t="s">
        <v>997</v>
      </c>
      <c r="C1272" t="s">
        <v>1013</v>
      </c>
      <c r="D1272">
        <v>7175</v>
      </c>
      <c r="E1272">
        <v>330</v>
      </c>
      <c r="F1272" t="s">
        <v>1256</v>
      </c>
      <c r="G1272" t="s">
        <v>1257</v>
      </c>
      <c r="H1272" s="315" t="s">
        <v>5</v>
      </c>
      <c r="I1272" s="315" t="s">
        <v>1255</v>
      </c>
      <c r="J1272" s="315" t="str">
        <f t="shared" si="111"/>
        <v>PartsSalaries &amp; Commission as % of Sales</v>
      </c>
      <c r="K1272" s="315" t="str">
        <f t="shared" si="112"/>
        <v>330Parts Salaries &amp; Commission - Toyota</v>
      </c>
      <c r="L1272" s="311">
        <f>+SUMIF('TUNZ Extracted TB'!M:M,$P1272,'TUNZ Extracted TB'!G:G)</f>
        <v>0</v>
      </c>
      <c r="M1272" s="311"/>
      <c r="N1272" s="311">
        <f>+SUMIF('Input Sheet'!$AE:$AE,P1272,'Input Sheet'!$X:$X)</f>
        <v>0</v>
      </c>
      <c r="O1272" s="311"/>
      <c r="P1272" t="str">
        <f t="shared" si="113"/>
        <v>330-7175</v>
      </c>
      <c r="Q1272" s="315" t="str">
        <f t="shared" si="114"/>
        <v>Parts</v>
      </c>
      <c r="R1272" s="315" t="str">
        <f t="shared" si="115"/>
        <v>PartsSalaries &amp; Commission as % of Sales</v>
      </c>
      <c r="S1272" s="199"/>
      <c r="T1272" s="199"/>
      <c r="U1272" s="199"/>
    </row>
    <row r="1273" spans="1:21" x14ac:dyDescent="0.25">
      <c r="A1273" t="s">
        <v>996</v>
      </c>
      <c r="B1273" t="s">
        <v>997</v>
      </c>
      <c r="C1273" t="s">
        <v>997</v>
      </c>
      <c r="D1273">
        <v>7175</v>
      </c>
      <c r="E1273">
        <v>147</v>
      </c>
      <c r="F1273" t="s">
        <v>1250</v>
      </c>
      <c r="G1273" t="s">
        <v>1251</v>
      </c>
      <c r="H1273" s="315" t="s">
        <v>17</v>
      </c>
      <c r="I1273" s="315" t="s">
        <v>1252</v>
      </c>
      <c r="J1273" s="315" t="str">
        <f t="shared" si="111"/>
        <v>ServiceSalaries, Commission &amp; Leave as % of Sales</v>
      </c>
      <c r="K1273" s="315" t="str">
        <f t="shared" si="112"/>
        <v>147Service Salaries &amp; Commission - Toyota</v>
      </c>
      <c r="L1273" s="311">
        <f>+SUMIF('TUNZ Extracted TB'!M:M,$P1273,'TUNZ Extracted TB'!G:G)</f>
        <v>0</v>
      </c>
      <c r="M1273" s="311"/>
      <c r="N1273" s="311">
        <f>+SUMIF('Input Sheet'!$AE:$AE,P1273,'Input Sheet'!$X:$X)</f>
        <v>0</v>
      </c>
      <c r="O1273" s="311"/>
      <c r="P1273" t="str">
        <f t="shared" si="113"/>
        <v>147-7175</v>
      </c>
      <c r="Q1273" s="315" t="str">
        <f t="shared" si="114"/>
        <v>Service</v>
      </c>
      <c r="R1273" s="315" t="str">
        <f t="shared" si="115"/>
        <v>ServiceSalaries, Commission &amp; Leave as % of Sales</v>
      </c>
      <c r="S1273" s="199"/>
      <c r="T1273" s="199"/>
      <c r="U1273" s="199"/>
    </row>
    <row r="1274" spans="1:21" x14ac:dyDescent="0.25">
      <c r="A1274" t="s">
        <v>996</v>
      </c>
      <c r="B1274" t="s">
        <v>997</v>
      </c>
      <c r="C1274" t="s">
        <v>997</v>
      </c>
      <c r="D1274">
        <v>7175</v>
      </c>
      <c r="E1274">
        <v>121</v>
      </c>
      <c r="F1274" t="s">
        <v>1262</v>
      </c>
      <c r="G1274" t="s">
        <v>1263</v>
      </c>
      <c r="H1274" s="315" t="s">
        <v>30</v>
      </c>
      <c r="I1274" s="315" t="s">
        <v>1264</v>
      </c>
      <c r="J1274" s="315" t="str">
        <f t="shared" si="111"/>
        <v>Used VehicleCommission per retail</v>
      </c>
      <c r="K1274" s="315" t="str">
        <f t="shared" si="112"/>
        <v>121Toyota UV Commission expense</v>
      </c>
      <c r="L1274" s="311">
        <f>+SUMIF('TUNZ Extracted TB'!M:M,$P1274,'TUNZ Extracted TB'!G:G)</f>
        <v>0</v>
      </c>
      <c r="M1274" s="311"/>
      <c r="N1274" s="311">
        <f>+SUMIF('Input Sheet'!$AE:$AE,P1274,'Input Sheet'!$X:$X)</f>
        <v>0</v>
      </c>
      <c r="O1274" s="311"/>
      <c r="P1274" t="str">
        <f t="shared" si="113"/>
        <v>121-7175</v>
      </c>
      <c r="Q1274" s="315" t="str">
        <f t="shared" si="114"/>
        <v>Used Vehicle</v>
      </c>
      <c r="R1274" s="315" t="str">
        <f t="shared" si="115"/>
        <v>Used VehicleCommission per retail</v>
      </c>
      <c r="S1274" s="199"/>
      <c r="T1274" s="199"/>
      <c r="U1274" s="199"/>
    </row>
    <row r="1275" spans="1:21" x14ac:dyDescent="0.25">
      <c r="A1275" t="s">
        <v>996</v>
      </c>
      <c r="B1275" t="s">
        <v>997</v>
      </c>
      <c r="C1275" t="s">
        <v>1005</v>
      </c>
      <c r="D1275">
        <v>7175</v>
      </c>
      <c r="E1275">
        <v>221</v>
      </c>
      <c r="F1275" t="s">
        <v>1262</v>
      </c>
      <c r="G1275" t="s">
        <v>1263</v>
      </c>
      <c r="H1275" s="315" t="s">
        <v>30</v>
      </c>
      <c r="I1275" s="315" t="s">
        <v>1264</v>
      </c>
      <c r="J1275" s="315" t="str">
        <f t="shared" si="111"/>
        <v>Used VehicleCommission per retail</v>
      </c>
      <c r="K1275" s="315" t="str">
        <f t="shared" si="112"/>
        <v>221Toyota UV Commission expense</v>
      </c>
      <c r="L1275" s="311">
        <f>+SUMIF('TUNZ Extracted TB'!M:M,$P1275,'TUNZ Extracted TB'!G:G)</f>
        <v>0</v>
      </c>
      <c r="M1275" s="311"/>
      <c r="N1275" s="311">
        <f>+SUMIF('Input Sheet'!$AE:$AE,P1275,'Input Sheet'!$X:$X)</f>
        <v>0</v>
      </c>
      <c r="O1275" s="311"/>
      <c r="P1275" t="str">
        <f t="shared" si="113"/>
        <v>221-7175</v>
      </c>
      <c r="Q1275" s="315" t="str">
        <f t="shared" si="114"/>
        <v>Used Vehicle</v>
      </c>
      <c r="R1275" s="315" t="str">
        <f t="shared" si="115"/>
        <v>Used VehicleCommission per retail</v>
      </c>
      <c r="S1275" s="199"/>
      <c r="T1275" s="199"/>
      <c r="U1275" s="199"/>
    </row>
    <row r="1276" spans="1:21" x14ac:dyDescent="0.25">
      <c r="A1276" t="s">
        <v>996</v>
      </c>
      <c r="B1276" t="s">
        <v>997</v>
      </c>
      <c r="C1276" t="s">
        <v>1012</v>
      </c>
      <c r="D1276">
        <v>7175</v>
      </c>
      <c r="E1276">
        <v>410</v>
      </c>
      <c r="F1276" t="s">
        <v>1262</v>
      </c>
      <c r="G1276" t="s">
        <v>1263</v>
      </c>
      <c r="H1276" s="315" t="s">
        <v>30</v>
      </c>
      <c r="I1276" s="315" t="s">
        <v>1264</v>
      </c>
      <c r="J1276" s="315" t="str">
        <f t="shared" si="111"/>
        <v>Used VehicleCommission per retail</v>
      </c>
      <c r="K1276" s="315" t="str">
        <f t="shared" si="112"/>
        <v>410Toyota UV Commission expense</v>
      </c>
      <c r="L1276" s="311">
        <f>+SUMIF('TUNZ Extracted TB'!M:M,$P1276,'TUNZ Extracted TB'!G:G)</f>
        <v>0</v>
      </c>
      <c r="M1276" s="311"/>
      <c r="N1276" s="311">
        <f>+SUMIF('Input Sheet'!$AE:$AE,P1276,'Input Sheet'!$X:$X)</f>
        <v>0</v>
      </c>
      <c r="O1276" s="311"/>
      <c r="P1276" t="str">
        <f t="shared" si="113"/>
        <v>410-7175</v>
      </c>
      <c r="Q1276" s="315" t="str">
        <f t="shared" si="114"/>
        <v>Used Vehicle</v>
      </c>
      <c r="R1276" s="315" t="str">
        <f t="shared" si="115"/>
        <v>Used VehicleCommission per retail</v>
      </c>
      <c r="S1276" s="199"/>
      <c r="T1276" s="199"/>
      <c r="U1276" s="199"/>
    </row>
    <row r="1277" spans="1:21" x14ac:dyDescent="0.25">
      <c r="A1277" t="s">
        <v>996</v>
      </c>
      <c r="B1277" t="s">
        <v>997</v>
      </c>
      <c r="C1277" t="s">
        <v>1012</v>
      </c>
      <c r="D1277">
        <v>7175</v>
      </c>
      <c r="E1277">
        <v>420</v>
      </c>
      <c r="F1277" t="s">
        <v>1262</v>
      </c>
      <c r="G1277" t="s">
        <v>1263</v>
      </c>
      <c r="H1277" s="315" t="s">
        <v>30</v>
      </c>
      <c r="I1277" s="315" t="s">
        <v>1264</v>
      </c>
      <c r="J1277" s="315" t="str">
        <f t="shared" si="111"/>
        <v>Used VehicleCommission per retail</v>
      </c>
      <c r="K1277" s="315" t="str">
        <f t="shared" si="112"/>
        <v>420Toyota UV Commission expense</v>
      </c>
      <c r="L1277" s="311">
        <f>+SUMIF('TUNZ Extracted TB'!M:M,$P1277,'TUNZ Extracted TB'!G:G)</f>
        <v>0</v>
      </c>
      <c r="M1277" s="311"/>
      <c r="N1277" s="311">
        <f>+SUMIF('Input Sheet'!$AE:$AE,P1277,'Input Sheet'!$X:$X)</f>
        <v>0</v>
      </c>
      <c r="O1277" s="311"/>
      <c r="P1277" t="str">
        <f t="shared" si="113"/>
        <v>420-7175</v>
      </c>
      <c r="Q1277" s="315" t="str">
        <f t="shared" si="114"/>
        <v>Used Vehicle</v>
      </c>
      <c r="R1277" s="315" t="str">
        <f t="shared" si="115"/>
        <v>Used VehicleCommission per retail</v>
      </c>
      <c r="S1277" s="199"/>
      <c r="T1277" s="199"/>
      <c r="U1277" s="199"/>
    </row>
    <row r="1278" spans="1:21" x14ac:dyDescent="0.25">
      <c r="A1278" t="s">
        <v>996</v>
      </c>
      <c r="B1278" t="s">
        <v>997</v>
      </c>
      <c r="C1278" t="s">
        <v>1012</v>
      </c>
      <c r="D1278">
        <v>7175</v>
      </c>
      <c r="E1278">
        <v>421</v>
      </c>
      <c r="F1278" t="s">
        <v>1262</v>
      </c>
      <c r="G1278" t="s">
        <v>1263</v>
      </c>
      <c r="H1278" s="315" t="s">
        <v>30</v>
      </c>
      <c r="I1278" s="315" t="s">
        <v>1264</v>
      </c>
      <c r="J1278" s="315" t="str">
        <f t="shared" si="111"/>
        <v>Used VehicleCommission per retail</v>
      </c>
      <c r="K1278" s="315" t="str">
        <f t="shared" si="112"/>
        <v>421Toyota UV Commission expense</v>
      </c>
      <c r="L1278" s="311">
        <f>+SUMIF('TUNZ Extracted TB'!M:M,$P1278,'TUNZ Extracted TB'!G:G)</f>
        <v>0</v>
      </c>
      <c r="M1278" s="311"/>
      <c r="N1278" s="311">
        <f>+SUMIF('Input Sheet'!$AE:$AE,P1278,'Input Sheet'!$X:$X)</f>
        <v>0</v>
      </c>
      <c r="O1278" s="311"/>
      <c r="P1278" t="str">
        <f t="shared" si="113"/>
        <v>421-7175</v>
      </c>
      <c r="Q1278" s="315" t="str">
        <f t="shared" si="114"/>
        <v>Used Vehicle</v>
      </c>
      <c r="R1278" s="315" t="str">
        <f t="shared" si="115"/>
        <v>Used VehicleCommission per retail</v>
      </c>
      <c r="S1278" s="199"/>
      <c r="T1278" s="199"/>
      <c r="U1278" s="199"/>
    </row>
    <row r="1279" spans="1:21" x14ac:dyDescent="0.25">
      <c r="A1279" t="s">
        <v>996</v>
      </c>
      <c r="B1279" t="s">
        <v>997</v>
      </c>
      <c r="C1279" t="s">
        <v>1013</v>
      </c>
      <c r="D1279">
        <v>7175</v>
      </c>
      <c r="E1279">
        <v>310</v>
      </c>
      <c r="F1279" t="s">
        <v>1262</v>
      </c>
      <c r="G1279" t="s">
        <v>1263</v>
      </c>
      <c r="H1279" s="315" t="s">
        <v>30</v>
      </c>
      <c r="I1279" s="315" t="s">
        <v>1264</v>
      </c>
      <c r="J1279" s="315" t="str">
        <f t="shared" si="111"/>
        <v>Used VehicleCommission per retail</v>
      </c>
      <c r="K1279" s="315" t="str">
        <f t="shared" si="112"/>
        <v>310Toyota UV Commission expense</v>
      </c>
      <c r="L1279" s="311">
        <f>+SUMIF('TUNZ Extracted TB'!M:M,$P1279,'TUNZ Extracted TB'!G:G)</f>
        <v>0</v>
      </c>
      <c r="M1279" s="311"/>
      <c r="N1279" s="311">
        <f>+SUMIF('Input Sheet'!$AE:$AE,P1279,'Input Sheet'!$X:$X)</f>
        <v>0</v>
      </c>
      <c r="O1279" s="311"/>
      <c r="P1279" t="str">
        <f t="shared" si="113"/>
        <v>310-7175</v>
      </c>
      <c r="Q1279" s="315" t="str">
        <f t="shared" si="114"/>
        <v>Used Vehicle</v>
      </c>
      <c r="R1279" s="315" t="str">
        <f t="shared" si="115"/>
        <v>Used VehicleCommission per retail</v>
      </c>
      <c r="S1279" s="199"/>
      <c r="T1279" s="199"/>
      <c r="U1279" s="199"/>
    </row>
    <row r="1280" spans="1:21" x14ac:dyDescent="0.25">
      <c r="A1280" t="s">
        <v>996</v>
      </c>
      <c r="B1280" t="s">
        <v>997</v>
      </c>
      <c r="C1280" t="s">
        <v>1013</v>
      </c>
      <c r="D1280">
        <v>7175</v>
      </c>
      <c r="E1280">
        <v>321</v>
      </c>
      <c r="F1280" t="s">
        <v>1262</v>
      </c>
      <c r="G1280" t="s">
        <v>1263</v>
      </c>
      <c r="H1280" s="315" t="s">
        <v>30</v>
      </c>
      <c r="I1280" s="315" t="s">
        <v>1264</v>
      </c>
      <c r="J1280" s="315" t="str">
        <f t="shared" si="111"/>
        <v>Used VehicleCommission per retail</v>
      </c>
      <c r="K1280" s="315" t="str">
        <f t="shared" si="112"/>
        <v>321Toyota UV Commission expense</v>
      </c>
      <c r="L1280" s="311">
        <f>+SUMIF('TUNZ Extracted TB'!M:M,$P1280,'TUNZ Extracted TB'!G:G)</f>
        <v>0</v>
      </c>
      <c r="M1280" s="311"/>
      <c r="N1280" s="311">
        <f>+SUMIF('Input Sheet'!$AE:$AE,P1280,'Input Sheet'!$X:$X)</f>
        <v>0</v>
      </c>
      <c r="O1280" s="311"/>
      <c r="P1280" t="str">
        <f t="shared" si="113"/>
        <v>321-7175</v>
      </c>
      <c r="Q1280" s="315" t="str">
        <f t="shared" si="114"/>
        <v>Used Vehicle</v>
      </c>
      <c r="R1280" s="315" t="str">
        <f t="shared" si="115"/>
        <v>Used VehicleCommission per retail</v>
      </c>
      <c r="S1280" s="199"/>
      <c r="T1280" s="199"/>
      <c r="U1280" s="199"/>
    </row>
    <row r="1281" spans="1:21" x14ac:dyDescent="0.25">
      <c r="A1281" t="s">
        <v>996</v>
      </c>
      <c r="B1281" t="s">
        <v>997</v>
      </c>
      <c r="C1281" t="s">
        <v>1005</v>
      </c>
      <c r="D1281">
        <v>7175</v>
      </c>
      <c r="E1281">
        <v>260</v>
      </c>
      <c r="F1281" t="s">
        <v>1247</v>
      </c>
      <c r="G1281" t="s">
        <v>1248</v>
      </c>
      <c r="H1281" s="315" t="s">
        <v>16</v>
      </c>
      <c r="I1281" s="315" t="s">
        <v>1249</v>
      </c>
      <c r="J1281" s="315" t="str">
        <f t="shared" si="111"/>
        <v>F&amp;ISalaries &amp; Commission per vehicle retailed</v>
      </c>
      <c r="K1281" s="315" t="str">
        <f t="shared" si="112"/>
        <v>260F&amp;I Salaries &amp; Commission - Toyota</v>
      </c>
      <c r="L1281" s="311">
        <f>+SUMIF('TUNZ Extracted TB'!M:M,$P1281,'TUNZ Extracted TB'!G:G)</f>
        <v>1000</v>
      </c>
      <c r="M1281" s="311"/>
      <c r="N1281" s="311">
        <f>+SUMIF('Input Sheet'!$AE:$AE,P1281,'Input Sheet'!$X:$X)</f>
        <v>0</v>
      </c>
      <c r="O1281" s="311"/>
      <c r="P1281" t="str">
        <f t="shared" si="113"/>
        <v>260-7175</v>
      </c>
      <c r="Q1281" s="315" t="str">
        <f t="shared" si="114"/>
        <v>F&amp;I</v>
      </c>
      <c r="R1281" s="315" t="str">
        <f t="shared" si="115"/>
        <v>F&amp;ISalaries &amp; Commission per vehicle retailed</v>
      </c>
      <c r="S1281" s="199"/>
      <c r="T1281" s="199"/>
      <c r="U1281" s="199"/>
    </row>
    <row r="1282" spans="1:21" x14ac:dyDescent="0.25">
      <c r="A1282" t="s">
        <v>996</v>
      </c>
      <c r="B1282" t="s">
        <v>997</v>
      </c>
      <c r="C1282" t="s">
        <v>1005</v>
      </c>
      <c r="D1282">
        <v>7175</v>
      </c>
      <c r="E1282">
        <v>220</v>
      </c>
      <c r="F1282" t="s">
        <v>1262</v>
      </c>
      <c r="G1282" t="s">
        <v>1263</v>
      </c>
      <c r="H1282" s="315" t="s">
        <v>30</v>
      </c>
      <c r="I1282" s="315" t="s">
        <v>1264</v>
      </c>
      <c r="J1282" s="315" t="str">
        <f t="shared" si="111"/>
        <v>Used VehicleCommission per retail</v>
      </c>
      <c r="K1282" s="315" t="str">
        <f t="shared" si="112"/>
        <v>220Toyota UV Commission expense</v>
      </c>
      <c r="L1282" s="311">
        <f>+SUMIF('TUNZ Extracted TB'!M:M,$P1282,'TUNZ Extracted TB'!G:G)</f>
        <v>1500</v>
      </c>
      <c r="M1282" s="311"/>
      <c r="N1282" s="311">
        <f>+SUMIF('Input Sheet'!$AE:$AE,P1282,'Input Sheet'!$X:$X)</f>
        <v>0</v>
      </c>
      <c r="O1282" s="311"/>
      <c r="P1282" t="str">
        <f t="shared" si="113"/>
        <v>220-7175</v>
      </c>
      <c r="Q1282" s="315" t="str">
        <f t="shared" si="114"/>
        <v>Used Vehicle</v>
      </c>
      <c r="R1282" s="315" t="str">
        <f t="shared" si="115"/>
        <v>Used VehicleCommission per retail</v>
      </c>
      <c r="S1282" s="199"/>
      <c r="T1282" s="199"/>
      <c r="U1282" s="199"/>
    </row>
    <row r="1283" spans="1:21" x14ac:dyDescent="0.25">
      <c r="A1283" t="s">
        <v>996</v>
      </c>
      <c r="B1283" t="s">
        <v>997</v>
      </c>
      <c r="C1283" t="s">
        <v>997</v>
      </c>
      <c r="D1283">
        <v>7190</v>
      </c>
      <c r="E1283">
        <v>100</v>
      </c>
      <c r="F1283" t="s">
        <v>1242</v>
      </c>
      <c r="G1283" t="s">
        <v>1243</v>
      </c>
      <c r="H1283" s="315" t="s">
        <v>29</v>
      </c>
      <c r="I1283" s="315" t="s">
        <v>1244</v>
      </c>
      <c r="J1283" s="315" t="str">
        <f t="shared" ref="J1283:J1346" si="116">+H1283&amp;I1283</f>
        <v>New VehicleSalaries &amp; Wages p.u.</v>
      </c>
      <c r="K1283" s="315" t="str">
        <f t="shared" ref="K1283:K1346" si="117">+E1283&amp;G1283</f>
        <v>100NV Salaries &amp; Wages - Toyota</v>
      </c>
      <c r="L1283" s="311">
        <f>+SUMIF('TUNZ Extracted TB'!M:M,$P1283,'TUNZ Extracted TB'!G:G)</f>
        <v>0</v>
      </c>
      <c r="M1283" s="311"/>
      <c r="N1283" s="311">
        <f>+SUMIF('Input Sheet'!$AE:$AE,P1283,'Input Sheet'!$X:$X)</f>
        <v>0</v>
      </c>
      <c r="O1283" s="311"/>
      <c r="P1283" t="str">
        <f t="shared" ref="P1283:P1346" si="118">+E1283&amp;"-"&amp;D1283</f>
        <v>100-7190</v>
      </c>
      <c r="Q1283" s="315" t="str">
        <f t="shared" ref="Q1283:Q1346" si="119">H1283</f>
        <v>New Vehicle</v>
      </c>
      <c r="R1283" s="315" t="str">
        <f t="shared" ref="R1283:R1346" si="120">J1283</f>
        <v>New VehicleSalaries &amp; Wages p.u.</v>
      </c>
      <c r="S1283" s="199"/>
      <c r="T1283" s="199"/>
      <c r="U1283" s="199"/>
    </row>
    <row r="1284" spans="1:21" x14ac:dyDescent="0.25">
      <c r="A1284" t="s">
        <v>996</v>
      </c>
      <c r="B1284" t="s">
        <v>997</v>
      </c>
      <c r="C1284" t="s">
        <v>997</v>
      </c>
      <c r="D1284">
        <v>7180</v>
      </c>
      <c r="E1284">
        <v>120</v>
      </c>
      <c r="F1284" t="s">
        <v>1274</v>
      </c>
      <c r="G1284" t="s">
        <v>1275</v>
      </c>
      <c r="H1284" s="315" t="s">
        <v>1000</v>
      </c>
      <c r="I1284" s="315" t="s">
        <v>1276</v>
      </c>
      <c r="J1284" s="315" t="str">
        <f t="shared" si="116"/>
        <v xml:space="preserve">Admin &amp; OtherStaff Remuneration &amp; Benefits as % of Total Gross </v>
      </c>
      <c r="K1284" s="315" t="str">
        <f t="shared" si="117"/>
        <v>120Admin Staff Salaries - Toyota</v>
      </c>
      <c r="L1284" s="311">
        <f>+SUMIF('TUNZ Extracted TB'!M:M,$P1284,'TUNZ Extracted TB'!G:G)</f>
        <v>23194.31</v>
      </c>
      <c r="M1284" s="311"/>
      <c r="N1284" s="311">
        <f>+SUMIF('Input Sheet'!$AE:$AE,P1284,'Input Sheet'!$X:$X)</f>
        <v>0</v>
      </c>
      <c r="O1284" s="311"/>
      <c r="P1284" t="str">
        <f t="shared" si="118"/>
        <v>120-7180</v>
      </c>
      <c r="Q1284" s="315" t="str">
        <f t="shared" si="119"/>
        <v>Admin &amp; Other</v>
      </c>
      <c r="R1284" s="315" t="str">
        <f t="shared" si="120"/>
        <v xml:space="preserve">Admin &amp; OtherStaff Remuneration &amp; Benefits as % of Total Gross </v>
      </c>
      <c r="S1284" s="199"/>
      <c r="T1284" s="199"/>
      <c r="U1284" s="199"/>
    </row>
    <row r="1285" spans="1:21" x14ac:dyDescent="0.25">
      <c r="A1285" t="s">
        <v>996</v>
      </c>
      <c r="B1285" t="s">
        <v>997</v>
      </c>
      <c r="C1285" t="s">
        <v>1005</v>
      </c>
      <c r="D1285">
        <v>7180</v>
      </c>
      <c r="E1285">
        <v>210</v>
      </c>
      <c r="F1285" t="s">
        <v>1274</v>
      </c>
      <c r="G1285" t="s">
        <v>1275</v>
      </c>
      <c r="H1285" s="315" t="s">
        <v>1000</v>
      </c>
      <c r="I1285" s="315" t="s">
        <v>1276</v>
      </c>
      <c r="J1285" s="315" t="str">
        <f t="shared" si="116"/>
        <v xml:space="preserve">Admin &amp; OtherStaff Remuneration &amp; Benefits as % of Total Gross </v>
      </c>
      <c r="K1285" s="315" t="str">
        <f t="shared" si="117"/>
        <v>210Admin Staff Salaries - Toyota</v>
      </c>
      <c r="L1285" s="311">
        <f>+SUMIF('TUNZ Extracted TB'!M:M,$P1285,'TUNZ Extracted TB'!G:G)</f>
        <v>20239.91</v>
      </c>
      <c r="M1285" s="311"/>
      <c r="N1285" s="311">
        <f>+SUMIF('Input Sheet'!$AE:$AE,P1285,'Input Sheet'!$X:$X)</f>
        <v>0</v>
      </c>
      <c r="O1285" s="311"/>
      <c r="P1285" t="str">
        <f t="shared" si="118"/>
        <v>210-7180</v>
      </c>
      <c r="Q1285" s="315" t="str">
        <f t="shared" si="119"/>
        <v>Admin &amp; Other</v>
      </c>
      <c r="R1285" s="315" t="str">
        <f t="shared" si="120"/>
        <v xml:space="preserve">Admin &amp; OtherStaff Remuneration &amp; Benefits as % of Total Gross </v>
      </c>
      <c r="S1285" s="199"/>
      <c r="T1285" s="199"/>
      <c r="U1285" s="199"/>
    </row>
    <row r="1286" spans="1:21" x14ac:dyDescent="0.25">
      <c r="A1286" t="s">
        <v>996</v>
      </c>
      <c r="B1286" t="s">
        <v>997</v>
      </c>
      <c r="C1286" t="s">
        <v>1005</v>
      </c>
      <c r="D1286">
        <v>7180</v>
      </c>
      <c r="E1286">
        <v>220</v>
      </c>
      <c r="F1286" t="s">
        <v>1274</v>
      </c>
      <c r="G1286" t="s">
        <v>1275</v>
      </c>
      <c r="H1286" s="315" t="s">
        <v>1000</v>
      </c>
      <c r="I1286" s="315" t="s">
        <v>1276</v>
      </c>
      <c r="J1286" s="315" t="str">
        <f t="shared" si="116"/>
        <v xml:space="preserve">Admin &amp; OtherStaff Remuneration &amp; Benefits as % of Total Gross </v>
      </c>
      <c r="K1286" s="315" t="str">
        <f t="shared" si="117"/>
        <v>220Admin Staff Salaries - Toyota</v>
      </c>
      <c r="L1286" s="311">
        <f>+SUMIF('TUNZ Extracted TB'!M:M,$P1286,'TUNZ Extracted TB'!G:G)</f>
        <v>20239.91</v>
      </c>
      <c r="M1286" s="311"/>
      <c r="N1286" s="311">
        <f>+SUMIF('Input Sheet'!$AE:$AE,P1286,'Input Sheet'!$X:$X)</f>
        <v>0</v>
      </c>
      <c r="O1286" s="311"/>
      <c r="P1286" t="str">
        <f t="shared" si="118"/>
        <v>220-7180</v>
      </c>
      <c r="Q1286" s="315" t="str">
        <f t="shared" si="119"/>
        <v>Admin &amp; Other</v>
      </c>
      <c r="R1286" s="315" t="str">
        <f t="shared" si="120"/>
        <v xml:space="preserve">Admin &amp; OtherStaff Remuneration &amp; Benefits as % of Total Gross </v>
      </c>
      <c r="S1286" s="199"/>
      <c r="T1286" s="199"/>
      <c r="U1286" s="199"/>
    </row>
    <row r="1287" spans="1:21" x14ac:dyDescent="0.25">
      <c r="A1287" t="s">
        <v>996</v>
      </c>
      <c r="B1287" t="s">
        <v>997</v>
      </c>
      <c r="C1287" t="s">
        <v>1005</v>
      </c>
      <c r="D1287">
        <v>7180</v>
      </c>
      <c r="E1287">
        <v>240</v>
      </c>
      <c r="F1287" t="s">
        <v>1274</v>
      </c>
      <c r="G1287" t="s">
        <v>1275</v>
      </c>
      <c r="H1287" s="315" t="s">
        <v>1000</v>
      </c>
      <c r="I1287" s="315" t="s">
        <v>1276</v>
      </c>
      <c r="J1287" s="315" t="str">
        <f t="shared" si="116"/>
        <v xml:space="preserve">Admin &amp; OtherStaff Remuneration &amp; Benefits as % of Total Gross </v>
      </c>
      <c r="K1287" s="315" t="str">
        <f t="shared" si="117"/>
        <v>240Admin Staff Salaries - Toyota</v>
      </c>
      <c r="L1287" s="311">
        <f>+SUMIF('TUNZ Extracted TB'!M:M,$P1287,'TUNZ Extracted TB'!G:G)</f>
        <v>17739.22</v>
      </c>
      <c r="M1287" s="311"/>
      <c r="N1287" s="311">
        <f>+SUMIF('Input Sheet'!$AE:$AE,P1287,'Input Sheet'!$X:$X)</f>
        <v>0</v>
      </c>
      <c r="O1287" s="311"/>
      <c r="P1287" t="str">
        <f t="shared" si="118"/>
        <v>240-7180</v>
      </c>
      <c r="Q1287" s="315" t="str">
        <f t="shared" si="119"/>
        <v>Admin &amp; Other</v>
      </c>
      <c r="R1287" s="315" t="str">
        <f t="shared" si="120"/>
        <v xml:space="preserve">Admin &amp; OtherStaff Remuneration &amp; Benefits as % of Total Gross </v>
      </c>
      <c r="S1287" s="199"/>
      <c r="T1287" s="199"/>
      <c r="U1287" s="199"/>
    </row>
    <row r="1288" spans="1:21" x14ac:dyDescent="0.25">
      <c r="A1288" t="s">
        <v>996</v>
      </c>
      <c r="B1288" t="s">
        <v>997</v>
      </c>
      <c r="C1288" t="s">
        <v>1013</v>
      </c>
      <c r="D1288">
        <v>7180</v>
      </c>
      <c r="E1288">
        <v>340</v>
      </c>
      <c r="F1288" t="s">
        <v>1274</v>
      </c>
      <c r="G1288" t="s">
        <v>1275</v>
      </c>
      <c r="H1288" s="315" t="s">
        <v>1000</v>
      </c>
      <c r="I1288" s="315" t="s">
        <v>1276</v>
      </c>
      <c r="J1288" s="315" t="str">
        <f t="shared" si="116"/>
        <v xml:space="preserve">Admin &amp; OtherStaff Remuneration &amp; Benefits as % of Total Gross </v>
      </c>
      <c r="K1288" s="315" t="str">
        <f t="shared" si="117"/>
        <v>340Admin Staff Salaries - Toyota</v>
      </c>
      <c r="L1288" s="311">
        <f>+SUMIF('TUNZ Extracted TB'!M:M,$P1288,'TUNZ Extracted TB'!G:G)</f>
        <v>15621.29</v>
      </c>
      <c r="M1288" s="311"/>
      <c r="N1288" s="311">
        <f>+SUMIF('Input Sheet'!$AE:$AE,P1288,'Input Sheet'!$X:$X)</f>
        <v>0</v>
      </c>
      <c r="O1288" s="311"/>
      <c r="P1288" t="str">
        <f t="shared" si="118"/>
        <v>340-7180</v>
      </c>
      <c r="Q1288" s="315" t="str">
        <f t="shared" si="119"/>
        <v>Admin &amp; Other</v>
      </c>
      <c r="R1288" s="315" t="str">
        <f t="shared" si="120"/>
        <v xml:space="preserve">Admin &amp; OtherStaff Remuneration &amp; Benefits as % of Total Gross </v>
      </c>
      <c r="S1288" s="199"/>
      <c r="T1288" s="199"/>
      <c r="U1288" s="199"/>
    </row>
    <row r="1289" spans="1:21" x14ac:dyDescent="0.25">
      <c r="A1289" t="s">
        <v>996</v>
      </c>
      <c r="B1289" t="s">
        <v>997</v>
      </c>
      <c r="C1289" t="s">
        <v>1012</v>
      </c>
      <c r="D1289">
        <v>7180</v>
      </c>
      <c r="E1289">
        <v>440</v>
      </c>
      <c r="F1289" t="s">
        <v>1274</v>
      </c>
      <c r="G1289" t="s">
        <v>1275</v>
      </c>
      <c r="H1289" s="315" t="s">
        <v>1000</v>
      </c>
      <c r="I1289" s="315" t="s">
        <v>1276</v>
      </c>
      <c r="J1289" s="315" t="str">
        <f t="shared" si="116"/>
        <v xml:space="preserve">Admin &amp; OtherStaff Remuneration &amp; Benefits as % of Total Gross </v>
      </c>
      <c r="K1289" s="315" t="str">
        <f t="shared" si="117"/>
        <v>440Admin Staff Salaries - Toyota</v>
      </c>
      <c r="L1289" s="311">
        <f>+SUMIF('TUNZ Extracted TB'!M:M,$P1289,'TUNZ Extracted TB'!G:G)</f>
        <v>11747.95</v>
      </c>
      <c r="M1289" s="311"/>
      <c r="N1289" s="311">
        <f>+SUMIF('Input Sheet'!$AE:$AE,P1289,'Input Sheet'!$X:$X)</f>
        <v>0</v>
      </c>
      <c r="O1289" s="311"/>
      <c r="P1289" t="str">
        <f t="shared" si="118"/>
        <v>440-7180</v>
      </c>
      <c r="Q1289" s="315" t="str">
        <f t="shared" si="119"/>
        <v>Admin &amp; Other</v>
      </c>
      <c r="R1289" s="315" t="str">
        <f t="shared" si="120"/>
        <v xml:space="preserve">Admin &amp; OtherStaff Remuneration &amp; Benefits as % of Total Gross </v>
      </c>
      <c r="S1289" s="199"/>
      <c r="T1289" s="199"/>
      <c r="U1289" s="199"/>
    </row>
    <row r="1290" spans="1:21" x14ac:dyDescent="0.25">
      <c r="A1290" t="s">
        <v>996</v>
      </c>
      <c r="B1290" t="s">
        <v>997</v>
      </c>
      <c r="C1290" t="s">
        <v>997</v>
      </c>
      <c r="D1290">
        <v>7180</v>
      </c>
      <c r="E1290">
        <v>122</v>
      </c>
      <c r="F1290" t="s">
        <v>1346</v>
      </c>
      <c r="G1290" t="s">
        <v>1347</v>
      </c>
      <c r="H1290" s="315" t="s">
        <v>1023</v>
      </c>
      <c r="I1290" s="315" t="s">
        <v>1276</v>
      </c>
      <c r="J1290" s="315" t="str">
        <f t="shared" si="116"/>
        <v xml:space="preserve">LEX Admin &amp; OtherStaff Remuneration &amp; Benefits as % of Total Gross </v>
      </c>
      <c r="K1290" s="315" t="str">
        <f t="shared" si="117"/>
        <v>122Admin Staff Salaries - Lexus</v>
      </c>
      <c r="L1290" s="311">
        <f>+SUMIF('TUNZ Extracted TB'!M:M,$P1290,'TUNZ Extracted TB'!G:G)</f>
        <v>5209</v>
      </c>
      <c r="M1290" s="311"/>
      <c r="N1290" s="311">
        <f>+SUMIF('Input Sheet'!$AE:$AE,P1290,'Input Sheet'!$X:$X)</f>
        <v>0</v>
      </c>
      <c r="O1290" s="311"/>
      <c r="P1290" t="str">
        <f t="shared" si="118"/>
        <v>122-7180</v>
      </c>
      <c r="Q1290" s="315" t="str">
        <f t="shared" si="119"/>
        <v>LEX Admin &amp; Other</v>
      </c>
      <c r="R1290" s="315" t="str">
        <f t="shared" si="120"/>
        <v xml:space="preserve">LEX Admin &amp; OtherStaff Remuneration &amp; Benefits as % of Total Gross </v>
      </c>
      <c r="S1290" s="199"/>
      <c r="T1290" s="199"/>
      <c r="U1290" s="199"/>
    </row>
    <row r="1291" spans="1:21" x14ac:dyDescent="0.25">
      <c r="A1291" t="s">
        <v>996</v>
      </c>
      <c r="B1291" t="s">
        <v>997</v>
      </c>
      <c r="C1291" t="s">
        <v>1005</v>
      </c>
      <c r="D1291">
        <v>7180</v>
      </c>
      <c r="E1291">
        <v>230</v>
      </c>
      <c r="F1291" t="s">
        <v>1274</v>
      </c>
      <c r="G1291" t="s">
        <v>1275</v>
      </c>
      <c r="H1291" s="315" t="s">
        <v>1000</v>
      </c>
      <c r="I1291" s="315" t="s">
        <v>1276</v>
      </c>
      <c r="J1291" s="315" t="str">
        <f t="shared" si="116"/>
        <v xml:space="preserve">Admin &amp; OtherStaff Remuneration &amp; Benefits as % of Total Gross </v>
      </c>
      <c r="K1291" s="315" t="str">
        <f t="shared" si="117"/>
        <v>230Admin Staff Salaries - Toyota</v>
      </c>
      <c r="L1291" s="311">
        <f>+SUMIF('TUNZ Extracted TB'!M:M,$P1291,'TUNZ Extracted TB'!G:G)</f>
        <v>4620.57</v>
      </c>
      <c r="M1291" s="311"/>
      <c r="N1291" s="311">
        <f>+SUMIF('Input Sheet'!$AE:$AE,P1291,'Input Sheet'!$X:$X)</f>
        <v>0</v>
      </c>
      <c r="O1291" s="311"/>
      <c r="P1291" t="str">
        <f t="shared" si="118"/>
        <v>230-7180</v>
      </c>
      <c r="Q1291" s="315" t="str">
        <f t="shared" si="119"/>
        <v>Admin &amp; Other</v>
      </c>
      <c r="R1291" s="315" t="str">
        <f t="shared" si="120"/>
        <v xml:space="preserve">Admin &amp; OtherStaff Remuneration &amp; Benefits as % of Total Gross </v>
      </c>
      <c r="S1291" s="199"/>
      <c r="T1291" s="199"/>
      <c r="U1291" s="199"/>
    </row>
    <row r="1292" spans="1:21" x14ac:dyDescent="0.25">
      <c r="A1292" t="s">
        <v>996</v>
      </c>
      <c r="B1292" t="s">
        <v>997</v>
      </c>
      <c r="C1292" t="s">
        <v>997</v>
      </c>
      <c r="D1292">
        <v>7180</v>
      </c>
      <c r="E1292">
        <v>935</v>
      </c>
      <c r="F1292" t="s">
        <v>1175</v>
      </c>
      <c r="G1292" t="s">
        <v>1176</v>
      </c>
      <c r="H1292" s="315" t="s">
        <v>1023</v>
      </c>
      <c r="I1292" s="315" t="s">
        <v>1276</v>
      </c>
      <c r="J1292" s="315" t="str">
        <f t="shared" si="116"/>
        <v xml:space="preserve">LEX Admin &amp; OtherStaff Remuneration &amp; Benefits as % of Total Gross </v>
      </c>
      <c r="K1292" s="315" t="str">
        <f t="shared" si="117"/>
        <v>935Other franchise/business expense</v>
      </c>
      <c r="L1292" s="311">
        <f>+SUMIF('TUNZ Extracted TB'!M:M,$P1292,'TUNZ Extracted TB'!G:G)</f>
        <v>4620.57</v>
      </c>
      <c r="M1292" s="311"/>
      <c r="N1292" s="311">
        <f>+SUMIF('Input Sheet'!$AE:$AE,P1292,'Input Sheet'!$X:$X)</f>
        <v>0</v>
      </c>
      <c r="O1292" s="311"/>
      <c r="P1292" t="str">
        <f t="shared" si="118"/>
        <v>935-7180</v>
      </c>
      <c r="Q1292" s="315" t="str">
        <f t="shared" si="119"/>
        <v>LEX Admin &amp; Other</v>
      </c>
      <c r="R1292" s="315" t="str">
        <f t="shared" si="120"/>
        <v xml:space="preserve">LEX Admin &amp; OtherStaff Remuneration &amp; Benefits as % of Total Gross </v>
      </c>
      <c r="S1292" s="199"/>
      <c r="T1292" s="199"/>
      <c r="U1292" s="199"/>
    </row>
    <row r="1293" spans="1:21" x14ac:dyDescent="0.25">
      <c r="A1293" t="s">
        <v>996</v>
      </c>
      <c r="B1293" t="s">
        <v>997</v>
      </c>
      <c r="C1293" t="s">
        <v>997</v>
      </c>
      <c r="D1293">
        <v>7180</v>
      </c>
      <c r="E1293">
        <v>150</v>
      </c>
      <c r="F1293" t="s">
        <v>1274</v>
      </c>
      <c r="G1293" t="s">
        <v>1275</v>
      </c>
      <c r="H1293" s="315" t="s">
        <v>1023</v>
      </c>
      <c r="I1293" s="315" t="s">
        <v>1276</v>
      </c>
      <c r="J1293" s="315" t="str">
        <f t="shared" si="116"/>
        <v xml:space="preserve">LEX Admin &amp; OtherStaff Remuneration &amp; Benefits as % of Total Gross </v>
      </c>
      <c r="K1293" s="315" t="str">
        <f t="shared" si="117"/>
        <v>150Admin Staff Salaries - Toyota</v>
      </c>
      <c r="L1293" s="311">
        <f>+SUMIF('TUNZ Extracted TB'!M:M,$P1293,'TUNZ Extracted TB'!G:G)</f>
        <v>3133.87</v>
      </c>
      <c r="M1293" s="311"/>
      <c r="N1293" s="311">
        <f>+SUMIF('Input Sheet'!$AE:$AE,P1293,'Input Sheet'!$X:$X)</f>
        <v>0</v>
      </c>
      <c r="O1293" s="311"/>
      <c r="P1293" t="str">
        <f t="shared" si="118"/>
        <v>150-7180</v>
      </c>
      <c r="Q1293" s="315" t="str">
        <f t="shared" si="119"/>
        <v>LEX Admin &amp; Other</v>
      </c>
      <c r="R1293" s="315" t="str">
        <f t="shared" si="120"/>
        <v xml:space="preserve">LEX Admin &amp; OtherStaff Remuneration &amp; Benefits as % of Total Gross </v>
      </c>
      <c r="S1293" s="199"/>
      <c r="T1293" s="199"/>
      <c r="U1293" s="199"/>
    </row>
    <row r="1294" spans="1:21" x14ac:dyDescent="0.25">
      <c r="A1294" t="s">
        <v>996</v>
      </c>
      <c r="B1294" t="s">
        <v>997</v>
      </c>
      <c r="C1294" t="s">
        <v>997</v>
      </c>
      <c r="D1294">
        <v>7180</v>
      </c>
      <c r="E1294">
        <v>160</v>
      </c>
      <c r="F1294" t="s">
        <v>1274</v>
      </c>
      <c r="G1294" t="s">
        <v>1275</v>
      </c>
      <c r="H1294" s="315" t="s">
        <v>1000</v>
      </c>
      <c r="I1294" s="315" t="s">
        <v>1276</v>
      </c>
      <c r="J1294" s="315" t="str">
        <f t="shared" si="116"/>
        <v xml:space="preserve">Admin &amp; OtherStaff Remuneration &amp; Benefits as % of Total Gross </v>
      </c>
      <c r="K1294" s="315" t="str">
        <f t="shared" si="117"/>
        <v>160Admin Staff Salaries - Toyota</v>
      </c>
      <c r="L1294" s="311">
        <f>+SUMIF('TUNZ Extracted TB'!M:M,$P1294,'TUNZ Extracted TB'!G:G)</f>
        <v>3292.87</v>
      </c>
      <c r="M1294" s="311"/>
      <c r="N1294" s="311">
        <f>+SUMIF('Input Sheet'!$AE:$AE,P1294,'Input Sheet'!$X:$X)</f>
        <v>0</v>
      </c>
      <c r="O1294" s="311"/>
      <c r="P1294" t="str">
        <f t="shared" si="118"/>
        <v>160-7180</v>
      </c>
      <c r="Q1294" s="315" t="str">
        <f t="shared" si="119"/>
        <v>Admin &amp; Other</v>
      </c>
      <c r="R1294" s="315" t="str">
        <f t="shared" si="120"/>
        <v xml:space="preserve">Admin &amp; OtherStaff Remuneration &amp; Benefits as % of Total Gross </v>
      </c>
      <c r="S1294" s="199"/>
      <c r="T1294" s="199"/>
      <c r="U1294" s="199"/>
    </row>
    <row r="1295" spans="1:21" x14ac:dyDescent="0.25">
      <c r="A1295" s="316">
        <v>44866</v>
      </c>
      <c r="B1295" t="s">
        <v>997</v>
      </c>
      <c r="C1295" t="s">
        <v>997</v>
      </c>
      <c r="D1295">
        <v>7180</v>
      </c>
      <c r="E1295">
        <v>190</v>
      </c>
      <c r="G1295" t="s">
        <v>125</v>
      </c>
      <c r="H1295" s="315" t="s">
        <v>1000</v>
      </c>
      <c r="I1295" s="315" t="s">
        <v>1001</v>
      </c>
      <c r="J1295" s="315" t="str">
        <f t="shared" si="116"/>
        <v>Admin &amp; OtherOther Overheads as % of Total Gross Profit</v>
      </c>
      <c r="K1295" s="315" t="str">
        <f t="shared" si="117"/>
        <v>190Salaries: Support Services</v>
      </c>
      <c r="L1295" s="311">
        <f>+SUMIF('TUNZ Extracted TB'!M:M,$P1295,'TUNZ Extracted TB'!G:G)</f>
        <v>0</v>
      </c>
      <c r="M1295" s="311"/>
      <c r="N1295" s="311">
        <f>+SUMIF('Input Sheet'!$AE:$AE,P1295,'Input Sheet'!$X:$X)</f>
        <v>0</v>
      </c>
      <c r="O1295" s="311"/>
      <c r="P1295" t="str">
        <f t="shared" si="118"/>
        <v>190-7180</v>
      </c>
      <c r="Q1295" s="315" t="str">
        <f t="shared" si="119"/>
        <v>Admin &amp; Other</v>
      </c>
      <c r="R1295" s="315" t="str">
        <f t="shared" si="120"/>
        <v>Admin &amp; OtherOther Overheads as % of Total Gross Profit</v>
      </c>
      <c r="S1295" s="199"/>
      <c r="T1295" s="199"/>
      <c r="U1295" s="199"/>
    </row>
    <row r="1296" spans="1:21" x14ac:dyDescent="0.25">
      <c r="A1296" t="s">
        <v>996</v>
      </c>
      <c r="B1296" t="s">
        <v>997</v>
      </c>
      <c r="C1296" t="s">
        <v>1005</v>
      </c>
      <c r="D1296">
        <v>7180</v>
      </c>
      <c r="E1296">
        <v>260</v>
      </c>
      <c r="F1296" t="s">
        <v>1274</v>
      </c>
      <c r="G1296" t="s">
        <v>1275</v>
      </c>
      <c r="H1296" s="315" t="s">
        <v>1000</v>
      </c>
      <c r="I1296" s="315" t="s">
        <v>1276</v>
      </c>
      <c r="J1296" s="315" t="str">
        <f t="shared" si="116"/>
        <v xml:space="preserve">Admin &amp; OtherStaff Remuneration &amp; Benefits as % of Total Gross </v>
      </c>
      <c r="K1296" s="315" t="str">
        <f t="shared" si="117"/>
        <v>260Admin Staff Salaries - Toyota</v>
      </c>
      <c r="L1296" s="311">
        <f>+SUMIF('TUNZ Extracted TB'!M:M,$P1296,'TUNZ Extracted TB'!G:G)</f>
        <v>1540.19</v>
      </c>
      <c r="M1296" s="311"/>
      <c r="N1296" s="311">
        <f>+SUMIF('Input Sheet'!$AE:$AE,P1296,'Input Sheet'!$X:$X)</f>
        <v>0</v>
      </c>
      <c r="O1296" s="311"/>
      <c r="P1296" t="str">
        <f t="shared" si="118"/>
        <v>260-7180</v>
      </c>
      <c r="Q1296" s="315" t="str">
        <f t="shared" si="119"/>
        <v>Admin &amp; Other</v>
      </c>
      <c r="R1296" s="315" t="str">
        <f t="shared" si="120"/>
        <v xml:space="preserve">Admin &amp; OtherStaff Remuneration &amp; Benefits as % of Total Gross </v>
      </c>
      <c r="S1296" s="199"/>
      <c r="T1296" s="199"/>
      <c r="U1296" s="199"/>
    </row>
    <row r="1297" spans="1:21" x14ac:dyDescent="0.25">
      <c r="A1297" t="s">
        <v>996</v>
      </c>
      <c r="B1297" t="s">
        <v>997</v>
      </c>
      <c r="C1297" t="s">
        <v>1012</v>
      </c>
      <c r="D1297">
        <v>7180</v>
      </c>
      <c r="E1297">
        <v>430</v>
      </c>
      <c r="F1297" t="s">
        <v>1274</v>
      </c>
      <c r="G1297" t="s">
        <v>1275</v>
      </c>
      <c r="H1297" s="315" t="s">
        <v>1000</v>
      </c>
      <c r="I1297" s="315" t="s">
        <v>1276</v>
      </c>
      <c r="J1297" s="315" t="str">
        <f t="shared" si="116"/>
        <v xml:space="preserve">Admin &amp; OtherStaff Remuneration &amp; Benefits as % of Total Gross </v>
      </c>
      <c r="K1297" s="315" t="str">
        <f t="shared" si="117"/>
        <v>430Admin Staff Salaries - Toyota</v>
      </c>
      <c r="L1297" s="311">
        <f>+SUMIF('TUNZ Extracted TB'!M:M,$P1297,'TUNZ Extracted TB'!G:G)</f>
        <v>1540.19</v>
      </c>
      <c r="M1297" s="311"/>
      <c r="N1297" s="311">
        <f>+SUMIF('Input Sheet'!$AE:$AE,P1297,'Input Sheet'!$X:$X)</f>
        <v>0</v>
      </c>
      <c r="O1297" s="311"/>
      <c r="P1297" t="str">
        <f t="shared" si="118"/>
        <v>430-7180</v>
      </c>
      <c r="Q1297" s="315" t="str">
        <f t="shared" si="119"/>
        <v>Admin &amp; Other</v>
      </c>
      <c r="R1297" s="315" t="str">
        <f t="shared" si="120"/>
        <v xml:space="preserve">Admin &amp; OtherStaff Remuneration &amp; Benefits as % of Total Gross </v>
      </c>
      <c r="S1297" s="199"/>
      <c r="T1297" s="199"/>
      <c r="U1297" s="199"/>
    </row>
    <row r="1298" spans="1:21" x14ac:dyDescent="0.25">
      <c r="A1298" t="s">
        <v>996</v>
      </c>
      <c r="B1298" t="s">
        <v>997</v>
      </c>
      <c r="C1298" t="s">
        <v>1013</v>
      </c>
      <c r="D1298">
        <v>7180</v>
      </c>
      <c r="E1298">
        <v>330</v>
      </c>
      <c r="F1298" t="s">
        <v>1274</v>
      </c>
      <c r="G1298" t="s">
        <v>1275</v>
      </c>
      <c r="H1298" s="315" t="s">
        <v>1000</v>
      </c>
      <c r="I1298" s="315" t="s">
        <v>1276</v>
      </c>
      <c r="J1298" s="315" t="str">
        <f t="shared" si="116"/>
        <v xml:space="preserve">Admin &amp; OtherStaff Remuneration &amp; Benefits as % of Total Gross </v>
      </c>
      <c r="K1298" s="315" t="str">
        <f t="shared" si="117"/>
        <v>330Admin Staff Salaries - Toyota</v>
      </c>
      <c r="L1298" s="311">
        <f>+SUMIF('TUNZ Extracted TB'!M:M,$P1298,'TUNZ Extracted TB'!G:G)</f>
        <v>1540.19</v>
      </c>
      <c r="M1298" s="311"/>
      <c r="N1298" s="311">
        <f>+SUMIF('Input Sheet'!$AE:$AE,P1298,'Input Sheet'!$X:$X)</f>
        <v>0</v>
      </c>
      <c r="O1298" s="311"/>
      <c r="P1298" t="str">
        <f t="shared" si="118"/>
        <v>330-7180</v>
      </c>
      <c r="Q1298" s="315" t="str">
        <f t="shared" si="119"/>
        <v>Admin &amp; Other</v>
      </c>
      <c r="R1298" s="315" t="str">
        <f t="shared" si="120"/>
        <v xml:space="preserve">Admin &amp; OtherStaff Remuneration &amp; Benefits as % of Total Gross </v>
      </c>
      <c r="S1298" s="199"/>
      <c r="T1298" s="199"/>
      <c r="U1298" s="199"/>
    </row>
    <row r="1299" spans="1:21" x14ac:dyDescent="0.25">
      <c r="A1299" t="s">
        <v>996</v>
      </c>
      <c r="B1299" t="s">
        <v>997</v>
      </c>
      <c r="C1299" t="s">
        <v>997</v>
      </c>
      <c r="D1299">
        <v>7180</v>
      </c>
      <c r="E1299">
        <v>936</v>
      </c>
      <c r="F1299" t="s">
        <v>1175</v>
      </c>
      <c r="G1299" t="s">
        <v>1176</v>
      </c>
      <c r="H1299" s="315" t="s">
        <v>1023</v>
      </c>
      <c r="I1299" s="315" t="s">
        <v>1276</v>
      </c>
      <c r="J1299" s="315" t="str">
        <f t="shared" si="116"/>
        <v xml:space="preserve">LEX Admin &amp; OtherStaff Remuneration &amp; Benefits as % of Total Gross </v>
      </c>
      <c r="K1299" s="315" t="str">
        <f t="shared" si="117"/>
        <v>936Other franchise/business expense</v>
      </c>
      <c r="L1299" s="311">
        <f>+SUMIF('TUNZ Extracted TB'!M:M,$P1299,'TUNZ Extracted TB'!G:G)</f>
        <v>1540.16</v>
      </c>
      <c r="M1299" s="311"/>
      <c r="N1299" s="311">
        <f>+SUMIF('Input Sheet'!$AE:$AE,P1299,'Input Sheet'!$X:$X)</f>
        <v>0</v>
      </c>
      <c r="O1299" s="311"/>
      <c r="P1299" t="str">
        <f t="shared" si="118"/>
        <v>936-7180</v>
      </c>
      <c r="Q1299" s="315" t="str">
        <f t="shared" si="119"/>
        <v>LEX Admin &amp; Other</v>
      </c>
      <c r="R1299" s="315" t="str">
        <f t="shared" si="120"/>
        <v xml:space="preserve">LEX Admin &amp; OtherStaff Remuneration &amp; Benefits as % of Total Gross </v>
      </c>
      <c r="S1299" s="199"/>
      <c r="T1299" s="199"/>
      <c r="U1299" s="199"/>
    </row>
    <row r="1300" spans="1:21" x14ac:dyDescent="0.25">
      <c r="A1300" t="s">
        <v>996</v>
      </c>
      <c r="B1300" t="s">
        <v>997</v>
      </c>
      <c r="C1300" t="s">
        <v>997</v>
      </c>
      <c r="D1300">
        <v>7180</v>
      </c>
      <c r="E1300">
        <v>140</v>
      </c>
      <c r="F1300" t="s">
        <v>1274</v>
      </c>
      <c r="G1300" t="s">
        <v>1275</v>
      </c>
      <c r="H1300" s="315" t="s">
        <v>1000</v>
      </c>
      <c r="I1300" s="315" t="s">
        <v>1276</v>
      </c>
      <c r="J1300" s="315" t="str">
        <f t="shared" si="116"/>
        <v xml:space="preserve">Admin &amp; OtherStaff Remuneration &amp; Benefits as % of Total Gross </v>
      </c>
      <c r="K1300" s="315" t="str">
        <f t="shared" si="117"/>
        <v>140Admin Staff Salaries - Toyota</v>
      </c>
      <c r="L1300" s="311">
        <f>+SUMIF('TUNZ Extracted TB'!M:M,$P1300,'TUNZ Extracted TB'!G:G)</f>
        <v>25501.63</v>
      </c>
      <c r="M1300" s="311"/>
      <c r="N1300" s="311">
        <f>+SUMIF('Input Sheet'!$AE:$AE,P1300,'Input Sheet'!$X:$X)</f>
        <v>0</v>
      </c>
      <c r="O1300" s="311"/>
      <c r="P1300" t="str">
        <f t="shared" si="118"/>
        <v>140-7180</v>
      </c>
      <c r="Q1300" s="315" t="str">
        <f t="shared" si="119"/>
        <v>Admin &amp; Other</v>
      </c>
      <c r="R1300" s="315" t="str">
        <f t="shared" si="120"/>
        <v xml:space="preserve">Admin &amp; OtherStaff Remuneration &amp; Benefits as % of Total Gross </v>
      </c>
      <c r="S1300" s="199"/>
      <c r="T1300" s="199"/>
      <c r="U1300" s="199"/>
    </row>
    <row r="1301" spans="1:21" x14ac:dyDescent="0.25">
      <c r="A1301" t="s">
        <v>996</v>
      </c>
      <c r="B1301" t="s">
        <v>997</v>
      </c>
      <c r="C1301" t="s">
        <v>997</v>
      </c>
      <c r="D1301">
        <v>7180</v>
      </c>
      <c r="E1301">
        <v>142</v>
      </c>
      <c r="F1301" t="s">
        <v>1346</v>
      </c>
      <c r="G1301" t="s">
        <v>1347</v>
      </c>
      <c r="H1301" s="315" t="s">
        <v>1023</v>
      </c>
      <c r="I1301" s="315" t="s">
        <v>1276</v>
      </c>
      <c r="J1301" s="315" t="str">
        <f t="shared" si="116"/>
        <v xml:space="preserve">LEX Admin &amp; OtherStaff Remuneration &amp; Benefits as % of Total Gross </v>
      </c>
      <c r="K1301" s="315" t="str">
        <f t="shared" si="117"/>
        <v>142Admin Staff Salaries - Lexus</v>
      </c>
      <c r="L1301" s="311">
        <f>+SUMIF('TUNZ Extracted TB'!M:M,$P1301,'TUNZ Extracted TB'!G:G)</f>
        <v>26079.35</v>
      </c>
      <c r="M1301" s="311"/>
      <c r="N1301" s="311">
        <f>+SUMIF('Input Sheet'!$AE:$AE,P1301,'Input Sheet'!$X:$X)</f>
        <v>0</v>
      </c>
      <c r="O1301" s="311"/>
      <c r="P1301" t="str">
        <f t="shared" si="118"/>
        <v>142-7180</v>
      </c>
      <c r="Q1301" s="315" t="str">
        <f t="shared" si="119"/>
        <v>LEX Admin &amp; Other</v>
      </c>
      <c r="R1301" s="315" t="str">
        <f t="shared" si="120"/>
        <v xml:space="preserve">LEX Admin &amp; OtherStaff Remuneration &amp; Benefits as % of Total Gross </v>
      </c>
      <c r="S1301" s="199"/>
      <c r="T1301" s="199"/>
      <c r="U1301" s="199"/>
    </row>
    <row r="1302" spans="1:21" x14ac:dyDescent="0.25">
      <c r="A1302" t="s">
        <v>996</v>
      </c>
      <c r="B1302" t="s">
        <v>997</v>
      </c>
      <c r="C1302" t="s">
        <v>997</v>
      </c>
      <c r="D1302">
        <v>7180</v>
      </c>
      <c r="E1302">
        <v>130</v>
      </c>
      <c r="F1302" t="s">
        <v>1274</v>
      </c>
      <c r="G1302" t="s">
        <v>1275</v>
      </c>
      <c r="H1302" s="315" t="s">
        <v>1000</v>
      </c>
      <c r="I1302" s="315" t="s">
        <v>1276</v>
      </c>
      <c r="J1302" s="315" t="str">
        <f t="shared" si="116"/>
        <v xml:space="preserve">Admin &amp; OtherStaff Remuneration &amp; Benefits as % of Total Gross </v>
      </c>
      <c r="K1302" s="315" t="str">
        <f t="shared" si="117"/>
        <v>130Admin Staff Salaries - Toyota</v>
      </c>
      <c r="L1302" s="311">
        <f>+SUMIF('TUNZ Extracted TB'!M:M,$P1302,'TUNZ Extracted TB'!G:G)</f>
        <v>10781.31</v>
      </c>
      <c r="M1302" s="311"/>
      <c r="N1302" s="311">
        <f>+SUMIF('Input Sheet'!$AE:$AE,P1302,'Input Sheet'!$X:$X)</f>
        <v>0</v>
      </c>
      <c r="O1302" s="311"/>
      <c r="P1302" t="str">
        <f t="shared" si="118"/>
        <v>130-7180</v>
      </c>
      <c r="Q1302" s="315" t="str">
        <f t="shared" si="119"/>
        <v>Admin &amp; Other</v>
      </c>
      <c r="R1302" s="315" t="str">
        <f t="shared" si="120"/>
        <v xml:space="preserve">Admin &amp; OtherStaff Remuneration &amp; Benefits as % of Total Gross </v>
      </c>
      <c r="S1302" s="199"/>
      <c r="T1302" s="199"/>
      <c r="U1302" s="199"/>
    </row>
    <row r="1303" spans="1:21" x14ac:dyDescent="0.25">
      <c r="A1303" t="s">
        <v>996</v>
      </c>
      <c r="B1303" t="s">
        <v>997</v>
      </c>
      <c r="C1303" t="s">
        <v>997</v>
      </c>
      <c r="D1303">
        <v>7180</v>
      </c>
      <c r="E1303">
        <v>132</v>
      </c>
      <c r="F1303" t="s">
        <v>1346</v>
      </c>
      <c r="G1303" t="s">
        <v>1347</v>
      </c>
      <c r="H1303" s="315" t="s">
        <v>1023</v>
      </c>
      <c r="I1303" s="315" t="s">
        <v>1276</v>
      </c>
      <c r="J1303" s="315" t="str">
        <f t="shared" si="116"/>
        <v xml:space="preserve">LEX Admin &amp; OtherStaff Remuneration &amp; Benefits as % of Total Gross </v>
      </c>
      <c r="K1303" s="315" t="str">
        <f t="shared" si="117"/>
        <v>132Admin Staff Salaries - Lexus</v>
      </c>
      <c r="L1303" s="311">
        <f>+SUMIF('TUNZ Extracted TB'!M:M,$P1303,'TUNZ Extracted TB'!G:G)</f>
        <v>0</v>
      </c>
      <c r="M1303" s="311"/>
      <c r="N1303" s="311">
        <f>+SUMIF('Input Sheet'!$AE:$AE,P1303,'Input Sheet'!$X:$X)</f>
        <v>0</v>
      </c>
      <c r="O1303" s="311"/>
      <c r="P1303" t="str">
        <f t="shared" si="118"/>
        <v>132-7180</v>
      </c>
      <c r="Q1303" s="315" t="str">
        <f t="shared" si="119"/>
        <v>LEX Admin &amp; Other</v>
      </c>
      <c r="R1303" s="315" t="str">
        <f t="shared" si="120"/>
        <v xml:space="preserve">LEX Admin &amp; OtherStaff Remuneration &amp; Benefits as % of Total Gross </v>
      </c>
      <c r="S1303" s="199"/>
      <c r="T1303" s="199"/>
      <c r="U1303" s="199"/>
    </row>
    <row r="1304" spans="1:21" x14ac:dyDescent="0.25">
      <c r="A1304" t="s">
        <v>996</v>
      </c>
      <c r="B1304" t="s">
        <v>997</v>
      </c>
      <c r="C1304" t="s">
        <v>997</v>
      </c>
      <c r="D1304">
        <v>7180</v>
      </c>
      <c r="E1304">
        <v>110</v>
      </c>
      <c r="F1304" t="s">
        <v>1274</v>
      </c>
      <c r="G1304" t="s">
        <v>1275</v>
      </c>
      <c r="H1304" s="315" t="s">
        <v>1000</v>
      </c>
      <c r="I1304" s="315" t="s">
        <v>1276</v>
      </c>
      <c r="J1304" s="315" t="str">
        <f t="shared" si="116"/>
        <v xml:space="preserve">Admin &amp; OtherStaff Remuneration &amp; Benefits as % of Total Gross </v>
      </c>
      <c r="K1304" s="315" t="str">
        <f t="shared" si="117"/>
        <v>110Admin Staff Salaries - Toyota</v>
      </c>
      <c r="L1304" s="311">
        <f>+SUMIF('TUNZ Extracted TB'!M:M,$P1304,'TUNZ Extracted TB'!G:G)</f>
        <v>22192.959999999999</v>
      </c>
      <c r="M1304" s="311"/>
      <c r="N1304" s="311">
        <f>+SUMIF('Input Sheet'!$AE:$AE,P1304,'Input Sheet'!$X:$X)</f>
        <v>175404.55906235852</v>
      </c>
      <c r="O1304" s="311"/>
      <c r="P1304" t="str">
        <f t="shared" si="118"/>
        <v>110-7180</v>
      </c>
      <c r="Q1304" s="315" t="str">
        <f t="shared" si="119"/>
        <v>Admin &amp; Other</v>
      </c>
      <c r="R1304" s="315" t="str">
        <f t="shared" si="120"/>
        <v xml:space="preserve">Admin &amp; OtherStaff Remuneration &amp; Benefits as % of Total Gross </v>
      </c>
      <c r="S1304" s="199"/>
      <c r="T1304" s="199"/>
      <c r="U1304" s="199"/>
    </row>
    <row r="1305" spans="1:21" x14ac:dyDescent="0.25">
      <c r="A1305" t="s">
        <v>996</v>
      </c>
      <c r="B1305" t="s">
        <v>997</v>
      </c>
      <c r="C1305" t="s">
        <v>997</v>
      </c>
      <c r="D1305">
        <v>7180</v>
      </c>
      <c r="E1305">
        <v>112</v>
      </c>
      <c r="F1305" t="s">
        <v>1346</v>
      </c>
      <c r="G1305" t="s">
        <v>1347</v>
      </c>
      <c r="H1305" s="315" t="s">
        <v>1023</v>
      </c>
      <c r="I1305" s="315" t="s">
        <v>1276</v>
      </c>
      <c r="J1305" s="315" t="str">
        <f t="shared" si="116"/>
        <v xml:space="preserve">LEX Admin &amp; OtherStaff Remuneration &amp; Benefits as % of Total Gross </v>
      </c>
      <c r="K1305" s="315" t="str">
        <f t="shared" si="117"/>
        <v>112Admin Staff Salaries - Lexus</v>
      </c>
      <c r="L1305" s="311">
        <f>+SUMIF('TUNZ Extracted TB'!M:M,$P1305,'TUNZ Extracted TB'!G:G)</f>
        <v>13778.76</v>
      </c>
      <c r="M1305" s="311"/>
      <c r="N1305" s="311">
        <f>+SUMIF('Input Sheet'!$AE:$AE,P1305,'Input Sheet'!$X:$X)</f>
        <v>23569.500389118144</v>
      </c>
      <c r="O1305" s="311"/>
      <c r="P1305" t="str">
        <f t="shared" si="118"/>
        <v>112-7180</v>
      </c>
      <c r="Q1305" s="315" t="str">
        <f t="shared" si="119"/>
        <v>LEX Admin &amp; Other</v>
      </c>
      <c r="R1305" s="315" t="str">
        <f t="shared" si="120"/>
        <v xml:space="preserve">LEX Admin &amp; OtherStaff Remuneration &amp; Benefits as % of Total Gross </v>
      </c>
      <c r="S1305" s="199"/>
      <c r="T1305" s="199"/>
      <c r="U1305" s="199"/>
    </row>
    <row r="1306" spans="1:21" x14ac:dyDescent="0.25">
      <c r="A1306" t="s">
        <v>996</v>
      </c>
      <c r="B1306" t="s">
        <v>997</v>
      </c>
      <c r="C1306" t="s">
        <v>997</v>
      </c>
      <c r="D1306">
        <v>7180</v>
      </c>
      <c r="E1306">
        <v>100</v>
      </c>
      <c r="F1306" t="s">
        <v>1274</v>
      </c>
      <c r="G1306" t="s">
        <v>1275</v>
      </c>
      <c r="H1306" s="315" t="s">
        <v>1000</v>
      </c>
      <c r="I1306" s="315" t="s">
        <v>1276</v>
      </c>
      <c r="J1306" s="315" t="str">
        <f t="shared" si="116"/>
        <v xml:space="preserve">Admin &amp; OtherStaff Remuneration &amp; Benefits as % of Total Gross </v>
      </c>
      <c r="K1306" s="315" t="str">
        <f t="shared" si="117"/>
        <v>100Admin Staff Salaries - Toyota</v>
      </c>
      <c r="L1306" s="311">
        <f>+SUMIF('TUNZ Extracted TB'!M:M,$P1306,'TUNZ Extracted TB'!G:G)</f>
        <v>0</v>
      </c>
      <c r="M1306" s="311"/>
      <c r="N1306" s="311">
        <f>+SUMIF('Input Sheet'!$AE:$AE,P1306,'Input Sheet'!$X:$X)</f>
        <v>0</v>
      </c>
      <c r="O1306" s="311"/>
      <c r="P1306" t="str">
        <f t="shared" si="118"/>
        <v>100-7180</v>
      </c>
      <c r="Q1306" s="315" t="str">
        <f t="shared" si="119"/>
        <v>Admin &amp; Other</v>
      </c>
      <c r="R1306" s="315" t="str">
        <f t="shared" si="120"/>
        <v xml:space="preserve">Admin &amp; OtherStaff Remuneration &amp; Benefits as % of Total Gross </v>
      </c>
      <c r="S1306" s="199"/>
      <c r="T1306" s="199"/>
      <c r="U1306" s="199"/>
    </row>
    <row r="1307" spans="1:21" x14ac:dyDescent="0.25">
      <c r="A1307" t="s">
        <v>996</v>
      </c>
      <c r="B1307" t="s">
        <v>997</v>
      </c>
      <c r="C1307" t="s">
        <v>997</v>
      </c>
      <c r="D1307">
        <v>7180</v>
      </c>
      <c r="E1307">
        <v>162</v>
      </c>
      <c r="F1307" t="s">
        <v>1346</v>
      </c>
      <c r="G1307" t="s">
        <v>1347</v>
      </c>
      <c r="H1307" s="315" t="s">
        <v>1023</v>
      </c>
      <c r="I1307" s="315" t="s">
        <v>1276</v>
      </c>
      <c r="J1307" s="315" t="str">
        <f t="shared" si="116"/>
        <v xml:space="preserve">LEX Admin &amp; OtherStaff Remuneration &amp; Benefits as % of Total Gross </v>
      </c>
      <c r="K1307" s="315" t="str">
        <f t="shared" si="117"/>
        <v>162Admin Staff Salaries - Lexus</v>
      </c>
      <c r="L1307" s="311">
        <f>+SUMIF('TUNZ Extracted TB'!M:M,$P1307,'TUNZ Extracted TB'!G:G)</f>
        <v>0</v>
      </c>
      <c r="M1307" s="311"/>
      <c r="N1307" s="311">
        <f>+SUMIF('Input Sheet'!$AE:$AE,P1307,'Input Sheet'!$X:$X)</f>
        <v>0</v>
      </c>
      <c r="O1307" s="311"/>
      <c r="P1307" t="str">
        <f t="shared" si="118"/>
        <v>162-7180</v>
      </c>
      <c r="Q1307" s="315" t="str">
        <f t="shared" si="119"/>
        <v>LEX Admin &amp; Other</v>
      </c>
      <c r="R1307" s="315" t="str">
        <f t="shared" si="120"/>
        <v xml:space="preserve">LEX Admin &amp; OtherStaff Remuneration &amp; Benefits as % of Total Gross </v>
      </c>
      <c r="S1307" s="199"/>
      <c r="T1307" s="199"/>
      <c r="U1307" s="199"/>
    </row>
    <row r="1308" spans="1:21" x14ac:dyDescent="0.25">
      <c r="A1308" t="s">
        <v>996</v>
      </c>
      <c r="B1308" t="s">
        <v>997</v>
      </c>
      <c r="C1308" t="s">
        <v>997</v>
      </c>
      <c r="D1308">
        <v>7180</v>
      </c>
      <c r="E1308">
        <v>147</v>
      </c>
      <c r="F1308" t="s">
        <v>1274</v>
      </c>
      <c r="G1308" t="s">
        <v>1275</v>
      </c>
      <c r="H1308" s="315" t="s">
        <v>1000</v>
      </c>
      <c r="I1308" s="315" t="s">
        <v>1276</v>
      </c>
      <c r="J1308" s="315" t="str">
        <f t="shared" si="116"/>
        <v xml:space="preserve">Admin &amp; OtherStaff Remuneration &amp; Benefits as % of Total Gross </v>
      </c>
      <c r="K1308" s="315" t="str">
        <f t="shared" si="117"/>
        <v>147Admin Staff Salaries - Toyota</v>
      </c>
      <c r="L1308" s="311">
        <f>+SUMIF('TUNZ Extracted TB'!M:M,$P1308,'TUNZ Extracted TB'!G:G)</f>
        <v>0</v>
      </c>
      <c r="M1308" s="311"/>
      <c r="N1308" s="311">
        <f>+SUMIF('Input Sheet'!$AE:$AE,P1308,'Input Sheet'!$X:$X)</f>
        <v>0</v>
      </c>
      <c r="O1308" s="311"/>
      <c r="P1308" t="str">
        <f t="shared" si="118"/>
        <v>147-7180</v>
      </c>
      <c r="Q1308" s="315" t="str">
        <f t="shared" si="119"/>
        <v>Admin &amp; Other</v>
      </c>
      <c r="R1308" s="315" t="str">
        <f t="shared" si="120"/>
        <v xml:space="preserve">Admin &amp; OtherStaff Remuneration &amp; Benefits as % of Total Gross </v>
      </c>
      <c r="S1308" s="199"/>
      <c r="T1308" s="199"/>
      <c r="U1308" s="199"/>
    </row>
    <row r="1309" spans="1:21" x14ac:dyDescent="0.25">
      <c r="A1309" t="s">
        <v>996</v>
      </c>
      <c r="B1309" t="s">
        <v>997</v>
      </c>
      <c r="C1309" t="s">
        <v>997</v>
      </c>
      <c r="D1309">
        <v>7180</v>
      </c>
      <c r="E1309">
        <v>121</v>
      </c>
      <c r="F1309" t="s">
        <v>1274</v>
      </c>
      <c r="G1309" t="s">
        <v>1275</v>
      </c>
      <c r="H1309" s="315" t="s">
        <v>1000</v>
      </c>
      <c r="I1309" s="315" t="s">
        <v>1276</v>
      </c>
      <c r="J1309" s="315" t="str">
        <f t="shared" si="116"/>
        <v xml:space="preserve">Admin &amp; OtherStaff Remuneration &amp; Benefits as % of Total Gross </v>
      </c>
      <c r="K1309" s="315" t="str">
        <f t="shared" si="117"/>
        <v>121Admin Staff Salaries - Toyota</v>
      </c>
      <c r="L1309" s="311">
        <f>+SUMIF('TUNZ Extracted TB'!M:M,$P1309,'TUNZ Extracted TB'!G:G)</f>
        <v>0</v>
      </c>
      <c r="M1309" s="311"/>
      <c r="N1309" s="311">
        <f>+SUMIF('Input Sheet'!$AE:$AE,P1309,'Input Sheet'!$X:$X)</f>
        <v>0</v>
      </c>
      <c r="O1309" s="311"/>
      <c r="P1309" t="str">
        <f t="shared" si="118"/>
        <v>121-7180</v>
      </c>
      <c r="Q1309" s="315" t="str">
        <f t="shared" si="119"/>
        <v>Admin &amp; Other</v>
      </c>
      <c r="R1309" s="315" t="str">
        <f t="shared" si="120"/>
        <v xml:space="preserve">Admin &amp; OtherStaff Remuneration &amp; Benefits as % of Total Gross </v>
      </c>
      <c r="S1309" s="199"/>
      <c r="T1309" s="199"/>
      <c r="U1309" s="199"/>
    </row>
    <row r="1310" spans="1:21" x14ac:dyDescent="0.25">
      <c r="A1310" t="s">
        <v>996</v>
      </c>
      <c r="B1310" t="s">
        <v>997</v>
      </c>
      <c r="C1310" t="s">
        <v>1005</v>
      </c>
      <c r="D1310">
        <v>7180</v>
      </c>
      <c r="E1310">
        <v>200</v>
      </c>
      <c r="F1310" t="s">
        <v>1274</v>
      </c>
      <c r="G1310" t="s">
        <v>1275</v>
      </c>
      <c r="H1310" s="315" t="s">
        <v>1000</v>
      </c>
      <c r="I1310" s="315" t="s">
        <v>1276</v>
      </c>
      <c r="J1310" s="315" t="str">
        <f t="shared" si="116"/>
        <v xml:space="preserve">Admin &amp; OtherStaff Remuneration &amp; Benefits as % of Total Gross </v>
      </c>
      <c r="K1310" s="315" t="str">
        <f t="shared" si="117"/>
        <v>200Admin Staff Salaries - Toyota</v>
      </c>
      <c r="L1310" s="311">
        <f>+SUMIF('TUNZ Extracted TB'!M:M,$P1310,'TUNZ Extracted TB'!G:G)</f>
        <v>0</v>
      </c>
      <c r="M1310" s="311"/>
      <c r="N1310" s="311">
        <f>+SUMIF('Input Sheet'!$AE:$AE,P1310,'Input Sheet'!$X:$X)</f>
        <v>0</v>
      </c>
      <c r="O1310" s="311"/>
      <c r="P1310" t="str">
        <f t="shared" si="118"/>
        <v>200-7180</v>
      </c>
      <c r="Q1310" s="315" t="str">
        <f t="shared" si="119"/>
        <v>Admin &amp; Other</v>
      </c>
      <c r="R1310" s="315" t="str">
        <f t="shared" si="120"/>
        <v xml:space="preserve">Admin &amp; OtherStaff Remuneration &amp; Benefits as % of Total Gross </v>
      </c>
      <c r="S1310" s="199"/>
      <c r="T1310" s="199"/>
      <c r="U1310" s="199"/>
    </row>
    <row r="1311" spans="1:21" x14ac:dyDescent="0.25">
      <c r="A1311" t="s">
        <v>996</v>
      </c>
      <c r="B1311" t="s">
        <v>997</v>
      </c>
      <c r="C1311" t="s">
        <v>1005</v>
      </c>
      <c r="D1311">
        <v>7180</v>
      </c>
      <c r="E1311">
        <v>221</v>
      </c>
      <c r="F1311" t="s">
        <v>1274</v>
      </c>
      <c r="G1311" t="s">
        <v>1275</v>
      </c>
      <c r="H1311" s="315" t="s">
        <v>1000</v>
      </c>
      <c r="I1311" s="315" t="s">
        <v>1276</v>
      </c>
      <c r="J1311" s="315" t="str">
        <f t="shared" si="116"/>
        <v xml:space="preserve">Admin &amp; OtherStaff Remuneration &amp; Benefits as % of Total Gross </v>
      </c>
      <c r="K1311" s="315" t="str">
        <f t="shared" si="117"/>
        <v>221Admin Staff Salaries - Toyota</v>
      </c>
      <c r="L1311" s="311">
        <f>+SUMIF('TUNZ Extracted TB'!M:M,$P1311,'TUNZ Extracted TB'!G:G)</f>
        <v>0</v>
      </c>
      <c r="M1311" s="311"/>
      <c r="N1311" s="311">
        <f>+SUMIF('Input Sheet'!$AE:$AE,P1311,'Input Sheet'!$X:$X)</f>
        <v>0</v>
      </c>
      <c r="O1311" s="311"/>
      <c r="P1311" t="str">
        <f t="shared" si="118"/>
        <v>221-7180</v>
      </c>
      <c r="Q1311" s="315" t="str">
        <f t="shared" si="119"/>
        <v>Admin &amp; Other</v>
      </c>
      <c r="R1311" s="315" t="str">
        <f t="shared" si="120"/>
        <v xml:space="preserve">Admin &amp; OtherStaff Remuneration &amp; Benefits as % of Total Gross </v>
      </c>
      <c r="S1311" s="199"/>
      <c r="T1311" s="199"/>
      <c r="U1311" s="199"/>
    </row>
    <row r="1312" spans="1:21" x14ac:dyDescent="0.25">
      <c r="A1312" t="s">
        <v>996</v>
      </c>
      <c r="B1312" t="s">
        <v>997</v>
      </c>
      <c r="C1312" t="s">
        <v>1012</v>
      </c>
      <c r="D1312">
        <v>7180</v>
      </c>
      <c r="E1312">
        <v>400</v>
      </c>
      <c r="F1312" t="s">
        <v>1274</v>
      </c>
      <c r="G1312" t="s">
        <v>1275</v>
      </c>
      <c r="H1312" s="315" t="s">
        <v>1000</v>
      </c>
      <c r="I1312" s="315" t="s">
        <v>1276</v>
      </c>
      <c r="J1312" s="315" t="str">
        <f t="shared" si="116"/>
        <v xml:space="preserve">Admin &amp; OtherStaff Remuneration &amp; Benefits as % of Total Gross </v>
      </c>
      <c r="K1312" s="315" t="str">
        <f t="shared" si="117"/>
        <v>400Admin Staff Salaries - Toyota</v>
      </c>
      <c r="L1312" s="311">
        <f>+SUMIF('TUNZ Extracted TB'!M:M,$P1312,'TUNZ Extracted TB'!G:G)</f>
        <v>0</v>
      </c>
      <c r="M1312" s="311"/>
      <c r="N1312" s="311">
        <f>+SUMIF('Input Sheet'!$AE:$AE,P1312,'Input Sheet'!$X:$X)</f>
        <v>0</v>
      </c>
      <c r="O1312" s="311"/>
      <c r="P1312" t="str">
        <f t="shared" si="118"/>
        <v>400-7180</v>
      </c>
      <c r="Q1312" s="315" t="str">
        <f t="shared" si="119"/>
        <v>Admin &amp; Other</v>
      </c>
      <c r="R1312" s="315" t="str">
        <f t="shared" si="120"/>
        <v xml:space="preserve">Admin &amp; OtherStaff Remuneration &amp; Benefits as % of Total Gross </v>
      </c>
      <c r="S1312" s="199"/>
      <c r="T1312" s="199"/>
      <c r="U1312" s="199"/>
    </row>
    <row r="1313" spans="1:21" x14ac:dyDescent="0.25">
      <c r="A1313" t="s">
        <v>996</v>
      </c>
      <c r="B1313" t="s">
        <v>997</v>
      </c>
      <c r="C1313" t="s">
        <v>1012</v>
      </c>
      <c r="D1313">
        <v>7180</v>
      </c>
      <c r="E1313">
        <v>410</v>
      </c>
      <c r="F1313" t="s">
        <v>1274</v>
      </c>
      <c r="G1313" t="s">
        <v>1275</v>
      </c>
      <c r="H1313" s="315" t="s">
        <v>1000</v>
      </c>
      <c r="I1313" s="315" t="s">
        <v>1276</v>
      </c>
      <c r="J1313" s="315" t="str">
        <f t="shared" si="116"/>
        <v xml:space="preserve">Admin &amp; OtherStaff Remuneration &amp; Benefits as % of Total Gross </v>
      </c>
      <c r="K1313" s="315" t="str">
        <f t="shared" si="117"/>
        <v>410Admin Staff Salaries - Toyota</v>
      </c>
      <c r="L1313" s="311">
        <f>+SUMIF('TUNZ Extracted TB'!M:M,$P1313,'TUNZ Extracted TB'!G:G)</f>
        <v>0</v>
      </c>
      <c r="M1313" s="311"/>
      <c r="N1313" s="311">
        <f>+SUMIF('Input Sheet'!$AE:$AE,P1313,'Input Sheet'!$X:$X)</f>
        <v>0</v>
      </c>
      <c r="O1313" s="311"/>
      <c r="P1313" t="str">
        <f t="shared" si="118"/>
        <v>410-7180</v>
      </c>
      <c r="Q1313" s="315" t="str">
        <f t="shared" si="119"/>
        <v>Admin &amp; Other</v>
      </c>
      <c r="R1313" s="315" t="str">
        <f t="shared" si="120"/>
        <v xml:space="preserve">Admin &amp; OtherStaff Remuneration &amp; Benefits as % of Total Gross </v>
      </c>
      <c r="S1313" s="199"/>
      <c r="T1313" s="199"/>
      <c r="U1313" s="199"/>
    </row>
    <row r="1314" spans="1:21" x14ac:dyDescent="0.25">
      <c r="A1314" t="s">
        <v>996</v>
      </c>
      <c r="B1314" t="s">
        <v>997</v>
      </c>
      <c r="C1314" t="s">
        <v>1012</v>
      </c>
      <c r="D1314">
        <v>7180</v>
      </c>
      <c r="E1314">
        <v>420</v>
      </c>
      <c r="F1314" t="s">
        <v>1274</v>
      </c>
      <c r="G1314" t="s">
        <v>1275</v>
      </c>
      <c r="H1314" s="315" t="s">
        <v>1000</v>
      </c>
      <c r="I1314" s="315" t="s">
        <v>1276</v>
      </c>
      <c r="J1314" s="315" t="str">
        <f t="shared" si="116"/>
        <v xml:space="preserve">Admin &amp; OtherStaff Remuneration &amp; Benefits as % of Total Gross </v>
      </c>
      <c r="K1314" s="315" t="str">
        <f t="shared" si="117"/>
        <v>420Admin Staff Salaries - Toyota</v>
      </c>
      <c r="L1314" s="311">
        <f>+SUMIF('TUNZ Extracted TB'!M:M,$P1314,'TUNZ Extracted TB'!G:G)</f>
        <v>0</v>
      </c>
      <c r="M1314" s="311"/>
      <c r="N1314" s="311">
        <f>+SUMIF('Input Sheet'!$AE:$AE,P1314,'Input Sheet'!$X:$X)</f>
        <v>0</v>
      </c>
      <c r="O1314" s="311"/>
      <c r="P1314" t="str">
        <f t="shared" si="118"/>
        <v>420-7180</v>
      </c>
      <c r="Q1314" s="315" t="str">
        <f t="shared" si="119"/>
        <v>Admin &amp; Other</v>
      </c>
      <c r="R1314" s="315" t="str">
        <f t="shared" si="120"/>
        <v xml:space="preserve">Admin &amp; OtherStaff Remuneration &amp; Benefits as % of Total Gross </v>
      </c>
      <c r="S1314" s="199"/>
      <c r="T1314" s="199"/>
      <c r="U1314" s="199"/>
    </row>
    <row r="1315" spans="1:21" x14ac:dyDescent="0.25">
      <c r="A1315" t="s">
        <v>996</v>
      </c>
      <c r="B1315" t="s">
        <v>997</v>
      </c>
      <c r="C1315" t="s">
        <v>1012</v>
      </c>
      <c r="D1315">
        <v>7180</v>
      </c>
      <c r="E1315">
        <v>421</v>
      </c>
      <c r="F1315" t="s">
        <v>1274</v>
      </c>
      <c r="G1315" t="s">
        <v>1275</v>
      </c>
      <c r="H1315" s="315" t="s">
        <v>1000</v>
      </c>
      <c r="I1315" s="315" t="s">
        <v>1276</v>
      </c>
      <c r="J1315" s="315" t="str">
        <f t="shared" si="116"/>
        <v xml:space="preserve">Admin &amp; OtherStaff Remuneration &amp; Benefits as % of Total Gross </v>
      </c>
      <c r="K1315" s="315" t="str">
        <f t="shared" si="117"/>
        <v>421Admin Staff Salaries - Toyota</v>
      </c>
      <c r="L1315" s="311">
        <f>+SUMIF('TUNZ Extracted TB'!M:M,$P1315,'TUNZ Extracted TB'!G:G)</f>
        <v>0</v>
      </c>
      <c r="M1315" s="311"/>
      <c r="N1315" s="311">
        <f>+SUMIF('Input Sheet'!$AE:$AE,P1315,'Input Sheet'!$X:$X)</f>
        <v>0</v>
      </c>
      <c r="O1315" s="311"/>
      <c r="P1315" t="str">
        <f t="shared" si="118"/>
        <v>421-7180</v>
      </c>
      <c r="Q1315" s="315" t="str">
        <f t="shared" si="119"/>
        <v>Admin &amp; Other</v>
      </c>
      <c r="R1315" s="315" t="str">
        <f t="shared" si="120"/>
        <v xml:space="preserve">Admin &amp; OtherStaff Remuneration &amp; Benefits as % of Total Gross </v>
      </c>
      <c r="S1315" s="199"/>
      <c r="T1315" s="199"/>
      <c r="U1315" s="199"/>
    </row>
    <row r="1316" spans="1:21" x14ac:dyDescent="0.25">
      <c r="A1316" t="s">
        <v>996</v>
      </c>
      <c r="B1316" t="s">
        <v>997</v>
      </c>
      <c r="C1316" t="s">
        <v>1012</v>
      </c>
      <c r="D1316">
        <v>7180</v>
      </c>
      <c r="E1316">
        <v>460</v>
      </c>
      <c r="F1316" t="s">
        <v>1274</v>
      </c>
      <c r="G1316" t="s">
        <v>1275</v>
      </c>
      <c r="H1316" s="315" t="s">
        <v>1000</v>
      </c>
      <c r="I1316" s="315" t="s">
        <v>1276</v>
      </c>
      <c r="J1316" s="315" t="str">
        <f t="shared" si="116"/>
        <v xml:space="preserve">Admin &amp; OtherStaff Remuneration &amp; Benefits as % of Total Gross </v>
      </c>
      <c r="K1316" s="315" t="str">
        <f t="shared" si="117"/>
        <v>460Admin Staff Salaries - Toyota</v>
      </c>
      <c r="L1316" s="311">
        <f>+SUMIF('TUNZ Extracted TB'!M:M,$P1316,'TUNZ Extracted TB'!G:G)</f>
        <v>0</v>
      </c>
      <c r="M1316" s="311"/>
      <c r="N1316" s="311">
        <f>+SUMIF('Input Sheet'!$AE:$AE,P1316,'Input Sheet'!$X:$X)</f>
        <v>0</v>
      </c>
      <c r="O1316" s="311"/>
      <c r="P1316" t="str">
        <f t="shared" si="118"/>
        <v>460-7180</v>
      </c>
      <c r="Q1316" s="315" t="str">
        <f t="shared" si="119"/>
        <v>Admin &amp; Other</v>
      </c>
      <c r="R1316" s="315" t="str">
        <f t="shared" si="120"/>
        <v xml:space="preserve">Admin &amp; OtherStaff Remuneration &amp; Benefits as % of Total Gross </v>
      </c>
      <c r="S1316" s="199"/>
      <c r="T1316" s="199"/>
      <c r="U1316" s="199"/>
    </row>
    <row r="1317" spans="1:21" x14ac:dyDescent="0.25">
      <c r="A1317" t="s">
        <v>996</v>
      </c>
      <c r="B1317" t="s">
        <v>997</v>
      </c>
      <c r="C1317" t="s">
        <v>1013</v>
      </c>
      <c r="D1317">
        <v>7180</v>
      </c>
      <c r="E1317">
        <v>300</v>
      </c>
      <c r="F1317" t="s">
        <v>1274</v>
      </c>
      <c r="G1317" t="s">
        <v>1275</v>
      </c>
      <c r="H1317" s="315" t="s">
        <v>1000</v>
      </c>
      <c r="I1317" s="315" t="s">
        <v>1276</v>
      </c>
      <c r="J1317" s="315" t="str">
        <f t="shared" si="116"/>
        <v xml:space="preserve">Admin &amp; OtherStaff Remuneration &amp; Benefits as % of Total Gross </v>
      </c>
      <c r="K1317" s="315" t="str">
        <f t="shared" si="117"/>
        <v>300Admin Staff Salaries - Toyota</v>
      </c>
      <c r="L1317" s="311">
        <f>+SUMIF('TUNZ Extracted TB'!M:M,$P1317,'TUNZ Extracted TB'!G:G)</f>
        <v>0</v>
      </c>
      <c r="M1317" s="311"/>
      <c r="N1317" s="311">
        <f>+SUMIF('Input Sheet'!$AE:$AE,P1317,'Input Sheet'!$X:$X)</f>
        <v>0</v>
      </c>
      <c r="O1317" s="311"/>
      <c r="P1317" t="str">
        <f t="shared" si="118"/>
        <v>300-7180</v>
      </c>
      <c r="Q1317" s="315" t="str">
        <f t="shared" si="119"/>
        <v>Admin &amp; Other</v>
      </c>
      <c r="R1317" s="315" t="str">
        <f t="shared" si="120"/>
        <v xml:space="preserve">Admin &amp; OtherStaff Remuneration &amp; Benefits as % of Total Gross </v>
      </c>
      <c r="S1317" s="199"/>
      <c r="T1317" s="199"/>
      <c r="U1317" s="199"/>
    </row>
    <row r="1318" spans="1:21" x14ac:dyDescent="0.25">
      <c r="A1318" t="s">
        <v>996</v>
      </c>
      <c r="B1318" t="s">
        <v>997</v>
      </c>
      <c r="C1318" t="s">
        <v>1013</v>
      </c>
      <c r="D1318">
        <v>7180</v>
      </c>
      <c r="E1318">
        <v>310</v>
      </c>
      <c r="F1318" t="s">
        <v>1274</v>
      </c>
      <c r="G1318" t="s">
        <v>1275</v>
      </c>
      <c r="H1318" s="315" t="s">
        <v>1000</v>
      </c>
      <c r="I1318" s="315" t="s">
        <v>1276</v>
      </c>
      <c r="J1318" s="315" t="str">
        <f t="shared" si="116"/>
        <v xml:space="preserve">Admin &amp; OtherStaff Remuneration &amp; Benefits as % of Total Gross </v>
      </c>
      <c r="K1318" s="315" t="str">
        <f t="shared" si="117"/>
        <v>310Admin Staff Salaries - Toyota</v>
      </c>
      <c r="L1318" s="311">
        <f>+SUMIF('TUNZ Extracted TB'!M:M,$P1318,'TUNZ Extracted TB'!G:G)</f>
        <v>0</v>
      </c>
      <c r="M1318" s="311"/>
      <c r="N1318" s="311">
        <f>+SUMIF('Input Sheet'!$AE:$AE,P1318,'Input Sheet'!$X:$X)</f>
        <v>0</v>
      </c>
      <c r="O1318" s="311"/>
      <c r="P1318" t="str">
        <f t="shared" si="118"/>
        <v>310-7180</v>
      </c>
      <c r="Q1318" s="315" t="str">
        <f t="shared" si="119"/>
        <v>Admin &amp; Other</v>
      </c>
      <c r="R1318" s="315" t="str">
        <f t="shared" si="120"/>
        <v xml:space="preserve">Admin &amp; OtherStaff Remuneration &amp; Benefits as % of Total Gross </v>
      </c>
      <c r="S1318" s="199"/>
      <c r="T1318" s="199"/>
      <c r="U1318" s="199"/>
    </row>
    <row r="1319" spans="1:21" x14ac:dyDescent="0.25">
      <c r="A1319" t="s">
        <v>996</v>
      </c>
      <c r="B1319" t="s">
        <v>997</v>
      </c>
      <c r="C1319" t="s">
        <v>1013</v>
      </c>
      <c r="D1319">
        <v>7180</v>
      </c>
      <c r="E1319">
        <v>321</v>
      </c>
      <c r="F1319" t="s">
        <v>1274</v>
      </c>
      <c r="G1319" t="s">
        <v>1275</v>
      </c>
      <c r="H1319" s="315" t="s">
        <v>1000</v>
      </c>
      <c r="I1319" s="315" t="s">
        <v>1276</v>
      </c>
      <c r="J1319" s="315" t="str">
        <f t="shared" si="116"/>
        <v xml:space="preserve">Admin &amp; OtherStaff Remuneration &amp; Benefits as % of Total Gross </v>
      </c>
      <c r="K1319" s="315" t="str">
        <f t="shared" si="117"/>
        <v>321Admin Staff Salaries - Toyota</v>
      </c>
      <c r="L1319" s="311">
        <f>+SUMIF('TUNZ Extracted TB'!M:M,$P1319,'TUNZ Extracted TB'!G:G)</f>
        <v>0</v>
      </c>
      <c r="M1319" s="311"/>
      <c r="N1319" s="311">
        <f>+SUMIF('Input Sheet'!$AE:$AE,P1319,'Input Sheet'!$X:$X)</f>
        <v>0</v>
      </c>
      <c r="O1319" s="311"/>
      <c r="P1319" t="str">
        <f t="shared" si="118"/>
        <v>321-7180</v>
      </c>
      <c r="Q1319" s="315" t="str">
        <f t="shared" si="119"/>
        <v>Admin &amp; Other</v>
      </c>
      <c r="R1319" s="315" t="str">
        <f t="shared" si="120"/>
        <v xml:space="preserve">Admin &amp; OtherStaff Remuneration &amp; Benefits as % of Total Gross </v>
      </c>
      <c r="S1319" s="199"/>
      <c r="T1319" s="199"/>
      <c r="U1319" s="199"/>
    </row>
    <row r="1320" spans="1:21" x14ac:dyDescent="0.25">
      <c r="A1320" t="s">
        <v>996</v>
      </c>
      <c r="B1320" t="s">
        <v>997</v>
      </c>
      <c r="C1320" t="s">
        <v>1013</v>
      </c>
      <c r="D1320">
        <v>7180</v>
      </c>
      <c r="E1320">
        <v>360</v>
      </c>
      <c r="F1320" t="s">
        <v>1274</v>
      </c>
      <c r="G1320" t="s">
        <v>1275</v>
      </c>
      <c r="H1320" s="315" t="s">
        <v>1000</v>
      </c>
      <c r="I1320" s="315" t="s">
        <v>1276</v>
      </c>
      <c r="J1320" s="315" t="str">
        <f t="shared" si="116"/>
        <v xml:space="preserve">Admin &amp; OtherStaff Remuneration &amp; Benefits as % of Total Gross </v>
      </c>
      <c r="K1320" s="315" t="str">
        <f t="shared" si="117"/>
        <v>360Admin Staff Salaries - Toyota</v>
      </c>
      <c r="L1320" s="311">
        <f>+SUMIF('TUNZ Extracted TB'!M:M,$P1320,'TUNZ Extracted TB'!G:G)</f>
        <v>0</v>
      </c>
      <c r="M1320" s="311"/>
      <c r="N1320" s="311">
        <f>+SUMIF('Input Sheet'!$AE:$AE,P1320,'Input Sheet'!$X:$X)</f>
        <v>0</v>
      </c>
      <c r="O1320" s="311"/>
      <c r="P1320" t="str">
        <f t="shared" si="118"/>
        <v>360-7180</v>
      </c>
      <c r="Q1320" s="315" t="str">
        <f t="shared" si="119"/>
        <v>Admin &amp; Other</v>
      </c>
      <c r="R1320" s="315" t="str">
        <f t="shared" si="120"/>
        <v xml:space="preserve">Admin &amp; OtherStaff Remuneration &amp; Benefits as % of Total Gross </v>
      </c>
      <c r="S1320" s="199"/>
      <c r="T1320" s="199"/>
      <c r="U1320" s="199"/>
    </row>
    <row r="1321" spans="1:21" x14ac:dyDescent="0.25">
      <c r="A1321" t="s">
        <v>996</v>
      </c>
      <c r="B1321" t="s">
        <v>997</v>
      </c>
      <c r="C1321" t="s">
        <v>997</v>
      </c>
      <c r="D1321">
        <v>7190</v>
      </c>
      <c r="E1321">
        <v>150</v>
      </c>
      <c r="F1321" t="s">
        <v>1250</v>
      </c>
      <c r="G1321" t="s">
        <v>1251</v>
      </c>
      <c r="H1321" s="315" t="s">
        <v>145</v>
      </c>
      <c r="I1321" s="315" t="s">
        <v>1252</v>
      </c>
      <c r="J1321" s="315" t="str">
        <f t="shared" si="116"/>
        <v>Retail DetailingSalaries, Commission &amp; Leave as % of Sales</v>
      </c>
      <c r="K1321" s="315" t="str">
        <f t="shared" si="117"/>
        <v>150Service Salaries &amp; Commission - Toyota</v>
      </c>
      <c r="L1321" s="311">
        <f>+SUMIF('TUNZ Extracted TB'!M:M,$P1321,'TUNZ Extracted TB'!G:G)</f>
        <v>37907.25</v>
      </c>
      <c r="M1321" s="311"/>
      <c r="N1321" s="311">
        <f>+SUMIF('Input Sheet'!$AE:$AE,P1321,'Input Sheet'!$X:$X)</f>
        <v>0</v>
      </c>
      <c r="O1321" s="311"/>
      <c r="P1321" t="str">
        <f t="shared" si="118"/>
        <v>150-7190</v>
      </c>
      <c r="Q1321" s="315" t="str">
        <f t="shared" si="119"/>
        <v>Retail Detailing</v>
      </c>
      <c r="R1321" s="315" t="str">
        <f t="shared" si="120"/>
        <v>Retail DetailingSalaries, Commission &amp; Leave as % of Sales</v>
      </c>
      <c r="S1321" s="199"/>
      <c r="T1321" s="199"/>
      <c r="U1321" s="199"/>
    </row>
    <row r="1322" spans="1:21" x14ac:dyDescent="0.25">
      <c r="A1322" t="s">
        <v>996</v>
      </c>
      <c r="B1322" t="s">
        <v>997</v>
      </c>
      <c r="C1322" t="s">
        <v>1012</v>
      </c>
      <c r="D1322">
        <v>7190</v>
      </c>
      <c r="E1322">
        <v>440</v>
      </c>
      <c r="F1322" t="s">
        <v>1250</v>
      </c>
      <c r="G1322" t="s">
        <v>1251</v>
      </c>
      <c r="H1322" s="315" t="s">
        <v>17</v>
      </c>
      <c r="I1322" s="315" t="s">
        <v>1252</v>
      </c>
      <c r="J1322" s="315" t="str">
        <f t="shared" si="116"/>
        <v>ServiceSalaries, Commission &amp; Leave as % of Sales</v>
      </c>
      <c r="K1322" s="315" t="str">
        <f t="shared" si="117"/>
        <v>440Service Salaries &amp; Commission - Toyota</v>
      </c>
      <c r="L1322" s="311">
        <f>+SUMIF('TUNZ Extracted TB'!M:M,$P1322,'TUNZ Extracted TB'!G:G)</f>
        <v>36210.120000000003</v>
      </c>
      <c r="M1322" s="311"/>
      <c r="N1322" s="311">
        <f>+SUMIF('Input Sheet'!$AE:$AE,P1322,'Input Sheet'!$X:$X)</f>
        <v>0</v>
      </c>
      <c r="O1322" s="311"/>
      <c r="P1322" t="str">
        <f t="shared" si="118"/>
        <v>440-7190</v>
      </c>
      <c r="Q1322" s="315" t="str">
        <f t="shared" si="119"/>
        <v>Service</v>
      </c>
      <c r="R1322" s="315" t="str">
        <f t="shared" si="120"/>
        <v>ServiceSalaries, Commission &amp; Leave as % of Sales</v>
      </c>
      <c r="S1322" s="199"/>
      <c r="T1322" s="199"/>
      <c r="U1322" s="199"/>
    </row>
    <row r="1323" spans="1:21" x14ac:dyDescent="0.25">
      <c r="A1323" t="s">
        <v>996</v>
      </c>
      <c r="B1323" t="s">
        <v>997</v>
      </c>
      <c r="C1323" t="s">
        <v>1005</v>
      </c>
      <c r="D1323">
        <v>7190</v>
      </c>
      <c r="E1323">
        <v>240</v>
      </c>
      <c r="F1323" t="s">
        <v>1250</v>
      </c>
      <c r="G1323" t="s">
        <v>1251</v>
      </c>
      <c r="H1323" s="315" t="s">
        <v>17</v>
      </c>
      <c r="I1323" s="315" t="s">
        <v>1252</v>
      </c>
      <c r="J1323" s="315" t="str">
        <f t="shared" si="116"/>
        <v>ServiceSalaries, Commission &amp; Leave as % of Sales</v>
      </c>
      <c r="K1323" s="315" t="str">
        <f t="shared" si="117"/>
        <v>240Service Salaries &amp; Commission - Toyota</v>
      </c>
      <c r="L1323" s="311">
        <f>+SUMIF('TUNZ Extracted TB'!M:M,$P1323,'TUNZ Extracted TB'!G:G)</f>
        <v>28941.83</v>
      </c>
      <c r="M1323" s="311"/>
      <c r="N1323" s="311">
        <f>+SUMIF('Input Sheet'!$AE:$AE,P1323,'Input Sheet'!$X:$X)</f>
        <v>0</v>
      </c>
      <c r="O1323" s="311"/>
      <c r="P1323" t="str">
        <f t="shared" si="118"/>
        <v>240-7190</v>
      </c>
      <c r="Q1323" s="315" t="str">
        <f t="shared" si="119"/>
        <v>Service</v>
      </c>
      <c r="R1323" s="315" t="str">
        <f t="shared" si="120"/>
        <v>ServiceSalaries, Commission &amp; Leave as % of Sales</v>
      </c>
      <c r="S1323" s="199"/>
      <c r="T1323" s="199"/>
      <c r="U1323" s="199"/>
    </row>
    <row r="1324" spans="1:21" x14ac:dyDescent="0.25">
      <c r="A1324" t="s">
        <v>996</v>
      </c>
      <c r="B1324" t="s">
        <v>997</v>
      </c>
      <c r="C1324" t="s">
        <v>1013</v>
      </c>
      <c r="D1324">
        <v>7190</v>
      </c>
      <c r="E1324">
        <v>340</v>
      </c>
      <c r="F1324" t="s">
        <v>1250</v>
      </c>
      <c r="G1324" t="s">
        <v>1251</v>
      </c>
      <c r="H1324" s="315" t="s">
        <v>17</v>
      </c>
      <c r="I1324" s="315" t="s">
        <v>1252</v>
      </c>
      <c r="J1324" s="315" t="str">
        <f t="shared" si="116"/>
        <v>ServiceSalaries, Commission &amp; Leave as % of Sales</v>
      </c>
      <c r="K1324" s="315" t="str">
        <f t="shared" si="117"/>
        <v>340Service Salaries &amp; Commission - Toyota</v>
      </c>
      <c r="L1324" s="311">
        <f>+SUMIF('TUNZ Extracted TB'!M:M,$P1324,'TUNZ Extracted TB'!G:G)</f>
        <v>18847.439999999999</v>
      </c>
      <c r="M1324" s="311"/>
      <c r="N1324" s="311">
        <f>+SUMIF('Input Sheet'!$AE:$AE,P1324,'Input Sheet'!$X:$X)</f>
        <v>0</v>
      </c>
      <c r="O1324" s="311"/>
      <c r="P1324" t="str">
        <f t="shared" si="118"/>
        <v>340-7190</v>
      </c>
      <c r="Q1324" s="315" t="str">
        <f t="shared" si="119"/>
        <v>Service</v>
      </c>
      <c r="R1324" s="315" t="str">
        <f t="shared" si="120"/>
        <v>ServiceSalaries, Commission &amp; Leave as % of Sales</v>
      </c>
      <c r="S1324" s="199"/>
      <c r="T1324" s="199"/>
      <c r="U1324" s="199"/>
    </row>
    <row r="1325" spans="1:21" x14ac:dyDescent="0.25">
      <c r="A1325" t="s">
        <v>996</v>
      </c>
      <c r="B1325" t="s">
        <v>997</v>
      </c>
      <c r="C1325" t="s">
        <v>997</v>
      </c>
      <c r="D1325">
        <v>7190</v>
      </c>
      <c r="E1325">
        <v>935</v>
      </c>
      <c r="F1325" t="s">
        <v>1175</v>
      </c>
      <c r="G1325" t="s">
        <v>1176</v>
      </c>
      <c r="H1325" s="315" t="s">
        <v>58</v>
      </c>
      <c r="I1325" s="315" t="s">
        <v>1252</v>
      </c>
      <c r="J1325" s="315" t="str">
        <f t="shared" si="116"/>
        <v>BridgestoneSalaries, Commission &amp; Leave as % of Sales</v>
      </c>
      <c r="K1325" s="315" t="str">
        <f t="shared" si="117"/>
        <v>935Other franchise/business expense</v>
      </c>
      <c r="L1325" s="311">
        <f>+SUMIF('TUNZ Extracted TB'!M:M,$P1325,'TUNZ Extracted TB'!G:G)</f>
        <v>23258.07</v>
      </c>
      <c r="M1325" s="311"/>
      <c r="N1325" s="311">
        <f>+SUMIF('Input Sheet'!$AE:$AE,P1325,'Input Sheet'!$X:$X)</f>
        <v>0</v>
      </c>
      <c r="O1325" s="311"/>
      <c r="P1325" t="str">
        <f t="shared" si="118"/>
        <v>935-7190</v>
      </c>
      <c r="Q1325" s="315" t="str">
        <f t="shared" si="119"/>
        <v>Bridgestone</v>
      </c>
      <c r="R1325" s="315" t="str">
        <f t="shared" si="120"/>
        <v>BridgestoneSalaries, Commission &amp; Leave as % of Sales</v>
      </c>
      <c r="S1325" s="199"/>
      <c r="T1325" s="199"/>
      <c r="U1325" s="199"/>
    </row>
    <row r="1326" spans="1:21" x14ac:dyDescent="0.25">
      <c r="A1326" t="s">
        <v>996</v>
      </c>
      <c r="B1326" t="s">
        <v>997</v>
      </c>
      <c r="C1326" t="s">
        <v>1005</v>
      </c>
      <c r="D1326">
        <v>7190</v>
      </c>
      <c r="E1326">
        <v>230</v>
      </c>
      <c r="F1326" t="s">
        <v>1256</v>
      </c>
      <c r="G1326" t="s">
        <v>1257</v>
      </c>
      <c r="H1326" s="315" t="s">
        <v>5</v>
      </c>
      <c r="I1326" s="315" t="s">
        <v>1255</v>
      </c>
      <c r="J1326" s="315" t="str">
        <f t="shared" si="116"/>
        <v>PartsSalaries &amp; Commission as % of Sales</v>
      </c>
      <c r="K1326" s="315" t="str">
        <f t="shared" si="117"/>
        <v>230Parts Salaries &amp; Commission - Toyota</v>
      </c>
      <c r="L1326" s="311">
        <f>+SUMIF('TUNZ Extracted TB'!M:M,$P1326,'TUNZ Extracted TB'!G:G)</f>
        <v>37396.400000000001</v>
      </c>
      <c r="M1326" s="311"/>
      <c r="N1326" s="311">
        <f>+SUMIF('Input Sheet'!$AE:$AE,P1326,'Input Sheet'!$X:$X)</f>
        <v>0</v>
      </c>
      <c r="O1326" s="311"/>
      <c r="P1326" t="str">
        <f t="shared" si="118"/>
        <v>230-7190</v>
      </c>
      <c r="Q1326" s="315" t="str">
        <f t="shared" si="119"/>
        <v>Parts</v>
      </c>
      <c r="R1326" s="315" t="str">
        <f t="shared" si="120"/>
        <v>PartsSalaries &amp; Commission as % of Sales</v>
      </c>
      <c r="S1326" s="199"/>
      <c r="T1326" s="199"/>
      <c r="U1326" s="199"/>
    </row>
    <row r="1327" spans="1:21" x14ac:dyDescent="0.25">
      <c r="A1327" t="s">
        <v>996</v>
      </c>
      <c r="B1327" t="s">
        <v>997</v>
      </c>
      <c r="C1327" t="s">
        <v>1005</v>
      </c>
      <c r="D1327">
        <v>7190</v>
      </c>
      <c r="E1327">
        <v>220</v>
      </c>
      <c r="F1327" t="s">
        <v>1239</v>
      </c>
      <c r="G1327" t="s">
        <v>1240</v>
      </c>
      <c r="H1327" s="315" t="s">
        <v>30</v>
      </c>
      <c r="I1327" s="315" t="s">
        <v>1241</v>
      </c>
      <c r="J1327" s="315" t="str">
        <f t="shared" si="116"/>
        <v>Used VehicleSalaries &amp; Wages per retail</v>
      </c>
      <c r="K1327" s="315" t="str">
        <f t="shared" si="117"/>
        <v>220Toyota UV Salaries &amp; Wages</v>
      </c>
      <c r="L1327" s="311">
        <f>+SUMIF('TUNZ Extracted TB'!M:M,$P1327,'TUNZ Extracted TB'!G:G)</f>
        <v>21237.41</v>
      </c>
      <c r="M1327" s="311"/>
      <c r="N1327" s="311">
        <f>+SUMIF('Input Sheet'!$AE:$AE,P1327,'Input Sheet'!$X:$X)</f>
        <v>0</v>
      </c>
      <c r="O1327" s="311"/>
      <c r="P1327" t="str">
        <f t="shared" si="118"/>
        <v>220-7190</v>
      </c>
      <c r="Q1327" s="315" t="str">
        <f t="shared" si="119"/>
        <v>Used Vehicle</v>
      </c>
      <c r="R1327" s="315" t="str">
        <f t="shared" si="120"/>
        <v>Used VehicleSalaries &amp; Wages per retail</v>
      </c>
      <c r="S1327" s="199"/>
      <c r="T1327" s="199"/>
      <c r="U1327" s="199"/>
    </row>
    <row r="1328" spans="1:21" x14ac:dyDescent="0.25">
      <c r="A1328" t="s">
        <v>996</v>
      </c>
      <c r="B1328" t="s">
        <v>997</v>
      </c>
      <c r="C1328" t="s">
        <v>1005</v>
      </c>
      <c r="D1328">
        <v>7190</v>
      </c>
      <c r="E1328">
        <v>260</v>
      </c>
      <c r="F1328" t="s">
        <v>1247</v>
      </c>
      <c r="G1328" t="s">
        <v>1248</v>
      </c>
      <c r="H1328" s="315" t="s">
        <v>16</v>
      </c>
      <c r="I1328" s="315" t="s">
        <v>1249</v>
      </c>
      <c r="J1328" s="315" t="str">
        <f t="shared" si="116"/>
        <v>F&amp;ISalaries &amp; Commission per vehicle retailed</v>
      </c>
      <c r="K1328" s="315" t="str">
        <f t="shared" si="117"/>
        <v>260F&amp;I Salaries &amp; Commission - Toyota</v>
      </c>
      <c r="L1328" s="311">
        <f>+SUMIF('TUNZ Extracted TB'!M:M,$P1328,'TUNZ Extracted TB'!G:G)</f>
        <v>10377.4</v>
      </c>
      <c r="M1328" s="311"/>
      <c r="N1328" s="311">
        <f>+SUMIF('Input Sheet'!$AE:$AE,P1328,'Input Sheet'!$X:$X)</f>
        <v>0</v>
      </c>
      <c r="O1328" s="311"/>
      <c r="P1328" t="str">
        <f t="shared" si="118"/>
        <v>260-7190</v>
      </c>
      <c r="Q1328" s="315" t="str">
        <f t="shared" si="119"/>
        <v>F&amp;I</v>
      </c>
      <c r="R1328" s="315" t="str">
        <f t="shared" si="120"/>
        <v>F&amp;ISalaries &amp; Commission per vehicle retailed</v>
      </c>
      <c r="S1328" s="199"/>
      <c r="T1328" s="199"/>
      <c r="U1328" s="199"/>
    </row>
    <row r="1329" spans="1:21" x14ac:dyDescent="0.25">
      <c r="A1329" t="s">
        <v>996</v>
      </c>
      <c r="B1329" t="s">
        <v>997</v>
      </c>
      <c r="C1329" t="s">
        <v>997</v>
      </c>
      <c r="D1329">
        <v>7190</v>
      </c>
      <c r="E1329">
        <v>160</v>
      </c>
      <c r="F1329" t="s">
        <v>1247</v>
      </c>
      <c r="G1329" t="s">
        <v>1248</v>
      </c>
      <c r="H1329" s="315" t="s">
        <v>16</v>
      </c>
      <c r="I1329" s="315" t="s">
        <v>1249</v>
      </c>
      <c r="J1329" s="315" t="str">
        <f t="shared" si="116"/>
        <v>F&amp;ISalaries &amp; Commission per vehicle retailed</v>
      </c>
      <c r="K1329" s="315" t="str">
        <f t="shared" si="117"/>
        <v>160F&amp;I Salaries &amp; Commission - Toyota</v>
      </c>
      <c r="L1329" s="311">
        <f>+SUMIF('TUNZ Extracted TB'!M:M,$P1329,'TUNZ Extracted TB'!G:G)</f>
        <v>11490.65</v>
      </c>
      <c r="M1329" s="311"/>
      <c r="N1329" s="311">
        <f>+SUMIF('Input Sheet'!$AE:$AE,P1329,'Input Sheet'!$X:$X)</f>
        <v>0</v>
      </c>
      <c r="O1329" s="311"/>
      <c r="P1329" t="str">
        <f t="shared" si="118"/>
        <v>160-7190</v>
      </c>
      <c r="Q1329" s="315" t="str">
        <f t="shared" si="119"/>
        <v>F&amp;I</v>
      </c>
      <c r="R1329" s="315" t="str">
        <f t="shared" si="120"/>
        <v>F&amp;ISalaries &amp; Commission per vehicle retailed</v>
      </c>
      <c r="S1329" s="199"/>
      <c r="T1329" s="199"/>
      <c r="U1329" s="199"/>
    </row>
    <row r="1330" spans="1:21" x14ac:dyDescent="0.25">
      <c r="A1330" t="s">
        <v>996</v>
      </c>
      <c r="B1330" t="s">
        <v>997</v>
      </c>
      <c r="C1330" t="s">
        <v>1005</v>
      </c>
      <c r="D1330">
        <v>7190</v>
      </c>
      <c r="E1330">
        <v>200</v>
      </c>
      <c r="F1330" t="s">
        <v>1242</v>
      </c>
      <c r="G1330" t="s">
        <v>1243</v>
      </c>
      <c r="H1330" s="315" t="s">
        <v>29</v>
      </c>
      <c r="I1330" s="315" t="s">
        <v>1244</v>
      </c>
      <c r="J1330" s="315" t="str">
        <f t="shared" si="116"/>
        <v>New VehicleSalaries &amp; Wages p.u.</v>
      </c>
      <c r="K1330" s="315" t="str">
        <f t="shared" si="117"/>
        <v>200NV Salaries &amp; Wages - Toyota</v>
      </c>
      <c r="L1330" s="311">
        <f>+SUMIF('TUNZ Extracted TB'!M:M,$P1330,'TUNZ Extracted TB'!G:G)</f>
        <v>0</v>
      </c>
      <c r="M1330" s="311"/>
      <c r="N1330" s="311">
        <f>+SUMIF('Input Sheet'!$AE:$AE,P1330,'Input Sheet'!$X:$X)</f>
        <v>0</v>
      </c>
      <c r="O1330" s="311"/>
      <c r="P1330" t="str">
        <f t="shared" si="118"/>
        <v>200-7190</v>
      </c>
      <c r="Q1330" s="315" t="str">
        <f t="shared" si="119"/>
        <v>New Vehicle</v>
      </c>
      <c r="R1330" s="315" t="str">
        <f t="shared" si="120"/>
        <v>New VehicleSalaries &amp; Wages p.u.</v>
      </c>
      <c r="S1330" s="199"/>
      <c r="T1330" s="199"/>
      <c r="U1330" s="199"/>
    </row>
    <row r="1331" spans="1:21" x14ac:dyDescent="0.25">
      <c r="A1331" t="s">
        <v>996</v>
      </c>
      <c r="B1331" t="s">
        <v>997</v>
      </c>
      <c r="C1331" t="s">
        <v>997</v>
      </c>
      <c r="D1331">
        <v>7190</v>
      </c>
      <c r="E1331">
        <v>162</v>
      </c>
      <c r="F1331" t="s">
        <v>1260</v>
      </c>
      <c r="G1331" t="s">
        <v>1261</v>
      </c>
      <c r="H1331" s="315" t="s">
        <v>142</v>
      </c>
      <c r="I1331" s="315" t="s">
        <v>1249</v>
      </c>
      <c r="J1331" s="315" t="str">
        <f t="shared" si="116"/>
        <v>LEX F&amp;ISalaries &amp; Commission per vehicle retailed</v>
      </c>
      <c r="K1331" s="315" t="str">
        <f t="shared" si="117"/>
        <v>162F&amp;I Salaries &amp; Commission - Lexus</v>
      </c>
      <c r="L1331" s="311">
        <f>+SUMIF('TUNZ Extracted TB'!M:M,$P1331,'TUNZ Extracted TB'!G:G)</f>
        <v>7347</v>
      </c>
      <c r="M1331" s="311"/>
      <c r="N1331" s="311">
        <f>+SUMIF('Input Sheet'!$AE:$AE,P1331,'Input Sheet'!$X:$X)</f>
        <v>0</v>
      </c>
      <c r="O1331" s="311"/>
      <c r="P1331" t="str">
        <f t="shared" si="118"/>
        <v>162-7190</v>
      </c>
      <c r="Q1331" s="315" t="str">
        <f t="shared" si="119"/>
        <v>LEX F&amp;I</v>
      </c>
      <c r="R1331" s="315" t="str">
        <f t="shared" si="120"/>
        <v>LEX F&amp;ISalaries &amp; Commission per vehicle retailed</v>
      </c>
      <c r="S1331" s="199"/>
      <c r="T1331" s="199"/>
      <c r="U1331" s="199"/>
    </row>
    <row r="1332" spans="1:21" x14ac:dyDescent="0.25">
      <c r="A1332" t="s">
        <v>996</v>
      </c>
      <c r="B1332" t="s">
        <v>997</v>
      </c>
      <c r="C1332" t="s">
        <v>1012</v>
      </c>
      <c r="D1332">
        <v>7190</v>
      </c>
      <c r="E1332">
        <v>430</v>
      </c>
      <c r="F1332" t="s">
        <v>1256</v>
      </c>
      <c r="G1332" t="s">
        <v>1257</v>
      </c>
      <c r="H1332" s="315" t="s">
        <v>5</v>
      </c>
      <c r="I1332" s="315" t="s">
        <v>1255</v>
      </c>
      <c r="J1332" s="315" t="str">
        <f t="shared" si="116"/>
        <v>PartsSalaries &amp; Commission as % of Sales</v>
      </c>
      <c r="K1332" s="315" t="str">
        <f t="shared" si="117"/>
        <v>430Parts Salaries &amp; Commission - Toyota</v>
      </c>
      <c r="L1332" s="311">
        <f>+SUMIF('TUNZ Extracted TB'!M:M,$P1332,'TUNZ Extracted TB'!G:G)</f>
        <v>5021.88</v>
      </c>
      <c r="M1332" s="311"/>
      <c r="N1332" s="311">
        <f>+SUMIF('Input Sheet'!$AE:$AE,P1332,'Input Sheet'!$X:$X)</f>
        <v>0</v>
      </c>
      <c r="O1332" s="311"/>
      <c r="P1332" t="str">
        <f t="shared" si="118"/>
        <v>430-7190</v>
      </c>
      <c r="Q1332" s="315" t="str">
        <f t="shared" si="119"/>
        <v>Parts</v>
      </c>
      <c r="R1332" s="315" t="str">
        <f t="shared" si="120"/>
        <v>PartsSalaries &amp; Commission as % of Sales</v>
      </c>
      <c r="S1332" s="199"/>
      <c r="T1332" s="199"/>
      <c r="U1332" s="199"/>
    </row>
    <row r="1333" spans="1:21" x14ac:dyDescent="0.25">
      <c r="A1333" t="s">
        <v>996</v>
      </c>
      <c r="B1333" t="s">
        <v>997</v>
      </c>
      <c r="C1333" t="s">
        <v>1013</v>
      </c>
      <c r="D1333">
        <v>7190</v>
      </c>
      <c r="E1333">
        <v>330</v>
      </c>
      <c r="F1333" t="s">
        <v>1256</v>
      </c>
      <c r="G1333" t="s">
        <v>1257</v>
      </c>
      <c r="H1333" s="315" t="s">
        <v>5</v>
      </c>
      <c r="I1333" s="315" t="s">
        <v>1255</v>
      </c>
      <c r="J1333" s="315" t="str">
        <f t="shared" si="116"/>
        <v>PartsSalaries &amp; Commission as % of Sales</v>
      </c>
      <c r="K1333" s="315" t="str">
        <f t="shared" si="117"/>
        <v>330Parts Salaries &amp; Commission - Toyota</v>
      </c>
      <c r="L1333" s="311">
        <f>+SUMIF('TUNZ Extracted TB'!M:M,$P1333,'TUNZ Extracted TB'!G:G)</f>
        <v>6165.77</v>
      </c>
      <c r="M1333" s="311"/>
      <c r="N1333" s="311">
        <f>+SUMIF('Input Sheet'!$AE:$AE,P1333,'Input Sheet'!$X:$X)</f>
        <v>0</v>
      </c>
      <c r="O1333" s="311"/>
      <c r="P1333" t="str">
        <f t="shared" si="118"/>
        <v>330-7190</v>
      </c>
      <c r="Q1333" s="315" t="str">
        <f t="shared" si="119"/>
        <v>Parts</v>
      </c>
      <c r="R1333" s="315" t="str">
        <f t="shared" si="120"/>
        <v>PartsSalaries &amp; Commission as % of Sales</v>
      </c>
      <c r="S1333" s="199"/>
      <c r="T1333" s="199"/>
      <c r="U1333" s="199"/>
    </row>
    <row r="1334" spans="1:21" x14ac:dyDescent="0.25">
      <c r="A1334" t="s">
        <v>996</v>
      </c>
      <c r="B1334" t="s">
        <v>997</v>
      </c>
      <c r="C1334" t="s">
        <v>997</v>
      </c>
      <c r="D1334">
        <v>7190</v>
      </c>
      <c r="E1334">
        <v>936</v>
      </c>
      <c r="F1334" t="s">
        <v>1175</v>
      </c>
      <c r="G1334" t="s">
        <v>1176</v>
      </c>
      <c r="H1334" s="315" t="s">
        <v>58</v>
      </c>
      <c r="I1334" s="315" t="s">
        <v>1252</v>
      </c>
      <c r="J1334" s="315" t="str">
        <f t="shared" si="116"/>
        <v>BridgestoneSalaries, Commission &amp; Leave as % of Sales</v>
      </c>
      <c r="K1334" s="315" t="str">
        <f t="shared" si="117"/>
        <v>936Other franchise/business expense</v>
      </c>
      <c r="L1334" s="311">
        <f>+SUMIF('TUNZ Extracted TB'!M:M,$P1334,'TUNZ Extracted TB'!G:G)</f>
        <v>6061.74</v>
      </c>
      <c r="M1334" s="311"/>
      <c r="N1334" s="311">
        <f>+SUMIF('Input Sheet'!$AE:$AE,P1334,'Input Sheet'!$X:$X)</f>
        <v>0</v>
      </c>
      <c r="O1334" s="311"/>
      <c r="P1334" t="str">
        <f t="shared" si="118"/>
        <v>936-7190</v>
      </c>
      <c r="Q1334" s="315" t="str">
        <f t="shared" si="119"/>
        <v>Bridgestone</v>
      </c>
      <c r="R1334" s="315" t="str">
        <f t="shared" si="120"/>
        <v>BridgestoneSalaries, Commission &amp; Leave as % of Sales</v>
      </c>
      <c r="S1334" s="199"/>
      <c r="T1334" s="199"/>
      <c r="U1334" s="199"/>
    </row>
    <row r="1335" spans="1:21" x14ac:dyDescent="0.25">
      <c r="A1335" t="s">
        <v>996</v>
      </c>
      <c r="B1335" t="s">
        <v>997</v>
      </c>
      <c r="C1335" t="s">
        <v>997</v>
      </c>
      <c r="D1335">
        <v>7190</v>
      </c>
      <c r="E1335">
        <v>120</v>
      </c>
      <c r="F1335" t="s">
        <v>1239</v>
      </c>
      <c r="G1335" t="s">
        <v>1240</v>
      </c>
      <c r="H1335" s="315" t="s">
        <v>30</v>
      </c>
      <c r="I1335" s="315" t="s">
        <v>1241</v>
      </c>
      <c r="J1335" s="315" t="str">
        <f t="shared" si="116"/>
        <v>Used VehicleSalaries &amp; Wages per retail</v>
      </c>
      <c r="K1335" s="315" t="str">
        <f t="shared" si="117"/>
        <v>120Toyota UV Salaries &amp; Wages</v>
      </c>
      <c r="L1335" s="311">
        <f>+SUMIF('TUNZ Extracted TB'!M:M,$P1335,'TUNZ Extracted TB'!G:G)</f>
        <v>5914.84</v>
      </c>
      <c r="M1335" s="311"/>
      <c r="N1335" s="311">
        <f>+SUMIF('Input Sheet'!$AE:$AE,P1335,'Input Sheet'!$X:$X)</f>
        <v>0</v>
      </c>
      <c r="O1335" s="311"/>
      <c r="P1335" t="str">
        <f t="shared" si="118"/>
        <v>120-7190</v>
      </c>
      <c r="Q1335" s="315" t="str">
        <f t="shared" si="119"/>
        <v>Used Vehicle</v>
      </c>
      <c r="R1335" s="315" t="str">
        <f t="shared" si="120"/>
        <v>Used VehicleSalaries &amp; Wages per retail</v>
      </c>
      <c r="S1335" s="199"/>
      <c r="T1335" s="199"/>
      <c r="U1335" s="199"/>
    </row>
    <row r="1336" spans="1:21" x14ac:dyDescent="0.25">
      <c r="A1336" t="s">
        <v>996</v>
      </c>
      <c r="B1336" t="s">
        <v>997</v>
      </c>
      <c r="C1336" t="s">
        <v>997</v>
      </c>
      <c r="D1336">
        <v>7190</v>
      </c>
      <c r="E1336">
        <v>140</v>
      </c>
      <c r="F1336" t="s">
        <v>1250</v>
      </c>
      <c r="G1336" t="s">
        <v>1251</v>
      </c>
      <c r="H1336" s="315" t="s">
        <v>17</v>
      </c>
      <c r="I1336" s="315" t="s">
        <v>1252</v>
      </c>
      <c r="J1336" s="315" t="str">
        <f t="shared" si="116"/>
        <v>ServiceSalaries, Commission &amp; Leave as % of Sales</v>
      </c>
      <c r="K1336" s="315" t="str">
        <f t="shared" si="117"/>
        <v>140Service Salaries &amp; Commission - Toyota</v>
      </c>
      <c r="L1336" s="311">
        <f>+SUMIF('TUNZ Extracted TB'!M:M,$P1336,'TUNZ Extracted TB'!G:G)</f>
        <v>62853.41</v>
      </c>
      <c r="M1336" s="311"/>
      <c r="N1336" s="311">
        <f>+SUMIF('Input Sheet'!$AE:$AE,P1336,'Input Sheet'!$X:$X)</f>
        <v>0</v>
      </c>
      <c r="O1336" s="311"/>
      <c r="P1336" t="str">
        <f t="shared" si="118"/>
        <v>140-7190</v>
      </c>
      <c r="Q1336" s="315" t="str">
        <f t="shared" si="119"/>
        <v>Service</v>
      </c>
      <c r="R1336" s="315" t="str">
        <f t="shared" si="120"/>
        <v>ServiceSalaries, Commission &amp; Leave as % of Sales</v>
      </c>
      <c r="S1336" s="199"/>
      <c r="T1336" s="199"/>
      <c r="U1336" s="199"/>
    </row>
    <row r="1337" spans="1:21" x14ac:dyDescent="0.25">
      <c r="A1337" t="s">
        <v>996</v>
      </c>
      <c r="B1337" t="s">
        <v>997</v>
      </c>
      <c r="C1337" t="s">
        <v>997</v>
      </c>
      <c r="D1337">
        <v>7190</v>
      </c>
      <c r="E1337">
        <v>142</v>
      </c>
      <c r="F1337" t="s">
        <v>1270</v>
      </c>
      <c r="G1337" t="s">
        <v>1271</v>
      </c>
      <c r="H1337" s="315" t="s">
        <v>1022</v>
      </c>
      <c r="I1337" s="315" t="s">
        <v>1252</v>
      </c>
      <c r="J1337" s="315" t="str">
        <f t="shared" si="116"/>
        <v>Lex ServiceSalaries, Commission &amp; Leave as % of Sales</v>
      </c>
      <c r="K1337" s="315" t="str">
        <f t="shared" si="117"/>
        <v>142Service Salaries &amp; Commission - Lexus</v>
      </c>
      <c r="L1337" s="311">
        <f>+SUMIF('TUNZ Extracted TB'!M:M,$P1337,'TUNZ Extracted TB'!G:G)</f>
        <v>17445.490000000002</v>
      </c>
      <c r="M1337" s="311"/>
      <c r="N1337" s="311">
        <f>+SUMIF('Input Sheet'!$AE:$AE,P1337,'Input Sheet'!$X:$X)</f>
        <v>0</v>
      </c>
      <c r="O1337" s="311"/>
      <c r="P1337" t="str">
        <f t="shared" si="118"/>
        <v>142-7190</v>
      </c>
      <c r="Q1337" s="315" t="str">
        <f t="shared" si="119"/>
        <v>Lex Service</v>
      </c>
      <c r="R1337" s="315" t="str">
        <f t="shared" si="120"/>
        <v>Lex ServiceSalaries, Commission &amp; Leave as % of Sales</v>
      </c>
      <c r="S1337" s="199"/>
      <c r="T1337" s="199"/>
      <c r="U1337" s="199"/>
    </row>
    <row r="1338" spans="1:21" x14ac:dyDescent="0.25">
      <c r="A1338" s="316">
        <v>44866</v>
      </c>
      <c r="B1338" t="s">
        <v>997</v>
      </c>
      <c r="C1338" t="s">
        <v>997</v>
      </c>
      <c r="D1338">
        <v>7190</v>
      </c>
      <c r="E1338">
        <v>170</v>
      </c>
      <c r="G1338" t="s">
        <v>926</v>
      </c>
      <c r="H1338" s="315" t="s">
        <v>1000</v>
      </c>
      <c r="I1338" s="315" t="s">
        <v>1276</v>
      </c>
      <c r="J1338" s="315" t="str">
        <f t="shared" si="116"/>
        <v xml:space="preserve">Admin &amp; OtherStaff Remuneration &amp; Benefits as % of Total Gross </v>
      </c>
      <c r="K1338" s="315" t="str">
        <f t="shared" si="117"/>
        <v>170Salaries: Other</v>
      </c>
      <c r="L1338" s="311">
        <f>+SUMIF('TUNZ Extracted TB'!M:M,$P1338,'TUNZ Extracted TB'!G:G)</f>
        <v>0</v>
      </c>
      <c r="M1338" s="199"/>
      <c r="N1338" s="311">
        <f>+SUMIF('Input Sheet'!$AE:$AE,P1338,'Input Sheet'!$X:$X)</f>
        <v>0</v>
      </c>
      <c r="O1338" s="199"/>
      <c r="P1338" t="str">
        <f t="shared" si="118"/>
        <v>170-7190</v>
      </c>
      <c r="Q1338" s="315" t="str">
        <f t="shared" si="119"/>
        <v>Admin &amp; Other</v>
      </c>
      <c r="R1338" s="315" t="str">
        <f t="shared" si="120"/>
        <v xml:space="preserve">Admin &amp; OtherStaff Remuneration &amp; Benefits as % of Total Gross </v>
      </c>
      <c r="S1338" s="199"/>
      <c r="T1338" s="199"/>
      <c r="U1338" s="199"/>
    </row>
    <row r="1339" spans="1:21" x14ac:dyDescent="0.25">
      <c r="A1339" t="s">
        <v>996</v>
      </c>
      <c r="B1339" t="s">
        <v>997</v>
      </c>
      <c r="C1339" t="s">
        <v>997</v>
      </c>
      <c r="D1339">
        <v>7190</v>
      </c>
      <c r="E1339">
        <v>130</v>
      </c>
      <c r="F1339" t="s">
        <v>1256</v>
      </c>
      <c r="G1339" t="s">
        <v>1257</v>
      </c>
      <c r="H1339" s="315" t="s">
        <v>5</v>
      </c>
      <c r="I1339" s="315" t="s">
        <v>1255</v>
      </c>
      <c r="J1339" s="315" t="str">
        <f t="shared" si="116"/>
        <v>PartsSalaries &amp; Commission as % of Sales</v>
      </c>
      <c r="K1339" s="315" t="str">
        <f t="shared" si="117"/>
        <v>130Parts Salaries &amp; Commission - Toyota</v>
      </c>
      <c r="L1339" s="311">
        <f>+SUMIF('TUNZ Extracted TB'!M:M,$P1339,'TUNZ Extracted TB'!G:G)</f>
        <v>40135.33</v>
      </c>
      <c r="M1339" s="311"/>
      <c r="N1339" s="311">
        <f>+SUMIF('Input Sheet'!$AE:$AE,P1339,'Input Sheet'!$X:$X)</f>
        <v>0</v>
      </c>
      <c r="O1339" s="311"/>
      <c r="P1339" t="str">
        <f t="shared" si="118"/>
        <v>130-7190</v>
      </c>
      <c r="Q1339" s="315" t="str">
        <f t="shared" si="119"/>
        <v>Parts</v>
      </c>
      <c r="R1339" s="315" t="str">
        <f t="shared" si="120"/>
        <v>PartsSalaries &amp; Commission as % of Sales</v>
      </c>
      <c r="S1339" s="199"/>
      <c r="T1339" s="199"/>
      <c r="U1339" s="199"/>
    </row>
    <row r="1340" spans="1:21" x14ac:dyDescent="0.25">
      <c r="A1340" t="s">
        <v>996</v>
      </c>
      <c r="B1340" t="s">
        <v>997</v>
      </c>
      <c r="C1340" t="s">
        <v>997</v>
      </c>
      <c r="D1340">
        <v>7190</v>
      </c>
      <c r="E1340">
        <v>132</v>
      </c>
      <c r="F1340" t="s">
        <v>1253</v>
      </c>
      <c r="G1340" t="s">
        <v>1254</v>
      </c>
      <c r="H1340" s="315" t="s">
        <v>143</v>
      </c>
      <c r="I1340" s="315" t="s">
        <v>1255</v>
      </c>
      <c r="J1340" s="315" t="str">
        <f t="shared" si="116"/>
        <v>LEX PartsSalaries &amp; Commission as % of Sales</v>
      </c>
      <c r="K1340" s="315" t="str">
        <f t="shared" si="117"/>
        <v>132Parts Salaries &amp; Commission - Lexus</v>
      </c>
      <c r="L1340" s="311">
        <f>+SUMIF('TUNZ Extracted TB'!M:M,$P1340,'TUNZ Extracted TB'!G:G)</f>
        <v>4459</v>
      </c>
      <c r="M1340" s="311"/>
      <c r="N1340" s="311">
        <f>+SUMIF('Input Sheet'!$AE:$AE,P1340,'Input Sheet'!$X:$X)</f>
        <v>0</v>
      </c>
      <c r="O1340" s="311"/>
      <c r="P1340" t="str">
        <f t="shared" si="118"/>
        <v>132-7190</v>
      </c>
      <c r="Q1340" s="315" t="str">
        <f t="shared" si="119"/>
        <v>LEX Parts</v>
      </c>
      <c r="R1340" s="315" t="str">
        <f t="shared" si="120"/>
        <v>LEX PartsSalaries &amp; Commission as % of Sales</v>
      </c>
      <c r="S1340" s="199"/>
      <c r="T1340" s="199"/>
      <c r="U1340" s="199"/>
    </row>
    <row r="1341" spans="1:21" x14ac:dyDescent="0.25">
      <c r="A1341" t="s">
        <v>996</v>
      </c>
      <c r="B1341" t="s">
        <v>997</v>
      </c>
      <c r="C1341" t="s">
        <v>1012</v>
      </c>
      <c r="D1341">
        <v>7190</v>
      </c>
      <c r="E1341">
        <v>400</v>
      </c>
      <c r="F1341" t="s">
        <v>1242</v>
      </c>
      <c r="G1341" t="s">
        <v>1243</v>
      </c>
      <c r="H1341" s="315" t="s">
        <v>29</v>
      </c>
      <c r="I1341" s="315" t="s">
        <v>1244</v>
      </c>
      <c r="J1341" s="315" t="str">
        <f t="shared" si="116"/>
        <v>New VehicleSalaries &amp; Wages p.u.</v>
      </c>
      <c r="K1341" s="315" t="str">
        <f t="shared" si="117"/>
        <v>400NV Salaries &amp; Wages - Toyota</v>
      </c>
      <c r="L1341" s="311">
        <f>+SUMIF('TUNZ Extracted TB'!M:M,$P1341,'TUNZ Extracted TB'!G:G)</f>
        <v>0</v>
      </c>
      <c r="M1341" s="311"/>
      <c r="N1341" s="311">
        <f>+SUMIF('Input Sheet'!$AE:$AE,P1341,'Input Sheet'!$X:$X)</f>
        <v>0</v>
      </c>
      <c r="O1341" s="311"/>
      <c r="P1341" t="str">
        <f t="shared" si="118"/>
        <v>400-7190</v>
      </c>
      <c r="Q1341" s="315" t="str">
        <f t="shared" si="119"/>
        <v>New Vehicle</v>
      </c>
      <c r="R1341" s="315" t="str">
        <f t="shared" si="120"/>
        <v>New VehicleSalaries &amp; Wages p.u.</v>
      </c>
      <c r="S1341" s="199"/>
      <c r="T1341" s="199"/>
      <c r="U1341" s="199"/>
    </row>
    <row r="1342" spans="1:21" x14ac:dyDescent="0.25">
      <c r="A1342" t="s">
        <v>996</v>
      </c>
      <c r="B1342" t="s">
        <v>997</v>
      </c>
      <c r="C1342" t="s">
        <v>1013</v>
      </c>
      <c r="D1342">
        <v>7190</v>
      </c>
      <c r="E1342">
        <v>300</v>
      </c>
      <c r="F1342" t="s">
        <v>1242</v>
      </c>
      <c r="G1342" t="s">
        <v>1243</v>
      </c>
      <c r="H1342" s="315" t="s">
        <v>29</v>
      </c>
      <c r="I1342" s="315" t="s">
        <v>1244</v>
      </c>
      <c r="J1342" s="315" t="str">
        <f t="shared" si="116"/>
        <v>New VehicleSalaries &amp; Wages p.u.</v>
      </c>
      <c r="K1342" s="315" t="str">
        <f t="shared" si="117"/>
        <v>300NV Salaries &amp; Wages - Toyota</v>
      </c>
      <c r="L1342" s="311">
        <f>+SUMIF('TUNZ Extracted TB'!M:M,$P1342,'TUNZ Extracted TB'!G:G)</f>
        <v>0</v>
      </c>
      <c r="M1342" s="311"/>
      <c r="N1342" s="311">
        <f>+SUMIF('Input Sheet'!$AE:$AE,P1342,'Input Sheet'!$X:$X)</f>
        <v>0</v>
      </c>
      <c r="O1342" s="311"/>
      <c r="P1342" t="str">
        <f t="shared" si="118"/>
        <v>300-7190</v>
      </c>
      <c r="Q1342" s="315" t="str">
        <f t="shared" si="119"/>
        <v>New Vehicle</v>
      </c>
      <c r="R1342" s="315" t="str">
        <f t="shared" si="120"/>
        <v>New VehicleSalaries &amp; Wages p.u.</v>
      </c>
      <c r="S1342" s="199"/>
      <c r="T1342" s="199"/>
      <c r="U1342" s="199"/>
    </row>
    <row r="1343" spans="1:21" x14ac:dyDescent="0.25">
      <c r="A1343" t="s">
        <v>996</v>
      </c>
      <c r="B1343" t="s">
        <v>997</v>
      </c>
      <c r="C1343" t="s">
        <v>997</v>
      </c>
      <c r="D1343">
        <v>7210</v>
      </c>
      <c r="E1343">
        <v>112</v>
      </c>
      <c r="F1343" t="s">
        <v>1258</v>
      </c>
      <c r="G1343" t="s">
        <v>1259</v>
      </c>
      <c r="H1343" s="315" t="s">
        <v>1011</v>
      </c>
      <c r="I1343" s="315" t="s">
        <v>1244</v>
      </c>
      <c r="J1343" s="315" t="str">
        <f t="shared" si="116"/>
        <v>LEX New VehicleSalaries &amp; Wages p.u.</v>
      </c>
      <c r="K1343" s="315" t="str">
        <f t="shared" si="117"/>
        <v>112NV Salaries &amp; Wages - Lexus</v>
      </c>
      <c r="L1343" s="311">
        <f>+SUMIF('TUNZ Extracted TB'!M:M,$P1343,'TUNZ Extracted TB'!G:G)</f>
        <v>0</v>
      </c>
      <c r="M1343" s="311"/>
      <c r="N1343" s="311">
        <f>+SUMIF('Input Sheet'!$AE:$AE,P1343,'Input Sheet'!$X:$X)</f>
        <v>0</v>
      </c>
      <c r="O1343" s="311"/>
      <c r="P1343" t="str">
        <f t="shared" si="118"/>
        <v>112-7210</v>
      </c>
      <c r="Q1343" s="315" t="str">
        <f t="shared" si="119"/>
        <v>LEX New Vehicle</v>
      </c>
      <c r="R1343" s="315" t="str">
        <f t="shared" si="120"/>
        <v>LEX New VehicleSalaries &amp; Wages p.u.</v>
      </c>
      <c r="S1343" s="199"/>
      <c r="T1343" s="199"/>
      <c r="U1343" s="199"/>
    </row>
    <row r="1344" spans="1:21" x14ac:dyDescent="0.25">
      <c r="A1344" t="s">
        <v>996</v>
      </c>
      <c r="B1344" t="s">
        <v>997</v>
      </c>
      <c r="C1344" t="s">
        <v>1012</v>
      </c>
      <c r="D1344">
        <v>7190</v>
      </c>
      <c r="E1344">
        <v>460</v>
      </c>
      <c r="F1344" t="s">
        <v>1247</v>
      </c>
      <c r="G1344" t="s">
        <v>1248</v>
      </c>
      <c r="H1344" s="315" t="s">
        <v>16</v>
      </c>
      <c r="I1344" s="315" t="s">
        <v>1249</v>
      </c>
      <c r="J1344" s="315" t="str">
        <f t="shared" si="116"/>
        <v>F&amp;ISalaries &amp; Commission per vehicle retailed</v>
      </c>
      <c r="K1344" s="315" t="str">
        <f t="shared" si="117"/>
        <v>460F&amp;I Salaries &amp; Commission - Toyota</v>
      </c>
      <c r="L1344" s="311">
        <f>+SUMIF('TUNZ Extracted TB'!M:M,$P1344,'TUNZ Extracted TB'!G:G)</f>
        <v>0</v>
      </c>
      <c r="M1344" s="311"/>
      <c r="N1344" s="311">
        <f>+SUMIF('Input Sheet'!$AE:$AE,P1344,'Input Sheet'!$X:$X)</f>
        <v>0</v>
      </c>
      <c r="O1344" s="311"/>
      <c r="P1344" t="str">
        <f t="shared" si="118"/>
        <v>460-7190</v>
      </c>
      <c r="Q1344" s="315" t="str">
        <f t="shared" si="119"/>
        <v>F&amp;I</v>
      </c>
      <c r="R1344" s="315" t="str">
        <f t="shared" si="120"/>
        <v>F&amp;ISalaries &amp; Commission per vehicle retailed</v>
      </c>
      <c r="S1344" s="199"/>
      <c r="T1344" s="199"/>
      <c r="U1344" s="199"/>
    </row>
    <row r="1345" spans="1:21" x14ac:dyDescent="0.25">
      <c r="A1345" t="s">
        <v>996</v>
      </c>
      <c r="B1345" t="s">
        <v>997</v>
      </c>
      <c r="C1345" t="s">
        <v>1013</v>
      </c>
      <c r="D1345">
        <v>7190</v>
      </c>
      <c r="E1345">
        <v>360</v>
      </c>
      <c r="F1345" t="s">
        <v>1247</v>
      </c>
      <c r="G1345" t="s">
        <v>1248</v>
      </c>
      <c r="H1345" s="315" t="s">
        <v>16</v>
      </c>
      <c r="I1345" s="315" t="s">
        <v>1249</v>
      </c>
      <c r="J1345" s="315" t="str">
        <f t="shared" si="116"/>
        <v>F&amp;ISalaries &amp; Commission per vehicle retailed</v>
      </c>
      <c r="K1345" s="315" t="str">
        <f t="shared" si="117"/>
        <v>360F&amp;I Salaries &amp; Commission - Toyota</v>
      </c>
      <c r="L1345" s="311">
        <f>+SUMIF('TUNZ Extracted TB'!M:M,$P1345,'TUNZ Extracted TB'!G:G)</f>
        <v>0</v>
      </c>
      <c r="M1345" s="311"/>
      <c r="N1345" s="311">
        <f>+SUMIF('Input Sheet'!$AE:$AE,P1345,'Input Sheet'!$X:$X)</f>
        <v>0</v>
      </c>
      <c r="O1345" s="311"/>
      <c r="P1345" t="str">
        <f t="shared" si="118"/>
        <v>360-7190</v>
      </c>
      <c r="Q1345" s="315" t="str">
        <f t="shared" si="119"/>
        <v>F&amp;I</v>
      </c>
      <c r="R1345" s="315" t="str">
        <f t="shared" si="120"/>
        <v>F&amp;ISalaries &amp; Commission per vehicle retailed</v>
      </c>
      <c r="S1345" s="199"/>
      <c r="T1345" s="199"/>
      <c r="U1345" s="199"/>
    </row>
    <row r="1346" spans="1:21" x14ac:dyDescent="0.25">
      <c r="A1346" t="s">
        <v>996</v>
      </c>
      <c r="B1346" t="s">
        <v>997</v>
      </c>
      <c r="C1346" t="s">
        <v>997</v>
      </c>
      <c r="D1346">
        <v>7190</v>
      </c>
      <c r="E1346">
        <v>122</v>
      </c>
      <c r="F1346" t="s">
        <v>1245</v>
      </c>
      <c r="G1346" t="s">
        <v>1246</v>
      </c>
      <c r="H1346" s="315" t="s">
        <v>1041</v>
      </c>
      <c r="I1346" s="315" t="s">
        <v>1241</v>
      </c>
      <c r="J1346" s="315" t="str">
        <f t="shared" si="116"/>
        <v>LEX Used VehicleSalaries &amp; Wages per retail</v>
      </c>
      <c r="K1346" s="315" t="str">
        <f t="shared" si="117"/>
        <v>122Lexus UV Salaries &amp; Wages</v>
      </c>
      <c r="L1346" s="311">
        <f>+SUMIF('TUNZ Extracted TB'!M:M,$P1346,'TUNZ Extracted TB'!G:G)</f>
        <v>0</v>
      </c>
      <c r="M1346" s="311"/>
      <c r="N1346" s="311">
        <f>+SUMIF('Input Sheet'!$AE:$AE,P1346,'Input Sheet'!$X:$X)</f>
        <v>0</v>
      </c>
      <c r="O1346" s="311"/>
      <c r="P1346" t="str">
        <f t="shared" si="118"/>
        <v>122-7190</v>
      </c>
      <c r="Q1346" s="315" t="str">
        <f t="shared" si="119"/>
        <v>LEX Used Vehicle</v>
      </c>
      <c r="R1346" s="315" t="str">
        <f t="shared" si="120"/>
        <v>LEX Used VehicleSalaries &amp; Wages per retail</v>
      </c>
      <c r="S1346" s="199"/>
      <c r="T1346" s="199"/>
      <c r="U1346" s="199"/>
    </row>
    <row r="1347" spans="1:21" x14ac:dyDescent="0.25">
      <c r="A1347" t="s">
        <v>996</v>
      </c>
      <c r="B1347" t="s">
        <v>997</v>
      </c>
      <c r="C1347" t="s">
        <v>997</v>
      </c>
      <c r="D1347">
        <v>7210</v>
      </c>
      <c r="E1347">
        <v>100</v>
      </c>
      <c r="F1347" t="s">
        <v>1242</v>
      </c>
      <c r="G1347" t="s">
        <v>1243</v>
      </c>
      <c r="H1347" s="315" t="s">
        <v>29</v>
      </c>
      <c r="I1347" s="315" t="s">
        <v>1244</v>
      </c>
      <c r="J1347" s="315" t="str">
        <f t="shared" ref="J1347:J1410" si="121">+H1347&amp;I1347</f>
        <v>New VehicleSalaries &amp; Wages p.u.</v>
      </c>
      <c r="K1347" s="315" t="str">
        <f t="shared" ref="K1347:K1410" si="122">+E1347&amp;G1347</f>
        <v>100NV Salaries &amp; Wages - Toyota</v>
      </c>
      <c r="L1347" s="311">
        <f>+SUMIF('TUNZ Extracted TB'!M:M,$P1347,'TUNZ Extracted TB'!G:G)</f>
        <v>0</v>
      </c>
      <c r="M1347" s="311"/>
      <c r="N1347" s="311">
        <f>+SUMIF('Input Sheet'!$AE:$AE,P1347,'Input Sheet'!$X:$X)</f>
        <v>0</v>
      </c>
      <c r="O1347" s="311"/>
      <c r="P1347" t="str">
        <f t="shared" ref="P1347:P1410" si="123">+E1347&amp;"-"&amp;D1347</f>
        <v>100-7210</v>
      </c>
      <c r="Q1347" s="315" t="str">
        <f t="shared" ref="Q1347:Q1410" si="124">H1347</f>
        <v>New Vehicle</v>
      </c>
      <c r="R1347" s="315" t="str">
        <f t="shared" ref="R1347:R1410" si="125">J1347</f>
        <v>New VehicleSalaries &amp; Wages p.u.</v>
      </c>
      <c r="S1347" s="199"/>
      <c r="T1347" s="199"/>
      <c r="U1347" s="199"/>
    </row>
    <row r="1348" spans="1:21" x14ac:dyDescent="0.25">
      <c r="A1348" t="s">
        <v>996</v>
      </c>
      <c r="B1348" t="s">
        <v>997</v>
      </c>
      <c r="C1348" t="s">
        <v>1005</v>
      </c>
      <c r="D1348">
        <v>7210</v>
      </c>
      <c r="E1348">
        <v>200</v>
      </c>
      <c r="F1348" t="s">
        <v>1242</v>
      </c>
      <c r="G1348" t="s">
        <v>1243</v>
      </c>
      <c r="H1348" s="315" t="s">
        <v>29</v>
      </c>
      <c r="I1348" s="315" t="s">
        <v>1244</v>
      </c>
      <c r="J1348" s="315" t="str">
        <f t="shared" si="121"/>
        <v>New VehicleSalaries &amp; Wages p.u.</v>
      </c>
      <c r="K1348" s="315" t="str">
        <f t="shared" si="122"/>
        <v>200NV Salaries &amp; Wages - Toyota</v>
      </c>
      <c r="L1348" s="311">
        <f>+SUMIF('TUNZ Extracted TB'!M:M,$P1348,'TUNZ Extracted TB'!G:G)</f>
        <v>0</v>
      </c>
      <c r="M1348" s="311"/>
      <c r="N1348" s="311">
        <f>+SUMIF('Input Sheet'!$AE:$AE,P1348,'Input Sheet'!$X:$X)</f>
        <v>0</v>
      </c>
      <c r="O1348" s="311"/>
      <c r="P1348" t="str">
        <f t="shared" si="123"/>
        <v>200-7210</v>
      </c>
      <c r="Q1348" s="315" t="str">
        <f t="shared" si="124"/>
        <v>New Vehicle</v>
      </c>
      <c r="R1348" s="315" t="str">
        <f t="shared" si="125"/>
        <v>New VehicleSalaries &amp; Wages p.u.</v>
      </c>
      <c r="S1348" s="199"/>
      <c r="T1348" s="199"/>
      <c r="U1348" s="199"/>
    </row>
    <row r="1349" spans="1:21" x14ac:dyDescent="0.25">
      <c r="A1349" t="s">
        <v>996</v>
      </c>
      <c r="B1349" t="s">
        <v>997</v>
      </c>
      <c r="C1349" t="s">
        <v>1012</v>
      </c>
      <c r="D1349">
        <v>7210</v>
      </c>
      <c r="E1349">
        <v>400</v>
      </c>
      <c r="F1349" t="s">
        <v>1242</v>
      </c>
      <c r="G1349" t="s">
        <v>1243</v>
      </c>
      <c r="H1349" s="315" t="s">
        <v>29</v>
      </c>
      <c r="I1349" s="315" t="s">
        <v>1244</v>
      </c>
      <c r="J1349" s="315" t="str">
        <f t="shared" si="121"/>
        <v>New VehicleSalaries &amp; Wages p.u.</v>
      </c>
      <c r="K1349" s="315" t="str">
        <f t="shared" si="122"/>
        <v>400NV Salaries &amp; Wages - Toyota</v>
      </c>
      <c r="L1349" s="311">
        <f>+SUMIF('TUNZ Extracted TB'!M:M,$P1349,'TUNZ Extracted TB'!G:G)</f>
        <v>0</v>
      </c>
      <c r="M1349" s="311"/>
      <c r="N1349" s="311">
        <f>+SUMIF('Input Sheet'!$AE:$AE,P1349,'Input Sheet'!$X:$X)</f>
        <v>0</v>
      </c>
      <c r="O1349" s="311"/>
      <c r="P1349" t="str">
        <f t="shared" si="123"/>
        <v>400-7210</v>
      </c>
      <c r="Q1349" s="315" t="str">
        <f t="shared" si="124"/>
        <v>New Vehicle</v>
      </c>
      <c r="R1349" s="315" t="str">
        <f t="shared" si="125"/>
        <v>New VehicleSalaries &amp; Wages p.u.</v>
      </c>
      <c r="S1349" s="199"/>
      <c r="T1349" s="199"/>
      <c r="U1349" s="199"/>
    </row>
    <row r="1350" spans="1:21" x14ac:dyDescent="0.25">
      <c r="A1350" t="s">
        <v>996</v>
      </c>
      <c r="B1350" t="s">
        <v>997</v>
      </c>
      <c r="C1350" t="s">
        <v>997</v>
      </c>
      <c r="D1350">
        <v>7190</v>
      </c>
      <c r="E1350">
        <v>147</v>
      </c>
      <c r="F1350" t="s">
        <v>1250</v>
      </c>
      <c r="G1350" t="s">
        <v>1251</v>
      </c>
      <c r="H1350" s="315" t="s">
        <v>17</v>
      </c>
      <c r="I1350" s="315" t="s">
        <v>1252</v>
      </c>
      <c r="J1350" s="315" t="str">
        <f t="shared" si="121"/>
        <v>ServiceSalaries, Commission &amp; Leave as % of Sales</v>
      </c>
      <c r="K1350" s="315" t="str">
        <f t="shared" si="122"/>
        <v>147Service Salaries &amp; Commission - Toyota</v>
      </c>
      <c r="L1350" s="311">
        <f>+SUMIF('TUNZ Extracted TB'!M:M,$P1350,'TUNZ Extracted TB'!G:G)</f>
        <v>0</v>
      </c>
      <c r="M1350" s="311"/>
      <c r="N1350" s="311">
        <f>+SUMIF('Input Sheet'!$AE:$AE,P1350,'Input Sheet'!$X:$X)</f>
        <v>0</v>
      </c>
      <c r="O1350" s="311"/>
      <c r="P1350" t="str">
        <f t="shared" si="123"/>
        <v>147-7190</v>
      </c>
      <c r="Q1350" s="315" t="str">
        <f t="shared" si="124"/>
        <v>Service</v>
      </c>
      <c r="R1350" s="315" t="str">
        <f t="shared" si="125"/>
        <v>ServiceSalaries, Commission &amp; Leave as % of Sales</v>
      </c>
      <c r="S1350" s="199"/>
      <c r="T1350" s="199"/>
      <c r="U1350" s="199"/>
    </row>
    <row r="1351" spans="1:21" x14ac:dyDescent="0.25">
      <c r="A1351" t="s">
        <v>996</v>
      </c>
      <c r="B1351" t="s">
        <v>997</v>
      </c>
      <c r="C1351" t="s">
        <v>997</v>
      </c>
      <c r="D1351">
        <v>7190</v>
      </c>
      <c r="E1351">
        <v>121</v>
      </c>
      <c r="F1351" t="s">
        <v>1239</v>
      </c>
      <c r="G1351" t="s">
        <v>1240</v>
      </c>
      <c r="H1351" s="315" t="s">
        <v>30</v>
      </c>
      <c r="I1351" s="315" t="s">
        <v>1241</v>
      </c>
      <c r="J1351" s="315" t="str">
        <f t="shared" si="121"/>
        <v>Used VehicleSalaries &amp; Wages per retail</v>
      </c>
      <c r="K1351" s="315" t="str">
        <f t="shared" si="122"/>
        <v>121Toyota UV Salaries &amp; Wages</v>
      </c>
      <c r="L1351" s="311">
        <f>+SUMIF('TUNZ Extracted TB'!M:M,$P1351,'TUNZ Extracted TB'!G:G)</f>
        <v>0</v>
      </c>
      <c r="M1351" s="311"/>
      <c r="N1351" s="311">
        <f>+SUMIF('Input Sheet'!$AE:$AE,P1351,'Input Sheet'!$X:$X)</f>
        <v>0</v>
      </c>
      <c r="O1351" s="311"/>
      <c r="P1351" t="str">
        <f t="shared" si="123"/>
        <v>121-7190</v>
      </c>
      <c r="Q1351" s="315" t="str">
        <f t="shared" si="124"/>
        <v>Used Vehicle</v>
      </c>
      <c r="R1351" s="315" t="str">
        <f t="shared" si="125"/>
        <v>Used VehicleSalaries &amp; Wages per retail</v>
      </c>
      <c r="S1351" s="199"/>
      <c r="T1351" s="199"/>
      <c r="U1351" s="199"/>
    </row>
    <row r="1352" spans="1:21" x14ac:dyDescent="0.25">
      <c r="A1352" t="s">
        <v>996</v>
      </c>
      <c r="B1352" t="s">
        <v>997</v>
      </c>
      <c r="C1352" t="s">
        <v>1005</v>
      </c>
      <c r="D1352">
        <v>7190</v>
      </c>
      <c r="E1352">
        <v>221</v>
      </c>
      <c r="F1352" t="s">
        <v>1239</v>
      </c>
      <c r="G1352" t="s">
        <v>1240</v>
      </c>
      <c r="H1352" s="315" t="s">
        <v>30</v>
      </c>
      <c r="I1352" s="315" t="s">
        <v>1241</v>
      </c>
      <c r="J1352" s="315" t="str">
        <f t="shared" si="121"/>
        <v>Used VehicleSalaries &amp; Wages per retail</v>
      </c>
      <c r="K1352" s="315" t="str">
        <f t="shared" si="122"/>
        <v>221Toyota UV Salaries &amp; Wages</v>
      </c>
      <c r="L1352" s="311">
        <f>+SUMIF('TUNZ Extracted TB'!M:M,$P1352,'TUNZ Extracted TB'!G:G)</f>
        <v>0</v>
      </c>
      <c r="M1352" s="311"/>
      <c r="N1352" s="311">
        <f>+SUMIF('Input Sheet'!$AE:$AE,P1352,'Input Sheet'!$X:$X)</f>
        <v>0</v>
      </c>
      <c r="O1352" s="311"/>
      <c r="P1352" t="str">
        <f t="shared" si="123"/>
        <v>221-7190</v>
      </c>
      <c r="Q1352" s="315" t="str">
        <f t="shared" si="124"/>
        <v>Used Vehicle</v>
      </c>
      <c r="R1352" s="315" t="str">
        <f t="shared" si="125"/>
        <v>Used VehicleSalaries &amp; Wages per retail</v>
      </c>
      <c r="S1352" s="199"/>
      <c r="T1352" s="199"/>
      <c r="U1352" s="199"/>
    </row>
    <row r="1353" spans="1:21" x14ac:dyDescent="0.25">
      <c r="A1353" t="s">
        <v>996</v>
      </c>
      <c r="B1353" t="s">
        <v>997</v>
      </c>
      <c r="C1353" t="s">
        <v>1012</v>
      </c>
      <c r="D1353">
        <v>7190</v>
      </c>
      <c r="E1353">
        <v>410</v>
      </c>
      <c r="F1353" t="s">
        <v>1239</v>
      </c>
      <c r="G1353" t="s">
        <v>1240</v>
      </c>
      <c r="H1353" s="315" t="s">
        <v>30</v>
      </c>
      <c r="I1353" s="315" t="s">
        <v>1241</v>
      </c>
      <c r="J1353" s="315" t="str">
        <f t="shared" si="121"/>
        <v>Used VehicleSalaries &amp; Wages per retail</v>
      </c>
      <c r="K1353" s="315" t="str">
        <f t="shared" si="122"/>
        <v>410Toyota UV Salaries &amp; Wages</v>
      </c>
      <c r="L1353" s="311">
        <f>+SUMIF('TUNZ Extracted TB'!M:M,$P1353,'TUNZ Extracted TB'!G:G)</f>
        <v>0</v>
      </c>
      <c r="M1353" s="311"/>
      <c r="N1353" s="311">
        <f>+SUMIF('Input Sheet'!$AE:$AE,P1353,'Input Sheet'!$X:$X)</f>
        <v>0</v>
      </c>
      <c r="O1353" s="311"/>
      <c r="P1353" t="str">
        <f t="shared" si="123"/>
        <v>410-7190</v>
      </c>
      <c r="Q1353" s="315" t="str">
        <f t="shared" si="124"/>
        <v>Used Vehicle</v>
      </c>
      <c r="R1353" s="315" t="str">
        <f t="shared" si="125"/>
        <v>Used VehicleSalaries &amp; Wages per retail</v>
      </c>
      <c r="S1353" s="199"/>
      <c r="T1353" s="199"/>
      <c r="U1353" s="199"/>
    </row>
    <row r="1354" spans="1:21" x14ac:dyDescent="0.25">
      <c r="A1354" t="s">
        <v>996</v>
      </c>
      <c r="B1354" t="s">
        <v>997</v>
      </c>
      <c r="C1354" t="s">
        <v>1012</v>
      </c>
      <c r="D1354">
        <v>7190</v>
      </c>
      <c r="E1354">
        <v>420</v>
      </c>
      <c r="F1354" t="s">
        <v>1239</v>
      </c>
      <c r="G1354" t="s">
        <v>1240</v>
      </c>
      <c r="H1354" s="315" t="s">
        <v>30</v>
      </c>
      <c r="I1354" s="315" t="s">
        <v>1241</v>
      </c>
      <c r="J1354" s="315" t="str">
        <f t="shared" si="121"/>
        <v>Used VehicleSalaries &amp; Wages per retail</v>
      </c>
      <c r="K1354" s="315" t="str">
        <f t="shared" si="122"/>
        <v>420Toyota UV Salaries &amp; Wages</v>
      </c>
      <c r="L1354" s="311">
        <f>+SUMIF('TUNZ Extracted TB'!M:M,$P1354,'TUNZ Extracted TB'!G:G)</f>
        <v>0</v>
      </c>
      <c r="M1354" s="311"/>
      <c r="N1354" s="311">
        <f>+SUMIF('Input Sheet'!$AE:$AE,P1354,'Input Sheet'!$X:$X)</f>
        <v>0</v>
      </c>
      <c r="O1354" s="311"/>
      <c r="P1354" t="str">
        <f t="shared" si="123"/>
        <v>420-7190</v>
      </c>
      <c r="Q1354" s="315" t="str">
        <f t="shared" si="124"/>
        <v>Used Vehicle</v>
      </c>
      <c r="R1354" s="315" t="str">
        <f t="shared" si="125"/>
        <v>Used VehicleSalaries &amp; Wages per retail</v>
      </c>
      <c r="S1354" s="199"/>
      <c r="T1354" s="199"/>
      <c r="U1354" s="199"/>
    </row>
    <row r="1355" spans="1:21" x14ac:dyDescent="0.25">
      <c r="A1355" t="s">
        <v>996</v>
      </c>
      <c r="B1355" t="s">
        <v>997</v>
      </c>
      <c r="C1355" t="s">
        <v>1012</v>
      </c>
      <c r="D1355">
        <v>7190</v>
      </c>
      <c r="E1355">
        <v>421</v>
      </c>
      <c r="F1355" t="s">
        <v>1239</v>
      </c>
      <c r="G1355" t="s">
        <v>1240</v>
      </c>
      <c r="H1355" s="315" t="s">
        <v>30</v>
      </c>
      <c r="I1355" s="315" t="s">
        <v>1241</v>
      </c>
      <c r="J1355" s="315" t="str">
        <f t="shared" si="121"/>
        <v>Used VehicleSalaries &amp; Wages per retail</v>
      </c>
      <c r="K1355" s="315" t="str">
        <f t="shared" si="122"/>
        <v>421Toyota UV Salaries &amp; Wages</v>
      </c>
      <c r="L1355" s="311">
        <f>+SUMIF('TUNZ Extracted TB'!M:M,$P1355,'TUNZ Extracted TB'!G:G)</f>
        <v>0</v>
      </c>
      <c r="M1355" s="311"/>
      <c r="N1355" s="311">
        <f>+SUMIF('Input Sheet'!$AE:$AE,P1355,'Input Sheet'!$X:$X)</f>
        <v>0</v>
      </c>
      <c r="O1355" s="311"/>
      <c r="P1355" t="str">
        <f t="shared" si="123"/>
        <v>421-7190</v>
      </c>
      <c r="Q1355" s="315" t="str">
        <f t="shared" si="124"/>
        <v>Used Vehicle</v>
      </c>
      <c r="R1355" s="315" t="str">
        <f t="shared" si="125"/>
        <v>Used VehicleSalaries &amp; Wages per retail</v>
      </c>
      <c r="S1355" s="199"/>
      <c r="T1355" s="199"/>
      <c r="U1355" s="199"/>
    </row>
    <row r="1356" spans="1:21" x14ac:dyDescent="0.25">
      <c r="A1356" t="s">
        <v>996</v>
      </c>
      <c r="B1356" t="s">
        <v>997</v>
      </c>
      <c r="C1356" t="s">
        <v>1013</v>
      </c>
      <c r="D1356">
        <v>7190</v>
      </c>
      <c r="E1356">
        <v>310</v>
      </c>
      <c r="F1356" t="s">
        <v>1239</v>
      </c>
      <c r="G1356" t="s">
        <v>1240</v>
      </c>
      <c r="H1356" s="315" t="s">
        <v>30</v>
      </c>
      <c r="I1356" s="315" t="s">
        <v>1241</v>
      </c>
      <c r="J1356" s="315" t="str">
        <f t="shared" si="121"/>
        <v>Used VehicleSalaries &amp; Wages per retail</v>
      </c>
      <c r="K1356" s="315" t="str">
        <f t="shared" si="122"/>
        <v>310Toyota UV Salaries &amp; Wages</v>
      </c>
      <c r="L1356" s="311">
        <f>+SUMIF('TUNZ Extracted TB'!M:M,$P1356,'TUNZ Extracted TB'!G:G)</f>
        <v>0</v>
      </c>
      <c r="M1356" s="311"/>
      <c r="N1356" s="311">
        <f>+SUMIF('Input Sheet'!$AE:$AE,P1356,'Input Sheet'!$X:$X)</f>
        <v>0</v>
      </c>
      <c r="O1356" s="311"/>
      <c r="P1356" t="str">
        <f t="shared" si="123"/>
        <v>310-7190</v>
      </c>
      <c r="Q1356" s="315" t="str">
        <f t="shared" si="124"/>
        <v>Used Vehicle</v>
      </c>
      <c r="R1356" s="315" t="str">
        <f t="shared" si="125"/>
        <v>Used VehicleSalaries &amp; Wages per retail</v>
      </c>
      <c r="S1356" s="199"/>
      <c r="T1356" s="199"/>
      <c r="U1356" s="199"/>
    </row>
    <row r="1357" spans="1:21" x14ac:dyDescent="0.25">
      <c r="A1357" t="s">
        <v>996</v>
      </c>
      <c r="B1357" t="s">
        <v>997</v>
      </c>
      <c r="C1357" t="s">
        <v>1013</v>
      </c>
      <c r="D1357">
        <v>7190</v>
      </c>
      <c r="E1357">
        <v>321</v>
      </c>
      <c r="F1357" t="s">
        <v>1239</v>
      </c>
      <c r="G1357" t="s">
        <v>1240</v>
      </c>
      <c r="H1357" s="315" t="s">
        <v>30</v>
      </c>
      <c r="I1357" s="315" t="s">
        <v>1241</v>
      </c>
      <c r="J1357" s="315" t="str">
        <f t="shared" si="121"/>
        <v>Used VehicleSalaries &amp; Wages per retail</v>
      </c>
      <c r="K1357" s="315" t="str">
        <f t="shared" si="122"/>
        <v>321Toyota UV Salaries &amp; Wages</v>
      </c>
      <c r="L1357" s="311">
        <f>+SUMIF('TUNZ Extracted TB'!M:M,$P1357,'TUNZ Extracted TB'!G:G)</f>
        <v>0</v>
      </c>
      <c r="M1357" s="311"/>
      <c r="N1357" s="311">
        <f>+SUMIF('Input Sheet'!$AE:$AE,P1357,'Input Sheet'!$X:$X)</f>
        <v>0</v>
      </c>
      <c r="O1357" s="311"/>
      <c r="P1357" t="str">
        <f t="shared" si="123"/>
        <v>321-7190</v>
      </c>
      <c r="Q1357" s="315" t="str">
        <f t="shared" si="124"/>
        <v>Used Vehicle</v>
      </c>
      <c r="R1357" s="315" t="str">
        <f t="shared" si="125"/>
        <v>Used VehicleSalaries &amp; Wages per retail</v>
      </c>
      <c r="S1357" s="199"/>
      <c r="T1357" s="199"/>
      <c r="U1357" s="199"/>
    </row>
    <row r="1358" spans="1:21" x14ac:dyDescent="0.25">
      <c r="A1358" t="s">
        <v>996</v>
      </c>
      <c r="B1358" t="s">
        <v>997</v>
      </c>
      <c r="C1358" t="s">
        <v>997</v>
      </c>
      <c r="D1358">
        <v>7210</v>
      </c>
      <c r="E1358">
        <v>140</v>
      </c>
      <c r="F1358" t="s">
        <v>1348</v>
      </c>
      <c r="G1358" t="s">
        <v>1349</v>
      </c>
      <c r="H1358" s="315" t="s">
        <v>17</v>
      </c>
      <c r="I1358" s="315" t="s">
        <v>1252</v>
      </c>
      <c r="J1358" s="315" t="str">
        <f t="shared" si="121"/>
        <v>ServiceSalaries, Commission &amp; Leave as % of Sales</v>
      </c>
      <c r="K1358" s="315" t="str">
        <f t="shared" si="122"/>
        <v>140Service Leave Expense - Toyota</v>
      </c>
      <c r="L1358" s="311">
        <f>+SUMIF('TUNZ Extracted TB'!M:M,$P1358,'TUNZ Extracted TB'!G:G)</f>
        <v>0</v>
      </c>
      <c r="M1358" s="311"/>
      <c r="N1358" s="311">
        <f>+SUMIF('Input Sheet'!$AE:$AE,P1358,'Input Sheet'!$X:$X)</f>
        <v>0</v>
      </c>
      <c r="O1358" s="311"/>
      <c r="P1358" t="str">
        <f t="shared" si="123"/>
        <v>140-7210</v>
      </c>
      <c r="Q1358" s="315" t="str">
        <f t="shared" si="124"/>
        <v>Service</v>
      </c>
      <c r="R1358" s="315" t="str">
        <f t="shared" si="125"/>
        <v>ServiceSalaries, Commission &amp; Leave as % of Sales</v>
      </c>
      <c r="S1358" s="199"/>
      <c r="T1358" s="199"/>
      <c r="U1358" s="199"/>
    </row>
    <row r="1359" spans="1:21" x14ac:dyDescent="0.25">
      <c r="A1359" t="s">
        <v>996</v>
      </c>
      <c r="B1359" t="s">
        <v>997</v>
      </c>
      <c r="C1359" t="s">
        <v>997</v>
      </c>
      <c r="D1359">
        <v>7210</v>
      </c>
      <c r="E1359">
        <v>142</v>
      </c>
      <c r="F1359" t="s">
        <v>1350</v>
      </c>
      <c r="G1359" t="s">
        <v>1351</v>
      </c>
      <c r="H1359" s="315" t="s">
        <v>1022</v>
      </c>
      <c r="I1359" s="315" t="s">
        <v>1252</v>
      </c>
      <c r="J1359" s="315" t="str">
        <f t="shared" si="121"/>
        <v>Lex ServiceSalaries, Commission &amp; Leave as % of Sales</v>
      </c>
      <c r="K1359" s="315" t="str">
        <f t="shared" si="122"/>
        <v>142Service Leave Expense - Lexus</v>
      </c>
      <c r="L1359" s="311">
        <f>+SUMIF('TUNZ Extracted TB'!M:M,$P1359,'TUNZ Extracted TB'!G:G)</f>
        <v>0</v>
      </c>
      <c r="M1359" s="311"/>
      <c r="N1359" s="311">
        <f>+SUMIF('Input Sheet'!$AE:$AE,P1359,'Input Sheet'!$X:$X)</f>
        <v>0</v>
      </c>
      <c r="O1359" s="311"/>
      <c r="P1359" t="str">
        <f t="shared" si="123"/>
        <v>142-7210</v>
      </c>
      <c r="Q1359" s="315" t="str">
        <f t="shared" si="124"/>
        <v>Lex Service</v>
      </c>
      <c r="R1359" s="315" t="str">
        <f t="shared" si="125"/>
        <v>Lex ServiceSalaries, Commission &amp; Leave as % of Sales</v>
      </c>
      <c r="S1359" s="199"/>
      <c r="T1359" s="199"/>
      <c r="U1359" s="199"/>
    </row>
    <row r="1360" spans="1:21" x14ac:dyDescent="0.25">
      <c r="A1360" t="s">
        <v>996</v>
      </c>
      <c r="B1360" t="s">
        <v>997</v>
      </c>
      <c r="C1360" t="s">
        <v>997</v>
      </c>
      <c r="D1360">
        <v>7210</v>
      </c>
      <c r="E1360">
        <v>132</v>
      </c>
      <c r="F1360" t="s">
        <v>1253</v>
      </c>
      <c r="G1360" t="s">
        <v>1254</v>
      </c>
      <c r="H1360" s="315" t="s">
        <v>143</v>
      </c>
      <c r="I1360" s="315" t="s">
        <v>1255</v>
      </c>
      <c r="J1360" s="315" t="str">
        <f t="shared" si="121"/>
        <v>LEX PartsSalaries &amp; Commission as % of Sales</v>
      </c>
      <c r="K1360" s="315" t="str">
        <f t="shared" si="122"/>
        <v>132Parts Salaries &amp; Commission - Lexus</v>
      </c>
      <c r="L1360" s="311">
        <f>+SUMIF('TUNZ Extracted TB'!M:M,$P1360,'TUNZ Extracted TB'!G:G)</f>
        <v>0</v>
      </c>
      <c r="M1360" s="311"/>
      <c r="N1360" s="311">
        <f>+SUMIF('Input Sheet'!$AE:$AE,P1360,'Input Sheet'!$X:$X)</f>
        <v>0</v>
      </c>
      <c r="O1360" s="311"/>
      <c r="P1360" t="str">
        <f t="shared" si="123"/>
        <v>132-7210</v>
      </c>
      <c r="Q1360" s="315" t="str">
        <f t="shared" si="124"/>
        <v>LEX Parts</v>
      </c>
      <c r="R1360" s="315" t="str">
        <f t="shared" si="125"/>
        <v>LEX PartsSalaries &amp; Commission as % of Sales</v>
      </c>
      <c r="S1360" s="199"/>
      <c r="T1360" s="199"/>
      <c r="U1360" s="199"/>
    </row>
    <row r="1361" spans="1:21" x14ac:dyDescent="0.25">
      <c r="A1361" t="s">
        <v>996</v>
      </c>
      <c r="B1361" t="s">
        <v>997</v>
      </c>
      <c r="C1361" t="s">
        <v>997</v>
      </c>
      <c r="D1361">
        <v>7210</v>
      </c>
      <c r="E1361">
        <v>130</v>
      </c>
      <c r="F1361" t="s">
        <v>1256</v>
      </c>
      <c r="G1361" t="s">
        <v>1257</v>
      </c>
      <c r="H1361" s="315" t="s">
        <v>5</v>
      </c>
      <c r="I1361" s="315" t="s">
        <v>1255</v>
      </c>
      <c r="J1361" s="315" t="str">
        <f t="shared" si="121"/>
        <v>PartsSalaries &amp; Commission as % of Sales</v>
      </c>
      <c r="K1361" s="315" t="str">
        <f t="shared" si="122"/>
        <v>130Parts Salaries &amp; Commission - Toyota</v>
      </c>
      <c r="L1361" s="311">
        <f>+SUMIF('TUNZ Extracted TB'!M:M,$P1361,'TUNZ Extracted TB'!G:G)</f>
        <v>0</v>
      </c>
      <c r="M1361" s="311"/>
      <c r="N1361" s="311">
        <f>+SUMIF('Input Sheet'!$AE:$AE,P1361,'Input Sheet'!$X:$X)</f>
        <v>0</v>
      </c>
      <c r="O1361" s="311"/>
      <c r="P1361" t="str">
        <f t="shared" si="123"/>
        <v>130-7210</v>
      </c>
      <c r="Q1361" s="315" t="str">
        <f t="shared" si="124"/>
        <v>Parts</v>
      </c>
      <c r="R1361" s="315" t="str">
        <f t="shared" si="125"/>
        <v>PartsSalaries &amp; Commission as % of Sales</v>
      </c>
      <c r="S1361" s="199"/>
      <c r="T1361" s="199"/>
      <c r="U1361" s="199"/>
    </row>
    <row r="1362" spans="1:21" x14ac:dyDescent="0.25">
      <c r="A1362" t="s">
        <v>996</v>
      </c>
      <c r="B1362" t="s">
        <v>997</v>
      </c>
      <c r="C1362" t="s">
        <v>1013</v>
      </c>
      <c r="D1362">
        <v>7210</v>
      </c>
      <c r="E1362">
        <v>300</v>
      </c>
      <c r="F1362" t="s">
        <v>1242</v>
      </c>
      <c r="G1362" t="s">
        <v>1243</v>
      </c>
      <c r="H1362" s="315" t="s">
        <v>29</v>
      </c>
      <c r="I1362" s="315" t="s">
        <v>1244</v>
      </c>
      <c r="J1362" s="315" t="str">
        <f t="shared" si="121"/>
        <v>New VehicleSalaries &amp; Wages p.u.</v>
      </c>
      <c r="K1362" s="315" t="str">
        <f t="shared" si="122"/>
        <v>300NV Salaries &amp; Wages - Toyota</v>
      </c>
      <c r="L1362" s="311">
        <f>+SUMIF('TUNZ Extracted TB'!M:M,$P1362,'TUNZ Extracted TB'!G:G)</f>
        <v>0</v>
      </c>
      <c r="M1362" s="311"/>
      <c r="N1362" s="311">
        <f>+SUMIF('Input Sheet'!$AE:$AE,P1362,'Input Sheet'!$X:$X)</f>
        <v>0</v>
      </c>
      <c r="O1362" s="311"/>
      <c r="P1362" t="str">
        <f t="shared" si="123"/>
        <v>300-7210</v>
      </c>
      <c r="Q1362" s="315" t="str">
        <f t="shared" si="124"/>
        <v>New Vehicle</v>
      </c>
      <c r="R1362" s="315" t="str">
        <f t="shared" si="125"/>
        <v>New VehicleSalaries &amp; Wages p.u.</v>
      </c>
      <c r="S1362" s="199"/>
      <c r="T1362" s="199"/>
      <c r="U1362" s="199"/>
    </row>
    <row r="1363" spans="1:21" x14ac:dyDescent="0.25">
      <c r="A1363" t="s">
        <v>996</v>
      </c>
      <c r="B1363" t="s">
        <v>997</v>
      </c>
      <c r="C1363" t="s">
        <v>1005</v>
      </c>
      <c r="D1363">
        <v>7211</v>
      </c>
      <c r="E1363">
        <v>210</v>
      </c>
      <c r="F1363" t="s">
        <v>1242</v>
      </c>
      <c r="G1363" t="s">
        <v>1243</v>
      </c>
      <c r="H1363" s="315" t="s">
        <v>29</v>
      </c>
      <c r="I1363" s="315" t="s">
        <v>1244</v>
      </c>
      <c r="J1363" s="315" t="str">
        <f t="shared" si="121"/>
        <v>New VehicleSalaries &amp; Wages p.u.</v>
      </c>
      <c r="K1363" s="315" t="str">
        <f t="shared" si="122"/>
        <v>210NV Salaries &amp; Wages - Toyota</v>
      </c>
      <c r="L1363" s="311">
        <f>+SUMIF('TUNZ Extracted TB'!M:M,$P1363,'TUNZ Extracted TB'!G:G)</f>
        <v>0</v>
      </c>
      <c r="M1363" s="311"/>
      <c r="N1363" s="311">
        <f>+SUMIF('Input Sheet'!$AE:$AE,P1363,'Input Sheet'!$X:$X)</f>
        <v>0</v>
      </c>
      <c r="O1363" s="311"/>
      <c r="P1363" t="str">
        <f t="shared" si="123"/>
        <v>210-7211</v>
      </c>
      <c r="Q1363" s="315" t="str">
        <f t="shared" si="124"/>
        <v>New Vehicle</v>
      </c>
      <c r="R1363" s="315" t="str">
        <f t="shared" si="125"/>
        <v>New VehicleSalaries &amp; Wages p.u.</v>
      </c>
      <c r="S1363" s="199"/>
      <c r="T1363" s="199"/>
      <c r="U1363" s="199"/>
    </row>
    <row r="1364" spans="1:21" x14ac:dyDescent="0.25">
      <c r="A1364" t="s">
        <v>996</v>
      </c>
      <c r="B1364" t="s">
        <v>997</v>
      </c>
      <c r="C1364" t="s">
        <v>997</v>
      </c>
      <c r="D1364">
        <v>7210</v>
      </c>
      <c r="E1364">
        <v>110</v>
      </c>
      <c r="F1364" t="s">
        <v>1239</v>
      </c>
      <c r="G1364" t="s">
        <v>1240</v>
      </c>
      <c r="H1364" s="315" t="s">
        <v>30</v>
      </c>
      <c r="I1364" s="315" t="s">
        <v>1241</v>
      </c>
      <c r="J1364" s="315" t="str">
        <f t="shared" si="121"/>
        <v>Used VehicleSalaries &amp; Wages per retail</v>
      </c>
      <c r="K1364" s="315" t="str">
        <f t="shared" si="122"/>
        <v>110Toyota UV Salaries &amp; Wages</v>
      </c>
      <c r="L1364" s="311">
        <f>+SUMIF('TUNZ Extracted TB'!M:M,$P1364,'TUNZ Extracted TB'!G:G)</f>
        <v>0</v>
      </c>
      <c r="M1364" s="311"/>
      <c r="N1364" s="311">
        <f>+SUMIF('Input Sheet'!$AE:$AE,P1364,'Input Sheet'!$X:$X)</f>
        <v>0</v>
      </c>
      <c r="O1364" s="311"/>
      <c r="P1364" t="str">
        <f t="shared" si="123"/>
        <v>110-7210</v>
      </c>
      <c r="Q1364" s="315" t="str">
        <f t="shared" si="124"/>
        <v>Used Vehicle</v>
      </c>
      <c r="R1364" s="315" t="str">
        <f t="shared" si="125"/>
        <v>Used VehicleSalaries &amp; Wages per retail</v>
      </c>
      <c r="S1364" s="199"/>
      <c r="T1364" s="199"/>
      <c r="U1364" s="199"/>
    </row>
    <row r="1365" spans="1:21" x14ac:dyDescent="0.25">
      <c r="A1365" t="s">
        <v>996</v>
      </c>
      <c r="B1365" t="s">
        <v>997</v>
      </c>
      <c r="C1365" t="s">
        <v>997</v>
      </c>
      <c r="D1365">
        <v>7210</v>
      </c>
      <c r="E1365">
        <v>162</v>
      </c>
      <c r="F1365" t="s">
        <v>1260</v>
      </c>
      <c r="G1365" t="s">
        <v>1261</v>
      </c>
      <c r="H1365" s="315" t="s">
        <v>142</v>
      </c>
      <c r="I1365" s="315" t="s">
        <v>1249</v>
      </c>
      <c r="J1365" s="315" t="str">
        <f t="shared" si="121"/>
        <v>LEX F&amp;ISalaries &amp; Commission per vehicle retailed</v>
      </c>
      <c r="K1365" s="315" t="str">
        <f t="shared" si="122"/>
        <v>162F&amp;I Salaries &amp; Commission - Lexus</v>
      </c>
      <c r="L1365" s="311">
        <f>+SUMIF('TUNZ Extracted TB'!M:M,$P1365,'TUNZ Extracted TB'!G:G)</f>
        <v>0</v>
      </c>
      <c r="M1365" s="311"/>
      <c r="N1365" s="311">
        <f>+SUMIF('Input Sheet'!$AE:$AE,P1365,'Input Sheet'!$X:$X)</f>
        <v>0</v>
      </c>
      <c r="O1365" s="311"/>
      <c r="P1365" t="str">
        <f t="shared" si="123"/>
        <v>162-7210</v>
      </c>
      <c r="Q1365" s="315" t="str">
        <f t="shared" si="124"/>
        <v>LEX F&amp;I</v>
      </c>
      <c r="R1365" s="315" t="str">
        <f t="shared" si="125"/>
        <v>LEX F&amp;ISalaries &amp; Commission per vehicle retailed</v>
      </c>
      <c r="S1365" s="199"/>
      <c r="T1365" s="199"/>
      <c r="U1365" s="199"/>
    </row>
    <row r="1366" spans="1:21" x14ac:dyDescent="0.25">
      <c r="A1366" t="s">
        <v>996</v>
      </c>
      <c r="B1366" t="s">
        <v>997</v>
      </c>
      <c r="C1366" t="s">
        <v>1005</v>
      </c>
      <c r="D1366">
        <v>7210</v>
      </c>
      <c r="E1366">
        <v>260</v>
      </c>
      <c r="F1366" t="s">
        <v>1247</v>
      </c>
      <c r="G1366" t="s">
        <v>1248</v>
      </c>
      <c r="H1366" s="315" t="s">
        <v>16</v>
      </c>
      <c r="I1366" s="315" t="s">
        <v>1249</v>
      </c>
      <c r="J1366" s="315" t="str">
        <f t="shared" si="121"/>
        <v>F&amp;ISalaries &amp; Commission per vehicle retailed</v>
      </c>
      <c r="K1366" s="315" t="str">
        <f t="shared" si="122"/>
        <v>260F&amp;I Salaries &amp; Commission - Toyota</v>
      </c>
      <c r="L1366" s="311">
        <f>+SUMIF('TUNZ Extracted TB'!M:M,$P1366,'TUNZ Extracted TB'!G:G)</f>
        <v>0</v>
      </c>
      <c r="M1366" s="311"/>
      <c r="N1366" s="311">
        <f>+SUMIF('Input Sheet'!$AE:$AE,P1366,'Input Sheet'!$X:$X)</f>
        <v>0</v>
      </c>
      <c r="O1366" s="311"/>
      <c r="P1366" t="str">
        <f t="shared" si="123"/>
        <v>260-7210</v>
      </c>
      <c r="Q1366" s="315" t="str">
        <f t="shared" si="124"/>
        <v>F&amp;I</v>
      </c>
      <c r="R1366" s="315" t="str">
        <f t="shared" si="125"/>
        <v>F&amp;ISalaries &amp; Commission per vehicle retailed</v>
      </c>
      <c r="S1366" s="199"/>
      <c r="T1366" s="199"/>
      <c r="U1366" s="199"/>
    </row>
    <row r="1367" spans="1:21" x14ac:dyDescent="0.25">
      <c r="A1367" t="s">
        <v>996</v>
      </c>
      <c r="B1367" t="s">
        <v>997</v>
      </c>
      <c r="C1367" t="s">
        <v>1012</v>
      </c>
      <c r="D1367">
        <v>7210</v>
      </c>
      <c r="E1367">
        <v>460</v>
      </c>
      <c r="F1367" t="s">
        <v>1247</v>
      </c>
      <c r="G1367" t="s">
        <v>1248</v>
      </c>
      <c r="H1367" s="315" t="s">
        <v>16</v>
      </c>
      <c r="I1367" s="315" t="s">
        <v>1249</v>
      </c>
      <c r="J1367" s="315" t="str">
        <f t="shared" si="121"/>
        <v>F&amp;ISalaries &amp; Commission per vehicle retailed</v>
      </c>
      <c r="K1367" s="315" t="str">
        <f t="shared" si="122"/>
        <v>460F&amp;I Salaries &amp; Commission - Toyota</v>
      </c>
      <c r="L1367" s="311">
        <f>+SUMIF('TUNZ Extracted TB'!M:M,$P1367,'TUNZ Extracted TB'!G:G)</f>
        <v>0</v>
      </c>
      <c r="M1367" s="311"/>
      <c r="N1367" s="311">
        <f>+SUMIF('Input Sheet'!$AE:$AE,P1367,'Input Sheet'!$X:$X)</f>
        <v>0</v>
      </c>
      <c r="O1367" s="311"/>
      <c r="P1367" t="str">
        <f t="shared" si="123"/>
        <v>460-7210</v>
      </c>
      <c r="Q1367" s="315" t="str">
        <f t="shared" si="124"/>
        <v>F&amp;I</v>
      </c>
      <c r="R1367" s="315" t="str">
        <f t="shared" si="125"/>
        <v>F&amp;ISalaries &amp; Commission per vehicle retailed</v>
      </c>
      <c r="S1367" s="199"/>
      <c r="T1367" s="199"/>
      <c r="U1367" s="199"/>
    </row>
    <row r="1368" spans="1:21" x14ac:dyDescent="0.25">
      <c r="A1368" t="s">
        <v>996</v>
      </c>
      <c r="B1368" t="s">
        <v>997</v>
      </c>
      <c r="C1368" t="s">
        <v>1013</v>
      </c>
      <c r="D1368">
        <v>7210</v>
      </c>
      <c r="E1368">
        <v>360</v>
      </c>
      <c r="F1368" t="s">
        <v>1247</v>
      </c>
      <c r="G1368" t="s">
        <v>1248</v>
      </c>
      <c r="H1368" s="315" t="s">
        <v>16</v>
      </c>
      <c r="I1368" s="315" t="s">
        <v>1249</v>
      </c>
      <c r="J1368" s="315" t="str">
        <f t="shared" si="121"/>
        <v>F&amp;ISalaries &amp; Commission per vehicle retailed</v>
      </c>
      <c r="K1368" s="315" t="str">
        <f t="shared" si="122"/>
        <v>360F&amp;I Salaries &amp; Commission - Toyota</v>
      </c>
      <c r="L1368" s="311">
        <f>+SUMIF('TUNZ Extracted TB'!M:M,$P1368,'TUNZ Extracted TB'!G:G)</f>
        <v>0</v>
      </c>
      <c r="M1368" s="311"/>
      <c r="N1368" s="311">
        <f>+SUMIF('Input Sheet'!$AE:$AE,P1368,'Input Sheet'!$X:$X)</f>
        <v>0</v>
      </c>
      <c r="O1368" s="311"/>
      <c r="P1368" t="str">
        <f t="shared" si="123"/>
        <v>360-7210</v>
      </c>
      <c r="Q1368" s="315" t="str">
        <f t="shared" si="124"/>
        <v>F&amp;I</v>
      </c>
      <c r="R1368" s="315" t="str">
        <f t="shared" si="125"/>
        <v>F&amp;ISalaries &amp; Commission per vehicle retailed</v>
      </c>
      <c r="S1368" s="199"/>
      <c r="T1368" s="199"/>
      <c r="U1368" s="199"/>
    </row>
    <row r="1369" spans="1:21" x14ac:dyDescent="0.25">
      <c r="A1369" t="s">
        <v>996</v>
      </c>
      <c r="B1369" t="s">
        <v>997</v>
      </c>
      <c r="C1369" t="s">
        <v>997</v>
      </c>
      <c r="D1369">
        <v>7210</v>
      </c>
      <c r="E1369">
        <v>160</v>
      </c>
      <c r="F1369" t="s">
        <v>1247</v>
      </c>
      <c r="G1369" t="s">
        <v>1248</v>
      </c>
      <c r="H1369" s="315" t="s">
        <v>16</v>
      </c>
      <c r="I1369" s="315" t="s">
        <v>1249</v>
      </c>
      <c r="J1369" s="315" t="str">
        <f t="shared" si="121"/>
        <v>F&amp;ISalaries &amp; Commission per vehicle retailed</v>
      </c>
      <c r="K1369" s="315" t="str">
        <f t="shared" si="122"/>
        <v>160F&amp;I Salaries &amp; Commission - Toyota</v>
      </c>
      <c r="L1369" s="311">
        <f>+SUMIF('TUNZ Extracted TB'!M:M,$P1369,'TUNZ Extracted TB'!G:G)</f>
        <v>0</v>
      </c>
      <c r="M1369" s="311"/>
      <c r="N1369" s="311">
        <f>+SUMIF('Input Sheet'!$AE:$AE,P1369,'Input Sheet'!$X:$X)</f>
        <v>0</v>
      </c>
      <c r="O1369" s="311"/>
      <c r="P1369" t="str">
        <f t="shared" si="123"/>
        <v>160-7210</v>
      </c>
      <c r="Q1369" s="315" t="str">
        <f t="shared" si="124"/>
        <v>F&amp;I</v>
      </c>
      <c r="R1369" s="315" t="str">
        <f t="shared" si="125"/>
        <v>F&amp;ISalaries &amp; Commission per vehicle retailed</v>
      </c>
      <c r="S1369" s="199"/>
      <c r="T1369" s="199"/>
      <c r="U1369" s="199"/>
    </row>
    <row r="1370" spans="1:21" x14ac:dyDescent="0.25">
      <c r="A1370" t="s">
        <v>996</v>
      </c>
      <c r="B1370" t="s">
        <v>997</v>
      </c>
      <c r="C1370" t="s">
        <v>997</v>
      </c>
      <c r="D1370">
        <v>7210</v>
      </c>
      <c r="E1370">
        <v>122</v>
      </c>
      <c r="F1370" t="s">
        <v>1245</v>
      </c>
      <c r="G1370" t="s">
        <v>1246</v>
      </c>
      <c r="H1370" s="315" t="s">
        <v>1041</v>
      </c>
      <c r="I1370" s="315" t="s">
        <v>1241</v>
      </c>
      <c r="J1370" s="315" t="str">
        <f t="shared" si="121"/>
        <v>LEX Used VehicleSalaries &amp; Wages per retail</v>
      </c>
      <c r="K1370" s="315" t="str">
        <f t="shared" si="122"/>
        <v>122Lexus UV Salaries &amp; Wages</v>
      </c>
      <c r="L1370" s="311">
        <f>+SUMIF('TUNZ Extracted TB'!M:M,$P1370,'TUNZ Extracted TB'!G:G)</f>
        <v>0</v>
      </c>
      <c r="M1370" s="311"/>
      <c r="N1370" s="311">
        <f>+SUMIF('Input Sheet'!$AE:$AE,P1370,'Input Sheet'!$X:$X)</f>
        <v>0</v>
      </c>
      <c r="O1370" s="311"/>
      <c r="P1370" t="str">
        <f t="shared" si="123"/>
        <v>122-7210</v>
      </c>
      <c r="Q1370" s="315" t="str">
        <f t="shared" si="124"/>
        <v>LEX Used Vehicle</v>
      </c>
      <c r="R1370" s="315" t="str">
        <f t="shared" si="125"/>
        <v>LEX Used VehicleSalaries &amp; Wages per retail</v>
      </c>
      <c r="S1370" s="199"/>
      <c r="T1370" s="199"/>
      <c r="U1370" s="199"/>
    </row>
    <row r="1371" spans="1:21" x14ac:dyDescent="0.25">
      <c r="A1371" t="s">
        <v>996</v>
      </c>
      <c r="B1371" t="s">
        <v>997</v>
      </c>
      <c r="C1371" t="s">
        <v>997</v>
      </c>
      <c r="D1371">
        <v>7211</v>
      </c>
      <c r="E1371">
        <v>100</v>
      </c>
      <c r="F1371" t="s">
        <v>1242</v>
      </c>
      <c r="G1371" t="s">
        <v>1243</v>
      </c>
      <c r="H1371" s="315" t="s">
        <v>29</v>
      </c>
      <c r="I1371" s="315" t="s">
        <v>1244</v>
      </c>
      <c r="J1371" s="315" t="str">
        <f t="shared" si="121"/>
        <v>New VehicleSalaries &amp; Wages p.u.</v>
      </c>
      <c r="K1371" s="315" t="str">
        <f t="shared" si="122"/>
        <v>100NV Salaries &amp; Wages - Toyota</v>
      </c>
      <c r="L1371" s="311">
        <f>+SUMIF('TUNZ Extracted TB'!M:M,$P1371,'TUNZ Extracted TB'!G:G)</f>
        <v>0</v>
      </c>
      <c r="M1371" s="311"/>
      <c r="N1371" s="311">
        <f>+SUMIF('Input Sheet'!$AE:$AE,P1371,'Input Sheet'!$X:$X)</f>
        <v>0</v>
      </c>
      <c r="O1371" s="311"/>
      <c r="P1371" t="str">
        <f t="shared" si="123"/>
        <v>100-7211</v>
      </c>
      <c r="Q1371" s="315" t="str">
        <f t="shared" si="124"/>
        <v>New Vehicle</v>
      </c>
      <c r="R1371" s="315" t="str">
        <f t="shared" si="125"/>
        <v>New VehicleSalaries &amp; Wages p.u.</v>
      </c>
      <c r="S1371" s="199"/>
      <c r="T1371" s="199"/>
      <c r="U1371" s="199"/>
    </row>
    <row r="1372" spans="1:21" x14ac:dyDescent="0.25">
      <c r="A1372" t="s">
        <v>996</v>
      </c>
      <c r="B1372" t="s">
        <v>997</v>
      </c>
      <c r="C1372" t="s">
        <v>997</v>
      </c>
      <c r="D1372">
        <v>7211</v>
      </c>
      <c r="E1372">
        <v>112</v>
      </c>
      <c r="F1372" t="s">
        <v>1258</v>
      </c>
      <c r="G1372" t="s">
        <v>1259</v>
      </c>
      <c r="H1372" s="315" t="s">
        <v>1011</v>
      </c>
      <c r="I1372" s="315" t="s">
        <v>1244</v>
      </c>
      <c r="J1372" s="315" t="str">
        <f t="shared" si="121"/>
        <v>LEX New VehicleSalaries &amp; Wages p.u.</v>
      </c>
      <c r="K1372" s="315" t="str">
        <f t="shared" si="122"/>
        <v>112NV Salaries &amp; Wages - Lexus</v>
      </c>
      <c r="L1372" s="311">
        <f>+SUMIF('TUNZ Extracted TB'!M:M,$P1372,'TUNZ Extracted TB'!G:G)</f>
        <v>3179.21</v>
      </c>
      <c r="M1372" s="311"/>
      <c r="N1372" s="311">
        <f>+SUMIF('Input Sheet'!$AE:$AE,P1372,'Input Sheet'!$X:$X)</f>
        <v>0</v>
      </c>
      <c r="O1372" s="311"/>
      <c r="P1372" t="str">
        <f t="shared" si="123"/>
        <v>112-7211</v>
      </c>
      <c r="Q1372" s="315" t="str">
        <f t="shared" si="124"/>
        <v>LEX New Vehicle</v>
      </c>
      <c r="R1372" s="315" t="str">
        <f t="shared" si="125"/>
        <v>LEX New VehicleSalaries &amp; Wages p.u.</v>
      </c>
      <c r="S1372" s="199"/>
      <c r="T1372" s="199"/>
      <c r="U1372" s="199"/>
    </row>
    <row r="1373" spans="1:21" x14ac:dyDescent="0.25">
      <c r="A1373" t="s">
        <v>996</v>
      </c>
      <c r="B1373" t="s">
        <v>997</v>
      </c>
      <c r="C1373" t="s">
        <v>997</v>
      </c>
      <c r="D1373">
        <v>7211</v>
      </c>
      <c r="E1373">
        <v>110</v>
      </c>
      <c r="F1373" t="s">
        <v>1242</v>
      </c>
      <c r="G1373" t="s">
        <v>1243</v>
      </c>
      <c r="H1373" s="315" t="s">
        <v>29</v>
      </c>
      <c r="I1373" s="315" t="s">
        <v>1244</v>
      </c>
      <c r="J1373" s="315" t="str">
        <f t="shared" si="121"/>
        <v>New VehicleSalaries &amp; Wages p.u.</v>
      </c>
      <c r="K1373" s="315" t="str">
        <f t="shared" si="122"/>
        <v>110NV Salaries &amp; Wages - Toyota</v>
      </c>
      <c r="L1373" s="311">
        <f>+SUMIF('TUNZ Extracted TB'!M:M,$P1373,'TUNZ Extracted TB'!G:G)</f>
        <v>1471.21</v>
      </c>
      <c r="M1373" s="311"/>
      <c r="N1373" s="311">
        <f>+SUMIF('Input Sheet'!$AE:$AE,P1373,'Input Sheet'!$X:$X)</f>
        <v>0</v>
      </c>
      <c r="O1373" s="311"/>
      <c r="P1373" t="str">
        <f t="shared" si="123"/>
        <v>110-7211</v>
      </c>
      <c r="Q1373" s="315" t="str">
        <f t="shared" si="124"/>
        <v>New Vehicle</v>
      </c>
      <c r="R1373" s="315" t="str">
        <f t="shared" si="125"/>
        <v>New VehicleSalaries &amp; Wages p.u.</v>
      </c>
      <c r="S1373" s="199"/>
      <c r="T1373" s="199"/>
      <c r="U1373" s="199"/>
    </row>
    <row r="1374" spans="1:21" x14ac:dyDescent="0.25">
      <c r="A1374" t="s">
        <v>996</v>
      </c>
      <c r="B1374" t="s">
        <v>997</v>
      </c>
      <c r="C1374" t="s">
        <v>997</v>
      </c>
      <c r="D1374">
        <v>7210</v>
      </c>
      <c r="E1374">
        <v>936</v>
      </c>
      <c r="F1374" t="s">
        <v>1175</v>
      </c>
      <c r="G1374" t="s">
        <v>1176</v>
      </c>
      <c r="H1374" s="315" t="s">
        <v>58</v>
      </c>
      <c r="I1374" s="315" t="s">
        <v>1252</v>
      </c>
      <c r="J1374" s="315" t="str">
        <f t="shared" si="121"/>
        <v>BridgestoneSalaries, Commission &amp; Leave as % of Sales</v>
      </c>
      <c r="K1374" s="315" t="str">
        <f t="shared" si="122"/>
        <v>936Other franchise/business expense</v>
      </c>
      <c r="L1374" s="311">
        <f>+SUMIF('TUNZ Extracted TB'!M:M,$P1374,'TUNZ Extracted TB'!G:G)</f>
        <v>0</v>
      </c>
      <c r="M1374" s="311"/>
      <c r="N1374" s="311">
        <f>+SUMIF('Input Sheet'!$AE:$AE,P1374,'Input Sheet'!$X:$X)</f>
        <v>0</v>
      </c>
      <c r="O1374" s="311"/>
      <c r="P1374" t="str">
        <f t="shared" si="123"/>
        <v>936-7210</v>
      </c>
      <c r="Q1374" s="315" t="str">
        <f t="shared" si="124"/>
        <v>Bridgestone</v>
      </c>
      <c r="R1374" s="315" t="str">
        <f t="shared" si="125"/>
        <v>BridgestoneSalaries, Commission &amp; Leave as % of Sales</v>
      </c>
      <c r="S1374" s="199"/>
      <c r="T1374" s="199"/>
      <c r="U1374" s="199"/>
    </row>
    <row r="1375" spans="1:21" x14ac:dyDescent="0.25">
      <c r="A1375" t="s">
        <v>996</v>
      </c>
      <c r="B1375" t="s">
        <v>997</v>
      </c>
      <c r="C1375" t="s">
        <v>997</v>
      </c>
      <c r="D1375">
        <v>7210</v>
      </c>
      <c r="E1375">
        <v>935</v>
      </c>
      <c r="F1375" t="s">
        <v>1175</v>
      </c>
      <c r="G1375" t="s">
        <v>1176</v>
      </c>
      <c r="H1375" s="315" t="s">
        <v>58</v>
      </c>
      <c r="I1375" s="315" t="s">
        <v>1252</v>
      </c>
      <c r="J1375" s="315" t="str">
        <f t="shared" si="121"/>
        <v>BridgestoneSalaries, Commission &amp; Leave as % of Sales</v>
      </c>
      <c r="K1375" s="315" t="str">
        <f t="shared" si="122"/>
        <v>935Other franchise/business expense</v>
      </c>
      <c r="L1375" s="311">
        <f>+SUMIF('TUNZ Extracted TB'!M:M,$P1375,'TUNZ Extracted TB'!G:G)</f>
        <v>0</v>
      </c>
      <c r="M1375" s="311"/>
      <c r="N1375" s="311">
        <f>+SUMIF('Input Sheet'!$AE:$AE,P1375,'Input Sheet'!$X:$X)</f>
        <v>0</v>
      </c>
      <c r="O1375" s="311"/>
      <c r="P1375" t="str">
        <f t="shared" si="123"/>
        <v>935-7210</v>
      </c>
      <c r="Q1375" s="315" t="str">
        <f t="shared" si="124"/>
        <v>Bridgestone</v>
      </c>
      <c r="R1375" s="315" t="str">
        <f t="shared" si="125"/>
        <v>BridgestoneSalaries, Commission &amp; Leave as % of Sales</v>
      </c>
      <c r="S1375" s="199"/>
      <c r="T1375" s="199"/>
      <c r="U1375" s="199"/>
    </row>
    <row r="1376" spans="1:21" x14ac:dyDescent="0.25">
      <c r="A1376" t="s">
        <v>996</v>
      </c>
      <c r="B1376" t="s">
        <v>997</v>
      </c>
      <c r="C1376" t="s">
        <v>1005</v>
      </c>
      <c r="D1376">
        <v>7210</v>
      </c>
      <c r="E1376">
        <v>230</v>
      </c>
      <c r="F1376" t="s">
        <v>1256</v>
      </c>
      <c r="G1376" t="s">
        <v>1257</v>
      </c>
      <c r="H1376" s="315" t="s">
        <v>5</v>
      </c>
      <c r="I1376" s="315" t="s">
        <v>1255</v>
      </c>
      <c r="J1376" s="315" t="str">
        <f t="shared" si="121"/>
        <v>PartsSalaries &amp; Commission as % of Sales</v>
      </c>
      <c r="K1376" s="315" t="str">
        <f t="shared" si="122"/>
        <v>230Parts Salaries &amp; Commission - Toyota</v>
      </c>
      <c r="L1376" s="311">
        <f>+SUMIF('TUNZ Extracted TB'!M:M,$P1376,'TUNZ Extracted TB'!G:G)</f>
        <v>0</v>
      </c>
      <c r="M1376" s="311"/>
      <c r="N1376" s="311">
        <f>+SUMIF('Input Sheet'!$AE:$AE,P1376,'Input Sheet'!$X:$X)</f>
        <v>0</v>
      </c>
      <c r="O1376" s="311"/>
      <c r="P1376" t="str">
        <f t="shared" si="123"/>
        <v>230-7210</v>
      </c>
      <c r="Q1376" s="315" t="str">
        <f t="shared" si="124"/>
        <v>Parts</v>
      </c>
      <c r="R1376" s="315" t="str">
        <f t="shared" si="125"/>
        <v>PartsSalaries &amp; Commission as % of Sales</v>
      </c>
      <c r="S1376" s="199"/>
      <c r="T1376" s="199"/>
      <c r="U1376" s="199"/>
    </row>
    <row r="1377" spans="1:21" x14ac:dyDescent="0.25">
      <c r="A1377" t="s">
        <v>996</v>
      </c>
      <c r="B1377" t="s">
        <v>997</v>
      </c>
      <c r="C1377" t="s">
        <v>1012</v>
      </c>
      <c r="D1377">
        <v>7210</v>
      </c>
      <c r="E1377">
        <v>430</v>
      </c>
      <c r="F1377" t="s">
        <v>1256</v>
      </c>
      <c r="G1377" t="s">
        <v>1257</v>
      </c>
      <c r="H1377" s="315" t="s">
        <v>5</v>
      </c>
      <c r="I1377" s="315" t="s">
        <v>1255</v>
      </c>
      <c r="J1377" s="315" t="str">
        <f t="shared" si="121"/>
        <v>PartsSalaries &amp; Commission as % of Sales</v>
      </c>
      <c r="K1377" s="315" t="str">
        <f t="shared" si="122"/>
        <v>430Parts Salaries &amp; Commission - Toyota</v>
      </c>
      <c r="L1377" s="311">
        <f>+SUMIF('TUNZ Extracted TB'!M:M,$P1377,'TUNZ Extracted TB'!G:G)</f>
        <v>0</v>
      </c>
      <c r="M1377" s="311"/>
      <c r="N1377" s="311">
        <f>+SUMIF('Input Sheet'!$AE:$AE,P1377,'Input Sheet'!$X:$X)</f>
        <v>0</v>
      </c>
      <c r="O1377" s="311"/>
      <c r="P1377" t="str">
        <f t="shared" si="123"/>
        <v>430-7210</v>
      </c>
      <c r="Q1377" s="315" t="str">
        <f t="shared" si="124"/>
        <v>Parts</v>
      </c>
      <c r="R1377" s="315" t="str">
        <f t="shared" si="125"/>
        <v>PartsSalaries &amp; Commission as % of Sales</v>
      </c>
      <c r="S1377" s="199"/>
      <c r="T1377" s="199"/>
      <c r="U1377" s="199"/>
    </row>
    <row r="1378" spans="1:21" x14ac:dyDescent="0.25">
      <c r="A1378" t="s">
        <v>996</v>
      </c>
      <c r="B1378" t="s">
        <v>997</v>
      </c>
      <c r="C1378" t="s">
        <v>1013</v>
      </c>
      <c r="D1378">
        <v>7210</v>
      </c>
      <c r="E1378">
        <v>330</v>
      </c>
      <c r="F1378" t="s">
        <v>1256</v>
      </c>
      <c r="G1378" t="s">
        <v>1257</v>
      </c>
      <c r="H1378" s="315" t="s">
        <v>5</v>
      </c>
      <c r="I1378" s="315" t="s">
        <v>1255</v>
      </c>
      <c r="J1378" s="315" t="str">
        <f t="shared" si="121"/>
        <v>PartsSalaries &amp; Commission as % of Sales</v>
      </c>
      <c r="K1378" s="315" t="str">
        <f t="shared" si="122"/>
        <v>330Parts Salaries &amp; Commission - Toyota</v>
      </c>
      <c r="L1378" s="311">
        <f>+SUMIF('TUNZ Extracted TB'!M:M,$P1378,'TUNZ Extracted TB'!G:G)</f>
        <v>0</v>
      </c>
      <c r="M1378" s="311"/>
      <c r="N1378" s="311">
        <f>+SUMIF('Input Sheet'!$AE:$AE,P1378,'Input Sheet'!$X:$X)</f>
        <v>0</v>
      </c>
      <c r="O1378" s="311"/>
      <c r="P1378" t="str">
        <f t="shared" si="123"/>
        <v>330-7210</v>
      </c>
      <c r="Q1378" s="315" t="str">
        <f t="shared" si="124"/>
        <v>Parts</v>
      </c>
      <c r="R1378" s="315" t="str">
        <f t="shared" si="125"/>
        <v>PartsSalaries &amp; Commission as % of Sales</v>
      </c>
      <c r="S1378" s="199"/>
      <c r="T1378" s="199"/>
      <c r="U1378" s="199"/>
    </row>
    <row r="1379" spans="1:21" x14ac:dyDescent="0.25">
      <c r="A1379" t="s">
        <v>996</v>
      </c>
      <c r="B1379" t="s">
        <v>997</v>
      </c>
      <c r="C1379" t="s">
        <v>1005</v>
      </c>
      <c r="D1379">
        <v>7210</v>
      </c>
      <c r="E1379">
        <v>240</v>
      </c>
      <c r="F1379" t="s">
        <v>1348</v>
      </c>
      <c r="G1379" t="s">
        <v>1349</v>
      </c>
      <c r="H1379" s="315" t="s">
        <v>17</v>
      </c>
      <c r="I1379" s="315" t="s">
        <v>1252</v>
      </c>
      <c r="J1379" s="315" t="str">
        <f t="shared" si="121"/>
        <v>ServiceSalaries, Commission &amp; Leave as % of Sales</v>
      </c>
      <c r="K1379" s="315" t="str">
        <f t="shared" si="122"/>
        <v>240Service Leave Expense - Toyota</v>
      </c>
      <c r="L1379" s="311">
        <f>+SUMIF('TUNZ Extracted TB'!M:M,$P1379,'TUNZ Extracted TB'!G:G)</f>
        <v>0</v>
      </c>
      <c r="M1379" s="311"/>
      <c r="N1379" s="311">
        <f>+SUMIF('Input Sheet'!$AE:$AE,P1379,'Input Sheet'!$X:$X)</f>
        <v>0</v>
      </c>
      <c r="O1379" s="311"/>
      <c r="P1379" t="str">
        <f t="shared" si="123"/>
        <v>240-7210</v>
      </c>
      <c r="Q1379" s="315" t="str">
        <f t="shared" si="124"/>
        <v>Service</v>
      </c>
      <c r="R1379" s="315" t="str">
        <f t="shared" si="125"/>
        <v>ServiceSalaries, Commission &amp; Leave as % of Sales</v>
      </c>
      <c r="S1379" s="199"/>
      <c r="T1379" s="199"/>
      <c r="U1379" s="199"/>
    </row>
    <row r="1380" spans="1:21" x14ac:dyDescent="0.25">
      <c r="A1380" t="s">
        <v>996</v>
      </c>
      <c r="B1380" t="s">
        <v>997</v>
      </c>
      <c r="C1380" t="s">
        <v>1012</v>
      </c>
      <c r="D1380">
        <v>7210</v>
      </c>
      <c r="E1380">
        <v>440</v>
      </c>
      <c r="F1380" t="s">
        <v>1348</v>
      </c>
      <c r="G1380" t="s">
        <v>1349</v>
      </c>
      <c r="H1380" s="315" t="s">
        <v>17</v>
      </c>
      <c r="I1380" s="315" t="s">
        <v>1252</v>
      </c>
      <c r="J1380" s="315" t="str">
        <f t="shared" si="121"/>
        <v>ServiceSalaries, Commission &amp; Leave as % of Sales</v>
      </c>
      <c r="K1380" s="315" t="str">
        <f t="shared" si="122"/>
        <v>440Service Leave Expense - Toyota</v>
      </c>
      <c r="L1380" s="311">
        <f>+SUMIF('TUNZ Extracted TB'!M:M,$P1380,'TUNZ Extracted TB'!G:G)</f>
        <v>0</v>
      </c>
      <c r="M1380" s="311"/>
      <c r="N1380" s="311">
        <f>+SUMIF('Input Sheet'!$AE:$AE,P1380,'Input Sheet'!$X:$X)</f>
        <v>0</v>
      </c>
      <c r="O1380" s="311"/>
      <c r="P1380" t="str">
        <f t="shared" si="123"/>
        <v>440-7210</v>
      </c>
      <c r="Q1380" s="315" t="str">
        <f t="shared" si="124"/>
        <v>Service</v>
      </c>
      <c r="R1380" s="315" t="str">
        <f t="shared" si="125"/>
        <v>ServiceSalaries, Commission &amp; Leave as % of Sales</v>
      </c>
      <c r="S1380" s="199"/>
      <c r="T1380" s="199"/>
      <c r="U1380" s="199"/>
    </row>
    <row r="1381" spans="1:21" x14ac:dyDescent="0.25">
      <c r="A1381" t="s">
        <v>996</v>
      </c>
      <c r="B1381" t="s">
        <v>997</v>
      </c>
      <c r="C1381" t="s">
        <v>1013</v>
      </c>
      <c r="D1381">
        <v>7210</v>
      </c>
      <c r="E1381">
        <v>340</v>
      </c>
      <c r="F1381" t="s">
        <v>1348</v>
      </c>
      <c r="G1381" t="s">
        <v>1349</v>
      </c>
      <c r="H1381" s="315" t="s">
        <v>17</v>
      </c>
      <c r="I1381" s="315" t="s">
        <v>1252</v>
      </c>
      <c r="J1381" s="315" t="str">
        <f t="shared" si="121"/>
        <v>ServiceSalaries, Commission &amp; Leave as % of Sales</v>
      </c>
      <c r="K1381" s="315" t="str">
        <f t="shared" si="122"/>
        <v>340Service Leave Expense - Toyota</v>
      </c>
      <c r="L1381" s="311">
        <f>+SUMIF('TUNZ Extracted TB'!M:M,$P1381,'TUNZ Extracted TB'!G:G)</f>
        <v>0</v>
      </c>
      <c r="M1381" s="311"/>
      <c r="N1381" s="311">
        <f>+SUMIF('Input Sheet'!$AE:$AE,P1381,'Input Sheet'!$X:$X)</f>
        <v>0</v>
      </c>
      <c r="O1381" s="311"/>
      <c r="P1381" t="str">
        <f t="shared" si="123"/>
        <v>340-7210</v>
      </c>
      <c r="Q1381" s="315" t="str">
        <f t="shared" si="124"/>
        <v>Service</v>
      </c>
      <c r="R1381" s="315" t="str">
        <f t="shared" si="125"/>
        <v>ServiceSalaries, Commission &amp; Leave as % of Sales</v>
      </c>
      <c r="S1381" s="199"/>
      <c r="T1381" s="199"/>
      <c r="U1381" s="199"/>
    </row>
    <row r="1382" spans="1:21" x14ac:dyDescent="0.25">
      <c r="A1382" t="s">
        <v>996</v>
      </c>
      <c r="B1382" t="s">
        <v>997</v>
      </c>
      <c r="C1382" t="s">
        <v>997</v>
      </c>
      <c r="D1382">
        <v>7210</v>
      </c>
      <c r="E1382">
        <v>147</v>
      </c>
      <c r="F1382" t="s">
        <v>1348</v>
      </c>
      <c r="G1382" t="s">
        <v>1349</v>
      </c>
      <c r="H1382" s="315" t="s">
        <v>17</v>
      </c>
      <c r="I1382" s="315" t="s">
        <v>1252</v>
      </c>
      <c r="J1382" s="315" t="str">
        <f t="shared" si="121"/>
        <v>ServiceSalaries, Commission &amp; Leave as % of Sales</v>
      </c>
      <c r="K1382" s="315" t="str">
        <f t="shared" si="122"/>
        <v>147Service Leave Expense - Toyota</v>
      </c>
      <c r="L1382" s="311">
        <f>+SUMIF('TUNZ Extracted TB'!M:M,$P1382,'TUNZ Extracted TB'!G:G)</f>
        <v>0</v>
      </c>
      <c r="M1382" s="311"/>
      <c r="N1382" s="311">
        <f>+SUMIF('Input Sheet'!$AE:$AE,P1382,'Input Sheet'!$X:$X)</f>
        <v>0</v>
      </c>
      <c r="O1382" s="311"/>
      <c r="P1382" t="str">
        <f t="shared" si="123"/>
        <v>147-7210</v>
      </c>
      <c r="Q1382" s="315" t="str">
        <f t="shared" si="124"/>
        <v>Service</v>
      </c>
      <c r="R1382" s="315" t="str">
        <f t="shared" si="125"/>
        <v>ServiceSalaries, Commission &amp; Leave as % of Sales</v>
      </c>
      <c r="S1382" s="199"/>
      <c r="T1382" s="199"/>
      <c r="U1382" s="199"/>
    </row>
    <row r="1383" spans="1:21" x14ac:dyDescent="0.25">
      <c r="A1383" t="s">
        <v>996</v>
      </c>
      <c r="B1383" t="s">
        <v>997</v>
      </c>
      <c r="C1383" t="s">
        <v>1005</v>
      </c>
      <c r="D1383">
        <v>7210</v>
      </c>
      <c r="E1383">
        <v>210</v>
      </c>
      <c r="F1383" t="s">
        <v>1239</v>
      </c>
      <c r="G1383" t="s">
        <v>1240</v>
      </c>
      <c r="H1383" s="315" t="s">
        <v>30</v>
      </c>
      <c r="I1383" s="315" t="s">
        <v>1241</v>
      </c>
      <c r="J1383" s="315" t="str">
        <f t="shared" si="121"/>
        <v>Used VehicleSalaries &amp; Wages per retail</v>
      </c>
      <c r="K1383" s="315" t="str">
        <f t="shared" si="122"/>
        <v>210Toyota UV Salaries &amp; Wages</v>
      </c>
      <c r="L1383" s="311">
        <f>+SUMIF('TUNZ Extracted TB'!M:M,$P1383,'TUNZ Extracted TB'!G:G)</f>
        <v>0</v>
      </c>
      <c r="M1383" s="311"/>
      <c r="N1383" s="311">
        <f>+SUMIF('Input Sheet'!$AE:$AE,P1383,'Input Sheet'!$X:$X)</f>
        <v>0</v>
      </c>
      <c r="O1383" s="311"/>
      <c r="P1383" t="str">
        <f t="shared" si="123"/>
        <v>210-7210</v>
      </c>
      <c r="Q1383" s="315" t="str">
        <f t="shared" si="124"/>
        <v>Used Vehicle</v>
      </c>
      <c r="R1383" s="315" t="str">
        <f t="shared" si="125"/>
        <v>Used VehicleSalaries &amp; Wages per retail</v>
      </c>
      <c r="S1383" s="199"/>
      <c r="T1383" s="199"/>
      <c r="U1383" s="199"/>
    </row>
    <row r="1384" spans="1:21" x14ac:dyDescent="0.25">
      <c r="A1384" t="s">
        <v>996</v>
      </c>
      <c r="B1384" t="s">
        <v>997</v>
      </c>
      <c r="C1384" t="s">
        <v>1005</v>
      </c>
      <c r="D1384">
        <v>7210</v>
      </c>
      <c r="E1384">
        <v>220</v>
      </c>
      <c r="F1384" t="s">
        <v>1239</v>
      </c>
      <c r="G1384" t="s">
        <v>1240</v>
      </c>
      <c r="H1384" s="315" t="s">
        <v>30</v>
      </c>
      <c r="I1384" s="315" t="s">
        <v>1241</v>
      </c>
      <c r="J1384" s="315" t="str">
        <f t="shared" si="121"/>
        <v>Used VehicleSalaries &amp; Wages per retail</v>
      </c>
      <c r="K1384" s="315" t="str">
        <f t="shared" si="122"/>
        <v>220Toyota UV Salaries &amp; Wages</v>
      </c>
      <c r="L1384" s="311">
        <f>+SUMIF('TUNZ Extracted TB'!M:M,$P1384,'TUNZ Extracted TB'!G:G)</f>
        <v>0</v>
      </c>
      <c r="M1384" s="311"/>
      <c r="N1384" s="311">
        <f>+SUMIF('Input Sheet'!$AE:$AE,P1384,'Input Sheet'!$X:$X)</f>
        <v>0</v>
      </c>
      <c r="O1384" s="311"/>
      <c r="P1384" t="str">
        <f t="shared" si="123"/>
        <v>220-7210</v>
      </c>
      <c r="Q1384" s="315" t="str">
        <f t="shared" si="124"/>
        <v>Used Vehicle</v>
      </c>
      <c r="R1384" s="315" t="str">
        <f t="shared" si="125"/>
        <v>Used VehicleSalaries &amp; Wages per retail</v>
      </c>
      <c r="S1384" s="199"/>
      <c r="T1384" s="199"/>
      <c r="U1384" s="199"/>
    </row>
    <row r="1385" spans="1:21" x14ac:dyDescent="0.25">
      <c r="A1385" t="s">
        <v>996</v>
      </c>
      <c r="B1385" t="s">
        <v>997</v>
      </c>
      <c r="C1385" t="s">
        <v>1005</v>
      </c>
      <c r="D1385">
        <v>7210</v>
      </c>
      <c r="E1385">
        <v>221</v>
      </c>
      <c r="F1385" t="s">
        <v>1239</v>
      </c>
      <c r="G1385" t="s">
        <v>1240</v>
      </c>
      <c r="H1385" s="315" t="s">
        <v>30</v>
      </c>
      <c r="I1385" s="315" t="s">
        <v>1241</v>
      </c>
      <c r="J1385" s="315" t="str">
        <f t="shared" si="121"/>
        <v>Used VehicleSalaries &amp; Wages per retail</v>
      </c>
      <c r="K1385" s="315" t="str">
        <f t="shared" si="122"/>
        <v>221Toyota UV Salaries &amp; Wages</v>
      </c>
      <c r="L1385" s="311">
        <f>+SUMIF('TUNZ Extracted TB'!M:M,$P1385,'TUNZ Extracted TB'!G:G)</f>
        <v>0</v>
      </c>
      <c r="M1385" s="311"/>
      <c r="N1385" s="311">
        <f>+SUMIF('Input Sheet'!$AE:$AE,P1385,'Input Sheet'!$X:$X)</f>
        <v>0</v>
      </c>
      <c r="O1385" s="311"/>
      <c r="P1385" t="str">
        <f t="shared" si="123"/>
        <v>221-7210</v>
      </c>
      <c r="Q1385" s="315" t="str">
        <f t="shared" si="124"/>
        <v>Used Vehicle</v>
      </c>
      <c r="R1385" s="315" t="str">
        <f t="shared" si="125"/>
        <v>Used VehicleSalaries &amp; Wages per retail</v>
      </c>
      <c r="S1385" s="199"/>
      <c r="T1385" s="199"/>
      <c r="U1385" s="199"/>
    </row>
    <row r="1386" spans="1:21" x14ac:dyDescent="0.25">
      <c r="A1386" t="s">
        <v>996</v>
      </c>
      <c r="B1386" t="s">
        <v>997</v>
      </c>
      <c r="C1386" t="s">
        <v>1012</v>
      </c>
      <c r="D1386">
        <v>7210</v>
      </c>
      <c r="E1386">
        <v>410</v>
      </c>
      <c r="F1386" t="s">
        <v>1239</v>
      </c>
      <c r="G1386" t="s">
        <v>1240</v>
      </c>
      <c r="H1386" s="315" t="s">
        <v>30</v>
      </c>
      <c r="I1386" s="315" t="s">
        <v>1241</v>
      </c>
      <c r="J1386" s="315" t="str">
        <f t="shared" si="121"/>
        <v>Used VehicleSalaries &amp; Wages per retail</v>
      </c>
      <c r="K1386" s="315" t="str">
        <f t="shared" si="122"/>
        <v>410Toyota UV Salaries &amp; Wages</v>
      </c>
      <c r="L1386" s="311">
        <f>+SUMIF('TUNZ Extracted TB'!M:M,$P1386,'TUNZ Extracted TB'!G:G)</f>
        <v>0</v>
      </c>
      <c r="M1386" s="311"/>
      <c r="N1386" s="311">
        <f>+SUMIF('Input Sheet'!$AE:$AE,P1386,'Input Sheet'!$X:$X)</f>
        <v>0</v>
      </c>
      <c r="O1386" s="311"/>
      <c r="P1386" t="str">
        <f t="shared" si="123"/>
        <v>410-7210</v>
      </c>
      <c r="Q1386" s="315" t="str">
        <f t="shared" si="124"/>
        <v>Used Vehicle</v>
      </c>
      <c r="R1386" s="315" t="str">
        <f t="shared" si="125"/>
        <v>Used VehicleSalaries &amp; Wages per retail</v>
      </c>
      <c r="S1386" s="199"/>
      <c r="T1386" s="199"/>
      <c r="U1386" s="199"/>
    </row>
    <row r="1387" spans="1:21" x14ac:dyDescent="0.25">
      <c r="A1387" t="s">
        <v>996</v>
      </c>
      <c r="B1387" t="s">
        <v>997</v>
      </c>
      <c r="C1387" t="s">
        <v>1012</v>
      </c>
      <c r="D1387">
        <v>7210</v>
      </c>
      <c r="E1387">
        <v>420</v>
      </c>
      <c r="F1387" t="s">
        <v>1239</v>
      </c>
      <c r="G1387" t="s">
        <v>1240</v>
      </c>
      <c r="H1387" s="315" t="s">
        <v>30</v>
      </c>
      <c r="I1387" s="315" t="s">
        <v>1241</v>
      </c>
      <c r="J1387" s="315" t="str">
        <f t="shared" si="121"/>
        <v>Used VehicleSalaries &amp; Wages per retail</v>
      </c>
      <c r="K1387" s="315" t="str">
        <f t="shared" si="122"/>
        <v>420Toyota UV Salaries &amp; Wages</v>
      </c>
      <c r="L1387" s="311">
        <f>+SUMIF('TUNZ Extracted TB'!M:M,$P1387,'TUNZ Extracted TB'!G:G)</f>
        <v>0</v>
      </c>
      <c r="M1387" s="311"/>
      <c r="N1387" s="311">
        <f>+SUMIF('Input Sheet'!$AE:$AE,P1387,'Input Sheet'!$X:$X)</f>
        <v>0</v>
      </c>
      <c r="O1387" s="311"/>
      <c r="P1387" t="str">
        <f t="shared" si="123"/>
        <v>420-7210</v>
      </c>
      <c r="Q1387" s="315" t="str">
        <f t="shared" si="124"/>
        <v>Used Vehicle</v>
      </c>
      <c r="R1387" s="315" t="str">
        <f t="shared" si="125"/>
        <v>Used VehicleSalaries &amp; Wages per retail</v>
      </c>
      <c r="S1387" s="199"/>
      <c r="T1387" s="199"/>
      <c r="U1387" s="199"/>
    </row>
    <row r="1388" spans="1:21" x14ac:dyDescent="0.25">
      <c r="A1388" t="s">
        <v>996</v>
      </c>
      <c r="B1388" t="s">
        <v>997</v>
      </c>
      <c r="C1388" t="s">
        <v>1012</v>
      </c>
      <c r="D1388">
        <v>7210</v>
      </c>
      <c r="E1388">
        <v>421</v>
      </c>
      <c r="F1388" t="s">
        <v>1239</v>
      </c>
      <c r="G1388" t="s">
        <v>1240</v>
      </c>
      <c r="H1388" s="315" t="s">
        <v>30</v>
      </c>
      <c r="I1388" s="315" t="s">
        <v>1241</v>
      </c>
      <c r="J1388" s="315" t="str">
        <f t="shared" si="121"/>
        <v>Used VehicleSalaries &amp; Wages per retail</v>
      </c>
      <c r="K1388" s="315" t="str">
        <f t="shared" si="122"/>
        <v>421Toyota UV Salaries &amp; Wages</v>
      </c>
      <c r="L1388" s="311">
        <f>+SUMIF('TUNZ Extracted TB'!M:M,$P1388,'TUNZ Extracted TB'!G:G)</f>
        <v>0</v>
      </c>
      <c r="M1388" s="311"/>
      <c r="N1388" s="311">
        <f>+SUMIF('Input Sheet'!$AE:$AE,P1388,'Input Sheet'!$X:$X)</f>
        <v>0</v>
      </c>
      <c r="O1388" s="311"/>
      <c r="P1388" t="str">
        <f t="shared" si="123"/>
        <v>421-7210</v>
      </c>
      <c r="Q1388" s="315" t="str">
        <f t="shared" si="124"/>
        <v>Used Vehicle</v>
      </c>
      <c r="R1388" s="315" t="str">
        <f t="shared" si="125"/>
        <v>Used VehicleSalaries &amp; Wages per retail</v>
      </c>
      <c r="S1388" s="199"/>
      <c r="T1388" s="199"/>
      <c r="U1388" s="199"/>
    </row>
    <row r="1389" spans="1:21" x14ac:dyDescent="0.25">
      <c r="A1389" t="s">
        <v>996</v>
      </c>
      <c r="B1389" t="s">
        <v>997</v>
      </c>
      <c r="C1389" t="s">
        <v>1013</v>
      </c>
      <c r="D1389">
        <v>7210</v>
      </c>
      <c r="E1389">
        <v>310</v>
      </c>
      <c r="F1389" t="s">
        <v>1239</v>
      </c>
      <c r="G1389" t="s">
        <v>1240</v>
      </c>
      <c r="H1389" s="315" t="s">
        <v>30</v>
      </c>
      <c r="I1389" s="315" t="s">
        <v>1241</v>
      </c>
      <c r="J1389" s="315" t="str">
        <f t="shared" si="121"/>
        <v>Used VehicleSalaries &amp; Wages per retail</v>
      </c>
      <c r="K1389" s="315" t="str">
        <f t="shared" si="122"/>
        <v>310Toyota UV Salaries &amp; Wages</v>
      </c>
      <c r="L1389" s="311">
        <f>+SUMIF('TUNZ Extracted TB'!M:M,$P1389,'TUNZ Extracted TB'!G:G)</f>
        <v>0</v>
      </c>
      <c r="M1389" s="311"/>
      <c r="N1389" s="311">
        <f>+SUMIF('Input Sheet'!$AE:$AE,P1389,'Input Sheet'!$X:$X)</f>
        <v>0</v>
      </c>
      <c r="O1389" s="311"/>
      <c r="P1389" t="str">
        <f t="shared" si="123"/>
        <v>310-7210</v>
      </c>
      <c r="Q1389" s="315" t="str">
        <f t="shared" si="124"/>
        <v>Used Vehicle</v>
      </c>
      <c r="R1389" s="315" t="str">
        <f t="shared" si="125"/>
        <v>Used VehicleSalaries &amp; Wages per retail</v>
      </c>
      <c r="S1389" s="199"/>
      <c r="T1389" s="199"/>
      <c r="U1389" s="199"/>
    </row>
    <row r="1390" spans="1:21" x14ac:dyDescent="0.25">
      <c r="A1390" t="s">
        <v>996</v>
      </c>
      <c r="B1390" t="s">
        <v>997</v>
      </c>
      <c r="C1390" t="s">
        <v>1013</v>
      </c>
      <c r="D1390">
        <v>7210</v>
      </c>
      <c r="E1390">
        <v>321</v>
      </c>
      <c r="F1390" t="s">
        <v>1239</v>
      </c>
      <c r="G1390" t="s">
        <v>1240</v>
      </c>
      <c r="H1390" s="315" t="s">
        <v>30</v>
      </c>
      <c r="I1390" s="315" t="s">
        <v>1241</v>
      </c>
      <c r="J1390" s="315" t="str">
        <f t="shared" si="121"/>
        <v>Used VehicleSalaries &amp; Wages per retail</v>
      </c>
      <c r="K1390" s="315" t="str">
        <f t="shared" si="122"/>
        <v>321Toyota UV Salaries &amp; Wages</v>
      </c>
      <c r="L1390" s="311">
        <f>+SUMIF('TUNZ Extracted TB'!M:M,$P1390,'TUNZ Extracted TB'!G:G)</f>
        <v>0</v>
      </c>
      <c r="M1390" s="311"/>
      <c r="N1390" s="311">
        <f>+SUMIF('Input Sheet'!$AE:$AE,P1390,'Input Sheet'!$X:$X)</f>
        <v>0</v>
      </c>
      <c r="O1390" s="311"/>
      <c r="P1390" t="str">
        <f t="shared" si="123"/>
        <v>321-7210</v>
      </c>
      <c r="Q1390" s="315" t="str">
        <f t="shared" si="124"/>
        <v>Used Vehicle</v>
      </c>
      <c r="R1390" s="315" t="str">
        <f t="shared" si="125"/>
        <v>Used VehicleSalaries &amp; Wages per retail</v>
      </c>
      <c r="S1390" s="199"/>
      <c r="T1390" s="199"/>
      <c r="U1390" s="199"/>
    </row>
    <row r="1391" spans="1:21" x14ac:dyDescent="0.25">
      <c r="A1391" t="s">
        <v>996</v>
      </c>
      <c r="B1391" t="s">
        <v>997</v>
      </c>
      <c r="C1391" t="s">
        <v>997</v>
      </c>
      <c r="D1391">
        <v>7210</v>
      </c>
      <c r="E1391">
        <v>120</v>
      </c>
      <c r="F1391" t="s">
        <v>1239</v>
      </c>
      <c r="G1391" t="s">
        <v>1240</v>
      </c>
      <c r="H1391" s="315" t="s">
        <v>30</v>
      </c>
      <c r="I1391" s="315" t="s">
        <v>1241</v>
      </c>
      <c r="J1391" s="315" t="str">
        <f t="shared" si="121"/>
        <v>Used VehicleSalaries &amp; Wages per retail</v>
      </c>
      <c r="K1391" s="315" t="str">
        <f t="shared" si="122"/>
        <v>120Toyota UV Salaries &amp; Wages</v>
      </c>
      <c r="L1391" s="311">
        <f>+SUMIF('TUNZ Extracted TB'!M:M,$P1391,'TUNZ Extracted TB'!G:G)</f>
        <v>0</v>
      </c>
      <c r="M1391" s="311"/>
      <c r="N1391" s="311">
        <f>+SUMIF('Input Sheet'!$AE:$AE,P1391,'Input Sheet'!$X:$X)</f>
        <v>0</v>
      </c>
      <c r="O1391" s="311"/>
      <c r="P1391" t="str">
        <f t="shared" si="123"/>
        <v>120-7210</v>
      </c>
      <c r="Q1391" s="315" t="str">
        <f t="shared" si="124"/>
        <v>Used Vehicle</v>
      </c>
      <c r="R1391" s="315" t="str">
        <f t="shared" si="125"/>
        <v>Used VehicleSalaries &amp; Wages per retail</v>
      </c>
      <c r="S1391" s="199"/>
      <c r="T1391" s="199"/>
      <c r="U1391" s="199"/>
    </row>
    <row r="1392" spans="1:21" x14ac:dyDescent="0.25">
      <c r="A1392" t="s">
        <v>996</v>
      </c>
      <c r="B1392" t="s">
        <v>997</v>
      </c>
      <c r="C1392" t="s">
        <v>997</v>
      </c>
      <c r="D1392">
        <v>7210</v>
      </c>
      <c r="E1392">
        <v>121</v>
      </c>
      <c r="F1392" t="s">
        <v>1239</v>
      </c>
      <c r="G1392" t="s">
        <v>1240</v>
      </c>
      <c r="H1392" s="315" t="s">
        <v>30</v>
      </c>
      <c r="I1392" s="315" t="s">
        <v>1241</v>
      </c>
      <c r="J1392" s="315" t="str">
        <f t="shared" si="121"/>
        <v>Used VehicleSalaries &amp; Wages per retail</v>
      </c>
      <c r="K1392" s="315" t="str">
        <f t="shared" si="122"/>
        <v>121Toyota UV Salaries &amp; Wages</v>
      </c>
      <c r="L1392" s="311">
        <f>+SUMIF('TUNZ Extracted TB'!M:M,$P1392,'TUNZ Extracted TB'!G:G)</f>
        <v>0</v>
      </c>
      <c r="M1392" s="311"/>
      <c r="N1392" s="311">
        <f>+SUMIF('Input Sheet'!$AE:$AE,P1392,'Input Sheet'!$X:$X)</f>
        <v>0</v>
      </c>
      <c r="O1392" s="311"/>
      <c r="P1392" t="str">
        <f t="shared" si="123"/>
        <v>121-7210</v>
      </c>
      <c r="Q1392" s="315" t="str">
        <f t="shared" si="124"/>
        <v>Used Vehicle</v>
      </c>
      <c r="R1392" s="315" t="str">
        <f t="shared" si="125"/>
        <v>Used VehicleSalaries &amp; Wages per retail</v>
      </c>
      <c r="S1392" s="199"/>
      <c r="T1392" s="199"/>
      <c r="U1392" s="199"/>
    </row>
    <row r="1393" spans="1:21" x14ac:dyDescent="0.25">
      <c r="A1393" t="s">
        <v>996</v>
      </c>
      <c r="B1393" t="s">
        <v>997</v>
      </c>
      <c r="C1393" t="s">
        <v>997</v>
      </c>
      <c r="D1393">
        <v>7211</v>
      </c>
      <c r="E1393">
        <v>150</v>
      </c>
      <c r="F1393" t="s">
        <v>1348</v>
      </c>
      <c r="G1393" t="s">
        <v>1349</v>
      </c>
      <c r="H1393" s="315" t="s">
        <v>145</v>
      </c>
      <c r="I1393" s="315" t="s">
        <v>1252</v>
      </c>
      <c r="J1393" s="315" t="str">
        <f t="shared" si="121"/>
        <v>Retail DetailingSalaries, Commission &amp; Leave as % of Sales</v>
      </c>
      <c r="K1393" s="315" t="str">
        <f t="shared" si="122"/>
        <v>150Service Leave Expense - Toyota</v>
      </c>
      <c r="L1393" s="311">
        <f>+SUMIF('TUNZ Extracted TB'!M:M,$P1393,'TUNZ Extracted TB'!G:G)</f>
        <v>1161.9000000000001</v>
      </c>
      <c r="M1393" s="311"/>
      <c r="N1393" s="311">
        <f>+SUMIF('Input Sheet'!$AE:$AE,P1393,'Input Sheet'!$X:$X)</f>
        <v>0</v>
      </c>
      <c r="O1393" s="311"/>
      <c r="P1393" t="str">
        <f t="shared" si="123"/>
        <v>150-7211</v>
      </c>
      <c r="Q1393" s="315" t="str">
        <f t="shared" si="124"/>
        <v>Retail Detailing</v>
      </c>
      <c r="R1393" s="315" t="str">
        <f t="shared" si="125"/>
        <v>Retail DetailingSalaries, Commission &amp; Leave as % of Sales</v>
      </c>
      <c r="S1393" s="199"/>
      <c r="T1393" s="199"/>
      <c r="U1393" s="199"/>
    </row>
    <row r="1394" spans="1:21" x14ac:dyDescent="0.25">
      <c r="A1394" t="s">
        <v>996</v>
      </c>
      <c r="B1394" t="s">
        <v>997</v>
      </c>
      <c r="C1394" t="s">
        <v>1005</v>
      </c>
      <c r="D1394">
        <v>7211</v>
      </c>
      <c r="E1394">
        <v>240</v>
      </c>
      <c r="F1394" t="s">
        <v>1348</v>
      </c>
      <c r="G1394" t="s">
        <v>1349</v>
      </c>
      <c r="H1394" s="315" t="s">
        <v>17</v>
      </c>
      <c r="I1394" s="315" t="s">
        <v>1252</v>
      </c>
      <c r="J1394" s="315" t="str">
        <f t="shared" si="121"/>
        <v>ServiceSalaries, Commission &amp; Leave as % of Sales</v>
      </c>
      <c r="K1394" s="315" t="str">
        <f t="shared" si="122"/>
        <v>240Service Leave Expense - Toyota</v>
      </c>
      <c r="L1394" s="311">
        <f>+SUMIF('TUNZ Extracted TB'!M:M,$P1394,'TUNZ Extracted TB'!G:G)</f>
        <v>680</v>
      </c>
      <c r="M1394" s="311"/>
      <c r="N1394" s="311">
        <f>+SUMIF('Input Sheet'!$AE:$AE,P1394,'Input Sheet'!$X:$X)</f>
        <v>0</v>
      </c>
      <c r="O1394" s="311"/>
      <c r="P1394" t="str">
        <f t="shared" si="123"/>
        <v>240-7211</v>
      </c>
      <c r="Q1394" s="315" t="str">
        <f t="shared" si="124"/>
        <v>Service</v>
      </c>
      <c r="R1394" s="315" t="str">
        <f t="shared" si="125"/>
        <v>ServiceSalaries, Commission &amp; Leave as % of Sales</v>
      </c>
      <c r="S1394" s="199"/>
      <c r="T1394" s="199"/>
      <c r="U1394" s="199"/>
    </row>
    <row r="1395" spans="1:21" x14ac:dyDescent="0.25">
      <c r="A1395" t="s">
        <v>996</v>
      </c>
      <c r="B1395" t="s">
        <v>997</v>
      </c>
      <c r="C1395" t="s">
        <v>1012</v>
      </c>
      <c r="D1395">
        <v>7211</v>
      </c>
      <c r="E1395">
        <v>440</v>
      </c>
      <c r="F1395" t="s">
        <v>1348</v>
      </c>
      <c r="G1395" t="s">
        <v>1349</v>
      </c>
      <c r="H1395" s="315" t="s">
        <v>17</v>
      </c>
      <c r="I1395" s="315" t="s">
        <v>1252</v>
      </c>
      <c r="J1395" s="315" t="str">
        <f t="shared" si="121"/>
        <v>ServiceSalaries, Commission &amp; Leave as % of Sales</v>
      </c>
      <c r="K1395" s="315" t="str">
        <f t="shared" si="122"/>
        <v>440Service Leave Expense - Toyota</v>
      </c>
      <c r="L1395" s="311">
        <f>+SUMIF('TUNZ Extracted TB'!M:M,$P1395,'TUNZ Extracted TB'!G:G)</f>
        <v>2808</v>
      </c>
      <c r="M1395" s="311"/>
      <c r="N1395" s="311">
        <f>+SUMIF('Input Sheet'!$AE:$AE,P1395,'Input Sheet'!$X:$X)</f>
        <v>0</v>
      </c>
      <c r="O1395" s="311"/>
      <c r="P1395" t="str">
        <f t="shared" si="123"/>
        <v>440-7211</v>
      </c>
      <c r="Q1395" s="315" t="str">
        <f t="shared" si="124"/>
        <v>Service</v>
      </c>
      <c r="R1395" s="315" t="str">
        <f t="shared" si="125"/>
        <v>ServiceSalaries, Commission &amp; Leave as % of Sales</v>
      </c>
      <c r="S1395" s="199"/>
      <c r="T1395" s="199"/>
      <c r="U1395" s="199"/>
    </row>
    <row r="1396" spans="1:21" x14ac:dyDescent="0.25">
      <c r="A1396" t="s">
        <v>996</v>
      </c>
      <c r="B1396" t="s">
        <v>997</v>
      </c>
      <c r="C1396" t="s">
        <v>1013</v>
      </c>
      <c r="D1396">
        <v>7211</v>
      </c>
      <c r="E1396">
        <v>340</v>
      </c>
      <c r="F1396" t="s">
        <v>1348</v>
      </c>
      <c r="G1396" t="s">
        <v>1349</v>
      </c>
      <c r="H1396" s="315" t="s">
        <v>17</v>
      </c>
      <c r="I1396" s="315" t="s">
        <v>1252</v>
      </c>
      <c r="J1396" s="315" t="str">
        <f t="shared" si="121"/>
        <v>ServiceSalaries, Commission &amp; Leave as % of Sales</v>
      </c>
      <c r="K1396" s="315" t="str">
        <f t="shared" si="122"/>
        <v>340Service Leave Expense - Toyota</v>
      </c>
      <c r="L1396" s="311">
        <f>+SUMIF('TUNZ Extracted TB'!M:M,$P1396,'TUNZ Extracted TB'!G:G)</f>
        <v>2519.37</v>
      </c>
      <c r="M1396" s="311"/>
      <c r="N1396" s="311">
        <f>+SUMIF('Input Sheet'!$AE:$AE,P1396,'Input Sheet'!$X:$X)</f>
        <v>0</v>
      </c>
      <c r="O1396" s="311"/>
      <c r="P1396" t="str">
        <f t="shared" si="123"/>
        <v>340-7211</v>
      </c>
      <c r="Q1396" s="315" t="str">
        <f t="shared" si="124"/>
        <v>Service</v>
      </c>
      <c r="R1396" s="315" t="str">
        <f t="shared" si="125"/>
        <v>ServiceSalaries, Commission &amp; Leave as % of Sales</v>
      </c>
      <c r="S1396" s="199"/>
      <c r="T1396" s="199"/>
      <c r="U1396" s="199"/>
    </row>
    <row r="1397" spans="1:21" x14ac:dyDescent="0.25">
      <c r="A1397" t="s">
        <v>996</v>
      </c>
      <c r="B1397" t="s">
        <v>997</v>
      </c>
      <c r="C1397" t="s">
        <v>997</v>
      </c>
      <c r="D1397">
        <v>7211</v>
      </c>
      <c r="E1397">
        <v>121</v>
      </c>
      <c r="F1397" t="s">
        <v>1239</v>
      </c>
      <c r="G1397" t="s">
        <v>1240</v>
      </c>
      <c r="H1397" s="315" t="s">
        <v>30</v>
      </c>
      <c r="I1397" s="315" t="s">
        <v>1241</v>
      </c>
      <c r="J1397" s="315" t="str">
        <f t="shared" si="121"/>
        <v>Used VehicleSalaries &amp; Wages per retail</v>
      </c>
      <c r="K1397" s="315" t="str">
        <f t="shared" si="122"/>
        <v>121Toyota UV Salaries &amp; Wages</v>
      </c>
      <c r="L1397" s="311">
        <f>+SUMIF('TUNZ Extracted TB'!M:M,$P1397,'TUNZ Extracted TB'!G:G)</f>
        <v>1961.53</v>
      </c>
      <c r="M1397" s="311"/>
      <c r="N1397" s="311">
        <f>+SUMIF('Input Sheet'!$AE:$AE,P1397,'Input Sheet'!$X:$X)</f>
        <v>0</v>
      </c>
      <c r="O1397" s="311"/>
      <c r="P1397" t="str">
        <f t="shared" si="123"/>
        <v>121-7211</v>
      </c>
      <c r="Q1397" s="315" t="str">
        <f t="shared" si="124"/>
        <v>Used Vehicle</v>
      </c>
      <c r="R1397" s="315" t="str">
        <f t="shared" si="125"/>
        <v>Used VehicleSalaries &amp; Wages per retail</v>
      </c>
      <c r="S1397" s="199"/>
      <c r="T1397" s="199"/>
      <c r="U1397" s="199"/>
    </row>
    <row r="1398" spans="1:21" x14ac:dyDescent="0.25">
      <c r="A1398" t="s">
        <v>996</v>
      </c>
      <c r="B1398" t="s">
        <v>997</v>
      </c>
      <c r="C1398" t="s">
        <v>1005</v>
      </c>
      <c r="D1398">
        <v>7211</v>
      </c>
      <c r="E1398">
        <v>230</v>
      </c>
      <c r="F1398" t="s">
        <v>1256</v>
      </c>
      <c r="G1398" t="s">
        <v>1257</v>
      </c>
      <c r="H1398" s="315" t="s">
        <v>5</v>
      </c>
      <c r="I1398" s="315" t="s">
        <v>1255</v>
      </c>
      <c r="J1398" s="315" t="str">
        <f t="shared" si="121"/>
        <v>PartsSalaries &amp; Commission as % of Sales</v>
      </c>
      <c r="K1398" s="315" t="str">
        <f t="shared" si="122"/>
        <v>230Parts Salaries &amp; Commission - Toyota</v>
      </c>
      <c r="L1398" s="311">
        <f>+SUMIF('TUNZ Extracted TB'!M:M,$P1398,'TUNZ Extracted TB'!G:G)</f>
        <v>366.3</v>
      </c>
      <c r="M1398" s="311"/>
      <c r="N1398" s="311">
        <f>+SUMIF('Input Sheet'!$AE:$AE,P1398,'Input Sheet'!$X:$X)</f>
        <v>0</v>
      </c>
      <c r="O1398" s="311"/>
      <c r="P1398" t="str">
        <f t="shared" si="123"/>
        <v>230-7211</v>
      </c>
      <c r="Q1398" s="315" t="str">
        <f t="shared" si="124"/>
        <v>Parts</v>
      </c>
      <c r="R1398" s="315" t="str">
        <f t="shared" si="125"/>
        <v>PartsSalaries &amp; Commission as % of Sales</v>
      </c>
      <c r="S1398" s="199"/>
      <c r="T1398" s="199"/>
      <c r="U1398" s="199"/>
    </row>
    <row r="1399" spans="1:21" x14ac:dyDescent="0.25">
      <c r="A1399" t="s">
        <v>996</v>
      </c>
      <c r="B1399" t="s">
        <v>997</v>
      </c>
      <c r="C1399" t="s">
        <v>1005</v>
      </c>
      <c r="D1399">
        <v>7211</v>
      </c>
      <c r="E1399">
        <v>220</v>
      </c>
      <c r="F1399" t="s">
        <v>1239</v>
      </c>
      <c r="G1399" t="s">
        <v>1240</v>
      </c>
      <c r="H1399" s="315" t="s">
        <v>30</v>
      </c>
      <c r="I1399" s="315" t="s">
        <v>1241</v>
      </c>
      <c r="J1399" s="315" t="str">
        <f t="shared" si="121"/>
        <v>Used VehicleSalaries &amp; Wages per retail</v>
      </c>
      <c r="K1399" s="315" t="str">
        <f t="shared" si="122"/>
        <v>220Toyota UV Salaries &amp; Wages</v>
      </c>
      <c r="L1399" s="311">
        <f>+SUMIF('TUNZ Extracted TB'!M:M,$P1399,'TUNZ Extracted TB'!G:G)</f>
        <v>561.65</v>
      </c>
      <c r="M1399" s="311"/>
      <c r="N1399" s="311">
        <f>+SUMIF('Input Sheet'!$AE:$AE,P1399,'Input Sheet'!$X:$X)</f>
        <v>0</v>
      </c>
      <c r="O1399" s="311"/>
      <c r="P1399" t="str">
        <f t="shared" si="123"/>
        <v>220-7211</v>
      </c>
      <c r="Q1399" s="315" t="str">
        <f t="shared" si="124"/>
        <v>Used Vehicle</v>
      </c>
      <c r="R1399" s="315" t="str">
        <f t="shared" si="125"/>
        <v>Used VehicleSalaries &amp; Wages per retail</v>
      </c>
      <c r="S1399" s="199"/>
      <c r="T1399" s="199"/>
      <c r="U1399" s="199"/>
    </row>
    <row r="1400" spans="1:21" x14ac:dyDescent="0.25">
      <c r="A1400" t="s">
        <v>996</v>
      </c>
      <c r="B1400" t="s">
        <v>997</v>
      </c>
      <c r="C1400" t="s">
        <v>1005</v>
      </c>
      <c r="D1400">
        <v>7211</v>
      </c>
      <c r="E1400">
        <v>260</v>
      </c>
      <c r="F1400" t="s">
        <v>1247</v>
      </c>
      <c r="G1400" t="s">
        <v>1248</v>
      </c>
      <c r="H1400" s="315" t="s">
        <v>16</v>
      </c>
      <c r="I1400" s="315" t="s">
        <v>1249</v>
      </c>
      <c r="J1400" s="315" t="str">
        <f t="shared" si="121"/>
        <v>F&amp;ISalaries &amp; Commission per vehicle retailed</v>
      </c>
      <c r="K1400" s="315" t="str">
        <f t="shared" si="122"/>
        <v>260F&amp;I Salaries &amp; Commission - Toyota</v>
      </c>
      <c r="L1400" s="311">
        <f>+SUMIF('TUNZ Extracted TB'!M:M,$P1400,'TUNZ Extracted TB'!G:G)</f>
        <v>0</v>
      </c>
      <c r="M1400" s="311"/>
      <c r="N1400" s="311">
        <f>+SUMIF('Input Sheet'!$AE:$AE,P1400,'Input Sheet'!$X:$X)</f>
        <v>0</v>
      </c>
      <c r="O1400" s="311"/>
      <c r="P1400" t="str">
        <f t="shared" si="123"/>
        <v>260-7211</v>
      </c>
      <c r="Q1400" s="315" t="str">
        <f t="shared" si="124"/>
        <v>F&amp;I</v>
      </c>
      <c r="R1400" s="315" t="str">
        <f t="shared" si="125"/>
        <v>F&amp;ISalaries &amp; Commission per vehicle retailed</v>
      </c>
      <c r="S1400" s="199"/>
      <c r="T1400" s="199"/>
      <c r="U1400" s="199"/>
    </row>
    <row r="1401" spans="1:21" x14ac:dyDescent="0.25">
      <c r="A1401" t="s">
        <v>996</v>
      </c>
      <c r="B1401" t="s">
        <v>997</v>
      </c>
      <c r="C1401" t="s">
        <v>1005</v>
      </c>
      <c r="D1401">
        <v>7211</v>
      </c>
      <c r="E1401">
        <v>200</v>
      </c>
      <c r="F1401" t="s">
        <v>1242</v>
      </c>
      <c r="G1401" t="s">
        <v>1243</v>
      </c>
      <c r="H1401" s="315" t="s">
        <v>29</v>
      </c>
      <c r="I1401" s="315" t="s">
        <v>1244</v>
      </c>
      <c r="J1401" s="315" t="str">
        <f t="shared" si="121"/>
        <v>New VehicleSalaries &amp; Wages p.u.</v>
      </c>
      <c r="K1401" s="315" t="str">
        <f t="shared" si="122"/>
        <v>200NV Salaries &amp; Wages - Toyota</v>
      </c>
      <c r="L1401" s="311">
        <f>+SUMIF('TUNZ Extracted TB'!M:M,$P1401,'TUNZ Extracted TB'!G:G)</f>
        <v>0</v>
      </c>
      <c r="M1401" s="311"/>
      <c r="N1401" s="311">
        <f>+SUMIF('Input Sheet'!$AE:$AE,P1401,'Input Sheet'!$X:$X)</f>
        <v>0</v>
      </c>
      <c r="O1401" s="311"/>
      <c r="P1401" t="str">
        <f t="shared" si="123"/>
        <v>200-7211</v>
      </c>
      <c r="Q1401" s="315" t="str">
        <f t="shared" si="124"/>
        <v>New Vehicle</v>
      </c>
      <c r="R1401" s="315" t="str">
        <f t="shared" si="125"/>
        <v>New VehicleSalaries &amp; Wages p.u.</v>
      </c>
      <c r="S1401" s="199"/>
      <c r="T1401" s="199"/>
      <c r="U1401" s="199"/>
    </row>
    <row r="1402" spans="1:21" x14ac:dyDescent="0.25">
      <c r="A1402" t="s">
        <v>996</v>
      </c>
      <c r="B1402" t="s">
        <v>997</v>
      </c>
      <c r="C1402" t="s">
        <v>997</v>
      </c>
      <c r="D1402">
        <v>7211</v>
      </c>
      <c r="E1402">
        <v>936</v>
      </c>
      <c r="F1402" t="s">
        <v>1175</v>
      </c>
      <c r="G1402" t="s">
        <v>1176</v>
      </c>
      <c r="H1402" s="315" t="s">
        <v>58</v>
      </c>
      <c r="I1402" s="315" t="s">
        <v>1252</v>
      </c>
      <c r="J1402" s="315" t="str">
        <f t="shared" si="121"/>
        <v>BridgestoneSalaries, Commission &amp; Leave as % of Sales</v>
      </c>
      <c r="K1402" s="315" t="str">
        <f t="shared" si="122"/>
        <v>936Other franchise/business expense</v>
      </c>
      <c r="L1402" s="311">
        <f>+SUMIF('TUNZ Extracted TB'!M:M,$P1402,'TUNZ Extracted TB'!G:G)</f>
        <v>637.5</v>
      </c>
      <c r="M1402" s="311"/>
      <c r="N1402" s="311">
        <f>+SUMIF('Input Sheet'!$AE:$AE,P1402,'Input Sheet'!$X:$X)</f>
        <v>0</v>
      </c>
      <c r="O1402" s="311"/>
      <c r="P1402" t="str">
        <f t="shared" si="123"/>
        <v>936-7211</v>
      </c>
      <c r="Q1402" s="315" t="str">
        <f t="shared" si="124"/>
        <v>Bridgestone</v>
      </c>
      <c r="R1402" s="315" t="str">
        <f t="shared" si="125"/>
        <v>BridgestoneSalaries, Commission &amp; Leave as % of Sales</v>
      </c>
      <c r="S1402" s="199"/>
      <c r="T1402" s="199"/>
      <c r="U1402" s="199"/>
    </row>
    <row r="1403" spans="1:21" x14ac:dyDescent="0.25">
      <c r="A1403" t="s">
        <v>996</v>
      </c>
      <c r="B1403" t="s">
        <v>997</v>
      </c>
      <c r="C1403" t="s">
        <v>997</v>
      </c>
      <c r="D1403">
        <v>7211</v>
      </c>
      <c r="E1403">
        <v>140</v>
      </c>
      <c r="F1403" t="s">
        <v>1348</v>
      </c>
      <c r="G1403" t="s">
        <v>1349</v>
      </c>
      <c r="H1403" s="315" t="s">
        <v>17</v>
      </c>
      <c r="I1403" s="315" t="s">
        <v>1252</v>
      </c>
      <c r="J1403" s="315" t="str">
        <f t="shared" si="121"/>
        <v>ServiceSalaries, Commission &amp; Leave as % of Sales</v>
      </c>
      <c r="K1403" s="315" t="str">
        <f t="shared" si="122"/>
        <v>140Service Leave Expense - Toyota</v>
      </c>
      <c r="L1403" s="311">
        <f>+SUMIF('TUNZ Extracted TB'!M:M,$P1403,'TUNZ Extracted TB'!G:G)</f>
        <v>8568.73</v>
      </c>
      <c r="M1403" s="311"/>
      <c r="N1403" s="311">
        <f>+SUMIF('Input Sheet'!$AE:$AE,P1403,'Input Sheet'!$X:$X)</f>
        <v>0</v>
      </c>
      <c r="O1403" s="311"/>
      <c r="P1403" t="str">
        <f t="shared" si="123"/>
        <v>140-7211</v>
      </c>
      <c r="Q1403" s="315" t="str">
        <f t="shared" si="124"/>
        <v>Service</v>
      </c>
      <c r="R1403" s="315" t="str">
        <f t="shared" si="125"/>
        <v>ServiceSalaries, Commission &amp; Leave as % of Sales</v>
      </c>
      <c r="S1403" s="199" t="s">
        <v>1352</v>
      </c>
      <c r="T1403" s="199">
        <v>6</v>
      </c>
      <c r="U1403" s="199">
        <v>7</v>
      </c>
    </row>
    <row r="1404" spans="1:21" x14ac:dyDescent="0.25">
      <c r="A1404" t="s">
        <v>996</v>
      </c>
      <c r="B1404" t="s">
        <v>997</v>
      </c>
      <c r="C1404" t="s">
        <v>997</v>
      </c>
      <c r="D1404">
        <v>7211</v>
      </c>
      <c r="E1404">
        <v>142</v>
      </c>
      <c r="F1404" t="s">
        <v>1350</v>
      </c>
      <c r="G1404" t="s">
        <v>1351</v>
      </c>
      <c r="H1404" s="315" t="s">
        <v>1022</v>
      </c>
      <c r="I1404" s="315" t="s">
        <v>1252</v>
      </c>
      <c r="J1404" s="315" t="str">
        <f t="shared" si="121"/>
        <v>Lex ServiceSalaries, Commission &amp; Leave as % of Sales</v>
      </c>
      <c r="K1404" s="315" t="str">
        <f t="shared" si="122"/>
        <v>142Service Leave Expense - Lexus</v>
      </c>
      <c r="L1404" s="311">
        <f>+SUMIF('TUNZ Extracted TB'!M:M,$P1404,'TUNZ Extracted TB'!G:G)</f>
        <v>470.94</v>
      </c>
      <c r="M1404" s="311"/>
      <c r="N1404" s="311">
        <f>+SUMIF('Input Sheet'!$AE:$AE,P1404,'Input Sheet'!$X:$X)</f>
        <v>0</v>
      </c>
      <c r="O1404" s="311"/>
      <c r="P1404" t="str">
        <f t="shared" si="123"/>
        <v>142-7211</v>
      </c>
      <c r="Q1404" s="315" t="str">
        <f t="shared" si="124"/>
        <v>Lex Service</v>
      </c>
      <c r="R1404" s="315" t="str">
        <f t="shared" si="125"/>
        <v>Lex ServiceSalaries, Commission &amp; Leave as % of Sales</v>
      </c>
      <c r="S1404" s="199"/>
      <c r="T1404" s="199"/>
      <c r="U1404" s="199"/>
    </row>
    <row r="1405" spans="1:21" x14ac:dyDescent="0.25">
      <c r="A1405" t="s">
        <v>996</v>
      </c>
      <c r="B1405" t="s">
        <v>997</v>
      </c>
      <c r="C1405" t="s">
        <v>997</v>
      </c>
      <c r="D1405">
        <v>7211</v>
      </c>
      <c r="E1405">
        <v>130</v>
      </c>
      <c r="F1405" t="s">
        <v>1256</v>
      </c>
      <c r="G1405" t="s">
        <v>1257</v>
      </c>
      <c r="H1405" s="315" t="s">
        <v>5</v>
      </c>
      <c r="I1405" s="315" t="s">
        <v>1255</v>
      </c>
      <c r="J1405" s="315" t="str">
        <f t="shared" si="121"/>
        <v>PartsSalaries &amp; Commission as % of Sales</v>
      </c>
      <c r="K1405" s="315" t="str">
        <f t="shared" si="122"/>
        <v>130Parts Salaries &amp; Commission - Toyota</v>
      </c>
      <c r="L1405" s="311">
        <f>+SUMIF('TUNZ Extracted TB'!M:M,$P1405,'TUNZ Extracted TB'!G:G)</f>
        <v>247.13</v>
      </c>
      <c r="M1405" s="311"/>
      <c r="N1405" s="311">
        <f>+SUMIF('Input Sheet'!$AE:$AE,P1405,'Input Sheet'!$X:$X)</f>
        <v>0</v>
      </c>
      <c r="O1405" s="311"/>
      <c r="P1405" t="str">
        <f t="shared" si="123"/>
        <v>130-7211</v>
      </c>
      <c r="Q1405" s="315" t="str">
        <f t="shared" si="124"/>
        <v>Parts</v>
      </c>
      <c r="R1405" s="315" t="str">
        <f t="shared" si="125"/>
        <v>PartsSalaries &amp; Commission as % of Sales</v>
      </c>
      <c r="S1405" s="199"/>
      <c r="T1405" s="199"/>
      <c r="U1405" s="199"/>
    </row>
    <row r="1406" spans="1:21" x14ac:dyDescent="0.25">
      <c r="A1406" t="s">
        <v>996</v>
      </c>
      <c r="B1406" t="s">
        <v>997</v>
      </c>
      <c r="C1406" t="s">
        <v>997</v>
      </c>
      <c r="D1406">
        <v>7211</v>
      </c>
      <c r="E1406">
        <v>132</v>
      </c>
      <c r="F1406" t="s">
        <v>1253</v>
      </c>
      <c r="G1406" t="s">
        <v>1254</v>
      </c>
      <c r="H1406" s="315" t="s">
        <v>143</v>
      </c>
      <c r="I1406" s="315" t="s">
        <v>1255</v>
      </c>
      <c r="J1406" s="315" t="str">
        <f t="shared" si="121"/>
        <v>LEX PartsSalaries &amp; Commission as % of Sales</v>
      </c>
      <c r="K1406" s="315" t="str">
        <f t="shared" si="122"/>
        <v>132Parts Salaries &amp; Commission - Lexus</v>
      </c>
      <c r="L1406" s="311">
        <f>+SUMIF('TUNZ Extracted TB'!M:M,$P1406,'TUNZ Extracted TB'!G:G)</f>
        <v>0</v>
      </c>
      <c r="M1406" s="311"/>
      <c r="N1406" s="311">
        <f>+SUMIF('Input Sheet'!$AE:$AE,P1406,'Input Sheet'!$X:$X)</f>
        <v>0</v>
      </c>
      <c r="O1406" s="311"/>
      <c r="P1406" t="str">
        <f t="shared" si="123"/>
        <v>132-7211</v>
      </c>
      <c r="Q1406" s="315" t="str">
        <f t="shared" si="124"/>
        <v>LEX Parts</v>
      </c>
      <c r="R1406" s="315" t="str">
        <f t="shared" si="125"/>
        <v>LEX PartsSalaries &amp; Commission as % of Sales</v>
      </c>
      <c r="S1406" s="199"/>
      <c r="T1406" s="199"/>
      <c r="U1406" s="199"/>
    </row>
    <row r="1407" spans="1:21" x14ac:dyDescent="0.25">
      <c r="A1407" t="s">
        <v>996</v>
      </c>
      <c r="B1407" t="s">
        <v>997</v>
      </c>
      <c r="C1407" t="s">
        <v>1012</v>
      </c>
      <c r="D1407">
        <v>7211</v>
      </c>
      <c r="E1407">
        <v>400</v>
      </c>
      <c r="F1407" t="s">
        <v>1242</v>
      </c>
      <c r="G1407" t="s">
        <v>1243</v>
      </c>
      <c r="H1407" s="315" t="s">
        <v>29</v>
      </c>
      <c r="I1407" s="315" t="s">
        <v>1244</v>
      </c>
      <c r="J1407" s="315" t="str">
        <f t="shared" si="121"/>
        <v>New VehicleSalaries &amp; Wages p.u.</v>
      </c>
      <c r="K1407" s="315" t="str">
        <f t="shared" si="122"/>
        <v>400NV Salaries &amp; Wages - Toyota</v>
      </c>
      <c r="L1407" s="311">
        <f>+SUMIF('TUNZ Extracted TB'!M:M,$P1407,'TUNZ Extracted TB'!G:G)</f>
        <v>0</v>
      </c>
      <c r="M1407" s="311"/>
      <c r="N1407" s="311">
        <f>+SUMIF('Input Sheet'!$AE:$AE,P1407,'Input Sheet'!$X:$X)</f>
        <v>0</v>
      </c>
      <c r="O1407" s="311"/>
      <c r="P1407" t="str">
        <f t="shared" si="123"/>
        <v>400-7211</v>
      </c>
      <c r="Q1407" s="315" t="str">
        <f t="shared" si="124"/>
        <v>New Vehicle</v>
      </c>
      <c r="R1407" s="315" t="str">
        <f t="shared" si="125"/>
        <v>New VehicleSalaries &amp; Wages p.u.</v>
      </c>
      <c r="S1407" s="199"/>
      <c r="T1407" s="199"/>
      <c r="U1407" s="199"/>
    </row>
    <row r="1408" spans="1:21" x14ac:dyDescent="0.25">
      <c r="A1408" t="s">
        <v>996</v>
      </c>
      <c r="B1408" t="s">
        <v>997</v>
      </c>
      <c r="C1408" t="s">
        <v>1013</v>
      </c>
      <c r="D1408">
        <v>7211</v>
      </c>
      <c r="E1408">
        <v>300</v>
      </c>
      <c r="F1408" t="s">
        <v>1242</v>
      </c>
      <c r="G1408" t="s">
        <v>1243</v>
      </c>
      <c r="H1408" s="315" t="s">
        <v>29</v>
      </c>
      <c r="I1408" s="315" t="s">
        <v>1244</v>
      </c>
      <c r="J1408" s="315" t="str">
        <f t="shared" si="121"/>
        <v>New VehicleSalaries &amp; Wages p.u.</v>
      </c>
      <c r="K1408" s="315" t="str">
        <f t="shared" si="122"/>
        <v>300NV Salaries &amp; Wages - Toyota</v>
      </c>
      <c r="L1408" s="311">
        <f>+SUMIF('TUNZ Extracted TB'!M:M,$P1408,'TUNZ Extracted TB'!G:G)</f>
        <v>0</v>
      </c>
      <c r="M1408" s="311"/>
      <c r="N1408" s="311">
        <f>+SUMIF('Input Sheet'!$AE:$AE,P1408,'Input Sheet'!$X:$X)</f>
        <v>0</v>
      </c>
      <c r="O1408" s="311"/>
      <c r="P1408" t="str">
        <f t="shared" si="123"/>
        <v>300-7211</v>
      </c>
      <c r="Q1408" s="315" t="str">
        <f t="shared" si="124"/>
        <v>New Vehicle</v>
      </c>
      <c r="R1408" s="315" t="str">
        <f t="shared" si="125"/>
        <v>New VehicleSalaries &amp; Wages p.u.</v>
      </c>
      <c r="S1408" s="199"/>
      <c r="T1408" s="199"/>
      <c r="U1408" s="199"/>
    </row>
    <row r="1409" spans="1:21" x14ac:dyDescent="0.25">
      <c r="A1409" t="s">
        <v>996</v>
      </c>
      <c r="B1409" t="s">
        <v>997</v>
      </c>
      <c r="C1409" t="s">
        <v>997</v>
      </c>
      <c r="D1409">
        <v>7220</v>
      </c>
      <c r="E1409">
        <v>112</v>
      </c>
      <c r="F1409" t="s">
        <v>1258</v>
      </c>
      <c r="G1409" t="s">
        <v>1259</v>
      </c>
      <c r="H1409" s="315" t="s">
        <v>1011</v>
      </c>
      <c r="I1409" s="315" t="s">
        <v>1244</v>
      </c>
      <c r="J1409" s="315" t="str">
        <f t="shared" si="121"/>
        <v>LEX New VehicleSalaries &amp; Wages p.u.</v>
      </c>
      <c r="K1409" s="315" t="str">
        <f t="shared" si="122"/>
        <v>112NV Salaries &amp; Wages - Lexus</v>
      </c>
      <c r="L1409" s="311">
        <f>+SUMIF('TUNZ Extracted TB'!M:M,$P1409,'TUNZ Extracted TB'!G:G)</f>
        <v>0</v>
      </c>
      <c r="M1409" s="311"/>
      <c r="N1409" s="311">
        <f>+SUMIF('Input Sheet'!$AE:$AE,P1409,'Input Sheet'!$X:$X)</f>
        <v>0</v>
      </c>
      <c r="O1409" s="311"/>
      <c r="P1409" t="str">
        <f t="shared" si="123"/>
        <v>112-7220</v>
      </c>
      <c r="Q1409" s="315" t="str">
        <f t="shared" si="124"/>
        <v>LEX New Vehicle</v>
      </c>
      <c r="R1409" s="315" t="str">
        <f t="shared" si="125"/>
        <v>LEX New VehicleSalaries &amp; Wages p.u.</v>
      </c>
      <c r="S1409" s="199"/>
      <c r="T1409" s="199"/>
      <c r="U1409" s="199"/>
    </row>
    <row r="1410" spans="1:21" x14ac:dyDescent="0.25">
      <c r="A1410" t="s">
        <v>996</v>
      </c>
      <c r="B1410" t="s">
        <v>997</v>
      </c>
      <c r="C1410" t="s">
        <v>997</v>
      </c>
      <c r="D1410">
        <v>7211</v>
      </c>
      <c r="E1410">
        <v>162</v>
      </c>
      <c r="F1410" t="s">
        <v>1260</v>
      </c>
      <c r="G1410" t="s">
        <v>1261</v>
      </c>
      <c r="H1410" s="315" t="s">
        <v>142</v>
      </c>
      <c r="I1410" s="315" t="s">
        <v>1249</v>
      </c>
      <c r="J1410" s="315" t="str">
        <f t="shared" si="121"/>
        <v>LEX F&amp;ISalaries &amp; Commission per vehicle retailed</v>
      </c>
      <c r="K1410" s="315" t="str">
        <f t="shared" si="122"/>
        <v>162F&amp;I Salaries &amp; Commission - Lexus</v>
      </c>
      <c r="L1410" s="311">
        <f>+SUMIF('TUNZ Extracted TB'!M:M,$P1410,'TUNZ Extracted TB'!G:G)</f>
        <v>0</v>
      </c>
      <c r="M1410" s="311"/>
      <c r="N1410" s="311">
        <f>+SUMIF('Input Sheet'!$AE:$AE,P1410,'Input Sheet'!$X:$X)</f>
        <v>0</v>
      </c>
      <c r="O1410" s="311"/>
      <c r="P1410" t="str">
        <f t="shared" si="123"/>
        <v>162-7211</v>
      </c>
      <c r="Q1410" s="315" t="str">
        <f t="shared" si="124"/>
        <v>LEX F&amp;I</v>
      </c>
      <c r="R1410" s="315" t="str">
        <f t="shared" si="125"/>
        <v>LEX F&amp;ISalaries &amp; Commission per vehicle retailed</v>
      </c>
      <c r="S1410" s="199"/>
      <c r="T1410" s="199"/>
      <c r="U1410" s="199"/>
    </row>
    <row r="1411" spans="1:21" x14ac:dyDescent="0.25">
      <c r="A1411" t="s">
        <v>996</v>
      </c>
      <c r="B1411" t="s">
        <v>997</v>
      </c>
      <c r="C1411" t="s">
        <v>997</v>
      </c>
      <c r="D1411">
        <v>7211</v>
      </c>
      <c r="E1411">
        <v>160</v>
      </c>
      <c r="F1411" t="s">
        <v>1247</v>
      </c>
      <c r="G1411" t="s">
        <v>1248</v>
      </c>
      <c r="H1411" s="315" t="s">
        <v>16</v>
      </c>
      <c r="I1411" s="315" t="s">
        <v>1249</v>
      </c>
      <c r="J1411" s="315" t="str">
        <f t="shared" ref="J1411:J1474" si="126">+H1411&amp;I1411</f>
        <v>F&amp;ISalaries &amp; Commission per vehicle retailed</v>
      </c>
      <c r="K1411" s="315" t="str">
        <f t="shared" ref="K1411:K1474" si="127">+E1411&amp;G1411</f>
        <v>160F&amp;I Salaries &amp; Commission - Toyota</v>
      </c>
      <c r="L1411" s="311">
        <f>+SUMIF('TUNZ Extracted TB'!M:M,$P1411,'TUNZ Extracted TB'!G:G)</f>
        <v>1701.91</v>
      </c>
      <c r="M1411" s="311"/>
      <c r="N1411" s="311">
        <f>+SUMIF('Input Sheet'!$AE:$AE,P1411,'Input Sheet'!$X:$X)</f>
        <v>0</v>
      </c>
      <c r="O1411" s="311"/>
      <c r="P1411" t="str">
        <f t="shared" ref="P1411:P1474" si="128">+E1411&amp;"-"&amp;D1411</f>
        <v>160-7211</v>
      </c>
      <c r="Q1411" s="315" t="str">
        <f t="shared" ref="Q1411:Q1474" si="129">H1411</f>
        <v>F&amp;I</v>
      </c>
      <c r="R1411" s="315" t="str">
        <f t="shared" ref="R1411:R1474" si="130">J1411</f>
        <v>F&amp;ISalaries &amp; Commission per vehicle retailed</v>
      </c>
      <c r="S1411" s="199"/>
      <c r="T1411" s="199"/>
      <c r="U1411" s="199"/>
    </row>
    <row r="1412" spans="1:21" x14ac:dyDescent="0.25">
      <c r="A1412" t="s">
        <v>996</v>
      </c>
      <c r="B1412" t="s">
        <v>997</v>
      </c>
      <c r="C1412" t="s">
        <v>1012</v>
      </c>
      <c r="D1412">
        <v>7211</v>
      </c>
      <c r="E1412">
        <v>460</v>
      </c>
      <c r="F1412" t="s">
        <v>1247</v>
      </c>
      <c r="G1412" t="s">
        <v>1248</v>
      </c>
      <c r="H1412" s="315" t="s">
        <v>16</v>
      </c>
      <c r="I1412" s="315" t="s">
        <v>1249</v>
      </c>
      <c r="J1412" s="315" t="str">
        <f t="shared" si="126"/>
        <v>F&amp;ISalaries &amp; Commission per vehicle retailed</v>
      </c>
      <c r="K1412" s="315" t="str">
        <f t="shared" si="127"/>
        <v>460F&amp;I Salaries &amp; Commission - Toyota</v>
      </c>
      <c r="L1412" s="311">
        <f>+SUMIF('TUNZ Extracted TB'!M:M,$P1412,'TUNZ Extracted TB'!G:G)</f>
        <v>0</v>
      </c>
      <c r="M1412" s="311"/>
      <c r="N1412" s="311">
        <f>+SUMIF('Input Sheet'!$AE:$AE,P1412,'Input Sheet'!$X:$X)</f>
        <v>0</v>
      </c>
      <c r="O1412" s="311"/>
      <c r="P1412" t="str">
        <f t="shared" si="128"/>
        <v>460-7211</v>
      </c>
      <c r="Q1412" s="315" t="str">
        <f t="shared" si="129"/>
        <v>F&amp;I</v>
      </c>
      <c r="R1412" s="315" t="str">
        <f t="shared" si="130"/>
        <v>F&amp;ISalaries &amp; Commission per vehicle retailed</v>
      </c>
      <c r="S1412" s="199"/>
      <c r="T1412" s="199"/>
      <c r="U1412" s="199"/>
    </row>
    <row r="1413" spans="1:21" x14ac:dyDescent="0.25">
      <c r="A1413" t="s">
        <v>996</v>
      </c>
      <c r="B1413" t="s">
        <v>997</v>
      </c>
      <c r="C1413" t="s">
        <v>1013</v>
      </c>
      <c r="D1413">
        <v>7211</v>
      </c>
      <c r="E1413">
        <v>360</v>
      </c>
      <c r="F1413" t="s">
        <v>1247</v>
      </c>
      <c r="G1413" t="s">
        <v>1248</v>
      </c>
      <c r="H1413" s="315" t="s">
        <v>16</v>
      </c>
      <c r="I1413" s="315" t="s">
        <v>1249</v>
      </c>
      <c r="J1413" s="315" t="str">
        <f t="shared" si="126"/>
        <v>F&amp;ISalaries &amp; Commission per vehicle retailed</v>
      </c>
      <c r="K1413" s="315" t="str">
        <f t="shared" si="127"/>
        <v>360F&amp;I Salaries &amp; Commission - Toyota</v>
      </c>
      <c r="L1413" s="311">
        <f>+SUMIF('TUNZ Extracted TB'!M:M,$P1413,'TUNZ Extracted TB'!G:G)</f>
        <v>0</v>
      </c>
      <c r="M1413" s="311"/>
      <c r="N1413" s="311">
        <f>+SUMIF('Input Sheet'!$AE:$AE,P1413,'Input Sheet'!$X:$X)</f>
        <v>0</v>
      </c>
      <c r="O1413" s="311"/>
      <c r="P1413" t="str">
        <f t="shared" si="128"/>
        <v>360-7211</v>
      </c>
      <c r="Q1413" s="315" t="str">
        <f t="shared" si="129"/>
        <v>F&amp;I</v>
      </c>
      <c r="R1413" s="315" t="str">
        <f t="shared" si="130"/>
        <v>F&amp;ISalaries &amp; Commission per vehicle retailed</v>
      </c>
      <c r="S1413" s="199"/>
      <c r="T1413" s="199"/>
      <c r="U1413" s="199"/>
    </row>
    <row r="1414" spans="1:21" x14ac:dyDescent="0.25">
      <c r="A1414" t="s">
        <v>996</v>
      </c>
      <c r="B1414" t="s">
        <v>997</v>
      </c>
      <c r="C1414" t="s">
        <v>997</v>
      </c>
      <c r="D1414">
        <v>7211</v>
      </c>
      <c r="E1414">
        <v>122</v>
      </c>
      <c r="F1414" t="s">
        <v>1245</v>
      </c>
      <c r="G1414" t="s">
        <v>1246</v>
      </c>
      <c r="H1414" s="315" t="s">
        <v>1041</v>
      </c>
      <c r="I1414" s="315" t="s">
        <v>1241</v>
      </c>
      <c r="J1414" s="315" t="str">
        <f t="shared" si="126"/>
        <v>LEX Used VehicleSalaries &amp; Wages per retail</v>
      </c>
      <c r="K1414" s="315" t="str">
        <f t="shared" si="127"/>
        <v>122Lexus UV Salaries &amp; Wages</v>
      </c>
      <c r="L1414" s="311">
        <f>+SUMIF('TUNZ Extracted TB'!M:M,$P1414,'TUNZ Extracted TB'!G:G)</f>
        <v>101.54</v>
      </c>
      <c r="M1414" s="311"/>
      <c r="N1414" s="311">
        <f>+SUMIF('Input Sheet'!$AE:$AE,P1414,'Input Sheet'!$X:$X)</f>
        <v>0</v>
      </c>
      <c r="O1414" s="311"/>
      <c r="P1414" t="str">
        <f t="shared" si="128"/>
        <v>122-7211</v>
      </c>
      <c r="Q1414" s="315" t="str">
        <f t="shared" si="129"/>
        <v>LEX Used Vehicle</v>
      </c>
      <c r="R1414" s="315" t="str">
        <f t="shared" si="130"/>
        <v>LEX Used VehicleSalaries &amp; Wages per retail</v>
      </c>
      <c r="S1414" s="199"/>
      <c r="T1414" s="199"/>
      <c r="U1414" s="199"/>
    </row>
    <row r="1415" spans="1:21" x14ac:dyDescent="0.25">
      <c r="A1415" t="s">
        <v>996</v>
      </c>
      <c r="B1415" t="s">
        <v>997</v>
      </c>
      <c r="C1415" t="s">
        <v>997</v>
      </c>
      <c r="D1415">
        <v>7220</v>
      </c>
      <c r="E1415">
        <v>100</v>
      </c>
      <c r="F1415" t="s">
        <v>1242</v>
      </c>
      <c r="G1415" t="s">
        <v>1243</v>
      </c>
      <c r="H1415" s="315" t="s">
        <v>29</v>
      </c>
      <c r="I1415" s="315" t="s">
        <v>1244</v>
      </c>
      <c r="J1415" s="315" t="str">
        <f t="shared" si="126"/>
        <v>New VehicleSalaries &amp; Wages p.u.</v>
      </c>
      <c r="K1415" s="315" t="str">
        <f t="shared" si="127"/>
        <v>100NV Salaries &amp; Wages - Toyota</v>
      </c>
      <c r="L1415" s="311">
        <f>+SUMIF('TUNZ Extracted TB'!M:M,$P1415,'TUNZ Extracted TB'!G:G)</f>
        <v>0</v>
      </c>
      <c r="M1415" s="311"/>
      <c r="N1415" s="311">
        <f>+SUMIF('Input Sheet'!$AE:$AE,P1415,'Input Sheet'!$X:$X)</f>
        <v>0</v>
      </c>
      <c r="O1415" s="311"/>
      <c r="P1415" t="str">
        <f t="shared" si="128"/>
        <v>100-7220</v>
      </c>
      <c r="Q1415" s="315" t="str">
        <f t="shared" si="129"/>
        <v>New Vehicle</v>
      </c>
      <c r="R1415" s="315" t="str">
        <f t="shared" si="130"/>
        <v>New VehicleSalaries &amp; Wages p.u.</v>
      </c>
      <c r="S1415" s="199"/>
      <c r="T1415" s="199"/>
      <c r="U1415" s="199"/>
    </row>
    <row r="1416" spans="1:21" x14ac:dyDescent="0.25">
      <c r="A1416" t="s">
        <v>996</v>
      </c>
      <c r="B1416" t="s">
        <v>997</v>
      </c>
      <c r="C1416" t="s">
        <v>1005</v>
      </c>
      <c r="D1416">
        <v>7220</v>
      </c>
      <c r="E1416">
        <v>200</v>
      </c>
      <c r="F1416" t="s">
        <v>1242</v>
      </c>
      <c r="G1416" t="s">
        <v>1243</v>
      </c>
      <c r="H1416" s="315" t="s">
        <v>29</v>
      </c>
      <c r="I1416" s="315" t="s">
        <v>1244</v>
      </c>
      <c r="J1416" s="315" t="str">
        <f t="shared" si="126"/>
        <v>New VehicleSalaries &amp; Wages p.u.</v>
      </c>
      <c r="K1416" s="315" t="str">
        <f t="shared" si="127"/>
        <v>200NV Salaries &amp; Wages - Toyota</v>
      </c>
      <c r="L1416" s="311">
        <f>+SUMIF('TUNZ Extracted TB'!M:M,$P1416,'TUNZ Extracted TB'!G:G)</f>
        <v>0</v>
      </c>
      <c r="M1416" s="311"/>
      <c r="N1416" s="311">
        <f>+SUMIF('Input Sheet'!$AE:$AE,P1416,'Input Sheet'!$X:$X)</f>
        <v>0</v>
      </c>
      <c r="O1416" s="311"/>
      <c r="P1416" t="str">
        <f t="shared" si="128"/>
        <v>200-7220</v>
      </c>
      <c r="Q1416" s="315" t="str">
        <f t="shared" si="129"/>
        <v>New Vehicle</v>
      </c>
      <c r="R1416" s="315" t="str">
        <f t="shared" si="130"/>
        <v>New VehicleSalaries &amp; Wages p.u.</v>
      </c>
      <c r="S1416" s="199"/>
      <c r="T1416" s="199"/>
      <c r="U1416" s="199"/>
    </row>
    <row r="1417" spans="1:21" x14ac:dyDescent="0.25">
      <c r="A1417" t="s">
        <v>996</v>
      </c>
      <c r="B1417" t="s">
        <v>997</v>
      </c>
      <c r="C1417" t="s">
        <v>1012</v>
      </c>
      <c r="D1417">
        <v>7220</v>
      </c>
      <c r="E1417">
        <v>400</v>
      </c>
      <c r="F1417" t="s">
        <v>1242</v>
      </c>
      <c r="G1417" t="s">
        <v>1243</v>
      </c>
      <c r="H1417" s="315" t="s">
        <v>29</v>
      </c>
      <c r="I1417" s="315" t="s">
        <v>1244</v>
      </c>
      <c r="J1417" s="315" t="str">
        <f t="shared" si="126"/>
        <v>New VehicleSalaries &amp; Wages p.u.</v>
      </c>
      <c r="K1417" s="315" t="str">
        <f t="shared" si="127"/>
        <v>400NV Salaries &amp; Wages - Toyota</v>
      </c>
      <c r="L1417" s="311">
        <f>+SUMIF('TUNZ Extracted TB'!M:M,$P1417,'TUNZ Extracted TB'!G:G)</f>
        <v>0</v>
      </c>
      <c r="M1417" s="311"/>
      <c r="N1417" s="311">
        <f>+SUMIF('Input Sheet'!$AE:$AE,P1417,'Input Sheet'!$X:$X)</f>
        <v>0</v>
      </c>
      <c r="O1417" s="311"/>
      <c r="P1417" t="str">
        <f t="shared" si="128"/>
        <v>400-7220</v>
      </c>
      <c r="Q1417" s="315" t="str">
        <f t="shared" si="129"/>
        <v>New Vehicle</v>
      </c>
      <c r="R1417" s="315" t="str">
        <f t="shared" si="130"/>
        <v>New VehicleSalaries &amp; Wages p.u.</v>
      </c>
      <c r="S1417" s="199"/>
      <c r="T1417" s="199"/>
      <c r="U1417" s="199"/>
    </row>
    <row r="1418" spans="1:21" x14ac:dyDescent="0.25">
      <c r="A1418" t="s">
        <v>996</v>
      </c>
      <c r="B1418" t="s">
        <v>997</v>
      </c>
      <c r="C1418" t="s">
        <v>997</v>
      </c>
      <c r="D1418">
        <v>7211</v>
      </c>
      <c r="E1418">
        <v>935</v>
      </c>
      <c r="F1418" t="s">
        <v>1175</v>
      </c>
      <c r="G1418" t="s">
        <v>1176</v>
      </c>
      <c r="H1418" s="315" t="s">
        <v>58</v>
      </c>
      <c r="I1418" s="315" t="s">
        <v>1252</v>
      </c>
      <c r="J1418" s="315" t="str">
        <f t="shared" si="126"/>
        <v>BridgestoneSalaries, Commission &amp; Leave as % of Sales</v>
      </c>
      <c r="K1418" s="315" t="str">
        <f t="shared" si="127"/>
        <v>935Other franchise/business expense</v>
      </c>
      <c r="L1418" s="311">
        <f>+SUMIF('TUNZ Extracted TB'!M:M,$P1418,'TUNZ Extracted TB'!G:G)</f>
        <v>0</v>
      </c>
      <c r="M1418" s="311"/>
      <c r="N1418" s="311">
        <f>+SUMIF('Input Sheet'!$AE:$AE,P1418,'Input Sheet'!$X:$X)</f>
        <v>0</v>
      </c>
      <c r="O1418" s="311"/>
      <c r="P1418" t="str">
        <f t="shared" si="128"/>
        <v>935-7211</v>
      </c>
      <c r="Q1418" s="315" t="str">
        <f t="shared" si="129"/>
        <v>Bridgestone</v>
      </c>
      <c r="R1418" s="315" t="str">
        <f t="shared" si="130"/>
        <v>BridgestoneSalaries, Commission &amp; Leave as % of Sales</v>
      </c>
      <c r="S1418" s="199"/>
      <c r="T1418" s="199"/>
      <c r="U1418" s="199"/>
    </row>
    <row r="1419" spans="1:21" x14ac:dyDescent="0.25">
      <c r="A1419" t="s">
        <v>996</v>
      </c>
      <c r="B1419" t="s">
        <v>997</v>
      </c>
      <c r="C1419" t="s">
        <v>1012</v>
      </c>
      <c r="D1419">
        <v>7211</v>
      </c>
      <c r="E1419">
        <v>430</v>
      </c>
      <c r="F1419" t="s">
        <v>1256</v>
      </c>
      <c r="G1419" t="s">
        <v>1257</v>
      </c>
      <c r="H1419" s="315" t="s">
        <v>5</v>
      </c>
      <c r="I1419" s="315" t="s">
        <v>1255</v>
      </c>
      <c r="J1419" s="315" t="str">
        <f t="shared" si="126"/>
        <v>PartsSalaries &amp; Commission as % of Sales</v>
      </c>
      <c r="K1419" s="315" t="str">
        <f t="shared" si="127"/>
        <v>430Parts Salaries &amp; Commission - Toyota</v>
      </c>
      <c r="L1419" s="311">
        <f>+SUMIF('TUNZ Extracted TB'!M:M,$P1419,'TUNZ Extracted TB'!G:G)</f>
        <v>2160.0500000000002</v>
      </c>
      <c r="M1419" s="311"/>
      <c r="N1419" s="311">
        <f>+SUMIF('Input Sheet'!$AE:$AE,P1419,'Input Sheet'!$X:$X)</f>
        <v>0</v>
      </c>
      <c r="O1419" s="311"/>
      <c r="P1419" t="str">
        <f t="shared" si="128"/>
        <v>430-7211</v>
      </c>
      <c r="Q1419" s="315" t="str">
        <f t="shared" si="129"/>
        <v>Parts</v>
      </c>
      <c r="R1419" s="315" t="str">
        <f t="shared" si="130"/>
        <v>PartsSalaries &amp; Commission as % of Sales</v>
      </c>
      <c r="S1419" s="199"/>
      <c r="T1419" s="199"/>
      <c r="U1419" s="199"/>
    </row>
    <row r="1420" spans="1:21" x14ac:dyDescent="0.25">
      <c r="A1420" t="s">
        <v>996</v>
      </c>
      <c r="B1420" t="s">
        <v>997</v>
      </c>
      <c r="C1420" t="s">
        <v>1013</v>
      </c>
      <c r="D1420">
        <v>7211</v>
      </c>
      <c r="E1420">
        <v>330</v>
      </c>
      <c r="F1420" t="s">
        <v>1256</v>
      </c>
      <c r="G1420" t="s">
        <v>1257</v>
      </c>
      <c r="H1420" s="315" t="s">
        <v>5</v>
      </c>
      <c r="I1420" s="315" t="s">
        <v>1255</v>
      </c>
      <c r="J1420" s="315" t="str">
        <f t="shared" si="126"/>
        <v>PartsSalaries &amp; Commission as % of Sales</v>
      </c>
      <c r="K1420" s="315" t="str">
        <f t="shared" si="127"/>
        <v>330Parts Salaries &amp; Commission - Toyota</v>
      </c>
      <c r="L1420" s="311">
        <f>+SUMIF('TUNZ Extracted TB'!M:M,$P1420,'TUNZ Extracted TB'!G:G)</f>
        <v>58.32</v>
      </c>
      <c r="M1420" s="311"/>
      <c r="N1420" s="311">
        <f>+SUMIF('Input Sheet'!$AE:$AE,P1420,'Input Sheet'!$X:$X)</f>
        <v>0</v>
      </c>
      <c r="O1420" s="311"/>
      <c r="P1420" t="str">
        <f t="shared" si="128"/>
        <v>330-7211</v>
      </c>
      <c r="Q1420" s="315" t="str">
        <f t="shared" si="129"/>
        <v>Parts</v>
      </c>
      <c r="R1420" s="315" t="str">
        <f t="shared" si="130"/>
        <v>PartsSalaries &amp; Commission as % of Sales</v>
      </c>
      <c r="S1420" s="199"/>
      <c r="T1420" s="199"/>
      <c r="U1420" s="199"/>
    </row>
    <row r="1421" spans="1:21" x14ac:dyDescent="0.25">
      <c r="A1421" t="s">
        <v>996</v>
      </c>
      <c r="B1421" t="s">
        <v>997</v>
      </c>
      <c r="C1421" t="s">
        <v>997</v>
      </c>
      <c r="D1421">
        <v>7211</v>
      </c>
      <c r="E1421">
        <v>147</v>
      </c>
      <c r="F1421" t="s">
        <v>1348</v>
      </c>
      <c r="G1421" t="s">
        <v>1349</v>
      </c>
      <c r="H1421" s="315" t="s">
        <v>17</v>
      </c>
      <c r="I1421" s="315" t="s">
        <v>1252</v>
      </c>
      <c r="J1421" s="315" t="str">
        <f t="shared" si="126"/>
        <v>ServiceSalaries, Commission &amp; Leave as % of Sales</v>
      </c>
      <c r="K1421" s="315" t="str">
        <f t="shared" si="127"/>
        <v>147Service Leave Expense - Toyota</v>
      </c>
      <c r="L1421" s="311">
        <f>+SUMIF('TUNZ Extracted TB'!M:M,$P1421,'TUNZ Extracted TB'!G:G)</f>
        <v>0</v>
      </c>
      <c r="M1421" s="311"/>
      <c r="N1421" s="311">
        <f>+SUMIF('Input Sheet'!$AE:$AE,P1421,'Input Sheet'!$X:$X)</f>
        <v>0</v>
      </c>
      <c r="O1421" s="311"/>
      <c r="P1421" t="str">
        <f t="shared" si="128"/>
        <v>147-7211</v>
      </c>
      <c r="Q1421" s="315" t="str">
        <f t="shared" si="129"/>
        <v>Service</v>
      </c>
      <c r="R1421" s="315" t="str">
        <f t="shared" si="130"/>
        <v>ServiceSalaries, Commission &amp; Leave as % of Sales</v>
      </c>
      <c r="S1421" s="199"/>
      <c r="T1421" s="199"/>
      <c r="U1421" s="199"/>
    </row>
    <row r="1422" spans="1:21" x14ac:dyDescent="0.25">
      <c r="A1422" t="s">
        <v>996</v>
      </c>
      <c r="B1422" t="s">
        <v>997</v>
      </c>
      <c r="C1422" t="s">
        <v>1005</v>
      </c>
      <c r="D1422">
        <v>7211</v>
      </c>
      <c r="E1422">
        <v>221</v>
      </c>
      <c r="F1422" t="s">
        <v>1239</v>
      </c>
      <c r="G1422" t="s">
        <v>1240</v>
      </c>
      <c r="H1422" s="315" t="s">
        <v>30</v>
      </c>
      <c r="I1422" s="315" t="s">
        <v>1241</v>
      </c>
      <c r="J1422" s="315" t="str">
        <f t="shared" si="126"/>
        <v>Used VehicleSalaries &amp; Wages per retail</v>
      </c>
      <c r="K1422" s="315" t="str">
        <f t="shared" si="127"/>
        <v>221Toyota UV Salaries &amp; Wages</v>
      </c>
      <c r="L1422" s="311">
        <f>+SUMIF('TUNZ Extracted TB'!M:M,$P1422,'TUNZ Extracted TB'!G:G)</f>
        <v>0</v>
      </c>
      <c r="M1422" s="311"/>
      <c r="N1422" s="311">
        <f>+SUMIF('Input Sheet'!$AE:$AE,P1422,'Input Sheet'!$X:$X)</f>
        <v>0</v>
      </c>
      <c r="O1422" s="311"/>
      <c r="P1422" t="str">
        <f t="shared" si="128"/>
        <v>221-7211</v>
      </c>
      <c r="Q1422" s="315" t="str">
        <f t="shared" si="129"/>
        <v>Used Vehicle</v>
      </c>
      <c r="R1422" s="315" t="str">
        <f t="shared" si="130"/>
        <v>Used VehicleSalaries &amp; Wages per retail</v>
      </c>
      <c r="S1422" s="199"/>
      <c r="T1422" s="199"/>
      <c r="U1422" s="199"/>
    </row>
    <row r="1423" spans="1:21" x14ac:dyDescent="0.25">
      <c r="A1423" t="s">
        <v>996</v>
      </c>
      <c r="B1423" t="s">
        <v>997</v>
      </c>
      <c r="C1423" t="s">
        <v>1012</v>
      </c>
      <c r="D1423">
        <v>7211</v>
      </c>
      <c r="E1423">
        <v>410</v>
      </c>
      <c r="F1423" t="s">
        <v>1239</v>
      </c>
      <c r="G1423" t="s">
        <v>1240</v>
      </c>
      <c r="H1423" s="315" t="s">
        <v>30</v>
      </c>
      <c r="I1423" s="315" t="s">
        <v>1241</v>
      </c>
      <c r="J1423" s="315" t="str">
        <f t="shared" si="126"/>
        <v>Used VehicleSalaries &amp; Wages per retail</v>
      </c>
      <c r="K1423" s="315" t="str">
        <f t="shared" si="127"/>
        <v>410Toyota UV Salaries &amp; Wages</v>
      </c>
      <c r="L1423" s="311">
        <f>+SUMIF('TUNZ Extracted TB'!M:M,$P1423,'TUNZ Extracted TB'!G:G)</f>
        <v>0</v>
      </c>
      <c r="M1423" s="311"/>
      <c r="N1423" s="311">
        <f>+SUMIF('Input Sheet'!$AE:$AE,P1423,'Input Sheet'!$X:$X)</f>
        <v>0</v>
      </c>
      <c r="O1423" s="311"/>
      <c r="P1423" t="str">
        <f t="shared" si="128"/>
        <v>410-7211</v>
      </c>
      <c r="Q1423" s="315" t="str">
        <f t="shared" si="129"/>
        <v>Used Vehicle</v>
      </c>
      <c r="R1423" s="315" t="str">
        <f t="shared" si="130"/>
        <v>Used VehicleSalaries &amp; Wages per retail</v>
      </c>
      <c r="S1423" s="199"/>
      <c r="T1423" s="199"/>
      <c r="U1423" s="199"/>
    </row>
    <row r="1424" spans="1:21" x14ac:dyDescent="0.25">
      <c r="A1424" t="s">
        <v>996</v>
      </c>
      <c r="B1424" t="s">
        <v>997</v>
      </c>
      <c r="C1424" t="s">
        <v>1012</v>
      </c>
      <c r="D1424">
        <v>7211</v>
      </c>
      <c r="E1424">
        <v>420</v>
      </c>
      <c r="F1424" t="s">
        <v>1239</v>
      </c>
      <c r="G1424" t="s">
        <v>1240</v>
      </c>
      <c r="H1424" s="315" t="s">
        <v>30</v>
      </c>
      <c r="I1424" s="315" t="s">
        <v>1241</v>
      </c>
      <c r="J1424" s="315" t="str">
        <f t="shared" si="126"/>
        <v>Used VehicleSalaries &amp; Wages per retail</v>
      </c>
      <c r="K1424" s="315" t="str">
        <f t="shared" si="127"/>
        <v>420Toyota UV Salaries &amp; Wages</v>
      </c>
      <c r="L1424" s="311">
        <f>+SUMIF('TUNZ Extracted TB'!M:M,$P1424,'TUNZ Extracted TB'!G:G)</f>
        <v>0</v>
      </c>
      <c r="M1424" s="311"/>
      <c r="N1424" s="311">
        <f>+SUMIF('Input Sheet'!$AE:$AE,P1424,'Input Sheet'!$X:$X)</f>
        <v>0</v>
      </c>
      <c r="O1424" s="311"/>
      <c r="P1424" t="str">
        <f t="shared" si="128"/>
        <v>420-7211</v>
      </c>
      <c r="Q1424" s="315" t="str">
        <f t="shared" si="129"/>
        <v>Used Vehicle</v>
      </c>
      <c r="R1424" s="315" t="str">
        <f t="shared" si="130"/>
        <v>Used VehicleSalaries &amp; Wages per retail</v>
      </c>
      <c r="S1424" s="199"/>
      <c r="T1424" s="199"/>
      <c r="U1424" s="199"/>
    </row>
    <row r="1425" spans="1:21" x14ac:dyDescent="0.25">
      <c r="A1425" t="s">
        <v>996</v>
      </c>
      <c r="B1425" t="s">
        <v>997</v>
      </c>
      <c r="C1425" t="s">
        <v>1012</v>
      </c>
      <c r="D1425">
        <v>7211</v>
      </c>
      <c r="E1425">
        <v>421</v>
      </c>
      <c r="F1425" t="s">
        <v>1239</v>
      </c>
      <c r="G1425" t="s">
        <v>1240</v>
      </c>
      <c r="H1425" s="315" t="s">
        <v>30</v>
      </c>
      <c r="I1425" s="315" t="s">
        <v>1241</v>
      </c>
      <c r="J1425" s="315" t="str">
        <f t="shared" si="126"/>
        <v>Used VehicleSalaries &amp; Wages per retail</v>
      </c>
      <c r="K1425" s="315" t="str">
        <f t="shared" si="127"/>
        <v>421Toyota UV Salaries &amp; Wages</v>
      </c>
      <c r="L1425" s="311">
        <f>+SUMIF('TUNZ Extracted TB'!M:M,$P1425,'TUNZ Extracted TB'!G:G)</f>
        <v>0</v>
      </c>
      <c r="M1425" s="311"/>
      <c r="N1425" s="311">
        <f>+SUMIF('Input Sheet'!$AE:$AE,P1425,'Input Sheet'!$X:$X)</f>
        <v>0</v>
      </c>
      <c r="O1425" s="311"/>
      <c r="P1425" t="str">
        <f t="shared" si="128"/>
        <v>421-7211</v>
      </c>
      <c r="Q1425" s="315" t="str">
        <f t="shared" si="129"/>
        <v>Used Vehicle</v>
      </c>
      <c r="R1425" s="315" t="str">
        <f t="shared" si="130"/>
        <v>Used VehicleSalaries &amp; Wages per retail</v>
      </c>
      <c r="S1425" s="199"/>
      <c r="T1425" s="199"/>
      <c r="U1425" s="199"/>
    </row>
    <row r="1426" spans="1:21" x14ac:dyDescent="0.25">
      <c r="A1426" t="s">
        <v>996</v>
      </c>
      <c r="B1426" t="s">
        <v>997</v>
      </c>
      <c r="C1426" t="s">
        <v>1013</v>
      </c>
      <c r="D1426">
        <v>7211</v>
      </c>
      <c r="E1426">
        <v>310</v>
      </c>
      <c r="F1426" t="s">
        <v>1239</v>
      </c>
      <c r="G1426" t="s">
        <v>1240</v>
      </c>
      <c r="H1426" s="315" t="s">
        <v>30</v>
      </c>
      <c r="I1426" s="315" t="s">
        <v>1241</v>
      </c>
      <c r="J1426" s="315" t="str">
        <f t="shared" si="126"/>
        <v>Used VehicleSalaries &amp; Wages per retail</v>
      </c>
      <c r="K1426" s="315" t="str">
        <f t="shared" si="127"/>
        <v>310Toyota UV Salaries &amp; Wages</v>
      </c>
      <c r="L1426" s="311">
        <f>+SUMIF('TUNZ Extracted TB'!M:M,$P1426,'TUNZ Extracted TB'!G:G)</f>
        <v>0</v>
      </c>
      <c r="M1426" s="311"/>
      <c r="N1426" s="311">
        <f>+SUMIF('Input Sheet'!$AE:$AE,P1426,'Input Sheet'!$X:$X)</f>
        <v>0</v>
      </c>
      <c r="O1426" s="311"/>
      <c r="P1426" t="str">
        <f t="shared" si="128"/>
        <v>310-7211</v>
      </c>
      <c r="Q1426" s="315" t="str">
        <f t="shared" si="129"/>
        <v>Used Vehicle</v>
      </c>
      <c r="R1426" s="315" t="str">
        <f t="shared" si="130"/>
        <v>Used VehicleSalaries &amp; Wages per retail</v>
      </c>
      <c r="S1426" s="199"/>
      <c r="T1426" s="199"/>
      <c r="U1426" s="199"/>
    </row>
    <row r="1427" spans="1:21" x14ac:dyDescent="0.25">
      <c r="A1427" t="s">
        <v>996</v>
      </c>
      <c r="B1427" t="s">
        <v>997</v>
      </c>
      <c r="C1427" t="s">
        <v>1013</v>
      </c>
      <c r="D1427">
        <v>7211</v>
      </c>
      <c r="E1427">
        <v>321</v>
      </c>
      <c r="F1427" t="s">
        <v>1239</v>
      </c>
      <c r="G1427" t="s">
        <v>1240</v>
      </c>
      <c r="H1427" s="315" t="s">
        <v>30</v>
      </c>
      <c r="I1427" s="315" t="s">
        <v>1241</v>
      </c>
      <c r="J1427" s="315" t="str">
        <f t="shared" si="126"/>
        <v>Used VehicleSalaries &amp; Wages per retail</v>
      </c>
      <c r="K1427" s="315" t="str">
        <f t="shared" si="127"/>
        <v>321Toyota UV Salaries &amp; Wages</v>
      </c>
      <c r="L1427" s="311">
        <f>+SUMIF('TUNZ Extracted TB'!M:M,$P1427,'TUNZ Extracted TB'!G:G)</f>
        <v>0</v>
      </c>
      <c r="M1427" s="311"/>
      <c r="N1427" s="311">
        <f>+SUMIF('Input Sheet'!$AE:$AE,P1427,'Input Sheet'!$X:$X)</f>
        <v>0</v>
      </c>
      <c r="O1427" s="311"/>
      <c r="P1427" t="str">
        <f t="shared" si="128"/>
        <v>321-7211</v>
      </c>
      <c r="Q1427" s="315" t="str">
        <f t="shared" si="129"/>
        <v>Used Vehicle</v>
      </c>
      <c r="R1427" s="315" t="str">
        <f t="shared" si="130"/>
        <v>Used VehicleSalaries &amp; Wages per retail</v>
      </c>
      <c r="S1427" s="199"/>
      <c r="T1427" s="199"/>
      <c r="U1427" s="199"/>
    </row>
    <row r="1428" spans="1:21" x14ac:dyDescent="0.25">
      <c r="A1428" t="s">
        <v>996</v>
      </c>
      <c r="B1428" t="s">
        <v>997</v>
      </c>
      <c r="C1428" t="s">
        <v>997</v>
      </c>
      <c r="D1428">
        <v>7211</v>
      </c>
      <c r="E1428">
        <v>120</v>
      </c>
      <c r="F1428" t="s">
        <v>1239</v>
      </c>
      <c r="G1428" t="s">
        <v>1240</v>
      </c>
      <c r="H1428" s="315" t="s">
        <v>30</v>
      </c>
      <c r="I1428" s="315" t="s">
        <v>1241</v>
      </c>
      <c r="J1428" s="315" t="str">
        <f t="shared" si="126"/>
        <v>Used VehicleSalaries &amp; Wages per retail</v>
      </c>
      <c r="K1428" s="315" t="str">
        <f t="shared" si="127"/>
        <v>120Toyota UV Salaries &amp; Wages</v>
      </c>
      <c r="L1428" s="311">
        <f>+SUMIF('TUNZ Extracted TB'!M:M,$P1428,'TUNZ Extracted TB'!G:G)</f>
        <v>1961.53</v>
      </c>
      <c r="M1428" s="311"/>
      <c r="N1428" s="311">
        <f>+SUMIF('Input Sheet'!$AE:$AE,P1428,'Input Sheet'!$X:$X)</f>
        <v>0</v>
      </c>
      <c r="O1428" s="311"/>
      <c r="P1428" t="str">
        <f t="shared" si="128"/>
        <v>120-7211</v>
      </c>
      <c r="Q1428" s="315" t="str">
        <f t="shared" si="129"/>
        <v>Used Vehicle</v>
      </c>
      <c r="R1428" s="315" t="str">
        <f t="shared" si="130"/>
        <v>Used VehicleSalaries &amp; Wages per retail</v>
      </c>
      <c r="S1428" s="199"/>
      <c r="T1428" s="199"/>
      <c r="U1428" s="199"/>
    </row>
    <row r="1429" spans="1:21" x14ac:dyDescent="0.25">
      <c r="A1429" t="s">
        <v>996</v>
      </c>
      <c r="B1429" t="s">
        <v>997</v>
      </c>
      <c r="C1429" t="s">
        <v>997</v>
      </c>
      <c r="D1429">
        <v>7220</v>
      </c>
      <c r="E1429">
        <v>140</v>
      </c>
      <c r="F1429" t="s">
        <v>1348</v>
      </c>
      <c r="G1429" t="s">
        <v>1349</v>
      </c>
      <c r="H1429" s="315" t="s">
        <v>17</v>
      </c>
      <c r="I1429" s="315" t="s">
        <v>1252</v>
      </c>
      <c r="J1429" s="315" t="str">
        <f t="shared" si="126"/>
        <v>ServiceSalaries, Commission &amp; Leave as % of Sales</v>
      </c>
      <c r="K1429" s="315" t="str">
        <f t="shared" si="127"/>
        <v>140Service Leave Expense - Toyota</v>
      </c>
      <c r="L1429" s="311">
        <f>+SUMIF('TUNZ Extracted TB'!M:M,$P1429,'TUNZ Extracted TB'!G:G)</f>
        <v>0</v>
      </c>
      <c r="M1429" s="311"/>
      <c r="N1429" s="311">
        <f>+SUMIF('Input Sheet'!$AE:$AE,P1429,'Input Sheet'!$X:$X)</f>
        <v>0</v>
      </c>
      <c r="O1429" s="311"/>
      <c r="P1429" t="str">
        <f t="shared" si="128"/>
        <v>140-7220</v>
      </c>
      <c r="Q1429" s="315" t="str">
        <f t="shared" si="129"/>
        <v>Service</v>
      </c>
      <c r="R1429" s="315" t="str">
        <f t="shared" si="130"/>
        <v>ServiceSalaries, Commission &amp; Leave as % of Sales</v>
      </c>
      <c r="S1429" s="199"/>
      <c r="T1429" s="199"/>
      <c r="U1429" s="199"/>
    </row>
    <row r="1430" spans="1:21" x14ac:dyDescent="0.25">
      <c r="A1430" t="s">
        <v>996</v>
      </c>
      <c r="B1430" t="s">
        <v>997</v>
      </c>
      <c r="C1430" t="s">
        <v>997</v>
      </c>
      <c r="D1430">
        <v>7220</v>
      </c>
      <c r="E1430">
        <v>142</v>
      </c>
      <c r="F1430" t="s">
        <v>1350</v>
      </c>
      <c r="G1430" t="s">
        <v>1351</v>
      </c>
      <c r="H1430" s="315" t="s">
        <v>1022</v>
      </c>
      <c r="I1430" s="315" t="s">
        <v>1252</v>
      </c>
      <c r="J1430" s="315" t="str">
        <f t="shared" si="126"/>
        <v>Lex ServiceSalaries, Commission &amp; Leave as % of Sales</v>
      </c>
      <c r="K1430" s="315" t="str">
        <f t="shared" si="127"/>
        <v>142Service Leave Expense - Lexus</v>
      </c>
      <c r="L1430" s="311">
        <f>+SUMIF('TUNZ Extracted TB'!M:M,$P1430,'TUNZ Extracted TB'!G:G)</f>
        <v>0</v>
      </c>
      <c r="M1430" s="311"/>
      <c r="N1430" s="311">
        <f>+SUMIF('Input Sheet'!$AE:$AE,P1430,'Input Sheet'!$X:$X)</f>
        <v>0</v>
      </c>
      <c r="O1430" s="311"/>
      <c r="P1430" t="str">
        <f t="shared" si="128"/>
        <v>142-7220</v>
      </c>
      <c r="Q1430" s="315" t="str">
        <f t="shared" si="129"/>
        <v>Lex Service</v>
      </c>
      <c r="R1430" s="315" t="str">
        <f t="shared" si="130"/>
        <v>Lex ServiceSalaries, Commission &amp; Leave as % of Sales</v>
      </c>
      <c r="S1430" s="199"/>
      <c r="T1430" s="199"/>
      <c r="U1430" s="199"/>
    </row>
    <row r="1431" spans="1:21" x14ac:dyDescent="0.25">
      <c r="A1431" t="s">
        <v>996</v>
      </c>
      <c r="B1431" t="s">
        <v>997</v>
      </c>
      <c r="C1431" t="s">
        <v>997</v>
      </c>
      <c r="D1431">
        <v>7220</v>
      </c>
      <c r="E1431">
        <v>132</v>
      </c>
      <c r="F1431" t="s">
        <v>1253</v>
      </c>
      <c r="G1431" t="s">
        <v>1254</v>
      </c>
      <c r="H1431" s="315" t="s">
        <v>143</v>
      </c>
      <c r="I1431" s="315" t="s">
        <v>1255</v>
      </c>
      <c r="J1431" s="315" t="str">
        <f t="shared" si="126"/>
        <v>LEX PartsSalaries &amp; Commission as % of Sales</v>
      </c>
      <c r="K1431" s="315" t="str">
        <f t="shared" si="127"/>
        <v>132Parts Salaries &amp; Commission - Lexus</v>
      </c>
      <c r="L1431" s="311">
        <f>+SUMIF('TUNZ Extracted TB'!M:M,$P1431,'TUNZ Extracted TB'!G:G)</f>
        <v>0</v>
      </c>
      <c r="M1431" s="311"/>
      <c r="N1431" s="311">
        <f>+SUMIF('Input Sheet'!$AE:$AE,P1431,'Input Sheet'!$X:$X)</f>
        <v>0</v>
      </c>
      <c r="O1431" s="311"/>
      <c r="P1431" t="str">
        <f t="shared" si="128"/>
        <v>132-7220</v>
      </c>
      <c r="Q1431" s="315" t="str">
        <f t="shared" si="129"/>
        <v>LEX Parts</v>
      </c>
      <c r="R1431" s="315" t="str">
        <f t="shared" si="130"/>
        <v>LEX PartsSalaries &amp; Commission as % of Sales</v>
      </c>
      <c r="S1431" s="199"/>
      <c r="T1431" s="199"/>
      <c r="U1431" s="199"/>
    </row>
    <row r="1432" spans="1:21" x14ac:dyDescent="0.25">
      <c r="A1432" t="s">
        <v>996</v>
      </c>
      <c r="B1432" t="s">
        <v>997</v>
      </c>
      <c r="C1432" t="s">
        <v>997</v>
      </c>
      <c r="D1432">
        <v>7220</v>
      </c>
      <c r="E1432">
        <v>130</v>
      </c>
      <c r="F1432" t="s">
        <v>1256</v>
      </c>
      <c r="G1432" t="s">
        <v>1257</v>
      </c>
      <c r="H1432" s="315" t="s">
        <v>5</v>
      </c>
      <c r="I1432" s="315" t="s">
        <v>1255</v>
      </c>
      <c r="J1432" s="315" t="str">
        <f t="shared" si="126"/>
        <v>PartsSalaries &amp; Commission as % of Sales</v>
      </c>
      <c r="K1432" s="315" t="str">
        <f t="shared" si="127"/>
        <v>130Parts Salaries &amp; Commission - Toyota</v>
      </c>
      <c r="L1432" s="311">
        <f>+SUMIF('TUNZ Extracted TB'!M:M,$P1432,'TUNZ Extracted TB'!G:G)</f>
        <v>0</v>
      </c>
      <c r="M1432" s="311"/>
      <c r="N1432" s="311">
        <f>+SUMIF('Input Sheet'!$AE:$AE,P1432,'Input Sheet'!$X:$X)</f>
        <v>0</v>
      </c>
      <c r="O1432" s="311"/>
      <c r="P1432" t="str">
        <f t="shared" si="128"/>
        <v>130-7220</v>
      </c>
      <c r="Q1432" s="315" t="str">
        <f t="shared" si="129"/>
        <v>Parts</v>
      </c>
      <c r="R1432" s="315" t="str">
        <f t="shared" si="130"/>
        <v>PartsSalaries &amp; Commission as % of Sales</v>
      </c>
      <c r="S1432" s="199"/>
      <c r="T1432" s="199"/>
      <c r="U1432" s="199"/>
    </row>
    <row r="1433" spans="1:21" x14ac:dyDescent="0.25">
      <c r="A1433" t="s">
        <v>996</v>
      </c>
      <c r="B1433" t="s">
        <v>997</v>
      </c>
      <c r="C1433" t="s">
        <v>1013</v>
      </c>
      <c r="D1433">
        <v>7220</v>
      </c>
      <c r="E1433">
        <v>300</v>
      </c>
      <c r="F1433" t="s">
        <v>1242</v>
      </c>
      <c r="G1433" t="s">
        <v>1243</v>
      </c>
      <c r="H1433" s="315" t="s">
        <v>29</v>
      </c>
      <c r="I1433" s="315" t="s">
        <v>1244</v>
      </c>
      <c r="J1433" s="315" t="str">
        <f t="shared" si="126"/>
        <v>New VehicleSalaries &amp; Wages p.u.</v>
      </c>
      <c r="K1433" s="315" t="str">
        <f t="shared" si="127"/>
        <v>300NV Salaries &amp; Wages - Toyota</v>
      </c>
      <c r="L1433" s="311">
        <f>+SUMIF('TUNZ Extracted TB'!M:M,$P1433,'TUNZ Extracted TB'!G:G)</f>
        <v>0</v>
      </c>
      <c r="M1433" s="311"/>
      <c r="N1433" s="311">
        <f>+SUMIF('Input Sheet'!$AE:$AE,P1433,'Input Sheet'!$X:$X)</f>
        <v>0</v>
      </c>
      <c r="O1433" s="311"/>
      <c r="P1433" t="str">
        <f t="shared" si="128"/>
        <v>300-7220</v>
      </c>
      <c r="Q1433" s="315" t="str">
        <f t="shared" si="129"/>
        <v>New Vehicle</v>
      </c>
      <c r="R1433" s="315" t="str">
        <f t="shared" si="130"/>
        <v>New VehicleSalaries &amp; Wages p.u.</v>
      </c>
      <c r="S1433" s="199"/>
      <c r="T1433" s="199"/>
      <c r="U1433" s="199"/>
    </row>
    <row r="1434" spans="1:21" x14ac:dyDescent="0.25">
      <c r="A1434" t="s">
        <v>996</v>
      </c>
      <c r="B1434" t="s">
        <v>997</v>
      </c>
      <c r="C1434" t="s">
        <v>997</v>
      </c>
      <c r="D1434">
        <v>7280</v>
      </c>
      <c r="E1434">
        <v>112</v>
      </c>
      <c r="F1434" t="s">
        <v>1272</v>
      </c>
      <c r="G1434" t="s">
        <v>1273</v>
      </c>
      <c r="H1434" s="315" t="s">
        <v>1011</v>
      </c>
      <c r="I1434" s="315" t="s">
        <v>1267</v>
      </c>
      <c r="J1434" s="315" t="str">
        <f t="shared" si="126"/>
        <v>LEX New VehicleCommission p.u.</v>
      </c>
      <c r="K1434" s="315" t="str">
        <f t="shared" si="127"/>
        <v>112NV Commission - Lexus</v>
      </c>
      <c r="L1434" s="311">
        <f>+SUMIF('TUNZ Extracted TB'!M:M,$P1434,'TUNZ Extracted TB'!G:G)</f>
        <v>0</v>
      </c>
      <c r="M1434" s="311"/>
      <c r="N1434" s="311">
        <f>+SUMIF('Input Sheet'!$AE:$AE,P1434,'Input Sheet'!$X:$X)</f>
        <v>0</v>
      </c>
      <c r="O1434" s="311"/>
      <c r="P1434" t="str">
        <f t="shared" si="128"/>
        <v>112-7280</v>
      </c>
      <c r="Q1434" s="315" t="str">
        <f t="shared" si="129"/>
        <v>LEX New Vehicle</v>
      </c>
      <c r="R1434" s="315" t="str">
        <f t="shared" si="130"/>
        <v>LEX New VehicleCommission p.u.</v>
      </c>
      <c r="S1434" s="199"/>
      <c r="T1434" s="199"/>
      <c r="U1434" s="199"/>
    </row>
    <row r="1435" spans="1:21" x14ac:dyDescent="0.25">
      <c r="A1435" t="s">
        <v>996</v>
      </c>
      <c r="B1435" t="s">
        <v>997</v>
      </c>
      <c r="C1435" t="s">
        <v>997</v>
      </c>
      <c r="D1435">
        <v>7220</v>
      </c>
      <c r="E1435">
        <v>110</v>
      </c>
      <c r="F1435" t="s">
        <v>1239</v>
      </c>
      <c r="G1435" t="s">
        <v>1240</v>
      </c>
      <c r="H1435" s="315" t="s">
        <v>30</v>
      </c>
      <c r="I1435" s="315" t="s">
        <v>1241</v>
      </c>
      <c r="J1435" s="315" t="str">
        <f t="shared" si="126"/>
        <v>Used VehicleSalaries &amp; Wages per retail</v>
      </c>
      <c r="K1435" s="315" t="str">
        <f t="shared" si="127"/>
        <v>110Toyota UV Salaries &amp; Wages</v>
      </c>
      <c r="L1435" s="311">
        <f>+SUMIF('TUNZ Extracted TB'!M:M,$P1435,'TUNZ Extracted TB'!G:G)</f>
        <v>0</v>
      </c>
      <c r="M1435" s="311"/>
      <c r="N1435" s="311">
        <f>+SUMIF('Input Sheet'!$AE:$AE,P1435,'Input Sheet'!$X:$X)</f>
        <v>0</v>
      </c>
      <c r="O1435" s="311"/>
      <c r="P1435" t="str">
        <f t="shared" si="128"/>
        <v>110-7220</v>
      </c>
      <c r="Q1435" s="315" t="str">
        <f t="shared" si="129"/>
        <v>Used Vehicle</v>
      </c>
      <c r="R1435" s="315" t="str">
        <f t="shared" si="130"/>
        <v>Used VehicleSalaries &amp; Wages per retail</v>
      </c>
      <c r="S1435" s="199"/>
      <c r="T1435" s="199"/>
      <c r="U1435" s="199"/>
    </row>
    <row r="1436" spans="1:21" x14ac:dyDescent="0.25">
      <c r="A1436" t="s">
        <v>996</v>
      </c>
      <c r="B1436" t="s">
        <v>997</v>
      </c>
      <c r="C1436" t="s">
        <v>997</v>
      </c>
      <c r="D1436">
        <v>7220</v>
      </c>
      <c r="E1436">
        <v>162</v>
      </c>
      <c r="F1436" t="s">
        <v>1260</v>
      </c>
      <c r="G1436" t="s">
        <v>1261</v>
      </c>
      <c r="H1436" s="315" t="s">
        <v>142</v>
      </c>
      <c r="I1436" s="315" t="s">
        <v>1249</v>
      </c>
      <c r="J1436" s="315" t="str">
        <f t="shared" si="126"/>
        <v>LEX F&amp;ISalaries &amp; Commission per vehicle retailed</v>
      </c>
      <c r="K1436" s="315" t="str">
        <f t="shared" si="127"/>
        <v>162F&amp;I Salaries &amp; Commission - Lexus</v>
      </c>
      <c r="L1436" s="311">
        <f>+SUMIF('TUNZ Extracted TB'!M:M,$P1436,'TUNZ Extracted TB'!G:G)</f>
        <v>0</v>
      </c>
      <c r="M1436" s="311"/>
      <c r="N1436" s="311">
        <f>+SUMIF('Input Sheet'!$AE:$AE,P1436,'Input Sheet'!$X:$X)</f>
        <v>0</v>
      </c>
      <c r="O1436" s="311"/>
      <c r="P1436" t="str">
        <f t="shared" si="128"/>
        <v>162-7220</v>
      </c>
      <c r="Q1436" s="315" t="str">
        <f t="shared" si="129"/>
        <v>LEX F&amp;I</v>
      </c>
      <c r="R1436" s="315" t="str">
        <f t="shared" si="130"/>
        <v>LEX F&amp;ISalaries &amp; Commission per vehicle retailed</v>
      </c>
      <c r="S1436" s="199"/>
      <c r="T1436" s="199"/>
      <c r="U1436" s="199"/>
    </row>
    <row r="1437" spans="1:21" x14ac:dyDescent="0.25">
      <c r="A1437" t="s">
        <v>996</v>
      </c>
      <c r="B1437" t="s">
        <v>997</v>
      </c>
      <c r="C1437" t="s">
        <v>1005</v>
      </c>
      <c r="D1437">
        <v>7220</v>
      </c>
      <c r="E1437">
        <v>260</v>
      </c>
      <c r="F1437" t="s">
        <v>1247</v>
      </c>
      <c r="G1437" t="s">
        <v>1248</v>
      </c>
      <c r="H1437" s="315" t="s">
        <v>16</v>
      </c>
      <c r="I1437" s="315" t="s">
        <v>1249</v>
      </c>
      <c r="J1437" s="315" t="str">
        <f t="shared" si="126"/>
        <v>F&amp;ISalaries &amp; Commission per vehicle retailed</v>
      </c>
      <c r="K1437" s="315" t="str">
        <f t="shared" si="127"/>
        <v>260F&amp;I Salaries &amp; Commission - Toyota</v>
      </c>
      <c r="L1437" s="311">
        <f>+SUMIF('TUNZ Extracted TB'!M:M,$P1437,'TUNZ Extracted TB'!G:G)</f>
        <v>0</v>
      </c>
      <c r="M1437" s="311"/>
      <c r="N1437" s="311">
        <f>+SUMIF('Input Sheet'!$AE:$AE,P1437,'Input Sheet'!$X:$X)</f>
        <v>0</v>
      </c>
      <c r="O1437" s="311"/>
      <c r="P1437" t="str">
        <f t="shared" si="128"/>
        <v>260-7220</v>
      </c>
      <c r="Q1437" s="315" t="str">
        <f t="shared" si="129"/>
        <v>F&amp;I</v>
      </c>
      <c r="R1437" s="315" t="str">
        <f t="shared" si="130"/>
        <v>F&amp;ISalaries &amp; Commission per vehicle retailed</v>
      </c>
      <c r="S1437" s="199"/>
      <c r="T1437" s="199"/>
      <c r="U1437" s="199"/>
    </row>
    <row r="1438" spans="1:21" x14ac:dyDescent="0.25">
      <c r="A1438" t="s">
        <v>996</v>
      </c>
      <c r="B1438" t="s">
        <v>997</v>
      </c>
      <c r="C1438" t="s">
        <v>1012</v>
      </c>
      <c r="D1438">
        <v>7220</v>
      </c>
      <c r="E1438">
        <v>460</v>
      </c>
      <c r="F1438" t="s">
        <v>1247</v>
      </c>
      <c r="G1438" t="s">
        <v>1248</v>
      </c>
      <c r="H1438" s="315" t="s">
        <v>16</v>
      </c>
      <c r="I1438" s="315" t="s">
        <v>1249</v>
      </c>
      <c r="J1438" s="315" t="str">
        <f t="shared" si="126"/>
        <v>F&amp;ISalaries &amp; Commission per vehicle retailed</v>
      </c>
      <c r="K1438" s="315" t="str">
        <f t="shared" si="127"/>
        <v>460F&amp;I Salaries &amp; Commission - Toyota</v>
      </c>
      <c r="L1438" s="311">
        <f>+SUMIF('TUNZ Extracted TB'!M:M,$P1438,'TUNZ Extracted TB'!G:G)</f>
        <v>0</v>
      </c>
      <c r="M1438" s="311"/>
      <c r="N1438" s="311">
        <f>+SUMIF('Input Sheet'!$AE:$AE,P1438,'Input Sheet'!$X:$X)</f>
        <v>0</v>
      </c>
      <c r="O1438" s="311"/>
      <c r="P1438" t="str">
        <f t="shared" si="128"/>
        <v>460-7220</v>
      </c>
      <c r="Q1438" s="315" t="str">
        <f t="shared" si="129"/>
        <v>F&amp;I</v>
      </c>
      <c r="R1438" s="315" t="str">
        <f t="shared" si="130"/>
        <v>F&amp;ISalaries &amp; Commission per vehicle retailed</v>
      </c>
      <c r="S1438" s="199"/>
      <c r="T1438" s="199"/>
      <c r="U1438" s="199"/>
    </row>
    <row r="1439" spans="1:21" x14ac:dyDescent="0.25">
      <c r="A1439" t="s">
        <v>996</v>
      </c>
      <c r="B1439" t="s">
        <v>997</v>
      </c>
      <c r="C1439" t="s">
        <v>1013</v>
      </c>
      <c r="D1439">
        <v>7220</v>
      </c>
      <c r="E1439">
        <v>360</v>
      </c>
      <c r="F1439" t="s">
        <v>1247</v>
      </c>
      <c r="G1439" t="s">
        <v>1248</v>
      </c>
      <c r="H1439" s="315" t="s">
        <v>16</v>
      </c>
      <c r="I1439" s="315" t="s">
        <v>1249</v>
      </c>
      <c r="J1439" s="315" t="str">
        <f t="shared" si="126"/>
        <v>F&amp;ISalaries &amp; Commission per vehicle retailed</v>
      </c>
      <c r="K1439" s="315" t="str">
        <f t="shared" si="127"/>
        <v>360F&amp;I Salaries &amp; Commission - Toyota</v>
      </c>
      <c r="L1439" s="311">
        <f>+SUMIF('TUNZ Extracted TB'!M:M,$P1439,'TUNZ Extracted TB'!G:G)</f>
        <v>0</v>
      </c>
      <c r="M1439" s="311"/>
      <c r="N1439" s="311">
        <f>+SUMIF('Input Sheet'!$AE:$AE,P1439,'Input Sheet'!$X:$X)</f>
        <v>0</v>
      </c>
      <c r="O1439" s="311"/>
      <c r="P1439" t="str">
        <f t="shared" si="128"/>
        <v>360-7220</v>
      </c>
      <c r="Q1439" s="315" t="str">
        <f t="shared" si="129"/>
        <v>F&amp;I</v>
      </c>
      <c r="R1439" s="315" t="str">
        <f t="shared" si="130"/>
        <v>F&amp;ISalaries &amp; Commission per vehicle retailed</v>
      </c>
      <c r="S1439" s="199"/>
      <c r="T1439" s="199"/>
      <c r="U1439" s="199"/>
    </row>
    <row r="1440" spans="1:21" x14ac:dyDescent="0.25">
      <c r="A1440" t="s">
        <v>996</v>
      </c>
      <c r="B1440" t="s">
        <v>997</v>
      </c>
      <c r="C1440" t="s">
        <v>997</v>
      </c>
      <c r="D1440">
        <v>7220</v>
      </c>
      <c r="E1440">
        <v>160</v>
      </c>
      <c r="F1440" t="s">
        <v>1247</v>
      </c>
      <c r="G1440" t="s">
        <v>1248</v>
      </c>
      <c r="H1440" s="315" t="s">
        <v>16</v>
      </c>
      <c r="I1440" s="315" t="s">
        <v>1249</v>
      </c>
      <c r="J1440" s="315" t="str">
        <f t="shared" si="126"/>
        <v>F&amp;ISalaries &amp; Commission per vehicle retailed</v>
      </c>
      <c r="K1440" s="315" t="str">
        <f t="shared" si="127"/>
        <v>160F&amp;I Salaries &amp; Commission - Toyota</v>
      </c>
      <c r="L1440" s="311">
        <f>+SUMIF('TUNZ Extracted TB'!M:M,$P1440,'TUNZ Extracted TB'!G:G)</f>
        <v>0</v>
      </c>
      <c r="M1440" s="311"/>
      <c r="N1440" s="311">
        <f>+SUMIF('Input Sheet'!$AE:$AE,P1440,'Input Sheet'!$X:$X)</f>
        <v>0</v>
      </c>
      <c r="O1440" s="311"/>
      <c r="P1440" t="str">
        <f t="shared" si="128"/>
        <v>160-7220</v>
      </c>
      <c r="Q1440" s="315" t="str">
        <f t="shared" si="129"/>
        <v>F&amp;I</v>
      </c>
      <c r="R1440" s="315" t="str">
        <f t="shared" si="130"/>
        <v>F&amp;ISalaries &amp; Commission per vehicle retailed</v>
      </c>
      <c r="S1440" s="199"/>
      <c r="T1440" s="199"/>
      <c r="U1440" s="199"/>
    </row>
    <row r="1441" spans="1:21" x14ac:dyDescent="0.25">
      <c r="A1441" t="s">
        <v>996</v>
      </c>
      <c r="B1441" t="s">
        <v>997</v>
      </c>
      <c r="C1441" t="s">
        <v>997</v>
      </c>
      <c r="D1441">
        <v>7220</v>
      </c>
      <c r="E1441">
        <v>122</v>
      </c>
      <c r="F1441" t="s">
        <v>1245</v>
      </c>
      <c r="G1441" t="s">
        <v>1246</v>
      </c>
      <c r="H1441" s="315" t="s">
        <v>1041</v>
      </c>
      <c r="I1441" s="315" t="s">
        <v>1241</v>
      </c>
      <c r="J1441" s="315" t="str">
        <f t="shared" si="126"/>
        <v>LEX Used VehicleSalaries &amp; Wages per retail</v>
      </c>
      <c r="K1441" s="315" t="str">
        <f t="shared" si="127"/>
        <v>122Lexus UV Salaries &amp; Wages</v>
      </c>
      <c r="L1441" s="311">
        <f>+SUMIF('TUNZ Extracted TB'!M:M,$P1441,'TUNZ Extracted TB'!G:G)</f>
        <v>0</v>
      </c>
      <c r="M1441" s="311"/>
      <c r="N1441" s="311">
        <f>+SUMIF('Input Sheet'!$AE:$AE,P1441,'Input Sheet'!$X:$X)</f>
        <v>0</v>
      </c>
      <c r="O1441" s="311"/>
      <c r="P1441" t="str">
        <f t="shared" si="128"/>
        <v>122-7220</v>
      </c>
      <c r="Q1441" s="315" t="str">
        <f t="shared" si="129"/>
        <v>LEX Used Vehicle</v>
      </c>
      <c r="R1441" s="315" t="str">
        <f t="shared" si="130"/>
        <v>LEX Used VehicleSalaries &amp; Wages per retail</v>
      </c>
      <c r="S1441" s="199"/>
      <c r="T1441" s="199"/>
      <c r="U1441" s="199"/>
    </row>
    <row r="1442" spans="1:21" x14ac:dyDescent="0.25">
      <c r="A1442" t="s">
        <v>996</v>
      </c>
      <c r="B1442" t="s">
        <v>997</v>
      </c>
      <c r="C1442" t="s">
        <v>997</v>
      </c>
      <c r="D1442">
        <v>7280</v>
      </c>
      <c r="E1442">
        <v>100</v>
      </c>
      <c r="F1442" t="s">
        <v>1265</v>
      </c>
      <c r="G1442" t="s">
        <v>1266</v>
      </c>
      <c r="H1442" s="315" t="s">
        <v>29</v>
      </c>
      <c r="I1442" s="315" t="s">
        <v>1267</v>
      </c>
      <c r="J1442" s="315" t="str">
        <f t="shared" si="126"/>
        <v>New VehicleCommission p.u.</v>
      </c>
      <c r="K1442" s="315" t="str">
        <f t="shared" si="127"/>
        <v>100NV Commission - Toyota</v>
      </c>
      <c r="L1442" s="311">
        <f>+SUMIF('TUNZ Extracted TB'!M:M,$P1442,'TUNZ Extracted TB'!G:G)</f>
        <v>0</v>
      </c>
      <c r="M1442" s="311"/>
      <c r="N1442" s="311">
        <f>+SUMIF('Input Sheet'!$AE:$AE,P1442,'Input Sheet'!$X:$X)</f>
        <v>0</v>
      </c>
      <c r="O1442" s="311"/>
      <c r="P1442" t="str">
        <f t="shared" si="128"/>
        <v>100-7280</v>
      </c>
      <c r="Q1442" s="315" t="str">
        <f t="shared" si="129"/>
        <v>New Vehicle</v>
      </c>
      <c r="R1442" s="315" t="str">
        <f t="shared" si="130"/>
        <v>New VehicleCommission p.u.</v>
      </c>
      <c r="S1442" s="199"/>
      <c r="T1442" s="199"/>
      <c r="U1442" s="199"/>
    </row>
    <row r="1443" spans="1:21" x14ac:dyDescent="0.25">
      <c r="A1443" t="s">
        <v>996</v>
      </c>
      <c r="B1443" t="s">
        <v>997</v>
      </c>
      <c r="C1443" t="s">
        <v>997</v>
      </c>
      <c r="D1443">
        <v>7280</v>
      </c>
      <c r="E1443">
        <v>110</v>
      </c>
      <c r="F1443" t="s">
        <v>1265</v>
      </c>
      <c r="G1443" t="s">
        <v>1266</v>
      </c>
      <c r="H1443" s="315" t="s">
        <v>29</v>
      </c>
      <c r="I1443" s="315" t="s">
        <v>1267</v>
      </c>
      <c r="J1443" s="315" t="str">
        <f t="shared" si="126"/>
        <v>New VehicleCommission p.u.</v>
      </c>
      <c r="K1443" s="315" t="str">
        <f t="shared" si="127"/>
        <v>110NV Commission - Toyota</v>
      </c>
      <c r="L1443" s="311">
        <f>+SUMIF('TUNZ Extracted TB'!M:M,$P1443,'TUNZ Extracted TB'!G:G)</f>
        <v>0</v>
      </c>
      <c r="M1443" s="311"/>
      <c r="N1443" s="311">
        <f>+SUMIF('Input Sheet'!$AE:$AE,P1443,'Input Sheet'!$X:$X)</f>
        <v>0</v>
      </c>
      <c r="O1443" s="311"/>
      <c r="P1443" t="str">
        <f t="shared" si="128"/>
        <v>110-7280</v>
      </c>
      <c r="Q1443" s="315" t="str">
        <f t="shared" si="129"/>
        <v>New Vehicle</v>
      </c>
      <c r="R1443" s="315" t="str">
        <f t="shared" si="130"/>
        <v>New VehicleCommission p.u.</v>
      </c>
      <c r="S1443" s="199"/>
      <c r="T1443" s="199"/>
      <c r="U1443" s="199"/>
    </row>
    <row r="1444" spans="1:21" x14ac:dyDescent="0.25">
      <c r="A1444" t="s">
        <v>996</v>
      </c>
      <c r="B1444" t="s">
        <v>997</v>
      </c>
      <c r="C1444" t="s">
        <v>1005</v>
      </c>
      <c r="D1444">
        <v>7280</v>
      </c>
      <c r="E1444">
        <v>200</v>
      </c>
      <c r="F1444" t="s">
        <v>1265</v>
      </c>
      <c r="G1444" t="s">
        <v>1266</v>
      </c>
      <c r="H1444" s="315" t="s">
        <v>29</v>
      </c>
      <c r="I1444" s="315" t="s">
        <v>1267</v>
      </c>
      <c r="J1444" s="315" t="str">
        <f t="shared" si="126"/>
        <v>New VehicleCommission p.u.</v>
      </c>
      <c r="K1444" s="315" t="str">
        <f t="shared" si="127"/>
        <v>200NV Commission - Toyota</v>
      </c>
      <c r="L1444" s="311">
        <f>+SUMIF('TUNZ Extracted TB'!M:M,$P1444,'TUNZ Extracted TB'!G:G)</f>
        <v>0</v>
      </c>
      <c r="M1444" s="311"/>
      <c r="N1444" s="311">
        <f>+SUMIF('Input Sheet'!$AE:$AE,P1444,'Input Sheet'!$X:$X)</f>
        <v>0</v>
      </c>
      <c r="O1444" s="311"/>
      <c r="P1444" t="str">
        <f t="shared" si="128"/>
        <v>200-7280</v>
      </c>
      <c r="Q1444" s="315" t="str">
        <f t="shared" si="129"/>
        <v>New Vehicle</v>
      </c>
      <c r="R1444" s="315" t="str">
        <f t="shared" si="130"/>
        <v>New VehicleCommission p.u.</v>
      </c>
      <c r="S1444" s="199"/>
      <c r="T1444" s="199"/>
      <c r="U1444" s="199"/>
    </row>
    <row r="1445" spans="1:21" x14ac:dyDescent="0.25">
      <c r="A1445" t="s">
        <v>996</v>
      </c>
      <c r="B1445" t="s">
        <v>997</v>
      </c>
      <c r="C1445" t="s">
        <v>997</v>
      </c>
      <c r="D1445">
        <v>7220</v>
      </c>
      <c r="E1445">
        <v>936</v>
      </c>
      <c r="F1445" t="s">
        <v>1175</v>
      </c>
      <c r="G1445" t="s">
        <v>1176</v>
      </c>
      <c r="H1445" s="315" t="s">
        <v>58</v>
      </c>
      <c r="I1445" s="315" t="s">
        <v>1252</v>
      </c>
      <c r="J1445" s="315" t="str">
        <f t="shared" si="126"/>
        <v>BridgestoneSalaries, Commission &amp; Leave as % of Sales</v>
      </c>
      <c r="K1445" s="315" t="str">
        <f t="shared" si="127"/>
        <v>936Other franchise/business expense</v>
      </c>
      <c r="L1445" s="311">
        <f>+SUMIF('TUNZ Extracted TB'!M:M,$P1445,'TUNZ Extracted TB'!G:G)</f>
        <v>0</v>
      </c>
      <c r="M1445" s="311"/>
      <c r="N1445" s="311">
        <f>+SUMIF('Input Sheet'!$AE:$AE,P1445,'Input Sheet'!$X:$X)</f>
        <v>0</v>
      </c>
      <c r="O1445" s="311"/>
      <c r="P1445" t="str">
        <f t="shared" si="128"/>
        <v>936-7220</v>
      </c>
      <c r="Q1445" s="315" t="str">
        <f t="shared" si="129"/>
        <v>Bridgestone</v>
      </c>
      <c r="R1445" s="315" t="str">
        <f t="shared" si="130"/>
        <v>BridgestoneSalaries, Commission &amp; Leave as % of Sales</v>
      </c>
      <c r="S1445" s="199"/>
      <c r="T1445" s="199"/>
      <c r="U1445" s="199"/>
    </row>
    <row r="1446" spans="1:21" x14ac:dyDescent="0.25">
      <c r="A1446" t="s">
        <v>996</v>
      </c>
      <c r="B1446" t="s">
        <v>997</v>
      </c>
      <c r="C1446" t="s">
        <v>997</v>
      </c>
      <c r="D1446">
        <v>7220</v>
      </c>
      <c r="E1446">
        <v>935</v>
      </c>
      <c r="F1446" t="s">
        <v>1175</v>
      </c>
      <c r="G1446" t="s">
        <v>1176</v>
      </c>
      <c r="H1446" s="315" t="s">
        <v>58</v>
      </c>
      <c r="I1446" s="315" t="s">
        <v>1252</v>
      </c>
      <c r="J1446" s="315" t="str">
        <f t="shared" si="126"/>
        <v>BridgestoneSalaries, Commission &amp; Leave as % of Sales</v>
      </c>
      <c r="K1446" s="315" t="str">
        <f t="shared" si="127"/>
        <v>935Other franchise/business expense</v>
      </c>
      <c r="L1446" s="311">
        <f>+SUMIF('TUNZ Extracted TB'!M:M,$P1446,'TUNZ Extracted TB'!G:G)</f>
        <v>0</v>
      </c>
      <c r="M1446" s="311"/>
      <c r="N1446" s="311">
        <f>+SUMIF('Input Sheet'!$AE:$AE,P1446,'Input Sheet'!$X:$X)</f>
        <v>0</v>
      </c>
      <c r="O1446" s="311"/>
      <c r="P1446" t="str">
        <f t="shared" si="128"/>
        <v>935-7220</v>
      </c>
      <c r="Q1446" s="315" t="str">
        <f t="shared" si="129"/>
        <v>Bridgestone</v>
      </c>
      <c r="R1446" s="315" t="str">
        <f t="shared" si="130"/>
        <v>BridgestoneSalaries, Commission &amp; Leave as % of Sales</v>
      </c>
      <c r="S1446" s="199"/>
      <c r="T1446" s="199"/>
      <c r="U1446" s="199"/>
    </row>
    <row r="1447" spans="1:21" x14ac:dyDescent="0.25">
      <c r="A1447" t="s">
        <v>996</v>
      </c>
      <c r="B1447" t="s">
        <v>997</v>
      </c>
      <c r="C1447" t="s">
        <v>1005</v>
      </c>
      <c r="D1447">
        <v>7220</v>
      </c>
      <c r="E1447">
        <v>230</v>
      </c>
      <c r="F1447" t="s">
        <v>1256</v>
      </c>
      <c r="G1447" t="s">
        <v>1257</v>
      </c>
      <c r="H1447" s="315" t="s">
        <v>5</v>
      </c>
      <c r="I1447" s="315" t="s">
        <v>1255</v>
      </c>
      <c r="J1447" s="315" t="str">
        <f t="shared" si="126"/>
        <v>PartsSalaries &amp; Commission as % of Sales</v>
      </c>
      <c r="K1447" s="315" t="str">
        <f t="shared" si="127"/>
        <v>230Parts Salaries &amp; Commission - Toyota</v>
      </c>
      <c r="L1447" s="311">
        <f>+SUMIF('TUNZ Extracted TB'!M:M,$P1447,'TUNZ Extracted TB'!G:G)</f>
        <v>0</v>
      </c>
      <c r="M1447" s="311"/>
      <c r="N1447" s="311">
        <f>+SUMIF('Input Sheet'!$AE:$AE,P1447,'Input Sheet'!$X:$X)</f>
        <v>0</v>
      </c>
      <c r="O1447" s="311"/>
      <c r="P1447" t="str">
        <f t="shared" si="128"/>
        <v>230-7220</v>
      </c>
      <c r="Q1447" s="315" t="str">
        <f t="shared" si="129"/>
        <v>Parts</v>
      </c>
      <c r="R1447" s="315" t="str">
        <f t="shared" si="130"/>
        <v>PartsSalaries &amp; Commission as % of Sales</v>
      </c>
      <c r="S1447" s="199"/>
      <c r="T1447" s="199"/>
      <c r="U1447" s="199"/>
    </row>
    <row r="1448" spans="1:21" x14ac:dyDescent="0.25">
      <c r="A1448" t="s">
        <v>996</v>
      </c>
      <c r="B1448" t="s">
        <v>997</v>
      </c>
      <c r="C1448" t="s">
        <v>1012</v>
      </c>
      <c r="D1448">
        <v>7220</v>
      </c>
      <c r="E1448">
        <v>430</v>
      </c>
      <c r="F1448" t="s">
        <v>1256</v>
      </c>
      <c r="G1448" t="s">
        <v>1257</v>
      </c>
      <c r="H1448" s="315" t="s">
        <v>5</v>
      </c>
      <c r="I1448" s="315" t="s">
        <v>1255</v>
      </c>
      <c r="J1448" s="315" t="str">
        <f t="shared" si="126"/>
        <v>PartsSalaries &amp; Commission as % of Sales</v>
      </c>
      <c r="K1448" s="315" t="str">
        <f t="shared" si="127"/>
        <v>430Parts Salaries &amp; Commission - Toyota</v>
      </c>
      <c r="L1448" s="311">
        <f>+SUMIF('TUNZ Extracted TB'!M:M,$P1448,'TUNZ Extracted TB'!G:G)</f>
        <v>0</v>
      </c>
      <c r="M1448" s="311"/>
      <c r="N1448" s="311">
        <f>+SUMIF('Input Sheet'!$AE:$AE,P1448,'Input Sheet'!$X:$X)</f>
        <v>0</v>
      </c>
      <c r="O1448" s="311"/>
      <c r="P1448" t="str">
        <f t="shared" si="128"/>
        <v>430-7220</v>
      </c>
      <c r="Q1448" s="315" t="str">
        <f t="shared" si="129"/>
        <v>Parts</v>
      </c>
      <c r="R1448" s="315" t="str">
        <f t="shared" si="130"/>
        <v>PartsSalaries &amp; Commission as % of Sales</v>
      </c>
      <c r="S1448" s="199"/>
      <c r="T1448" s="199"/>
      <c r="U1448" s="199"/>
    </row>
    <row r="1449" spans="1:21" x14ac:dyDescent="0.25">
      <c r="A1449" t="s">
        <v>996</v>
      </c>
      <c r="B1449" t="s">
        <v>997</v>
      </c>
      <c r="C1449" t="s">
        <v>1013</v>
      </c>
      <c r="D1449">
        <v>7220</v>
      </c>
      <c r="E1449">
        <v>330</v>
      </c>
      <c r="F1449" t="s">
        <v>1256</v>
      </c>
      <c r="G1449" t="s">
        <v>1257</v>
      </c>
      <c r="H1449" s="315" t="s">
        <v>5</v>
      </c>
      <c r="I1449" s="315" t="s">
        <v>1255</v>
      </c>
      <c r="J1449" s="315" t="str">
        <f t="shared" si="126"/>
        <v>PartsSalaries &amp; Commission as % of Sales</v>
      </c>
      <c r="K1449" s="315" t="str">
        <f t="shared" si="127"/>
        <v>330Parts Salaries &amp; Commission - Toyota</v>
      </c>
      <c r="L1449" s="311">
        <f>+SUMIF('TUNZ Extracted TB'!M:M,$P1449,'TUNZ Extracted TB'!G:G)</f>
        <v>0</v>
      </c>
      <c r="M1449" s="311"/>
      <c r="N1449" s="311">
        <f>+SUMIF('Input Sheet'!$AE:$AE,P1449,'Input Sheet'!$X:$X)</f>
        <v>0</v>
      </c>
      <c r="O1449" s="311"/>
      <c r="P1449" t="str">
        <f t="shared" si="128"/>
        <v>330-7220</v>
      </c>
      <c r="Q1449" s="315" t="str">
        <f t="shared" si="129"/>
        <v>Parts</v>
      </c>
      <c r="R1449" s="315" t="str">
        <f t="shared" si="130"/>
        <v>PartsSalaries &amp; Commission as % of Sales</v>
      </c>
      <c r="S1449" s="199"/>
      <c r="T1449" s="199"/>
      <c r="U1449" s="199"/>
    </row>
    <row r="1450" spans="1:21" x14ac:dyDescent="0.25">
      <c r="A1450" t="s">
        <v>996</v>
      </c>
      <c r="B1450" t="s">
        <v>997</v>
      </c>
      <c r="C1450" t="s">
        <v>1005</v>
      </c>
      <c r="D1450">
        <v>7220</v>
      </c>
      <c r="E1450">
        <v>240</v>
      </c>
      <c r="F1450" t="s">
        <v>1348</v>
      </c>
      <c r="G1450" t="s">
        <v>1349</v>
      </c>
      <c r="H1450" s="315" t="s">
        <v>17</v>
      </c>
      <c r="I1450" s="315" t="s">
        <v>1252</v>
      </c>
      <c r="J1450" s="315" t="str">
        <f t="shared" si="126"/>
        <v>ServiceSalaries, Commission &amp; Leave as % of Sales</v>
      </c>
      <c r="K1450" s="315" t="str">
        <f t="shared" si="127"/>
        <v>240Service Leave Expense - Toyota</v>
      </c>
      <c r="L1450" s="311">
        <f>+SUMIF('TUNZ Extracted TB'!M:M,$P1450,'TUNZ Extracted TB'!G:G)</f>
        <v>0</v>
      </c>
      <c r="M1450" s="311"/>
      <c r="N1450" s="311">
        <f>+SUMIF('Input Sheet'!$AE:$AE,P1450,'Input Sheet'!$X:$X)</f>
        <v>0</v>
      </c>
      <c r="O1450" s="311"/>
      <c r="P1450" t="str">
        <f t="shared" si="128"/>
        <v>240-7220</v>
      </c>
      <c r="Q1450" s="315" t="str">
        <f t="shared" si="129"/>
        <v>Service</v>
      </c>
      <c r="R1450" s="315" t="str">
        <f t="shared" si="130"/>
        <v>ServiceSalaries, Commission &amp; Leave as % of Sales</v>
      </c>
      <c r="S1450" s="199"/>
      <c r="T1450" s="199"/>
      <c r="U1450" s="199"/>
    </row>
    <row r="1451" spans="1:21" x14ac:dyDescent="0.25">
      <c r="A1451" t="s">
        <v>996</v>
      </c>
      <c r="B1451" t="s">
        <v>997</v>
      </c>
      <c r="C1451" t="s">
        <v>1012</v>
      </c>
      <c r="D1451">
        <v>7220</v>
      </c>
      <c r="E1451">
        <v>440</v>
      </c>
      <c r="F1451" t="s">
        <v>1348</v>
      </c>
      <c r="G1451" t="s">
        <v>1349</v>
      </c>
      <c r="H1451" s="315" t="s">
        <v>17</v>
      </c>
      <c r="I1451" s="315" t="s">
        <v>1252</v>
      </c>
      <c r="J1451" s="315" t="str">
        <f t="shared" si="126"/>
        <v>ServiceSalaries, Commission &amp; Leave as % of Sales</v>
      </c>
      <c r="K1451" s="315" t="str">
        <f t="shared" si="127"/>
        <v>440Service Leave Expense - Toyota</v>
      </c>
      <c r="L1451" s="311">
        <f>+SUMIF('TUNZ Extracted TB'!M:M,$P1451,'TUNZ Extracted TB'!G:G)</f>
        <v>0</v>
      </c>
      <c r="M1451" s="311"/>
      <c r="N1451" s="311">
        <f>+SUMIF('Input Sheet'!$AE:$AE,P1451,'Input Sheet'!$X:$X)</f>
        <v>0</v>
      </c>
      <c r="O1451" s="311"/>
      <c r="P1451" t="str">
        <f t="shared" si="128"/>
        <v>440-7220</v>
      </c>
      <c r="Q1451" s="315" t="str">
        <f t="shared" si="129"/>
        <v>Service</v>
      </c>
      <c r="R1451" s="315" t="str">
        <f t="shared" si="130"/>
        <v>ServiceSalaries, Commission &amp; Leave as % of Sales</v>
      </c>
      <c r="S1451" s="199"/>
      <c r="T1451" s="199"/>
      <c r="U1451" s="199"/>
    </row>
    <row r="1452" spans="1:21" x14ac:dyDescent="0.25">
      <c r="A1452" t="s">
        <v>996</v>
      </c>
      <c r="B1452" t="s">
        <v>997</v>
      </c>
      <c r="C1452" t="s">
        <v>1013</v>
      </c>
      <c r="D1452">
        <v>7220</v>
      </c>
      <c r="E1452">
        <v>340</v>
      </c>
      <c r="F1452" t="s">
        <v>1348</v>
      </c>
      <c r="G1452" t="s">
        <v>1349</v>
      </c>
      <c r="H1452" s="315" t="s">
        <v>17</v>
      </c>
      <c r="I1452" s="315" t="s">
        <v>1252</v>
      </c>
      <c r="J1452" s="315" t="str">
        <f t="shared" si="126"/>
        <v>ServiceSalaries, Commission &amp; Leave as % of Sales</v>
      </c>
      <c r="K1452" s="315" t="str">
        <f t="shared" si="127"/>
        <v>340Service Leave Expense - Toyota</v>
      </c>
      <c r="L1452" s="311">
        <f>+SUMIF('TUNZ Extracted TB'!M:M,$P1452,'TUNZ Extracted TB'!G:G)</f>
        <v>0</v>
      </c>
      <c r="M1452" s="311"/>
      <c r="N1452" s="311">
        <f>+SUMIF('Input Sheet'!$AE:$AE,P1452,'Input Sheet'!$X:$X)</f>
        <v>0</v>
      </c>
      <c r="O1452" s="311"/>
      <c r="P1452" t="str">
        <f t="shared" si="128"/>
        <v>340-7220</v>
      </c>
      <c r="Q1452" s="315" t="str">
        <f t="shared" si="129"/>
        <v>Service</v>
      </c>
      <c r="R1452" s="315" t="str">
        <f t="shared" si="130"/>
        <v>ServiceSalaries, Commission &amp; Leave as % of Sales</v>
      </c>
      <c r="S1452" s="199"/>
      <c r="T1452" s="199"/>
      <c r="U1452" s="199"/>
    </row>
    <row r="1453" spans="1:21" x14ac:dyDescent="0.25">
      <c r="A1453" t="s">
        <v>996</v>
      </c>
      <c r="B1453" t="s">
        <v>997</v>
      </c>
      <c r="C1453" t="s">
        <v>997</v>
      </c>
      <c r="D1453">
        <v>7220</v>
      </c>
      <c r="E1453">
        <v>147</v>
      </c>
      <c r="F1453" t="s">
        <v>1348</v>
      </c>
      <c r="G1453" t="s">
        <v>1349</v>
      </c>
      <c r="H1453" s="315" t="s">
        <v>17</v>
      </c>
      <c r="I1453" s="315" t="s">
        <v>1252</v>
      </c>
      <c r="J1453" s="315" t="str">
        <f t="shared" si="126"/>
        <v>ServiceSalaries, Commission &amp; Leave as % of Sales</v>
      </c>
      <c r="K1453" s="315" t="str">
        <f t="shared" si="127"/>
        <v>147Service Leave Expense - Toyota</v>
      </c>
      <c r="L1453" s="311">
        <f>+SUMIF('TUNZ Extracted TB'!M:M,$P1453,'TUNZ Extracted TB'!G:G)</f>
        <v>0</v>
      </c>
      <c r="M1453" s="311"/>
      <c r="N1453" s="311">
        <f>+SUMIF('Input Sheet'!$AE:$AE,P1453,'Input Sheet'!$X:$X)</f>
        <v>0</v>
      </c>
      <c r="O1453" s="311"/>
      <c r="P1453" t="str">
        <f t="shared" si="128"/>
        <v>147-7220</v>
      </c>
      <c r="Q1453" s="315" t="str">
        <f t="shared" si="129"/>
        <v>Service</v>
      </c>
      <c r="R1453" s="315" t="str">
        <f t="shared" si="130"/>
        <v>ServiceSalaries, Commission &amp; Leave as % of Sales</v>
      </c>
      <c r="S1453" s="199"/>
      <c r="T1453" s="199"/>
      <c r="U1453" s="199"/>
    </row>
    <row r="1454" spans="1:21" x14ac:dyDescent="0.25">
      <c r="A1454" t="s">
        <v>996</v>
      </c>
      <c r="B1454" t="s">
        <v>997</v>
      </c>
      <c r="C1454" t="s">
        <v>1005</v>
      </c>
      <c r="D1454">
        <v>7220</v>
      </c>
      <c r="E1454">
        <v>210</v>
      </c>
      <c r="F1454" t="s">
        <v>1239</v>
      </c>
      <c r="G1454" t="s">
        <v>1240</v>
      </c>
      <c r="H1454" s="315" t="s">
        <v>30</v>
      </c>
      <c r="I1454" s="315" t="s">
        <v>1241</v>
      </c>
      <c r="J1454" s="315" t="str">
        <f t="shared" si="126"/>
        <v>Used VehicleSalaries &amp; Wages per retail</v>
      </c>
      <c r="K1454" s="315" t="str">
        <f t="shared" si="127"/>
        <v>210Toyota UV Salaries &amp; Wages</v>
      </c>
      <c r="L1454" s="311">
        <f>+SUMIF('TUNZ Extracted TB'!M:M,$P1454,'TUNZ Extracted TB'!G:G)</f>
        <v>0</v>
      </c>
      <c r="M1454" s="311"/>
      <c r="N1454" s="311">
        <f>+SUMIF('Input Sheet'!$AE:$AE,P1454,'Input Sheet'!$X:$X)</f>
        <v>0</v>
      </c>
      <c r="O1454" s="311"/>
      <c r="P1454" t="str">
        <f t="shared" si="128"/>
        <v>210-7220</v>
      </c>
      <c r="Q1454" s="315" t="str">
        <f t="shared" si="129"/>
        <v>Used Vehicle</v>
      </c>
      <c r="R1454" s="315" t="str">
        <f t="shared" si="130"/>
        <v>Used VehicleSalaries &amp; Wages per retail</v>
      </c>
      <c r="S1454" s="199"/>
      <c r="T1454" s="199"/>
      <c r="U1454" s="199"/>
    </row>
    <row r="1455" spans="1:21" x14ac:dyDescent="0.25">
      <c r="A1455" t="s">
        <v>996</v>
      </c>
      <c r="B1455" t="s">
        <v>997</v>
      </c>
      <c r="C1455" t="s">
        <v>1005</v>
      </c>
      <c r="D1455">
        <v>7220</v>
      </c>
      <c r="E1455">
        <v>220</v>
      </c>
      <c r="F1455" t="s">
        <v>1239</v>
      </c>
      <c r="G1455" t="s">
        <v>1240</v>
      </c>
      <c r="H1455" s="315" t="s">
        <v>30</v>
      </c>
      <c r="I1455" s="315" t="s">
        <v>1241</v>
      </c>
      <c r="J1455" s="315" t="str">
        <f t="shared" si="126"/>
        <v>Used VehicleSalaries &amp; Wages per retail</v>
      </c>
      <c r="K1455" s="315" t="str">
        <f t="shared" si="127"/>
        <v>220Toyota UV Salaries &amp; Wages</v>
      </c>
      <c r="L1455" s="311">
        <f>+SUMIF('TUNZ Extracted TB'!M:M,$P1455,'TUNZ Extracted TB'!G:G)</f>
        <v>0</v>
      </c>
      <c r="M1455" s="311"/>
      <c r="N1455" s="311">
        <f>+SUMIF('Input Sheet'!$AE:$AE,P1455,'Input Sheet'!$X:$X)</f>
        <v>0</v>
      </c>
      <c r="O1455" s="311"/>
      <c r="P1455" t="str">
        <f t="shared" si="128"/>
        <v>220-7220</v>
      </c>
      <c r="Q1455" s="315" t="str">
        <f t="shared" si="129"/>
        <v>Used Vehicle</v>
      </c>
      <c r="R1455" s="315" t="str">
        <f t="shared" si="130"/>
        <v>Used VehicleSalaries &amp; Wages per retail</v>
      </c>
      <c r="S1455" s="199"/>
      <c r="T1455" s="199"/>
      <c r="U1455" s="199"/>
    </row>
    <row r="1456" spans="1:21" x14ac:dyDescent="0.25">
      <c r="A1456" t="s">
        <v>996</v>
      </c>
      <c r="B1456" t="s">
        <v>997</v>
      </c>
      <c r="C1456" t="s">
        <v>1005</v>
      </c>
      <c r="D1456">
        <v>7220</v>
      </c>
      <c r="E1456">
        <v>221</v>
      </c>
      <c r="F1456" t="s">
        <v>1239</v>
      </c>
      <c r="G1456" t="s">
        <v>1240</v>
      </c>
      <c r="H1456" s="315" t="s">
        <v>30</v>
      </c>
      <c r="I1456" s="315" t="s">
        <v>1241</v>
      </c>
      <c r="J1456" s="315" t="str">
        <f t="shared" si="126"/>
        <v>Used VehicleSalaries &amp; Wages per retail</v>
      </c>
      <c r="K1456" s="315" t="str">
        <f t="shared" si="127"/>
        <v>221Toyota UV Salaries &amp; Wages</v>
      </c>
      <c r="L1456" s="311">
        <f>+SUMIF('TUNZ Extracted TB'!M:M,$P1456,'TUNZ Extracted TB'!G:G)</f>
        <v>0</v>
      </c>
      <c r="M1456" s="311"/>
      <c r="N1456" s="311">
        <f>+SUMIF('Input Sheet'!$AE:$AE,P1456,'Input Sheet'!$X:$X)</f>
        <v>0</v>
      </c>
      <c r="O1456" s="311"/>
      <c r="P1456" t="str">
        <f t="shared" si="128"/>
        <v>221-7220</v>
      </c>
      <c r="Q1456" s="315" t="str">
        <f t="shared" si="129"/>
        <v>Used Vehicle</v>
      </c>
      <c r="R1456" s="315" t="str">
        <f t="shared" si="130"/>
        <v>Used VehicleSalaries &amp; Wages per retail</v>
      </c>
      <c r="S1456" s="199"/>
      <c r="T1456" s="199"/>
      <c r="U1456" s="199"/>
    </row>
    <row r="1457" spans="1:21" x14ac:dyDescent="0.25">
      <c r="A1457" t="s">
        <v>996</v>
      </c>
      <c r="B1457" t="s">
        <v>997</v>
      </c>
      <c r="C1457" t="s">
        <v>1012</v>
      </c>
      <c r="D1457">
        <v>7220</v>
      </c>
      <c r="E1457">
        <v>410</v>
      </c>
      <c r="F1457" t="s">
        <v>1239</v>
      </c>
      <c r="G1457" t="s">
        <v>1240</v>
      </c>
      <c r="H1457" s="315" t="s">
        <v>30</v>
      </c>
      <c r="I1457" s="315" t="s">
        <v>1241</v>
      </c>
      <c r="J1457" s="315" t="str">
        <f t="shared" si="126"/>
        <v>Used VehicleSalaries &amp; Wages per retail</v>
      </c>
      <c r="K1457" s="315" t="str">
        <f t="shared" si="127"/>
        <v>410Toyota UV Salaries &amp; Wages</v>
      </c>
      <c r="L1457" s="311">
        <f>+SUMIF('TUNZ Extracted TB'!M:M,$P1457,'TUNZ Extracted TB'!G:G)</f>
        <v>0</v>
      </c>
      <c r="M1457" s="311"/>
      <c r="N1457" s="311">
        <f>+SUMIF('Input Sheet'!$AE:$AE,P1457,'Input Sheet'!$X:$X)</f>
        <v>0</v>
      </c>
      <c r="O1457" s="311"/>
      <c r="P1457" t="str">
        <f t="shared" si="128"/>
        <v>410-7220</v>
      </c>
      <c r="Q1457" s="315" t="str">
        <f t="shared" si="129"/>
        <v>Used Vehicle</v>
      </c>
      <c r="R1457" s="315" t="str">
        <f t="shared" si="130"/>
        <v>Used VehicleSalaries &amp; Wages per retail</v>
      </c>
      <c r="S1457" s="199"/>
      <c r="T1457" s="199"/>
      <c r="U1457" s="199"/>
    </row>
    <row r="1458" spans="1:21" x14ac:dyDescent="0.25">
      <c r="A1458" t="s">
        <v>996</v>
      </c>
      <c r="B1458" t="s">
        <v>997</v>
      </c>
      <c r="C1458" t="s">
        <v>1012</v>
      </c>
      <c r="D1458">
        <v>7220</v>
      </c>
      <c r="E1458">
        <v>420</v>
      </c>
      <c r="F1458" t="s">
        <v>1239</v>
      </c>
      <c r="G1458" t="s">
        <v>1240</v>
      </c>
      <c r="H1458" s="315" t="s">
        <v>30</v>
      </c>
      <c r="I1458" s="315" t="s">
        <v>1241</v>
      </c>
      <c r="J1458" s="315" t="str">
        <f t="shared" si="126"/>
        <v>Used VehicleSalaries &amp; Wages per retail</v>
      </c>
      <c r="K1458" s="315" t="str">
        <f t="shared" si="127"/>
        <v>420Toyota UV Salaries &amp; Wages</v>
      </c>
      <c r="L1458" s="311">
        <f>+SUMIF('TUNZ Extracted TB'!M:M,$P1458,'TUNZ Extracted TB'!G:G)</f>
        <v>0</v>
      </c>
      <c r="M1458" s="311"/>
      <c r="N1458" s="311">
        <f>+SUMIF('Input Sheet'!$AE:$AE,P1458,'Input Sheet'!$X:$X)</f>
        <v>0</v>
      </c>
      <c r="O1458" s="311"/>
      <c r="P1458" t="str">
        <f t="shared" si="128"/>
        <v>420-7220</v>
      </c>
      <c r="Q1458" s="315" t="str">
        <f t="shared" si="129"/>
        <v>Used Vehicle</v>
      </c>
      <c r="R1458" s="315" t="str">
        <f t="shared" si="130"/>
        <v>Used VehicleSalaries &amp; Wages per retail</v>
      </c>
      <c r="S1458" s="199"/>
      <c r="T1458" s="199"/>
      <c r="U1458" s="199"/>
    </row>
    <row r="1459" spans="1:21" x14ac:dyDescent="0.25">
      <c r="A1459" t="s">
        <v>996</v>
      </c>
      <c r="B1459" t="s">
        <v>997</v>
      </c>
      <c r="C1459" t="s">
        <v>1012</v>
      </c>
      <c r="D1459">
        <v>7220</v>
      </c>
      <c r="E1459">
        <v>421</v>
      </c>
      <c r="F1459" t="s">
        <v>1239</v>
      </c>
      <c r="G1459" t="s">
        <v>1240</v>
      </c>
      <c r="H1459" s="315" t="s">
        <v>30</v>
      </c>
      <c r="I1459" s="315" t="s">
        <v>1241</v>
      </c>
      <c r="J1459" s="315" t="str">
        <f t="shared" si="126"/>
        <v>Used VehicleSalaries &amp; Wages per retail</v>
      </c>
      <c r="K1459" s="315" t="str">
        <f t="shared" si="127"/>
        <v>421Toyota UV Salaries &amp; Wages</v>
      </c>
      <c r="L1459" s="311">
        <f>+SUMIF('TUNZ Extracted TB'!M:M,$P1459,'TUNZ Extracted TB'!G:G)</f>
        <v>0</v>
      </c>
      <c r="M1459" s="311"/>
      <c r="N1459" s="311">
        <f>+SUMIF('Input Sheet'!$AE:$AE,P1459,'Input Sheet'!$X:$X)</f>
        <v>0</v>
      </c>
      <c r="O1459" s="311"/>
      <c r="P1459" t="str">
        <f t="shared" si="128"/>
        <v>421-7220</v>
      </c>
      <c r="Q1459" s="315" t="str">
        <f t="shared" si="129"/>
        <v>Used Vehicle</v>
      </c>
      <c r="R1459" s="315" t="str">
        <f t="shared" si="130"/>
        <v>Used VehicleSalaries &amp; Wages per retail</v>
      </c>
      <c r="S1459" s="199"/>
      <c r="T1459" s="199"/>
      <c r="U1459" s="199"/>
    </row>
    <row r="1460" spans="1:21" x14ac:dyDescent="0.25">
      <c r="A1460" t="s">
        <v>996</v>
      </c>
      <c r="B1460" t="s">
        <v>997</v>
      </c>
      <c r="C1460" t="s">
        <v>1013</v>
      </c>
      <c r="D1460">
        <v>7220</v>
      </c>
      <c r="E1460">
        <v>310</v>
      </c>
      <c r="F1460" t="s">
        <v>1239</v>
      </c>
      <c r="G1460" t="s">
        <v>1240</v>
      </c>
      <c r="H1460" s="315" t="s">
        <v>30</v>
      </c>
      <c r="I1460" s="315" t="s">
        <v>1241</v>
      </c>
      <c r="J1460" s="315" t="str">
        <f t="shared" si="126"/>
        <v>Used VehicleSalaries &amp; Wages per retail</v>
      </c>
      <c r="K1460" s="315" t="str">
        <f t="shared" si="127"/>
        <v>310Toyota UV Salaries &amp; Wages</v>
      </c>
      <c r="L1460" s="311">
        <f>+SUMIF('TUNZ Extracted TB'!M:M,$P1460,'TUNZ Extracted TB'!G:G)</f>
        <v>0</v>
      </c>
      <c r="M1460" s="311"/>
      <c r="N1460" s="311">
        <f>+SUMIF('Input Sheet'!$AE:$AE,P1460,'Input Sheet'!$X:$X)</f>
        <v>0</v>
      </c>
      <c r="O1460" s="311"/>
      <c r="P1460" t="str">
        <f t="shared" si="128"/>
        <v>310-7220</v>
      </c>
      <c r="Q1460" s="315" t="str">
        <f t="shared" si="129"/>
        <v>Used Vehicle</v>
      </c>
      <c r="R1460" s="315" t="str">
        <f t="shared" si="130"/>
        <v>Used VehicleSalaries &amp; Wages per retail</v>
      </c>
      <c r="S1460" s="199"/>
      <c r="T1460" s="199"/>
      <c r="U1460" s="199"/>
    </row>
    <row r="1461" spans="1:21" x14ac:dyDescent="0.25">
      <c r="A1461" t="s">
        <v>996</v>
      </c>
      <c r="B1461" t="s">
        <v>997</v>
      </c>
      <c r="C1461" t="s">
        <v>1013</v>
      </c>
      <c r="D1461">
        <v>7220</v>
      </c>
      <c r="E1461">
        <v>321</v>
      </c>
      <c r="F1461" t="s">
        <v>1239</v>
      </c>
      <c r="G1461" t="s">
        <v>1240</v>
      </c>
      <c r="H1461" s="315" t="s">
        <v>30</v>
      </c>
      <c r="I1461" s="315" t="s">
        <v>1241</v>
      </c>
      <c r="J1461" s="315" t="str">
        <f t="shared" si="126"/>
        <v>Used VehicleSalaries &amp; Wages per retail</v>
      </c>
      <c r="K1461" s="315" t="str">
        <f t="shared" si="127"/>
        <v>321Toyota UV Salaries &amp; Wages</v>
      </c>
      <c r="L1461" s="311">
        <f>+SUMIF('TUNZ Extracted TB'!M:M,$P1461,'TUNZ Extracted TB'!G:G)</f>
        <v>0</v>
      </c>
      <c r="M1461" s="311"/>
      <c r="N1461" s="311">
        <f>+SUMIF('Input Sheet'!$AE:$AE,P1461,'Input Sheet'!$X:$X)</f>
        <v>0</v>
      </c>
      <c r="O1461" s="311"/>
      <c r="P1461" t="str">
        <f t="shared" si="128"/>
        <v>321-7220</v>
      </c>
      <c r="Q1461" s="315" t="str">
        <f t="shared" si="129"/>
        <v>Used Vehicle</v>
      </c>
      <c r="R1461" s="315" t="str">
        <f t="shared" si="130"/>
        <v>Used VehicleSalaries &amp; Wages per retail</v>
      </c>
      <c r="S1461" s="199"/>
      <c r="T1461" s="199"/>
      <c r="U1461" s="199"/>
    </row>
    <row r="1462" spans="1:21" x14ac:dyDescent="0.25">
      <c r="A1462" t="s">
        <v>996</v>
      </c>
      <c r="B1462" t="s">
        <v>997</v>
      </c>
      <c r="C1462" t="s">
        <v>997</v>
      </c>
      <c r="D1462">
        <v>7220</v>
      </c>
      <c r="E1462">
        <v>120</v>
      </c>
      <c r="F1462" t="s">
        <v>1239</v>
      </c>
      <c r="G1462" t="s">
        <v>1240</v>
      </c>
      <c r="H1462" s="315" t="s">
        <v>30</v>
      </c>
      <c r="I1462" s="315" t="s">
        <v>1241</v>
      </c>
      <c r="J1462" s="315" t="str">
        <f t="shared" si="126"/>
        <v>Used VehicleSalaries &amp; Wages per retail</v>
      </c>
      <c r="K1462" s="315" t="str">
        <f t="shared" si="127"/>
        <v>120Toyota UV Salaries &amp; Wages</v>
      </c>
      <c r="L1462" s="311">
        <f>+SUMIF('TUNZ Extracted TB'!M:M,$P1462,'TUNZ Extracted TB'!G:G)</f>
        <v>0</v>
      </c>
      <c r="M1462" s="311"/>
      <c r="N1462" s="311">
        <f>+SUMIF('Input Sheet'!$AE:$AE,P1462,'Input Sheet'!$X:$X)</f>
        <v>0</v>
      </c>
      <c r="O1462" s="311"/>
      <c r="P1462" t="str">
        <f t="shared" si="128"/>
        <v>120-7220</v>
      </c>
      <c r="Q1462" s="315" t="str">
        <f t="shared" si="129"/>
        <v>Used Vehicle</v>
      </c>
      <c r="R1462" s="315" t="str">
        <f t="shared" si="130"/>
        <v>Used VehicleSalaries &amp; Wages per retail</v>
      </c>
      <c r="S1462" s="199"/>
      <c r="T1462" s="199"/>
      <c r="U1462" s="199"/>
    </row>
    <row r="1463" spans="1:21" x14ac:dyDescent="0.25">
      <c r="A1463" t="s">
        <v>996</v>
      </c>
      <c r="B1463" t="s">
        <v>997</v>
      </c>
      <c r="C1463" t="s">
        <v>997</v>
      </c>
      <c r="D1463">
        <v>7220</v>
      </c>
      <c r="E1463">
        <v>121</v>
      </c>
      <c r="F1463" t="s">
        <v>1239</v>
      </c>
      <c r="G1463" t="s">
        <v>1240</v>
      </c>
      <c r="H1463" s="315" t="s">
        <v>30</v>
      </c>
      <c r="I1463" s="315" t="s">
        <v>1241</v>
      </c>
      <c r="J1463" s="315" t="str">
        <f t="shared" si="126"/>
        <v>Used VehicleSalaries &amp; Wages per retail</v>
      </c>
      <c r="K1463" s="315" t="str">
        <f t="shared" si="127"/>
        <v>121Toyota UV Salaries &amp; Wages</v>
      </c>
      <c r="L1463" s="311">
        <f>+SUMIF('TUNZ Extracted TB'!M:M,$P1463,'TUNZ Extracted TB'!G:G)</f>
        <v>0</v>
      </c>
      <c r="M1463" s="311"/>
      <c r="N1463" s="311">
        <f>+SUMIF('Input Sheet'!$AE:$AE,P1463,'Input Sheet'!$X:$X)</f>
        <v>0</v>
      </c>
      <c r="O1463" s="311"/>
      <c r="P1463" t="str">
        <f t="shared" si="128"/>
        <v>121-7220</v>
      </c>
      <c r="Q1463" s="315" t="str">
        <f t="shared" si="129"/>
        <v>Used Vehicle</v>
      </c>
      <c r="R1463" s="315" t="str">
        <f t="shared" si="130"/>
        <v>Used VehicleSalaries &amp; Wages per retail</v>
      </c>
      <c r="S1463" s="199"/>
      <c r="T1463" s="199"/>
      <c r="U1463" s="199"/>
    </row>
    <row r="1464" spans="1:21" x14ac:dyDescent="0.25">
      <c r="A1464" t="s">
        <v>996</v>
      </c>
      <c r="B1464" t="s">
        <v>997</v>
      </c>
      <c r="C1464" t="s">
        <v>1005</v>
      </c>
      <c r="D1464">
        <v>7240</v>
      </c>
      <c r="E1464">
        <v>240</v>
      </c>
      <c r="F1464" t="s">
        <v>1353</v>
      </c>
      <c r="G1464" t="s">
        <v>1354</v>
      </c>
      <c r="H1464" s="315" t="s">
        <v>1000</v>
      </c>
      <c r="I1464" s="315" t="s">
        <v>1276</v>
      </c>
      <c r="J1464" s="315" t="str">
        <f t="shared" si="126"/>
        <v xml:space="preserve">Admin &amp; OtherStaff Remuneration &amp; Benefits as % of Total Gross </v>
      </c>
      <c r="K1464" s="315" t="str">
        <f t="shared" si="127"/>
        <v>240Staff Benefits (Superannuation, FBT, ACC) - Toyota</v>
      </c>
      <c r="L1464" s="311">
        <f>+SUMIF('TUNZ Extracted TB'!M:M,$P1464,'TUNZ Extracted TB'!G:G)</f>
        <v>576.48</v>
      </c>
      <c r="M1464" s="311"/>
      <c r="N1464" s="311">
        <f>+SUMIF('Input Sheet'!$AE:$AE,P1464,'Input Sheet'!$X:$X)</f>
        <v>0</v>
      </c>
      <c r="O1464" s="311"/>
      <c r="P1464" t="str">
        <f t="shared" si="128"/>
        <v>240-7240</v>
      </c>
      <c r="Q1464" s="315" t="str">
        <f t="shared" si="129"/>
        <v>Admin &amp; Other</v>
      </c>
      <c r="R1464" s="315" t="str">
        <f t="shared" si="130"/>
        <v xml:space="preserve">Admin &amp; OtherStaff Remuneration &amp; Benefits as % of Total Gross </v>
      </c>
      <c r="S1464" s="199"/>
      <c r="T1464" s="199"/>
      <c r="U1464" s="199"/>
    </row>
    <row r="1465" spans="1:21" x14ac:dyDescent="0.25">
      <c r="A1465" t="s">
        <v>996</v>
      </c>
      <c r="B1465" t="s">
        <v>997</v>
      </c>
      <c r="C1465" t="s">
        <v>1013</v>
      </c>
      <c r="D1465">
        <v>7240</v>
      </c>
      <c r="E1465">
        <v>340</v>
      </c>
      <c r="F1465" t="s">
        <v>1353</v>
      </c>
      <c r="G1465" t="s">
        <v>1354</v>
      </c>
      <c r="H1465" s="315" t="s">
        <v>1000</v>
      </c>
      <c r="I1465" s="315" t="s">
        <v>1276</v>
      </c>
      <c r="J1465" s="315" t="str">
        <f t="shared" si="126"/>
        <v xml:space="preserve">Admin &amp; OtherStaff Remuneration &amp; Benefits as % of Total Gross </v>
      </c>
      <c r="K1465" s="315" t="str">
        <f t="shared" si="127"/>
        <v>340Staff Benefits (Superannuation, FBT, ACC) - Toyota</v>
      </c>
      <c r="L1465" s="311">
        <f>+SUMIF('TUNZ Extracted TB'!M:M,$P1465,'TUNZ Extracted TB'!G:G)</f>
        <v>373.02</v>
      </c>
      <c r="M1465" s="311"/>
      <c r="N1465" s="311">
        <f>+SUMIF('Input Sheet'!$AE:$AE,P1465,'Input Sheet'!$X:$X)</f>
        <v>0</v>
      </c>
      <c r="O1465" s="311"/>
      <c r="P1465" t="str">
        <f t="shared" si="128"/>
        <v>340-7240</v>
      </c>
      <c r="Q1465" s="315" t="str">
        <f t="shared" si="129"/>
        <v>Admin &amp; Other</v>
      </c>
      <c r="R1465" s="315" t="str">
        <f t="shared" si="130"/>
        <v xml:space="preserve">Admin &amp; OtherStaff Remuneration &amp; Benefits as % of Total Gross </v>
      </c>
      <c r="S1465" s="199"/>
      <c r="T1465" s="199"/>
      <c r="U1465" s="199"/>
    </row>
    <row r="1466" spans="1:21" x14ac:dyDescent="0.25">
      <c r="A1466" t="s">
        <v>996</v>
      </c>
      <c r="B1466" t="s">
        <v>997</v>
      </c>
      <c r="C1466" t="s">
        <v>1012</v>
      </c>
      <c r="D1466">
        <v>7240</v>
      </c>
      <c r="E1466">
        <v>440</v>
      </c>
      <c r="F1466" t="s">
        <v>1353</v>
      </c>
      <c r="G1466" t="s">
        <v>1354</v>
      </c>
      <c r="H1466" s="315" t="s">
        <v>1000</v>
      </c>
      <c r="I1466" s="315" t="s">
        <v>1276</v>
      </c>
      <c r="J1466" s="315" t="str">
        <f t="shared" si="126"/>
        <v xml:space="preserve">Admin &amp; OtherStaff Remuneration &amp; Benefits as % of Total Gross </v>
      </c>
      <c r="K1466" s="315" t="str">
        <f t="shared" si="127"/>
        <v>440Staff Benefits (Superannuation, FBT, ACC) - Toyota</v>
      </c>
      <c r="L1466" s="311">
        <f>+SUMIF('TUNZ Extracted TB'!M:M,$P1466,'TUNZ Extracted TB'!G:G)</f>
        <v>373.02</v>
      </c>
      <c r="M1466" s="311"/>
      <c r="N1466" s="311">
        <f>+SUMIF('Input Sheet'!$AE:$AE,P1466,'Input Sheet'!$X:$X)</f>
        <v>0</v>
      </c>
      <c r="O1466" s="311"/>
      <c r="P1466" t="str">
        <f t="shared" si="128"/>
        <v>440-7240</v>
      </c>
      <c r="Q1466" s="315" t="str">
        <f t="shared" si="129"/>
        <v>Admin &amp; Other</v>
      </c>
      <c r="R1466" s="315" t="str">
        <f t="shared" si="130"/>
        <v xml:space="preserve">Admin &amp; OtherStaff Remuneration &amp; Benefits as % of Total Gross </v>
      </c>
      <c r="S1466" s="199"/>
      <c r="T1466" s="199"/>
      <c r="U1466" s="199"/>
    </row>
    <row r="1467" spans="1:21" x14ac:dyDescent="0.25">
      <c r="A1467" t="s">
        <v>996</v>
      </c>
      <c r="B1467" t="s">
        <v>997</v>
      </c>
      <c r="C1467" t="s">
        <v>997</v>
      </c>
      <c r="D1467">
        <v>7240</v>
      </c>
      <c r="E1467">
        <v>150</v>
      </c>
      <c r="F1467" t="s">
        <v>1353</v>
      </c>
      <c r="G1467" t="s">
        <v>1354</v>
      </c>
      <c r="H1467" s="315" t="s">
        <v>1023</v>
      </c>
      <c r="I1467" s="315" t="s">
        <v>1276</v>
      </c>
      <c r="J1467" s="315" t="str">
        <f t="shared" si="126"/>
        <v xml:space="preserve">LEX Admin &amp; OtherStaff Remuneration &amp; Benefits as % of Total Gross </v>
      </c>
      <c r="K1467" s="315" t="str">
        <f t="shared" si="127"/>
        <v>150Staff Benefits (Superannuation, FBT, ACC) - Toyota</v>
      </c>
      <c r="L1467" s="311">
        <f>+SUMIF('TUNZ Extracted TB'!M:M,$P1467,'TUNZ Extracted TB'!G:G)</f>
        <v>271.27999999999997</v>
      </c>
      <c r="M1467" s="311"/>
      <c r="N1467" s="311">
        <f>+SUMIF('Input Sheet'!$AE:$AE,P1467,'Input Sheet'!$X:$X)</f>
        <v>0</v>
      </c>
      <c r="O1467" s="311"/>
      <c r="P1467" t="str">
        <f t="shared" si="128"/>
        <v>150-7240</v>
      </c>
      <c r="Q1467" s="315" t="str">
        <f t="shared" si="129"/>
        <v>LEX Admin &amp; Other</v>
      </c>
      <c r="R1467" s="315" t="str">
        <f t="shared" si="130"/>
        <v xml:space="preserve">LEX Admin &amp; OtherStaff Remuneration &amp; Benefits as % of Total Gross </v>
      </c>
      <c r="S1467" s="199"/>
      <c r="T1467" s="199"/>
      <c r="U1467" s="199"/>
    </row>
    <row r="1468" spans="1:21" x14ac:dyDescent="0.25">
      <c r="A1468" t="s">
        <v>996</v>
      </c>
      <c r="B1468" t="s">
        <v>997</v>
      </c>
      <c r="C1468" t="s">
        <v>997</v>
      </c>
      <c r="D1468">
        <v>7240</v>
      </c>
      <c r="E1468">
        <v>935</v>
      </c>
      <c r="F1468" t="s">
        <v>1175</v>
      </c>
      <c r="G1468" t="s">
        <v>1176</v>
      </c>
      <c r="H1468" s="315" t="s">
        <v>1023</v>
      </c>
      <c r="I1468" s="315" t="s">
        <v>1276</v>
      </c>
      <c r="J1468" s="315" t="str">
        <f t="shared" si="126"/>
        <v xml:space="preserve">LEX Admin &amp; OtherStaff Remuneration &amp; Benefits as % of Total Gross </v>
      </c>
      <c r="K1468" s="315" t="str">
        <f t="shared" si="127"/>
        <v>935Other franchise/business expense</v>
      </c>
      <c r="L1468" s="311">
        <f>+SUMIF('TUNZ Extracted TB'!M:M,$P1468,'TUNZ Extracted TB'!G:G)</f>
        <v>169.55</v>
      </c>
      <c r="M1468" s="311"/>
      <c r="N1468" s="311">
        <f>+SUMIF('Input Sheet'!$AE:$AE,P1468,'Input Sheet'!$X:$X)</f>
        <v>0</v>
      </c>
      <c r="O1468" s="311"/>
      <c r="P1468" t="str">
        <f t="shared" si="128"/>
        <v>935-7240</v>
      </c>
      <c r="Q1468" s="315" t="str">
        <f t="shared" si="129"/>
        <v>LEX Admin &amp; Other</v>
      </c>
      <c r="R1468" s="315" t="str">
        <f t="shared" si="130"/>
        <v xml:space="preserve">LEX Admin &amp; OtherStaff Remuneration &amp; Benefits as % of Total Gross </v>
      </c>
      <c r="S1468" s="199"/>
      <c r="T1468" s="199"/>
      <c r="U1468" s="199"/>
    </row>
    <row r="1469" spans="1:21" x14ac:dyDescent="0.25">
      <c r="A1469" t="s">
        <v>996</v>
      </c>
      <c r="B1469" t="s">
        <v>997</v>
      </c>
      <c r="C1469" t="s">
        <v>1005</v>
      </c>
      <c r="D1469">
        <v>7240</v>
      </c>
      <c r="E1469">
        <v>210</v>
      </c>
      <c r="F1469" t="s">
        <v>1353</v>
      </c>
      <c r="G1469" t="s">
        <v>1354</v>
      </c>
      <c r="H1469" s="315" t="s">
        <v>1000</v>
      </c>
      <c r="I1469" s="315" t="s">
        <v>1276</v>
      </c>
      <c r="J1469" s="315" t="str">
        <f t="shared" si="126"/>
        <v xml:space="preserve">Admin &amp; OtherStaff Remuneration &amp; Benefits as % of Total Gross </v>
      </c>
      <c r="K1469" s="315" t="str">
        <f t="shared" si="127"/>
        <v>210Staff Benefits (Superannuation, FBT, ACC) - Toyota</v>
      </c>
      <c r="L1469" s="311">
        <f>+SUMIF('TUNZ Extracted TB'!M:M,$P1469,'TUNZ Extracted TB'!G:G)</f>
        <v>135.63999999999999</v>
      </c>
      <c r="M1469" s="311"/>
      <c r="N1469" s="311">
        <f>+SUMIF('Input Sheet'!$AE:$AE,P1469,'Input Sheet'!$X:$X)</f>
        <v>0</v>
      </c>
      <c r="O1469" s="311"/>
      <c r="P1469" t="str">
        <f t="shared" si="128"/>
        <v>210-7240</v>
      </c>
      <c r="Q1469" s="315" t="str">
        <f t="shared" si="129"/>
        <v>Admin &amp; Other</v>
      </c>
      <c r="R1469" s="315" t="str">
        <f t="shared" si="130"/>
        <v xml:space="preserve">Admin &amp; OtherStaff Remuneration &amp; Benefits as % of Total Gross </v>
      </c>
      <c r="S1469" s="199"/>
      <c r="T1469" s="199"/>
      <c r="U1469" s="199"/>
    </row>
    <row r="1470" spans="1:21" x14ac:dyDescent="0.25">
      <c r="A1470" t="s">
        <v>996</v>
      </c>
      <c r="B1470" t="s">
        <v>997</v>
      </c>
      <c r="C1470" t="s">
        <v>1005</v>
      </c>
      <c r="D1470">
        <v>7240</v>
      </c>
      <c r="E1470">
        <v>220</v>
      </c>
      <c r="F1470" t="s">
        <v>1353</v>
      </c>
      <c r="G1470" t="s">
        <v>1354</v>
      </c>
      <c r="H1470" s="315" t="s">
        <v>1000</v>
      </c>
      <c r="I1470" s="315" t="s">
        <v>1276</v>
      </c>
      <c r="J1470" s="315" t="str">
        <f t="shared" si="126"/>
        <v xml:space="preserve">Admin &amp; OtherStaff Remuneration &amp; Benefits as % of Total Gross </v>
      </c>
      <c r="K1470" s="315" t="str">
        <f t="shared" si="127"/>
        <v>220Staff Benefits (Superannuation, FBT, ACC) - Toyota</v>
      </c>
      <c r="L1470" s="311">
        <f>+SUMIF('TUNZ Extracted TB'!M:M,$P1470,'TUNZ Extracted TB'!G:G)</f>
        <v>135.63999999999999</v>
      </c>
      <c r="M1470" s="311"/>
      <c r="N1470" s="311">
        <f>+SUMIF('Input Sheet'!$AE:$AE,P1470,'Input Sheet'!$X:$X)</f>
        <v>0</v>
      </c>
      <c r="O1470" s="311"/>
      <c r="P1470" t="str">
        <f t="shared" si="128"/>
        <v>220-7240</v>
      </c>
      <c r="Q1470" s="315" t="str">
        <f t="shared" si="129"/>
        <v>Admin &amp; Other</v>
      </c>
      <c r="R1470" s="315" t="str">
        <f t="shared" si="130"/>
        <v xml:space="preserve">Admin &amp; OtherStaff Remuneration &amp; Benefits as % of Total Gross </v>
      </c>
      <c r="S1470" s="199"/>
      <c r="T1470" s="199"/>
      <c r="U1470" s="199"/>
    </row>
    <row r="1471" spans="1:21" x14ac:dyDescent="0.25">
      <c r="A1471" t="s">
        <v>996</v>
      </c>
      <c r="B1471" t="s">
        <v>997</v>
      </c>
      <c r="C1471" t="s">
        <v>997</v>
      </c>
      <c r="D1471">
        <v>7240</v>
      </c>
      <c r="E1471">
        <v>120</v>
      </c>
      <c r="F1471" t="s">
        <v>1353</v>
      </c>
      <c r="G1471" t="s">
        <v>1354</v>
      </c>
      <c r="H1471" s="315" t="s">
        <v>1000</v>
      </c>
      <c r="I1471" s="315" t="s">
        <v>1276</v>
      </c>
      <c r="J1471" s="315" t="str">
        <f t="shared" si="126"/>
        <v xml:space="preserve">Admin &amp; OtherStaff Remuneration &amp; Benefits as % of Total Gross </v>
      </c>
      <c r="K1471" s="315" t="str">
        <f t="shared" si="127"/>
        <v>120Staff Benefits (Superannuation, FBT, ACC) - Toyota</v>
      </c>
      <c r="L1471" s="311">
        <f>+SUMIF('TUNZ Extracted TB'!M:M,$P1471,'TUNZ Extracted TB'!G:G)</f>
        <v>101.73</v>
      </c>
      <c r="M1471" s="311"/>
      <c r="N1471" s="311">
        <f>+SUMIF('Input Sheet'!$AE:$AE,P1471,'Input Sheet'!$X:$X)</f>
        <v>0</v>
      </c>
      <c r="O1471" s="311"/>
      <c r="P1471" t="str">
        <f t="shared" si="128"/>
        <v>120-7240</v>
      </c>
      <c r="Q1471" s="315" t="str">
        <f t="shared" si="129"/>
        <v>Admin &amp; Other</v>
      </c>
      <c r="R1471" s="315" t="str">
        <f t="shared" si="130"/>
        <v xml:space="preserve">Admin &amp; OtherStaff Remuneration &amp; Benefits as % of Total Gross </v>
      </c>
      <c r="S1471" s="199"/>
      <c r="T1471" s="199"/>
      <c r="U1471" s="199"/>
    </row>
    <row r="1472" spans="1:21" x14ac:dyDescent="0.25">
      <c r="A1472" t="s">
        <v>996</v>
      </c>
      <c r="B1472" t="s">
        <v>997</v>
      </c>
      <c r="C1472" t="s">
        <v>1005</v>
      </c>
      <c r="D1472">
        <v>7240</v>
      </c>
      <c r="E1472">
        <v>230</v>
      </c>
      <c r="F1472" t="s">
        <v>1353</v>
      </c>
      <c r="G1472" t="s">
        <v>1354</v>
      </c>
      <c r="H1472" s="315" t="s">
        <v>1000</v>
      </c>
      <c r="I1472" s="315" t="s">
        <v>1276</v>
      </c>
      <c r="J1472" s="315" t="str">
        <f t="shared" si="126"/>
        <v xml:space="preserve">Admin &amp; OtherStaff Remuneration &amp; Benefits as % of Total Gross </v>
      </c>
      <c r="K1472" s="315" t="str">
        <f t="shared" si="127"/>
        <v>230Staff Benefits (Superannuation, FBT, ACC) - Toyota</v>
      </c>
      <c r="L1472" s="311">
        <f>+SUMIF('TUNZ Extracted TB'!M:M,$P1472,'TUNZ Extracted TB'!G:G)</f>
        <v>101.73</v>
      </c>
      <c r="M1472" s="311"/>
      <c r="N1472" s="311">
        <f>+SUMIF('Input Sheet'!$AE:$AE,P1472,'Input Sheet'!$X:$X)</f>
        <v>0</v>
      </c>
      <c r="O1472" s="311"/>
      <c r="P1472" t="str">
        <f t="shared" si="128"/>
        <v>230-7240</v>
      </c>
      <c r="Q1472" s="315" t="str">
        <f t="shared" si="129"/>
        <v>Admin &amp; Other</v>
      </c>
      <c r="R1472" s="315" t="str">
        <f t="shared" si="130"/>
        <v xml:space="preserve">Admin &amp; OtherStaff Remuneration &amp; Benefits as % of Total Gross </v>
      </c>
      <c r="S1472" s="199"/>
      <c r="T1472" s="199"/>
      <c r="U1472" s="199"/>
    </row>
    <row r="1473" spans="1:21" x14ac:dyDescent="0.25">
      <c r="A1473" t="s">
        <v>996</v>
      </c>
      <c r="B1473" t="s">
        <v>997</v>
      </c>
      <c r="C1473" t="s">
        <v>997</v>
      </c>
      <c r="D1473">
        <v>7240</v>
      </c>
      <c r="E1473">
        <v>160</v>
      </c>
      <c r="F1473" t="s">
        <v>1353</v>
      </c>
      <c r="G1473" t="s">
        <v>1354</v>
      </c>
      <c r="H1473" s="315" t="s">
        <v>1000</v>
      </c>
      <c r="I1473" s="315" t="s">
        <v>1276</v>
      </c>
      <c r="J1473" s="315" t="str">
        <f t="shared" si="126"/>
        <v xml:space="preserve">Admin &amp; OtherStaff Remuneration &amp; Benefits as % of Total Gross </v>
      </c>
      <c r="K1473" s="315" t="str">
        <f t="shared" si="127"/>
        <v>160Staff Benefits (Superannuation, FBT, ACC) - Toyota</v>
      </c>
      <c r="L1473" s="311">
        <f>+SUMIF('TUNZ Extracted TB'!M:M,$P1473,'TUNZ Extracted TB'!G:G)</f>
        <v>101.73</v>
      </c>
      <c r="M1473" s="311"/>
      <c r="N1473" s="311">
        <f>+SUMIF('Input Sheet'!$AE:$AE,P1473,'Input Sheet'!$X:$X)</f>
        <v>0</v>
      </c>
      <c r="O1473" s="311"/>
      <c r="P1473" t="str">
        <f t="shared" si="128"/>
        <v>160-7240</v>
      </c>
      <c r="Q1473" s="315" t="str">
        <f t="shared" si="129"/>
        <v>Admin &amp; Other</v>
      </c>
      <c r="R1473" s="315" t="str">
        <f t="shared" si="130"/>
        <v xml:space="preserve">Admin &amp; OtherStaff Remuneration &amp; Benefits as % of Total Gross </v>
      </c>
      <c r="S1473" s="199"/>
      <c r="T1473" s="199"/>
      <c r="U1473" s="199"/>
    </row>
    <row r="1474" spans="1:21" x14ac:dyDescent="0.25">
      <c r="A1474" t="s">
        <v>996</v>
      </c>
      <c r="B1474" t="s">
        <v>997</v>
      </c>
      <c r="C1474" t="s">
        <v>997</v>
      </c>
      <c r="D1474">
        <v>7240</v>
      </c>
      <c r="E1474">
        <v>121</v>
      </c>
      <c r="F1474" t="s">
        <v>1353</v>
      </c>
      <c r="G1474" t="s">
        <v>1354</v>
      </c>
      <c r="H1474" s="315" t="s">
        <v>1000</v>
      </c>
      <c r="I1474" s="315" t="s">
        <v>1276</v>
      </c>
      <c r="J1474" s="315" t="str">
        <f t="shared" si="126"/>
        <v xml:space="preserve">Admin &amp; OtherStaff Remuneration &amp; Benefits as % of Total Gross </v>
      </c>
      <c r="K1474" s="315" t="str">
        <f t="shared" si="127"/>
        <v>121Staff Benefits (Superannuation, FBT, ACC) - Toyota</v>
      </c>
      <c r="L1474" s="311">
        <f>+SUMIF('TUNZ Extracted TB'!M:M,$P1474,'TUNZ Extracted TB'!G:G)</f>
        <v>67.819999999999993</v>
      </c>
      <c r="M1474" s="311"/>
      <c r="N1474" s="311">
        <f>+SUMIF('Input Sheet'!$AE:$AE,P1474,'Input Sheet'!$X:$X)</f>
        <v>0</v>
      </c>
      <c r="O1474" s="311"/>
      <c r="P1474" t="str">
        <f t="shared" si="128"/>
        <v>121-7240</v>
      </c>
      <c r="Q1474" s="315" t="str">
        <f t="shared" si="129"/>
        <v>Admin &amp; Other</v>
      </c>
      <c r="R1474" s="315" t="str">
        <f t="shared" si="130"/>
        <v xml:space="preserve">Admin &amp; OtherStaff Remuneration &amp; Benefits as % of Total Gross </v>
      </c>
      <c r="S1474" s="199"/>
      <c r="T1474" s="199"/>
      <c r="U1474" s="199"/>
    </row>
    <row r="1475" spans="1:21" x14ac:dyDescent="0.25">
      <c r="A1475" t="s">
        <v>996</v>
      </c>
      <c r="B1475" t="s">
        <v>997</v>
      </c>
      <c r="C1475" t="s">
        <v>1005</v>
      </c>
      <c r="D1475">
        <v>7240</v>
      </c>
      <c r="E1475">
        <v>260</v>
      </c>
      <c r="F1475" t="s">
        <v>1353</v>
      </c>
      <c r="G1475" t="s">
        <v>1354</v>
      </c>
      <c r="H1475" s="315" t="s">
        <v>1000</v>
      </c>
      <c r="I1475" s="315" t="s">
        <v>1276</v>
      </c>
      <c r="J1475" s="315" t="str">
        <f t="shared" ref="J1475:J1538" si="131">+H1475&amp;I1475</f>
        <v xml:space="preserve">Admin &amp; OtherStaff Remuneration &amp; Benefits as % of Total Gross </v>
      </c>
      <c r="K1475" s="315" t="str">
        <f t="shared" ref="K1475:K1538" si="132">+E1475&amp;G1475</f>
        <v>260Staff Benefits (Superannuation, FBT, ACC) - Toyota</v>
      </c>
      <c r="L1475" s="311">
        <f>+SUMIF('TUNZ Extracted TB'!M:M,$P1475,'TUNZ Extracted TB'!G:G)</f>
        <v>67.819999999999993</v>
      </c>
      <c r="M1475" s="311"/>
      <c r="N1475" s="311">
        <f>+SUMIF('Input Sheet'!$AE:$AE,P1475,'Input Sheet'!$X:$X)</f>
        <v>0</v>
      </c>
      <c r="O1475" s="311"/>
      <c r="P1475" t="str">
        <f t="shared" ref="P1475:P1538" si="133">+E1475&amp;"-"&amp;D1475</f>
        <v>260-7240</v>
      </c>
      <c r="Q1475" s="315" t="str">
        <f t="shared" ref="Q1475:Q1538" si="134">H1475</f>
        <v>Admin &amp; Other</v>
      </c>
      <c r="R1475" s="315" t="str">
        <f t="shared" ref="R1475:R1538" si="135">J1475</f>
        <v xml:space="preserve">Admin &amp; OtherStaff Remuneration &amp; Benefits as % of Total Gross </v>
      </c>
      <c r="S1475" s="199"/>
      <c r="T1475" s="199"/>
      <c r="U1475" s="199"/>
    </row>
    <row r="1476" spans="1:21" x14ac:dyDescent="0.25">
      <c r="A1476" t="s">
        <v>996</v>
      </c>
      <c r="B1476" t="s">
        <v>997</v>
      </c>
      <c r="C1476" t="s">
        <v>997</v>
      </c>
      <c r="D1476">
        <v>7240</v>
      </c>
      <c r="E1476">
        <v>936</v>
      </c>
      <c r="F1476" t="s">
        <v>1175</v>
      </c>
      <c r="G1476" t="s">
        <v>1176</v>
      </c>
      <c r="H1476" s="315" t="s">
        <v>1023</v>
      </c>
      <c r="I1476" s="315" t="s">
        <v>1276</v>
      </c>
      <c r="J1476" s="315" t="str">
        <f t="shared" si="131"/>
        <v xml:space="preserve">LEX Admin &amp; OtherStaff Remuneration &amp; Benefits as % of Total Gross </v>
      </c>
      <c r="K1476" s="315" t="str">
        <f t="shared" si="132"/>
        <v>936Other franchise/business expense</v>
      </c>
      <c r="L1476" s="311">
        <f>+SUMIF('TUNZ Extracted TB'!M:M,$P1476,'TUNZ Extracted TB'!G:G)</f>
        <v>33.909999999999997</v>
      </c>
      <c r="M1476" s="311"/>
      <c r="N1476" s="311">
        <f>+SUMIF('Input Sheet'!$AE:$AE,P1476,'Input Sheet'!$X:$X)</f>
        <v>0</v>
      </c>
      <c r="O1476" s="311"/>
      <c r="P1476" t="str">
        <f t="shared" si="133"/>
        <v>936-7240</v>
      </c>
      <c r="Q1476" s="315" t="str">
        <f t="shared" si="134"/>
        <v>LEX Admin &amp; Other</v>
      </c>
      <c r="R1476" s="315" t="str">
        <f t="shared" si="135"/>
        <v xml:space="preserve">LEX Admin &amp; OtherStaff Remuneration &amp; Benefits as % of Total Gross </v>
      </c>
      <c r="S1476" s="199"/>
      <c r="T1476" s="199"/>
      <c r="U1476" s="199"/>
    </row>
    <row r="1477" spans="1:21" x14ac:dyDescent="0.25">
      <c r="A1477" t="s">
        <v>996</v>
      </c>
      <c r="B1477" t="s">
        <v>997</v>
      </c>
      <c r="C1477" t="s">
        <v>1013</v>
      </c>
      <c r="D1477">
        <v>7240</v>
      </c>
      <c r="E1477">
        <v>330</v>
      </c>
      <c r="F1477" t="s">
        <v>1353</v>
      </c>
      <c r="G1477" t="s">
        <v>1354</v>
      </c>
      <c r="H1477" s="315" t="s">
        <v>1000</v>
      </c>
      <c r="I1477" s="315" t="s">
        <v>1276</v>
      </c>
      <c r="J1477" s="315" t="str">
        <f t="shared" si="131"/>
        <v xml:space="preserve">Admin &amp; OtherStaff Remuneration &amp; Benefits as % of Total Gross </v>
      </c>
      <c r="K1477" s="315" t="str">
        <f t="shared" si="132"/>
        <v>330Staff Benefits (Superannuation, FBT, ACC) - Toyota</v>
      </c>
      <c r="L1477" s="311">
        <f>+SUMIF('TUNZ Extracted TB'!M:M,$P1477,'TUNZ Extracted TB'!G:G)</f>
        <v>33.909999999999997</v>
      </c>
      <c r="M1477" s="311"/>
      <c r="N1477" s="311">
        <f>+SUMIF('Input Sheet'!$AE:$AE,P1477,'Input Sheet'!$X:$X)</f>
        <v>0</v>
      </c>
      <c r="O1477" s="311"/>
      <c r="P1477" t="str">
        <f t="shared" si="133"/>
        <v>330-7240</v>
      </c>
      <c r="Q1477" s="315" t="str">
        <f t="shared" si="134"/>
        <v>Admin &amp; Other</v>
      </c>
      <c r="R1477" s="315" t="str">
        <f t="shared" si="135"/>
        <v xml:space="preserve">Admin &amp; OtherStaff Remuneration &amp; Benefits as % of Total Gross </v>
      </c>
      <c r="S1477" s="199"/>
      <c r="T1477" s="199"/>
      <c r="U1477" s="199"/>
    </row>
    <row r="1478" spans="1:21" x14ac:dyDescent="0.25">
      <c r="A1478" t="s">
        <v>996</v>
      </c>
      <c r="B1478" t="s">
        <v>997</v>
      </c>
      <c r="C1478" t="s">
        <v>1012</v>
      </c>
      <c r="D1478">
        <v>7240</v>
      </c>
      <c r="E1478">
        <v>430</v>
      </c>
      <c r="F1478" t="s">
        <v>1353</v>
      </c>
      <c r="G1478" t="s">
        <v>1354</v>
      </c>
      <c r="H1478" s="315" t="s">
        <v>1000</v>
      </c>
      <c r="I1478" s="315" t="s">
        <v>1276</v>
      </c>
      <c r="J1478" s="315" t="str">
        <f t="shared" si="131"/>
        <v xml:space="preserve">Admin &amp; OtherStaff Remuneration &amp; Benefits as % of Total Gross </v>
      </c>
      <c r="K1478" s="315" t="str">
        <f t="shared" si="132"/>
        <v>430Staff Benefits (Superannuation, FBT, ACC) - Toyota</v>
      </c>
      <c r="L1478" s="311">
        <f>+SUMIF('TUNZ Extracted TB'!M:M,$P1478,'TUNZ Extracted TB'!G:G)</f>
        <v>33.909999999999997</v>
      </c>
      <c r="M1478" s="311"/>
      <c r="N1478" s="311">
        <f>+SUMIF('Input Sheet'!$AE:$AE,P1478,'Input Sheet'!$X:$X)</f>
        <v>0</v>
      </c>
      <c r="O1478" s="311"/>
      <c r="P1478" t="str">
        <f t="shared" si="133"/>
        <v>430-7240</v>
      </c>
      <c r="Q1478" s="315" t="str">
        <f t="shared" si="134"/>
        <v>Admin &amp; Other</v>
      </c>
      <c r="R1478" s="315" t="str">
        <f t="shared" si="135"/>
        <v xml:space="preserve">Admin &amp; OtherStaff Remuneration &amp; Benefits as % of Total Gross </v>
      </c>
      <c r="S1478" s="199"/>
      <c r="T1478" s="199"/>
      <c r="U1478" s="199"/>
    </row>
    <row r="1479" spans="1:21" x14ac:dyDescent="0.25">
      <c r="A1479" s="316">
        <v>44866</v>
      </c>
      <c r="B1479" t="s">
        <v>997</v>
      </c>
      <c r="C1479" t="s">
        <v>997</v>
      </c>
      <c r="D1479">
        <v>7240</v>
      </c>
      <c r="E1479">
        <v>190</v>
      </c>
      <c r="G1479" t="s">
        <v>929</v>
      </c>
      <c r="H1479" s="315" t="s">
        <v>1000</v>
      </c>
      <c r="I1479" s="315" t="s">
        <v>1001</v>
      </c>
      <c r="J1479" s="315" t="str">
        <f t="shared" si="131"/>
        <v>Admin &amp; OtherOther Overheads as % of Total Gross Profit</v>
      </c>
      <c r="K1479" s="315" t="str">
        <f t="shared" si="132"/>
        <v>190ACC</v>
      </c>
      <c r="L1479" s="311">
        <f>+SUMIF('TUNZ Extracted TB'!M:M,$P1479,'TUNZ Extracted TB'!G:G)</f>
        <v>0</v>
      </c>
      <c r="M1479" s="311"/>
      <c r="N1479" s="311">
        <f>+SUMIF('Input Sheet'!$AE:$AE,P1479,'Input Sheet'!$X:$X)</f>
        <v>0</v>
      </c>
      <c r="O1479" s="311"/>
      <c r="P1479" t="str">
        <f t="shared" si="133"/>
        <v>190-7240</v>
      </c>
      <c r="Q1479" s="315" t="str">
        <f t="shared" si="134"/>
        <v>Admin &amp; Other</v>
      </c>
      <c r="R1479" s="315" t="str">
        <f t="shared" si="135"/>
        <v>Admin &amp; OtherOther Overheads as % of Total Gross Profit</v>
      </c>
      <c r="S1479" s="199"/>
      <c r="T1479" s="199"/>
      <c r="U1479" s="199"/>
    </row>
    <row r="1480" spans="1:21" x14ac:dyDescent="0.25">
      <c r="A1480" t="s">
        <v>996</v>
      </c>
      <c r="B1480" t="s">
        <v>997</v>
      </c>
      <c r="C1480" t="s">
        <v>997</v>
      </c>
      <c r="D1480">
        <v>7240</v>
      </c>
      <c r="E1480">
        <v>140</v>
      </c>
      <c r="F1480" t="s">
        <v>1353</v>
      </c>
      <c r="G1480" t="s">
        <v>1354</v>
      </c>
      <c r="H1480" s="315" t="s">
        <v>1000</v>
      </c>
      <c r="I1480" s="315" t="s">
        <v>1276</v>
      </c>
      <c r="J1480" s="315" t="str">
        <f t="shared" si="131"/>
        <v xml:space="preserve">Admin &amp; OtherStaff Remuneration &amp; Benefits as % of Total Gross </v>
      </c>
      <c r="K1480" s="315" t="str">
        <f t="shared" si="132"/>
        <v>140Staff Benefits (Superannuation, FBT, ACC) - Toyota</v>
      </c>
      <c r="L1480" s="311">
        <f>+SUMIF('TUNZ Extracted TB'!M:M,$P1480,'TUNZ Extracted TB'!G:G)</f>
        <v>949.5</v>
      </c>
      <c r="M1480" s="311"/>
      <c r="N1480" s="311">
        <f>+SUMIF('Input Sheet'!$AE:$AE,P1480,'Input Sheet'!$X:$X)</f>
        <v>0</v>
      </c>
      <c r="O1480" s="311"/>
      <c r="P1480" t="str">
        <f t="shared" si="133"/>
        <v>140-7240</v>
      </c>
      <c r="Q1480" s="315" t="str">
        <f t="shared" si="134"/>
        <v>Admin &amp; Other</v>
      </c>
      <c r="R1480" s="315" t="str">
        <f t="shared" si="135"/>
        <v xml:space="preserve">Admin &amp; OtherStaff Remuneration &amp; Benefits as % of Total Gross </v>
      </c>
      <c r="S1480" s="199"/>
      <c r="T1480" s="199"/>
      <c r="U1480" s="199"/>
    </row>
    <row r="1481" spans="1:21" x14ac:dyDescent="0.25">
      <c r="A1481" t="s">
        <v>996</v>
      </c>
      <c r="B1481" t="s">
        <v>997</v>
      </c>
      <c r="C1481" t="s">
        <v>997</v>
      </c>
      <c r="D1481">
        <v>7240</v>
      </c>
      <c r="E1481">
        <v>142</v>
      </c>
      <c r="F1481" t="s">
        <v>1355</v>
      </c>
      <c r="G1481" t="s">
        <v>1356</v>
      </c>
      <c r="H1481" s="315" t="s">
        <v>1023</v>
      </c>
      <c r="I1481" s="315" t="s">
        <v>1276</v>
      </c>
      <c r="J1481" s="315" t="str">
        <f t="shared" si="131"/>
        <v xml:space="preserve">LEX Admin &amp; OtherStaff Remuneration &amp; Benefits as % of Total Gross </v>
      </c>
      <c r="K1481" s="315" t="str">
        <f t="shared" si="132"/>
        <v>142Staff Benefits (Superannuation, FBT, ACC) - Lexus</v>
      </c>
      <c r="L1481" s="311">
        <f>+SUMIF('TUNZ Extracted TB'!M:M,$P1481,'TUNZ Extracted TB'!G:G)</f>
        <v>508.66</v>
      </c>
      <c r="M1481" s="311"/>
      <c r="N1481" s="311">
        <f>+SUMIF('Input Sheet'!$AE:$AE,P1481,'Input Sheet'!$X:$X)</f>
        <v>0</v>
      </c>
      <c r="O1481" s="311"/>
      <c r="P1481" t="str">
        <f t="shared" si="133"/>
        <v>142-7240</v>
      </c>
      <c r="Q1481" s="315" t="str">
        <f t="shared" si="134"/>
        <v>LEX Admin &amp; Other</v>
      </c>
      <c r="R1481" s="315" t="str">
        <f t="shared" si="135"/>
        <v xml:space="preserve">LEX Admin &amp; OtherStaff Remuneration &amp; Benefits as % of Total Gross </v>
      </c>
      <c r="S1481" s="199"/>
      <c r="T1481" s="199"/>
      <c r="U1481" s="199"/>
    </row>
    <row r="1482" spans="1:21" x14ac:dyDescent="0.25">
      <c r="A1482" t="s">
        <v>996</v>
      </c>
      <c r="B1482" t="s">
        <v>997</v>
      </c>
      <c r="C1482" t="s">
        <v>997</v>
      </c>
      <c r="D1482">
        <v>7240</v>
      </c>
      <c r="E1482">
        <v>130</v>
      </c>
      <c r="F1482" t="s">
        <v>1353</v>
      </c>
      <c r="G1482" t="s">
        <v>1354</v>
      </c>
      <c r="H1482" s="315" t="s">
        <v>1000</v>
      </c>
      <c r="I1482" s="315" t="s">
        <v>1276</v>
      </c>
      <c r="J1482" s="315" t="str">
        <f t="shared" si="131"/>
        <v xml:space="preserve">Admin &amp; OtherStaff Remuneration &amp; Benefits as % of Total Gross </v>
      </c>
      <c r="K1482" s="315" t="str">
        <f t="shared" si="132"/>
        <v>130Staff Benefits (Superannuation, FBT, ACC) - Toyota</v>
      </c>
      <c r="L1482" s="311">
        <f>+SUMIF('TUNZ Extracted TB'!M:M,$P1482,'TUNZ Extracted TB'!G:G)</f>
        <v>373.02</v>
      </c>
      <c r="M1482" s="311"/>
      <c r="N1482" s="311">
        <f>+SUMIF('Input Sheet'!$AE:$AE,P1482,'Input Sheet'!$X:$X)</f>
        <v>0</v>
      </c>
      <c r="O1482" s="311"/>
      <c r="P1482" t="str">
        <f t="shared" si="133"/>
        <v>130-7240</v>
      </c>
      <c r="Q1482" s="315" t="str">
        <f t="shared" si="134"/>
        <v>Admin &amp; Other</v>
      </c>
      <c r="R1482" s="315" t="str">
        <f t="shared" si="135"/>
        <v xml:space="preserve">Admin &amp; OtherStaff Remuneration &amp; Benefits as % of Total Gross </v>
      </c>
      <c r="S1482" s="199"/>
      <c r="T1482" s="199"/>
      <c r="U1482" s="199"/>
    </row>
    <row r="1483" spans="1:21" x14ac:dyDescent="0.25">
      <c r="A1483" t="s">
        <v>996</v>
      </c>
      <c r="B1483" t="s">
        <v>997</v>
      </c>
      <c r="C1483" t="s">
        <v>997</v>
      </c>
      <c r="D1483">
        <v>7240</v>
      </c>
      <c r="E1483">
        <v>132</v>
      </c>
      <c r="F1483" t="s">
        <v>1355</v>
      </c>
      <c r="G1483" t="s">
        <v>1356</v>
      </c>
      <c r="H1483" s="315" t="s">
        <v>1023</v>
      </c>
      <c r="I1483" s="315" t="s">
        <v>1276</v>
      </c>
      <c r="J1483" s="315" t="str">
        <f t="shared" si="131"/>
        <v xml:space="preserve">LEX Admin &amp; OtherStaff Remuneration &amp; Benefits as % of Total Gross </v>
      </c>
      <c r="K1483" s="315" t="str">
        <f t="shared" si="132"/>
        <v>132Staff Benefits (Superannuation, FBT, ACC) - Lexus</v>
      </c>
      <c r="L1483" s="311">
        <f>+SUMIF('TUNZ Extracted TB'!M:M,$P1483,'TUNZ Extracted TB'!G:G)</f>
        <v>0</v>
      </c>
      <c r="M1483" s="311"/>
      <c r="N1483" s="311">
        <f>+SUMIF('Input Sheet'!$AE:$AE,P1483,'Input Sheet'!$X:$X)</f>
        <v>0</v>
      </c>
      <c r="O1483" s="311"/>
      <c r="P1483" t="str">
        <f t="shared" si="133"/>
        <v>132-7240</v>
      </c>
      <c r="Q1483" s="315" t="str">
        <f t="shared" si="134"/>
        <v>LEX Admin &amp; Other</v>
      </c>
      <c r="R1483" s="315" t="str">
        <f t="shared" si="135"/>
        <v xml:space="preserve">LEX Admin &amp; OtherStaff Remuneration &amp; Benefits as % of Total Gross </v>
      </c>
      <c r="S1483" s="199"/>
      <c r="T1483" s="199"/>
      <c r="U1483" s="199"/>
    </row>
    <row r="1484" spans="1:21" x14ac:dyDescent="0.25">
      <c r="A1484" t="s">
        <v>996</v>
      </c>
      <c r="B1484" t="s">
        <v>997</v>
      </c>
      <c r="C1484" t="s">
        <v>997</v>
      </c>
      <c r="D1484">
        <v>7240</v>
      </c>
      <c r="E1484">
        <v>110</v>
      </c>
      <c r="F1484" t="s">
        <v>1353</v>
      </c>
      <c r="G1484" t="s">
        <v>1354</v>
      </c>
      <c r="H1484" s="315" t="s">
        <v>1000</v>
      </c>
      <c r="I1484" s="315" t="s">
        <v>1276</v>
      </c>
      <c r="J1484" s="315" t="str">
        <f t="shared" si="131"/>
        <v xml:space="preserve">Admin &amp; OtherStaff Remuneration &amp; Benefits as % of Total Gross </v>
      </c>
      <c r="K1484" s="315" t="str">
        <f t="shared" si="132"/>
        <v>110Staff Benefits (Superannuation, FBT, ACC) - Toyota</v>
      </c>
      <c r="L1484" s="311">
        <f>+SUMIF('TUNZ Extracted TB'!M:M,$P1484,'TUNZ Extracted TB'!G:G)</f>
        <v>305.20999999999998</v>
      </c>
      <c r="M1484" s="311"/>
      <c r="N1484" s="311">
        <f>+SUMIF('Input Sheet'!$AE:$AE,P1484,'Input Sheet'!$X:$X)</f>
        <v>0</v>
      </c>
      <c r="O1484" s="311"/>
      <c r="P1484" t="str">
        <f t="shared" si="133"/>
        <v>110-7240</v>
      </c>
      <c r="Q1484" s="315" t="str">
        <f t="shared" si="134"/>
        <v>Admin &amp; Other</v>
      </c>
      <c r="R1484" s="315" t="str">
        <f t="shared" si="135"/>
        <v xml:space="preserve">Admin &amp; OtherStaff Remuneration &amp; Benefits as % of Total Gross </v>
      </c>
      <c r="S1484" s="199"/>
      <c r="T1484" s="199"/>
      <c r="U1484" s="199"/>
    </row>
    <row r="1485" spans="1:21" x14ac:dyDescent="0.25">
      <c r="A1485" t="s">
        <v>996</v>
      </c>
      <c r="B1485" t="s">
        <v>997</v>
      </c>
      <c r="C1485" t="s">
        <v>997</v>
      </c>
      <c r="D1485">
        <v>7240</v>
      </c>
      <c r="E1485">
        <v>112</v>
      </c>
      <c r="F1485" t="s">
        <v>1355</v>
      </c>
      <c r="G1485" t="s">
        <v>1356</v>
      </c>
      <c r="H1485" s="315" t="s">
        <v>1023</v>
      </c>
      <c r="I1485" s="315" t="s">
        <v>1276</v>
      </c>
      <c r="J1485" s="315" t="str">
        <f t="shared" si="131"/>
        <v xml:space="preserve">LEX Admin &amp; OtherStaff Remuneration &amp; Benefits as % of Total Gross </v>
      </c>
      <c r="K1485" s="315" t="str">
        <f t="shared" si="132"/>
        <v>112Staff Benefits (Superannuation, FBT, ACC) - Lexus</v>
      </c>
      <c r="L1485" s="311">
        <f>+SUMIF('TUNZ Extracted TB'!M:M,$P1485,'TUNZ Extracted TB'!G:G)</f>
        <v>169.55</v>
      </c>
      <c r="M1485" s="311"/>
      <c r="N1485" s="311">
        <f>+SUMIF('Input Sheet'!$AE:$AE,P1485,'Input Sheet'!$X:$X)</f>
        <v>0</v>
      </c>
      <c r="O1485" s="311"/>
      <c r="P1485" t="str">
        <f t="shared" si="133"/>
        <v>112-7240</v>
      </c>
      <c r="Q1485" s="315" t="str">
        <f t="shared" si="134"/>
        <v>LEX Admin &amp; Other</v>
      </c>
      <c r="R1485" s="315" t="str">
        <f t="shared" si="135"/>
        <v xml:space="preserve">LEX Admin &amp; OtherStaff Remuneration &amp; Benefits as % of Total Gross </v>
      </c>
      <c r="S1485" s="199"/>
      <c r="T1485" s="199"/>
      <c r="U1485" s="199"/>
    </row>
    <row r="1486" spans="1:21" x14ac:dyDescent="0.25">
      <c r="A1486" t="s">
        <v>996</v>
      </c>
      <c r="B1486" t="s">
        <v>997</v>
      </c>
      <c r="C1486" t="s">
        <v>997</v>
      </c>
      <c r="D1486">
        <v>7240</v>
      </c>
      <c r="E1486">
        <v>100</v>
      </c>
      <c r="F1486" t="s">
        <v>1353</v>
      </c>
      <c r="G1486" t="s">
        <v>1354</v>
      </c>
      <c r="H1486" s="315" t="s">
        <v>1000</v>
      </c>
      <c r="I1486" s="315" t="s">
        <v>1276</v>
      </c>
      <c r="J1486" s="315" t="str">
        <f t="shared" si="131"/>
        <v xml:space="preserve">Admin &amp; OtherStaff Remuneration &amp; Benefits as % of Total Gross </v>
      </c>
      <c r="K1486" s="315" t="str">
        <f t="shared" si="132"/>
        <v>100Staff Benefits (Superannuation, FBT, ACC) - Toyota</v>
      </c>
      <c r="L1486" s="311">
        <f>+SUMIF('TUNZ Extracted TB'!M:M,$P1486,'TUNZ Extracted TB'!G:G)</f>
        <v>0</v>
      </c>
      <c r="M1486" s="311"/>
      <c r="N1486" s="311">
        <f>+SUMIF('Input Sheet'!$AE:$AE,P1486,'Input Sheet'!$X:$X)</f>
        <v>0</v>
      </c>
      <c r="O1486" s="311"/>
      <c r="P1486" t="str">
        <f t="shared" si="133"/>
        <v>100-7240</v>
      </c>
      <c r="Q1486" s="315" t="str">
        <f t="shared" si="134"/>
        <v>Admin &amp; Other</v>
      </c>
      <c r="R1486" s="315" t="str">
        <f t="shared" si="135"/>
        <v xml:space="preserve">Admin &amp; OtherStaff Remuneration &amp; Benefits as % of Total Gross </v>
      </c>
      <c r="S1486" s="199"/>
      <c r="T1486" s="199"/>
      <c r="U1486" s="199"/>
    </row>
    <row r="1487" spans="1:21" x14ac:dyDescent="0.25">
      <c r="A1487" t="s">
        <v>996</v>
      </c>
      <c r="B1487" t="s">
        <v>997</v>
      </c>
      <c r="C1487" t="s">
        <v>997</v>
      </c>
      <c r="D1487">
        <v>7240</v>
      </c>
      <c r="E1487">
        <v>122</v>
      </c>
      <c r="F1487" t="s">
        <v>1355</v>
      </c>
      <c r="G1487" t="s">
        <v>1356</v>
      </c>
      <c r="H1487" s="315" t="s">
        <v>1023</v>
      </c>
      <c r="I1487" s="315" t="s">
        <v>1276</v>
      </c>
      <c r="J1487" s="315" t="str">
        <f t="shared" si="131"/>
        <v xml:space="preserve">LEX Admin &amp; OtherStaff Remuneration &amp; Benefits as % of Total Gross </v>
      </c>
      <c r="K1487" s="315" t="str">
        <f t="shared" si="132"/>
        <v>122Staff Benefits (Superannuation, FBT, ACC) - Lexus</v>
      </c>
      <c r="L1487" s="311">
        <f>+SUMIF('TUNZ Extracted TB'!M:M,$P1487,'TUNZ Extracted TB'!G:G)</f>
        <v>0</v>
      </c>
      <c r="M1487" s="311"/>
      <c r="N1487" s="311">
        <f>+SUMIF('Input Sheet'!$AE:$AE,P1487,'Input Sheet'!$X:$X)</f>
        <v>0</v>
      </c>
      <c r="O1487" s="311"/>
      <c r="P1487" t="str">
        <f t="shared" si="133"/>
        <v>122-7240</v>
      </c>
      <c r="Q1487" s="315" t="str">
        <f t="shared" si="134"/>
        <v>LEX Admin &amp; Other</v>
      </c>
      <c r="R1487" s="315" t="str">
        <f t="shared" si="135"/>
        <v xml:space="preserve">LEX Admin &amp; OtherStaff Remuneration &amp; Benefits as % of Total Gross </v>
      </c>
      <c r="S1487" s="199"/>
      <c r="T1487" s="199"/>
      <c r="U1487" s="199"/>
    </row>
    <row r="1488" spans="1:21" x14ac:dyDescent="0.25">
      <c r="A1488" t="s">
        <v>996</v>
      </c>
      <c r="B1488" t="s">
        <v>997</v>
      </c>
      <c r="C1488" t="s">
        <v>997</v>
      </c>
      <c r="D1488">
        <v>7240</v>
      </c>
      <c r="E1488">
        <v>162</v>
      </c>
      <c r="F1488" t="s">
        <v>1355</v>
      </c>
      <c r="G1488" t="s">
        <v>1356</v>
      </c>
      <c r="H1488" s="315" t="s">
        <v>1023</v>
      </c>
      <c r="I1488" s="315" t="s">
        <v>1276</v>
      </c>
      <c r="J1488" s="315" t="str">
        <f t="shared" si="131"/>
        <v xml:space="preserve">LEX Admin &amp; OtherStaff Remuneration &amp; Benefits as % of Total Gross </v>
      </c>
      <c r="K1488" s="315" t="str">
        <f t="shared" si="132"/>
        <v>162Staff Benefits (Superannuation, FBT, ACC) - Lexus</v>
      </c>
      <c r="L1488" s="311">
        <f>+SUMIF('TUNZ Extracted TB'!M:M,$P1488,'TUNZ Extracted TB'!G:G)</f>
        <v>0</v>
      </c>
      <c r="M1488" s="311"/>
      <c r="N1488" s="311">
        <f>+SUMIF('Input Sheet'!$AE:$AE,P1488,'Input Sheet'!$X:$X)</f>
        <v>0</v>
      </c>
      <c r="O1488" s="311"/>
      <c r="P1488" t="str">
        <f t="shared" si="133"/>
        <v>162-7240</v>
      </c>
      <c r="Q1488" s="315" t="str">
        <f t="shared" si="134"/>
        <v>LEX Admin &amp; Other</v>
      </c>
      <c r="R1488" s="315" t="str">
        <f t="shared" si="135"/>
        <v xml:space="preserve">LEX Admin &amp; OtherStaff Remuneration &amp; Benefits as % of Total Gross </v>
      </c>
      <c r="S1488" s="199"/>
      <c r="T1488" s="199"/>
      <c r="U1488" s="199"/>
    </row>
    <row r="1489" spans="1:21" x14ac:dyDescent="0.25">
      <c r="A1489" t="s">
        <v>996</v>
      </c>
      <c r="B1489" t="s">
        <v>997</v>
      </c>
      <c r="C1489" t="s">
        <v>1005</v>
      </c>
      <c r="D1489">
        <v>7240</v>
      </c>
      <c r="E1489">
        <v>200</v>
      </c>
      <c r="F1489" t="s">
        <v>1353</v>
      </c>
      <c r="G1489" t="s">
        <v>1354</v>
      </c>
      <c r="H1489" s="315" t="s">
        <v>1000</v>
      </c>
      <c r="I1489" s="315" t="s">
        <v>1276</v>
      </c>
      <c r="J1489" s="315" t="str">
        <f t="shared" si="131"/>
        <v xml:space="preserve">Admin &amp; OtherStaff Remuneration &amp; Benefits as % of Total Gross </v>
      </c>
      <c r="K1489" s="315" t="str">
        <f t="shared" si="132"/>
        <v>200Staff Benefits (Superannuation, FBT, ACC) - Toyota</v>
      </c>
      <c r="L1489" s="311">
        <f>+SUMIF('TUNZ Extracted TB'!M:M,$P1489,'TUNZ Extracted TB'!G:G)</f>
        <v>0</v>
      </c>
      <c r="M1489" s="311"/>
      <c r="N1489" s="311">
        <f>+SUMIF('Input Sheet'!$AE:$AE,P1489,'Input Sheet'!$X:$X)</f>
        <v>0</v>
      </c>
      <c r="O1489" s="311"/>
      <c r="P1489" t="str">
        <f t="shared" si="133"/>
        <v>200-7240</v>
      </c>
      <c r="Q1489" s="315" t="str">
        <f t="shared" si="134"/>
        <v>Admin &amp; Other</v>
      </c>
      <c r="R1489" s="315" t="str">
        <f t="shared" si="135"/>
        <v xml:space="preserve">Admin &amp; OtherStaff Remuneration &amp; Benefits as % of Total Gross </v>
      </c>
      <c r="S1489" s="199"/>
      <c r="T1489" s="199"/>
      <c r="U1489" s="199"/>
    </row>
    <row r="1490" spans="1:21" x14ac:dyDescent="0.25">
      <c r="A1490" t="s">
        <v>996</v>
      </c>
      <c r="B1490" t="s">
        <v>997</v>
      </c>
      <c r="C1490" t="s">
        <v>1005</v>
      </c>
      <c r="D1490">
        <v>7240</v>
      </c>
      <c r="E1490">
        <v>221</v>
      </c>
      <c r="F1490" t="s">
        <v>1353</v>
      </c>
      <c r="G1490" t="s">
        <v>1354</v>
      </c>
      <c r="H1490" s="315" t="s">
        <v>1000</v>
      </c>
      <c r="I1490" s="315" t="s">
        <v>1276</v>
      </c>
      <c r="J1490" s="315" t="str">
        <f t="shared" si="131"/>
        <v xml:space="preserve">Admin &amp; OtherStaff Remuneration &amp; Benefits as % of Total Gross </v>
      </c>
      <c r="K1490" s="315" t="str">
        <f t="shared" si="132"/>
        <v>221Staff Benefits (Superannuation, FBT, ACC) - Toyota</v>
      </c>
      <c r="L1490" s="311">
        <f>+SUMIF('TUNZ Extracted TB'!M:M,$P1490,'TUNZ Extracted TB'!G:G)</f>
        <v>0</v>
      </c>
      <c r="M1490" s="311"/>
      <c r="N1490" s="311">
        <f>+SUMIF('Input Sheet'!$AE:$AE,P1490,'Input Sheet'!$X:$X)</f>
        <v>0</v>
      </c>
      <c r="O1490" s="311"/>
      <c r="P1490" t="str">
        <f t="shared" si="133"/>
        <v>221-7240</v>
      </c>
      <c r="Q1490" s="315" t="str">
        <f t="shared" si="134"/>
        <v>Admin &amp; Other</v>
      </c>
      <c r="R1490" s="315" t="str">
        <f t="shared" si="135"/>
        <v xml:space="preserve">Admin &amp; OtherStaff Remuneration &amp; Benefits as % of Total Gross </v>
      </c>
      <c r="S1490" s="199"/>
      <c r="T1490" s="199"/>
      <c r="U1490" s="199"/>
    </row>
    <row r="1491" spans="1:21" x14ac:dyDescent="0.25">
      <c r="A1491" t="s">
        <v>996</v>
      </c>
      <c r="B1491" t="s">
        <v>997</v>
      </c>
      <c r="C1491" t="s">
        <v>1012</v>
      </c>
      <c r="D1491">
        <v>7240</v>
      </c>
      <c r="E1491">
        <v>400</v>
      </c>
      <c r="F1491" t="s">
        <v>1353</v>
      </c>
      <c r="G1491" t="s">
        <v>1354</v>
      </c>
      <c r="H1491" s="315" t="s">
        <v>1000</v>
      </c>
      <c r="I1491" s="315" t="s">
        <v>1276</v>
      </c>
      <c r="J1491" s="315" t="str">
        <f t="shared" si="131"/>
        <v xml:space="preserve">Admin &amp; OtherStaff Remuneration &amp; Benefits as % of Total Gross </v>
      </c>
      <c r="K1491" s="315" t="str">
        <f t="shared" si="132"/>
        <v>400Staff Benefits (Superannuation, FBT, ACC) - Toyota</v>
      </c>
      <c r="L1491" s="311">
        <f>+SUMIF('TUNZ Extracted TB'!M:M,$P1491,'TUNZ Extracted TB'!G:G)</f>
        <v>0</v>
      </c>
      <c r="M1491" s="311"/>
      <c r="N1491" s="311">
        <f>+SUMIF('Input Sheet'!$AE:$AE,P1491,'Input Sheet'!$X:$X)</f>
        <v>0</v>
      </c>
      <c r="O1491" s="311"/>
      <c r="P1491" t="str">
        <f t="shared" si="133"/>
        <v>400-7240</v>
      </c>
      <c r="Q1491" s="315" t="str">
        <f t="shared" si="134"/>
        <v>Admin &amp; Other</v>
      </c>
      <c r="R1491" s="315" t="str">
        <f t="shared" si="135"/>
        <v xml:space="preserve">Admin &amp; OtherStaff Remuneration &amp; Benefits as % of Total Gross </v>
      </c>
      <c r="S1491" s="199"/>
      <c r="T1491" s="199"/>
      <c r="U1491" s="199"/>
    </row>
    <row r="1492" spans="1:21" x14ac:dyDescent="0.25">
      <c r="A1492" t="s">
        <v>996</v>
      </c>
      <c r="B1492" t="s">
        <v>997</v>
      </c>
      <c r="C1492" t="s">
        <v>1012</v>
      </c>
      <c r="D1492">
        <v>7240</v>
      </c>
      <c r="E1492">
        <v>410</v>
      </c>
      <c r="F1492" t="s">
        <v>1353</v>
      </c>
      <c r="G1492" t="s">
        <v>1354</v>
      </c>
      <c r="H1492" s="315" t="s">
        <v>1000</v>
      </c>
      <c r="I1492" s="315" t="s">
        <v>1276</v>
      </c>
      <c r="J1492" s="315" t="str">
        <f t="shared" si="131"/>
        <v xml:space="preserve">Admin &amp; OtherStaff Remuneration &amp; Benefits as % of Total Gross </v>
      </c>
      <c r="K1492" s="315" t="str">
        <f t="shared" si="132"/>
        <v>410Staff Benefits (Superannuation, FBT, ACC) - Toyota</v>
      </c>
      <c r="L1492" s="311">
        <f>+SUMIF('TUNZ Extracted TB'!M:M,$P1492,'TUNZ Extracted TB'!G:G)</f>
        <v>0</v>
      </c>
      <c r="M1492" s="311"/>
      <c r="N1492" s="311">
        <f>+SUMIF('Input Sheet'!$AE:$AE,P1492,'Input Sheet'!$X:$X)</f>
        <v>0</v>
      </c>
      <c r="O1492" s="311"/>
      <c r="P1492" t="str">
        <f t="shared" si="133"/>
        <v>410-7240</v>
      </c>
      <c r="Q1492" s="315" t="str">
        <f t="shared" si="134"/>
        <v>Admin &amp; Other</v>
      </c>
      <c r="R1492" s="315" t="str">
        <f t="shared" si="135"/>
        <v xml:space="preserve">Admin &amp; OtherStaff Remuneration &amp; Benefits as % of Total Gross </v>
      </c>
      <c r="S1492" s="199"/>
      <c r="T1492" s="199"/>
      <c r="U1492" s="199"/>
    </row>
    <row r="1493" spans="1:21" x14ac:dyDescent="0.25">
      <c r="A1493" t="s">
        <v>996</v>
      </c>
      <c r="B1493" t="s">
        <v>997</v>
      </c>
      <c r="C1493" t="s">
        <v>1012</v>
      </c>
      <c r="D1493">
        <v>7240</v>
      </c>
      <c r="E1493">
        <v>420</v>
      </c>
      <c r="F1493" t="s">
        <v>1353</v>
      </c>
      <c r="G1493" t="s">
        <v>1354</v>
      </c>
      <c r="H1493" s="315" t="s">
        <v>1000</v>
      </c>
      <c r="I1493" s="315" t="s">
        <v>1276</v>
      </c>
      <c r="J1493" s="315" t="str">
        <f t="shared" si="131"/>
        <v xml:space="preserve">Admin &amp; OtherStaff Remuneration &amp; Benefits as % of Total Gross </v>
      </c>
      <c r="K1493" s="315" t="str">
        <f t="shared" si="132"/>
        <v>420Staff Benefits (Superannuation, FBT, ACC) - Toyota</v>
      </c>
      <c r="L1493" s="311">
        <f>+SUMIF('TUNZ Extracted TB'!M:M,$P1493,'TUNZ Extracted TB'!G:G)</f>
        <v>0</v>
      </c>
      <c r="M1493" s="311"/>
      <c r="N1493" s="311">
        <f>+SUMIF('Input Sheet'!$AE:$AE,P1493,'Input Sheet'!$X:$X)</f>
        <v>0</v>
      </c>
      <c r="O1493" s="311"/>
      <c r="P1493" t="str">
        <f t="shared" si="133"/>
        <v>420-7240</v>
      </c>
      <c r="Q1493" s="315" t="str">
        <f t="shared" si="134"/>
        <v>Admin &amp; Other</v>
      </c>
      <c r="R1493" s="315" t="str">
        <f t="shared" si="135"/>
        <v xml:space="preserve">Admin &amp; OtherStaff Remuneration &amp; Benefits as % of Total Gross </v>
      </c>
      <c r="S1493" s="199"/>
      <c r="T1493" s="199"/>
      <c r="U1493" s="199"/>
    </row>
    <row r="1494" spans="1:21" x14ac:dyDescent="0.25">
      <c r="A1494" t="s">
        <v>996</v>
      </c>
      <c r="B1494" t="s">
        <v>997</v>
      </c>
      <c r="C1494" t="s">
        <v>1012</v>
      </c>
      <c r="D1494">
        <v>7240</v>
      </c>
      <c r="E1494">
        <v>421</v>
      </c>
      <c r="F1494" t="s">
        <v>1353</v>
      </c>
      <c r="G1494" t="s">
        <v>1354</v>
      </c>
      <c r="H1494" s="315" t="s">
        <v>1000</v>
      </c>
      <c r="I1494" s="315" t="s">
        <v>1276</v>
      </c>
      <c r="J1494" s="315" t="str">
        <f t="shared" si="131"/>
        <v xml:space="preserve">Admin &amp; OtherStaff Remuneration &amp; Benefits as % of Total Gross </v>
      </c>
      <c r="K1494" s="315" t="str">
        <f t="shared" si="132"/>
        <v>421Staff Benefits (Superannuation, FBT, ACC) - Toyota</v>
      </c>
      <c r="L1494" s="311">
        <f>+SUMIF('TUNZ Extracted TB'!M:M,$P1494,'TUNZ Extracted TB'!G:G)</f>
        <v>0</v>
      </c>
      <c r="M1494" s="311"/>
      <c r="N1494" s="311">
        <f>+SUMIF('Input Sheet'!$AE:$AE,P1494,'Input Sheet'!$X:$X)</f>
        <v>0</v>
      </c>
      <c r="O1494" s="311"/>
      <c r="P1494" t="str">
        <f t="shared" si="133"/>
        <v>421-7240</v>
      </c>
      <c r="Q1494" s="315" t="str">
        <f t="shared" si="134"/>
        <v>Admin &amp; Other</v>
      </c>
      <c r="R1494" s="315" t="str">
        <f t="shared" si="135"/>
        <v xml:space="preserve">Admin &amp; OtherStaff Remuneration &amp; Benefits as % of Total Gross </v>
      </c>
      <c r="S1494" s="199"/>
      <c r="T1494" s="199"/>
      <c r="U1494" s="199"/>
    </row>
    <row r="1495" spans="1:21" x14ac:dyDescent="0.25">
      <c r="A1495" t="s">
        <v>996</v>
      </c>
      <c r="B1495" t="s">
        <v>997</v>
      </c>
      <c r="C1495" t="s">
        <v>1012</v>
      </c>
      <c r="D1495">
        <v>7240</v>
      </c>
      <c r="E1495">
        <v>460</v>
      </c>
      <c r="F1495" t="s">
        <v>1353</v>
      </c>
      <c r="G1495" t="s">
        <v>1354</v>
      </c>
      <c r="H1495" s="315" t="s">
        <v>1000</v>
      </c>
      <c r="I1495" s="315" t="s">
        <v>1276</v>
      </c>
      <c r="J1495" s="315" t="str">
        <f t="shared" si="131"/>
        <v xml:space="preserve">Admin &amp; OtherStaff Remuneration &amp; Benefits as % of Total Gross </v>
      </c>
      <c r="K1495" s="315" t="str">
        <f t="shared" si="132"/>
        <v>460Staff Benefits (Superannuation, FBT, ACC) - Toyota</v>
      </c>
      <c r="L1495" s="311">
        <f>+SUMIF('TUNZ Extracted TB'!M:M,$P1495,'TUNZ Extracted TB'!G:G)</f>
        <v>0</v>
      </c>
      <c r="M1495" s="311"/>
      <c r="N1495" s="311">
        <f>+SUMIF('Input Sheet'!$AE:$AE,P1495,'Input Sheet'!$X:$X)</f>
        <v>0</v>
      </c>
      <c r="O1495" s="311"/>
      <c r="P1495" t="str">
        <f t="shared" si="133"/>
        <v>460-7240</v>
      </c>
      <c r="Q1495" s="315" t="str">
        <f t="shared" si="134"/>
        <v>Admin &amp; Other</v>
      </c>
      <c r="R1495" s="315" t="str">
        <f t="shared" si="135"/>
        <v xml:space="preserve">Admin &amp; OtherStaff Remuneration &amp; Benefits as % of Total Gross </v>
      </c>
      <c r="S1495" s="199"/>
      <c r="T1495" s="199"/>
      <c r="U1495" s="199"/>
    </row>
    <row r="1496" spans="1:21" x14ac:dyDescent="0.25">
      <c r="A1496" t="s">
        <v>996</v>
      </c>
      <c r="B1496" t="s">
        <v>997</v>
      </c>
      <c r="C1496" t="s">
        <v>1013</v>
      </c>
      <c r="D1496">
        <v>7240</v>
      </c>
      <c r="E1496">
        <v>300</v>
      </c>
      <c r="F1496" t="s">
        <v>1353</v>
      </c>
      <c r="G1496" t="s">
        <v>1354</v>
      </c>
      <c r="H1496" s="315" t="s">
        <v>1000</v>
      </c>
      <c r="I1496" s="315" t="s">
        <v>1276</v>
      </c>
      <c r="J1496" s="315" t="str">
        <f t="shared" si="131"/>
        <v xml:space="preserve">Admin &amp; OtherStaff Remuneration &amp; Benefits as % of Total Gross </v>
      </c>
      <c r="K1496" s="315" t="str">
        <f t="shared" si="132"/>
        <v>300Staff Benefits (Superannuation, FBT, ACC) - Toyota</v>
      </c>
      <c r="L1496" s="311">
        <f>+SUMIF('TUNZ Extracted TB'!M:M,$P1496,'TUNZ Extracted TB'!G:G)</f>
        <v>0</v>
      </c>
      <c r="M1496" s="311"/>
      <c r="N1496" s="311">
        <f>+SUMIF('Input Sheet'!$AE:$AE,P1496,'Input Sheet'!$X:$X)</f>
        <v>0</v>
      </c>
      <c r="O1496" s="311"/>
      <c r="P1496" t="str">
        <f t="shared" si="133"/>
        <v>300-7240</v>
      </c>
      <c r="Q1496" s="315" t="str">
        <f t="shared" si="134"/>
        <v>Admin &amp; Other</v>
      </c>
      <c r="R1496" s="315" t="str">
        <f t="shared" si="135"/>
        <v xml:space="preserve">Admin &amp; OtherStaff Remuneration &amp; Benefits as % of Total Gross </v>
      </c>
      <c r="S1496" s="199"/>
      <c r="T1496" s="199"/>
      <c r="U1496" s="199"/>
    </row>
    <row r="1497" spans="1:21" x14ac:dyDescent="0.25">
      <c r="A1497" t="s">
        <v>996</v>
      </c>
      <c r="B1497" t="s">
        <v>997</v>
      </c>
      <c r="C1497" t="s">
        <v>1013</v>
      </c>
      <c r="D1497">
        <v>7240</v>
      </c>
      <c r="E1497">
        <v>310</v>
      </c>
      <c r="F1497" t="s">
        <v>1353</v>
      </c>
      <c r="G1497" t="s">
        <v>1354</v>
      </c>
      <c r="H1497" s="315" t="s">
        <v>1000</v>
      </c>
      <c r="I1497" s="315" t="s">
        <v>1276</v>
      </c>
      <c r="J1497" s="315" t="str">
        <f t="shared" si="131"/>
        <v xml:space="preserve">Admin &amp; OtherStaff Remuneration &amp; Benefits as % of Total Gross </v>
      </c>
      <c r="K1497" s="315" t="str">
        <f t="shared" si="132"/>
        <v>310Staff Benefits (Superannuation, FBT, ACC) - Toyota</v>
      </c>
      <c r="L1497" s="311">
        <f>+SUMIF('TUNZ Extracted TB'!M:M,$P1497,'TUNZ Extracted TB'!G:G)</f>
        <v>0</v>
      </c>
      <c r="M1497" s="311"/>
      <c r="N1497" s="311">
        <f>+SUMIF('Input Sheet'!$AE:$AE,P1497,'Input Sheet'!$X:$X)</f>
        <v>0</v>
      </c>
      <c r="O1497" s="311"/>
      <c r="P1497" t="str">
        <f t="shared" si="133"/>
        <v>310-7240</v>
      </c>
      <c r="Q1497" s="315" t="str">
        <f t="shared" si="134"/>
        <v>Admin &amp; Other</v>
      </c>
      <c r="R1497" s="315" t="str">
        <f t="shared" si="135"/>
        <v xml:space="preserve">Admin &amp; OtherStaff Remuneration &amp; Benefits as % of Total Gross </v>
      </c>
      <c r="S1497" s="199"/>
      <c r="T1497" s="199"/>
      <c r="U1497" s="199"/>
    </row>
    <row r="1498" spans="1:21" x14ac:dyDescent="0.25">
      <c r="A1498" t="s">
        <v>996</v>
      </c>
      <c r="B1498" t="s">
        <v>997</v>
      </c>
      <c r="C1498" t="s">
        <v>1013</v>
      </c>
      <c r="D1498">
        <v>7240</v>
      </c>
      <c r="E1498">
        <v>321</v>
      </c>
      <c r="F1498" t="s">
        <v>1353</v>
      </c>
      <c r="G1498" t="s">
        <v>1354</v>
      </c>
      <c r="H1498" s="315" t="s">
        <v>1000</v>
      </c>
      <c r="I1498" s="315" t="s">
        <v>1276</v>
      </c>
      <c r="J1498" s="315" t="str">
        <f t="shared" si="131"/>
        <v xml:space="preserve">Admin &amp; OtherStaff Remuneration &amp; Benefits as % of Total Gross </v>
      </c>
      <c r="K1498" s="315" t="str">
        <f t="shared" si="132"/>
        <v>321Staff Benefits (Superannuation, FBT, ACC) - Toyota</v>
      </c>
      <c r="L1498" s="311">
        <f>+SUMIF('TUNZ Extracted TB'!M:M,$P1498,'TUNZ Extracted TB'!G:G)</f>
        <v>0</v>
      </c>
      <c r="M1498" s="311"/>
      <c r="N1498" s="311">
        <f>+SUMIF('Input Sheet'!$AE:$AE,P1498,'Input Sheet'!$X:$X)</f>
        <v>0</v>
      </c>
      <c r="O1498" s="311"/>
      <c r="P1498" t="str">
        <f t="shared" si="133"/>
        <v>321-7240</v>
      </c>
      <c r="Q1498" s="315" t="str">
        <f t="shared" si="134"/>
        <v>Admin &amp; Other</v>
      </c>
      <c r="R1498" s="315" t="str">
        <f t="shared" si="135"/>
        <v xml:space="preserve">Admin &amp; OtherStaff Remuneration &amp; Benefits as % of Total Gross </v>
      </c>
      <c r="S1498" s="199"/>
      <c r="T1498" s="199"/>
      <c r="U1498" s="199"/>
    </row>
    <row r="1499" spans="1:21" x14ac:dyDescent="0.25">
      <c r="A1499" t="s">
        <v>996</v>
      </c>
      <c r="B1499" t="s">
        <v>997</v>
      </c>
      <c r="C1499" t="s">
        <v>1013</v>
      </c>
      <c r="D1499">
        <v>7240</v>
      </c>
      <c r="E1499">
        <v>360</v>
      </c>
      <c r="F1499" t="s">
        <v>1353</v>
      </c>
      <c r="G1499" t="s">
        <v>1354</v>
      </c>
      <c r="H1499" s="315" t="s">
        <v>1000</v>
      </c>
      <c r="I1499" s="315" t="s">
        <v>1276</v>
      </c>
      <c r="J1499" s="315" t="str">
        <f t="shared" si="131"/>
        <v xml:space="preserve">Admin &amp; OtherStaff Remuneration &amp; Benefits as % of Total Gross </v>
      </c>
      <c r="K1499" s="315" t="str">
        <f t="shared" si="132"/>
        <v>360Staff Benefits (Superannuation, FBT, ACC) - Toyota</v>
      </c>
      <c r="L1499" s="311">
        <f>+SUMIF('TUNZ Extracted TB'!M:M,$P1499,'TUNZ Extracted TB'!G:G)</f>
        <v>0</v>
      </c>
      <c r="M1499" s="311"/>
      <c r="N1499" s="311">
        <f>+SUMIF('Input Sheet'!$AE:$AE,P1499,'Input Sheet'!$X:$X)</f>
        <v>0</v>
      </c>
      <c r="O1499" s="311"/>
      <c r="P1499" t="str">
        <f t="shared" si="133"/>
        <v>360-7240</v>
      </c>
      <c r="Q1499" s="315" t="str">
        <f t="shared" si="134"/>
        <v>Admin &amp; Other</v>
      </c>
      <c r="R1499" s="315" t="str">
        <f t="shared" si="135"/>
        <v xml:space="preserve">Admin &amp; OtherStaff Remuneration &amp; Benefits as % of Total Gross </v>
      </c>
      <c r="S1499" s="199"/>
      <c r="T1499" s="199"/>
      <c r="U1499" s="199"/>
    </row>
    <row r="1500" spans="1:21" x14ac:dyDescent="0.25">
      <c r="A1500" t="s">
        <v>996</v>
      </c>
      <c r="B1500" t="s">
        <v>997</v>
      </c>
      <c r="C1500" t="s">
        <v>997</v>
      </c>
      <c r="D1500">
        <v>7240</v>
      </c>
      <c r="E1500">
        <v>147</v>
      </c>
      <c r="F1500" t="s">
        <v>1353</v>
      </c>
      <c r="G1500" t="s">
        <v>1354</v>
      </c>
      <c r="H1500" s="315" t="s">
        <v>1000</v>
      </c>
      <c r="I1500" s="315" t="s">
        <v>1276</v>
      </c>
      <c r="J1500" s="315" t="str">
        <f t="shared" si="131"/>
        <v xml:space="preserve">Admin &amp; OtherStaff Remuneration &amp; Benefits as % of Total Gross </v>
      </c>
      <c r="K1500" s="315" t="str">
        <f t="shared" si="132"/>
        <v>147Staff Benefits (Superannuation, FBT, ACC) - Toyota</v>
      </c>
      <c r="L1500" s="311">
        <f>+SUMIF('TUNZ Extracted TB'!M:M,$P1500,'TUNZ Extracted TB'!G:G)</f>
        <v>0</v>
      </c>
      <c r="M1500" s="311"/>
      <c r="N1500" s="311">
        <f>+SUMIF('Input Sheet'!$AE:$AE,P1500,'Input Sheet'!$X:$X)</f>
        <v>0</v>
      </c>
      <c r="O1500" s="311"/>
      <c r="P1500" t="str">
        <f t="shared" si="133"/>
        <v>147-7240</v>
      </c>
      <c r="Q1500" s="315" t="str">
        <f t="shared" si="134"/>
        <v>Admin &amp; Other</v>
      </c>
      <c r="R1500" s="315" t="str">
        <f t="shared" si="135"/>
        <v xml:space="preserve">Admin &amp; OtherStaff Remuneration &amp; Benefits as % of Total Gross </v>
      </c>
      <c r="S1500" s="199"/>
      <c r="T1500" s="199"/>
      <c r="U1500" s="199"/>
    </row>
    <row r="1501" spans="1:21" x14ac:dyDescent="0.25">
      <c r="A1501" t="s">
        <v>996</v>
      </c>
      <c r="B1501" t="s">
        <v>997</v>
      </c>
      <c r="C1501" t="s">
        <v>997</v>
      </c>
      <c r="D1501">
        <v>7260</v>
      </c>
      <c r="E1501">
        <v>140</v>
      </c>
      <c r="F1501" t="s">
        <v>1353</v>
      </c>
      <c r="G1501" t="s">
        <v>1354</v>
      </c>
      <c r="H1501" s="315" t="s">
        <v>1000</v>
      </c>
      <c r="I1501" s="315" t="s">
        <v>1276</v>
      </c>
      <c r="J1501" s="315" t="str">
        <f t="shared" si="131"/>
        <v xml:space="preserve">Admin &amp; OtherStaff Remuneration &amp; Benefits as % of Total Gross </v>
      </c>
      <c r="K1501" s="315" t="str">
        <f t="shared" si="132"/>
        <v>140Staff Benefits (Superannuation, FBT, ACC) - Toyota</v>
      </c>
      <c r="L1501" s="311">
        <f>+SUMIF('TUNZ Extracted TB'!M:M,$P1501,'TUNZ Extracted TB'!G:G)</f>
        <v>0</v>
      </c>
      <c r="M1501" s="311"/>
      <c r="N1501" s="311">
        <f>+SUMIF('Input Sheet'!$AE:$AE,P1501,'Input Sheet'!$X:$X)</f>
        <v>0</v>
      </c>
      <c r="O1501" s="311"/>
      <c r="P1501" t="str">
        <f t="shared" si="133"/>
        <v>140-7260</v>
      </c>
      <c r="Q1501" s="315" t="str">
        <f t="shared" si="134"/>
        <v>Admin &amp; Other</v>
      </c>
      <c r="R1501" s="315" t="str">
        <f t="shared" si="135"/>
        <v xml:space="preserve">Admin &amp; OtherStaff Remuneration &amp; Benefits as % of Total Gross </v>
      </c>
      <c r="S1501" s="199"/>
      <c r="T1501" s="199"/>
      <c r="U1501" s="199"/>
    </row>
    <row r="1502" spans="1:21" x14ac:dyDescent="0.25">
      <c r="A1502" t="s">
        <v>996</v>
      </c>
      <c r="B1502" t="s">
        <v>997</v>
      </c>
      <c r="C1502" t="s">
        <v>997</v>
      </c>
      <c r="D1502">
        <v>7260</v>
      </c>
      <c r="E1502">
        <v>132</v>
      </c>
      <c r="F1502" t="s">
        <v>1355</v>
      </c>
      <c r="G1502" t="s">
        <v>1356</v>
      </c>
      <c r="H1502" s="315" t="s">
        <v>1023</v>
      </c>
      <c r="I1502" s="315" t="s">
        <v>1276</v>
      </c>
      <c r="J1502" s="315" t="str">
        <f t="shared" si="131"/>
        <v xml:space="preserve">LEX Admin &amp; OtherStaff Remuneration &amp; Benefits as % of Total Gross </v>
      </c>
      <c r="K1502" s="315" t="str">
        <f t="shared" si="132"/>
        <v>132Staff Benefits (Superannuation, FBT, ACC) - Lexus</v>
      </c>
      <c r="L1502" s="311">
        <f>+SUMIF('TUNZ Extracted TB'!M:M,$P1502,'TUNZ Extracted TB'!G:G)</f>
        <v>0</v>
      </c>
      <c r="M1502" s="311"/>
      <c r="N1502" s="311">
        <f>+SUMIF('Input Sheet'!$AE:$AE,P1502,'Input Sheet'!$X:$X)</f>
        <v>0</v>
      </c>
      <c r="O1502" s="311"/>
      <c r="P1502" t="str">
        <f t="shared" si="133"/>
        <v>132-7260</v>
      </c>
      <c r="Q1502" s="315" t="str">
        <f t="shared" si="134"/>
        <v>LEX Admin &amp; Other</v>
      </c>
      <c r="R1502" s="315" t="str">
        <f t="shared" si="135"/>
        <v xml:space="preserve">LEX Admin &amp; OtherStaff Remuneration &amp; Benefits as % of Total Gross </v>
      </c>
      <c r="S1502" s="199"/>
      <c r="T1502" s="199"/>
      <c r="U1502" s="199"/>
    </row>
    <row r="1503" spans="1:21" x14ac:dyDescent="0.25">
      <c r="A1503" t="s">
        <v>996</v>
      </c>
      <c r="B1503" t="s">
        <v>997</v>
      </c>
      <c r="C1503" t="s">
        <v>997</v>
      </c>
      <c r="D1503">
        <v>7260</v>
      </c>
      <c r="E1503">
        <v>130</v>
      </c>
      <c r="F1503" t="s">
        <v>1353</v>
      </c>
      <c r="G1503" t="s">
        <v>1354</v>
      </c>
      <c r="H1503" s="315" t="s">
        <v>1000</v>
      </c>
      <c r="I1503" s="315" t="s">
        <v>1276</v>
      </c>
      <c r="J1503" s="315" t="str">
        <f t="shared" si="131"/>
        <v xml:space="preserve">Admin &amp; OtherStaff Remuneration &amp; Benefits as % of Total Gross </v>
      </c>
      <c r="K1503" s="315" t="str">
        <f t="shared" si="132"/>
        <v>130Staff Benefits (Superannuation, FBT, ACC) - Toyota</v>
      </c>
      <c r="L1503" s="311">
        <f>+SUMIF('TUNZ Extracted TB'!M:M,$P1503,'TUNZ Extracted TB'!G:G)</f>
        <v>0</v>
      </c>
      <c r="M1503" s="311"/>
      <c r="N1503" s="311">
        <f>+SUMIF('Input Sheet'!$AE:$AE,P1503,'Input Sheet'!$X:$X)</f>
        <v>0</v>
      </c>
      <c r="O1503" s="311"/>
      <c r="P1503" t="str">
        <f t="shared" si="133"/>
        <v>130-7260</v>
      </c>
      <c r="Q1503" s="315" t="str">
        <f t="shared" si="134"/>
        <v>Admin &amp; Other</v>
      </c>
      <c r="R1503" s="315" t="str">
        <f t="shared" si="135"/>
        <v xml:space="preserve">Admin &amp; OtherStaff Remuneration &amp; Benefits as % of Total Gross </v>
      </c>
      <c r="S1503" s="199"/>
      <c r="T1503" s="199"/>
      <c r="U1503" s="199"/>
    </row>
    <row r="1504" spans="1:21" x14ac:dyDescent="0.25">
      <c r="A1504" t="s">
        <v>996</v>
      </c>
      <c r="B1504" t="s">
        <v>997</v>
      </c>
      <c r="C1504" t="s">
        <v>997</v>
      </c>
      <c r="D1504">
        <v>7260</v>
      </c>
      <c r="E1504">
        <v>112</v>
      </c>
      <c r="F1504" t="s">
        <v>1355</v>
      </c>
      <c r="G1504" t="s">
        <v>1356</v>
      </c>
      <c r="H1504" s="315" t="s">
        <v>1023</v>
      </c>
      <c r="I1504" s="315" t="s">
        <v>1276</v>
      </c>
      <c r="J1504" s="315" t="str">
        <f t="shared" si="131"/>
        <v xml:space="preserve">LEX Admin &amp; OtherStaff Remuneration &amp; Benefits as % of Total Gross </v>
      </c>
      <c r="K1504" s="315" t="str">
        <f t="shared" si="132"/>
        <v>112Staff Benefits (Superannuation, FBT, ACC) - Lexus</v>
      </c>
      <c r="L1504" s="311">
        <f>+SUMIF('TUNZ Extracted TB'!M:M,$P1504,'TUNZ Extracted TB'!G:G)</f>
        <v>0</v>
      </c>
      <c r="M1504" s="311"/>
      <c r="N1504" s="311">
        <f>+SUMIF('Input Sheet'!$AE:$AE,P1504,'Input Sheet'!$X:$X)</f>
        <v>0</v>
      </c>
      <c r="O1504" s="311"/>
      <c r="P1504" t="str">
        <f t="shared" si="133"/>
        <v>112-7260</v>
      </c>
      <c r="Q1504" s="315" t="str">
        <f t="shared" si="134"/>
        <v>LEX Admin &amp; Other</v>
      </c>
      <c r="R1504" s="315" t="str">
        <f t="shared" si="135"/>
        <v xml:space="preserve">LEX Admin &amp; OtherStaff Remuneration &amp; Benefits as % of Total Gross </v>
      </c>
      <c r="S1504" s="199"/>
      <c r="T1504" s="199"/>
      <c r="U1504" s="199"/>
    </row>
    <row r="1505" spans="1:21" x14ac:dyDescent="0.25">
      <c r="A1505" t="s">
        <v>996</v>
      </c>
      <c r="B1505" t="s">
        <v>997</v>
      </c>
      <c r="C1505" t="s">
        <v>997</v>
      </c>
      <c r="D1505">
        <v>7260</v>
      </c>
      <c r="E1505">
        <v>100</v>
      </c>
      <c r="F1505" t="s">
        <v>1353</v>
      </c>
      <c r="G1505" t="s">
        <v>1354</v>
      </c>
      <c r="H1505" s="315" t="s">
        <v>1000</v>
      </c>
      <c r="I1505" s="315" t="s">
        <v>1276</v>
      </c>
      <c r="J1505" s="315" t="str">
        <f t="shared" si="131"/>
        <v xml:space="preserve">Admin &amp; OtherStaff Remuneration &amp; Benefits as % of Total Gross </v>
      </c>
      <c r="K1505" s="315" t="str">
        <f t="shared" si="132"/>
        <v>100Staff Benefits (Superannuation, FBT, ACC) - Toyota</v>
      </c>
      <c r="L1505" s="311">
        <f>+SUMIF('TUNZ Extracted TB'!M:M,$P1505,'TUNZ Extracted TB'!G:G)</f>
        <v>0</v>
      </c>
      <c r="M1505" s="311"/>
      <c r="N1505" s="311">
        <f>+SUMIF('Input Sheet'!$AE:$AE,P1505,'Input Sheet'!$X:$X)</f>
        <v>0</v>
      </c>
      <c r="O1505" s="311"/>
      <c r="P1505" t="str">
        <f t="shared" si="133"/>
        <v>100-7260</v>
      </c>
      <c r="Q1505" s="315" t="str">
        <f t="shared" si="134"/>
        <v>Admin &amp; Other</v>
      </c>
      <c r="R1505" s="315" t="str">
        <f t="shared" si="135"/>
        <v xml:space="preserve">Admin &amp; OtherStaff Remuneration &amp; Benefits as % of Total Gross </v>
      </c>
      <c r="S1505" s="199"/>
      <c r="T1505" s="199"/>
      <c r="U1505" s="199"/>
    </row>
    <row r="1506" spans="1:21" x14ac:dyDescent="0.25">
      <c r="A1506" t="s">
        <v>996</v>
      </c>
      <c r="B1506" t="s">
        <v>997</v>
      </c>
      <c r="C1506" t="s">
        <v>997</v>
      </c>
      <c r="D1506">
        <v>7260</v>
      </c>
      <c r="E1506">
        <v>110</v>
      </c>
      <c r="F1506" t="s">
        <v>1353</v>
      </c>
      <c r="G1506" t="s">
        <v>1354</v>
      </c>
      <c r="H1506" s="315" t="s">
        <v>1000</v>
      </c>
      <c r="I1506" s="315" t="s">
        <v>1276</v>
      </c>
      <c r="J1506" s="315" t="str">
        <f t="shared" si="131"/>
        <v xml:space="preserve">Admin &amp; OtherStaff Remuneration &amp; Benefits as % of Total Gross </v>
      </c>
      <c r="K1506" s="315" t="str">
        <f t="shared" si="132"/>
        <v>110Staff Benefits (Superannuation, FBT, ACC) - Toyota</v>
      </c>
      <c r="L1506" s="311">
        <f>+SUMIF('TUNZ Extracted TB'!M:M,$P1506,'TUNZ Extracted TB'!G:G)</f>
        <v>0</v>
      </c>
      <c r="M1506" s="311"/>
      <c r="N1506" s="311">
        <f>+SUMIF('Input Sheet'!$AE:$AE,P1506,'Input Sheet'!$X:$X)</f>
        <v>0</v>
      </c>
      <c r="O1506" s="311"/>
      <c r="P1506" t="str">
        <f t="shared" si="133"/>
        <v>110-7260</v>
      </c>
      <c r="Q1506" s="315" t="str">
        <f t="shared" si="134"/>
        <v>Admin &amp; Other</v>
      </c>
      <c r="R1506" s="315" t="str">
        <f t="shared" si="135"/>
        <v xml:space="preserve">Admin &amp; OtherStaff Remuneration &amp; Benefits as % of Total Gross </v>
      </c>
      <c r="S1506" s="199"/>
      <c r="T1506" s="199"/>
      <c r="U1506" s="199"/>
    </row>
    <row r="1507" spans="1:21" x14ac:dyDescent="0.25">
      <c r="A1507" t="s">
        <v>996</v>
      </c>
      <c r="B1507" t="s">
        <v>997</v>
      </c>
      <c r="C1507" t="s">
        <v>997</v>
      </c>
      <c r="D1507">
        <v>7260</v>
      </c>
      <c r="E1507">
        <v>936</v>
      </c>
      <c r="F1507" t="s">
        <v>1175</v>
      </c>
      <c r="G1507" t="s">
        <v>1176</v>
      </c>
      <c r="H1507" s="315" t="s">
        <v>1023</v>
      </c>
      <c r="I1507" s="315" t="s">
        <v>1276</v>
      </c>
      <c r="J1507" s="315" t="str">
        <f t="shared" si="131"/>
        <v xml:space="preserve">LEX Admin &amp; OtherStaff Remuneration &amp; Benefits as % of Total Gross </v>
      </c>
      <c r="K1507" s="315" t="str">
        <f t="shared" si="132"/>
        <v>936Other franchise/business expense</v>
      </c>
      <c r="L1507" s="311">
        <f>+SUMIF('TUNZ Extracted TB'!M:M,$P1507,'TUNZ Extracted TB'!G:G)</f>
        <v>0</v>
      </c>
      <c r="M1507" s="311"/>
      <c r="N1507" s="311">
        <f>+SUMIF('Input Sheet'!$AE:$AE,P1507,'Input Sheet'!$X:$X)</f>
        <v>0</v>
      </c>
      <c r="O1507" s="311"/>
      <c r="P1507" t="str">
        <f t="shared" si="133"/>
        <v>936-7260</v>
      </c>
      <c r="Q1507" s="315" t="str">
        <f t="shared" si="134"/>
        <v>LEX Admin &amp; Other</v>
      </c>
      <c r="R1507" s="315" t="str">
        <f t="shared" si="135"/>
        <v xml:space="preserve">LEX Admin &amp; OtherStaff Remuneration &amp; Benefits as % of Total Gross </v>
      </c>
      <c r="S1507" s="199"/>
      <c r="T1507" s="199"/>
      <c r="U1507" s="199"/>
    </row>
    <row r="1508" spans="1:21" x14ac:dyDescent="0.25">
      <c r="A1508" t="s">
        <v>996</v>
      </c>
      <c r="B1508" t="s">
        <v>997</v>
      </c>
      <c r="C1508" t="s">
        <v>997</v>
      </c>
      <c r="D1508">
        <v>7260</v>
      </c>
      <c r="E1508">
        <v>935</v>
      </c>
      <c r="F1508" t="s">
        <v>1175</v>
      </c>
      <c r="G1508" t="s">
        <v>1176</v>
      </c>
      <c r="H1508" s="315" t="s">
        <v>1023</v>
      </c>
      <c r="I1508" s="315" t="s">
        <v>1276</v>
      </c>
      <c r="J1508" s="315" t="str">
        <f t="shared" si="131"/>
        <v xml:space="preserve">LEX Admin &amp; OtherStaff Remuneration &amp; Benefits as % of Total Gross </v>
      </c>
      <c r="K1508" s="315" t="str">
        <f t="shared" si="132"/>
        <v>935Other franchise/business expense</v>
      </c>
      <c r="L1508" s="311">
        <f>+SUMIF('TUNZ Extracted TB'!M:M,$P1508,'TUNZ Extracted TB'!G:G)</f>
        <v>0</v>
      </c>
      <c r="M1508" s="311"/>
      <c r="N1508" s="311">
        <f>+SUMIF('Input Sheet'!$AE:$AE,P1508,'Input Sheet'!$X:$X)</f>
        <v>0</v>
      </c>
      <c r="O1508" s="311"/>
      <c r="P1508" t="str">
        <f t="shared" si="133"/>
        <v>935-7260</v>
      </c>
      <c r="Q1508" s="315" t="str">
        <f t="shared" si="134"/>
        <v>LEX Admin &amp; Other</v>
      </c>
      <c r="R1508" s="315" t="str">
        <f t="shared" si="135"/>
        <v xml:space="preserve">LEX Admin &amp; OtherStaff Remuneration &amp; Benefits as % of Total Gross </v>
      </c>
      <c r="S1508" s="199"/>
      <c r="T1508" s="199"/>
      <c r="U1508" s="199"/>
    </row>
    <row r="1509" spans="1:21" x14ac:dyDescent="0.25">
      <c r="A1509" t="s">
        <v>996</v>
      </c>
      <c r="B1509" t="s">
        <v>997</v>
      </c>
      <c r="C1509" t="s">
        <v>997</v>
      </c>
      <c r="D1509">
        <v>7260</v>
      </c>
      <c r="E1509">
        <v>122</v>
      </c>
      <c r="F1509" t="s">
        <v>1355</v>
      </c>
      <c r="G1509" t="s">
        <v>1356</v>
      </c>
      <c r="H1509" s="315" t="s">
        <v>1023</v>
      </c>
      <c r="I1509" s="315" t="s">
        <v>1276</v>
      </c>
      <c r="J1509" s="315" t="str">
        <f t="shared" si="131"/>
        <v xml:space="preserve">LEX Admin &amp; OtherStaff Remuneration &amp; Benefits as % of Total Gross </v>
      </c>
      <c r="K1509" s="315" t="str">
        <f t="shared" si="132"/>
        <v>122Staff Benefits (Superannuation, FBT, ACC) - Lexus</v>
      </c>
      <c r="L1509" s="311">
        <f>+SUMIF('TUNZ Extracted TB'!M:M,$P1509,'TUNZ Extracted TB'!G:G)</f>
        <v>0</v>
      </c>
      <c r="M1509" s="311"/>
      <c r="N1509" s="311">
        <f>+SUMIF('Input Sheet'!$AE:$AE,P1509,'Input Sheet'!$X:$X)</f>
        <v>0</v>
      </c>
      <c r="O1509" s="311"/>
      <c r="P1509" t="str">
        <f t="shared" si="133"/>
        <v>122-7260</v>
      </c>
      <c r="Q1509" s="315" t="str">
        <f t="shared" si="134"/>
        <v>LEX Admin &amp; Other</v>
      </c>
      <c r="R1509" s="315" t="str">
        <f t="shared" si="135"/>
        <v xml:space="preserve">LEX Admin &amp; OtherStaff Remuneration &amp; Benefits as % of Total Gross </v>
      </c>
      <c r="S1509" s="199"/>
      <c r="T1509" s="199"/>
      <c r="U1509" s="199"/>
    </row>
    <row r="1510" spans="1:21" x14ac:dyDescent="0.25">
      <c r="A1510" t="s">
        <v>996</v>
      </c>
      <c r="B1510" t="s">
        <v>997</v>
      </c>
      <c r="C1510" t="s">
        <v>997</v>
      </c>
      <c r="D1510">
        <v>7260</v>
      </c>
      <c r="E1510">
        <v>162</v>
      </c>
      <c r="F1510" t="s">
        <v>1355</v>
      </c>
      <c r="G1510" t="s">
        <v>1356</v>
      </c>
      <c r="H1510" s="315" t="s">
        <v>1023</v>
      </c>
      <c r="I1510" s="315" t="s">
        <v>1276</v>
      </c>
      <c r="J1510" s="315" t="str">
        <f t="shared" si="131"/>
        <v xml:space="preserve">LEX Admin &amp; OtherStaff Remuneration &amp; Benefits as % of Total Gross </v>
      </c>
      <c r="K1510" s="315" t="str">
        <f t="shared" si="132"/>
        <v>162Staff Benefits (Superannuation, FBT, ACC) - Lexus</v>
      </c>
      <c r="L1510" s="311">
        <f>+SUMIF('TUNZ Extracted TB'!M:M,$P1510,'TUNZ Extracted TB'!G:G)</f>
        <v>0</v>
      </c>
      <c r="M1510" s="311"/>
      <c r="N1510" s="311">
        <f>+SUMIF('Input Sheet'!$AE:$AE,P1510,'Input Sheet'!$X:$X)</f>
        <v>0</v>
      </c>
      <c r="O1510" s="311"/>
      <c r="P1510" t="str">
        <f t="shared" si="133"/>
        <v>162-7260</v>
      </c>
      <c r="Q1510" s="315" t="str">
        <f t="shared" si="134"/>
        <v>LEX Admin &amp; Other</v>
      </c>
      <c r="R1510" s="315" t="str">
        <f t="shared" si="135"/>
        <v xml:space="preserve">LEX Admin &amp; OtherStaff Remuneration &amp; Benefits as % of Total Gross </v>
      </c>
      <c r="S1510" s="199"/>
      <c r="T1510" s="199"/>
      <c r="U1510" s="199"/>
    </row>
    <row r="1511" spans="1:21" x14ac:dyDescent="0.25">
      <c r="A1511" t="s">
        <v>996</v>
      </c>
      <c r="B1511" t="s">
        <v>997</v>
      </c>
      <c r="C1511" t="s">
        <v>1005</v>
      </c>
      <c r="D1511">
        <v>7260</v>
      </c>
      <c r="E1511">
        <v>200</v>
      </c>
      <c r="F1511" t="s">
        <v>1353</v>
      </c>
      <c r="G1511" t="s">
        <v>1354</v>
      </c>
      <c r="H1511" s="315" t="s">
        <v>1000</v>
      </c>
      <c r="I1511" s="315" t="s">
        <v>1276</v>
      </c>
      <c r="J1511" s="315" t="str">
        <f t="shared" si="131"/>
        <v xml:space="preserve">Admin &amp; OtherStaff Remuneration &amp; Benefits as % of Total Gross </v>
      </c>
      <c r="K1511" s="315" t="str">
        <f t="shared" si="132"/>
        <v>200Staff Benefits (Superannuation, FBT, ACC) - Toyota</v>
      </c>
      <c r="L1511" s="311">
        <f>+SUMIF('TUNZ Extracted TB'!M:M,$P1511,'TUNZ Extracted TB'!G:G)</f>
        <v>0</v>
      </c>
      <c r="M1511" s="311"/>
      <c r="N1511" s="311">
        <f>+SUMIF('Input Sheet'!$AE:$AE,P1511,'Input Sheet'!$X:$X)</f>
        <v>0</v>
      </c>
      <c r="O1511" s="311"/>
      <c r="P1511" t="str">
        <f t="shared" si="133"/>
        <v>200-7260</v>
      </c>
      <c r="Q1511" s="315" t="str">
        <f t="shared" si="134"/>
        <v>Admin &amp; Other</v>
      </c>
      <c r="R1511" s="315" t="str">
        <f t="shared" si="135"/>
        <v xml:space="preserve">Admin &amp; OtherStaff Remuneration &amp; Benefits as % of Total Gross </v>
      </c>
      <c r="S1511" s="199"/>
      <c r="T1511" s="199"/>
      <c r="U1511" s="199"/>
    </row>
    <row r="1512" spans="1:21" x14ac:dyDescent="0.25">
      <c r="A1512" t="s">
        <v>996</v>
      </c>
      <c r="B1512" t="s">
        <v>997</v>
      </c>
      <c r="C1512" t="s">
        <v>1005</v>
      </c>
      <c r="D1512">
        <v>7260</v>
      </c>
      <c r="E1512">
        <v>210</v>
      </c>
      <c r="F1512" t="s">
        <v>1353</v>
      </c>
      <c r="G1512" t="s">
        <v>1354</v>
      </c>
      <c r="H1512" s="315" t="s">
        <v>1000</v>
      </c>
      <c r="I1512" s="315" t="s">
        <v>1276</v>
      </c>
      <c r="J1512" s="315" t="str">
        <f t="shared" si="131"/>
        <v xml:space="preserve">Admin &amp; OtherStaff Remuneration &amp; Benefits as % of Total Gross </v>
      </c>
      <c r="K1512" s="315" t="str">
        <f t="shared" si="132"/>
        <v>210Staff Benefits (Superannuation, FBT, ACC) - Toyota</v>
      </c>
      <c r="L1512" s="311">
        <f>+SUMIF('TUNZ Extracted TB'!M:M,$P1512,'TUNZ Extracted TB'!G:G)</f>
        <v>0</v>
      </c>
      <c r="M1512" s="311"/>
      <c r="N1512" s="311">
        <f>+SUMIF('Input Sheet'!$AE:$AE,P1512,'Input Sheet'!$X:$X)</f>
        <v>0</v>
      </c>
      <c r="O1512" s="311"/>
      <c r="P1512" t="str">
        <f t="shared" si="133"/>
        <v>210-7260</v>
      </c>
      <c r="Q1512" s="315" t="str">
        <f t="shared" si="134"/>
        <v>Admin &amp; Other</v>
      </c>
      <c r="R1512" s="315" t="str">
        <f t="shared" si="135"/>
        <v xml:space="preserve">Admin &amp; OtherStaff Remuneration &amp; Benefits as % of Total Gross </v>
      </c>
      <c r="S1512" s="199"/>
      <c r="T1512" s="199"/>
      <c r="U1512" s="199"/>
    </row>
    <row r="1513" spans="1:21" x14ac:dyDescent="0.25">
      <c r="A1513" t="s">
        <v>996</v>
      </c>
      <c r="B1513" t="s">
        <v>997</v>
      </c>
      <c r="C1513" t="s">
        <v>1005</v>
      </c>
      <c r="D1513">
        <v>7260</v>
      </c>
      <c r="E1513">
        <v>220</v>
      </c>
      <c r="F1513" t="s">
        <v>1353</v>
      </c>
      <c r="G1513" t="s">
        <v>1354</v>
      </c>
      <c r="H1513" s="315" t="s">
        <v>1000</v>
      </c>
      <c r="I1513" s="315" t="s">
        <v>1276</v>
      </c>
      <c r="J1513" s="315" t="str">
        <f t="shared" si="131"/>
        <v xml:space="preserve">Admin &amp; OtherStaff Remuneration &amp; Benefits as % of Total Gross </v>
      </c>
      <c r="K1513" s="315" t="str">
        <f t="shared" si="132"/>
        <v>220Staff Benefits (Superannuation, FBT, ACC) - Toyota</v>
      </c>
      <c r="L1513" s="311">
        <f>+SUMIF('TUNZ Extracted TB'!M:M,$P1513,'TUNZ Extracted TB'!G:G)</f>
        <v>0</v>
      </c>
      <c r="M1513" s="311"/>
      <c r="N1513" s="311">
        <f>+SUMIF('Input Sheet'!$AE:$AE,P1513,'Input Sheet'!$X:$X)</f>
        <v>0</v>
      </c>
      <c r="O1513" s="311"/>
      <c r="P1513" t="str">
        <f t="shared" si="133"/>
        <v>220-7260</v>
      </c>
      <c r="Q1513" s="315" t="str">
        <f t="shared" si="134"/>
        <v>Admin &amp; Other</v>
      </c>
      <c r="R1513" s="315" t="str">
        <f t="shared" si="135"/>
        <v xml:space="preserve">Admin &amp; OtherStaff Remuneration &amp; Benefits as % of Total Gross </v>
      </c>
      <c r="S1513" s="199"/>
      <c r="T1513" s="199"/>
      <c r="U1513" s="199"/>
    </row>
    <row r="1514" spans="1:21" x14ac:dyDescent="0.25">
      <c r="A1514" t="s">
        <v>996</v>
      </c>
      <c r="B1514" t="s">
        <v>997</v>
      </c>
      <c r="C1514" t="s">
        <v>1005</v>
      </c>
      <c r="D1514">
        <v>7260</v>
      </c>
      <c r="E1514">
        <v>221</v>
      </c>
      <c r="F1514" t="s">
        <v>1353</v>
      </c>
      <c r="G1514" t="s">
        <v>1354</v>
      </c>
      <c r="H1514" s="315" t="s">
        <v>1000</v>
      </c>
      <c r="I1514" s="315" t="s">
        <v>1276</v>
      </c>
      <c r="J1514" s="315" t="str">
        <f t="shared" si="131"/>
        <v xml:space="preserve">Admin &amp; OtherStaff Remuneration &amp; Benefits as % of Total Gross </v>
      </c>
      <c r="K1514" s="315" t="str">
        <f t="shared" si="132"/>
        <v>221Staff Benefits (Superannuation, FBT, ACC) - Toyota</v>
      </c>
      <c r="L1514" s="311">
        <f>+SUMIF('TUNZ Extracted TB'!M:M,$P1514,'TUNZ Extracted TB'!G:G)</f>
        <v>0</v>
      </c>
      <c r="M1514" s="311"/>
      <c r="N1514" s="311">
        <f>+SUMIF('Input Sheet'!$AE:$AE,P1514,'Input Sheet'!$X:$X)</f>
        <v>0</v>
      </c>
      <c r="O1514" s="311"/>
      <c r="P1514" t="str">
        <f t="shared" si="133"/>
        <v>221-7260</v>
      </c>
      <c r="Q1514" s="315" t="str">
        <f t="shared" si="134"/>
        <v>Admin &amp; Other</v>
      </c>
      <c r="R1514" s="315" t="str">
        <f t="shared" si="135"/>
        <v xml:space="preserve">Admin &amp; OtherStaff Remuneration &amp; Benefits as % of Total Gross </v>
      </c>
      <c r="S1514" s="199"/>
      <c r="T1514" s="199"/>
      <c r="U1514" s="199"/>
    </row>
    <row r="1515" spans="1:21" x14ac:dyDescent="0.25">
      <c r="A1515" t="s">
        <v>996</v>
      </c>
      <c r="B1515" t="s">
        <v>997</v>
      </c>
      <c r="C1515" t="s">
        <v>1005</v>
      </c>
      <c r="D1515">
        <v>7260</v>
      </c>
      <c r="E1515">
        <v>230</v>
      </c>
      <c r="F1515" t="s">
        <v>1353</v>
      </c>
      <c r="G1515" t="s">
        <v>1354</v>
      </c>
      <c r="H1515" s="315" t="s">
        <v>1000</v>
      </c>
      <c r="I1515" s="315" t="s">
        <v>1276</v>
      </c>
      <c r="J1515" s="315" t="str">
        <f t="shared" si="131"/>
        <v xml:space="preserve">Admin &amp; OtherStaff Remuneration &amp; Benefits as % of Total Gross </v>
      </c>
      <c r="K1515" s="315" t="str">
        <f t="shared" si="132"/>
        <v>230Staff Benefits (Superannuation, FBT, ACC) - Toyota</v>
      </c>
      <c r="L1515" s="311">
        <f>+SUMIF('TUNZ Extracted TB'!M:M,$P1515,'TUNZ Extracted TB'!G:G)</f>
        <v>0</v>
      </c>
      <c r="M1515" s="311"/>
      <c r="N1515" s="311">
        <f>+SUMIF('Input Sheet'!$AE:$AE,P1515,'Input Sheet'!$X:$X)</f>
        <v>0</v>
      </c>
      <c r="O1515" s="311"/>
      <c r="P1515" t="str">
        <f t="shared" si="133"/>
        <v>230-7260</v>
      </c>
      <c r="Q1515" s="315" t="str">
        <f t="shared" si="134"/>
        <v>Admin &amp; Other</v>
      </c>
      <c r="R1515" s="315" t="str">
        <f t="shared" si="135"/>
        <v xml:space="preserve">Admin &amp; OtherStaff Remuneration &amp; Benefits as % of Total Gross </v>
      </c>
      <c r="S1515" s="199"/>
      <c r="T1515" s="199"/>
      <c r="U1515" s="199"/>
    </row>
    <row r="1516" spans="1:21" x14ac:dyDescent="0.25">
      <c r="A1516" t="s">
        <v>996</v>
      </c>
      <c r="B1516" t="s">
        <v>997</v>
      </c>
      <c r="C1516" t="s">
        <v>1005</v>
      </c>
      <c r="D1516">
        <v>7260</v>
      </c>
      <c r="E1516">
        <v>240</v>
      </c>
      <c r="F1516" t="s">
        <v>1353</v>
      </c>
      <c r="G1516" t="s">
        <v>1354</v>
      </c>
      <c r="H1516" s="315" t="s">
        <v>1000</v>
      </c>
      <c r="I1516" s="315" t="s">
        <v>1276</v>
      </c>
      <c r="J1516" s="315" t="str">
        <f t="shared" si="131"/>
        <v xml:space="preserve">Admin &amp; OtherStaff Remuneration &amp; Benefits as % of Total Gross </v>
      </c>
      <c r="K1516" s="315" t="str">
        <f t="shared" si="132"/>
        <v>240Staff Benefits (Superannuation, FBT, ACC) - Toyota</v>
      </c>
      <c r="L1516" s="311">
        <f>+SUMIF('TUNZ Extracted TB'!M:M,$P1516,'TUNZ Extracted TB'!G:G)</f>
        <v>0</v>
      </c>
      <c r="M1516" s="311"/>
      <c r="N1516" s="311">
        <f>+SUMIF('Input Sheet'!$AE:$AE,P1516,'Input Sheet'!$X:$X)</f>
        <v>0</v>
      </c>
      <c r="O1516" s="311"/>
      <c r="P1516" t="str">
        <f t="shared" si="133"/>
        <v>240-7260</v>
      </c>
      <c r="Q1516" s="315" t="str">
        <f t="shared" si="134"/>
        <v>Admin &amp; Other</v>
      </c>
      <c r="R1516" s="315" t="str">
        <f t="shared" si="135"/>
        <v xml:space="preserve">Admin &amp; OtherStaff Remuneration &amp; Benefits as % of Total Gross </v>
      </c>
      <c r="S1516" s="199"/>
      <c r="T1516" s="199"/>
      <c r="U1516" s="199"/>
    </row>
    <row r="1517" spans="1:21" x14ac:dyDescent="0.25">
      <c r="A1517" t="s">
        <v>996</v>
      </c>
      <c r="B1517" t="s">
        <v>997</v>
      </c>
      <c r="C1517" t="s">
        <v>1005</v>
      </c>
      <c r="D1517">
        <v>7260</v>
      </c>
      <c r="E1517">
        <v>260</v>
      </c>
      <c r="F1517" t="s">
        <v>1353</v>
      </c>
      <c r="G1517" t="s">
        <v>1354</v>
      </c>
      <c r="H1517" s="315" t="s">
        <v>1000</v>
      </c>
      <c r="I1517" s="315" t="s">
        <v>1276</v>
      </c>
      <c r="J1517" s="315" t="str">
        <f t="shared" si="131"/>
        <v xml:space="preserve">Admin &amp; OtherStaff Remuneration &amp; Benefits as % of Total Gross </v>
      </c>
      <c r="K1517" s="315" t="str">
        <f t="shared" si="132"/>
        <v>260Staff Benefits (Superannuation, FBT, ACC) - Toyota</v>
      </c>
      <c r="L1517" s="311">
        <f>+SUMIF('TUNZ Extracted TB'!M:M,$P1517,'TUNZ Extracted TB'!G:G)</f>
        <v>0</v>
      </c>
      <c r="M1517" s="311"/>
      <c r="N1517" s="311">
        <f>+SUMIF('Input Sheet'!$AE:$AE,P1517,'Input Sheet'!$X:$X)</f>
        <v>0</v>
      </c>
      <c r="O1517" s="311"/>
      <c r="P1517" t="str">
        <f t="shared" si="133"/>
        <v>260-7260</v>
      </c>
      <c r="Q1517" s="315" t="str">
        <f t="shared" si="134"/>
        <v>Admin &amp; Other</v>
      </c>
      <c r="R1517" s="315" t="str">
        <f t="shared" si="135"/>
        <v xml:space="preserve">Admin &amp; OtherStaff Remuneration &amp; Benefits as % of Total Gross </v>
      </c>
      <c r="S1517" s="199"/>
      <c r="T1517" s="199"/>
      <c r="U1517" s="199"/>
    </row>
    <row r="1518" spans="1:21" x14ac:dyDescent="0.25">
      <c r="A1518" t="s">
        <v>996</v>
      </c>
      <c r="B1518" t="s">
        <v>997</v>
      </c>
      <c r="C1518" t="s">
        <v>1012</v>
      </c>
      <c r="D1518">
        <v>7260</v>
      </c>
      <c r="E1518">
        <v>400</v>
      </c>
      <c r="F1518" t="s">
        <v>1353</v>
      </c>
      <c r="G1518" t="s">
        <v>1354</v>
      </c>
      <c r="H1518" s="315" t="s">
        <v>1000</v>
      </c>
      <c r="I1518" s="315" t="s">
        <v>1276</v>
      </c>
      <c r="J1518" s="315" t="str">
        <f t="shared" si="131"/>
        <v xml:space="preserve">Admin &amp; OtherStaff Remuneration &amp; Benefits as % of Total Gross </v>
      </c>
      <c r="K1518" s="315" t="str">
        <f t="shared" si="132"/>
        <v>400Staff Benefits (Superannuation, FBT, ACC) - Toyota</v>
      </c>
      <c r="L1518" s="311">
        <f>+SUMIF('TUNZ Extracted TB'!M:M,$P1518,'TUNZ Extracted TB'!G:G)</f>
        <v>0</v>
      </c>
      <c r="M1518" s="311"/>
      <c r="N1518" s="311">
        <f>+SUMIF('Input Sheet'!$AE:$AE,P1518,'Input Sheet'!$X:$X)</f>
        <v>0</v>
      </c>
      <c r="O1518" s="311"/>
      <c r="P1518" t="str">
        <f t="shared" si="133"/>
        <v>400-7260</v>
      </c>
      <c r="Q1518" s="315" t="str">
        <f t="shared" si="134"/>
        <v>Admin &amp; Other</v>
      </c>
      <c r="R1518" s="315" t="str">
        <f t="shared" si="135"/>
        <v xml:space="preserve">Admin &amp; OtherStaff Remuneration &amp; Benefits as % of Total Gross </v>
      </c>
      <c r="S1518" s="199"/>
      <c r="T1518" s="199"/>
      <c r="U1518" s="199"/>
    </row>
    <row r="1519" spans="1:21" x14ac:dyDescent="0.25">
      <c r="A1519" t="s">
        <v>996</v>
      </c>
      <c r="B1519" t="s">
        <v>997</v>
      </c>
      <c r="C1519" t="s">
        <v>1012</v>
      </c>
      <c r="D1519">
        <v>7260</v>
      </c>
      <c r="E1519">
        <v>410</v>
      </c>
      <c r="F1519" t="s">
        <v>1353</v>
      </c>
      <c r="G1519" t="s">
        <v>1354</v>
      </c>
      <c r="H1519" s="315" t="s">
        <v>1000</v>
      </c>
      <c r="I1519" s="315" t="s">
        <v>1276</v>
      </c>
      <c r="J1519" s="315" t="str">
        <f t="shared" si="131"/>
        <v xml:space="preserve">Admin &amp; OtherStaff Remuneration &amp; Benefits as % of Total Gross </v>
      </c>
      <c r="K1519" s="315" t="str">
        <f t="shared" si="132"/>
        <v>410Staff Benefits (Superannuation, FBT, ACC) - Toyota</v>
      </c>
      <c r="L1519" s="311">
        <f>+SUMIF('TUNZ Extracted TB'!M:M,$P1519,'TUNZ Extracted TB'!G:G)</f>
        <v>0</v>
      </c>
      <c r="M1519" s="311"/>
      <c r="N1519" s="311">
        <f>+SUMIF('Input Sheet'!$AE:$AE,P1519,'Input Sheet'!$X:$X)</f>
        <v>0</v>
      </c>
      <c r="O1519" s="311"/>
      <c r="P1519" t="str">
        <f t="shared" si="133"/>
        <v>410-7260</v>
      </c>
      <c r="Q1519" s="315" t="str">
        <f t="shared" si="134"/>
        <v>Admin &amp; Other</v>
      </c>
      <c r="R1519" s="315" t="str">
        <f t="shared" si="135"/>
        <v xml:space="preserve">Admin &amp; OtherStaff Remuneration &amp; Benefits as % of Total Gross </v>
      </c>
      <c r="S1519" s="199"/>
      <c r="T1519" s="199"/>
      <c r="U1519" s="199"/>
    </row>
    <row r="1520" spans="1:21" x14ac:dyDescent="0.25">
      <c r="A1520" t="s">
        <v>996</v>
      </c>
      <c r="B1520" t="s">
        <v>997</v>
      </c>
      <c r="C1520" t="s">
        <v>1012</v>
      </c>
      <c r="D1520">
        <v>7260</v>
      </c>
      <c r="E1520">
        <v>420</v>
      </c>
      <c r="F1520" t="s">
        <v>1353</v>
      </c>
      <c r="G1520" t="s">
        <v>1354</v>
      </c>
      <c r="H1520" s="315" t="s">
        <v>1000</v>
      </c>
      <c r="I1520" s="315" t="s">
        <v>1276</v>
      </c>
      <c r="J1520" s="315" t="str">
        <f t="shared" si="131"/>
        <v xml:space="preserve">Admin &amp; OtherStaff Remuneration &amp; Benefits as % of Total Gross </v>
      </c>
      <c r="K1520" s="315" t="str">
        <f t="shared" si="132"/>
        <v>420Staff Benefits (Superannuation, FBT, ACC) - Toyota</v>
      </c>
      <c r="L1520" s="311">
        <f>+SUMIF('TUNZ Extracted TB'!M:M,$P1520,'TUNZ Extracted TB'!G:G)</f>
        <v>0</v>
      </c>
      <c r="M1520" s="311"/>
      <c r="N1520" s="311">
        <f>+SUMIF('Input Sheet'!$AE:$AE,P1520,'Input Sheet'!$X:$X)</f>
        <v>0</v>
      </c>
      <c r="O1520" s="311"/>
      <c r="P1520" t="str">
        <f t="shared" si="133"/>
        <v>420-7260</v>
      </c>
      <c r="Q1520" s="315" t="str">
        <f t="shared" si="134"/>
        <v>Admin &amp; Other</v>
      </c>
      <c r="R1520" s="315" t="str">
        <f t="shared" si="135"/>
        <v xml:space="preserve">Admin &amp; OtherStaff Remuneration &amp; Benefits as % of Total Gross </v>
      </c>
      <c r="S1520" s="199"/>
      <c r="T1520" s="199"/>
      <c r="U1520" s="199"/>
    </row>
    <row r="1521" spans="1:21" x14ac:dyDescent="0.25">
      <c r="A1521" t="s">
        <v>996</v>
      </c>
      <c r="B1521" t="s">
        <v>997</v>
      </c>
      <c r="C1521" t="s">
        <v>1012</v>
      </c>
      <c r="D1521">
        <v>7260</v>
      </c>
      <c r="E1521">
        <v>421</v>
      </c>
      <c r="F1521" t="s">
        <v>1353</v>
      </c>
      <c r="G1521" t="s">
        <v>1354</v>
      </c>
      <c r="H1521" s="315" t="s">
        <v>1000</v>
      </c>
      <c r="I1521" s="315" t="s">
        <v>1276</v>
      </c>
      <c r="J1521" s="315" t="str">
        <f t="shared" si="131"/>
        <v xml:space="preserve">Admin &amp; OtherStaff Remuneration &amp; Benefits as % of Total Gross </v>
      </c>
      <c r="K1521" s="315" t="str">
        <f t="shared" si="132"/>
        <v>421Staff Benefits (Superannuation, FBT, ACC) - Toyota</v>
      </c>
      <c r="L1521" s="311">
        <f>+SUMIF('TUNZ Extracted TB'!M:M,$P1521,'TUNZ Extracted TB'!G:G)</f>
        <v>0</v>
      </c>
      <c r="M1521" s="311"/>
      <c r="N1521" s="311">
        <f>+SUMIF('Input Sheet'!$AE:$AE,P1521,'Input Sheet'!$X:$X)</f>
        <v>0</v>
      </c>
      <c r="O1521" s="311"/>
      <c r="P1521" t="str">
        <f t="shared" si="133"/>
        <v>421-7260</v>
      </c>
      <c r="Q1521" s="315" t="str">
        <f t="shared" si="134"/>
        <v>Admin &amp; Other</v>
      </c>
      <c r="R1521" s="315" t="str">
        <f t="shared" si="135"/>
        <v xml:space="preserve">Admin &amp; OtherStaff Remuneration &amp; Benefits as % of Total Gross </v>
      </c>
      <c r="S1521" s="199"/>
      <c r="T1521" s="199"/>
      <c r="U1521" s="199"/>
    </row>
    <row r="1522" spans="1:21" x14ac:dyDescent="0.25">
      <c r="A1522" t="s">
        <v>996</v>
      </c>
      <c r="B1522" t="s">
        <v>997</v>
      </c>
      <c r="C1522" t="s">
        <v>1012</v>
      </c>
      <c r="D1522">
        <v>7260</v>
      </c>
      <c r="E1522">
        <v>430</v>
      </c>
      <c r="F1522" t="s">
        <v>1353</v>
      </c>
      <c r="G1522" t="s">
        <v>1354</v>
      </c>
      <c r="H1522" s="315" t="s">
        <v>1000</v>
      </c>
      <c r="I1522" s="315" t="s">
        <v>1276</v>
      </c>
      <c r="J1522" s="315" t="str">
        <f t="shared" si="131"/>
        <v xml:space="preserve">Admin &amp; OtherStaff Remuneration &amp; Benefits as % of Total Gross </v>
      </c>
      <c r="K1522" s="315" t="str">
        <f t="shared" si="132"/>
        <v>430Staff Benefits (Superannuation, FBT, ACC) - Toyota</v>
      </c>
      <c r="L1522" s="311">
        <f>+SUMIF('TUNZ Extracted TB'!M:M,$P1522,'TUNZ Extracted TB'!G:G)</f>
        <v>0</v>
      </c>
      <c r="M1522" s="311"/>
      <c r="N1522" s="311">
        <f>+SUMIF('Input Sheet'!$AE:$AE,P1522,'Input Sheet'!$X:$X)</f>
        <v>0</v>
      </c>
      <c r="O1522" s="311"/>
      <c r="P1522" t="str">
        <f t="shared" si="133"/>
        <v>430-7260</v>
      </c>
      <c r="Q1522" s="315" t="str">
        <f t="shared" si="134"/>
        <v>Admin &amp; Other</v>
      </c>
      <c r="R1522" s="315" t="str">
        <f t="shared" si="135"/>
        <v xml:space="preserve">Admin &amp; OtherStaff Remuneration &amp; Benefits as % of Total Gross </v>
      </c>
      <c r="S1522" s="199"/>
      <c r="T1522" s="199"/>
      <c r="U1522" s="199"/>
    </row>
    <row r="1523" spans="1:21" x14ac:dyDescent="0.25">
      <c r="A1523" t="s">
        <v>996</v>
      </c>
      <c r="B1523" t="s">
        <v>997</v>
      </c>
      <c r="C1523" t="s">
        <v>1012</v>
      </c>
      <c r="D1523">
        <v>7260</v>
      </c>
      <c r="E1523">
        <v>440</v>
      </c>
      <c r="F1523" t="s">
        <v>1353</v>
      </c>
      <c r="G1523" t="s">
        <v>1354</v>
      </c>
      <c r="H1523" s="315" t="s">
        <v>1000</v>
      </c>
      <c r="I1523" s="315" t="s">
        <v>1276</v>
      </c>
      <c r="J1523" s="315" t="str">
        <f t="shared" si="131"/>
        <v xml:space="preserve">Admin &amp; OtherStaff Remuneration &amp; Benefits as % of Total Gross </v>
      </c>
      <c r="K1523" s="315" t="str">
        <f t="shared" si="132"/>
        <v>440Staff Benefits (Superannuation, FBT, ACC) - Toyota</v>
      </c>
      <c r="L1523" s="311">
        <f>+SUMIF('TUNZ Extracted TB'!M:M,$P1523,'TUNZ Extracted TB'!G:G)</f>
        <v>0</v>
      </c>
      <c r="M1523" s="311"/>
      <c r="N1523" s="311">
        <f>+SUMIF('Input Sheet'!$AE:$AE,P1523,'Input Sheet'!$X:$X)</f>
        <v>0</v>
      </c>
      <c r="O1523" s="311"/>
      <c r="P1523" t="str">
        <f t="shared" si="133"/>
        <v>440-7260</v>
      </c>
      <c r="Q1523" s="315" t="str">
        <f t="shared" si="134"/>
        <v>Admin &amp; Other</v>
      </c>
      <c r="R1523" s="315" t="str">
        <f t="shared" si="135"/>
        <v xml:space="preserve">Admin &amp; OtherStaff Remuneration &amp; Benefits as % of Total Gross </v>
      </c>
      <c r="S1523" s="199"/>
      <c r="T1523" s="199"/>
      <c r="U1523" s="199"/>
    </row>
    <row r="1524" spans="1:21" x14ac:dyDescent="0.25">
      <c r="A1524" t="s">
        <v>996</v>
      </c>
      <c r="B1524" t="s">
        <v>997</v>
      </c>
      <c r="C1524" t="s">
        <v>1012</v>
      </c>
      <c r="D1524">
        <v>7260</v>
      </c>
      <c r="E1524">
        <v>460</v>
      </c>
      <c r="F1524" t="s">
        <v>1353</v>
      </c>
      <c r="G1524" t="s">
        <v>1354</v>
      </c>
      <c r="H1524" s="315" t="s">
        <v>1000</v>
      </c>
      <c r="I1524" s="315" t="s">
        <v>1276</v>
      </c>
      <c r="J1524" s="315" t="str">
        <f t="shared" si="131"/>
        <v xml:space="preserve">Admin &amp; OtherStaff Remuneration &amp; Benefits as % of Total Gross </v>
      </c>
      <c r="K1524" s="315" t="str">
        <f t="shared" si="132"/>
        <v>460Staff Benefits (Superannuation, FBT, ACC) - Toyota</v>
      </c>
      <c r="L1524" s="311">
        <f>+SUMIF('TUNZ Extracted TB'!M:M,$P1524,'TUNZ Extracted TB'!G:G)</f>
        <v>0</v>
      </c>
      <c r="M1524" s="311"/>
      <c r="N1524" s="311">
        <f>+SUMIF('Input Sheet'!$AE:$AE,P1524,'Input Sheet'!$X:$X)</f>
        <v>0</v>
      </c>
      <c r="O1524" s="311"/>
      <c r="P1524" t="str">
        <f t="shared" si="133"/>
        <v>460-7260</v>
      </c>
      <c r="Q1524" s="315" t="str">
        <f t="shared" si="134"/>
        <v>Admin &amp; Other</v>
      </c>
      <c r="R1524" s="315" t="str">
        <f t="shared" si="135"/>
        <v xml:space="preserve">Admin &amp; OtherStaff Remuneration &amp; Benefits as % of Total Gross </v>
      </c>
      <c r="S1524" s="199"/>
      <c r="T1524" s="199"/>
      <c r="U1524" s="199"/>
    </row>
    <row r="1525" spans="1:21" x14ac:dyDescent="0.25">
      <c r="A1525" t="s">
        <v>996</v>
      </c>
      <c r="B1525" t="s">
        <v>997</v>
      </c>
      <c r="C1525" t="s">
        <v>1013</v>
      </c>
      <c r="D1525">
        <v>7260</v>
      </c>
      <c r="E1525">
        <v>300</v>
      </c>
      <c r="F1525" t="s">
        <v>1353</v>
      </c>
      <c r="G1525" t="s">
        <v>1354</v>
      </c>
      <c r="H1525" s="315" t="s">
        <v>1000</v>
      </c>
      <c r="I1525" s="315" t="s">
        <v>1276</v>
      </c>
      <c r="J1525" s="315" t="str">
        <f t="shared" si="131"/>
        <v xml:space="preserve">Admin &amp; OtherStaff Remuneration &amp; Benefits as % of Total Gross </v>
      </c>
      <c r="K1525" s="315" t="str">
        <f t="shared" si="132"/>
        <v>300Staff Benefits (Superannuation, FBT, ACC) - Toyota</v>
      </c>
      <c r="L1525" s="311">
        <f>+SUMIF('TUNZ Extracted TB'!M:M,$P1525,'TUNZ Extracted TB'!G:G)</f>
        <v>0</v>
      </c>
      <c r="M1525" s="311"/>
      <c r="N1525" s="311">
        <f>+SUMIF('Input Sheet'!$AE:$AE,P1525,'Input Sheet'!$X:$X)</f>
        <v>0</v>
      </c>
      <c r="O1525" s="311"/>
      <c r="P1525" t="str">
        <f t="shared" si="133"/>
        <v>300-7260</v>
      </c>
      <c r="Q1525" s="315" t="str">
        <f t="shared" si="134"/>
        <v>Admin &amp; Other</v>
      </c>
      <c r="R1525" s="315" t="str">
        <f t="shared" si="135"/>
        <v xml:space="preserve">Admin &amp; OtherStaff Remuneration &amp; Benefits as % of Total Gross </v>
      </c>
      <c r="S1525" s="199"/>
      <c r="T1525" s="199"/>
      <c r="U1525" s="199"/>
    </row>
    <row r="1526" spans="1:21" x14ac:dyDescent="0.25">
      <c r="A1526" t="s">
        <v>996</v>
      </c>
      <c r="B1526" t="s">
        <v>997</v>
      </c>
      <c r="C1526" t="s">
        <v>1013</v>
      </c>
      <c r="D1526">
        <v>7260</v>
      </c>
      <c r="E1526">
        <v>310</v>
      </c>
      <c r="F1526" t="s">
        <v>1353</v>
      </c>
      <c r="G1526" t="s">
        <v>1354</v>
      </c>
      <c r="H1526" s="315" t="s">
        <v>1000</v>
      </c>
      <c r="I1526" s="315" t="s">
        <v>1276</v>
      </c>
      <c r="J1526" s="315" t="str">
        <f t="shared" si="131"/>
        <v xml:space="preserve">Admin &amp; OtherStaff Remuneration &amp; Benefits as % of Total Gross </v>
      </c>
      <c r="K1526" s="315" t="str">
        <f t="shared" si="132"/>
        <v>310Staff Benefits (Superannuation, FBT, ACC) - Toyota</v>
      </c>
      <c r="L1526" s="311">
        <f>+SUMIF('TUNZ Extracted TB'!M:M,$P1526,'TUNZ Extracted TB'!G:G)</f>
        <v>0</v>
      </c>
      <c r="M1526" s="311"/>
      <c r="N1526" s="311">
        <f>+SUMIF('Input Sheet'!$AE:$AE,P1526,'Input Sheet'!$X:$X)</f>
        <v>0</v>
      </c>
      <c r="O1526" s="311"/>
      <c r="P1526" t="str">
        <f t="shared" si="133"/>
        <v>310-7260</v>
      </c>
      <c r="Q1526" s="315" t="str">
        <f t="shared" si="134"/>
        <v>Admin &amp; Other</v>
      </c>
      <c r="R1526" s="315" t="str">
        <f t="shared" si="135"/>
        <v xml:space="preserve">Admin &amp; OtherStaff Remuneration &amp; Benefits as % of Total Gross </v>
      </c>
      <c r="S1526" s="199"/>
      <c r="T1526" s="199"/>
      <c r="U1526" s="199"/>
    </row>
    <row r="1527" spans="1:21" x14ac:dyDescent="0.25">
      <c r="A1527" t="s">
        <v>996</v>
      </c>
      <c r="B1527" t="s">
        <v>997</v>
      </c>
      <c r="C1527" t="s">
        <v>1013</v>
      </c>
      <c r="D1527">
        <v>7260</v>
      </c>
      <c r="E1527">
        <v>321</v>
      </c>
      <c r="F1527" t="s">
        <v>1353</v>
      </c>
      <c r="G1527" t="s">
        <v>1354</v>
      </c>
      <c r="H1527" s="315" t="s">
        <v>1000</v>
      </c>
      <c r="I1527" s="315" t="s">
        <v>1276</v>
      </c>
      <c r="J1527" s="315" t="str">
        <f t="shared" si="131"/>
        <v xml:space="preserve">Admin &amp; OtherStaff Remuneration &amp; Benefits as % of Total Gross </v>
      </c>
      <c r="K1527" s="315" t="str">
        <f t="shared" si="132"/>
        <v>321Staff Benefits (Superannuation, FBT, ACC) - Toyota</v>
      </c>
      <c r="L1527" s="311">
        <f>+SUMIF('TUNZ Extracted TB'!M:M,$P1527,'TUNZ Extracted TB'!G:G)</f>
        <v>0</v>
      </c>
      <c r="M1527" s="311"/>
      <c r="N1527" s="311">
        <f>+SUMIF('Input Sheet'!$AE:$AE,P1527,'Input Sheet'!$X:$X)</f>
        <v>0</v>
      </c>
      <c r="O1527" s="311"/>
      <c r="P1527" t="str">
        <f t="shared" si="133"/>
        <v>321-7260</v>
      </c>
      <c r="Q1527" s="315" t="str">
        <f t="shared" si="134"/>
        <v>Admin &amp; Other</v>
      </c>
      <c r="R1527" s="315" t="str">
        <f t="shared" si="135"/>
        <v xml:space="preserve">Admin &amp; OtherStaff Remuneration &amp; Benefits as % of Total Gross </v>
      </c>
      <c r="S1527" s="199"/>
      <c r="T1527" s="199"/>
      <c r="U1527" s="199"/>
    </row>
    <row r="1528" spans="1:21" x14ac:dyDescent="0.25">
      <c r="A1528" t="s">
        <v>996</v>
      </c>
      <c r="B1528" t="s">
        <v>997</v>
      </c>
      <c r="C1528" t="s">
        <v>1013</v>
      </c>
      <c r="D1528">
        <v>7260</v>
      </c>
      <c r="E1528">
        <v>330</v>
      </c>
      <c r="F1528" t="s">
        <v>1353</v>
      </c>
      <c r="G1528" t="s">
        <v>1354</v>
      </c>
      <c r="H1528" s="315" t="s">
        <v>1000</v>
      </c>
      <c r="I1528" s="315" t="s">
        <v>1276</v>
      </c>
      <c r="J1528" s="315" t="str">
        <f t="shared" si="131"/>
        <v xml:space="preserve">Admin &amp; OtherStaff Remuneration &amp; Benefits as % of Total Gross </v>
      </c>
      <c r="K1528" s="315" t="str">
        <f t="shared" si="132"/>
        <v>330Staff Benefits (Superannuation, FBT, ACC) - Toyota</v>
      </c>
      <c r="L1528" s="311">
        <f>+SUMIF('TUNZ Extracted TB'!M:M,$P1528,'TUNZ Extracted TB'!G:G)</f>
        <v>0</v>
      </c>
      <c r="M1528" s="311"/>
      <c r="N1528" s="311">
        <f>+SUMIF('Input Sheet'!$AE:$AE,P1528,'Input Sheet'!$X:$X)</f>
        <v>0</v>
      </c>
      <c r="O1528" s="311"/>
      <c r="P1528" t="str">
        <f t="shared" si="133"/>
        <v>330-7260</v>
      </c>
      <c r="Q1528" s="315" t="str">
        <f t="shared" si="134"/>
        <v>Admin &amp; Other</v>
      </c>
      <c r="R1528" s="315" t="str">
        <f t="shared" si="135"/>
        <v xml:space="preserve">Admin &amp; OtherStaff Remuneration &amp; Benefits as % of Total Gross </v>
      </c>
      <c r="S1528" s="199"/>
      <c r="T1528" s="199"/>
      <c r="U1528" s="199"/>
    </row>
    <row r="1529" spans="1:21" x14ac:dyDescent="0.25">
      <c r="A1529" t="s">
        <v>996</v>
      </c>
      <c r="B1529" t="s">
        <v>997</v>
      </c>
      <c r="C1529" t="s">
        <v>1013</v>
      </c>
      <c r="D1529">
        <v>7260</v>
      </c>
      <c r="E1529">
        <v>340</v>
      </c>
      <c r="F1529" t="s">
        <v>1353</v>
      </c>
      <c r="G1529" t="s">
        <v>1354</v>
      </c>
      <c r="H1529" s="315" t="s">
        <v>1000</v>
      </c>
      <c r="I1529" s="315" t="s">
        <v>1276</v>
      </c>
      <c r="J1529" s="315" t="str">
        <f t="shared" si="131"/>
        <v xml:space="preserve">Admin &amp; OtherStaff Remuneration &amp; Benefits as % of Total Gross </v>
      </c>
      <c r="K1529" s="315" t="str">
        <f t="shared" si="132"/>
        <v>340Staff Benefits (Superannuation, FBT, ACC) - Toyota</v>
      </c>
      <c r="L1529" s="311">
        <f>+SUMIF('TUNZ Extracted TB'!M:M,$P1529,'TUNZ Extracted TB'!G:G)</f>
        <v>0</v>
      </c>
      <c r="M1529" s="311"/>
      <c r="N1529" s="311">
        <f>+SUMIF('Input Sheet'!$AE:$AE,P1529,'Input Sheet'!$X:$X)</f>
        <v>0</v>
      </c>
      <c r="O1529" s="311"/>
      <c r="P1529" t="str">
        <f t="shared" si="133"/>
        <v>340-7260</v>
      </c>
      <c r="Q1529" s="315" t="str">
        <f t="shared" si="134"/>
        <v>Admin &amp; Other</v>
      </c>
      <c r="R1529" s="315" t="str">
        <f t="shared" si="135"/>
        <v xml:space="preserve">Admin &amp; OtherStaff Remuneration &amp; Benefits as % of Total Gross </v>
      </c>
      <c r="S1529" s="199"/>
      <c r="T1529" s="199"/>
      <c r="U1529" s="199"/>
    </row>
    <row r="1530" spans="1:21" x14ac:dyDescent="0.25">
      <c r="A1530" t="s">
        <v>996</v>
      </c>
      <c r="B1530" t="s">
        <v>997</v>
      </c>
      <c r="C1530" t="s">
        <v>1013</v>
      </c>
      <c r="D1530">
        <v>7260</v>
      </c>
      <c r="E1530">
        <v>360</v>
      </c>
      <c r="F1530" t="s">
        <v>1353</v>
      </c>
      <c r="G1530" t="s">
        <v>1354</v>
      </c>
      <c r="H1530" s="315" t="s">
        <v>1000</v>
      </c>
      <c r="I1530" s="315" t="s">
        <v>1276</v>
      </c>
      <c r="J1530" s="315" t="str">
        <f t="shared" si="131"/>
        <v xml:space="preserve">Admin &amp; OtherStaff Remuneration &amp; Benefits as % of Total Gross </v>
      </c>
      <c r="K1530" s="315" t="str">
        <f t="shared" si="132"/>
        <v>360Staff Benefits (Superannuation, FBT, ACC) - Toyota</v>
      </c>
      <c r="L1530" s="311">
        <f>+SUMIF('TUNZ Extracted TB'!M:M,$P1530,'TUNZ Extracted TB'!G:G)</f>
        <v>0</v>
      </c>
      <c r="M1530" s="311"/>
      <c r="N1530" s="311">
        <f>+SUMIF('Input Sheet'!$AE:$AE,P1530,'Input Sheet'!$X:$X)</f>
        <v>0</v>
      </c>
      <c r="O1530" s="311"/>
      <c r="P1530" t="str">
        <f t="shared" si="133"/>
        <v>360-7260</v>
      </c>
      <c r="Q1530" s="315" t="str">
        <f t="shared" si="134"/>
        <v>Admin &amp; Other</v>
      </c>
      <c r="R1530" s="315" t="str">
        <f t="shared" si="135"/>
        <v xml:space="preserve">Admin &amp; OtherStaff Remuneration &amp; Benefits as % of Total Gross </v>
      </c>
      <c r="S1530" s="199"/>
      <c r="T1530" s="199"/>
      <c r="U1530" s="199"/>
    </row>
    <row r="1531" spans="1:21" x14ac:dyDescent="0.25">
      <c r="A1531" t="s">
        <v>996</v>
      </c>
      <c r="B1531" t="s">
        <v>997</v>
      </c>
      <c r="C1531" t="s">
        <v>997</v>
      </c>
      <c r="D1531">
        <v>7260</v>
      </c>
      <c r="E1531">
        <v>120</v>
      </c>
      <c r="F1531" t="s">
        <v>1353</v>
      </c>
      <c r="G1531" t="s">
        <v>1354</v>
      </c>
      <c r="H1531" s="315" t="s">
        <v>1000</v>
      </c>
      <c r="I1531" s="315" t="s">
        <v>1276</v>
      </c>
      <c r="J1531" s="315" t="str">
        <f t="shared" si="131"/>
        <v xml:space="preserve">Admin &amp; OtherStaff Remuneration &amp; Benefits as % of Total Gross </v>
      </c>
      <c r="K1531" s="315" t="str">
        <f t="shared" si="132"/>
        <v>120Staff Benefits (Superannuation, FBT, ACC) - Toyota</v>
      </c>
      <c r="L1531" s="311">
        <f>+SUMIF('TUNZ Extracted TB'!M:M,$P1531,'TUNZ Extracted TB'!G:G)</f>
        <v>0</v>
      </c>
      <c r="M1531" s="311"/>
      <c r="N1531" s="311">
        <f>+SUMIF('Input Sheet'!$AE:$AE,P1531,'Input Sheet'!$X:$X)</f>
        <v>0</v>
      </c>
      <c r="O1531" s="311"/>
      <c r="P1531" t="str">
        <f t="shared" si="133"/>
        <v>120-7260</v>
      </c>
      <c r="Q1531" s="315" t="str">
        <f t="shared" si="134"/>
        <v>Admin &amp; Other</v>
      </c>
      <c r="R1531" s="315" t="str">
        <f t="shared" si="135"/>
        <v xml:space="preserve">Admin &amp; OtherStaff Remuneration &amp; Benefits as % of Total Gross </v>
      </c>
      <c r="S1531" s="199"/>
      <c r="T1531" s="199"/>
      <c r="U1531" s="199"/>
    </row>
    <row r="1532" spans="1:21" x14ac:dyDescent="0.25">
      <c r="A1532" t="s">
        <v>996</v>
      </c>
      <c r="B1532" t="s">
        <v>997</v>
      </c>
      <c r="C1532" t="s">
        <v>997</v>
      </c>
      <c r="D1532">
        <v>7260</v>
      </c>
      <c r="E1532">
        <v>121</v>
      </c>
      <c r="F1532" t="s">
        <v>1353</v>
      </c>
      <c r="G1532" t="s">
        <v>1354</v>
      </c>
      <c r="H1532" s="315" t="s">
        <v>1000</v>
      </c>
      <c r="I1532" s="315" t="s">
        <v>1276</v>
      </c>
      <c r="J1532" s="315" t="str">
        <f t="shared" si="131"/>
        <v xml:space="preserve">Admin &amp; OtherStaff Remuneration &amp; Benefits as % of Total Gross </v>
      </c>
      <c r="K1532" s="315" t="str">
        <f t="shared" si="132"/>
        <v>121Staff Benefits (Superannuation, FBT, ACC) - Toyota</v>
      </c>
      <c r="L1532" s="311">
        <f>+SUMIF('TUNZ Extracted TB'!M:M,$P1532,'TUNZ Extracted TB'!G:G)</f>
        <v>0</v>
      </c>
      <c r="M1532" s="311"/>
      <c r="N1532" s="311">
        <f>+SUMIF('Input Sheet'!$AE:$AE,P1532,'Input Sheet'!$X:$X)</f>
        <v>0</v>
      </c>
      <c r="O1532" s="311"/>
      <c r="P1532" t="str">
        <f t="shared" si="133"/>
        <v>121-7260</v>
      </c>
      <c r="Q1532" s="315" t="str">
        <f t="shared" si="134"/>
        <v>Admin &amp; Other</v>
      </c>
      <c r="R1532" s="315" t="str">
        <f t="shared" si="135"/>
        <v xml:space="preserve">Admin &amp; OtherStaff Remuneration &amp; Benefits as % of Total Gross </v>
      </c>
      <c r="S1532" s="199"/>
      <c r="T1532" s="199"/>
      <c r="U1532" s="199"/>
    </row>
    <row r="1533" spans="1:21" x14ac:dyDescent="0.25">
      <c r="A1533" t="s">
        <v>996</v>
      </c>
      <c r="B1533" t="s">
        <v>997</v>
      </c>
      <c r="C1533" t="s">
        <v>997</v>
      </c>
      <c r="D1533">
        <v>7260</v>
      </c>
      <c r="E1533">
        <v>147</v>
      </c>
      <c r="F1533" t="s">
        <v>1353</v>
      </c>
      <c r="G1533" t="s">
        <v>1354</v>
      </c>
      <c r="H1533" s="315" t="s">
        <v>1000</v>
      </c>
      <c r="I1533" s="315" t="s">
        <v>1276</v>
      </c>
      <c r="J1533" s="315" t="str">
        <f t="shared" si="131"/>
        <v xml:space="preserve">Admin &amp; OtherStaff Remuneration &amp; Benefits as % of Total Gross </v>
      </c>
      <c r="K1533" s="315" t="str">
        <f t="shared" si="132"/>
        <v>147Staff Benefits (Superannuation, FBT, ACC) - Toyota</v>
      </c>
      <c r="L1533" s="311">
        <f>+SUMIF('TUNZ Extracted TB'!M:M,$P1533,'TUNZ Extracted TB'!G:G)</f>
        <v>0</v>
      </c>
      <c r="M1533" s="311"/>
      <c r="N1533" s="311">
        <f>+SUMIF('Input Sheet'!$AE:$AE,P1533,'Input Sheet'!$X:$X)</f>
        <v>0</v>
      </c>
      <c r="O1533" s="311"/>
      <c r="P1533" t="str">
        <f t="shared" si="133"/>
        <v>147-7260</v>
      </c>
      <c r="Q1533" s="315" t="str">
        <f t="shared" si="134"/>
        <v>Admin &amp; Other</v>
      </c>
      <c r="R1533" s="315" t="str">
        <f t="shared" si="135"/>
        <v xml:space="preserve">Admin &amp; OtherStaff Remuneration &amp; Benefits as % of Total Gross </v>
      </c>
      <c r="S1533" s="199"/>
      <c r="T1533" s="199"/>
      <c r="U1533" s="199"/>
    </row>
    <row r="1534" spans="1:21" x14ac:dyDescent="0.25">
      <c r="A1534" t="s">
        <v>996</v>
      </c>
      <c r="B1534" t="s">
        <v>997</v>
      </c>
      <c r="C1534" t="s">
        <v>997</v>
      </c>
      <c r="D1534">
        <v>7260</v>
      </c>
      <c r="E1534">
        <v>160</v>
      </c>
      <c r="F1534" t="s">
        <v>1353</v>
      </c>
      <c r="G1534" t="s">
        <v>1354</v>
      </c>
      <c r="H1534" s="315" t="s">
        <v>1000</v>
      </c>
      <c r="I1534" s="315" t="s">
        <v>1276</v>
      </c>
      <c r="J1534" s="315" t="str">
        <f t="shared" si="131"/>
        <v xml:space="preserve">Admin &amp; OtherStaff Remuneration &amp; Benefits as % of Total Gross </v>
      </c>
      <c r="K1534" s="315" t="str">
        <f t="shared" si="132"/>
        <v>160Staff Benefits (Superannuation, FBT, ACC) - Toyota</v>
      </c>
      <c r="L1534" s="311">
        <f>+SUMIF('TUNZ Extracted TB'!M:M,$P1534,'TUNZ Extracted TB'!G:G)</f>
        <v>0</v>
      </c>
      <c r="M1534" s="311"/>
      <c r="N1534" s="311">
        <f>+SUMIF('Input Sheet'!$AE:$AE,P1534,'Input Sheet'!$X:$X)</f>
        <v>0</v>
      </c>
      <c r="O1534" s="311"/>
      <c r="P1534" t="str">
        <f t="shared" si="133"/>
        <v>160-7260</v>
      </c>
      <c r="Q1534" s="315" t="str">
        <f t="shared" si="134"/>
        <v>Admin &amp; Other</v>
      </c>
      <c r="R1534" s="315" t="str">
        <f t="shared" si="135"/>
        <v xml:space="preserve">Admin &amp; OtherStaff Remuneration &amp; Benefits as % of Total Gross </v>
      </c>
      <c r="S1534" s="199"/>
      <c r="T1534" s="199"/>
      <c r="U1534" s="199"/>
    </row>
    <row r="1535" spans="1:21" x14ac:dyDescent="0.25">
      <c r="A1535" t="s">
        <v>996</v>
      </c>
      <c r="B1535" t="s">
        <v>997</v>
      </c>
      <c r="C1535" t="s">
        <v>997</v>
      </c>
      <c r="D1535">
        <v>7270</v>
      </c>
      <c r="E1535">
        <v>140</v>
      </c>
      <c r="F1535" t="s">
        <v>1353</v>
      </c>
      <c r="G1535" t="s">
        <v>1354</v>
      </c>
      <c r="H1535" s="315" t="s">
        <v>1000</v>
      </c>
      <c r="I1535" s="315" t="s">
        <v>1276</v>
      </c>
      <c r="J1535" s="315" t="str">
        <f t="shared" si="131"/>
        <v xml:space="preserve">Admin &amp; OtherStaff Remuneration &amp; Benefits as % of Total Gross </v>
      </c>
      <c r="K1535" s="315" t="str">
        <f t="shared" si="132"/>
        <v>140Staff Benefits (Superannuation, FBT, ACC) - Toyota</v>
      </c>
      <c r="L1535" s="311">
        <f>+SUMIF('TUNZ Extracted TB'!M:M,$P1535,'TUNZ Extracted TB'!G:G)</f>
        <v>0</v>
      </c>
      <c r="M1535" s="311"/>
      <c r="N1535" s="311">
        <f>+SUMIF('Input Sheet'!$AE:$AE,P1535,'Input Sheet'!$X:$X)</f>
        <v>0</v>
      </c>
      <c r="O1535" s="311"/>
      <c r="P1535" t="str">
        <f t="shared" si="133"/>
        <v>140-7270</v>
      </c>
      <c r="Q1535" s="315" t="str">
        <f t="shared" si="134"/>
        <v>Admin &amp; Other</v>
      </c>
      <c r="R1535" s="315" t="str">
        <f t="shared" si="135"/>
        <v xml:space="preserve">Admin &amp; OtherStaff Remuneration &amp; Benefits as % of Total Gross </v>
      </c>
      <c r="S1535" s="199"/>
      <c r="T1535" s="199"/>
      <c r="U1535" s="199"/>
    </row>
    <row r="1536" spans="1:21" x14ac:dyDescent="0.25">
      <c r="A1536" t="s">
        <v>996</v>
      </c>
      <c r="B1536" t="s">
        <v>997</v>
      </c>
      <c r="C1536" t="s">
        <v>997</v>
      </c>
      <c r="D1536">
        <v>7270</v>
      </c>
      <c r="E1536">
        <v>132</v>
      </c>
      <c r="F1536" t="s">
        <v>1355</v>
      </c>
      <c r="G1536" t="s">
        <v>1356</v>
      </c>
      <c r="H1536" s="315" t="s">
        <v>1023</v>
      </c>
      <c r="I1536" s="315" t="s">
        <v>1276</v>
      </c>
      <c r="J1536" s="315" t="str">
        <f t="shared" si="131"/>
        <v xml:space="preserve">LEX Admin &amp; OtherStaff Remuneration &amp; Benefits as % of Total Gross </v>
      </c>
      <c r="K1536" s="315" t="str">
        <f t="shared" si="132"/>
        <v>132Staff Benefits (Superannuation, FBT, ACC) - Lexus</v>
      </c>
      <c r="L1536" s="311">
        <f>+SUMIF('TUNZ Extracted TB'!M:M,$P1536,'TUNZ Extracted TB'!G:G)</f>
        <v>0</v>
      </c>
      <c r="M1536" s="311"/>
      <c r="N1536" s="311">
        <f>+SUMIF('Input Sheet'!$AE:$AE,P1536,'Input Sheet'!$X:$X)</f>
        <v>0</v>
      </c>
      <c r="O1536" s="311"/>
      <c r="P1536" t="str">
        <f t="shared" si="133"/>
        <v>132-7270</v>
      </c>
      <c r="Q1536" s="315" t="str">
        <f t="shared" si="134"/>
        <v>LEX Admin &amp; Other</v>
      </c>
      <c r="R1536" s="315" t="str">
        <f t="shared" si="135"/>
        <v xml:space="preserve">LEX Admin &amp; OtherStaff Remuneration &amp; Benefits as % of Total Gross </v>
      </c>
      <c r="S1536" s="199"/>
      <c r="T1536" s="199"/>
      <c r="U1536" s="199"/>
    </row>
    <row r="1537" spans="1:21" x14ac:dyDescent="0.25">
      <c r="A1537" t="s">
        <v>996</v>
      </c>
      <c r="B1537" t="s">
        <v>997</v>
      </c>
      <c r="C1537" t="s">
        <v>997</v>
      </c>
      <c r="D1537">
        <v>7270</v>
      </c>
      <c r="E1537">
        <v>130</v>
      </c>
      <c r="F1537" t="s">
        <v>1353</v>
      </c>
      <c r="G1537" t="s">
        <v>1354</v>
      </c>
      <c r="H1537" s="315" t="s">
        <v>1000</v>
      </c>
      <c r="I1537" s="315" t="s">
        <v>1276</v>
      </c>
      <c r="J1537" s="315" t="str">
        <f t="shared" si="131"/>
        <v xml:space="preserve">Admin &amp; OtherStaff Remuneration &amp; Benefits as % of Total Gross </v>
      </c>
      <c r="K1537" s="315" t="str">
        <f t="shared" si="132"/>
        <v>130Staff Benefits (Superannuation, FBT, ACC) - Toyota</v>
      </c>
      <c r="L1537" s="311">
        <f>+SUMIF('TUNZ Extracted TB'!M:M,$P1537,'TUNZ Extracted TB'!G:G)</f>
        <v>0</v>
      </c>
      <c r="M1537" s="311"/>
      <c r="N1537" s="311">
        <f>+SUMIF('Input Sheet'!$AE:$AE,P1537,'Input Sheet'!$X:$X)</f>
        <v>0</v>
      </c>
      <c r="O1537" s="311"/>
      <c r="P1537" t="str">
        <f t="shared" si="133"/>
        <v>130-7270</v>
      </c>
      <c r="Q1537" s="315" t="str">
        <f t="shared" si="134"/>
        <v>Admin &amp; Other</v>
      </c>
      <c r="R1537" s="315" t="str">
        <f t="shared" si="135"/>
        <v xml:space="preserve">Admin &amp; OtherStaff Remuneration &amp; Benefits as % of Total Gross </v>
      </c>
      <c r="S1537" s="199"/>
      <c r="T1537" s="199"/>
      <c r="U1537" s="199"/>
    </row>
    <row r="1538" spans="1:21" x14ac:dyDescent="0.25">
      <c r="A1538" t="s">
        <v>996</v>
      </c>
      <c r="B1538" t="s">
        <v>997</v>
      </c>
      <c r="C1538" t="s">
        <v>997</v>
      </c>
      <c r="D1538">
        <v>7270</v>
      </c>
      <c r="E1538">
        <v>112</v>
      </c>
      <c r="F1538" t="s">
        <v>1355</v>
      </c>
      <c r="G1538" t="s">
        <v>1356</v>
      </c>
      <c r="H1538" s="315" t="s">
        <v>1023</v>
      </c>
      <c r="I1538" s="315" t="s">
        <v>1276</v>
      </c>
      <c r="J1538" s="315" t="str">
        <f t="shared" si="131"/>
        <v xml:space="preserve">LEX Admin &amp; OtherStaff Remuneration &amp; Benefits as % of Total Gross </v>
      </c>
      <c r="K1538" s="315" t="str">
        <f t="shared" si="132"/>
        <v>112Staff Benefits (Superannuation, FBT, ACC) - Lexus</v>
      </c>
      <c r="L1538" s="311">
        <f>+SUMIF('TUNZ Extracted TB'!M:M,$P1538,'TUNZ Extracted TB'!G:G)</f>
        <v>0</v>
      </c>
      <c r="M1538" s="311"/>
      <c r="N1538" s="311">
        <f>+SUMIF('Input Sheet'!$AE:$AE,P1538,'Input Sheet'!$X:$X)</f>
        <v>0</v>
      </c>
      <c r="O1538" s="311"/>
      <c r="P1538" t="str">
        <f t="shared" si="133"/>
        <v>112-7270</v>
      </c>
      <c r="Q1538" s="315" t="str">
        <f t="shared" si="134"/>
        <v>LEX Admin &amp; Other</v>
      </c>
      <c r="R1538" s="315" t="str">
        <f t="shared" si="135"/>
        <v xml:space="preserve">LEX Admin &amp; OtherStaff Remuneration &amp; Benefits as % of Total Gross </v>
      </c>
      <c r="S1538" s="199"/>
      <c r="T1538" s="199"/>
      <c r="U1538" s="199"/>
    </row>
    <row r="1539" spans="1:21" x14ac:dyDescent="0.25">
      <c r="A1539" t="s">
        <v>996</v>
      </c>
      <c r="B1539" t="s">
        <v>997</v>
      </c>
      <c r="C1539" t="s">
        <v>997</v>
      </c>
      <c r="D1539">
        <v>7270</v>
      </c>
      <c r="E1539">
        <v>100</v>
      </c>
      <c r="F1539" t="s">
        <v>1353</v>
      </c>
      <c r="G1539" t="s">
        <v>1354</v>
      </c>
      <c r="H1539" s="315" t="s">
        <v>1000</v>
      </c>
      <c r="I1539" s="315" t="s">
        <v>1276</v>
      </c>
      <c r="J1539" s="315" t="str">
        <f t="shared" ref="J1539:J1602" si="136">+H1539&amp;I1539</f>
        <v xml:space="preserve">Admin &amp; OtherStaff Remuneration &amp; Benefits as % of Total Gross </v>
      </c>
      <c r="K1539" s="315" t="str">
        <f t="shared" ref="K1539:K1602" si="137">+E1539&amp;G1539</f>
        <v>100Staff Benefits (Superannuation, FBT, ACC) - Toyota</v>
      </c>
      <c r="L1539" s="311">
        <f>+SUMIF('TUNZ Extracted TB'!M:M,$P1539,'TUNZ Extracted TB'!G:G)</f>
        <v>0</v>
      </c>
      <c r="M1539" s="311"/>
      <c r="N1539" s="311">
        <f>+SUMIF('Input Sheet'!$AE:$AE,P1539,'Input Sheet'!$X:$X)</f>
        <v>0</v>
      </c>
      <c r="O1539" s="311"/>
      <c r="P1539" t="str">
        <f t="shared" ref="P1539:P1602" si="138">+E1539&amp;"-"&amp;D1539</f>
        <v>100-7270</v>
      </c>
      <c r="Q1539" s="315" t="str">
        <f t="shared" ref="Q1539:Q1602" si="139">H1539</f>
        <v>Admin &amp; Other</v>
      </c>
      <c r="R1539" s="315" t="str">
        <f t="shared" ref="R1539:R1602" si="140">J1539</f>
        <v xml:space="preserve">Admin &amp; OtherStaff Remuneration &amp; Benefits as % of Total Gross </v>
      </c>
      <c r="S1539" s="199"/>
      <c r="T1539" s="199"/>
      <c r="U1539" s="199"/>
    </row>
    <row r="1540" spans="1:21" x14ac:dyDescent="0.25">
      <c r="A1540" t="s">
        <v>996</v>
      </c>
      <c r="B1540" t="s">
        <v>997</v>
      </c>
      <c r="C1540" t="s">
        <v>997</v>
      </c>
      <c r="D1540">
        <v>7270</v>
      </c>
      <c r="E1540">
        <v>110</v>
      </c>
      <c r="F1540" t="s">
        <v>1353</v>
      </c>
      <c r="G1540" t="s">
        <v>1354</v>
      </c>
      <c r="H1540" s="315" t="s">
        <v>1000</v>
      </c>
      <c r="I1540" s="315" t="s">
        <v>1276</v>
      </c>
      <c r="J1540" s="315" t="str">
        <f t="shared" si="136"/>
        <v xml:space="preserve">Admin &amp; OtherStaff Remuneration &amp; Benefits as % of Total Gross </v>
      </c>
      <c r="K1540" s="315" t="str">
        <f t="shared" si="137"/>
        <v>110Staff Benefits (Superannuation, FBT, ACC) - Toyota</v>
      </c>
      <c r="L1540" s="311">
        <f>+SUMIF('TUNZ Extracted TB'!M:M,$P1540,'TUNZ Extracted TB'!G:G)</f>
        <v>0</v>
      </c>
      <c r="M1540" s="311"/>
      <c r="N1540" s="311">
        <f>+SUMIF('Input Sheet'!$AE:$AE,P1540,'Input Sheet'!$X:$X)</f>
        <v>0</v>
      </c>
      <c r="O1540" s="311"/>
      <c r="P1540" t="str">
        <f t="shared" si="138"/>
        <v>110-7270</v>
      </c>
      <c r="Q1540" s="315" t="str">
        <f t="shared" si="139"/>
        <v>Admin &amp; Other</v>
      </c>
      <c r="R1540" s="315" t="str">
        <f t="shared" si="140"/>
        <v xml:space="preserve">Admin &amp; OtherStaff Remuneration &amp; Benefits as % of Total Gross </v>
      </c>
      <c r="S1540" s="199"/>
      <c r="T1540" s="199"/>
      <c r="U1540" s="199"/>
    </row>
    <row r="1541" spans="1:21" x14ac:dyDescent="0.25">
      <c r="A1541" t="s">
        <v>996</v>
      </c>
      <c r="B1541" t="s">
        <v>997</v>
      </c>
      <c r="C1541" t="s">
        <v>997</v>
      </c>
      <c r="D1541">
        <v>7270</v>
      </c>
      <c r="E1541">
        <v>936</v>
      </c>
      <c r="F1541" t="s">
        <v>1175</v>
      </c>
      <c r="G1541" t="s">
        <v>1176</v>
      </c>
      <c r="H1541" s="315" t="s">
        <v>1023</v>
      </c>
      <c r="I1541" s="315" t="s">
        <v>1276</v>
      </c>
      <c r="J1541" s="315" t="str">
        <f t="shared" si="136"/>
        <v xml:space="preserve">LEX Admin &amp; OtherStaff Remuneration &amp; Benefits as % of Total Gross </v>
      </c>
      <c r="K1541" s="315" t="str">
        <f t="shared" si="137"/>
        <v>936Other franchise/business expense</v>
      </c>
      <c r="L1541" s="311">
        <f>+SUMIF('TUNZ Extracted TB'!M:M,$P1541,'TUNZ Extracted TB'!G:G)</f>
        <v>0</v>
      </c>
      <c r="M1541" s="311"/>
      <c r="N1541" s="311">
        <f>+SUMIF('Input Sheet'!$AE:$AE,P1541,'Input Sheet'!$X:$X)</f>
        <v>0</v>
      </c>
      <c r="O1541" s="311"/>
      <c r="P1541" t="str">
        <f t="shared" si="138"/>
        <v>936-7270</v>
      </c>
      <c r="Q1541" s="315" t="str">
        <f t="shared" si="139"/>
        <v>LEX Admin &amp; Other</v>
      </c>
      <c r="R1541" s="315" t="str">
        <f t="shared" si="140"/>
        <v xml:space="preserve">LEX Admin &amp; OtherStaff Remuneration &amp; Benefits as % of Total Gross </v>
      </c>
      <c r="S1541" s="199"/>
      <c r="T1541" s="199"/>
      <c r="U1541" s="199"/>
    </row>
    <row r="1542" spans="1:21" x14ac:dyDescent="0.25">
      <c r="A1542" t="s">
        <v>996</v>
      </c>
      <c r="B1542" t="s">
        <v>997</v>
      </c>
      <c r="C1542" t="s">
        <v>997</v>
      </c>
      <c r="D1542">
        <v>7270</v>
      </c>
      <c r="E1542">
        <v>935</v>
      </c>
      <c r="F1542" t="s">
        <v>1175</v>
      </c>
      <c r="G1542" t="s">
        <v>1176</v>
      </c>
      <c r="H1542" s="315" t="s">
        <v>1023</v>
      </c>
      <c r="I1542" s="315" t="s">
        <v>1276</v>
      </c>
      <c r="J1542" s="315" t="str">
        <f t="shared" si="136"/>
        <v xml:space="preserve">LEX Admin &amp; OtherStaff Remuneration &amp; Benefits as % of Total Gross </v>
      </c>
      <c r="K1542" s="315" t="str">
        <f t="shared" si="137"/>
        <v>935Other franchise/business expense</v>
      </c>
      <c r="L1542" s="311">
        <f>+SUMIF('TUNZ Extracted TB'!M:M,$P1542,'TUNZ Extracted TB'!G:G)</f>
        <v>0</v>
      </c>
      <c r="M1542" s="311"/>
      <c r="N1542" s="311">
        <f>+SUMIF('Input Sheet'!$AE:$AE,P1542,'Input Sheet'!$X:$X)</f>
        <v>0</v>
      </c>
      <c r="O1542" s="311"/>
      <c r="P1542" t="str">
        <f t="shared" si="138"/>
        <v>935-7270</v>
      </c>
      <c r="Q1542" s="315" t="str">
        <f t="shared" si="139"/>
        <v>LEX Admin &amp; Other</v>
      </c>
      <c r="R1542" s="315" t="str">
        <f t="shared" si="140"/>
        <v xml:space="preserve">LEX Admin &amp; OtherStaff Remuneration &amp; Benefits as % of Total Gross </v>
      </c>
      <c r="S1542" s="199"/>
      <c r="T1542" s="199"/>
      <c r="U1542" s="199"/>
    </row>
    <row r="1543" spans="1:21" x14ac:dyDescent="0.25">
      <c r="A1543" t="s">
        <v>996</v>
      </c>
      <c r="B1543" t="s">
        <v>997</v>
      </c>
      <c r="C1543" t="s">
        <v>997</v>
      </c>
      <c r="D1543">
        <v>7270</v>
      </c>
      <c r="E1543">
        <v>122</v>
      </c>
      <c r="F1543" t="s">
        <v>1355</v>
      </c>
      <c r="G1543" t="s">
        <v>1356</v>
      </c>
      <c r="H1543" s="315" t="s">
        <v>1023</v>
      </c>
      <c r="I1543" s="315" t="s">
        <v>1276</v>
      </c>
      <c r="J1543" s="315" t="str">
        <f t="shared" si="136"/>
        <v xml:space="preserve">LEX Admin &amp; OtherStaff Remuneration &amp; Benefits as % of Total Gross </v>
      </c>
      <c r="K1543" s="315" t="str">
        <f t="shared" si="137"/>
        <v>122Staff Benefits (Superannuation, FBT, ACC) - Lexus</v>
      </c>
      <c r="L1543" s="311">
        <f>+SUMIF('TUNZ Extracted TB'!M:M,$P1543,'TUNZ Extracted TB'!G:G)</f>
        <v>0</v>
      </c>
      <c r="M1543" s="311"/>
      <c r="N1543" s="311">
        <f>+SUMIF('Input Sheet'!$AE:$AE,P1543,'Input Sheet'!$X:$X)</f>
        <v>0</v>
      </c>
      <c r="O1543" s="311"/>
      <c r="P1543" t="str">
        <f t="shared" si="138"/>
        <v>122-7270</v>
      </c>
      <c r="Q1543" s="315" t="str">
        <f t="shared" si="139"/>
        <v>LEX Admin &amp; Other</v>
      </c>
      <c r="R1543" s="315" t="str">
        <f t="shared" si="140"/>
        <v xml:space="preserve">LEX Admin &amp; OtherStaff Remuneration &amp; Benefits as % of Total Gross </v>
      </c>
      <c r="S1543" s="199"/>
      <c r="T1543" s="199"/>
      <c r="U1543" s="199"/>
    </row>
    <row r="1544" spans="1:21" x14ac:dyDescent="0.25">
      <c r="A1544" t="s">
        <v>996</v>
      </c>
      <c r="B1544" t="s">
        <v>997</v>
      </c>
      <c r="C1544" t="s">
        <v>997</v>
      </c>
      <c r="D1544">
        <v>7270</v>
      </c>
      <c r="E1544">
        <v>162</v>
      </c>
      <c r="F1544" t="s">
        <v>1355</v>
      </c>
      <c r="G1544" t="s">
        <v>1356</v>
      </c>
      <c r="H1544" s="315" t="s">
        <v>1023</v>
      </c>
      <c r="I1544" s="315" t="s">
        <v>1276</v>
      </c>
      <c r="J1544" s="315" t="str">
        <f t="shared" si="136"/>
        <v xml:space="preserve">LEX Admin &amp; OtherStaff Remuneration &amp; Benefits as % of Total Gross </v>
      </c>
      <c r="K1544" s="315" t="str">
        <f t="shared" si="137"/>
        <v>162Staff Benefits (Superannuation, FBT, ACC) - Lexus</v>
      </c>
      <c r="L1544" s="311">
        <f>+SUMIF('TUNZ Extracted TB'!M:M,$P1544,'TUNZ Extracted TB'!G:G)</f>
        <v>0</v>
      </c>
      <c r="M1544" s="311"/>
      <c r="N1544" s="311">
        <f>+SUMIF('Input Sheet'!$AE:$AE,P1544,'Input Sheet'!$X:$X)</f>
        <v>0</v>
      </c>
      <c r="O1544" s="311"/>
      <c r="P1544" t="str">
        <f t="shared" si="138"/>
        <v>162-7270</v>
      </c>
      <c r="Q1544" s="315" t="str">
        <f t="shared" si="139"/>
        <v>LEX Admin &amp; Other</v>
      </c>
      <c r="R1544" s="315" t="str">
        <f t="shared" si="140"/>
        <v xml:space="preserve">LEX Admin &amp; OtherStaff Remuneration &amp; Benefits as % of Total Gross </v>
      </c>
      <c r="S1544" s="199"/>
      <c r="T1544" s="199"/>
      <c r="U1544" s="199"/>
    </row>
    <row r="1545" spans="1:21" x14ac:dyDescent="0.25">
      <c r="A1545" t="s">
        <v>996</v>
      </c>
      <c r="B1545" t="s">
        <v>997</v>
      </c>
      <c r="C1545" t="s">
        <v>1005</v>
      </c>
      <c r="D1545">
        <v>7270</v>
      </c>
      <c r="E1545">
        <v>200</v>
      </c>
      <c r="F1545" t="s">
        <v>1353</v>
      </c>
      <c r="G1545" t="s">
        <v>1354</v>
      </c>
      <c r="H1545" s="315" t="s">
        <v>1000</v>
      </c>
      <c r="I1545" s="315" t="s">
        <v>1276</v>
      </c>
      <c r="J1545" s="315" t="str">
        <f t="shared" si="136"/>
        <v xml:space="preserve">Admin &amp; OtherStaff Remuneration &amp; Benefits as % of Total Gross </v>
      </c>
      <c r="K1545" s="315" t="str">
        <f t="shared" si="137"/>
        <v>200Staff Benefits (Superannuation, FBT, ACC) - Toyota</v>
      </c>
      <c r="L1545" s="311">
        <f>+SUMIF('TUNZ Extracted TB'!M:M,$P1545,'TUNZ Extracted TB'!G:G)</f>
        <v>0</v>
      </c>
      <c r="M1545" s="311"/>
      <c r="N1545" s="311">
        <f>+SUMIF('Input Sheet'!$AE:$AE,P1545,'Input Sheet'!$X:$X)</f>
        <v>0</v>
      </c>
      <c r="O1545" s="311"/>
      <c r="P1545" t="str">
        <f t="shared" si="138"/>
        <v>200-7270</v>
      </c>
      <c r="Q1545" s="315" t="str">
        <f t="shared" si="139"/>
        <v>Admin &amp; Other</v>
      </c>
      <c r="R1545" s="315" t="str">
        <f t="shared" si="140"/>
        <v xml:space="preserve">Admin &amp; OtherStaff Remuneration &amp; Benefits as % of Total Gross </v>
      </c>
      <c r="S1545" s="199"/>
      <c r="T1545" s="199"/>
      <c r="U1545" s="199"/>
    </row>
    <row r="1546" spans="1:21" x14ac:dyDescent="0.25">
      <c r="A1546" t="s">
        <v>996</v>
      </c>
      <c r="B1546" t="s">
        <v>997</v>
      </c>
      <c r="C1546" t="s">
        <v>1005</v>
      </c>
      <c r="D1546">
        <v>7270</v>
      </c>
      <c r="E1546">
        <v>210</v>
      </c>
      <c r="F1546" t="s">
        <v>1353</v>
      </c>
      <c r="G1546" t="s">
        <v>1354</v>
      </c>
      <c r="H1546" s="315" t="s">
        <v>1000</v>
      </c>
      <c r="I1546" s="315" t="s">
        <v>1276</v>
      </c>
      <c r="J1546" s="315" t="str">
        <f t="shared" si="136"/>
        <v xml:space="preserve">Admin &amp; OtherStaff Remuneration &amp; Benefits as % of Total Gross </v>
      </c>
      <c r="K1546" s="315" t="str">
        <f t="shared" si="137"/>
        <v>210Staff Benefits (Superannuation, FBT, ACC) - Toyota</v>
      </c>
      <c r="L1546" s="311">
        <f>+SUMIF('TUNZ Extracted TB'!M:M,$P1546,'TUNZ Extracted TB'!G:G)</f>
        <v>0</v>
      </c>
      <c r="M1546" s="311"/>
      <c r="N1546" s="311">
        <f>+SUMIF('Input Sheet'!$AE:$AE,P1546,'Input Sheet'!$X:$X)</f>
        <v>0</v>
      </c>
      <c r="O1546" s="311"/>
      <c r="P1546" t="str">
        <f t="shared" si="138"/>
        <v>210-7270</v>
      </c>
      <c r="Q1546" s="315" t="str">
        <f t="shared" si="139"/>
        <v>Admin &amp; Other</v>
      </c>
      <c r="R1546" s="315" t="str">
        <f t="shared" si="140"/>
        <v xml:space="preserve">Admin &amp; OtherStaff Remuneration &amp; Benefits as % of Total Gross </v>
      </c>
      <c r="S1546" s="199"/>
      <c r="T1546" s="199"/>
      <c r="U1546" s="199"/>
    </row>
    <row r="1547" spans="1:21" x14ac:dyDescent="0.25">
      <c r="A1547" t="s">
        <v>996</v>
      </c>
      <c r="B1547" t="s">
        <v>997</v>
      </c>
      <c r="C1547" t="s">
        <v>1005</v>
      </c>
      <c r="D1547">
        <v>7270</v>
      </c>
      <c r="E1547">
        <v>220</v>
      </c>
      <c r="F1547" t="s">
        <v>1353</v>
      </c>
      <c r="G1547" t="s">
        <v>1354</v>
      </c>
      <c r="H1547" s="315" t="s">
        <v>1000</v>
      </c>
      <c r="I1547" s="315" t="s">
        <v>1276</v>
      </c>
      <c r="J1547" s="315" t="str">
        <f t="shared" si="136"/>
        <v xml:space="preserve">Admin &amp; OtherStaff Remuneration &amp; Benefits as % of Total Gross </v>
      </c>
      <c r="K1547" s="315" t="str">
        <f t="shared" si="137"/>
        <v>220Staff Benefits (Superannuation, FBT, ACC) - Toyota</v>
      </c>
      <c r="L1547" s="311">
        <f>+SUMIF('TUNZ Extracted TB'!M:M,$P1547,'TUNZ Extracted TB'!G:G)</f>
        <v>0</v>
      </c>
      <c r="M1547" s="311"/>
      <c r="N1547" s="311">
        <f>+SUMIF('Input Sheet'!$AE:$AE,P1547,'Input Sheet'!$X:$X)</f>
        <v>0</v>
      </c>
      <c r="O1547" s="311"/>
      <c r="P1547" t="str">
        <f t="shared" si="138"/>
        <v>220-7270</v>
      </c>
      <c r="Q1547" s="315" t="str">
        <f t="shared" si="139"/>
        <v>Admin &amp; Other</v>
      </c>
      <c r="R1547" s="315" t="str">
        <f t="shared" si="140"/>
        <v xml:space="preserve">Admin &amp; OtherStaff Remuneration &amp; Benefits as % of Total Gross </v>
      </c>
      <c r="S1547" s="199"/>
      <c r="T1547" s="199"/>
      <c r="U1547" s="199"/>
    </row>
    <row r="1548" spans="1:21" x14ac:dyDescent="0.25">
      <c r="A1548" t="s">
        <v>996</v>
      </c>
      <c r="B1548" t="s">
        <v>997</v>
      </c>
      <c r="C1548" t="s">
        <v>1005</v>
      </c>
      <c r="D1548">
        <v>7270</v>
      </c>
      <c r="E1548">
        <v>221</v>
      </c>
      <c r="F1548" t="s">
        <v>1353</v>
      </c>
      <c r="G1548" t="s">
        <v>1354</v>
      </c>
      <c r="H1548" s="315" t="s">
        <v>1000</v>
      </c>
      <c r="I1548" s="315" t="s">
        <v>1276</v>
      </c>
      <c r="J1548" s="315" t="str">
        <f t="shared" si="136"/>
        <v xml:space="preserve">Admin &amp; OtherStaff Remuneration &amp; Benefits as % of Total Gross </v>
      </c>
      <c r="K1548" s="315" t="str">
        <f t="shared" si="137"/>
        <v>221Staff Benefits (Superannuation, FBT, ACC) - Toyota</v>
      </c>
      <c r="L1548" s="311">
        <f>+SUMIF('TUNZ Extracted TB'!M:M,$P1548,'TUNZ Extracted TB'!G:G)</f>
        <v>0</v>
      </c>
      <c r="M1548" s="311"/>
      <c r="N1548" s="311">
        <f>+SUMIF('Input Sheet'!$AE:$AE,P1548,'Input Sheet'!$X:$X)</f>
        <v>0</v>
      </c>
      <c r="O1548" s="311"/>
      <c r="P1548" t="str">
        <f t="shared" si="138"/>
        <v>221-7270</v>
      </c>
      <c r="Q1548" s="315" t="str">
        <f t="shared" si="139"/>
        <v>Admin &amp; Other</v>
      </c>
      <c r="R1548" s="315" t="str">
        <f t="shared" si="140"/>
        <v xml:space="preserve">Admin &amp; OtherStaff Remuneration &amp; Benefits as % of Total Gross </v>
      </c>
      <c r="S1548" s="199"/>
      <c r="T1548" s="199"/>
      <c r="U1548" s="199"/>
    </row>
    <row r="1549" spans="1:21" x14ac:dyDescent="0.25">
      <c r="A1549" t="s">
        <v>996</v>
      </c>
      <c r="B1549" t="s">
        <v>997</v>
      </c>
      <c r="C1549" t="s">
        <v>1005</v>
      </c>
      <c r="D1549">
        <v>7270</v>
      </c>
      <c r="E1549">
        <v>230</v>
      </c>
      <c r="F1549" t="s">
        <v>1353</v>
      </c>
      <c r="G1549" t="s">
        <v>1354</v>
      </c>
      <c r="H1549" s="315" t="s">
        <v>1000</v>
      </c>
      <c r="I1549" s="315" t="s">
        <v>1276</v>
      </c>
      <c r="J1549" s="315" t="str">
        <f t="shared" si="136"/>
        <v xml:space="preserve">Admin &amp; OtherStaff Remuneration &amp; Benefits as % of Total Gross </v>
      </c>
      <c r="K1549" s="315" t="str">
        <f t="shared" si="137"/>
        <v>230Staff Benefits (Superannuation, FBT, ACC) - Toyota</v>
      </c>
      <c r="L1549" s="311">
        <f>+SUMIF('TUNZ Extracted TB'!M:M,$P1549,'TUNZ Extracted TB'!G:G)</f>
        <v>0</v>
      </c>
      <c r="M1549" s="311"/>
      <c r="N1549" s="311">
        <f>+SUMIF('Input Sheet'!$AE:$AE,P1549,'Input Sheet'!$X:$X)</f>
        <v>0</v>
      </c>
      <c r="O1549" s="311"/>
      <c r="P1549" t="str">
        <f t="shared" si="138"/>
        <v>230-7270</v>
      </c>
      <c r="Q1549" s="315" t="str">
        <f t="shared" si="139"/>
        <v>Admin &amp; Other</v>
      </c>
      <c r="R1549" s="315" t="str">
        <f t="shared" si="140"/>
        <v xml:space="preserve">Admin &amp; OtherStaff Remuneration &amp; Benefits as % of Total Gross </v>
      </c>
      <c r="S1549" s="199"/>
      <c r="T1549" s="199"/>
      <c r="U1549" s="199"/>
    </row>
    <row r="1550" spans="1:21" x14ac:dyDescent="0.25">
      <c r="A1550" t="s">
        <v>996</v>
      </c>
      <c r="B1550" t="s">
        <v>997</v>
      </c>
      <c r="C1550" t="s">
        <v>1005</v>
      </c>
      <c r="D1550">
        <v>7270</v>
      </c>
      <c r="E1550">
        <v>240</v>
      </c>
      <c r="F1550" t="s">
        <v>1353</v>
      </c>
      <c r="G1550" t="s">
        <v>1354</v>
      </c>
      <c r="H1550" s="315" t="s">
        <v>1000</v>
      </c>
      <c r="I1550" s="315" t="s">
        <v>1276</v>
      </c>
      <c r="J1550" s="315" t="str">
        <f t="shared" si="136"/>
        <v xml:space="preserve">Admin &amp; OtherStaff Remuneration &amp; Benefits as % of Total Gross </v>
      </c>
      <c r="K1550" s="315" t="str">
        <f t="shared" si="137"/>
        <v>240Staff Benefits (Superannuation, FBT, ACC) - Toyota</v>
      </c>
      <c r="L1550" s="311">
        <f>+SUMIF('TUNZ Extracted TB'!M:M,$P1550,'TUNZ Extracted TB'!G:G)</f>
        <v>0</v>
      </c>
      <c r="M1550" s="311"/>
      <c r="N1550" s="311">
        <f>+SUMIF('Input Sheet'!$AE:$AE,P1550,'Input Sheet'!$X:$X)</f>
        <v>0</v>
      </c>
      <c r="O1550" s="311"/>
      <c r="P1550" t="str">
        <f t="shared" si="138"/>
        <v>240-7270</v>
      </c>
      <c r="Q1550" s="315" t="str">
        <f t="shared" si="139"/>
        <v>Admin &amp; Other</v>
      </c>
      <c r="R1550" s="315" t="str">
        <f t="shared" si="140"/>
        <v xml:space="preserve">Admin &amp; OtherStaff Remuneration &amp; Benefits as % of Total Gross </v>
      </c>
      <c r="S1550" s="199"/>
      <c r="T1550" s="199"/>
      <c r="U1550" s="199"/>
    </row>
    <row r="1551" spans="1:21" x14ac:dyDescent="0.25">
      <c r="A1551" t="s">
        <v>996</v>
      </c>
      <c r="B1551" t="s">
        <v>997</v>
      </c>
      <c r="C1551" t="s">
        <v>1005</v>
      </c>
      <c r="D1551">
        <v>7270</v>
      </c>
      <c r="E1551">
        <v>260</v>
      </c>
      <c r="F1551" t="s">
        <v>1353</v>
      </c>
      <c r="G1551" t="s">
        <v>1354</v>
      </c>
      <c r="H1551" s="315" t="s">
        <v>1000</v>
      </c>
      <c r="I1551" s="315" t="s">
        <v>1276</v>
      </c>
      <c r="J1551" s="315" t="str">
        <f t="shared" si="136"/>
        <v xml:space="preserve">Admin &amp; OtherStaff Remuneration &amp; Benefits as % of Total Gross </v>
      </c>
      <c r="K1551" s="315" t="str">
        <f t="shared" si="137"/>
        <v>260Staff Benefits (Superannuation, FBT, ACC) - Toyota</v>
      </c>
      <c r="L1551" s="311">
        <f>+SUMIF('TUNZ Extracted TB'!M:M,$P1551,'TUNZ Extracted TB'!G:G)</f>
        <v>0</v>
      </c>
      <c r="M1551" s="311"/>
      <c r="N1551" s="311">
        <f>+SUMIF('Input Sheet'!$AE:$AE,P1551,'Input Sheet'!$X:$X)</f>
        <v>0</v>
      </c>
      <c r="O1551" s="311"/>
      <c r="P1551" t="str">
        <f t="shared" si="138"/>
        <v>260-7270</v>
      </c>
      <c r="Q1551" s="315" t="str">
        <f t="shared" si="139"/>
        <v>Admin &amp; Other</v>
      </c>
      <c r="R1551" s="315" t="str">
        <f t="shared" si="140"/>
        <v xml:space="preserve">Admin &amp; OtherStaff Remuneration &amp; Benefits as % of Total Gross </v>
      </c>
      <c r="S1551" s="199"/>
      <c r="T1551" s="199"/>
      <c r="U1551" s="199"/>
    </row>
    <row r="1552" spans="1:21" x14ac:dyDescent="0.25">
      <c r="A1552" t="s">
        <v>996</v>
      </c>
      <c r="B1552" t="s">
        <v>997</v>
      </c>
      <c r="C1552" t="s">
        <v>1012</v>
      </c>
      <c r="D1552">
        <v>7270</v>
      </c>
      <c r="E1552">
        <v>400</v>
      </c>
      <c r="F1552" t="s">
        <v>1353</v>
      </c>
      <c r="G1552" t="s">
        <v>1354</v>
      </c>
      <c r="H1552" s="315" t="s">
        <v>1000</v>
      </c>
      <c r="I1552" s="315" t="s">
        <v>1276</v>
      </c>
      <c r="J1552" s="315" t="str">
        <f t="shared" si="136"/>
        <v xml:space="preserve">Admin &amp; OtherStaff Remuneration &amp; Benefits as % of Total Gross </v>
      </c>
      <c r="K1552" s="315" t="str">
        <f t="shared" si="137"/>
        <v>400Staff Benefits (Superannuation, FBT, ACC) - Toyota</v>
      </c>
      <c r="L1552" s="311">
        <f>+SUMIF('TUNZ Extracted TB'!M:M,$P1552,'TUNZ Extracted TB'!G:G)</f>
        <v>0</v>
      </c>
      <c r="M1552" s="311"/>
      <c r="N1552" s="311">
        <f>+SUMIF('Input Sheet'!$AE:$AE,P1552,'Input Sheet'!$X:$X)</f>
        <v>0</v>
      </c>
      <c r="O1552" s="311"/>
      <c r="P1552" t="str">
        <f t="shared" si="138"/>
        <v>400-7270</v>
      </c>
      <c r="Q1552" s="315" t="str">
        <f t="shared" si="139"/>
        <v>Admin &amp; Other</v>
      </c>
      <c r="R1552" s="315" t="str">
        <f t="shared" si="140"/>
        <v xml:space="preserve">Admin &amp; OtherStaff Remuneration &amp; Benefits as % of Total Gross </v>
      </c>
      <c r="S1552" s="199"/>
      <c r="T1552" s="199"/>
      <c r="U1552" s="199"/>
    </row>
    <row r="1553" spans="1:21" x14ac:dyDescent="0.25">
      <c r="A1553" t="s">
        <v>996</v>
      </c>
      <c r="B1553" t="s">
        <v>997</v>
      </c>
      <c r="C1553" t="s">
        <v>1012</v>
      </c>
      <c r="D1553">
        <v>7270</v>
      </c>
      <c r="E1553">
        <v>410</v>
      </c>
      <c r="F1553" t="s">
        <v>1353</v>
      </c>
      <c r="G1553" t="s">
        <v>1354</v>
      </c>
      <c r="H1553" s="315" t="s">
        <v>1000</v>
      </c>
      <c r="I1553" s="315" t="s">
        <v>1276</v>
      </c>
      <c r="J1553" s="315" t="str">
        <f t="shared" si="136"/>
        <v xml:space="preserve">Admin &amp; OtherStaff Remuneration &amp; Benefits as % of Total Gross </v>
      </c>
      <c r="K1553" s="315" t="str">
        <f t="shared" si="137"/>
        <v>410Staff Benefits (Superannuation, FBT, ACC) - Toyota</v>
      </c>
      <c r="L1553" s="311">
        <f>+SUMIF('TUNZ Extracted TB'!M:M,$P1553,'TUNZ Extracted TB'!G:G)</f>
        <v>0</v>
      </c>
      <c r="M1553" s="311"/>
      <c r="N1553" s="311">
        <f>+SUMIF('Input Sheet'!$AE:$AE,P1553,'Input Sheet'!$X:$X)</f>
        <v>0</v>
      </c>
      <c r="O1553" s="311"/>
      <c r="P1553" t="str">
        <f t="shared" si="138"/>
        <v>410-7270</v>
      </c>
      <c r="Q1553" s="315" t="str">
        <f t="shared" si="139"/>
        <v>Admin &amp; Other</v>
      </c>
      <c r="R1553" s="315" t="str">
        <f t="shared" si="140"/>
        <v xml:space="preserve">Admin &amp; OtherStaff Remuneration &amp; Benefits as % of Total Gross </v>
      </c>
      <c r="S1553" s="199"/>
      <c r="T1553" s="199"/>
      <c r="U1553" s="199"/>
    </row>
    <row r="1554" spans="1:21" x14ac:dyDescent="0.25">
      <c r="A1554" t="s">
        <v>996</v>
      </c>
      <c r="B1554" t="s">
        <v>997</v>
      </c>
      <c r="C1554" t="s">
        <v>1012</v>
      </c>
      <c r="D1554">
        <v>7270</v>
      </c>
      <c r="E1554">
        <v>420</v>
      </c>
      <c r="F1554" t="s">
        <v>1353</v>
      </c>
      <c r="G1554" t="s">
        <v>1354</v>
      </c>
      <c r="H1554" s="315" t="s">
        <v>1000</v>
      </c>
      <c r="I1554" s="315" t="s">
        <v>1276</v>
      </c>
      <c r="J1554" s="315" t="str">
        <f t="shared" si="136"/>
        <v xml:space="preserve">Admin &amp; OtherStaff Remuneration &amp; Benefits as % of Total Gross </v>
      </c>
      <c r="K1554" s="315" t="str">
        <f t="shared" si="137"/>
        <v>420Staff Benefits (Superannuation, FBT, ACC) - Toyota</v>
      </c>
      <c r="L1554" s="311">
        <f>+SUMIF('TUNZ Extracted TB'!M:M,$P1554,'TUNZ Extracted TB'!G:G)</f>
        <v>0</v>
      </c>
      <c r="M1554" s="311"/>
      <c r="N1554" s="311">
        <f>+SUMIF('Input Sheet'!$AE:$AE,P1554,'Input Sheet'!$X:$X)</f>
        <v>0</v>
      </c>
      <c r="O1554" s="311"/>
      <c r="P1554" t="str">
        <f t="shared" si="138"/>
        <v>420-7270</v>
      </c>
      <c r="Q1554" s="315" t="str">
        <f t="shared" si="139"/>
        <v>Admin &amp; Other</v>
      </c>
      <c r="R1554" s="315" t="str">
        <f t="shared" si="140"/>
        <v xml:space="preserve">Admin &amp; OtherStaff Remuneration &amp; Benefits as % of Total Gross </v>
      </c>
      <c r="S1554" s="199"/>
      <c r="T1554" s="199"/>
      <c r="U1554" s="199"/>
    </row>
    <row r="1555" spans="1:21" x14ac:dyDescent="0.25">
      <c r="A1555" t="s">
        <v>996</v>
      </c>
      <c r="B1555" t="s">
        <v>997</v>
      </c>
      <c r="C1555" t="s">
        <v>1012</v>
      </c>
      <c r="D1555">
        <v>7270</v>
      </c>
      <c r="E1555">
        <v>421</v>
      </c>
      <c r="F1555" t="s">
        <v>1353</v>
      </c>
      <c r="G1555" t="s">
        <v>1354</v>
      </c>
      <c r="H1555" s="315" t="s">
        <v>1000</v>
      </c>
      <c r="I1555" s="315" t="s">
        <v>1276</v>
      </c>
      <c r="J1555" s="315" t="str">
        <f t="shared" si="136"/>
        <v xml:space="preserve">Admin &amp; OtherStaff Remuneration &amp; Benefits as % of Total Gross </v>
      </c>
      <c r="K1555" s="315" t="str">
        <f t="shared" si="137"/>
        <v>421Staff Benefits (Superannuation, FBT, ACC) - Toyota</v>
      </c>
      <c r="L1555" s="311">
        <f>+SUMIF('TUNZ Extracted TB'!M:M,$P1555,'TUNZ Extracted TB'!G:G)</f>
        <v>0</v>
      </c>
      <c r="M1555" s="311"/>
      <c r="N1555" s="311">
        <f>+SUMIF('Input Sheet'!$AE:$AE,P1555,'Input Sheet'!$X:$X)</f>
        <v>0</v>
      </c>
      <c r="O1555" s="311"/>
      <c r="P1555" t="str">
        <f t="shared" si="138"/>
        <v>421-7270</v>
      </c>
      <c r="Q1555" s="315" t="str">
        <f t="shared" si="139"/>
        <v>Admin &amp; Other</v>
      </c>
      <c r="R1555" s="315" t="str">
        <f t="shared" si="140"/>
        <v xml:space="preserve">Admin &amp; OtherStaff Remuneration &amp; Benefits as % of Total Gross </v>
      </c>
      <c r="S1555" s="199"/>
      <c r="T1555" s="199"/>
      <c r="U1555" s="199"/>
    </row>
    <row r="1556" spans="1:21" x14ac:dyDescent="0.25">
      <c r="A1556" t="s">
        <v>996</v>
      </c>
      <c r="B1556" t="s">
        <v>997</v>
      </c>
      <c r="C1556" t="s">
        <v>1012</v>
      </c>
      <c r="D1556">
        <v>7270</v>
      </c>
      <c r="E1556">
        <v>430</v>
      </c>
      <c r="F1556" t="s">
        <v>1353</v>
      </c>
      <c r="G1556" t="s">
        <v>1354</v>
      </c>
      <c r="H1556" s="315" t="s">
        <v>1000</v>
      </c>
      <c r="I1556" s="315" t="s">
        <v>1276</v>
      </c>
      <c r="J1556" s="315" t="str">
        <f t="shared" si="136"/>
        <v xml:space="preserve">Admin &amp; OtherStaff Remuneration &amp; Benefits as % of Total Gross </v>
      </c>
      <c r="K1556" s="315" t="str">
        <f t="shared" si="137"/>
        <v>430Staff Benefits (Superannuation, FBT, ACC) - Toyota</v>
      </c>
      <c r="L1556" s="311">
        <f>+SUMIF('TUNZ Extracted TB'!M:M,$P1556,'TUNZ Extracted TB'!G:G)</f>
        <v>0</v>
      </c>
      <c r="M1556" s="311"/>
      <c r="N1556" s="311">
        <f>+SUMIF('Input Sheet'!$AE:$AE,P1556,'Input Sheet'!$X:$X)</f>
        <v>0</v>
      </c>
      <c r="O1556" s="311"/>
      <c r="P1556" t="str">
        <f t="shared" si="138"/>
        <v>430-7270</v>
      </c>
      <c r="Q1556" s="315" t="str">
        <f t="shared" si="139"/>
        <v>Admin &amp; Other</v>
      </c>
      <c r="R1556" s="315" t="str">
        <f t="shared" si="140"/>
        <v xml:space="preserve">Admin &amp; OtherStaff Remuneration &amp; Benefits as % of Total Gross </v>
      </c>
      <c r="S1556" s="199"/>
      <c r="T1556" s="199"/>
      <c r="U1556" s="199"/>
    </row>
    <row r="1557" spans="1:21" x14ac:dyDescent="0.25">
      <c r="A1557" t="s">
        <v>996</v>
      </c>
      <c r="B1557" t="s">
        <v>997</v>
      </c>
      <c r="C1557" t="s">
        <v>1012</v>
      </c>
      <c r="D1557">
        <v>7270</v>
      </c>
      <c r="E1557">
        <v>440</v>
      </c>
      <c r="F1557" t="s">
        <v>1353</v>
      </c>
      <c r="G1557" t="s">
        <v>1354</v>
      </c>
      <c r="H1557" s="315" t="s">
        <v>1000</v>
      </c>
      <c r="I1557" s="315" t="s">
        <v>1276</v>
      </c>
      <c r="J1557" s="315" t="str">
        <f t="shared" si="136"/>
        <v xml:space="preserve">Admin &amp; OtherStaff Remuneration &amp; Benefits as % of Total Gross </v>
      </c>
      <c r="K1557" s="315" t="str">
        <f t="shared" si="137"/>
        <v>440Staff Benefits (Superannuation, FBT, ACC) - Toyota</v>
      </c>
      <c r="L1557" s="311">
        <f>+SUMIF('TUNZ Extracted TB'!M:M,$P1557,'TUNZ Extracted TB'!G:G)</f>
        <v>0</v>
      </c>
      <c r="M1557" s="311"/>
      <c r="N1557" s="311">
        <f>+SUMIF('Input Sheet'!$AE:$AE,P1557,'Input Sheet'!$X:$X)</f>
        <v>0</v>
      </c>
      <c r="O1557" s="311"/>
      <c r="P1557" t="str">
        <f t="shared" si="138"/>
        <v>440-7270</v>
      </c>
      <c r="Q1557" s="315" t="str">
        <f t="shared" si="139"/>
        <v>Admin &amp; Other</v>
      </c>
      <c r="R1557" s="315" t="str">
        <f t="shared" si="140"/>
        <v xml:space="preserve">Admin &amp; OtherStaff Remuneration &amp; Benefits as % of Total Gross </v>
      </c>
      <c r="S1557" s="199"/>
      <c r="T1557" s="199"/>
      <c r="U1557" s="199"/>
    </row>
    <row r="1558" spans="1:21" x14ac:dyDescent="0.25">
      <c r="A1558" t="s">
        <v>996</v>
      </c>
      <c r="B1558" t="s">
        <v>997</v>
      </c>
      <c r="C1558" t="s">
        <v>1012</v>
      </c>
      <c r="D1558">
        <v>7270</v>
      </c>
      <c r="E1558">
        <v>460</v>
      </c>
      <c r="F1558" t="s">
        <v>1353</v>
      </c>
      <c r="G1558" t="s">
        <v>1354</v>
      </c>
      <c r="H1558" s="315" t="s">
        <v>1000</v>
      </c>
      <c r="I1558" s="315" t="s">
        <v>1276</v>
      </c>
      <c r="J1558" s="315" t="str">
        <f t="shared" si="136"/>
        <v xml:space="preserve">Admin &amp; OtherStaff Remuneration &amp; Benefits as % of Total Gross </v>
      </c>
      <c r="K1558" s="315" t="str">
        <f t="shared" si="137"/>
        <v>460Staff Benefits (Superannuation, FBT, ACC) - Toyota</v>
      </c>
      <c r="L1558" s="311">
        <f>+SUMIF('TUNZ Extracted TB'!M:M,$P1558,'TUNZ Extracted TB'!G:G)</f>
        <v>0</v>
      </c>
      <c r="M1558" s="311"/>
      <c r="N1558" s="311">
        <f>+SUMIF('Input Sheet'!$AE:$AE,P1558,'Input Sheet'!$X:$X)</f>
        <v>0</v>
      </c>
      <c r="O1558" s="311"/>
      <c r="P1558" t="str">
        <f t="shared" si="138"/>
        <v>460-7270</v>
      </c>
      <c r="Q1558" s="315" t="str">
        <f t="shared" si="139"/>
        <v>Admin &amp; Other</v>
      </c>
      <c r="R1558" s="315" t="str">
        <f t="shared" si="140"/>
        <v xml:space="preserve">Admin &amp; OtherStaff Remuneration &amp; Benefits as % of Total Gross </v>
      </c>
      <c r="S1558" s="199"/>
      <c r="T1558" s="199"/>
      <c r="U1558" s="199"/>
    </row>
    <row r="1559" spans="1:21" x14ac:dyDescent="0.25">
      <c r="A1559" t="s">
        <v>996</v>
      </c>
      <c r="B1559" t="s">
        <v>997</v>
      </c>
      <c r="C1559" t="s">
        <v>1013</v>
      </c>
      <c r="D1559">
        <v>7270</v>
      </c>
      <c r="E1559">
        <v>300</v>
      </c>
      <c r="F1559" t="s">
        <v>1353</v>
      </c>
      <c r="G1559" t="s">
        <v>1354</v>
      </c>
      <c r="H1559" s="315" t="s">
        <v>1000</v>
      </c>
      <c r="I1559" s="315" t="s">
        <v>1276</v>
      </c>
      <c r="J1559" s="315" t="str">
        <f t="shared" si="136"/>
        <v xml:space="preserve">Admin &amp; OtherStaff Remuneration &amp; Benefits as % of Total Gross </v>
      </c>
      <c r="K1559" s="315" t="str">
        <f t="shared" si="137"/>
        <v>300Staff Benefits (Superannuation, FBT, ACC) - Toyota</v>
      </c>
      <c r="L1559" s="311">
        <f>+SUMIF('TUNZ Extracted TB'!M:M,$P1559,'TUNZ Extracted TB'!G:G)</f>
        <v>0</v>
      </c>
      <c r="M1559" s="311"/>
      <c r="N1559" s="311">
        <f>+SUMIF('Input Sheet'!$AE:$AE,P1559,'Input Sheet'!$X:$X)</f>
        <v>0</v>
      </c>
      <c r="O1559" s="311"/>
      <c r="P1559" t="str">
        <f t="shared" si="138"/>
        <v>300-7270</v>
      </c>
      <c r="Q1559" s="315" t="str">
        <f t="shared" si="139"/>
        <v>Admin &amp; Other</v>
      </c>
      <c r="R1559" s="315" t="str">
        <f t="shared" si="140"/>
        <v xml:space="preserve">Admin &amp; OtherStaff Remuneration &amp; Benefits as % of Total Gross </v>
      </c>
      <c r="S1559" s="199"/>
      <c r="T1559" s="199"/>
      <c r="U1559" s="199"/>
    </row>
    <row r="1560" spans="1:21" x14ac:dyDescent="0.25">
      <c r="A1560" t="s">
        <v>996</v>
      </c>
      <c r="B1560" t="s">
        <v>997</v>
      </c>
      <c r="C1560" t="s">
        <v>1013</v>
      </c>
      <c r="D1560">
        <v>7270</v>
      </c>
      <c r="E1560">
        <v>310</v>
      </c>
      <c r="F1560" t="s">
        <v>1353</v>
      </c>
      <c r="G1560" t="s">
        <v>1354</v>
      </c>
      <c r="H1560" s="315" t="s">
        <v>1000</v>
      </c>
      <c r="I1560" s="315" t="s">
        <v>1276</v>
      </c>
      <c r="J1560" s="315" t="str">
        <f t="shared" si="136"/>
        <v xml:space="preserve">Admin &amp; OtherStaff Remuneration &amp; Benefits as % of Total Gross </v>
      </c>
      <c r="K1560" s="315" t="str">
        <f t="shared" si="137"/>
        <v>310Staff Benefits (Superannuation, FBT, ACC) - Toyota</v>
      </c>
      <c r="L1560" s="311">
        <f>+SUMIF('TUNZ Extracted TB'!M:M,$P1560,'TUNZ Extracted TB'!G:G)</f>
        <v>0</v>
      </c>
      <c r="M1560" s="311"/>
      <c r="N1560" s="311">
        <f>+SUMIF('Input Sheet'!$AE:$AE,P1560,'Input Sheet'!$X:$X)</f>
        <v>0</v>
      </c>
      <c r="O1560" s="311"/>
      <c r="P1560" t="str">
        <f t="shared" si="138"/>
        <v>310-7270</v>
      </c>
      <c r="Q1560" s="315" t="str">
        <f t="shared" si="139"/>
        <v>Admin &amp; Other</v>
      </c>
      <c r="R1560" s="315" t="str">
        <f t="shared" si="140"/>
        <v xml:space="preserve">Admin &amp; OtherStaff Remuneration &amp; Benefits as % of Total Gross </v>
      </c>
      <c r="S1560" s="199"/>
      <c r="T1560" s="199"/>
      <c r="U1560" s="199"/>
    </row>
    <row r="1561" spans="1:21" x14ac:dyDescent="0.25">
      <c r="A1561" t="s">
        <v>996</v>
      </c>
      <c r="B1561" t="s">
        <v>997</v>
      </c>
      <c r="C1561" t="s">
        <v>1013</v>
      </c>
      <c r="D1561">
        <v>7270</v>
      </c>
      <c r="E1561">
        <v>321</v>
      </c>
      <c r="F1561" t="s">
        <v>1353</v>
      </c>
      <c r="G1561" t="s">
        <v>1354</v>
      </c>
      <c r="H1561" s="315" t="s">
        <v>1000</v>
      </c>
      <c r="I1561" s="315" t="s">
        <v>1276</v>
      </c>
      <c r="J1561" s="315" t="str">
        <f t="shared" si="136"/>
        <v xml:space="preserve">Admin &amp; OtherStaff Remuneration &amp; Benefits as % of Total Gross </v>
      </c>
      <c r="K1561" s="315" t="str">
        <f t="shared" si="137"/>
        <v>321Staff Benefits (Superannuation, FBT, ACC) - Toyota</v>
      </c>
      <c r="L1561" s="311">
        <f>+SUMIF('TUNZ Extracted TB'!M:M,$P1561,'TUNZ Extracted TB'!G:G)</f>
        <v>0</v>
      </c>
      <c r="M1561" s="311"/>
      <c r="N1561" s="311">
        <f>+SUMIF('Input Sheet'!$AE:$AE,P1561,'Input Sheet'!$X:$X)</f>
        <v>0</v>
      </c>
      <c r="O1561" s="311"/>
      <c r="P1561" t="str">
        <f t="shared" si="138"/>
        <v>321-7270</v>
      </c>
      <c r="Q1561" s="315" t="str">
        <f t="shared" si="139"/>
        <v>Admin &amp; Other</v>
      </c>
      <c r="R1561" s="315" t="str">
        <f t="shared" si="140"/>
        <v xml:space="preserve">Admin &amp; OtherStaff Remuneration &amp; Benefits as % of Total Gross </v>
      </c>
      <c r="S1561" s="199"/>
      <c r="T1561" s="199"/>
      <c r="U1561" s="199"/>
    </row>
    <row r="1562" spans="1:21" x14ac:dyDescent="0.25">
      <c r="A1562" t="s">
        <v>996</v>
      </c>
      <c r="B1562" t="s">
        <v>997</v>
      </c>
      <c r="C1562" t="s">
        <v>1013</v>
      </c>
      <c r="D1562">
        <v>7270</v>
      </c>
      <c r="E1562">
        <v>330</v>
      </c>
      <c r="F1562" t="s">
        <v>1353</v>
      </c>
      <c r="G1562" t="s">
        <v>1354</v>
      </c>
      <c r="H1562" s="315" t="s">
        <v>1000</v>
      </c>
      <c r="I1562" s="315" t="s">
        <v>1276</v>
      </c>
      <c r="J1562" s="315" t="str">
        <f t="shared" si="136"/>
        <v xml:space="preserve">Admin &amp; OtherStaff Remuneration &amp; Benefits as % of Total Gross </v>
      </c>
      <c r="K1562" s="315" t="str">
        <f t="shared" si="137"/>
        <v>330Staff Benefits (Superannuation, FBT, ACC) - Toyota</v>
      </c>
      <c r="L1562" s="311">
        <f>+SUMIF('TUNZ Extracted TB'!M:M,$P1562,'TUNZ Extracted TB'!G:G)</f>
        <v>0</v>
      </c>
      <c r="M1562" s="311"/>
      <c r="N1562" s="311">
        <f>+SUMIF('Input Sheet'!$AE:$AE,P1562,'Input Sheet'!$X:$X)</f>
        <v>0</v>
      </c>
      <c r="O1562" s="311"/>
      <c r="P1562" t="str">
        <f t="shared" si="138"/>
        <v>330-7270</v>
      </c>
      <c r="Q1562" s="315" t="str">
        <f t="shared" si="139"/>
        <v>Admin &amp; Other</v>
      </c>
      <c r="R1562" s="315" t="str">
        <f t="shared" si="140"/>
        <v xml:space="preserve">Admin &amp; OtherStaff Remuneration &amp; Benefits as % of Total Gross </v>
      </c>
      <c r="S1562" s="199"/>
      <c r="T1562" s="199"/>
      <c r="U1562" s="199"/>
    </row>
    <row r="1563" spans="1:21" x14ac:dyDescent="0.25">
      <c r="A1563" t="s">
        <v>996</v>
      </c>
      <c r="B1563" t="s">
        <v>997</v>
      </c>
      <c r="C1563" t="s">
        <v>1013</v>
      </c>
      <c r="D1563">
        <v>7270</v>
      </c>
      <c r="E1563">
        <v>340</v>
      </c>
      <c r="F1563" t="s">
        <v>1353</v>
      </c>
      <c r="G1563" t="s">
        <v>1354</v>
      </c>
      <c r="H1563" s="315" t="s">
        <v>1000</v>
      </c>
      <c r="I1563" s="315" t="s">
        <v>1276</v>
      </c>
      <c r="J1563" s="315" t="str">
        <f t="shared" si="136"/>
        <v xml:space="preserve">Admin &amp; OtherStaff Remuneration &amp; Benefits as % of Total Gross </v>
      </c>
      <c r="K1563" s="315" t="str">
        <f t="shared" si="137"/>
        <v>340Staff Benefits (Superannuation, FBT, ACC) - Toyota</v>
      </c>
      <c r="L1563" s="311">
        <f>+SUMIF('TUNZ Extracted TB'!M:M,$P1563,'TUNZ Extracted TB'!G:G)</f>
        <v>0</v>
      </c>
      <c r="M1563" s="311"/>
      <c r="N1563" s="311">
        <f>+SUMIF('Input Sheet'!$AE:$AE,P1563,'Input Sheet'!$X:$X)</f>
        <v>0</v>
      </c>
      <c r="O1563" s="311"/>
      <c r="P1563" t="str">
        <f t="shared" si="138"/>
        <v>340-7270</v>
      </c>
      <c r="Q1563" s="315" t="str">
        <f t="shared" si="139"/>
        <v>Admin &amp; Other</v>
      </c>
      <c r="R1563" s="315" t="str">
        <f t="shared" si="140"/>
        <v xml:space="preserve">Admin &amp; OtherStaff Remuneration &amp; Benefits as % of Total Gross </v>
      </c>
      <c r="S1563" s="199"/>
      <c r="T1563" s="199"/>
      <c r="U1563" s="199"/>
    </row>
    <row r="1564" spans="1:21" x14ac:dyDescent="0.25">
      <c r="A1564" t="s">
        <v>996</v>
      </c>
      <c r="B1564" t="s">
        <v>997</v>
      </c>
      <c r="C1564" t="s">
        <v>1013</v>
      </c>
      <c r="D1564">
        <v>7270</v>
      </c>
      <c r="E1564">
        <v>360</v>
      </c>
      <c r="F1564" t="s">
        <v>1353</v>
      </c>
      <c r="G1564" t="s">
        <v>1354</v>
      </c>
      <c r="H1564" s="315" t="s">
        <v>1000</v>
      </c>
      <c r="I1564" s="315" t="s">
        <v>1276</v>
      </c>
      <c r="J1564" s="315" t="str">
        <f t="shared" si="136"/>
        <v xml:space="preserve">Admin &amp; OtherStaff Remuneration &amp; Benefits as % of Total Gross </v>
      </c>
      <c r="K1564" s="315" t="str">
        <f t="shared" si="137"/>
        <v>360Staff Benefits (Superannuation, FBT, ACC) - Toyota</v>
      </c>
      <c r="L1564" s="311">
        <f>+SUMIF('TUNZ Extracted TB'!M:M,$P1564,'TUNZ Extracted TB'!G:G)</f>
        <v>0</v>
      </c>
      <c r="M1564" s="311"/>
      <c r="N1564" s="311">
        <f>+SUMIF('Input Sheet'!$AE:$AE,P1564,'Input Sheet'!$X:$X)</f>
        <v>0</v>
      </c>
      <c r="O1564" s="311"/>
      <c r="P1564" t="str">
        <f t="shared" si="138"/>
        <v>360-7270</v>
      </c>
      <c r="Q1564" s="315" t="str">
        <f t="shared" si="139"/>
        <v>Admin &amp; Other</v>
      </c>
      <c r="R1564" s="315" t="str">
        <f t="shared" si="140"/>
        <v xml:space="preserve">Admin &amp; OtherStaff Remuneration &amp; Benefits as % of Total Gross </v>
      </c>
      <c r="S1564" s="199"/>
      <c r="T1564" s="199"/>
      <c r="U1564" s="199"/>
    </row>
    <row r="1565" spans="1:21" x14ac:dyDescent="0.25">
      <c r="A1565" t="s">
        <v>996</v>
      </c>
      <c r="B1565" t="s">
        <v>997</v>
      </c>
      <c r="C1565" t="s">
        <v>997</v>
      </c>
      <c r="D1565">
        <v>7270</v>
      </c>
      <c r="E1565">
        <v>120</v>
      </c>
      <c r="F1565" t="s">
        <v>1353</v>
      </c>
      <c r="G1565" t="s">
        <v>1354</v>
      </c>
      <c r="H1565" s="315" t="s">
        <v>1000</v>
      </c>
      <c r="I1565" s="315" t="s">
        <v>1276</v>
      </c>
      <c r="J1565" s="315" t="str">
        <f t="shared" si="136"/>
        <v xml:space="preserve">Admin &amp; OtherStaff Remuneration &amp; Benefits as % of Total Gross </v>
      </c>
      <c r="K1565" s="315" t="str">
        <f t="shared" si="137"/>
        <v>120Staff Benefits (Superannuation, FBT, ACC) - Toyota</v>
      </c>
      <c r="L1565" s="311">
        <f>+SUMIF('TUNZ Extracted TB'!M:M,$P1565,'TUNZ Extracted TB'!G:G)</f>
        <v>0</v>
      </c>
      <c r="M1565" s="311"/>
      <c r="N1565" s="311">
        <f>+SUMIF('Input Sheet'!$AE:$AE,P1565,'Input Sheet'!$X:$X)</f>
        <v>0</v>
      </c>
      <c r="O1565" s="311"/>
      <c r="P1565" t="str">
        <f t="shared" si="138"/>
        <v>120-7270</v>
      </c>
      <c r="Q1565" s="315" t="str">
        <f t="shared" si="139"/>
        <v>Admin &amp; Other</v>
      </c>
      <c r="R1565" s="315" t="str">
        <f t="shared" si="140"/>
        <v xml:space="preserve">Admin &amp; OtherStaff Remuneration &amp; Benefits as % of Total Gross </v>
      </c>
      <c r="S1565" s="199"/>
      <c r="T1565" s="199"/>
      <c r="U1565" s="199"/>
    </row>
    <row r="1566" spans="1:21" x14ac:dyDescent="0.25">
      <c r="A1566" t="s">
        <v>996</v>
      </c>
      <c r="B1566" t="s">
        <v>997</v>
      </c>
      <c r="C1566" t="s">
        <v>997</v>
      </c>
      <c r="D1566">
        <v>7270</v>
      </c>
      <c r="E1566">
        <v>121</v>
      </c>
      <c r="F1566" t="s">
        <v>1353</v>
      </c>
      <c r="G1566" t="s">
        <v>1354</v>
      </c>
      <c r="H1566" s="315" t="s">
        <v>1000</v>
      </c>
      <c r="I1566" s="315" t="s">
        <v>1276</v>
      </c>
      <c r="J1566" s="315" t="str">
        <f t="shared" si="136"/>
        <v xml:space="preserve">Admin &amp; OtherStaff Remuneration &amp; Benefits as % of Total Gross </v>
      </c>
      <c r="K1566" s="315" t="str">
        <f t="shared" si="137"/>
        <v>121Staff Benefits (Superannuation, FBT, ACC) - Toyota</v>
      </c>
      <c r="L1566" s="311">
        <f>+SUMIF('TUNZ Extracted TB'!M:M,$P1566,'TUNZ Extracted TB'!G:G)</f>
        <v>0</v>
      </c>
      <c r="M1566" s="311"/>
      <c r="N1566" s="311">
        <f>+SUMIF('Input Sheet'!$AE:$AE,P1566,'Input Sheet'!$X:$X)</f>
        <v>0</v>
      </c>
      <c r="O1566" s="311"/>
      <c r="P1566" t="str">
        <f t="shared" si="138"/>
        <v>121-7270</v>
      </c>
      <c r="Q1566" s="315" t="str">
        <f t="shared" si="139"/>
        <v>Admin &amp; Other</v>
      </c>
      <c r="R1566" s="315" t="str">
        <f t="shared" si="140"/>
        <v xml:space="preserve">Admin &amp; OtherStaff Remuneration &amp; Benefits as % of Total Gross </v>
      </c>
      <c r="S1566" s="199"/>
      <c r="T1566" s="199"/>
      <c r="U1566" s="199"/>
    </row>
    <row r="1567" spans="1:21" x14ac:dyDescent="0.25">
      <c r="A1567" t="s">
        <v>996</v>
      </c>
      <c r="B1567" t="s">
        <v>997</v>
      </c>
      <c r="C1567" t="s">
        <v>997</v>
      </c>
      <c r="D1567">
        <v>7270</v>
      </c>
      <c r="E1567">
        <v>147</v>
      </c>
      <c r="F1567" t="s">
        <v>1353</v>
      </c>
      <c r="G1567" t="s">
        <v>1354</v>
      </c>
      <c r="H1567" s="315" t="s">
        <v>1000</v>
      </c>
      <c r="I1567" s="315" t="s">
        <v>1276</v>
      </c>
      <c r="J1567" s="315" t="str">
        <f t="shared" si="136"/>
        <v xml:space="preserve">Admin &amp; OtherStaff Remuneration &amp; Benefits as % of Total Gross </v>
      </c>
      <c r="K1567" s="315" t="str">
        <f t="shared" si="137"/>
        <v>147Staff Benefits (Superannuation, FBT, ACC) - Toyota</v>
      </c>
      <c r="L1567" s="311">
        <f>+SUMIF('TUNZ Extracted TB'!M:M,$P1567,'TUNZ Extracted TB'!G:G)</f>
        <v>0</v>
      </c>
      <c r="M1567" s="311"/>
      <c r="N1567" s="311">
        <f>+SUMIF('Input Sheet'!$AE:$AE,P1567,'Input Sheet'!$X:$X)</f>
        <v>0</v>
      </c>
      <c r="O1567" s="311"/>
      <c r="P1567" t="str">
        <f t="shared" si="138"/>
        <v>147-7270</v>
      </c>
      <c r="Q1567" s="315" t="str">
        <f t="shared" si="139"/>
        <v>Admin &amp; Other</v>
      </c>
      <c r="R1567" s="315" t="str">
        <f t="shared" si="140"/>
        <v xml:space="preserve">Admin &amp; OtherStaff Remuneration &amp; Benefits as % of Total Gross </v>
      </c>
      <c r="S1567" s="199"/>
      <c r="T1567" s="199"/>
      <c r="U1567" s="199"/>
    </row>
    <row r="1568" spans="1:21" x14ac:dyDescent="0.25">
      <c r="A1568" t="s">
        <v>996</v>
      </c>
      <c r="B1568" t="s">
        <v>997</v>
      </c>
      <c r="C1568" t="s">
        <v>997</v>
      </c>
      <c r="D1568">
        <v>7270</v>
      </c>
      <c r="E1568">
        <v>160</v>
      </c>
      <c r="F1568" t="s">
        <v>1353</v>
      </c>
      <c r="G1568" t="s">
        <v>1354</v>
      </c>
      <c r="H1568" s="315" t="s">
        <v>1000</v>
      </c>
      <c r="I1568" s="315" t="s">
        <v>1276</v>
      </c>
      <c r="J1568" s="315" t="str">
        <f t="shared" si="136"/>
        <v xml:space="preserve">Admin &amp; OtherStaff Remuneration &amp; Benefits as % of Total Gross </v>
      </c>
      <c r="K1568" s="315" t="str">
        <f t="shared" si="137"/>
        <v>160Staff Benefits (Superannuation, FBT, ACC) - Toyota</v>
      </c>
      <c r="L1568" s="311">
        <f>+SUMIF('TUNZ Extracted TB'!M:M,$P1568,'TUNZ Extracted TB'!G:G)</f>
        <v>0</v>
      </c>
      <c r="M1568" s="311"/>
      <c r="N1568" s="311">
        <f>+SUMIF('Input Sheet'!$AE:$AE,P1568,'Input Sheet'!$X:$X)</f>
        <v>0</v>
      </c>
      <c r="O1568" s="311"/>
      <c r="P1568" t="str">
        <f t="shared" si="138"/>
        <v>160-7270</v>
      </c>
      <c r="Q1568" s="315" t="str">
        <f t="shared" si="139"/>
        <v>Admin &amp; Other</v>
      </c>
      <c r="R1568" s="315" t="str">
        <f t="shared" si="140"/>
        <v xml:space="preserve">Admin &amp; OtherStaff Remuneration &amp; Benefits as % of Total Gross </v>
      </c>
      <c r="S1568" s="199"/>
      <c r="T1568" s="199"/>
      <c r="U1568" s="199"/>
    </row>
    <row r="1569" spans="1:21" x14ac:dyDescent="0.25">
      <c r="A1569" t="s">
        <v>996</v>
      </c>
      <c r="B1569" t="s">
        <v>997</v>
      </c>
      <c r="C1569" t="s">
        <v>997</v>
      </c>
      <c r="D1569">
        <v>7280</v>
      </c>
      <c r="E1569">
        <v>140</v>
      </c>
      <c r="F1569" t="s">
        <v>1250</v>
      </c>
      <c r="G1569" t="s">
        <v>1251</v>
      </c>
      <c r="H1569" s="315" t="s">
        <v>17</v>
      </c>
      <c r="I1569" s="315" t="s">
        <v>1252</v>
      </c>
      <c r="J1569" s="315" t="str">
        <f t="shared" si="136"/>
        <v>ServiceSalaries, Commission &amp; Leave as % of Sales</v>
      </c>
      <c r="K1569" s="315" t="str">
        <f t="shared" si="137"/>
        <v>140Service Salaries &amp; Commission - Toyota</v>
      </c>
      <c r="L1569" s="311">
        <f>+SUMIF('TUNZ Extracted TB'!M:M,$P1569,'TUNZ Extracted TB'!G:G)</f>
        <v>0</v>
      </c>
      <c r="M1569" s="311"/>
      <c r="N1569" s="311">
        <f>+SUMIF('Input Sheet'!$AE:$AE,P1569,'Input Sheet'!$X:$X)</f>
        <v>0</v>
      </c>
      <c r="O1569" s="311"/>
      <c r="P1569" t="str">
        <f t="shared" si="138"/>
        <v>140-7280</v>
      </c>
      <c r="Q1569" s="315" t="str">
        <f t="shared" si="139"/>
        <v>Service</v>
      </c>
      <c r="R1569" s="315" t="str">
        <f t="shared" si="140"/>
        <v>ServiceSalaries, Commission &amp; Leave as % of Sales</v>
      </c>
      <c r="S1569" s="199"/>
      <c r="T1569" s="199"/>
      <c r="U1569" s="199"/>
    </row>
    <row r="1570" spans="1:21" x14ac:dyDescent="0.25">
      <c r="A1570" t="s">
        <v>996</v>
      </c>
      <c r="B1570" t="s">
        <v>997</v>
      </c>
      <c r="C1570" t="s">
        <v>997</v>
      </c>
      <c r="D1570">
        <v>7280</v>
      </c>
      <c r="E1570">
        <v>132</v>
      </c>
      <c r="F1570" t="s">
        <v>1253</v>
      </c>
      <c r="G1570" t="s">
        <v>1254</v>
      </c>
      <c r="H1570" s="315" t="s">
        <v>143</v>
      </c>
      <c r="I1570" s="315" t="s">
        <v>1255</v>
      </c>
      <c r="J1570" s="315" t="str">
        <f t="shared" si="136"/>
        <v>LEX PartsSalaries &amp; Commission as % of Sales</v>
      </c>
      <c r="K1570" s="315" t="str">
        <f t="shared" si="137"/>
        <v>132Parts Salaries &amp; Commission - Lexus</v>
      </c>
      <c r="L1570" s="311">
        <f>+SUMIF('TUNZ Extracted TB'!M:M,$P1570,'TUNZ Extracted TB'!G:G)</f>
        <v>0</v>
      </c>
      <c r="M1570" s="311"/>
      <c r="N1570" s="311">
        <f>+SUMIF('Input Sheet'!$AE:$AE,P1570,'Input Sheet'!$X:$X)</f>
        <v>0</v>
      </c>
      <c r="O1570" s="311"/>
      <c r="P1570" t="str">
        <f t="shared" si="138"/>
        <v>132-7280</v>
      </c>
      <c r="Q1570" s="315" t="str">
        <f t="shared" si="139"/>
        <v>LEX Parts</v>
      </c>
      <c r="R1570" s="315" t="str">
        <f t="shared" si="140"/>
        <v>LEX PartsSalaries &amp; Commission as % of Sales</v>
      </c>
      <c r="S1570" s="199"/>
      <c r="T1570" s="199"/>
      <c r="U1570" s="199"/>
    </row>
    <row r="1571" spans="1:21" x14ac:dyDescent="0.25">
      <c r="A1571" t="s">
        <v>996</v>
      </c>
      <c r="B1571" t="s">
        <v>997</v>
      </c>
      <c r="C1571" t="s">
        <v>997</v>
      </c>
      <c r="D1571">
        <v>7280</v>
      </c>
      <c r="E1571">
        <v>130</v>
      </c>
      <c r="F1571" t="s">
        <v>1256</v>
      </c>
      <c r="G1571" t="s">
        <v>1257</v>
      </c>
      <c r="H1571" s="315" t="s">
        <v>5</v>
      </c>
      <c r="I1571" s="315" t="s">
        <v>1255</v>
      </c>
      <c r="J1571" s="315" t="str">
        <f t="shared" si="136"/>
        <v>PartsSalaries &amp; Commission as % of Sales</v>
      </c>
      <c r="K1571" s="315" t="str">
        <f t="shared" si="137"/>
        <v>130Parts Salaries &amp; Commission - Toyota</v>
      </c>
      <c r="L1571" s="311">
        <f>+SUMIF('TUNZ Extracted TB'!M:M,$P1571,'TUNZ Extracted TB'!G:G)</f>
        <v>0</v>
      </c>
      <c r="M1571" s="311"/>
      <c r="N1571" s="311">
        <f>+SUMIF('Input Sheet'!$AE:$AE,P1571,'Input Sheet'!$X:$X)</f>
        <v>0</v>
      </c>
      <c r="O1571" s="311"/>
      <c r="P1571" t="str">
        <f t="shared" si="138"/>
        <v>130-7280</v>
      </c>
      <c r="Q1571" s="315" t="str">
        <f t="shared" si="139"/>
        <v>Parts</v>
      </c>
      <c r="R1571" s="315" t="str">
        <f t="shared" si="140"/>
        <v>PartsSalaries &amp; Commission as % of Sales</v>
      </c>
      <c r="S1571" s="199"/>
      <c r="T1571" s="199"/>
      <c r="U1571" s="199"/>
    </row>
    <row r="1572" spans="1:21" x14ac:dyDescent="0.25">
      <c r="A1572" t="s">
        <v>996</v>
      </c>
      <c r="B1572" t="s">
        <v>997</v>
      </c>
      <c r="C1572" t="s">
        <v>1005</v>
      </c>
      <c r="D1572">
        <v>7280</v>
      </c>
      <c r="E1572">
        <v>210</v>
      </c>
      <c r="F1572" t="s">
        <v>1265</v>
      </c>
      <c r="G1572" t="s">
        <v>1266</v>
      </c>
      <c r="H1572" s="315" t="s">
        <v>29</v>
      </c>
      <c r="I1572" s="315" t="s">
        <v>1267</v>
      </c>
      <c r="J1572" s="315" t="str">
        <f t="shared" si="136"/>
        <v>New VehicleCommission p.u.</v>
      </c>
      <c r="K1572" s="315" t="str">
        <f t="shared" si="137"/>
        <v>210NV Commission - Toyota</v>
      </c>
      <c r="L1572" s="311">
        <f>+SUMIF('TUNZ Extracted TB'!M:M,$P1572,'TUNZ Extracted TB'!G:G)</f>
        <v>0</v>
      </c>
      <c r="M1572" s="311"/>
      <c r="N1572" s="311">
        <f>+SUMIF('Input Sheet'!$AE:$AE,P1572,'Input Sheet'!$X:$X)</f>
        <v>0</v>
      </c>
      <c r="O1572" s="311"/>
      <c r="P1572" t="str">
        <f t="shared" si="138"/>
        <v>210-7280</v>
      </c>
      <c r="Q1572" s="315" t="str">
        <f t="shared" si="139"/>
        <v>New Vehicle</v>
      </c>
      <c r="R1572" s="315" t="str">
        <f t="shared" si="140"/>
        <v>New VehicleCommission p.u.</v>
      </c>
      <c r="S1572" s="199"/>
      <c r="T1572" s="199"/>
      <c r="U1572" s="199"/>
    </row>
    <row r="1573" spans="1:21" x14ac:dyDescent="0.25">
      <c r="A1573" t="s">
        <v>996</v>
      </c>
      <c r="B1573" t="s">
        <v>997</v>
      </c>
      <c r="C1573" t="s">
        <v>1012</v>
      </c>
      <c r="D1573">
        <v>7280</v>
      </c>
      <c r="E1573">
        <v>400</v>
      </c>
      <c r="F1573" t="s">
        <v>1265</v>
      </c>
      <c r="G1573" t="s">
        <v>1266</v>
      </c>
      <c r="H1573" s="315" t="s">
        <v>29</v>
      </c>
      <c r="I1573" s="315" t="s">
        <v>1267</v>
      </c>
      <c r="J1573" s="315" t="str">
        <f t="shared" si="136"/>
        <v>New VehicleCommission p.u.</v>
      </c>
      <c r="K1573" s="315" t="str">
        <f t="shared" si="137"/>
        <v>400NV Commission - Toyota</v>
      </c>
      <c r="L1573" s="311">
        <f>+SUMIF('TUNZ Extracted TB'!M:M,$P1573,'TUNZ Extracted TB'!G:G)</f>
        <v>0</v>
      </c>
      <c r="M1573" s="311"/>
      <c r="N1573" s="311">
        <f>+SUMIF('Input Sheet'!$AE:$AE,P1573,'Input Sheet'!$X:$X)</f>
        <v>0</v>
      </c>
      <c r="O1573" s="311"/>
      <c r="P1573" t="str">
        <f t="shared" si="138"/>
        <v>400-7280</v>
      </c>
      <c r="Q1573" s="315" t="str">
        <f t="shared" si="139"/>
        <v>New Vehicle</v>
      </c>
      <c r="R1573" s="315" t="str">
        <f t="shared" si="140"/>
        <v>New VehicleCommission p.u.</v>
      </c>
      <c r="S1573" s="199"/>
      <c r="T1573" s="199"/>
      <c r="U1573" s="199"/>
    </row>
    <row r="1574" spans="1:21" x14ac:dyDescent="0.25">
      <c r="A1574" t="s">
        <v>996</v>
      </c>
      <c r="B1574" t="s">
        <v>997</v>
      </c>
      <c r="C1574" t="s">
        <v>1012</v>
      </c>
      <c r="D1574">
        <v>7280</v>
      </c>
      <c r="E1574">
        <v>410</v>
      </c>
      <c r="F1574" t="s">
        <v>1265</v>
      </c>
      <c r="G1574" t="s">
        <v>1266</v>
      </c>
      <c r="H1574" s="315" t="s">
        <v>29</v>
      </c>
      <c r="I1574" s="315" t="s">
        <v>1267</v>
      </c>
      <c r="J1574" s="315" t="str">
        <f t="shared" si="136"/>
        <v>New VehicleCommission p.u.</v>
      </c>
      <c r="K1574" s="315" t="str">
        <f t="shared" si="137"/>
        <v>410NV Commission - Toyota</v>
      </c>
      <c r="L1574" s="311">
        <f>+SUMIF('TUNZ Extracted TB'!M:M,$P1574,'TUNZ Extracted TB'!G:G)</f>
        <v>0</v>
      </c>
      <c r="M1574" s="311"/>
      <c r="N1574" s="311">
        <f>+SUMIF('Input Sheet'!$AE:$AE,P1574,'Input Sheet'!$X:$X)</f>
        <v>0</v>
      </c>
      <c r="O1574" s="311"/>
      <c r="P1574" t="str">
        <f t="shared" si="138"/>
        <v>410-7280</v>
      </c>
      <c r="Q1574" s="315" t="str">
        <f t="shared" si="139"/>
        <v>New Vehicle</v>
      </c>
      <c r="R1574" s="315" t="str">
        <f t="shared" si="140"/>
        <v>New VehicleCommission p.u.</v>
      </c>
      <c r="S1574" s="199"/>
      <c r="T1574" s="199"/>
      <c r="U1574" s="199"/>
    </row>
    <row r="1575" spans="1:21" x14ac:dyDescent="0.25">
      <c r="A1575" t="s">
        <v>996</v>
      </c>
      <c r="B1575" t="s">
        <v>997</v>
      </c>
      <c r="C1575" t="s">
        <v>997</v>
      </c>
      <c r="D1575">
        <v>7280</v>
      </c>
      <c r="E1575">
        <v>162</v>
      </c>
      <c r="F1575" t="s">
        <v>1260</v>
      </c>
      <c r="G1575" t="s">
        <v>1261</v>
      </c>
      <c r="H1575" s="315" t="s">
        <v>142</v>
      </c>
      <c r="I1575" s="315" t="s">
        <v>1249</v>
      </c>
      <c r="J1575" s="315" t="str">
        <f t="shared" si="136"/>
        <v>LEX F&amp;ISalaries &amp; Commission per vehicle retailed</v>
      </c>
      <c r="K1575" s="315" t="str">
        <f t="shared" si="137"/>
        <v>162F&amp;I Salaries &amp; Commission - Lexus</v>
      </c>
      <c r="L1575" s="311">
        <f>+SUMIF('TUNZ Extracted TB'!M:M,$P1575,'TUNZ Extracted TB'!G:G)</f>
        <v>0</v>
      </c>
      <c r="M1575" s="311"/>
      <c r="N1575" s="311">
        <f>+SUMIF('Input Sheet'!$AE:$AE,P1575,'Input Sheet'!$X:$X)</f>
        <v>0</v>
      </c>
      <c r="O1575" s="311"/>
      <c r="P1575" t="str">
        <f t="shared" si="138"/>
        <v>162-7280</v>
      </c>
      <c r="Q1575" s="315" t="str">
        <f t="shared" si="139"/>
        <v>LEX F&amp;I</v>
      </c>
      <c r="R1575" s="315" t="str">
        <f t="shared" si="140"/>
        <v>LEX F&amp;ISalaries &amp; Commission per vehicle retailed</v>
      </c>
      <c r="S1575" s="199"/>
      <c r="T1575" s="199"/>
      <c r="U1575" s="199"/>
    </row>
    <row r="1576" spans="1:21" x14ac:dyDescent="0.25">
      <c r="A1576" t="s">
        <v>996</v>
      </c>
      <c r="B1576" t="s">
        <v>997</v>
      </c>
      <c r="C1576" t="s">
        <v>1005</v>
      </c>
      <c r="D1576">
        <v>7280</v>
      </c>
      <c r="E1576">
        <v>260</v>
      </c>
      <c r="F1576" t="s">
        <v>1247</v>
      </c>
      <c r="G1576" t="s">
        <v>1248</v>
      </c>
      <c r="H1576" s="315" t="s">
        <v>16</v>
      </c>
      <c r="I1576" s="315" t="s">
        <v>1249</v>
      </c>
      <c r="J1576" s="315" t="str">
        <f t="shared" si="136"/>
        <v>F&amp;ISalaries &amp; Commission per vehicle retailed</v>
      </c>
      <c r="K1576" s="315" t="str">
        <f t="shared" si="137"/>
        <v>260F&amp;I Salaries &amp; Commission - Toyota</v>
      </c>
      <c r="L1576" s="311">
        <f>+SUMIF('TUNZ Extracted TB'!M:M,$P1576,'TUNZ Extracted TB'!G:G)</f>
        <v>0</v>
      </c>
      <c r="M1576" s="311"/>
      <c r="N1576" s="311">
        <f>+SUMIF('Input Sheet'!$AE:$AE,P1576,'Input Sheet'!$X:$X)</f>
        <v>0</v>
      </c>
      <c r="O1576" s="311"/>
      <c r="P1576" t="str">
        <f t="shared" si="138"/>
        <v>260-7280</v>
      </c>
      <c r="Q1576" s="315" t="str">
        <f t="shared" si="139"/>
        <v>F&amp;I</v>
      </c>
      <c r="R1576" s="315" t="str">
        <f t="shared" si="140"/>
        <v>F&amp;ISalaries &amp; Commission per vehicle retailed</v>
      </c>
      <c r="S1576" s="199"/>
      <c r="T1576" s="199"/>
      <c r="U1576" s="199"/>
    </row>
    <row r="1577" spans="1:21" x14ac:dyDescent="0.25">
      <c r="A1577" t="s">
        <v>996</v>
      </c>
      <c r="B1577" t="s">
        <v>997</v>
      </c>
      <c r="C1577" t="s">
        <v>1012</v>
      </c>
      <c r="D1577">
        <v>7280</v>
      </c>
      <c r="E1577">
        <v>460</v>
      </c>
      <c r="F1577" t="s">
        <v>1247</v>
      </c>
      <c r="G1577" t="s">
        <v>1248</v>
      </c>
      <c r="H1577" s="315" t="s">
        <v>16</v>
      </c>
      <c r="I1577" s="315" t="s">
        <v>1249</v>
      </c>
      <c r="J1577" s="315" t="str">
        <f t="shared" si="136"/>
        <v>F&amp;ISalaries &amp; Commission per vehicle retailed</v>
      </c>
      <c r="K1577" s="315" t="str">
        <f t="shared" si="137"/>
        <v>460F&amp;I Salaries &amp; Commission - Toyota</v>
      </c>
      <c r="L1577" s="311">
        <f>+SUMIF('TUNZ Extracted TB'!M:M,$P1577,'TUNZ Extracted TB'!G:G)</f>
        <v>0</v>
      </c>
      <c r="M1577" s="311"/>
      <c r="N1577" s="311">
        <f>+SUMIF('Input Sheet'!$AE:$AE,P1577,'Input Sheet'!$X:$X)</f>
        <v>0</v>
      </c>
      <c r="O1577" s="311"/>
      <c r="P1577" t="str">
        <f t="shared" si="138"/>
        <v>460-7280</v>
      </c>
      <c r="Q1577" s="315" t="str">
        <f t="shared" si="139"/>
        <v>F&amp;I</v>
      </c>
      <c r="R1577" s="315" t="str">
        <f t="shared" si="140"/>
        <v>F&amp;ISalaries &amp; Commission per vehicle retailed</v>
      </c>
      <c r="S1577" s="199"/>
      <c r="T1577" s="199"/>
      <c r="U1577" s="199"/>
    </row>
    <row r="1578" spans="1:21" x14ac:dyDescent="0.25">
      <c r="A1578" t="s">
        <v>996</v>
      </c>
      <c r="B1578" t="s">
        <v>997</v>
      </c>
      <c r="C1578" t="s">
        <v>1013</v>
      </c>
      <c r="D1578">
        <v>7280</v>
      </c>
      <c r="E1578">
        <v>360</v>
      </c>
      <c r="F1578" t="s">
        <v>1247</v>
      </c>
      <c r="G1578" t="s">
        <v>1248</v>
      </c>
      <c r="H1578" s="315" t="s">
        <v>16</v>
      </c>
      <c r="I1578" s="315" t="s">
        <v>1249</v>
      </c>
      <c r="J1578" s="315" t="str">
        <f t="shared" si="136"/>
        <v>F&amp;ISalaries &amp; Commission per vehicle retailed</v>
      </c>
      <c r="K1578" s="315" t="str">
        <f t="shared" si="137"/>
        <v>360F&amp;I Salaries &amp; Commission - Toyota</v>
      </c>
      <c r="L1578" s="311">
        <f>+SUMIF('TUNZ Extracted TB'!M:M,$P1578,'TUNZ Extracted TB'!G:G)</f>
        <v>0</v>
      </c>
      <c r="M1578" s="311"/>
      <c r="N1578" s="311">
        <f>+SUMIF('Input Sheet'!$AE:$AE,P1578,'Input Sheet'!$X:$X)</f>
        <v>0</v>
      </c>
      <c r="O1578" s="311"/>
      <c r="P1578" t="str">
        <f t="shared" si="138"/>
        <v>360-7280</v>
      </c>
      <c r="Q1578" s="315" t="str">
        <f t="shared" si="139"/>
        <v>F&amp;I</v>
      </c>
      <c r="R1578" s="315" t="str">
        <f t="shared" si="140"/>
        <v>F&amp;ISalaries &amp; Commission per vehicle retailed</v>
      </c>
      <c r="S1578" s="199"/>
      <c r="T1578" s="199"/>
      <c r="U1578" s="199"/>
    </row>
    <row r="1579" spans="1:21" x14ac:dyDescent="0.25">
      <c r="A1579" t="s">
        <v>996</v>
      </c>
      <c r="B1579" t="s">
        <v>997</v>
      </c>
      <c r="C1579" t="s">
        <v>997</v>
      </c>
      <c r="D1579">
        <v>7280</v>
      </c>
      <c r="E1579">
        <v>160</v>
      </c>
      <c r="F1579" t="s">
        <v>1247</v>
      </c>
      <c r="G1579" t="s">
        <v>1248</v>
      </c>
      <c r="H1579" s="315" t="s">
        <v>16</v>
      </c>
      <c r="I1579" s="315" t="s">
        <v>1249</v>
      </c>
      <c r="J1579" s="315" t="str">
        <f t="shared" si="136"/>
        <v>F&amp;ISalaries &amp; Commission per vehicle retailed</v>
      </c>
      <c r="K1579" s="315" t="str">
        <f t="shared" si="137"/>
        <v>160F&amp;I Salaries &amp; Commission - Toyota</v>
      </c>
      <c r="L1579" s="311">
        <f>+SUMIF('TUNZ Extracted TB'!M:M,$P1579,'TUNZ Extracted TB'!G:G)</f>
        <v>0</v>
      </c>
      <c r="M1579" s="311"/>
      <c r="N1579" s="311">
        <f>+SUMIF('Input Sheet'!$AE:$AE,P1579,'Input Sheet'!$X:$X)</f>
        <v>0</v>
      </c>
      <c r="O1579" s="311"/>
      <c r="P1579" t="str">
        <f t="shared" si="138"/>
        <v>160-7280</v>
      </c>
      <c r="Q1579" s="315" t="str">
        <f t="shared" si="139"/>
        <v>F&amp;I</v>
      </c>
      <c r="R1579" s="315" t="str">
        <f t="shared" si="140"/>
        <v>F&amp;ISalaries &amp; Commission per vehicle retailed</v>
      </c>
      <c r="S1579" s="199"/>
      <c r="T1579" s="199"/>
      <c r="U1579" s="199"/>
    </row>
    <row r="1580" spans="1:21" x14ac:dyDescent="0.25">
      <c r="A1580" t="s">
        <v>996</v>
      </c>
      <c r="B1580" t="s">
        <v>997</v>
      </c>
      <c r="C1580" t="s">
        <v>997</v>
      </c>
      <c r="D1580">
        <v>7280</v>
      </c>
      <c r="E1580">
        <v>122</v>
      </c>
      <c r="F1580" t="s">
        <v>1268</v>
      </c>
      <c r="G1580" t="s">
        <v>1269</v>
      </c>
      <c r="H1580" s="315" t="s">
        <v>1041</v>
      </c>
      <c r="I1580" s="315" t="s">
        <v>1264</v>
      </c>
      <c r="J1580" s="315" t="str">
        <f t="shared" si="136"/>
        <v>LEX Used VehicleCommission per retail</v>
      </c>
      <c r="K1580" s="315" t="str">
        <f t="shared" si="137"/>
        <v>122Lexus UV Commission expense</v>
      </c>
      <c r="L1580" s="311">
        <f>+SUMIF('TUNZ Extracted TB'!M:M,$P1580,'TUNZ Extracted TB'!G:G)</f>
        <v>0</v>
      </c>
      <c r="M1580" s="311"/>
      <c r="N1580" s="311">
        <f>+SUMIF('Input Sheet'!$AE:$AE,P1580,'Input Sheet'!$X:$X)</f>
        <v>0</v>
      </c>
      <c r="O1580" s="311"/>
      <c r="P1580" t="str">
        <f t="shared" si="138"/>
        <v>122-7280</v>
      </c>
      <c r="Q1580" s="315" t="str">
        <f t="shared" si="139"/>
        <v>LEX Used Vehicle</v>
      </c>
      <c r="R1580" s="315" t="str">
        <f t="shared" si="140"/>
        <v>LEX Used VehicleCommission per retail</v>
      </c>
      <c r="S1580" s="199"/>
      <c r="T1580" s="199"/>
      <c r="U1580" s="199"/>
    </row>
    <row r="1581" spans="1:21" x14ac:dyDescent="0.25">
      <c r="A1581" t="s">
        <v>996</v>
      </c>
      <c r="B1581" t="s">
        <v>997</v>
      </c>
      <c r="C1581" t="s">
        <v>1013</v>
      </c>
      <c r="D1581">
        <v>7280</v>
      </c>
      <c r="E1581">
        <v>300</v>
      </c>
      <c r="F1581" t="s">
        <v>1265</v>
      </c>
      <c r="G1581" t="s">
        <v>1266</v>
      </c>
      <c r="H1581" s="315" t="s">
        <v>29</v>
      </c>
      <c r="I1581" s="315" t="s">
        <v>1267</v>
      </c>
      <c r="J1581" s="315" t="str">
        <f t="shared" si="136"/>
        <v>New VehicleCommission p.u.</v>
      </c>
      <c r="K1581" s="315" t="str">
        <f t="shared" si="137"/>
        <v>300NV Commission - Toyota</v>
      </c>
      <c r="L1581" s="311">
        <f>+SUMIF('TUNZ Extracted TB'!M:M,$P1581,'TUNZ Extracted TB'!G:G)</f>
        <v>0</v>
      </c>
      <c r="M1581" s="311"/>
      <c r="N1581" s="311">
        <f>+SUMIF('Input Sheet'!$AE:$AE,P1581,'Input Sheet'!$X:$X)</f>
        <v>0</v>
      </c>
      <c r="O1581" s="311"/>
      <c r="P1581" t="str">
        <f t="shared" si="138"/>
        <v>300-7280</v>
      </c>
      <c r="Q1581" s="315" t="str">
        <f t="shared" si="139"/>
        <v>New Vehicle</v>
      </c>
      <c r="R1581" s="315" t="str">
        <f t="shared" si="140"/>
        <v>New VehicleCommission p.u.</v>
      </c>
      <c r="S1581" s="199"/>
      <c r="T1581" s="199"/>
      <c r="U1581" s="199"/>
    </row>
    <row r="1582" spans="1:21" x14ac:dyDescent="0.25">
      <c r="A1582" t="s">
        <v>996</v>
      </c>
      <c r="B1582" t="s">
        <v>997</v>
      </c>
      <c r="C1582" t="s">
        <v>1013</v>
      </c>
      <c r="D1582">
        <v>7280</v>
      </c>
      <c r="E1582">
        <v>310</v>
      </c>
      <c r="F1582" t="s">
        <v>1265</v>
      </c>
      <c r="G1582" t="s">
        <v>1266</v>
      </c>
      <c r="H1582" s="315" t="s">
        <v>29</v>
      </c>
      <c r="I1582" s="315" t="s">
        <v>1267</v>
      </c>
      <c r="J1582" s="315" t="str">
        <f t="shared" si="136"/>
        <v>New VehicleCommission p.u.</v>
      </c>
      <c r="K1582" s="315" t="str">
        <f t="shared" si="137"/>
        <v>310NV Commission - Toyota</v>
      </c>
      <c r="L1582" s="311">
        <f>+SUMIF('TUNZ Extracted TB'!M:M,$P1582,'TUNZ Extracted TB'!G:G)</f>
        <v>0</v>
      </c>
      <c r="M1582" s="311"/>
      <c r="N1582" s="311">
        <f>+SUMIF('Input Sheet'!$AE:$AE,P1582,'Input Sheet'!$X:$X)</f>
        <v>0</v>
      </c>
      <c r="O1582" s="311"/>
      <c r="P1582" t="str">
        <f t="shared" si="138"/>
        <v>310-7280</v>
      </c>
      <c r="Q1582" s="315" t="str">
        <f t="shared" si="139"/>
        <v>New Vehicle</v>
      </c>
      <c r="R1582" s="315" t="str">
        <f t="shared" si="140"/>
        <v>New VehicleCommission p.u.</v>
      </c>
      <c r="S1582" s="199"/>
      <c r="T1582" s="199"/>
      <c r="U1582" s="199"/>
    </row>
    <row r="1583" spans="1:21" x14ac:dyDescent="0.25">
      <c r="A1583" t="s">
        <v>996</v>
      </c>
      <c r="B1583" t="s">
        <v>997</v>
      </c>
      <c r="C1583" t="s">
        <v>997</v>
      </c>
      <c r="D1583">
        <v>7330</v>
      </c>
      <c r="E1583">
        <v>112</v>
      </c>
      <c r="F1583" t="s">
        <v>1357</v>
      </c>
      <c r="G1583" t="s">
        <v>1358</v>
      </c>
      <c r="H1583" s="315" t="s">
        <v>1011</v>
      </c>
      <c r="I1583" s="315" t="s">
        <v>1359</v>
      </c>
      <c r="J1583" s="315" t="str">
        <f t="shared" si="136"/>
        <v>LEX New VehicleOther Semi-Fixed Expenses p.u</v>
      </c>
      <c r="K1583" s="315" t="str">
        <f t="shared" si="137"/>
        <v>112NV Other Semi-Fixed expenses - Lexus</v>
      </c>
      <c r="L1583" s="311">
        <f>+SUMIF('TUNZ Extracted TB'!M:M,$P1583,'TUNZ Extracted TB'!G:G)</f>
        <v>0</v>
      </c>
      <c r="M1583" s="311"/>
      <c r="N1583" s="311">
        <f>+SUMIF('Input Sheet'!$AE:$AE,P1583,'Input Sheet'!$X:$X)</f>
        <v>0</v>
      </c>
      <c r="O1583" s="311"/>
      <c r="P1583" t="str">
        <f t="shared" si="138"/>
        <v>112-7330</v>
      </c>
      <c r="Q1583" s="315" t="str">
        <f t="shared" si="139"/>
        <v>LEX New Vehicle</v>
      </c>
      <c r="R1583" s="315" t="str">
        <f t="shared" si="140"/>
        <v>LEX New VehicleOther Semi-Fixed Expenses p.u</v>
      </c>
      <c r="S1583" s="199"/>
      <c r="T1583" s="199"/>
      <c r="U1583" s="199"/>
    </row>
    <row r="1584" spans="1:21" x14ac:dyDescent="0.25">
      <c r="A1584" t="s">
        <v>996</v>
      </c>
      <c r="B1584" t="s">
        <v>997</v>
      </c>
      <c r="C1584" t="s">
        <v>997</v>
      </c>
      <c r="D1584">
        <v>7330</v>
      </c>
      <c r="E1584">
        <v>100</v>
      </c>
      <c r="F1584" t="s">
        <v>1360</v>
      </c>
      <c r="G1584" t="s">
        <v>1361</v>
      </c>
      <c r="H1584" s="315" t="s">
        <v>29</v>
      </c>
      <c r="I1584" s="315" t="s">
        <v>1359</v>
      </c>
      <c r="J1584" s="315" t="str">
        <f t="shared" si="136"/>
        <v>New VehicleOther Semi-Fixed Expenses p.u</v>
      </c>
      <c r="K1584" s="315" t="str">
        <f t="shared" si="137"/>
        <v>100NV Other Semi-Fixed expenses - Toyota</v>
      </c>
      <c r="L1584" s="311">
        <f>+SUMIF('TUNZ Extracted TB'!M:M,$P1584,'TUNZ Extracted TB'!G:G)</f>
        <v>0</v>
      </c>
      <c r="M1584" s="311"/>
      <c r="N1584" s="311">
        <f>+SUMIF('Input Sheet'!$AE:$AE,P1584,'Input Sheet'!$X:$X)</f>
        <v>0</v>
      </c>
      <c r="O1584" s="311"/>
      <c r="P1584" t="str">
        <f t="shared" si="138"/>
        <v>100-7330</v>
      </c>
      <c r="Q1584" s="315" t="str">
        <f t="shared" si="139"/>
        <v>New Vehicle</v>
      </c>
      <c r="R1584" s="315" t="str">
        <f t="shared" si="140"/>
        <v>New VehicleOther Semi-Fixed Expenses p.u</v>
      </c>
      <c r="S1584" s="199"/>
      <c r="T1584" s="199"/>
      <c r="U1584" s="199"/>
    </row>
    <row r="1585" spans="1:21" x14ac:dyDescent="0.25">
      <c r="A1585" t="s">
        <v>996</v>
      </c>
      <c r="B1585" t="s">
        <v>997</v>
      </c>
      <c r="C1585" t="s">
        <v>1005</v>
      </c>
      <c r="D1585">
        <v>7330</v>
      </c>
      <c r="E1585">
        <v>200</v>
      </c>
      <c r="F1585" t="s">
        <v>1360</v>
      </c>
      <c r="G1585" t="s">
        <v>1361</v>
      </c>
      <c r="H1585" s="315" t="s">
        <v>29</v>
      </c>
      <c r="I1585" s="315" t="s">
        <v>1359</v>
      </c>
      <c r="J1585" s="315" t="str">
        <f t="shared" si="136"/>
        <v>New VehicleOther Semi-Fixed Expenses p.u</v>
      </c>
      <c r="K1585" s="315" t="str">
        <f t="shared" si="137"/>
        <v>200NV Other Semi-Fixed expenses - Toyota</v>
      </c>
      <c r="L1585" s="311">
        <f>+SUMIF('TUNZ Extracted TB'!M:M,$P1585,'TUNZ Extracted TB'!G:G)</f>
        <v>0</v>
      </c>
      <c r="M1585" s="311"/>
      <c r="N1585" s="311">
        <f>+SUMIF('Input Sheet'!$AE:$AE,P1585,'Input Sheet'!$X:$X)</f>
        <v>0</v>
      </c>
      <c r="O1585" s="311"/>
      <c r="P1585" t="str">
        <f t="shared" si="138"/>
        <v>200-7330</v>
      </c>
      <c r="Q1585" s="315" t="str">
        <f t="shared" si="139"/>
        <v>New Vehicle</v>
      </c>
      <c r="R1585" s="315" t="str">
        <f t="shared" si="140"/>
        <v>New VehicleOther Semi-Fixed Expenses p.u</v>
      </c>
      <c r="S1585" s="199"/>
      <c r="T1585" s="199"/>
      <c r="U1585" s="199"/>
    </row>
    <row r="1586" spans="1:21" x14ac:dyDescent="0.25">
      <c r="A1586" t="s">
        <v>996</v>
      </c>
      <c r="B1586" t="s">
        <v>997</v>
      </c>
      <c r="C1586" t="s">
        <v>1012</v>
      </c>
      <c r="D1586">
        <v>7330</v>
      </c>
      <c r="E1586">
        <v>400</v>
      </c>
      <c r="F1586" t="s">
        <v>1360</v>
      </c>
      <c r="G1586" t="s">
        <v>1361</v>
      </c>
      <c r="H1586" s="315" t="s">
        <v>29</v>
      </c>
      <c r="I1586" s="315" t="s">
        <v>1359</v>
      </c>
      <c r="J1586" s="315" t="str">
        <f t="shared" si="136"/>
        <v>New VehicleOther Semi-Fixed Expenses p.u</v>
      </c>
      <c r="K1586" s="315" t="str">
        <f t="shared" si="137"/>
        <v>400NV Other Semi-Fixed expenses - Toyota</v>
      </c>
      <c r="L1586" s="311">
        <f>+SUMIF('TUNZ Extracted TB'!M:M,$P1586,'TUNZ Extracted TB'!G:G)</f>
        <v>0</v>
      </c>
      <c r="M1586" s="311"/>
      <c r="N1586" s="311">
        <f>+SUMIF('Input Sheet'!$AE:$AE,P1586,'Input Sheet'!$X:$X)</f>
        <v>0</v>
      </c>
      <c r="O1586" s="311"/>
      <c r="P1586" t="str">
        <f t="shared" si="138"/>
        <v>400-7330</v>
      </c>
      <c r="Q1586" s="315" t="str">
        <f t="shared" si="139"/>
        <v>New Vehicle</v>
      </c>
      <c r="R1586" s="315" t="str">
        <f t="shared" si="140"/>
        <v>New VehicleOther Semi-Fixed Expenses p.u</v>
      </c>
      <c r="S1586" s="199"/>
      <c r="T1586" s="199"/>
      <c r="U1586" s="199"/>
    </row>
    <row r="1587" spans="1:21" x14ac:dyDescent="0.25">
      <c r="A1587" t="s">
        <v>996</v>
      </c>
      <c r="B1587" t="s">
        <v>997</v>
      </c>
      <c r="C1587" t="s">
        <v>997</v>
      </c>
      <c r="D1587">
        <v>7280</v>
      </c>
      <c r="E1587">
        <v>936</v>
      </c>
      <c r="F1587" t="s">
        <v>1175</v>
      </c>
      <c r="G1587" t="s">
        <v>1176</v>
      </c>
      <c r="H1587" s="315" t="s">
        <v>58</v>
      </c>
      <c r="I1587" s="315" t="s">
        <v>1252</v>
      </c>
      <c r="J1587" s="315" t="str">
        <f t="shared" si="136"/>
        <v>BridgestoneSalaries, Commission &amp; Leave as % of Sales</v>
      </c>
      <c r="K1587" s="315" t="str">
        <f t="shared" si="137"/>
        <v>936Other franchise/business expense</v>
      </c>
      <c r="L1587" s="311">
        <f>+SUMIF('TUNZ Extracted TB'!M:M,$P1587,'TUNZ Extracted TB'!G:G)</f>
        <v>0</v>
      </c>
      <c r="M1587" s="311"/>
      <c r="N1587" s="311">
        <f>+SUMIF('Input Sheet'!$AE:$AE,P1587,'Input Sheet'!$X:$X)</f>
        <v>0</v>
      </c>
      <c r="O1587" s="311"/>
      <c r="P1587" t="str">
        <f t="shared" si="138"/>
        <v>936-7280</v>
      </c>
      <c r="Q1587" s="315" t="str">
        <f t="shared" si="139"/>
        <v>Bridgestone</v>
      </c>
      <c r="R1587" s="315" t="str">
        <f t="shared" si="140"/>
        <v>BridgestoneSalaries, Commission &amp; Leave as % of Sales</v>
      </c>
      <c r="S1587" s="199"/>
      <c r="T1587" s="199"/>
      <c r="U1587" s="199"/>
    </row>
    <row r="1588" spans="1:21" x14ac:dyDescent="0.25">
      <c r="A1588" t="s">
        <v>996</v>
      </c>
      <c r="B1588" t="s">
        <v>997</v>
      </c>
      <c r="C1588" t="s">
        <v>997</v>
      </c>
      <c r="D1588">
        <v>7280</v>
      </c>
      <c r="E1588">
        <v>935</v>
      </c>
      <c r="F1588" t="s">
        <v>1175</v>
      </c>
      <c r="G1588" t="s">
        <v>1176</v>
      </c>
      <c r="H1588" s="315" t="s">
        <v>58</v>
      </c>
      <c r="I1588" s="315" t="s">
        <v>1252</v>
      </c>
      <c r="J1588" s="315" t="str">
        <f t="shared" si="136"/>
        <v>BridgestoneSalaries, Commission &amp; Leave as % of Sales</v>
      </c>
      <c r="K1588" s="315" t="str">
        <f t="shared" si="137"/>
        <v>935Other franchise/business expense</v>
      </c>
      <c r="L1588" s="311">
        <f>+SUMIF('TUNZ Extracted TB'!M:M,$P1588,'TUNZ Extracted TB'!G:G)</f>
        <v>0</v>
      </c>
      <c r="M1588" s="311"/>
      <c r="N1588" s="311">
        <f>+SUMIF('Input Sheet'!$AE:$AE,P1588,'Input Sheet'!$X:$X)</f>
        <v>0</v>
      </c>
      <c r="O1588" s="311"/>
      <c r="P1588" t="str">
        <f t="shared" si="138"/>
        <v>935-7280</v>
      </c>
      <c r="Q1588" s="315" t="str">
        <f t="shared" si="139"/>
        <v>Bridgestone</v>
      </c>
      <c r="R1588" s="315" t="str">
        <f t="shared" si="140"/>
        <v>BridgestoneSalaries, Commission &amp; Leave as % of Sales</v>
      </c>
      <c r="S1588" s="199"/>
      <c r="T1588" s="199"/>
      <c r="U1588" s="199"/>
    </row>
    <row r="1589" spans="1:21" x14ac:dyDescent="0.25">
      <c r="A1589" t="s">
        <v>996</v>
      </c>
      <c r="B1589" t="s">
        <v>997</v>
      </c>
      <c r="C1589" t="s">
        <v>1005</v>
      </c>
      <c r="D1589">
        <v>7280</v>
      </c>
      <c r="E1589">
        <v>230</v>
      </c>
      <c r="F1589" t="s">
        <v>1256</v>
      </c>
      <c r="G1589" t="s">
        <v>1257</v>
      </c>
      <c r="H1589" s="315" t="s">
        <v>5</v>
      </c>
      <c r="I1589" s="315" t="s">
        <v>1255</v>
      </c>
      <c r="J1589" s="315" t="str">
        <f t="shared" si="136"/>
        <v>PartsSalaries &amp; Commission as % of Sales</v>
      </c>
      <c r="K1589" s="315" t="str">
        <f t="shared" si="137"/>
        <v>230Parts Salaries &amp; Commission - Toyota</v>
      </c>
      <c r="L1589" s="311">
        <f>+SUMIF('TUNZ Extracted TB'!M:M,$P1589,'TUNZ Extracted TB'!G:G)</f>
        <v>0</v>
      </c>
      <c r="M1589" s="311"/>
      <c r="N1589" s="311">
        <f>+SUMIF('Input Sheet'!$AE:$AE,P1589,'Input Sheet'!$X:$X)</f>
        <v>0</v>
      </c>
      <c r="O1589" s="311"/>
      <c r="P1589" t="str">
        <f t="shared" si="138"/>
        <v>230-7280</v>
      </c>
      <c r="Q1589" s="315" t="str">
        <f t="shared" si="139"/>
        <v>Parts</v>
      </c>
      <c r="R1589" s="315" t="str">
        <f t="shared" si="140"/>
        <v>PartsSalaries &amp; Commission as % of Sales</v>
      </c>
      <c r="S1589" s="199"/>
      <c r="T1589" s="199"/>
      <c r="U1589" s="199"/>
    </row>
    <row r="1590" spans="1:21" x14ac:dyDescent="0.25">
      <c r="A1590" t="s">
        <v>996</v>
      </c>
      <c r="B1590" t="s">
        <v>997</v>
      </c>
      <c r="C1590" t="s">
        <v>1012</v>
      </c>
      <c r="D1590">
        <v>7280</v>
      </c>
      <c r="E1590">
        <v>430</v>
      </c>
      <c r="F1590" t="s">
        <v>1256</v>
      </c>
      <c r="G1590" t="s">
        <v>1257</v>
      </c>
      <c r="H1590" s="315" t="s">
        <v>5</v>
      </c>
      <c r="I1590" s="315" t="s">
        <v>1255</v>
      </c>
      <c r="J1590" s="315" t="str">
        <f t="shared" si="136"/>
        <v>PartsSalaries &amp; Commission as % of Sales</v>
      </c>
      <c r="K1590" s="315" t="str">
        <f t="shared" si="137"/>
        <v>430Parts Salaries &amp; Commission - Toyota</v>
      </c>
      <c r="L1590" s="311">
        <f>+SUMIF('TUNZ Extracted TB'!M:M,$P1590,'TUNZ Extracted TB'!G:G)</f>
        <v>0</v>
      </c>
      <c r="M1590" s="311"/>
      <c r="N1590" s="311">
        <f>+SUMIF('Input Sheet'!$AE:$AE,P1590,'Input Sheet'!$X:$X)</f>
        <v>0</v>
      </c>
      <c r="O1590" s="311"/>
      <c r="P1590" t="str">
        <f t="shared" si="138"/>
        <v>430-7280</v>
      </c>
      <c r="Q1590" s="315" t="str">
        <f t="shared" si="139"/>
        <v>Parts</v>
      </c>
      <c r="R1590" s="315" t="str">
        <f t="shared" si="140"/>
        <v>PartsSalaries &amp; Commission as % of Sales</v>
      </c>
      <c r="S1590" s="199"/>
      <c r="T1590" s="199"/>
      <c r="U1590" s="199"/>
    </row>
    <row r="1591" spans="1:21" x14ac:dyDescent="0.25">
      <c r="A1591" t="s">
        <v>996</v>
      </c>
      <c r="B1591" t="s">
        <v>997</v>
      </c>
      <c r="C1591" t="s">
        <v>1013</v>
      </c>
      <c r="D1591">
        <v>7280</v>
      </c>
      <c r="E1591">
        <v>330</v>
      </c>
      <c r="F1591" t="s">
        <v>1256</v>
      </c>
      <c r="G1591" t="s">
        <v>1257</v>
      </c>
      <c r="H1591" s="315" t="s">
        <v>5</v>
      </c>
      <c r="I1591" s="315" t="s">
        <v>1255</v>
      </c>
      <c r="J1591" s="315" t="str">
        <f t="shared" si="136"/>
        <v>PartsSalaries &amp; Commission as % of Sales</v>
      </c>
      <c r="K1591" s="315" t="str">
        <f t="shared" si="137"/>
        <v>330Parts Salaries &amp; Commission - Toyota</v>
      </c>
      <c r="L1591" s="311">
        <f>+SUMIF('TUNZ Extracted TB'!M:M,$P1591,'TUNZ Extracted TB'!G:G)</f>
        <v>0</v>
      </c>
      <c r="M1591" s="311"/>
      <c r="N1591" s="311">
        <f>+SUMIF('Input Sheet'!$AE:$AE,P1591,'Input Sheet'!$X:$X)</f>
        <v>0</v>
      </c>
      <c r="O1591" s="311"/>
      <c r="P1591" t="str">
        <f t="shared" si="138"/>
        <v>330-7280</v>
      </c>
      <c r="Q1591" s="315" t="str">
        <f t="shared" si="139"/>
        <v>Parts</v>
      </c>
      <c r="R1591" s="315" t="str">
        <f t="shared" si="140"/>
        <v>PartsSalaries &amp; Commission as % of Sales</v>
      </c>
      <c r="S1591" s="199"/>
      <c r="T1591" s="199"/>
      <c r="U1591" s="199"/>
    </row>
    <row r="1592" spans="1:21" x14ac:dyDescent="0.25">
      <c r="A1592" t="s">
        <v>996</v>
      </c>
      <c r="B1592" t="s">
        <v>997</v>
      </c>
      <c r="C1592" t="s">
        <v>1005</v>
      </c>
      <c r="D1592">
        <v>7280</v>
      </c>
      <c r="E1592">
        <v>240</v>
      </c>
      <c r="F1592" t="s">
        <v>1250</v>
      </c>
      <c r="G1592" t="s">
        <v>1251</v>
      </c>
      <c r="H1592" s="315" t="s">
        <v>17</v>
      </c>
      <c r="I1592" s="315" t="s">
        <v>1252</v>
      </c>
      <c r="J1592" s="315" t="str">
        <f t="shared" si="136"/>
        <v>ServiceSalaries, Commission &amp; Leave as % of Sales</v>
      </c>
      <c r="K1592" s="315" t="str">
        <f t="shared" si="137"/>
        <v>240Service Salaries &amp; Commission - Toyota</v>
      </c>
      <c r="L1592" s="311">
        <f>+SUMIF('TUNZ Extracted TB'!M:M,$P1592,'TUNZ Extracted TB'!G:G)</f>
        <v>0</v>
      </c>
      <c r="M1592" s="311"/>
      <c r="N1592" s="311">
        <f>+SUMIF('Input Sheet'!$AE:$AE,P1592,'Input Sheet'!$X:$X)</f>
        <v>0</v>
      </c>
      <c r="O1592" s="311"/>
      <c r="P1592" t="str">
        <f t="shared" si="138"/>
        <v>240-7280</v>
      </c>
      <c r="Q1592" s="315" t="str">
        <f t="shared" si="139"/>
        <v>Service</v>
      </c>
      <c r="R1592" s="315" t="str">
        <f t="shared" si="140"/>
        <v>ServiceSalaries, Commission &amp; Leave as % of Sales</v>
      </c>
      <c r="S1592" s="199"/>
      <c r="T1592" s="199"/>
      <c r="U1592" s="199"/>
    </row>
    <row r="1593" spans="1:21" x14ac:dyDescent="0.25">
      <c r="A1593" t="s">
        <v>996</v>
      </c>
      <c r="B1593" t="s">
        <v>997</v>
      </c>
      <c r="C1593" t="s">
        <v>1012</v>
      </c>
      <c r="D1593">
        <v>7280</v>
      </c>
      <c r="E1593">
        <v>440</v>
      </c>
      <c r="F1593" t="s">
        <v>1250</v>
      </c>
      <c r="G1593" t="s">
        <v>1251</v>
      </c>
      <c r="H1593" s="315" t="s">
        <v>17</v>
      </c>
      <c r="I1593" s="315" t="s">
        <v>1252</v>
      </c>
      <c r="J1593" s="315" t="str">
        <f t="shared" si="136"/>
        <v>ServiceSalaries, Commission &amp; Leave as % of Sales</v>
      </c>
      <c r="K1593" s="315" t="str">
        <f t="shared" si="137"/>
        <v>440Service Salaries &amp; Commission - Toyota</v>
      </c>
      <c r="L1593" s="311">
        <f>+SUMIF('TUNZ Extracted TB'!M:M,$P1593,'TUNZ Extracted TB'!G:G)</f>
        <v>0</v>
      </c>
      <c r="M1593" s="311"/>
      <c r="N1593" s="311">
        <f>+SUMIF('Input Sheet'!$AE:$AE,P1593,'Input Sheet'!$X:$X)</f>
        <v>0</v>
      </c>
      <c r="O1593" s="311"/>
      <c r="P1593" t="str">
        <f t="shared" si="138"/>
        <v>440-7280</v>
      </c>
      <c r="Q1593" s="315" t="str">
        <f t="shared" si="139"/>
        <v>Service</v>
      </c>
      <c r="R1593" s="315" t="str">
        <f t="shared" si="140"/>
        <v>ServiceSalaries, Commission &amp; Leave as % of Sales</v>
      </c>
      <c r="S1593" s="199"/>
      <c r="T1593" s="199"/>
      <c r="U1593" s="199"/>
    </row>
    <row r="1594" spans="1:21" x14ac:dyDescent="0.25">
      <c r="A1594" t="s">
        <v>996</v>
      </c>
      <c r="B1594" t="s">
        <v>997</v>
      </c>
      <c r="C1594" t="s">
        <v>1013</v>
      </c>
      <c r="D1594">
        <v>7280</v>
      </c>
      <c r="E1594">
        <v>340</v>
      </c>
      <c r="F1594" t="s">
        <v>1250</v>
      </c>
      <c r="G1594" t="s">
        <v>1251</v>
      </c>
      <c r="H1594" s="315" t="s">
        <v>17</v>
      </c>
      <c r="I1594" s="315" t="s">
        <v>1252</v>
      </c>
      <c r="J1594" s="315" t="str">
        <f t="shared" si="136"/>
        <v>ServiceSalaries, Commission &amp; Leave as % of Sales</v>
      </c>
      <c r="K1594" s="315" t="str">
        <f t="shared" si="137"/>
        <v>340Service Salaries &amp; Commission - Toyota</v>
      </c>
      <c r="L1594" s="311">
        <f>+SUMIF('TUNZ Extracted TB'!M:M,$P1594,'TUNZ Extracted TB'!G:G)</f>
        <v>0</v>
      </c>
      <c r="M1594" s="311"/>
      <c r="N1594" s="311">
        <f>+SUMIF('Input Sheet'!$AE:$AE,P1594,'Input Sheet'!$X:$X)</f>
        <v>0</v>
      </c>
      <c r="O1594" s="311"/>
      <c r="P1594" t="str">
        <f t="shared" si="138"/>
        <v>340-7280</v>
      </c>
      <c r="Q1594" s="315" t="str">
        <f t="shared" si="139"/>
        <v>Service</v>
      </c>
      <c r="R1594" s="315" t="str">
        <f t="shared" si="140"/>
        <v>ServiceSalaries, Commission &amp; Leave as % of Sales</v>
      </c>
      <c r="S1594" s="199"/>
      <c r="T1594" s="199"/>
      <c r="U1594" s="199"/>
    </row>
    <row r="1595" spans="1:21" x14ac:dyDescent="0.25">
      <c r="A1595" t="s">
        <v>996</v>
      </c>
      <c r="B1595" t="s">
        <v>997</v>
      </c>
      <c r="C1595" t="s">
        <v>997</v>
      </c>
      <c r="D1595">
        <v>7280</v>
      </c>
      <c r="E1595">
        <v>147</v>
      </c>
      <c r="F1595" t="s">
        <v>1250</v>
      </c>
      <c r="G1595" t="s">
        <v>1251</v>
      </c>
      <c r="H1595" s="315" t="s">
        <v>17</v>
      </c>
      <c r="I1595" s="315" t="s">
        <v>1252</v>
      </c>
      <c r="J1595" s="315" t="str">
        <f t="shared" si="136"/>
        <v>ServiceSalaries, Commission &amp; Leave as % of Sales</v>
      </c>
      <c r="K1595" s="315" t="str">
        <f t="shared" si="137"/>
        <v>147Service Salaries &amp; Commission - Toyota</v>
      </c>
      <c r="L1595" s="311">
        <f>+SUMIF('TUNZ Extracted TB'!M:M,$P1595,'TUNZ Extracted TB'!G:G)</f>
        <v>0</v>
      </c>
      <c r="M1595" s="311"/>
      <c r="N1595" s="311">
        <f>+SUMIF('Input Sheet'!$AE:$AE,P1595,'Input Sheet'!$X:$X)</f>
        <v>0</v>
      </c>
      <c r="O1595" s="311"/>
      <c r="P1595" t="str">
        <f t="shared" si="138"/>
        <v>147-7280</v>
      </c>
      <c r="Q1595" s="315" t="str">
        <f t="shared" si="139"/>
        <v>Service</v>
      </c>
      <c r="R1595" s="315" t="str">
        <f t="shared" si="140"/>
        <v>ServiceSalaries, Commission &amp; Leave as % of Sales</v>
      </c>
      <c r="S1595" s="199"/>
      <c r="T1595" s="199"/>
      <c r="U1595" s="199"/>
    </row>
    <row r="1596" spans="1:21" x14ac:dyDescent="0.25">
      <c r="A1596" t="s">
        <v>996</v>
      </c>
      <c r="B1596" t="s">
        <v>997</v>
      </c>
      <c r="C1596" t="s">
        <v>997</v>
      </c>
      <c r="D1596">
        <v>7280</v>
      </c>
      <c r="E1596">
        <v>170</v>
      </c>
      <c r="F1596" t="s">
        <v>1353</v>
      </c>
      <c r="G1596" t="s">
        <v>1354</v>
      </c>
      <c r="H1596" s="315" t="s">
        <v>1000</v>
      </c>
      <c r="I1596" s="315" t="s">
        <v>1276</v>
      </c>
      <c r="J1596" s="315" t="str">
        <f t="shared" si="136"/>
        <v xml:space="preserve">Admin &amp; OtherStaff Remuneration &amp; Benefits as % of Total Gross </v>
      </c>
      <c r="K1596" s="315" t="str">
        <f t="shared" si="137"/>
        <v>170Staff Benefits (Superannuation, FBT, ACC) - Toyota</v>
      </c>
      <c r="L1596" s="311">
        <f>+SUMIF('TUNZ Extracted TB'!M:M,$P1596,'TUNZ Extracted TB'!G:G)</f>
        <v>0</v>
      </c>
      <c r="M1596" s="311"/>
      <c r="N1596" s="311">
        <f>+SUMIF('Input Sheet'!$AE:$AE,P1596,'Input Sheet'!$X:$X)</f>
        <v>0</v>
      </c>
      <c r="O1596" s="311"/>
      <c r="P1596" t="str">
        <f t="shared" si="138"/>
        <v>170-7280</v>
      </c>
      <c r="Q1596" s="315" t="str">
        <f t="shared" si="139"/>
        <v>Admin &amp; Other</v>
      </c>
      <c r="R1596" s="315" t="str">
        <f t="shared" si="140"/>
        <v xml:space="preserve">Admin &amp; OtherStaff Remuneration &amp; Benefits as % of Total Gross </v>
      </c>
      <c r="S1596" s="199"/>
      <c r="T1596" s="199"/>
      <c r="U1596" s="199"/>
    </row>
    <row r="1597" spans="1:21" x14ac:dyDescent="0.25">
      <c r="A1597" t="s">
        <v>996</v>
      </c>
      <c r="B1597" t="s">
        <v>997</v>
      </c>
      <c r="C1597" t="s">
        <v>1005</v>
      </c>
      <c r="D1597">
        <v>7280</v>
      </c>
      <c r="E1597">
        <v>220</v>
      </c>
      <c r="F1597" t="s">
        <v>1262</v>
      </c>
      <c r="G1597" t="s">
        <v>1263</v>
      </c>
      <c r="H1597" s="315" t="s">
        <v>30</v>
      </c>
      <c r="I1597" s="315" t="s">
        <v>1264</v>
      </c>
      <c r="J1597" s="315" t="str">
        <f t="shared" si="136"/>
        <v>Used VehicleCommission per retail</v>
      </c>
      <c r="K1597" s="315" t="str">
        <f t="shared" si="137"/>
        <v>220Toyota UV Commission expense</v>
      </c>
      <c r="L1597" s="311">
        <f>+SUMIF('TUNZ Extracted TB'!M:M,$P1597,'TUNZ Extracted TB'!G:G)</f>
        <v>0</v>
      </c>
      <c r="M1597" s="311"/>
      <c r="N1597" s="311">
        <f>+SUMIF('Input Sheet'!$AE:$AE,P1597,'Input Sheet'!$X:$X)</f>
        <v>0</v>
      </c>
      <c r="O1597" s="311"/>
      <c r="P1597" t="str">
        <f t="shared" si="138"/>
        <v>220-7280</v>
      </c>
      <c r="Q1597" s="315" t="str">
        <f t="shared" si="139"/>
        <v>Used Vehicle</v>
      </c>
      <c r="R1597" s="315" t="str">
        <f t="shared" si="140"/>
        <v>Used VehicleCommission per retail</v>
      </c>
      <c r="S1597" s="199"/>
      <c r="T1597" s="199"/>
      <c r="U1597" s="199"/>
    </row>
    <row r="1598" spans="1:21" x14ac:dyDescent="0.25">
      <c r="A1598" t="s">
        <v>996</v>
      </c>
      <c r="B1598" t="s">
        <v>997</v>
      </c>
      <c r="C1598" t="s">
        <v>1005</v>
      </c>
      <c r="D1598">
        <v>7280</v>
      </c>
      <c r="E1598">
        <v>221</v>
      </c>
      <c r="F1598" t="s">
        <v>1262</v>
      </c>
      <c r="G1598" t="s">
        <v>1263</v>
      </c>
      <c r="H1598" s="315" t="s">
        <v>30</v>
      </c>
      <c r="I1598" s="315" t="s">
        <v>1264</v>
      </c>
      <c r="J1598" s="315" t="str">
        <f t="shared" si="136"/>
        <v>Used VehicleCommission per retail</v>
      </c>
      <c r="K1598" s="315" t="str">
        <f t="shared" si="137"/>
        <v>221Toyota UV Commission expense</v>
      </c>
      <c r="L1598" s="311">
        <f>+SUMIF('TUNZ Extracted TB'!M:M,$P1598,'TUNZ Extracted TB'!G:G)</f>
        <v>0</v>
      </c>
      <c r="M1598" s="311"/>
      <c r="N1598" s="311">
        <f>+SUMIF('Input Sheet'!$AE:$AE,P1598,'Input Sheet'!$X:$X)</f>
        <v>0</v>
      </c>
      <c r="O1598" s="311"/>
      <c r="P1598" t="str">
        <f t="shared" si="138"/>
        <v>221-7280</v>
      </c>
      <c r="Q1598" s="315" t="str">
        <f t="shared" si="139"/>
        <v>Used Vehicle</v>
      </c>
      <c r="R1598" s="315" t="str">
        <f t="shared" si="140"/>
        <v>Used VehicleCommission per retail</v>
      </c>
      <c r="S1598" s="199"/>
      <c r="T1598" s="199"/>
      <c r="U1598" s="199"/>
    </row>
    <row r="1599" spans="1:21" x14ac:dyDescent="0.25">
      <c r="A1599" t="s">
        <v>996</v>
      </c>
      <c r="B1599" t="s">
        <v>997</v>
      </c>
      <c r="C1599" t="s">
        <v>1012</v>
      </c>
      <c r="D1599">
        <v>7280</v>
      </c>
      <c r="E1599">
        <v>420</v>
      </c>
      <c r="F1599" t="s">
        <v>1262</v>
      </c>
      <c r="G1599" t="s">
        <v>1263</v>
      </c>
      <c r="H1599" s="315" t="s">
        <v>30</v>
      </c>
      <c r="I1599" s="315" t="s">
        <v>1264</v>
      </c>
      <c r="J1599" s="315" t="str">
        <f t="shared" si="136"/>
        <v>Used VehicleCommission per retail</v>
      </c>
      <c r="K1599" s="315" t="str">
        <f t="shared" si="137"/>
        <v>420Toyota UV Commission expense</v>
      </c>
      <c r="L1599" s="311">
        <f>+SUMIF('TUNZ Extracted TB'!M:M,$P1599,'TUNZ Extracted TB'!G:G)</f>
        <v>0</v>
      </c>
      <c r="M1599" s="311"/>
      <c r="N1599" s="311">
        <f>+SUMIF('Input Sheet'!$AE:$AE,P1599,'Input Sheet'!$X:$X)</f>
        <v>0</v>
      </c>
      <c r="O1599" s="311"/>
      <c r="P1599" t="str">
        <f t="shared" si="138"/>
        <v>420-7280</v>
      </c>
      <c r="Q1599" s="315" t="str">
        <f t="shared" si="139"/>
        <v>Used Vehicle</v>
      </c>
      <c r="R1599" s="315" t="str">
        <f t="shared" si="140"/>
        <v>Used VehicleCommission per retail</v>
      </c>
      <c r="S1599" s="199"/>
      <c r="T1599" s="199"/>
      <c r="U1599" s="199"/>
    </row>
    <row r="1600" spans="1:21" x14ac:dyDescent="0.25">
      <c r="A1600" t="s">
        <v>996</v>
      </c>
      <c r="B1600" t="s">
        <v>997</v>
      </c>
      <c r="C1600" t="s">
        <v>1012</v>
      </c>
      <c r="D1600">
        <v>7280</v>
      </c>
      <c r="E1600">
        <v>421</v>
      </c>
      <c r="F1600" t="s">
        <v>1262</v>
      </c>
      <c r="G1600" t="s">
        <v>1263</v>
      </c>
      <c r="H1600" s="315" t="s">
        <v>30</v>
      </c>
      <c r="I1600" s="315" t="s">
        <v>1264</v>
      </c>
      <c r="J1600" s="315" t="str">
        <f t="shared" si="136"/>
        <v>Used VehicleCommission per retail</v>
      </c>
      <c r="K1600" s="315" t="str">
        <f t="shared" si="137"/>
        <v>421Toyota UV Commission expense</v>
      </c>
      <c r="L1600" s="311">
        <f>+SUMIF('TUNZ Extracted TB'!M:M,$P1600,'TUNZ Extracted TB'!G:G)</f>
        <v>0</v>
      </c>
      <c r="M1600" s="311"/>
      <c r="N1600" s="311">
        <f>+SUMIF('Input Sheet'!$AE:$AE,P1600,'Input Sheet'!$X:$X)</f>
        <v>0</v>
      </c>
      <c r="O1600" s="311"/>
      <c r="P1600" t="str">
        <f t="shared" si="138"/>
        <v>421-7280</v>
      </c>
      <c r="Q1600" s="315" t="str">
        <f t="shared" si="139"/>
        <v>Used Vehicle</v>
      </c>
      <c r="R1600" s="315" t="str">
        <f t="shared" si="140"/>
        <v>Used VehicleCommission per retail</v>
      </c>
      <c r="S1600" s="199"/>
      <c r="T1600" s="199"/>
      <c r="U1600" s="199"/>
    </row>
    <row r="1601" spans="1:21" x14ac:dyDescent="0.25">
      <c r="A1601" t="s">
        <v>996</v>
      </c>
      <c r="B1601" t="s">
        <v>997</v>
      </c>
      <c r="C1601" t="s">
        <v>1013</v>
      </c>
      <c r="D1601">
        <v>7280</v>
      </c>
      <c r="E1601">
        <v>321</v>
      </c>
      <c r="F1601" t="s">
        <v>1262</v>
      </c>
      <c r="G1601" t="s">
        <v>1263</v>
      </c>
      <c r="H1601" s="315" t="s">
        <v>30</v>
      </c>
      <c r="I1601" s="315" t="s">
        <v>1264</v>
      </c>
      <c r="J1601" s="315" t="str">
        <f t="shared" si="136"/>
        <v>Used VehicleCommission per retail</v>
      </c>
      <c r="K1601" s="315" t="str">
        <f t="shared" si="137"/>
        <v>321Toyota UV Commission expense</v>
      </c>
      <c r="L1601" s="311">
        <f>+SUMIF('TUNZ Extracted TB'!M:M,$P1601,'TUNZ Extracted TB'!G:G)</f>
        <v>0</v>
      </c>
      <c r="M1601" s="311"/>
      <c r="N1601" s="311">
        <f>+SUMIF('Input Sheet'!$AE:$AE,P1601,'Input Sheet'!$X:$X)</f>
        <v>0</v>
      </c>
      <c r="O1601" s="311"/>
      <c r="P1601" t="str">
        <f t="shared" si="138"/>
        <v>321-7280</v>
      </c>
      <c r="Q1601" s="315" t="str">
        <f t="shared" si="139"/>
        <v>Used Vehicle</v>
      </c>
      <c r="R1601" s="315" t="str">
        <f t="shared" si="140"/>
        <v>Used VehicleCommission per retail</v>
      </c>
      <c r="S1601" s="199"/>
      <c r="T1601" s="199"/>
      <c r="U1601" s="199"/>
    </row>
    <row r="1602" spans="1:21" x14ac:dyDescent="0.25">
      <c r="A1602" t="s">
        <v>996</v>
      </c>
      <c r="B1602" t="s">
        <v>997</v>
      </c>
      <c r="C1602" t="s">
        <v>997</v>
      </c>
      <c r="D1602">
        <v>7280</v>
      </c>
      <c r="E1602">
        <v>120</v>
      </c>
      <c r="F1602" t="s">
        <v>1262</v>
      </c>
      <c r="G1602" t="s">
        <v>1263</v>
      </c>
      <c r="H1602" s="315" t="s">
        <v>30</v>
      </c>
      <c r="I1602" s="315" t="s">
        <v>1264</v>
      </c>
      <c r="J1602" s="315" t="str">
        <f t="shared" si="136"/>
        <v>Used VehicleCommission per retail</v>
      </c>
      <c r="K1602" s="315" t="str">
        <f t="shared" si="137"/>
        <v>120Toyota UV Commission expense</v>
      </c>
      <c r="L1602" s="311">
        <f>+SUMIF('TUNZ Extracted TB'!M:M,$P1602,'TUNZ Extracted TB'!G:G)</f>
        <v>0</v>
      </c>
      <c r="M1602" s="311"/>
      <c r="N1602" s="311">
        <f>+SUMIF('Input Sheet'!$AE:$AE,P1602,'Input Sheet'!$X:$X)</f>
        <v>0</v>
      </c>
      <c r="O1602" s="311"/>
      <c r="P1602" t="str">
        <f t="shared" si="138"/>
        <v>120-7280</v>
      </c>
      <c r="Q1602" s="315" t="str">
        <f t="shared" si="139"/>
        <v>Used Vehicle</v>
      </c>
      <c r="R1602" s="315" t="str">
        <f t="shared" si="140"/>
        <v>Used VehicleCommission per retail</v>
      </c>
      <c r="S1602" s="199"/>
      <c r="T1602" s="199"/>
      <c r="U1602" s="199"/>
    </row>
    <row r="1603" spans="1:21" x14ac:dyDescent="0.25">
      <c r="A1603" t="s">
        <v>996</v>
      </c>
      <c r="B1603" t="s">
        <v>997</v>
      </c>
      <c r="C1603" t="s">
        <v>997</v>
      </c>
      <c r="D1603">
        <v>7280</v>
      </c>
      <c r="E1603">
        <v>121</v>
      </c>
      <c r="F1603" t="s">
        <v>1262</v>
      </c>
      <c r="G1603" t="s">
        <v>1263</v>
      </c>
      <c r="H1603" s="315" t="s">
        <v>30</v>
      </c>
      <c r="I1603" s="315" t="s">
        <v>1264</v>
      </c>
      <c r="J1603" s="315" t="str">
        <f t="shared" ref="J1603:J1666" si="141">+H1603&amp;I1603</f>
        <v>Used VehicleCommission per retail</v>
      </c>
      <c r="K1603" s="315" t="str">
        <f t="shared" ref="K1603:K1666" si="142">+E1603&amp;G1603</f>
        <v>121Toyota UV Commission expense</v>
      </c>
      <c r="L1603" s="311">
        <f>+SUMIF('TUNZ Extracted TB'!M:M,$P1603,'TUNZ Extracted TB'!G:G)</f>
        <v>0</v>
      </c>
      <c r="M1603" s="311"/>
      <c r="N1603" s="311">
        <f>+SUMIF('Input Sheet'!$AE:$AE,P1603,'Input Sheet'!$X:$X)</f>
        <v>0</v>
      </c>
      <c r="O1603" s="311"/>
      <c r="P1603" t="str">
        <f t="shared" ref="P1603:P1666" si="143">+E1603&amp;"-"&amp;D1603</f>
        <v>121-7280</v>
      </c>
      <c r="Q1603" s="315" t="str">
        <f t="shared" ref="Q1603:Q1666" si="144">H1603</f>
        <v>Used Vehicle</v>
      </c>
      <c r="R1603" s="315" t="str">
        <f t="shared" ref="R1603:R1666" si="145">J1603</f>
        <v>Used VehicleCommission per retail</v>
      </c>
      <c r="S1603" s="199"/>
      <c r="T1603" s="199"/>
      <c r="U1603" s="199"/>
    </row>
    <row r="1604" spans="1:21" x14ac:dyDescent="0.25">
      <c r="A1604" t="s">
        <v>996</v>
      </c>
      <c r="B1604" t="s">
        <v>997</v>
      </c>
      <c r="C1604" t="s">
        <v>1005</v>
      </c>
      <c r="D1604">
        <v>7290</v>
      </c>
      <c r="E1604">
        <v>240</v>
      </c>
      <c r="F1604" t="s">
        <v>1353</v>
      </c>
      <c r="G1604" t="s">
        <v>1354</v>
      </c>
      <c r="H1604" s="315" t="s">
        <v>1000</v>
      </c>
      <c r="I1604" s="315" t="s">
        <v>1276</v>
      </c>
      <c r="J1604" s="315" t="str">
        <f t="shared" si="141"/>
        <v xml:space="preserve">Admin &amp; OtherStaff Remuneration &amp; Benefits as % of Total Gross </v>
      </c>
      <c r="K1604" s="315" t="str">
        <f t="shared" si="142"/>
        <v>240Staff Benefits (Superannuation, FBT, ACC) - Toyota</v>
      </c>
      <c r="L1604" s="311">
        <f>+SUMIF('TUNZ Extracted TB'!M:M,$P1604,'TUNZ Extracted TB'!G:G)</f>
        <v>109.13</v>
      </c>
      <c r="M1604" s="311"/>
      <c r="N1604" s="311">
        <f>+SUMIF('Input Sheet'!$AE:$AE,P1604,'Input Sheet'!$X:$X)</f>
        <v>0</v>
      </c>
      <c r="O1604" s="311"/>
      <c r="P1604" t="str">
        <f t="shared" si="143"/>
        <v>240-7290</v>
      </c>
      <c r="Q1604" s="315" t="str">
        <f t="shared" si="144"/>
        <v>Admin &amp; Other</v>
      </c>
      <c r="R1604" s="315" t="str">
        <f t="shared" si="145"/>
        <v xml:space="preserve">Admin &amp; OtherStaff Remuneration &amp; Benefits as % of Total Gross </v>
      </c>
      <c r="S1604" s="199"/>
      <c r="T1604" s="199"/>
      <c r="U1604" s="199"/>
    </row>
    <row r="1605" spans="1:21" x14ac:dyDescent="0.25">
      <c r="A1605" s="316">
        <v>45170</v>
      </c>
      <c r="B1605" t="s">
        <v>997</v>
      </c>
      <c r="C1605" t="s">
        <v>997</v>
      </c>
      <c r="D1605">
        <v>7290</v>
      </c>
      <c r="E1605">
        <v>150</v>
      </c>
      <c r="G1605" t="s">
        <v>930</v>
      </c>
      <c r="H1605" s="315" t="s">
        <v>1023</v>
      </c>
      <c r="I1605" s="315" t="s">
        <v>1001</v>
      </c>
      <c r="J1605" s="315" t="str">
        <f t="shared" si="141"/>
        <v>LEX Admin &amp; OtherOther Overheads as % of Total Gross Profit</v>
      </c>
      <c r="K1605" s="315" t="str">
        <f t="shared" si="142"/>
        <v>150Employee Wellbeing</v>
      </c>
      <c r="L1605" s="311">
        <f>+SUMIF('TUNZ Extracted TB'!M:M,$P1605,'TUNZ Extracted TB'!G:G)</f>
        <v>228.7</v>
      </c>
      <c r="M1605" s="311"/>
      <c r="N1605" s="311">
        <f>+SUMIF('Input Sheet'!$AE:$AE,P1605,'Input Sheet'!$X:$X)</f>
        <v>0</v>
      </c>
      <c r="O1605" s="311"/>
      <c r="P1605" t="str">
        <f t="shared" si="143"/>
        <v>150-7290</v>
      </c>
      <c r="Q1605" s="315" t="str">
        <f t="shared" si="144"/>
        <v>LEX Admin &amp; Other</v>
      </c>
      <c r="R1605" s="315" t="str">
        <f t="shared" si="145"/>
        <v>LEX Admin &amp; OtherOther Overheads as % of Total Gross Profit</v>
      </c>
      <c r="S1605" s="199"/>
      <c r="T1605" s="199"/>
      <c r="U1605" s="199"/>
    </row>
    <row r="1606" spans="1:21" x14ac:dyDescent="0.25">
      <c r="A1606" t="s">
        <v>996</v>
      </c>
      <c r="B1606" t="s">
        <v>997</v>
      </c>
      <c r="C1606" t="s">
        <v>1005</v>
      </c>
      <c r="D1606">
        <v>7290</v>
      </c>
      <c r="E1606">
        <v>230</v>
      </c>
      <c r="F1606" t="s">
        <v>1353</v>
      </c>
      <c r="G1606" t="s">
        <v>1354</v>
      </c>
      <c r="H1606" s="315" t="s">
        <v>1000</v>
      </c>
      <c r="I1606" s="315" t="s">
        <v>1276</v>
      </c>
      <c r="J1606" s="315" t="str">
        <f t="shared" si="141"/>
        <v xml:space="preserve">Admin &amp; OtherStaff Remuneration &amp; Benefits as % of Total Gross </v>
      </c>
      <c r="K1606" s="315" t="str">
        <f t="shared" si="142"/>
        <v>230Staff Benefits (Superannuation, FBT, ACC) - Toyota</v>
      </c>
      <c r="L1606" s="311">
        <f>+SUMIF('TUNZ Extracted TB'!M:M,$P1606,'TUNZ Extracted TB'!G:G)</f>
        <v>0</v>
      </c>
      <c r="M1606" s="311"/>
      <c r="N1606" s="311">
        <f>+SUMIF('Input Sheet'!$AE:$AE,P1606,'Input Sheet'!$X:$X)</f>
        <v>0</v>
      </c>
      <c r="O1606" s="311"/>
      <c r="P1606" t="str">
        <f t="shared" si="143"/>
        <v>230-7290</v>
      </c>
      <c r="Q1606" s="315" t="str">
        <f t="shared" si="144"/>
        <v>Admin &amp; Other</v>
      </c>
      <c r="R1606" s="315" t="str">
        <f t="shared" si="145"/>
        <v xml:space="preserve">Admin &amp; OtherStaff Remuneration &amp; Benefits as % of Total Gross </v>
      </c>
      <c r="S1606" s="199"/>
      <c r="T1606" s="199"/>
      <c r="U1606" s="199"/>
    </row>
    <row r="1607" spans="1:21" x14ac:dyDescent="0.25">
      <c r="A1607" t="s">
        <v>996</v>
      </c>
      <c r="B1607" t="s">
        <v>997</v>
      </c>
      <c r="C1607" t="s">
        <v>1013</v>
      </c>
      <c r="D1607">
        <v>7290</v>
      </c>
      <c r="E1607">
        <v>340</v>
      </c>
      <c r="F1607" t="s">
        <v>1353</v>
      </c>
      <c r="G1607" t="s">
        <v>1354</v>
      </c>
      <c r="H1607" s="315" t="s">
        <v>1000</v>
      </c>
      <c r="I1607" s="315" t="s">
        <v>1276</v>
      </c>
      <c r="J1607" s="315" t="str">
        <f t="shared" si="141"/>
        <v xml:space="preserve">Admin &amp; OtherStaff Remuneration &amp; Benefits as % of Total Gross </v>
      </c>
      <c r="K1607" s="315" t="str">
        <f t="shared" si="142"/>
        <v>340Staff Benefits (Superannuation, FBT, ACC) - Toyota</v>
      </c>
      <c r="L1607" s="311">
        <f>+SUMIF('TUNZ Extracted TB'!M:M,$P1607,'TUNZ Extracted TB'!G:G)</f>
        <v>0</v>
      </c>
      <c r="M1607" s="311"/>
      <c r="N1607" s="311">
        <f>+SUMIF('Input Sheet'!$AE:$AE,P1607,'Input Sheet'!$X:$X)</f>
        <v>0</v>
      </c>
      <c r="O1607" s="311"/>
      <c r="P1607" t="str">
        <f t="shared" si="143"/>
        <v>340-7290</v>
      </c>
      <c r="Q1607" s="315" t="str">
        <f t="shared" si="144"/>
        <v>Admin &amp; Other</v>
      </c>
      <c r="R1607" s="315" t="str">
        <f t="shared" si="145"/>
        <v xml:space="preserve">Admin &amp; OtherStaff Remuneration &amp; Benefits as % of Total Gross </v>
      </c>
      <c r="S1607" s="199"/>
      <c r="T1607" s="199"/>
      <c r="U1607" s="199"/>
    </row>
    <row r="1608" spans="1:21" x14ac:dyDescent="0.25">
      <c r="A1608" s="316">
        <v>44835</v>
      </c>
      <c r="B1608" t="s">
        <v>997</v>
      </c>
      <c r="C1608" t="s">
        <v>997</v>
      </c>
      <c r="D1608">
        <v>7290</v>
      </c>
      <c r="E1608">
        <v>190</v>
      </c>
      <c r="G1608" t="s">
        <v>930</v>
      </c>
      <c r="H1608" s="315" t="s">
        <v>1000</v>
      </c>
      <c r="I1608" s="315" t="s">
        <v>1001</v>
      </c>
      <c r="J1608" s="315" t="str">
        <f t="shared" si="141"/>
        <v>Admin &amp; OtherOther Overheads as % of Total Gross Profit</v>
      </c>
      <c r="K1608" s="315" t="str">
        <f t="shared" si="142"/>
        <v>190Employee Wellbeing</v>
      </c>
      <c r="L1608" s="311">
        <f>+SUMIF('TUNZ Extracted TB'!M:M,$P1608,'TUNZ Extracted TB'!G:G)</f>
        <v>0</v>
      </c>
      <c r="M1608" s="311"/>
      <c r="N1608" s="311">
        <f>+SUMIF('Input Sheet'!$AE:$AE,P1608,'Input Sheet'!$X:$X)</f>
        <v>0</v>
      </c>
      <c r="O1608" s="311"/>
      <c r="P1608" t="str">
        <f t="shared" si="143"/>
        <v>190-7290</v>
      </c>
      <c r="Q1608" s="315" t="str">
        <f t="shared" si="144"/>
        <v>Admin &amp; Other</v>
      </c>
      <c r="R1608" s="315" t="str">
        <f t="shared" si="145"/>
        <v>Admin &amp; OtherOther Overheads as % of Total Gross Profit</v>
      </c>
      <c r="S1608" s="199"/>
      <c r="T1608" s="199"/>
      <c r="U1608" s="199"/>
    </row>
    <row r="1609" spans="1:21" x14ac:dyDescent="0.25">
      <c r="A1609" t="s">
        <v>996</v>
      </c>
      <c r="B1609" t="s">
        <v>997</v>
      </c>
      <c r="C1609" t="s">
        <v>997</v>
      </c>
      <c r="D1609">
        <v>7290</v>
      </c>
      <c r="E1609">
        <v>140</v>
      </c>
      <c r="F1609" t="s">
        <v>1353</v>
      </c>
      <c r="G1609" t="s">
        <v>1354</v>
      </c>
      <c r="H1609" s="315" t="s">
        <v>1000</v>
      </c>
      <c r="I1609" s="315" t="s">
        <v>1276</v>
      </c>
      <c r="J1609" s="315" t="str">
        <f t="shared" si="141"/>
        <v xml:space="preserve">Admin &amp; OtherStaff Remuneration &amp; Benefits as % of Total Gross </v>
      </c>
      <c r="K1609" s="315" t="str">
        <f t="shared" si="142"/>
        <v>140Staff Benefits (Superannuation, FBT, ACC) - Toyota</v>
      </c>
      <c r="L1609" s="311">
        <f>+SUMIF('TUNZ Extracted TB'!M:M,$P1609,'TUNZ Extracted TB'!G:G)</f>
        <v>190.23</v>
      </c>
      <c r="M1609" s="311"/>
      <c r="N1609" s="311">
        <f>+SUMIF('Input Sheet'!$AE:$AE,P1609,'Input Sheet'!$X:$X)</f>
        <v>0</v>
      </c>
      <c r="O1609" s="311"/>
      <c r="P1609" t="str">
        <f t="shared" si="143"/>
        <v>140-7290</v>
      </c>
      <c r="Q1609" s="315" t="str">
        <f t="shared" si="144"/>
        <v>Admin &amp; Other</v>
      </c>
      <c r="R1609" s="315" t="str">
        <f t="shared" si="145"/>
        <v xml:space="preserve">Admin &amp; OtherStaff Remuneration &amp; Benefits as % of Total Gross </v>
      </c>
      <c r="S1609" s="199"/>
      <c r="T1609" s="199"/>
      <c r="U1609" s="199"/>
    </row>
    <row r="1610" spans="1:21" x14ac:dyDescent="0.25">
      <c r="A1610" s="316">
        <v>44805</v>
      </c>
      <c r="B1610" t="s">
        <v>997</v>
      </c>
      <c r="C1610" t="s">
        <v>997</v>
      </c>
      <c r="D1610">
        <v>7290</v>
      </c>
      <c r="E1610">
        <v>142</v>
      </c>
      <c r="G1610" t="s">
        <v>930</v>
      </c>
      <c r="H1610" s="315" t="s">
        <v>1023</v>
      </c>
      <c r="I1610" s="315" t="s">
        <v>1001</v>
      </c>
      <c r="J1610" s="315" t="str">
        <f t="shared" si="141"/>
        <v>LEX Admin &amp; OtherOther Overheads as % of Total Gross Profit</v>
      </c>
      <c r="K1610" s="315" t="str">
        <f t="shared" si="142"/>
        <v>142Employee Wellbeing</v>
      </c>
      <c r="L1610" s="311">
        <f>+SUMIF('TUNZ Extracted TB'!M:M,$P1610,'TUNZ Extracted TB'!G:G)</f>
        <v>280.23</v>
      </c>
      <c r="M1610" s="311"/>
      <c r="N1610" s="311">
        <f>+SUMIF('Input Sheet'!$AE:$AE,P1610,'Input Sheet'!$X:$X)</f>
        <v>0</v>
      </c>
      <c r="O1610" s="311"/>
      <c r="P1610" t="str">
        <f t="shared" si="143"/>
        <v>142-7290</v>
      </c>
      <c r="Q1610" s="315" t="str">
        <f t="shared" si="144"/>
        <v>LEX Admin &amp; Other</v>
      </c>
      <c r="R1610" s="315" t="str">
        <f t="shared" si="145"/>
        <v>LEX Admin &amp; OtherOther Overheads as % of Total Gross Profit</v>
      </c>
      <c r="S1610" s="199"/>
      <c r="T1610" s="199"/>
      <c r="U1610" s="199"/>
    </row>
    <row r="1611" spans="1:21" x14ac:dyDescent="0.25">
      <c r="A1611" t="s">
        <v>996</v>
      </c>
      <c r="B1611" t="s">
        <v>997</v>
      </c>
      <c r="C1611" t="s">
        <v>997</v>
      </c>
      <c r="D1611">
        <v>7290</v>
      </c>
      <c r="E1611">
        <v>130</v>
      </c>
      <c r="F1611" t="s">
        <v>1353</v>
      </c>
      <c r="G1611" t="s">
        <v>1354</v>
      </c>
      <c r="H1611" s="315" t="s">
        <v>1000</v>
      </c>
      <c r="I1611" s="315" t="s">
        <v>1276</v>
      </c>
      <c r="J1611" s="315" t="str">
        <f t="shared" si="141"/>
        <v xml:space="preserve">Admin &amp; OtherStaff Remuneration &amp; Benefits as % of Total Gross </v>
      </c>
      <c r="K1611" s="315" t="str">
        <f t="shared" si="142"/>
        <v>130Staff Benefits (Superannuation, FBT, ACC) - Toyota</v>
      </c>
      <c r="L1611" s="311">
        <f>+SUMIF('TUNZ Extracted TB'!M:M,$P1611,'TUNZ Extracted TB'!G:G)</f>
        <v>331.85</v>
      </c>
      <c r="M1611" s="311"/>
      <c r="N1611" s="311">
        <f>+SUMIF('Input Sheet'!$AE:$AE,P1611,'Input Sheet'!$X:$X)</f>
        <v>0</v>
      </c>
      <c r="O1611" s="311"/>
      <c r="P1611" t="str">
        <f t="shared" si="143"/>
        <v>130-7290</v>
      </c>
      <c r="Q1611" s="315" t="str">
        <f t="shared" si="144"/>
        <v>Admin &amp; Other</v>
      </c>
      <c r="R1611" s="315" t="str">
        <f t="shared" si="145"/>
        <v xml:space="preserve">Admin &amp; OtherStaff Remuneration &amp; Benefits as % of Total Gross </v>
      </c>
      <c r="S1611" s="199"/>
      <c r="T1611" s="199"/>
      <c r="U1611" s="199"/>
    </row>
    <row r="1612" spans="1:21" x14ac:dyDescent="0.25">
      <c r="A1612" t="s">
        <v>996</v>
      </c>
      <c r="B1612" t="s">
        <v>997</v>
      </c>
      <c r="C1612" t="s">
        <v>997</v>
      </c>
      <c r="D1612">
        <v>7290</v>
      </c>
      <c r="E1612">
        <v>132</v>
      </c>
      <c r="F1612" t="s">
        <v>1355</v>
      </c>
      <c r="G1612" t="s">
        <v>1356</v>
      </c>
      <c r="H1612" s="315" t="s">
        <v>1023</v>
      </c>
      <c r="I1612" s="315" t="s">
        <v>1276</v>
      </c>
      <c r="J1612" s="315" t="str">
        <f t="shared" si="141"/>
        <v xml:space="preserve">LEX Admin &amp; OtherStaff Remuneration &amp; Benefits as % of Total Gross </v>
      </c>
      <c r="K1612" s="315" t="str">
        <f t="shared" si="142"/>
        <v>132Staff Benefits (Superannuation, FBT, ACC) - Lexus</v>
      </c>
      <c r="L1612" s="311">
        <f>+SUMIF('TUNZ Extracted TB'!M:M,$P1612,'TUNZ Extracted TB'!G:G)</f>
        <v>0</v>
      </c>
      <c r="M1612" s="311"/>
      <c r="N1612" s="311">
        <f>+SUMIF('Input Sheet'!$AE:$AE,P1612,'Input Sheet'!$X:$X)</f>
        <v>0</v>
      </c>
      <c r="O1612" s="311"/>
      <c r="P1612" t="str">
        <f t="shared" si="143"/>
        <v>132-7290</v>
      </c>
      <c r="Q1612" s="315" t="str">
        <f t="shared" si="144"/>
        <v>LEX Admin &amp; Other</v>
      </c>
      <c r="R1612" s="315" t="str">
        <f t="shared" si="145"/>
        <v xml:space="preserve">LEX Admin &amp; OtherStaff Remuneration &amp; Benefits as % of Total Gross </v>
      </c>
      <c r="S1612" s="199"/>
      <c r="T1612" s="199"/>
      <c r="U1612" s="199"/>
    </row>
    <row r="1613" spans="1:21" x14ac:dyDescent="0.25">
      <c r="A1613" t="s">
        <v>996</v>
      </c>
      <c r="B1613" t="s">
        <v>997</v>
      </c>
      <c r="C1613" t="s">
        <v>997</v>
      </c>
      <c r="D1613">
        <v>7290</v>
      </c>
      <c r="E1613">
        <v>112</v>
      </c>
      <c r="F1613" t="s">
        <v>1355</v>
      </c>
      <c r="G1613" t="s">
        <v>1356</v>
      </c>
      <c r="H1613" s="315" t="s">
        <v>1023</v>
      </c>
      <c r="I1613" s="315" t="s">
        <v>1276</v>
      </c>
      <c r="J1613" s="315" t="str">
        <f t="shared" si="141"/>
        <v xml:space="preserve">LEX Admin &amp; OtherStaff Remuneration &amp; Benefits as % of Total Gross </v>
      </c>
      <c r="K1613" s="315" t="str">
        <f t="shared" si="142"/>
        <v>112Staff Benefits (Superannuation, FBT, ACC) - Lexus</v>
      </c>
      <c r="L1613" s="311">
        <f>+SUMIF('TUNZ Extracted TB'!M:M,$P1613,'TUNZ Extracted TB'!G:G)</f>
        <v>0</v>
      </c>
      <c r="M1613" s="311"/>
      <c r="N1613" s="311">
        <f>+SUMIF('Input Sheet'!$AE:$AE,P1613,'Input Sheet'!$X:$X)</f>
        <v>0</v>
      </c>
      <c r="O1613" s="311"/>
      <c r="P1613" t="str">
        <f t="shared" si="143"/>
        <v>112-7290</v>
      </c>
      <c r="Q1613" s="315" t="str">
        <f t="shared" si="144"/>
        <v>LEX Admin &amp; Other</v>
      </c>
      <c r="R1613" s="315" t="str">
        <f t="shared" si="145"/>
        <v xml:space="preserve">LEX Admin &amp; OtherStaff Remuneration &amp; Benefits as % of Total Gross </v>
      </c>
      <c r="S1613" s="199"/>
      <c r="T1613" s="199"/>
      <c r="U1613" s="199"/>
    </row>
    <row r="1614" spans="1:21" x14ac:dyDescent="0.25">
      <c r="A1614" t="s">
        <v>996</v>
      </c>
      <c r="B1614" t="s">
        <v>997</v>
      </c>
      <c r="C1614" t="s">
        <v>997</v>
      </c>
      <c r="D1614">
        <v>7290</v>
      </c>
      <c r="E1614">
        <v>100</v>
      </c>
      <c r="F1614" t="s">
        <v>1353</v>
      </c>
      <c r="G1614" t="s">
        <v>1354</v>
      </c>
      <c r="H1614" s="315" t="s">
        <v>1000</v>
      </c>
      <c r="I1614" s="315" t="s">
        <v>1276</v>
      </c>
      <c r="J1614" s="315" t="str">
        <f t="shared" si="141"/>
        <v xml:space="preserve">Admin &amp; OtherStaff Remuneration &amp; Benefits as % of Total Gross </v>
      </c>
      <c r="K1614" s="315" t="str">
        <f t="shared" si="142"/>
        <v>100Staff Benefits (Superannuation, FBT, ACC) - Toyota</v>
      </c>
      <c r="L1614" s="311">
        <f>+SUMIF('TUNZ Extracted TB'!M:M,$P1614,'TUNZ Extracted TB'!G:G)</f>
        <v>0</v>
      </c>
      <c r="M1614" s="311"/>
      <c r="N1614" s="311">
        <f>+SUMIF('Input Sheet'!$AE:$AE,P1614,'Input Sheet'!$X:$X)</f>
        <v>0</v>
      </c>
      <c r="O1614" s="311"/>
      <c r="P1614" t="str">
        <f t="shared" si="143"/>
        <v>100-7290</v>
      </c>
      <c r="Q1614" s="315" t="str">
        <f t="shared" si="144"/>
        <v>Admin &amp; Other</v>
      </c>
      <c r="R1614" s="315" t="str">
        <f t="shared" si="145"/>
        <v xml:space="preserve">Admin &amp; OtherStaff Remuneration &amp; Benefits as % of Total Gross </v>
      </c>
      <c r="S1614" s="199"/>
      <c r="T1614" s="199"/>
      <c r="U1614" s="199"/>
    </row>
    <row r="1615" spans="1:21" x14ac:dyDescent="0.25">
      <c r="A1615" t="s">
        <v>996</v>
      </c>
      <c r="B1615" t="s">
        <v>997</v>
      </c>
      <c r="C1615" t="s">
        <v>997</v>
      </c>
      <c r="D1615">
        <v>7290</v>
      </c>
      <c r="E1615">
        <v>110</v>
      </c>
      <c r="F1615" t="s">
        <v>1353</v>
      </c>
      <c r="G1615" t="s">
        <v>1354</v>
      </c>
      <c r="H1615" s="315" t="s">
        <v>1000</v>
      </c>
      <c r="I1615" s="315" t="s">
        <v>1276</v>
      </c>
      <c r="J1615" s="315" t="str">
        <f t="shared" si="141"/>
        <v xml:space="preserve">Admin &amp; OtherStaff Remuneration &amp; Benefits as % of Total Gross </v>
      </c>
      <c r="K1615" s="315" t="str">
        <f t="shared" si="142"/>
        <v>110Staff Benefits (Superannuation, FBT, ACC) - Toyota</v>
      </c>
      <c r="L1615" s="311">
        <f>+SUMIF('TUNZ Extracted TB'!M:M,$P1615,'TUNZ Extracted TB'!G:G)</f>
        <v>0</v>
      </c>
      <c r="M1615" s="311"/>
      <c r="N1615" s="311">
        <f>+SUMIF('Input Sheet'!$AE:$AE,P1615,'Input Sheet'!$X:$X)</f>
        <v>0</v>
      </c>
      <c r="O1615" s="311"/>
      <c r="P1615" t="str">
        <f t="shared" si="143"/>
        <v>110-7290</v>
      </c>
      <c r="Q1615" s="315" t="str">
        <f t="shared" si="144"/>
        <v>Admin &amp; Other</v>
      </c>
      <c r="R1615" s="315" t="str">
        <f t="shared" si="145"/>
        <v xml:space="preserve">Admin &amp; OtherStaff Remuneration &amp; Benefits as % of Total Gross </v>
      </c>
      <c r="S1615" s="199"/>
      <c r="T1615" s="199"/>
      <c r="U1615" s="199"/>
    </row>
    <row r="1616" spans="1:21" x14ac:dyDescent="0.25">
      <c r="A1616" t="s">
        <v>996</v>
      </c>
      <c r="B1616" t="s">
        <v>997</v>
      </c>
      <c r="C1616" t="s">
        <v>997</v>
      </c>
      <c r="D1616">
        <v>7290</v>
      </c>
      <c r="E1616">
        <v>936</v>
      </c>
      <c r="F1616" t="s">
        <v>1175</v>
      </c>
      <c r="G1616" t="s">
        <v>1176</v>
      </c>
      <c r="H1616" s="315" t="s">
        <v>1023</v>
      </c>
      <c r="I1616" s="315" t="s">
        <v>1276</v>
      </c>
      <c r="J1616" s="315" t="str">
        <f t="shared" si="141"/>
        <v xml:space="preserve">LEX Admin &amp; OtherStaff Remuneration &amp; Benefits as % of Total Gross </v>
      </c>
      <c r="K1616" s="315" t="str">
        <f t="shared" si="142"/>
        <v>936Other franchise/business expense</v>
      </c>
      <c r="L1616" s="311">
        <f>+SUMIF('TUNZ Extracted TB'!M:M,$P1616,'TUNZ Extracted TB'!G:G)</f>
        <v>0</v>
      </c>
      <c r="M1616" s="311"/>
      <c r="N1616" s="311">
        <f>+SUMIF('Input Sheet'!$AE:$AE,P1616,'Input Sheet'!$X:$X)</f>
        <v>0</v>
      </c>
      <c r="O1616" s="311"/>
      <c r="P1616" t="str">
        <f t="shared" si="143"/>
        <v>936-7290</v>
      </c>
      <c r="Q1616" s="315" t="str">
        <f t="shared" si="144"/>
        <v>LEX Admin &amp; Other</v>
      </c>
      <c r="R1616" s="315" t="str">
        <f t="shared" si="145"/>
        <v xml:space="preserve">LEX Admin &amp; OtherStaff Remuneration &amp; Benefits as % of Total Gross </v>
      </c>
      <c r="S1616" s="199"/>
      <c r="T1616" s="199"/>
      <c r="U1616" s="199"/>
    </row>
    <row r="1617" spans="1:21" x14ac:dyDescent="0.25">
      <c r="A1617" t="s">
        <v>996</v>
      </c>
      <c r="B1617" t="s">
        <v>997</v>
      </c>
      <c r="C1617" t="s">
        <v>997</v>
      </c>
      <c r="D1617">
        <v>7290</v>
      </c>
      <c r="E1617">
        <v>935</v>
      </c>
      <c r="F1617" t="s">
        <v>1175</v>
      </c>
      <c r="G1617" t="s">
        <v>1176</v>
      </c>
      <c r="H1617" s="315" t="s">
        <v>1023</v>
      </c>
      <c r="I1617" s="315" t="s">
        <v>1276</v>
      </c>
      <c r="J1617" s="315" t="str">
        <f t="shared" si="141"/>
        <v xml:space="preserve">LEX Admin &amp; OtherStaff Remuneration &amp; Benefits as % of Total Gross </v>
      </c>
      <c r="K1617" s="315" t="str">
        <f t="shared" si="142"/>
        <v>935Other franchise/business expense</v>
      </c>
      <c r="L1617" s="311">
        <f>+SUMIF('TUNZ Extracted TB'!M:M,$P1617,'TUNZ Extracted TB'!G:G)</f>
        <v>0</v>
      </c>
      <c r="M1617" s="311"/>
      <c r="N1617" s="311">
        <f>+SUMIF('Input Sheet'!$AE:$AE,P1617,'Input Sheet'!$X:$X)</f>
        <v>0</v>
      </c>
      <c r="O1617" s="311"/>
      <c r="P1617" t="str">
        <f t="shared" si="143"/>
        <v>935-7290</v>
      </c>
      <c r="Q1617" s="315" t="str">
        <f t="shared" si="144"/>
        <v>LEX Admin &amp; Other</v>
      </c>
      <c r="R1617" s="315" t="str">
        <f t="shared" si="145"/>
        <v xml:space="preserve">LEX Admin &amp; OtherStaff Remuneration &amp; Benefits as % of Total Gross </v>
      </c>
      <c r="S1617" s="199"/>
      <c r="T1617" s="199"/>
      <c r="U1617" s="199"/>
    </row>
    <row r="1618" spans="1:21" x14ac:dyDescent="0.25">
      <c r="A1618" t="s">
        <v>996</v>
      </c>
      <c r="B1618" t="s">
        <v>997</v>
      </c>
      <c r="C1618" t="s">
        <v>997</v>
      </c>
      <c r="D1618">
        <v>7290</v>
      </c>
      <c r="E1618">
        <v>122</v>
      </c>
      <c r="F1618" t="s">
        <v>1355</v>
      </c>
      <c r="G1618" t="s">
        <v>1356</v>
      </c>
      <c r="H1618" s="315" t="s">
        <v>1023</v>
      </c>
      <c r="I1618" s="315" t="s">
        <v>1276</v>
      </c>
      <c r="J1618" s="315" t="str">
        <f t="shared" si="141"/>
        <v xml:space="preserve">LEX Admin &amp; OtherStaff Remuneration &amp; Benefits as % of Total Gross </v>
      </c>
      <c r="K1618" s="315" t="str">
        <f t="shared" si="142"/>
        <v>122Staff Benefits (Superannuation, FBT, ACC) - Lexus</v>
      </c>
      <c r="L1618" s="311">
        <f>+SUMIF('TUNZ Extracted TB'!M:M,$P1618,'TUNZ Extracted TB'!G:G)</f>
        <v>0</v>
      </c>
      <c r="M1618" s="311"/>
      <c r="N1618" s="311">
        <f>+SUMIF('Input Sheet'!$AE:$AE,P1618,'Input Sheet'!$X:$X)</f>
        <v>0</v>
      </c>
      <c r="O1618" s="311"/>
      <c r="P1618" t="str">
        <f t="shared" si="143"/>
        <v>122-7290</v>
      </c>
      <c r="Q1618" s="315" t="str">
        <f t="shared" si="144"/>
        <v>LEX Admin &amp; Other</v>
      </c>
      <c r="R1618" s="315" t="str">
        <f t="shared" si="145"/>
        <v xml:space="preserve">LEX Admin &amp; OtherStaff Remuneration &amp; Benefits as % of Total Gross </v>
      </c>
      <c r="S1618" s="199"/>
      <c r="T1618" s="199"/>
      <c r="U1618" s="199"/>
    </row>
    <row r="1619" spans="1:21" x14ac:dyDescent="0.25">
      <c r="A1619" t="s">
        <v>996</v>
      </c>
      <c r="B1619" t="s">
        <v>997</v>
      </c>
      <c r="C1619" t="s">
        <v>997</v>
      </c>
      <c r="D1619">
        <v>7290</v>
      </c>
      <c r="E1619">
        <v>162</v>
      </c>
      <c r="F1619" t="s">
        <v>1355</v>
      </c>
      <c r="G1619" t="s">
        <v>1356</v>
      </c>
      <c r="H1619" s="315" t="s">
        <v>1023</v>
      </c>
      <c r="I1619" s="315" t="s">
        <v>1276</v>
      </c>
      <c r="J1619" s="315" t="str">
        <f t="shared" si="141"/>
        <v xml:space="preserve">LEX Admin &amp; OtherStaff Remuneration &amp; Benefits as % of Total Gross </v>
      </c>
      <c r="K1619" s="315" t="str">
        <f t="shared" si="142"/>
        <v>162Staff Benefits (Superannuation, FBT, ACC) - Lexus</v>
      </c>
      <c r="L1619" s="311">
        <f>+SUMIF('TUNZ Extracted TB'!M:M,$P1619,'TUNZ Extracted TB'!G:G)</f>
        <v>0</v>
      </c>
      <c r="M1619" s="311"/>
      <c r="N1619" s="311">
        <f>+SUMIF('Input Sheet'!$AE:$AE,P1619,'Input Sheet'!$X:$X)</f>
        <v>0</v>
      </c>
      <c r="O1619" s="311"/>
      <c r="P1619" t="str">
        <f t="shared" si="143"/>
        <v>162-7290</v>
      </c>
      <c r="Q1619" s="315" t="str">
        <f t="shared" si="144"/>
        <v>LEX Admin &amp; Other</v>
      </c>
      <c r="R1619" s="315" t="str">
        <f t="shared" si="145"/>
        <v xml:space="preserve">LEX Admin &amp; OtherStaff Remuneration &amp; Benefits as % of Total Gross </v>
      </c>
      <c r="S1619" s="199"/>
      <c r="T1619" s="199"/>
      <c r="U1619" s="199"/>
    </row>
    <row r="1620" spans="1:21" x14ac:dyDescent="0.25">
      <c r="A1620" t="s">
        <v>996</v>
      </c>
      <c r="B1620" t="s">
        <v>997</v>
      </c>
      <c r="C1620" t="s">
        <v>1005</v>
      </c>
      <c r="D1620">
        <v>7290</v>
      </c>
      <c r="E1620">
        <v>200</v>
      </c>
      <c r="F1620" t="s">
        <v>1353</v>
      </c>
      <c r="G1620" t="s">
        <v>1354</v>
      </c>
      <c r="H1620" s="315" t="s">
        <v>1000</v>
      </c>
      <c r="I1620" s="315" t="s">
        <v>1276</v>
      </c>
      <c r="J1620" s="315" t="str">
        <f t="shared" si="141"/>
        <v xml:space="preserve">Admin &amp; OtherStaff Remuneration &amp; Benefits as % of Total Gross </v>
      </c>
      <c r="K1620" s="315" t="str">
        <f t="shared" si="142"/>
        <v>200Staff Benefits (Superannuation, FBT, ACC) - Toyota</v>
      </c>
      <c r="L1620" s="311">
        <f>+SUMIF('TUNZ Extracted TB'!M:M,$P1620,'TUNZ Extracted TB'!G:G)</f>
        <v>0</v>
      </c>
      <c r="M1620" s="311"/>
      <c r="N1620" s="311">
        <f>+SUMIF('Input Sheet'!$AE:$AE,P1620,'Input Sheet'!$X:$X)</f>
        <v>0</v>
      </c>
      <c r="O1620" s="311"/>
      <c r="P1620" t="str">
        <f t="shared" si="143"/>
        <v>200-7290</v>
      </c>
      <c r="Q1620" s="315" t="str">
        <f t="shared" si="144"/>
        <v>Admin &amp; Other</v>
      </c>
      <c r="R1620" s="315" t="str">
        <f t="shared" si="145"/>
        <v xml:space="preserve">Admin &amp; OtherStaff Remuneration &amp; Benefits as % of Total Gross </v>
      </c>
      <c r="S1620" s="199"/>
      <c r="T1620" s="199"/>
      <c r="U1620" s="199"/>
    </row>
    <row r="1621" spans="1:21" x14ac:dyDescent="0.25">
      <c r="A1621" t="s">
        <v>996</v>
      </c>
      <c r="B1621" t="s">
        <v>997</v>
      </c>
      <c r="C1621" t="s">
        <v>1005</v>
      </c>
      <c r="D1621">
        <v>7290</v>
      </c>
      <c r="E1621">
        <v>210</v>
      </c>
      <c r="F1621" t="s">
        <v>1353</v>
      </c>
      <c r="G1621" t="s">
        <v>1354</v>
      </c>
      <c r="H1621" s="315" t="s">
        <v>1000</v>
      </c>
      <c r="I1621" s="315" t="s">
        <v>1276</v>
      </c>
      <c r="J1621" s="315" t="str">
        <f t="shared" si="141"/>
        <v xml:space="preserve">Admin &amp; OtherStaff Remuneration &amp; Benefits as % of Total Gross </v>
      </c>
      <c r="K1621" s="315" t="str">
        <f t="shared" si="142"/>
        <v>210Staff Benefits (Superannuation, FBT, ACC) - Toyota</v>
      </c>
      <c r="L1621" s="311">
        <f>+SUMIF('TUNZ Extracted TB'!M:M,$P1621,'TUNZ Extracted TB'!G:G)</f>
        <v>0</v>
      </c>
      <c r="M1621" s="311"/>
      <c r="N1621" s="311">
        <f>+SUMIF('Input Sheet'!$AE:$AE,P1621,'Input Sheet'!$X:$X)</f>
        <v>0</v>
      </c>
      <c r="O1621" s="311"/>
      <c r="P1621" t="str">
        <f t="shared" si="143"/>
        <v>210-7290</v>
      </c>
      <c r="Q1621" s="315" t="str">
        <f t="shared" si="144"/>
        <v>Admin &amp; Other</v>
      </c>
      <c r="R1621" s="315" t="str">
        <f t="shared" si="145"/>
        <v xml:space="preserve">Admin &amp; OtherStaff Remuneration &amp; Benefits as % of Total Gross </v>
      </c>
      <c r="S1621" s="199"/>
      <c r="T1621" s="199"/>
      <c r="U1621" s="199"/>
    </row>
    <row r="1622" spans="1:21" x14ac:dyDescent="0.25">
      <c r="A1622" t="s">
        <v>996</v>
      </c>
      <c r="B1622" t="s">
        <v>997</v>
      </c>
      <c r="C1622" t="s">
        <v>1005</v>
      </c>
      <c r="D1622">
        <v>7290</v>
      </c>
      <c r="E1622">
        <v>220</v>
      </c>
      <c r="F1622" t="s">
        <v>1353</v>
      </c>
      <c r="G1622" t="s">
        <v>1354</v>
      </c>
      <c r="H1622" s="315" t="s">
        <v>1000</v>
      </c>
      <c r="I1622" s="315" t="s">
        <v>1276</v>
      </c>
      <c r="J1622" s="315" t="str">
        <f t="shared" si="141"/>
        <v xml:space="preserve">Admin &amp; OtherStaff Remuneration &amp; Benefits as % of Total Gross </v>
      </c>
      <c r="K1622" s="315" t="str">
        <f t="shared" si="142"/>
        <v>220Staff Benefits (Superannuation, FBT, ACC) - Toyota</v>
      </c>
      <c r="L1622" s="311">
        <f>+SUMIF('TUNZ Extracted TB'!M:M,$P1622,'TUNZ Extracted TB'!G:G)</f>
        <v>0</v>
      </c>
      <c r="M1622" s="311"/>
      <c r="N1622" s="311">
        <f>+SUMIF('Input Sheet'!$AE:$AE,P1622,'Input Sheet'!$X:$X)</f>
        <v>0</v>
      </c>
      <c r="O1622" s="311"/>
      <c r="P1622" t="str">
        <f t="shared" si="143"/>
        <v>220-7290</v>
      </c>
      <c r="Q1622" s="315" t="str">
        <f t="shared" si="144"/>
        <v>Admin &amp; Other</v>
      </c>
      <c r="R1622" s="315" t="str">
        <f t="shared" si="145"/>
        <v xml:space="preserve">Admin &amp; OtherStaff Remuneration &amp; Benefits as % of Total Gross </v>
      </c>
      <c r="S1622" s="199"/>
      <c r="T1622" s="199"/>
      <c r="U1622" s="199"/>
    </row>
    <row r="1623" spans="1:21" x14ac:dyDescent="0.25">
      <c r="A1623" t="s">
        <v>996</v>
      </c>
      <c r="B1623" t="s">
        <v>997</v>
      </c>
      <c r="C1623" t="s">
        <v>1005</v>
      </c>
      <c r="D1623">
        <v>7290</v>
      </c>
      <c r="E1623">
        <v>221</v>
      </c>
      <c r="F1623" t="s">
        <v>1353</v>
      </c>
      <c r="G1623" t="s">
        <v>1354</v>
      </c>
      <c r="H1623" s="315" t="s">
        <v>1000</v>
      </c>
      <c r="I1623" s="315" t="s">
        <v>1276</v>
      </c>
      <c r="J1623" s="315" t="str">
        <f t="shared" si="141"/>
        <v xml:space="preserve">Admin &amp; OtherStaff Remuneration &amp; Benefits as % of Total Gross </v>
      </c>
      <c r="K1623" s="315" t="str">
        <f t="shared" si="142"/>
        <v>221Staff Benefits (Superannuation, FBT, ACC) - Toyota</v>
      </c>
      <c r="L1623" s="311">
        <f>+SUMIF('TUNZ Extracted TB'!M:M,$P1623,'TUNZ Extracted TB'!G:G)</f>
        <v>0</v>
      </c>
      <c r="M1623" s="311"/>
      <c r="N1623" s="311">
        <f>+SUMIF('Input Sheet'!$AE:$AE,P1623,'Input Sheet'!$X:$X)</f>
        <v>0</v>
      </c>
      <c r="O1623" s="311"/>
      <c r="P1623" t="str">
        <f t="shared" si="143"/>
        <v>221-7290</v>
      </c>
      <c r="Q1623" s="315" t="str">
        <f t="shared" si="144"/>
        <v>Admin &amp; Other</v>
      </c>
      <c r="R1623" s="315" t="str">
        <f t="shared" si="145"/>
        <v xml:space="preserve">Admin &amp; OtherStaff Remuneration &amp; Benefits as % of Total Gross </v>
      </c>
      <c r="S1623" s="199"/>
      <c r="T1623" s="199"/>
      <c r="U1623" s="199"/>
    </row>
    <row r="1624" spans="1:21" x14ac:dyDescent="0.25">
      <c r="A1624" t="s">
        <v>996</v>
      </c>
      <c r="B1624" t="s">
        <v>997</v>
      </c>
      <c r="C1624" t="s">
        <v>1005</v>
      </c>
      <c r="D1624">
        <v>7290</v>
      </c>
      <c r="E1624">
        <v>260</v>
      </c>
      <c r="F1624" t="s">
        <v>1353</v>
      </c>
      <c r="G1624" t="s">
        <v>1354</v>
      </c>
      <c r="H1624" s="315" t="s">
        <v>1000</v>
      </c>
      <c r="I1624" s="315" t="s">
        <v>1276</v>
      </c>
      <c r="J1624" s="315" t="str">
        <f t="shared" si="141"/>
        <v xml:space="preserve">Admin &amp; OtherStaff Remuneration &amp; Benefits as % of Total Gross </v>
      </c>
      <c r="K1624" s="315" t="str">
        <f t="shared" si="142"/>
        <v>260Staff Benefits (Superannuation, FBT, ACC) - Toyota</v>
      </c>
      <c r="L1624" s="311">
        <f>+SUMIF('TUNZ Extracted TB'!M:M,$P1624,'TUNZ Extracted TB'!G:G)</f>
        <v>0</v>
      </c>
      <c r="M1624" s="311"/>
      <c r="N1624" s="311">
        <f>+SUMIF('Input Sheet'!$AE:$AE,P1624,'Input Sheet'!$X:$X)</f>
        <v>0</v>
      </c>
      <c r="O1624" s="311"/>
      <c r="P1624" t="str">
        <f t="shared" si="143"/>
        <v>260-7290</v>
      </c>
      <c r="Q1624" s="315" t="str">
        <f t="shared" si="144"/>
        <v>Admin &amp; Other</v>
      </c>
      <c r="R1624" s="315" t="str">
        <f t="shared" si="145"/>
        <v xml:space="preserve">Admin &amp; OtherStaff Remuneration &amp; Benefits as % of Total Gross </v>
      </c>
      <c r="S1624" s="199"/>
      <c r="T1624" s="199"/>
      <c r="U1624" s="199"/>
    </row>
    <row r="1625" spans="1:21" x14ac:dyDescent="0.25">
      <c r="A1625" t="s">
        <v>996</v>
      </c>
      <c r="B1625" t="s">
        <v>997</v>
      </c>
      <c r="C1625" t="s">
        <v>1012</v>
      </c>
      <c r="D1625">
        <v>7290</v>
      </c>
      <c r="E1625">
        <v>400</v>
      </c>
      <c r="F1625" t="s">
        <v>1353</v>
      </c>
      <c r="G1625" t="s">
        <v>1354</v>
      </c>
      <c r="H1625" s="315" t="s">
        <v>1000</v>
      </c>
      <c r="I1625" s="315" t="s">
        <v>1276</v>
      </c>
      <c r="J1625" s="315" t="str">
        <f t="shared" si="141"/>
        <v xml:space="preserve">Admin &amp; OtherStaff Remuneration &amp; Benefits as % of Total Gross </v>
      </c>
      <c r="K1625" s="315" t="str">
        <f t="shared" si="142"/>
        <v>400Staff Benefits (Superannuation, FBT, ACC) - Toyota</v>
      </c>
      <c r="L1625" s="311">
        <f>+SUMIF('TUNZ Extracted TB'!M:M,$P1625,'TUNZ Extracted TB'!G:G)</f>
        <v>0</v>
      </c>
      <c r="M1625" s="311"/>
      <c r="N1625" s="311">
        <f>+SUMIF('Input Sheet'!$AE:$AE,P1625,'Input Sheet'!$X:$X)</f>
        <v>0</v>
      </c>
      <c r="O1625" s="311"/>
      <c r="P1625" t="str">
        <f t="shared" si="143"/>
        <v>400-7290</v>
      </c>
      <c r="Q1625" s="315" t="str">
        <f t="shared" si="144"/>
        <v>Admin &amp; Other</v>
      </c>
      <c r="R1625" s="315" t="str">
        <f t="shared" si="145"/>
        <v xml:space="preserve">Admin &amp; OtherStaff Remuneration &amp; Benefits as % of Total Gross </v>
      </c>
      <c r="S1625" s="199"/>
      <c r="T1625" s="199"/>
      <c r="U1625" s="199"/>
    </row>
    <row r="1626" spans="1:21" x14ac:dyDescent="0.25">
      <c r="A1626" t="s">
        <v>996</v>
      </c>
      <c r="B1626" t="s">
        <v>997</v>
      </c>
      <c r="C1626" t="s">
        <v>1012</v>
      </c>
      <c r="D1626">
        <v>7290</v>
      </c>
      <c r="E1626">
        <v>410</v>
      </c>
      <c r="F1626" t="s">
        <v>1353</v>
      </c>
      <c r="G1626" t="s">
        <v>1354</v>
      </c>
      <c r="H1626" s="315" t="s">
        <v>1000</v>
      </c>
      <c r="I1626" s="315" t="s">
        <v>1276</v>
      </c>
      <c r="J1626" s="315" t="str">
        <f t="shared" si="141"/>
        <v xml:space="preserve">Admin &amp; OtherStaff Remuneration &amp; Benefits as % of Total Gross </v>
      </c>
      <c r="K1626" s="315" t="str">
        <f t="shared" si="142"/>
        <v>410Staff Benefits (Superannuation, FBT, ACC) - Toyota</v>
      </c>
      <c r="L1626" s="311">
        <f>+SUMIF('TUNZ Extracted TB'!M:M,$P1626,'TUNZ Extracted TB'!G:G)</f>
        <v>0</v>
      </c>
      <c r="M1626" s="311"/>
      <c r="N1626" s="311">
        <f>+SUMIF('Input Sheet'!$AE:$AE,P1626,'Input Sheet'!$X:$X)</f>
        <v>0</v>
      </c>
      <c r="O1626" s="311"/>
      <c r="P1626" t="str">
        <f t="shared" si="143"/>
        <v>410-7290</v>
      </c>
      <c r="Q1626" s="315" t="str">
        <f t="shared" si="144"/>
        <v>Admin &amp; Other</v>
      </c>
      <c r="R1626" s="315" t="str">
        <f t="shared" si="145"/>
        <v xml:space="preserve">Admin &amp; OtherStaff Remuneration &amp; Benefits as % of Total Gross </v>
      </c>
      <c r="S1626" s="199"/>
      <c r="T1626" s="199"/>
      <c r="U1626" s="199"/>
    </row>
    <row r="1627" spans="1:21" x14ac:dyDescent="0.25">
      <c r="A1627" t="s">
        <v>996</v>
      </c>
      <c r="B1627" t="s">
        <v>997</v>
      </c>
      <c r="C1627" t="s">
        <v>1012</v>
      </c>
      <c r="D1627">
        <v>7290</v>
      </c>
      <c r="E1627">
        <v>420</v>
      </c>
      <c r="F1627" t="s">
        <v>1353</v>
      </c>
      <c r="G1627" t="s">
        <v>1354</v>
      </c>
      <c r="H1627" s="315" t="s">
        <v>1000</v>
      </c>
      <c r="I1627" s="315" t="s">
        <v>1276</v>
      </c>
      <c r="J1627" s="315" t="str">
        <f t="shared" si="141"/>
        <v xml:space="preserve">Admin &amp; OtherStaff Remuneration &amp; Benefits as % of Total Gross </v>
      </c>
      <c r="K1627" s="315" t="str">
        <f t="shared" si="142"/>
        <v>420Staff Benefits (Superannuation, FBT, ACC) - Toyota</v>
      </c>
      <c r="L1627" s="311">
        <f>+SUMIF('TUNZ Extracted TB'!M:M,$P1627,'TUNZ Extracted TB'!G:G)</f>
        <v>0</v>
      </c>
      <c r="M1627" s="311"/>
      <c r="N1627" s="311">
        <f>+SUMIF('Input Sheet'!$AE:$AE,P1627,'Input Sheet'!$X:$X)</f>
        <v>0</v>
      </c>
      <c r="O1627" s="311"/>
      <c r="P1627" t="str">
        <f t="shared" si="143"/>
        <v>420-7290</v>
      </c>
      <c r="Q1627" s="315" t="str">
        <f t="shared" si="144"/>
        <v>Admin &amp; Other</v>
      </c>
      <c r="R1627" s="315" t="str">
        <f t="shared" si="145"/>
        <v xml:space="preserve">Admin &amp; OtherStaff Remuneration &amp; Benefits as % of Total Gross </v>
      </c>
      <c r="S1627" s="199"/>
      <c r="T1627" s="199"/>
      <c r="U1627" s="199"/>
    </row>
    <row r="1628" spans="1:21" x14ac:dyDescent="0.25">
      <c r="A1628" t="s">
        <v>996</v>
      </c>
      <c r="B1628" t="s">
        <v>997</v>
      </c>
      <c r="C1628" t="s">
        <v>1012</v>
      </c>
      <c r="D1628">
        <v>7290</v>
      </c>
      <c r="E1628">
        <v>421</v>
      </c>
      <c r="F1628" t="s">
        <v>1353</v>
      </c>
      <c r="G1628" t="s">
        <v>1354</v>
      </c>
      <c r="H1628" s="315" t="s">
        <v>1000</v>
      </c>
      <c r="I1628" s="315" t="s">
        <v>1276</v>
      </c>
      <c r="J1628" s="315" t="str">
        <f t="shared" si="141"/>
        <v xml:space="preserve">Admin &amp; OtherStaff Remuneration &amp; Benefits as % of Total Gross </v>
      </c>
      <c r="K1628" s="315" t="str">
        <f t="shared" si="142"/>
        <v>421Staff Benefits (Superannuation, FBT, ACC) - Toyota</v>
      </c>
      <c r="L1628" s="311">
        <f>+SUMIF('TUNZ Extracted TB'!M:M,$P1628,'TUNZ Extracted TB'!G:G)</f>
        <v>0</v>
      </c>
      <c r="M1628" s="311"/>
      <c r="N1628" s="311">
        <f>+SUMIF('Input Sheet'!$AE:$AE,P1628,'Input Sheet'!$X:$X)</f>
        <v>0</v>
      </c>
      <c r="O1628" s="311"/>
      <c r="P1628" t="str">
        <f t="shared" si="143"/>
        <v>421-7290</v>
      </c>
      <c r="Q1628" s="315" t="str">
        <f t="shared" si="144"/>
        <v>Admin &amp; Other</v>
      </c>
      <c r="R1628" s="315" t="str">
        <f t="shared" si="145"/>
        <v xml:space="preserve">Admin &amp; OtherStaff Remuneration &amp; Benefits as % of Total Gross </v>
      </c>
      <c r="S1628" s="199"/>
      <c r="T1628" s="199"/>
      <c r="U1628" s="199"/>
    </row>
    <row r="1629" spans="1:21" x14ac:dyDescent="0.25">
      <c r="A1629" t="s">
        <v>996</v>
      </c>
      <c r="B1629" t="s">
        <v>997</v>
      </c>
      <c r="C1629" t="s">
        <v>1012</v>
      </c>
      <c r="D1629">
        <v>7290</v>
      </c>
      <c r="E1629">
        <v>430</v>
      </c>
      <c r="F1629" t="s">
        <v>1353</v>
      </c>
      <c r="G1629" t="s">
        <v>1354</v>
      </c>
      <c r="H1629" s="315" t="s">
        <v>1000</v>
      </c>
      <c r="I1629" s="315" t="s">
        <v>1276</v>
      </c>
      <c r="J1629" s="315" t="str">
        <f t="shared" si="141"/>
        <v xml:space="preserve">Admin &amp; OtherStaff Remuneration &amp; Benefits as % of Total Gross </v>
      </c>
      <c r="K1629" s="315" t="str">
        <f t="shared" si="142"/>
        <v>430Staff Benefits (Superannuation, FBT, ACC) - Toyota</v>
      </c>
      <c r="L1629" s="311">
        <f>+SUMIF('TUNZ Extracted TB'!M:M,$P1629,'TUNZ Extracted TB'!G:G)</f>
        <v>0</v>
      </c>
      <c r="M1629" s="311"/>
      <c r="N1629" s="311">
        <f>+SUMIF('Input Sheet'!$AE:$AE,P1629,'Input Sheet'!$X:$X)</f>
        <v>0</v>
      </c>
      <c r="O1629" s="311"/>
      <c r="P1629" t="str">
        <f t="shared" si="143"/>
        <v>430-7290</v>
      </c>
      <c r="Q1629" s="315" t="str">
        <f t="shared" si="144"/>
        <v>Admin &amp; Other</v>
      </c>
      <c r="R1629" s="315" t="str">
        <f t="shared" si="145"/>
        <v xml:space="preserve">Admin &amp; OtherStaff Remuneration &amp; Benefits as % of Total Gross </v>
      </c>
      <c r="S1629" s="199"/>
      <c r="T1629" s="199"/>
      <c r="U1629" s="199"/>
    </row>
    <row r="1630" spans="1:21" x14ac:dyDescent="0.25">
      <c r="A1630" t="s">
        <v>996</v>
      </c>
      <c r="B1630" t="s">
        <v>997</v>
      </c>
      <c r="C1630" t="s">
        <v>1012</v>
      </c>
      <c r="D1630">
        <v>7290</v>
      </c>
      <c r="E1630">
        <v>440</v>
      </c>
      <c r="F1630" t="s">
        <v>1353</v>
      </c>
      <c r="G1630" t="s">
        <v>1354</v>
      </c>
      <c r="H1630" s="315" t="s">
        <v>1000</v>
      </c>
      <c r="I1630" s="315" t="s">
        <v>1276</v>
      </c>
      <c r="J1630" s="315" t="str">
        <f t="shared" si="141"/>
        <v xml:space="preserve">Admin &amp; OtherStaff Remuneration &amp; Benefits as % of Total Gross </v>
      </c>
      <c r="K1630" s="315" t="str">
        <f t="shared" si="142"/>
        <v>440Staff Benefits (Superannuation, FBT, ACC) - Toyota</v>
      </c>
      <c r="L1630" s="311">
        <f>+SUMIF('TUNZ Extracted TB'!M:M,$P1630,'TUNZ Extracted TB'!G:G)</f>
        <v>0</v>
      </c>
      <c r="M1630" s="311"/>
      <c r="N1630" s="311">
        <f>+SUMIF('Input Sheet'!$AE:$AE,P1630,'Input Sheet'!$X:$X)</f>
        <v>0</v>
      </c>
      <c r="O1630" s="311"/>
      <c r="P1630" t="str">
        <f t="shared" si="143"/>
        <v>440-7290</v>
      </c>
      <c r="Q1630" s="315" t="str">
        <f t="shared" si="144"/>
        <v>Admin &amp; Other</v>
      </c>
      <c r="R1630" s="315" t="str">
        <f t="shared" si="145"/>
        <v xml:space="preserve">Admin &amp; OtherStaff Remuneration &amp; Benefits as % of Total Gross </v>
      </c>
      <c r="S1630" s="199"/>
      <c r="T1630" s="199"/>
      <c r="U1630" s="199"/>
    </row>
    <row r="1631" spans="1:21" x14ac:dyDescent="0.25">
      <c r="A1631" t="s">
        <v>996</v>
      </c>
      <c r="B1631" t="s">
        <v>997</v>
      </c>
      <c r="C1631" t="s">
        <v>1012</v>
      </c>
      <c r="D1631">
        <v>7290</v>
      </c>
      <c r="E1631">
        <v>460</v>
      </c>
      <c r="F1631" t="s">
        <v>1353</v>
      </c>
      <c r="G1631" t="s">
        <v>1354</v>
      </c>
      <c r="H1631" s="315" t="s">
        <v>1000</v>
      </c>
      <c r="I1631" s="315" t="s">
        <v>1276</v>
      </c>
      <c r="J1631" s="315" t="str">
        <f t="shared" si="141"/>
        <v xml:space="preserve">Admin &amp; OtherStaff Remuneration &amp; Benefits as % of Total Gross </v>
      </c>
      <c r="K1631" s="315" t="str">
        <f t="shared" si="142"/>
        <v>460Staff Benefits (Superannuation, FBT, ACC) - Toyota</v>
      </c>
      <c r="L1631" s="311">
        <f>+SUMIF('TUNZ Extracted TB'!M:M,$P1631,'TUNZ Extracted TB'!G:G)</f>
        <v>0</v>
      </c>
      <c r="M1631" s="311"/>
      <c r="N1631" s="311">
        <f>+SUMIF('Input Sheet'!$AE:$AE,P1631,'Input Sheet'!$X:$X)</f>
        <v>0</v>
      </c>
      <c r="O1631" s="311"/>
      <c r="P1631" t="str">
        <f t="shared" si="143"/>
        <v>460-7290</v>
      </c>
      <c r="Q1631" s="315" t="str">
        <f t="shared" si="144"/>
        <v>Admin &amp; Other</v>
      </c>
      <c r="R1631" s="315" t="str">
        <f t="shared" si="145"/>
        <v xml:space="preserve">Admin &amp; OtherStaff Remuneration &amp; Benefits as % of Total Gross </v>
      </c>
      <c r="S1631" s="199"/>
      <c r="T1631" s="199"/>
      <c r="U1631" s="199"/>
    </row>
    <row r="1632" spans="1:21" x14ac:dyDescent="0.25">
      <c r="A1632" t="s">
        <v>996</v>
      </c>
      <c r="B1632" t="s">
        <v>997</v>
      </c>
      <c r="C1632" t="s">
        <v>1013</v>
      </c>
      <c r="D1632">
        <v>7290</v>
      </c>
      <c r="E1632">
        <v>300</v>
      </c>
      <c r="F1632" t="s">
        <v>1353</v>
      </c>
      <c r="G1632" t="s">
        <v>1354</v>
      </c>
      <c r="H1632" s="315" t="s">
        <v>1000</v>
      </c>
      <c r="I1632" s="315" t="s">
        <v>1276</v>
      </c>
      <c r="J1632" s="315" t="str">
        <f t="shared" si="141"/>
        <v xml:space="preserve">Admin &amp; OtherStaff Remuneration &amp; Benefits as % of Total Gross </v>
      </c>
      <c r="K1632" s="315" t="str">
        <f t="shared" si="142"/>
        <v>300Staff Benefits (Superannuation, FBT, ACC) - Toyota</v>
      </c>
      <c r="L1632" s="311">
        <f>+SUMIF('TUNZ Extracted TB'!M:M,$P1632,'TUNZ Extracted TB'!G:G)</f>
        <v>0</v>
      </c>
      <c r="M1632" s="311"/>
      <c r="N1632" s="311">
        <f>+SUMIF('Input Sheet'!$AE:$AE,P1632,'Input Sheet'!$X:$X)</f>
        <v>0</v>
      </c>
      <c r="O1632" s="311"/>
      <c r="P1632" t="str">
        <f t="shared" si="143"/>
        <v>300-7290</v>
      </c>
      <c r="Q1632" s="315" t="str">
        <f t="shared" si="144"/>
        <v>Admin &amp; Other</v>
      </c>
      <c r="R1632" s="315" t="str">
        <f t="shared" si="145"/>
        <v xml:space="preserve">Admin &amp; OtherStaff Remuneration &amp; Benefits as % of Total Gross </v>
      </c>
      <c r="S1632" s="199"/>
      <c r="T1632" s="199"/>
      <c r="U1632" s="199"/>
    </row>
    <row r="1633" spans="1:21" x14ac:dyDescent="0.25">
      <c r="A1633" t="s">
        <v>996</v>
      </c>
      <c r="B1633" t="s">
        <v>997</v>
      </c>
      <c r="C1633" t="s">
        <v>1013</v>
      </c>
      <c r="D1633">
        <v>7290</v>
      </c>
      <c r="E1633">
        <v>310</v>
      </c>
      <c r="F1633" t="s">
        <v>1353</v>
      </c>
      <c r="G1633" t="s">
        <v>1354</v>
      </c>
      <c r="H1633" s="315" t="s">
        <v>1000</v>
      </c>
      <c r="I1633" s="315" t="s">
        <v>1276</v>
      </c>
      <c r="J1633" s="315" t="str">
        <f t="shared" si="141"/>
        <v xml:space="preserve">Admin &amp; OtherStaff Remuneration &amp; Benefits as % of Total Gross </v>
      </c>
      <c r="K1633" s="315" t="str">
        <f t="shared" si="142"/>
        <v>310Staff Benefits (Superannuation, FBT, ACC) - Toyota</v>
      </c>
      <c r="L1633" s="311">
        <f>+SUMIF('TUNZ Extracted TB'!M:M,$P1633,'TUNZ Extracted TB'!G:G)</f>
        <v>0</v>
      </c>
      <c r="M1633" s="311"/>
      <c r="N1633" s="311">
        <f>+SUMIF('Input Sheet'!$AE:$AE,P1633,'Input Sheet'!$X:$X)</f>
        <v>0</v>
      </c>
      <c r="O1633" s="311"/>
      <c r="P1633" t="str">
        <f t="shared" si="143"/>
        <v>310-7290</v>
      </c>
      <c r="Q1633" s="315" t="str">
        <f t="shared" si="144"/>
        <v>Admin &amp; Other</v>
      </c>
      <c r="R1633" s="315" t="str">
        <f t="shared" si="145"/>
        <v xml:space="preserve">Admin &amp; OtherStaff Remuneration &amp; Benefits as % of Total Gross </v>
      </c>
      <c r="S1633" s="199"/>
      <c r="T1633" s="199"/>
      <c r="U1633" s="199"/>
    </row>
    <row r="1634" spans="1:21" x14ac:dyDescent="0.25">
      <c r="A1634" t="s">
        <v>996</v>
      </c>
      <c r="B1634" t="s">
        <v>997</v>
      </c>
      <c r="C1634" t="s">
        <v>1013</v>
      </c>
      <c r="D1634">
        <v>7290</v>
      </c>
      <c r="E1634">
        <v>321</v>
      </c>
      <c r="F1634" t="s">
        <v>1353</v>
      </c>
      <c r="G1634" t="s">
        <v>1354</v>
      </c>
      <c r="H1634" s="315" t="s">
        <v>1000</v>
      </c>
      <c r="I1634" s="315" t="s">
        <v>1276</v>
      </c>
      <c r="J1634" s="315" t="str">
        <f t="shared" si="141"/>
        <v xml:space="preserve">Admin &amp; OtherStaff Remuneration &amp; Benefits as % of Total Gross </v>
      </c>
      <c r="K1634" s="315" t="str">
        <f t="shared" si="142"/>
        <v>321Staff Benefits (Superannuation, FBT, ACC) - Toyota</v>
      </c>
      <c r="L1634" s="311">
        <f>+SUMIF('TUNZ Extracted TB'!M:M,$P1634,'TUNZ Extracted TB'!G:G)</f>
        <v>0</v>
      </c>
      <c r="M1634" s="311"/>
      <c r="N1634" s="311">
        <f>+SUMIF('Input Sheet'!$AE:$AE,P1634,'Input Sheet'!$X:$X)</f>
        <v>0</v>
      </c>
      <c r="O1634" s="311"/>
      <c r="P1634" t="str">
        <f t="shared" si="143"/>
        <v>321-7290</v>
      </c>
      <c r="Q1634" s="315" t="str">
        <f t="shared" si="144"/>
        <v>Admin &amp; Other</v>
      </c>
      <c r="R1634" s="315" t="str">
        <f t="shared" si="145"/>
        <v xml:space="preserve">Admin &amp; OtherStaff Remuneration &amp; Benefits as % of Total Gross </v>
      </c>
      <c r="S1634" s="199"/>
      <c r="T1634" s="199"/>
      <c r="U1634" s="199"/>
    </row>
    <row r="1635" spans="1:21" x14ac:dyDescent="0.25">
      <c r="A1635" t="s">
        <v>996</v>
      </c>
      <c r="B1635" t="s">
        <v>997</v>
      </c>
      <c r="C1635" t="s">
        <v>1013</v>
      </c>
      <c r="D1635">
        <v>7290</v>
      </c>
      <c r="E1635">
        <v>330</v>
      </c>
      <c r="F1635" t="s">
        <v>1353</v>
      </c>
      <c r="G1635" t="s">
        <v>1354</v>
      </c>
      <c r="H1635" s="315" t="s">
        <v>1000</v>
      </c>
      <c r="I1635" s="315" t="s">
        <v>1276</v>
      </c>
      <c r="J1635" s="315" t="str">
        <f t="shared" si="141"/>
        <v xml:space="preserve">Admin &amp; OtherStaff Remuneration &amp; Benefits as % of Total Gross </v>
      </c>
      <c r="K1635" s="315" t="str">
        <f t="shared" si="142"/>
        <v>330Staff Benefits (Superannuation, FBT, ACC) - Toyota</v>
      </c>
      <c r="L1635" s="311">
        <f>+SUMIF('TUNZ Extracted TB'!M:M,$P1635,'TUNZ Extracted TB'!G:G)</f>
        <v>0</v>
      </c>
      <c r="M1635" s="311"/>
      <c r="N1635" s="311">
        <f>+SUMIF('Input Sheet'!$AE:$AE,P1635,'Input Sheet'!$X:$X)</f>
        <v>0</v>
      </c>
      <c r="O1635" s="311"/>
      <c r="P1635" t="str">
        <f t="shared" si="143"/>
        <v>330-7290</v>
      </c>
      <c r="Q1635" s="315" t="str">
        <f t="shared" si="144"/>
        <v>Admin &amp; Other</v>
      </c>
      <c r="R1635" s="315" t="str">
        <f t="shared" si="145"/>
        <v xml:space="preserve">Admin &amp; OtherStaff Remuneration &amp; Benefits as % of Total Gross </v>
      </c>
      <c r="S1635" s="199"/>
      <c r="T1635" s="199"/>
      <c r="U1635" s="199"/>
    </row>
    <row r="1636" spans="1:21" x14ac:dyDescent="0.25">
      <c r="A1636" t="s">
        <v>996</v>
      </c>
      <c r="B1636" t="s">
        <v>997</v>
      </c>
      <c r="C1636" t="s">
        <v>1013</v>
      </c>
      <c r="D1636">
        <v>7290</v>
      </c>
      <c r="E1636">
        <v>360</v>
      </c>
      <c r="F1636" t="s">
        <v>1353</v>
      </c>
      <c r="G1636" t="s">
        <v>1354</v>
      </c>
      <c r="H1636" s="315" t="s">
        <v>1000</v>
      </c>
      <c r="I1636" s="315" t="s">
        <v>1276</v>
      </c>
      <c r="J1636" s="315" t="str">
        <f t="shared" si="141"/>
        <v xml:space="preserve">Admin &amp; OtherStaff Remuneration &amp; Benefits as % of Total Gross </v>
      </c>
      <c r="K1636" s="315" t="str">
        <f t="shared" si="142"/>
        <v>360Staff Benefits (Superannuation, FBT, ACC) - Toyota</v>
      </c>
      <c r="L1636" s="311">
        <f>+SUMIF('TUNZ Extracted TB'!M:M,$P1636,'TUNZ Extracted TB'!G:G)</f>
        <v>0</v>
      </c>
      <c r="M1636" s="311"/>
      <c r="N1636" s="311">
        <f>+SUMIF('Input Sheet'!$AE:$AE,P1636,'Input Sheet'!$X:$X)</f>
        <v>0</v>
      </c>
      <c r="O1636" s="311"/>
      <c r="P1636" t="str">
        <f t="shared" si="143"/>
        <v>360-7290</v>
      </c>
      <c r="Q1636" s="315" t="str">
        <f t="shared" si="144"/>
        <v>Admin &amp; Other</v>
      </c>
      <c r="R1636" s="315" t="str">
        <f t="shared" si="145"/>
        <v xml:space="preserve">Admin &amp; OtherStaff Remuneration &amp; Benefits as % of Total Gross </v>
      </c>
      <c r="S1636" s="199"/>
      <c r="T1636" s="199"/>
      <c r="U1636" s="199"/>
    </row>
    <row r="1637" spans="1:21" x14ac:dyDescent="0.25">
      <c r="A1637" t="s">
        <v>996</v>
      </c>
      <c r="B1637" t="s">
        <v>997</v>
      </c>
      <c r="C1637" t="s">
        <v>997</v>
      </c>
      <c r="D1637">
        <v>7290</v>
      </c>
      <c r="E1637">
        <v>120</v>
      </c>
      <c r="F1637" t="s">
        <v>1353</v>
      </c>
      <c r="G1637" t="s">
        <v>1354</v>
      </c>
      <c r="H1637" s="315" t="s">
        <v>1000</v>
      </c>
      <c r="I1637" s="315" t="s">
        <v>1276</v>
      </c>
      <c r="J1637" s="315" t="str">
        <f t="shared" si="141"/>
        <v xml:space="preserve">Admin &amp; OtherStaff Remuneration &amp; Benefits as % of Total Gross </v>
      </c>
      <c r="K1637" s="315" t="str">
        <f t="shared" si="142"/>
        <v>120Staff Benefits (Superannuation, FBT, ACC) - Toyota</v>
      </c>
      <c r="L1637" s="311">
        <f>+SUMIF('TUNZ Extracted TB'!M:M,$P1637,'TUNZ Extracted TB'!G:G)</f>
        <v>0</v>
      </c>
      <c r="M1637" s="311"/>
      <c r="N1637" s="311">
        <f>+SUMIF('Input Sheet'!$AE:$AE,P1637,'Input Sheet'!$X:$X)</f>
        <v>0</v>
      </c>
      <c r="O1637" s="311"/>
      <c r="P1637" t="str">
        <f t="shared" si="143"/>
        <v>120-7290</v>
      </c>
      <c r="Q1637" s="315" t="str">
        <f t="shared" si="144"/>
        <v>Admin &amp; Other</v>
      </c>
      <c r="R1637" s="315" t="str">
        <f t="shared" si="145"/>
        <v xml:space="preserve">Admin &amp; OtherStaff Remuneration &amp; Benefits as % of Total Gross </v>
      </c>
      <c r="S1637" s="199"/>
      <c r="T1637" s="199"/>
      <c r="U1637" s="199"/>
    </row>
    <row r="1638" spans="1:21" x14ac:dyDescent="0.25">
      <c r="A1638" t="s">
        <v>996</v>
      </c>
      <c r="B1638" t="s">
        <v>997</v>
      </c>
      <c r="C1638" t="s">
        <v>997</v>
      </c>
      <c r="D1638">
        <v>7290</v>
      </c>
      <c r="E1638">
        <v>121</v>
      </c>
      <c r="F1638" t="s">
        <v>1353</v>
      </c>
      <c r="G1638" t="s">
        <v>1354</v>
      </c>
      <c r="H1638" s="315" t="s">
        <v>1000</v>
      </c>
      <c r="I1638" s="315" t="s">
        <v>1276</v>
      </c>
      <c r="J1638" s="315" t="str">
        <f t="shared" si="141"/>
        <v xml:space="preserve">Admin &amp; OtherStaff Remuneration &amp; Benefits as % of Total Gross </v>
      </c>
      <c r="K1638" s="315" t="str">
        <f t="shared" si="142"/>
        <v>121Staff Benefits (Superannuation, FBT, ACC) - Toyota</v>
      </c>
      <c r="L1638" s="311">
        <f>+SUMIF('TUNZ Extracted TB'!M:M,$P1638,'TUNZ Extracted TB'!G:G)</f>
        <v>0</v>
      </c>
      <c r="M1638" s="311"/>
      <c r="N1638" s="311">
        <f>+SUMIF('Input Sheet'!$AE:$AE,P1638,'Input Sheet'!$X:$X)</f>
        <v>0</v>
      </c>
      <c r="O1638" s="311"/>
      <c r="P1638" t="str">
        <f t="shared" si="143"/>
        <v>121-7290</v>
      </c>
      <c r="Q1638" s="315" t="str">
        <f t="shared" si="144"/>
        <v>Admin &amp; Other</v>
      </c>
      <c r="R1638" s="315" t="str">
        <f t="shared" si="145"/>
        <v xml:space="preserve">Admin &amp; OtherStaff Remuneration &amp; Benefits as % of Total Gross </v>
      </c>
      <c r="S1638" s="199"/>
      <c r="T1638" s="199"/>
      <c r="U1638" s="199"/>
    </row>
    <row r="1639" spans="1:21" x14ac:dyDescent="0.25">
      <c r="A1639" t="s">
        <v>996</v>
      </c>
      <c r="B1639" t="s">
        <v>997</v>
      </c>
      <c r="C1639" t="s">
        <v>997</v>
      </c>
      <c r="D1639">
        <v>7290</v>
      </c>
      <c r="E1639">
        <v>147</v>
      </c>
      <c r="F1639" t="s">
        <v>1353</v>
      </c>
      <c r="G1639" t="s">
        <v>1354</v>
      </c>
      <c r="H1639" s="315" t="s">
        <v>1000</v>
      </c>
      <c r="I1639" s="315" t="s">
        <v>1276</v>
      </c>
      <c r="J1639" s="315" t="str">
        <f t="shared" si="141"/>
        <v xml:space="preserve">Admin &amp; OtherStaff Remuneration &amp; Benefits as % of Total Gross </v>
      </c>
      <c r="K1639" s="315" t="str">
        <f t="shared" si="142"/>
        <v>147Staff Benefits (Superannuation, FBT, ACC) - Toyota</v>
      </c>
      <c r="L1639" s="311">
        <f>+SUMIF('TUNZ Extracted TB'!M:M,$P1639,'TUNZ Extracted TB'!G:G)</f>
        <v>0</v>
      </c>
      <c r="M1639" s="311"/>
      <c r="N1639" s="311">
        <f>+SUMIF('Input Sheet'!$AE:$AE,P1639,'Input Sheet'!$X:$X)</f>
        <v>0</v>
      </c>
      <c r="O1639" s="311"/>
      <c r="P1639" t="str">
        <f t="shared" si="143"/>
        <v>147-7290</v>
      </c>
      <c r="Q1639" s="315" t="str">
        <f t="shared" si="144"/>
        <v>Admin &amp; Other</v>
      </c>
      <c r="R1639" s="315" t="str">
        <f t="shared" si="145"/>
        <v xml:space="preserve">Admin &amp; OtherStaff Remuneration &amp; Benefits as % of Total Gross </v>
      </c>
      <c r="S1639" s="199"/>
      <c r="T1639" s="199"/>
      <c r="U1639" s="199"/>
    </row>
    <row r="1640" spans="1:21" x14ac:dyDescent="0.25">
      <c r="A1640" t="s">
        <v>996</v>
      </c>
      <c r="B1640" t="s">
        <v>997</v>
      </c>
      <c r="C1640" t="s">
        <v>997</v>
      </c>
      <c r="D1640">
        <v>7290</v>
      </c>
      <c r="E1640">
        <v>160</v>
      </c>
      <c r="F1640" t="s">
        <v>1353</v>
      </c>
      <c r="G1640" t="s">
        <v>1354</v>
      </c>
      <c r="H1640" s="315" t="s">
        <v>1000</v>
      </c>
      <c r="I1640" s="315" t="s">
        <v>1276</v>
      </c>
      <c r="J1640" s="315" t="str">
        <f t="shared" si="141"/>
        <v xml:space="preserve">Admin &amp; OtherStaff Remuneration &amp; Benefits as % of Total Gross </v>
      </c>
      <c r="K1640" s="315" t="str">
        <f t="shared" si="142"/>
        <v>160Staff Benefits (Superannuation, FBT, ACC) - Toyota</v>
      </c>
      <c r="L1640" s="311">
        <f>+SUMIF('TUNZ Extracted TB'!M:M,$P1640,'TUNZ Extracted TB'!G:G)</f>
        <v>0</v>
      </c>
      <c r="M1640" s="311"/>
      <c r="N1640" s="311">
        <f>+SUMIF('Input Sheet'!$AE:$AE,P1640,'Input Sheet'!$X:$X)</f>
        <v>0</v>
      </c>
      <c r="O1640" s="311"/>
      <c r="P1640" t="str">
        <f t="shared" si="143"/>
        <v>160-7290</v>
      </c>
      <c r="Q1640" s="315" t="str">
        <f t="shared" si="144"/>
        <v>Admin &amp; Other</v>
      </c>
      <c r="R1640" s="315" t="str">
        <f t="shared" si="145"/>
        <v xml:space="preserve">Admin &amp; OtherStaff Remuneration &amp; Benefits as % of Total Gross </v>
      </c>
      <c r="S1640" s="199"/>
      <c r="T1640" s="199"/>
      <c r="U1640" s="199"/>
    </row>
    <row r="1641" spans="1:21" x14ac:dyDescent="0.25">
      <c r="A1641" t="s">
        <v>996</v>
      </c>
      <c r="B1641" t="s">
        <v>997</v>
      </c>
      <c r="C1641" t="s">
        <v>1005</v>
      </c>
      <c r="D1641">
        <v>7295</v>
      </c>
      <c r="E1641">
        <v>240</v>
      </c>
      <c r="F1641" t="s">
        <v>1353</v>
      </c>
      <c r="G1641" t="s">
        <v>1354</v>
      </c>
      <c r="H1641" s="315" t="s">
        <v>1000</v>
      </c>
      <c r="I1641" s="315" t="s">
        <v>1276</v>
      </c>
      <c r="J1641" s="315" t="str">
        <f t="shared" si="141"/>
        <v xml:space="preserve">Admin &amp; OtherStaff Remuneration &amp; Benefits as % of Total Gross </v>
      </c>
      <c r="K1641" s="315" t="str">
        <f t="shared" si="142"/>
        <v>240Staff Benefits (Superannuation, FBT, ACC) - Toyota</v>
      </c>
      <c r="L1641" s="311">
        <f>+SUMIF('TUNZ Extracted TB'!M:M,$P1641,'TUNZ Extracted TB'!G:G)</f>
        <v>1162.1300000000001</v>
      </c>
      <c r="M1641" s="311"/>
      <c r="N1641" s="311">
        <f>+SUMIF('Input Sheet'!$AE:$AE,P1641,'Input Sheet'!$X:$X)</f>
        <v>0</v>
      </c>
      <c r="O1641" s="311"/>
      <c r="P1641" t="str">
        <f t="shared" si="143"/>
        <v>240-7295</v>
      </c>
      <c r="Q1641" s="315" t="str">
        <f t="shared" si="144"/>
        <v>Admin &amp; Other</v>
      </c>
      <c r="R1641" s="315" t="str">
        <f t="shared" si="145"/>
        <v xml:space="preserve">Admin &amp; OtherStaff Remuneration &amp; Benefits as % of Total Gross </v>
      </c>
      <c r="S1641" s="199"/>
      <c r="T1641" s="199"/>
      <c r="U1641" s="199"/>
    </row>
    <row r="1642" spans="1:21" x14ac:dyDescent="0.25">
      <c r="A1642" t="s">
        <v>996</v>
      </c>
      <c r="B1642" t="s">
        <v>997</v>
      </c>
      <c r="C1642" t="s">
        <v>1005</v>
      </c>
      <c r="D1642">
        <v>7295</v>
      </c>
      <c r="E1642">
        <v>220</v>
      </c>
      <c r="F1642" t="s">
        <v>1353</v>
      </c>
      <c r="G1642" t="s">
        <v>1354</v>
      </c>
      <c r="H1642" s="315" t="s">
        <v>1000</v>
      </c>
      <c r="I1642" s="315" t="s">
        <v>1276</v>
      </c>
      <c r="J1642" s="315" t="str">
        <f t="shared" si="141"/>
        <v xml:space="preserve">Admin &amp; OtherStaff Remuneration &amp; Benefits as % of Total Gross </v>
      </c>
      <c r="K1642" s="315" t="str">
        <f t="shared" si="142"/>
        <v>220Staff Benefits (Superannuation, FBT, ACC) - Toyota</v>
      </c>
      <c r="L1642" s="311">
        <f>+SUMIF('TUNZ Extracted TB'!M:M,$P1642,'TUNZ Extracted TB'!G:G)</f>
        <v>1062.44</v>
      </c>
      <c r="M1642" s="311"/>
      <c r="N1642" s="311">
        <f>+SUMIF('Input Sheet'!$AE:$AE,P1642,'Input Sheet'!$X:$X)</f>
        <v>0</v>
      </c>
      <c r="O1642" s="311"/>
      <c r="P1642" t="str">
        <f t="shared" si="143"/>
        <v>220-7295</v>
      </c>
      <c r="Q1642" s="315" t="str">
        <f t="shared" si="144"/>
        <v>Admin &amp; Other</v>
      </c>
      <c r="R1642" s="315" t="str">
        <f t="shared" si="145"/>
        <v xml:space="preserve">Admin &amp; OtherStaff Remuneration &amp; Benefits as % of Total Gross </v>
      </c>
      <c r="S1642" s="199"/>
      <c r="T1642" s="199"/>
      <c r="U1642" s="199"/>
    </row>
    <row r="1643" spans="1:21" x14ac:dyDescent="0.25">
      <c r="A1643" t="s">
        <v>996</v>
      </c>
      <c r="B1643" t="s">
        <v>997</v>
      </c>
      <c r="C1643" t="s">
        <v>997</v>
      </c>
      <c r="D1643">
        <v>7295</v>
      </c>
      <c r="E1643">
        <v>935</v>
      </c>
      <c r="F1643" t="s">
        <v>1175</v>
      </c>
      <c r="G1643" t="s">
        <v>1176</v>
      </c>
      <c r="H1643" s="315" t="s">
        <v>1023</v>
      </c>
      <c r="I1643" s="315" t="s">
        <v>1276</v>
      </c>
      <c r="J1643" s="315" t="str">
        <f t="shared" si="141"/>
        <v xml:space="preserve">LEX Admin &amp; OtherStaff Remuneration &amp; Benefits as % of Total Gross </v>
      </c>
      <c r="K1643" s="315" t="str">
        <f t="shared" si="142"/>
        <v>935Other franchise/business expense</v>
      </c>
      <c r="L1643" s="311">
        <f>+SUMIF('TUNZ Extracted TB'!M:M,$P1643,'TUNZ Extracted TB'!G:G)</f>
        <v>999.79</v>
      </c>
      <c r="M1643" s="311"/>
      <c r="N1643" s="311">
        <f>+SUMIF('Input Sheet'!$AE:$AE,P1643,'Input Sheet'!$X:$X)</f>
        <v>0</v>
      </c>
      <c r="O1643" s="311"/>
      <c r="P1643" t="str">
        <f t="shared" si="143"/>
        <v>935-7295</v>
      </c>
      <c r="Q1643" s="315" t="str">
        <f t="shared" si="144"/>
        <v>LEX Admin &amp; Other</v>
      </c>
      <c r="R1643" s="315" t="str">
        <f t="shared" si="145"/>
        <v xml:space="preserve">LEX Admin &amp; OtherStaff Remuneration &amp; Benefits as % of Total Gross </v>
      </c>
      <c r="S1643" s="199"/>
      <c r="T1643" s="199"/>
      <c r="U1643" s="199"/>
    </row>
    <row r="1644" spans="1:21" x14ac:dyDescent="0.25">
      <c r="A1644" t="s">
        <v>996</v>
      </c>
      <c r="B1644" t="s">
        <v>997</v>
      </c>
      <c r="C1644" t="s">
        <v>997</v>
      </c>
      <c r="D1644">
        <v>7295</v>
      </c>
      <c r="E1644">
        <v>121</v>
      </c>
      <c r="F1644" t="s">
        <v>1353</v>
      </c>
      <c r="G1644" t="s">
        <v>1354</v>
      </c>
      <c r="H1644" s="315" t="s">
        <v>1000</v>
      </c>
      <c r="I1644" s="315" t="s">
        <v>1276</v>
      </c>
      <c r="J1644" s="315" t="str">
        <f t="shared" si="141"/>
        <v xml:space="preserve">Admin &amp; OtherStaff Remuneration &amp; Benefits as % of Total Gross </v>
      </c>
      <c r="K1644" s="315" t="str">
        <f t="shared" si="142"/>
        <v>121Staff Benefits (Superannuation, FBT, ACC) - Toyota</v>
      </c>
      <c r="L1644" s="311">
        <f>+SUMIF('TUNZ Extracted TB'!M:M,$P1644,'TUNZ Extracted TB'!G:G)</f>
        <v>828.19</v>
      </c>
      <c r="M1644" s="311"/>
      <c r="N1644" s="311">
        <f>+SUMIF('Input Sheet'!$AE:$AE,P1644,'Input Sheet'!$X:$X)</f>
        <v>0</v>
      </c>
      <c r="O1644" s="311"/>
      <c r="P1644" t="str">
        <f t="shared" si="143"/>
        <v>121-7295</v>
      </c>
      <c r="Q1644" s="315" t="str">
        <f t="shared" si="144"/>
        <v>Admin &amp; Other</v>
      </c>
      <c r="R1644" s="315" t="str">
        <f t="shared" si="145"/>
        <v xml:space="preserve">Admin &amp; OtherStaff Remuneration &amp; Benefits as % of Total Gross </v>
      </c>
      <c r="S1644" s="199"/>
      <c r="T1644" s="199"/>
      <c r="U1644" s="199"/>
    </row>
    <row r="1645" spans="1:21" x14ac:dyDescent="0.25">
      <c r="A1645" t="s">
        <v>996</v>
      </c>
      <c r="B1645" t="s">
        <v>997</v>
      </c>
      <c r="C1645" t="s">
        <v>1005</v>
      </c>
      <c r="D1645">
        <v>7295</v>
      </c>
      <c r="E1645">
        <v>210</v>
      </c>
      <c r="F1645" t="s">
        <v>1353</v>
      </c>
      <c r="G1645" t="s">
        <v>1354</v>
      </c>
      <c r="H1645" s="315" t="s">
        <v>1000</v>
      </c>
      <c r="I1645" s="315" t="s">
        <v>1276</v>
      </c>
      <c r="J1645" s="315" t="str">
        <f t="shared" si="141"/>
        <v xml:space="preserve">Admin &amp; OtherStaff Remuneration &amp; Benefits as % of Total Gross </v>
      </c>
      <c r="K1645" s="315" t="str">
        <f t="shared" si="142"/>
        <v>210Staff Benefits (Superannuation, FBT, ACC) - Toyota</v>
      </c>
      <c r="L1645" s="311">
        <f>+SUMIF('TUNZ Extracted TB'!M:M,$P1645,'TUNZ Extracted TB'!G:G)</f>
        <v>677.06</v>
      </c>
      <c r="M1645" s="311"/>
      <c r="N1645" s="311">
        <f>+SUMIF('Input Sheet'!$AE:$AE,P1645,'Input Sheet'!$X:$X)</f>
        <v>0</v>
      </c>
      <c r="O1645" s="311"/>
      <c r="P1645" t="str">
        <f t="shared" si="143"/>
        <v>210-7295</v>
      </c>
      <c r="Q1645" s="315" t="str">
        <f t="shared" si="144"/>
        <v>Admin &amp; Other</v>
      </c>
      <c r="R1645" s="315" t="str">
        <f t="shared" si="145"/>
        <v xml:space="preserve">Admin &amp; OtherStaff Remuneration &amp; Benefits as % of Total Gross </v>
      </c>
      <c r="S1645" s="199"/>
      <c r="T1645" s="199"/>
      <c r="U1645" s="199"/>
    </row>
    <row r="1646" spans="1:21" x14ac:dyDescent="0.25">
      <c r="A1646" t="s">
        <v>996</v>
      </c>
      <c r="B1646" t="s">
        <v>997</v>
      </c>
      <c r="C1646" t="s">
        <v>997</v>
      </c>
      <c r="D1646">
        <v>7295</v>
      </c>
      <c r="E1646">
        <v>120</v>
      </c>
      <c r="F1646" t="s">
        <v>1353</v>
      </c>
      <c r="G1646" t="s">
        <v>1354</v>
      </c>
      <c r="H1646" s="315" t="s">
        <v>1000</v>
      </c>
      <c r="I1646" s="315" t="s">
        <v>1276</v>
      </c>
      <c r="J1646" s="315" t="str">
        <f t="shared" si="141"/>
        <v xml:space="preserve">Admin &amp; OtherStaff Remuneration &amp; Benefits as % of Total Gross </v>
      </c>
      <c r="K1646" s="315" t="str">
        <f t="shared" si="142"/>
        <v>120Staff Benefits (Superannuation, FBT, ACC) - Toyota</v>
      </c>
      <c r="L1646" s="311">
        <f>+SUMIF('TUNZ Extracted TB'!M:M,$P1646,'TUNZ Extracted TB'!G:G)</f>
        <v>664.39</v>
      </c>
      <c r="M1646" s="311"/>
      <c r="N1646" s="311">
        <f>+SUMIF('Input Sheet'!$AE:$AE,P1646,'Input Sheet'!$X:$X)</f>
        <v>0</v>
      </c>
      <c r="O1646" s="311"/>
      <c r="P1646" t="str">
        <f t="shared" si="143"/>
        <v>120-7295</v>
      </c>
      <c r="Q1646" s="315" t="str">
        <f t="shared" si="144"/>
        <v>Admin &amp; Other</v>
      </c>
      <c r="R1646" s="315" t="str">
        <f t="shared" si="145"/>
        <v xml:space="preserve">Admin &amp; OtherStaff Remuneration &amp; Benefits as % of Total Gross </v>
      </c>
      <c r="S1646" s="199"/>
      <c r="T1646" s="199"/>
      <c r="U1646" s="199"/>
    </row>
    <row r="1647" spans="1:21" x14ac:dyDescent="0.25">
      <c r="A1647" t="s">
        <v>996</v>
      </c>
      <c r="B1647" t="s">
        <v>997</v>
      </c>
      <c r="C1647" t="s">
        <v>997</v>
      </c>
      <c r="D1647">
        <v>7295</v>
      </c>
      <c r="E1647">
        <v>160</v>
      </c>
      <c r="F1647" t="s">
        <v>1353</v>
      </c>
      <c r="G1647" t="s">
        <v>1354</v>
      </c>
      <c r="H1647" s="315" t="s">
        <v>1000</v>
      </c>
      <c r="I1647" s="315" t="s">
        <v>1276</v>
      </c>
      <c r="J1647" s="315" t="str">
        <f t="shared" si="141"/>
        <v xml:space="preserve">Admin &amp; OtherStaff Remuneration &amp; Benefits as % of Total Gross </v>
      </c>
      <c r="K1647" s="315" t="str">
        <f t="shared" si="142"/>
        <v>160Staff Benefits (Superannuation, FBT, ACC) - Toyota</v>
      </c>
      <c r="L1647" s="311">
        <f>+SUMIF('TUNZ Extracted TB'!M:M,$P1647,'TUNZ Extracted TB'!G:G)</f>
        <v>573.88</v>
      </c>
      <c r="M1647" s="311"/>
      <c r="N1647" s="311">
        <f>+SUMIF('Input Sheet'!$AE:$AE,P1647,'Input Sheet'!$X:$X)</f>
        <v>0</v>
      </c>
      <c r="O1647" s="311"/>
      <c r="P1647" t="str">
        <f t="shared" si="143"/>
        <v>160-7295</v>
      </c>
      <c r="Q1647" s="315" t="str">
        <f t="shared" si="144"/>
        <v>Admin &amp; Other</v>
      </c>
      <c r="R1647" s="315" t="str">
        <f t="shared" si="145"/>
        <v xml:space="preserve">Admin &amp; OtherStaff Remuneration &amp; Benefits as % of Total Gross </v>
      </c>
      <c r="S1647" s="199"/>
      <c r="T1647" s="199"/>
      <c r="U1647" s="199"/>
    </row>
    <row r="1648" spans="1:21" x14ac:dyDescent="0.25">
      <c r="A1648" t="s">
        <v>996</v>
      </c>
      <c r="B1648" t="s">
        <v>997</v>
      </c>
      <c r="C1648" t="s">
        <v>1013</v>
      </c>
      <c r="D1648">
        <v>7295</v>
      </c>
      <c r="E1648">
        <v>340</v>
      </c>
      <c r="F1648" t="s">
        <v>1353</v>
      </c>
      <c r="G1648" t="s">
        <v>1354</v>
      </c>
      <c r="H1648" s="315" t="s">
        <v>1000</v>
      </c>
      <c r="I1648" s="315" t="s">
        <v>1276</v>
      </c>
      <c r="J1648" s="315" t="str">
        <f t="shared" si="141"/>
        <v xml:space="preserve">Admin &amp; OtherStaff Remuneration &amp; Benefits as % of Total Gross </v>
      </c>
      <c r="K1648" s="315" t="str">
        <f t="shared" si="142"/>
        <v>340Staff Benefits (Superannuation, FBT, ACC) - Toyota</v>
      </c>
      <c r="L1648" s="311">
        <f>+SUMIF('TUNZ Extracted TB'!M:M,$P1648,'TUNZ Extracted TB'!G:G)</f>
        <v>529.80999999999995</v>
      </c>
      <c r="M1648" s="311"/>
      <c r="N1648" s="311">
        <f>+SUMIF('Input Sheet'!$AE:$AE,P1648,'Input Sheet'!$X:$X)</f>
        <v>0</v>
      </c>
      <c r="O1648" s="311"/>
      <c r="P1648" t="str">
        <f t="shared" si="143"/>
        <v>340-7295</v>
      </c>
      <c r="Q1648" s="315" t="str">
        <f t="shared" si="144"/>
        <v>Admin &amp; Other</v>
      </c>
      <c r="R1648" s="315" t="str">
        <f t="shared" si="145"/>
        <v xml:space="preserve">Admin &amp; OtherStaff Remuneration &amp; Benefits as % of Total Gross </v>
      </c>
      <c r="S1648" s="199"/>
      <c r="T1648" s="199"/>
      <c r="U1648" s="199"/>
    </row>
    <row r="1649" spans="1:21" x14ac:dyDescent="0.25">
      <c r="A1649" t="s">
        <v>996</v>
      </c>
      <c r="B1649" t="s">
        <v>997</v>
      </c>
      <c r="C1649" t="s">
        <v>1005</v>
      </c>
      <c r="D1649">
        <v>7295</v>
      </c>
      <c r="E1649">
        <v>260</v>
      </c>
      <c r="F1649" t="s">
        <v>1353</v>
      </c>
      <c r="G1649" t="s">
        <v>1354</v>
      </c>
      <c r="H1649" s="315" t="s">
        <v>1000</v>
      </c>
      <c r="I1649" s="315" t="s">
        <v>1276</v>
      </c>
      <c r="J1649" s="315" t="str">
        <f t="shared" si="141"/>
        <v xml:space="preserve">Admin &amp; OtherStaff Remuneration &amp; Benefits as % of Total Gross </v>
      </c>
      <c r="K1649" s="315" t="str">
        <f t="shared" si="142"/>
        <v>260Staff Benefits (Superannuation, FBT, ACC) - Toyota</v>
      </c>
      <c r="L1649" s="311">
        <f>+SUMIF('TUNZ Extracted TB'!M:M,$P1649,'TUNZ Extracted TB'!G:G)</f>
        <v>505.87</v>
      </c>
      <c r="M1649" s="311"/>
      <c r="N1649" s="311">
        <f>+SUMIF('Input Sheet'!$AE:$AE,P1649,'Input Sheet'!$X:$X)</f>
        <v>0</v>
      </c>
      <c r="O1649" s="311"/>
      <c r="P1649" t="str">
        <f t="shared" si="143"/>
        <v>260-7295</v>
      </c>
      <c r="Q1649" s="315" t="str">
        <f t="shared" si="144"/>
        <v>Admin &amp; Other</v>
      </c>
      <c r="R1649" s="315" t="str">
        <f t="shared" si="145"/>
        <v xml:space="preserve">Admin &amp; OtherStaff Remuneration &amp; Benefits as % of Total Gross </v>
      </c>
      <c r="S1649" s="199"/>
      <c r="T1649" s="199"/>
      <c r="U1649" s="199"/>
    </row>
    <row r="1650" spans="1:21" x14ac:dyDescent="0.25">
      <c r="A1650" t="s">
        <v>996</v>
      </c>
      <c r="B1650" t="s">
        <v>997</v>
      </c>
      <c r="C1650" t="s">
        <v>1005</v>
      </c>
      <c r="D1650">
        <v>7295</v>
      </c>
      <c r="E1650">
        <v>230</v>
      </c>
      <c r="F1650" t="s">
        <v>1353</v>
      </c>
      <c r="G1650" t="s">
        <v>1354</v>
      </c>
      <c r="H1650" s="315" t="s">
        <v>1000</v>
      </c>
      <c r="I1650" s="315" t="s">
        <v>1276</v>
      </c>
      <c r="J1650" s="315" t="str">
        <f t="shared" si="141"/>
        <v xml:space="preserve">Admin &amp; OtherStaff Remuneration &amp; Benefits as % of Total Gross </v>
      </c>
      <c r="K1650" s="315" t="str">
        <f t="shared" si="142"/>
        <v>230Staff Benefits (Superannuation, FBT, ACC) - Toyota</v>
      </c>
      <c r="L1650" s="311">
        <f>+SUMIF('TUNZ Extracted TB'!M:M,$P1650,'TUNZ Extracted TB'!G:G)</f>
        <v>112.17</v>
      </c>
      <c r="M1650" s="311"/>
      <c r="N1650" s="311">
        <f>+SUMIF('Input Sheet'!$AE:$AE,P1650,'Input Sheet'!$X:$X)</f>
        <v>0</v>
      </c>
      <c r="O1650" s="311"/>
      <c r="P1650" t="str">
        <f t="shared" si="143"/>
        <v>230-7295</v>
      </c>
      <c r="Q1650" s="315" t="str">
        <f t="shared" si="144"/>
        <v>Admin &amp; Other</v>
      </c>
      <c r="R1650" s="315" t="str">
        <f t="shared" si="145"/>
        <v xml:space="preserve">Admin &amp; OtherStaff Remuneration &amp; Benefits as % of Total Gross </v>
      </c>
      <c r="S1650" s="199"/>
      <c r="T1650" s="199"/>
      <c r="U1650" s="199"/>
    </row>
    <row r="1651" spans="1:21" x14ac:dyDescent="0.25">
      <c r="A1651" t="s">
        <v>996</v>
      </c>
      <c r="B1651" t="s">
        <v>997</v>
      </c>
      <c r="C1651" t="s">
        <v>1012</v>
      </c>
      <c r="D1651">
        <v>7295</v>
      </c>
      <c r="E1651">
        <v>440</v>
      </c>
      <c r="F1651" t="s">
        <v>1353</v>
      </c>
      <c r="G1651" t="s">
        <v>1354</v>
      </c>
      <c r="H1651" s="315" t="s">
        <v>1000</v>
      </c>
      <c r="I1651" s="315" t="s">
        <v>1276</v>
      </c>
      <c r="J1651" s="315" t="str">
        <f t="shared" si="141"/>
        <v xml:space="preserve">Admin &amp; OtherStaff Remuneration &amp; Benefits as % of Total Gross </v>
      </c>
      <c r="K1651" s="315" t="str">
        <f t="shared" si="142"/>
        <v>440Staff Benefits (Superannuation, FBT, ACC) - Toyota</v>
      </c>
      <c r="L1651" s="311">
        <f>+SUMIF('TUNZ Extracted TB'!M:M,$P1651,'TUNZ Extracted TB'!G:G)</f>
        <v>112.17</v>
      </c>
      <c r="M1651" s="311"/>
      <c r="N1651" s="311">
        <f>+SUMIF('Input Sheet'!$AE:$AE,P1651,'Input Sheet'!$X:$X)</f>
        <v>0</v>
      </c>
      <c r="O1651" s="311"/>
      <c r="P1651" t="str">
        <f t="shared" si="143"/>
        <v>440-7295</v>
      </c>
      <c r="Q1651" s="315" t="str">
        <f t="shared" si="144"/>
        <v>Admin &amp; Other</v>
      </c>
      <c r="R1651" s="315" t="str">
        <f t="shared" si="145"/>
        <v xml:space="preserve">Admin &amp; OtherStaff Remuneration &amp; Benefits as % of Total Gross </v>
      </c>
      <c r="S1651" s="199"/>
      <c r="T1651" s="199"/>
      <c r="U1651" s="199"/>
    </row>
    <row r="1652" spans="1:21" x14ac:dyDescent="0.25">
      <c r="A1652" s="316">
        <v>44866</v>
      </c>
      <c r="B1652" t="s">
        <v>997</v>
      </c>
      <c r="C1652" t="s">
        <v>997</v>
      </c>
      <c r="D1652">
        <v>7295</v>
      </c>
      <c r="E1652">
        <v>190</v>
      </c>
      <c r="G1652" t="s">
        <v>931</v>
      </c>
      <c r="H1652" s="315" t="s">
        <v>1000</v>
      </c>
      <c r="I1652" s="315" t="s">
        <v>1276</v>
      </c>
      <c r="J1652" s="315" t="str">
        <f t="shared" si="141"/>
        <v xml:space="preserve">Admin &amp; OtherStaff Remuneration &amp; Benefits as % of Total Gross </v>
      </c>
      <c r="K1652" s="315" t="str">
        <f t="shared" si="142"/>
        <v>190Fringe Benefits Tax</v>
      </c>
      <c r="L1652" s="311">
        <f>+SUMIF('TUNZ Extracted TB'!M:M,$P1652,'TUNZ Extracted TB'!G:G)</f>
        <v>0</v>
      </c>
      <c r="M1652" s="311"/>
      <c r="N1652" s="311">
        <f>+SUMIF('Input Sheet'!$AE:$AE,P1652,'Input Sheet'!$X:$X)</f>
        <v>0</v>
      </c>
      <c r="O1652" s="311"/>
      <c r="P1652" t="str">
        <f t="shared" si="143"/>
        <v>190-7295</v>
      </c>
      <c r="Q1652" s="315" t="str">
        <f t="shared" si="144"/>
        <v>Admin &amp; Other</v>
      </c>
      <c r="R1652" s="315" t="str">
        <f t="shared" si="145"/>
        <v xml:space="preserve">Admin &amp; OtherStaff Remuneration &amp; Benefits as % of Total Gross </v>
      </c>
      <c r="S1652" s="199"/>
      <c r="T1652" s="199"/>
      <c r="U1652" s="199"/>
    </row>
    <row r="1653" spans="1:21" x14ac:dyDescent="0.25">
      <c r="A1653" t="s">
        <v>996</v>
      </c>
      <c r="B1653" t="s">
        <v>997</v>
      </c>
      <c r="C1653" t="s">
        <v>997</v>
      </c>
      <c r="D1653">
        <v>7295</v>
      </c>
      <c r="E1653">
        <v>140</v>
      </c>
      <c r="F1653" t="s">
        <v>1353</v>
      </c>
      <c r="G1653" t="s">
        <v>1354</v>
      </c>
      <c r="H1653" s="315" t="s">
        <v>1000</v>
      </c>
      <c r="I1653" s="315" t="s">
        <v>1276</v>
      </c>
      <c r="J1653" s="315" t="str">
        <f t="shared" si="141"/>
        <v xml:space="preserve">Admin &amp; OtherStaff Remuneration &amp; Benefits as % of Total Gross </v>
      </c>
      <c r="K1653" s="315" t="str">
        <f t="shared" si="142"/>
        <v>140Staff Benefits (Superannuation, FBT, ACC) - Toyota</v>
      </c>
      <c r="L1653" s="311">
        <f>+SUMIF('TUNZ Extracted TB'!M:M,$P1653,'TUNZ Extracted TB'!G:G)</f>
        <v>1146.1500000000001</v>
      </c>
      <c r="M1653" s="311"/>
      <c r="N1653" s="311">
        <f>+SUMIF('Input Sheet'!$AE:$AE,P1653,'Input Sheet'!$X:$X)</f>
        <v>0</v>
      </c>
      <c r="O1653" s="311"/>
      <c r="P1653" t="str">
        <f t="shared" si="143"/>
        <v>140-7295</v>
      </c>
      <c r="Q1653" s="315" t="str">
        <f t="shared" si="144"/>
        <v>Admin &amp; Other</v>
      </c>
      <c r="R1653" s="315" t="str">
        <f t="shared" si="145"/>
        <v xml:space="preserve">Admin &amp; OtherStaff Remuneration &amp; Benefits as % of Total Gross </v>
      </c>
      <c r="S1653" s="199"/>
      <c r="T1653" s="199"/>
      <c r="U1653" s="199"/>
    </row>
    <row r="1654" spans="1:21" x14ac:dyDescent="0.25">
      <c r="A1654" t="s">
        <v>996</v>
      </c>
      <c r="B1654" t="s">
        <v>997</v>
      </c>
      <c r="C1654" t="s">
        <v>997</v>
      </c>
      <c r="D1654">
        <v>7295</v>
      </c>
      <c r="E1654">
        <v>142</v>
      </c>
      <c r="F1654" t="s">
        <v>1355</v>
      </c>
      <c r="G1654" t="s">
        <v>1356</v>
      </c>
      <c r="H1654" s="315" t="s">
        <v>1023</v>
      </c>
      <c r="I1654" s="315" t="s">
        <v>1276</v>
      </c>
      <c r="J1654" s="315" t="str">
        <f t="shared" si="141"/>
        <v xml:space="preserve">LEX Admin &amp; OtherStaff Remuneration &amp; Benefits as % of Total Gross </v>
      </c>
      <c r="K1654" s="315" t="str">
        <f t="shared" si="142"/>
        <v>142Staff Benefits (Superannuation, FBT, ACC) - Lexus</v>
      </c>
      <c r="L1654" s="311">
        <f>+SUMIF('TUNZ Extracted TB'!M:M,$P1654,'TUNZ Extracted TB'!G:G)</f>
        <v>0</v>
      </c>
      <c r="M1654" s="311"/>
      <c r="N1654" s="311">
        <f>+SUMIF('Input Sheet'!$AE:$AE,P1654,'Input Sheet'!$X:$X)</f>
        <v>0</v>
      </c>
      <c r="O1654" s="311"/>
      <c r="P1654" t="str">
        <f t="shared" si="143"/>
        <v>142-7295</v>
      </c>
      <c r="Q1654" s="315" t="str">
        <f t="shared" si="144"/>
        <v>LEX Admin &amp; Other</v>
      </c>
      <c r="R1654" s="315" t="str">
        <f t="shared" si="145"/>
        <v xml:space="preserve">LEX Admin &amp; OtherStaff Remuneration &amp; Benefits as % of Total Gross </v>
      </c>
      <c r="S1654" s="199"/>
      <c r="T1654" s="199"/>
      <c r="U1654" s="199"/>
    </row>
    <row r="1655" spans="1:21" x14ac:dyDescent="0.25">
      <c r="A1655" t="s">
        <v>996</v>
      </c>
      <c r="B1655" t="s">
        <v>997</v>
      </c>
      <c r="C1655" t="s">
        <v>997</v>
      </c>
      <c r="D1655">
        <v>7295</v>
      </c>
      <c r="E1655">
        <v>130</v>
      </c>
      <c r="F1655" t="s">
        <v>1353</v>
      </c>
      <c r="G1655" t="s">
        <v>1354</v>
      </c>
      <c r="H1655" s="315" t="s">
        <v>1000</v>
      </c>
      <c r="I1655" s="315" t="s">
        <v>1276</v>
      </c>
      <c r="J1655" s="315" t="str">
        <f t="shared" si="141"/>
        <v xml:space="preserve">Admin &amp; OtherStaff Remuneration &amp; Benefits as % of Total Gross </v>
      </c>
      <c r="K1655" s="315" t="str">
        <f t="shared" si="142"/>
        <v>130Staff Benefits (Superannuation, FBT, ACC) - Toyota</v>
      </c>
      <c r="L1655" s="311">
        <f>+SUMIF('TUNZ Extracted TB'!M:M,$P1655,'TUNZ Extracted TB'!G:G)</f>
        <v>224.35</v>
      </c>
      <c r="M1655" s="311"/>
      <c r="N1655" s="311">
        <f>+SUMIF('Input Sheet'!$AE:$AE,P1655,'Input Sheet'!$X:$X)</f>
        <v>0</v>
      </c>
      <c r="O1655" s="311"/>
      <c r="P1655" t="str">
        <f t="shared" si="143"/>
        <v>130-7295</v>
      </c>
      <c r="Q1655" s="315" t="str">
        <f t="shared" si="144"/>
        <v>Admin &amp; Other</v>
      </c>
      <c r="R1655" s="315" t="str">
        <f t="shared" si="145"/>
        <v xml:space="preserve">Admin &amp; OtherStaff Remuneration &amp; Benefits as % of Total Gross </v>
      </c>
      <c r="S1655" s="199"/>
      <c r="T1655" s="199"/>
      <c r="U1655" s="199"/>
    </row>
    <row r="1656" spans="1:21" x14ac:dyDescent="0.25">
      <c r="A1656" t="s">
        <v>996</v>
      </c>
      <c r="B1656" t="s">
        <v>997</v>
      </c>
      <c r="C1656" t="s">
        <v>997</v>
      </c>
      <c r="D1656">
        <v>7295</v>
      </c>
      <c r="E1656">
        <v>132</v>
      </c>
      <c r="F1656" t="s">
        <v>1355</v>
      </c>
      <c r="G1656" t="s">
        <v>1356</v>
      </c>
      <c r="H1656" s="315" t="s">
        <v>1023</v>
      </c>
      <c r="I1656" s="315" t="s">
        <v>1276</v>
      </c>
      <c r="J1656" s="315" t="str">
        <f t="shared" si="141"/>
        <v xml:space="preserve">LEX Admin &amp; OtherStaff Remuneration &amp; Benefits as % of Total Gross </v>
      </c>
      <c r="K1656" s="315" t="str">
        <f t="shared" si="142"/>
        <v>132Staff Benefits (Superannuation, FBT, ACC) - Lexus</v>
      </c>
      <c r="L1656" s="311">
        <f>+SUMIF('TUNZ Extracted TB'!M:M,$P1656,'TUNZ Extracted TB'!G:G)</f>
        <v>0</v>
      </c>
      <c r="M1656" s="311"/>
      <c r="N1656" s="311">
        <f>+SUMIF('Input Sheet'!$AE:$AE,P1656,'Input Sheet'!$X:$X)</f>
        <v>0</v>
      </c>
      <c r="O1656" s="311"/>
      <c r="P1656" t="str">
        <f t="shared" si="143"/>
        <v>132-7295</v>
      </c>
      <c r="Q1656" s="315" t="str">
        <f t="shared" si="144"/>
        <v>LEX Admin &amp; Other</v>
      </c>
      <c r="R1656" s="315" t="str">
        <f t="shared" si="145"/>
        <v xml:space="preserve">LEX Admin &amp; OtherStaff Remuneration &amp; Benefits as % of Total Gross </v>
      </c>
      <c r="S1656" s="199"/>
      <c r="T1656" s="199"/>
      <c r="U1656" s="199"/>
    </row>
    <row r="1657" spans="1:21" x14ac:dyDescent="0.25">
      <c r="A1657" t="s">
        <v>996</v>
      </c>
      <c r="B1657" t="s">
        <v>997</v>
      </c>
      <c r="C1657" t="s">
        <v>997</v>
      </c>
      <c r="D1657">
        <v>7295</v>
      </c>
      <c r="E1657">
        <v>110</v>
      </c>
      <c r="F1657" t="s">
        <v>1353</v>
      </c>
      <c r="G1657" t="s">
        <v>1354</v>
      </c>
      <c r="H1657" s="315" t="s">
        <v>1000</v>
      </c>
      <c r="I1657" s="315" t="s">
        <v>1276</v>
      </c>
      <c r="J1657" s="315" t="str">
        <f t="shared" si="141"/>
        <v xml:space="preserve">Admin &amp; OtherStaff Remuneration &amp; Benefits as % of Total Gross </v>
      </c>
      <c r="K1657" s="315" t="str">
        <f t="shared" si="142"/>
        <v>110Staff Benefits (Superannuation, FBT, ACC) - Toyota</v>
      </c>
      <c r="L1657" s="311">
        <f>+SUMIF('TUNZ Extracted TB'!M:M,$P1657,'TUNZ Extracted TB'!G:G)</f>
        <v>3158.99</v>
      </c>
      <c r="M1657" s="311"/>
      <c r="N1657" s="311">
        <f>+SUMIF('Input Sheet'!$AE:$AE,P1657,'Input Sheet'!$X:$X)</f>
        <v>0</v>
      </c>
      <c r="O1657" s="311"/>
      <c r="P1657" t="str">
        <f t="shared" si="143"/>
        <v>110-7295</v>
      </c>
      <c r="Q1657" s="315" t="str">
        <f t="shared" si="144"/>
        <v>Admin &amp; Other</v>
      </c>
      <c r="R1657" s="315" t="str">
        <f t="shared" si="145"/>
        <v xml:space="preserve">Admin &amp; OtherStaff Remuneration &amp; Benefits as % of Total Gross </v>
      </c>
      <c r="S1657" s="199"/>
      <c r="T1657" s="199"/>
      <c r="U1657" s="199"/>
    </row>
    <row r="1658" spans="1:21" x14ac:dyDescent="0.25">
      <c r="A1658" t="s">
        <v>996</v>
      </c>
      <c r="B1658" t="s">
        <v>997</v>
      </c>
      <c r="C1658" t="s">
        <v>997</v>
      </c>
      <c r="D1658">
        <v>7295</v>
      </c>
      <c r="E1658">
        <v>112</v>
      </c>
      <c r="F1658" t="s">
        <v>1355</v>
      </c>
      <c r="G1658" t="s">
        <v>1356</v>
      </c>
      <c r="H1658" s="315" t="s">
        <v>1023</v>
      </c>
      <c r="I1658" s="315" t="s">
        <v>1276</v>
      </c>
      <c r="J1658" s="315" t="str">
        <f t="shared" si="141"/>
        <v xml:space="preserve">LEX Admin &amp; OtherStaff Remuneration &amp; Benefits as % of Total Gross </v>
      </c>
      <c r="K1658" s="315" t="str">
        <f t="shared" si="142"/>
        <v>112Staff Benefits (Superannuation, FBT, ACC) - Lexus</v>
      </c>
      <c r="L1658" s="311">
        <f>+SUMIF('TUNZ Extracted TB'!M:M,$P1658,'TUNZ Extracted TB'!G:G)</f>
        <v>2351.06</v>
      </c>
      <c r="M1658" s="311"/>
      <c r="N1658" s="311">
        <f>+SUMIF('Input Sheet'!$AE:$AE,P1658,'Input Sheet'!$X:$X)</f>
        <v>0</v>
      </c>
      <c r="O1658" s="311"/>
      <c r="P1658" t="str">
        <f t="shared" si="143"/>
        <v>112-7295</v>
      </c>
      <c r="Q1658" s="315" t="str">
        <f t="shared" si="144"/>
        <v>LEX Admin &amp; Other</v>
      </c>
      <c r="R1658" s="315" t="str">
        <f t="shared" si="145"/>
        <v xml:space="preserve">LEX Admin &amp; OtherStaff Remuneration &amp; Benefits as % of Total Gross </v>
      </c>
      <c r="S1658" s="199"/>
      <c r="T1658" s="199"/>
      <c r="U1658" s="199"/>
    </row>
    <row r="1659" spans="1:21" x14ac:dyDescent="0.25">
      <c r="A1659" t="s">
        <v>996</v>
      </c>
      <c r="B1659" t="s">
        <v>997</v>
      </c>
      <c r="C1659" t="s">
        <v>997</v>
      </c>
      <c r="D1659">
        <v>7295</v>
      </c>
      <c r="E1659">
        <v>100</v>
      </c>
      <c r="F1659" t="s">
        <v>1353</v>
      </c>
      <c r="G1659" t="s">
        <v>1354</v>
      </c>
      <c r="H1659" s="315" t="s">
        <v>1000</v>
      </c>
      <c r="I1659" s="315" t="s">
        <v>1276</v>
      </c>
      <c r="J1659" s="315" t="str">
        <f t="shared" si="141"/>
        <v xml:space="preserve">Admin &amp; OtherStaff Remuneration &amp; Benefits as % of Total Gross </v>
      </c>
      <c r="K1659" s="315" t="str">
        <f t="shared" si="142"/>
        <v>100Staff Benefits (Superannuation, FBT, ACC) - Toyota</v>
      </c>
      <c r="L1659" s="311">
        <f>+SUMIF('TUNZ Extracted TB'!M:M,$P1659,'TUNZ Extracted TB'!G:G)</f>
        <v>0</v>
      </c>
      <c r="M1659" s="311"/>
      <c r="N1659" s="311">
        <f>+SUMIF('Input Sheet'!$AE:$AE,P1659,'Input Sheet'!$X:$X)</f>
        <v>0</v>
      </c>
      <c r="O1659" s="311"/>
      <c r="P1659" t="str">
        <f t="shared" si="143"/>
        <v>100-7295</v>
      </c>
      <c r="Q1659" s="315" t="str">
        <f t="shared" si="144"/>
        <v>Admin &amp; Other</v>
      </c>
      <c r="R1659" s="315" t="str">
        <f t="shared" si="145"/>
        <v xml:space="preserve">Admin &amp; OtherStaff Remuneration &amp; Benefits as % of Total Gross </v>
      </c>
      <c r="S1659" s="199"/>
      <c r="T1659" s="199"/>
      <c r="U1659" s="199"/>
    </row>
    <row r="1660" spans="1:21" x14ac:dyDescent="0.25">
      <c r="A1660" t="s">
        <v>996</v>
      </c>
      <c r="B1660" t="s">
        <v>997</v>
      </c>
      <c r="C1660" t="s">
        <v>997</v>
      </c>
      <c r="D1660">
        <v>7295</v>
      </c>
      <c r="E1660">
        <v>936</v>
      </c>
      <c r="F1660" t="s">
        <v>1175</v>
      </c>
      <c r="G1660" t="s">
        <v>1176</v>
      </c>
      <c r="H1660" s="315" t="s">
        <v>1023</v>
      </c>
      <c r="I1660" s="315" t="s">
        <v>1276</v>
      </c>
      <c r="J1660" s="315" t="str">
        <f t="shared" si="141"/>
        <v xml:space="preserve">LEX Admin &amp; OtherStaff Remuneration &amp; Benefits as % of Total Gross </v>
      </c>
      <c r="K1660" s="315" t="str">
        <f t="shared" si="142"/>
        <v>936Other franchise/business expense</v>
      </c>
      <c r="L1660" s="311">
        <f>+SUMIF('TUNZ Extracted TB'!M:M,$P1660,'TUNZ Extracted TB'!G:G)</f>
        <v>0</v>
      </c>
      <c r="M1660" s="311"/>
      <c r="N1660" s="311">
        <f>+SUMIF('Input Sheet'!$AE:$AE,P1660,'Input Sheet'!$X:$X)</f>
        <v>0</v>
      </c>
      <c r="O1660" s="311"/>
      <c r="P1660" t="str">
        <f t="shared" si="143"/>
        <v>936-7295</v>
      </c>
      <c r="Q1660" s="315" t="str">
        <f t="shared" si="144"/>
        <v>LEX Admin &amp; Other</v>
      </c>
      <c r="R1660" s="315" t="str">
        <f t="shared" si="145"/>
        <v xml:space="preserve">LEX Admin &amp; OtherStaff Remuneration &amp; Benefits as % of Total Gross </v>
      </c>
      <c r="S1660" s="199"/>
      <c r="T1660" s="199"/>
      <c r="U1660" s="199"/>
    </row>
    <row r="1661" spans="1:21" x14ac:dyDescent="0.25">
      <c r="A1661" t="s">
        <v>996</v>
      </c>
      <c r="B1661" t="s">
        <v>997</v>
      </c>
      <c r="C1661" t="s">
        <v>997</v>
      </c>
      <c r="D1661">
        <v>7295</v>
      </c>
      <c r="E1661">
        <v>122</v>
      </c>
      <c r="F1661" t="s">
        <v>1355</v>
      </c>
      <c r="G1661" t="s">
        <v>1356</v>
      </c>
      <c r="H1661" s="315" t="s">
        <v>1023</v>
      </c>
      <c r="I1661" s="315" t="s">
        <v>1276</v>
      </c>
      <c r="J1661" s="315" t="str">
        <f t="shared" si="141"/>
        <v xml:space="preserve">LEX Admin &amp; OtherStaff Remuneration &amp; Benefits as % of Total Gross </v>
      </c>
      <c r="K1661" s="315" t="str">
        <f t="shared" si="142"/>
        <v>122Staff Benefits (Superannuation, FBT, ACC) - Lexus</v>
      </c>
      <c r="L1661" s="311">
        <f>+SUMIF('TUNZ Extracted TB'!M:M,$P1661,'TUNZ Extracted TB'!G:G)</f>
        <v>0</v>
      </c>
      <c r="M1661" s="311"/>
      <c r="N1661" s="311">
        <f>+SUMIF('Input Sheet'!$AE:$AE,P1661,'Input Sheet'!$X:$X)</f>
        <v>0</v>
      </c>
      <c r="O1661" s="311"/>
      <c r="P1661" t="str">
        <f t="shared" si="143"/>
        <v>122-7295</v>
      </c>
      <c r="Q1661" s="315" t="str">
        <f t="shared" si="144"/>
        <v>LEX Admin &amp; Other</v>
      </c>
      <c r="R1661" s="315" t="str">
        <f t="shared" si="145"/>
        <v xml:space="preserve">LEX Admin &amp; OtherStaff Remuneration &amp; Benefits as % of Total Gross </v>
      </c>
      <c r="S1661" s="199"/>
      <c r="T1661" s="199"/>
      <c r="U1661" s="199"/>
    </row>
    <row r="1662" spans="1:21" x14ac:dyDescent="0.25">
      <c r="A1662" t="s">
        <v>996</v>
      </c>
      <c r="B1662" t="s">
        <v>997</v>
      </c>
      <c r="C1662" t="s">
        <v>997</v>
      </c>
      <c r="D1662">
        <v>7295</v>
      </c>
      <c r="E1662">
        <v>162</v>
      </c>
      <c r="F1662" t="s">
        <v>1355</v>
      </c>
      <c r="G1662" t="s">
        <v>1356</v>
      </c>
      <c r="H1662" s="315" t="s">
        <v>1023</v>
      </c>
      <c r="I1662" s="315" t="s">
        <v>1276</v>
      </c>
      <c r="J1662" s="315" t="str">
        <f t="shared" si="141"/>
        <v xml:space="preserve">LEX Admin &amp; OtherStaff Remuneration &amp; Benefits as % of Total Gross </v>
      </c>
      <c r="K1662" s="315" t="str">
        <f t="shared" si="142"/>
        <v>162Staff Benefits (Superannuation, FBT, ACC) - Lexus</v>
      </c>
      <c r="L1662" s="311">
        <f>+SUMIF('TUNZ Extracted TB'!M:M,$P1662,'TUNZ Extracted TB'!G:G)</f>
        <v>0</v>
      </c>
      <c r="M1662" s="311"/>
      <c r="N1662" s="311">
        <f>+SUMIF('Input Sheet'!$AE:$AE,P1662,'Input Sheet'!$X:$X)</f>
        <v>0</v>
      </c>
      <c r="O1662" s="311"/>
      <c r="P1662" t="str">
        <f t="shared" si="143"/>
        <v>162-7295</v>
      </c>
      <c r="Q1662" s="315" t="str">
        <f t="shared" si="144"/>
        <v>LEX Admin &amp; Other</v>
      </c>
      <c r="R1662" s="315" t="str">
        <f t="shared" si="145"/>
        <v xml:space="preserve">LEX Admin &amp; OtherStaff Remuneration &amp; Benefits as % of Total Gross </v>
      </c>
      <c r="S1662" s="199"/>
      <c r="T1662" s="199"/>
      <c r="U1662" s="199"/>
    </row>
    <row r="1663" spans="1:21" x14ac:dyDescent="0.25">
      <c r="A1663" t="s">
        <v>996</v>
      </c>
      <c r="B1663" t="s">
        <v>997</v>
      </c>
      <c r="C1663" t="s">
        <v>997</v>
      </c>
      <c r="D1663">
        <v>7295</v>
      </c>
      <c r="E1663">
        <v>147</v>
      </c>
      <c r="F1663" t="s">
        <v>1353</v>
      </c>
      <c r="G1663" t="s">
        <v>1354</v>
      </c>
      <c r="H1663" s="315" t="s">
        <v>1000</v>
      </c>
      <c r="I1663" s="315" t="s">
        <v>1276</v>
      </c>
      <c r="J1663" s="315" t="str">
        <f t="shared" si="141"/>
        <v xml:space="preserve">Admin &amp; OtherStaff Remuneration &amp; Benefits as % of Total Gross </v>
      </c>
      <c r="K1663" s="315" t="str">
        <f t="shared" si="142"/>
        <v>147Staff Benefits (Superannuation, FBT, ACC) - Toyota</v>
      </c>
      <c r="L1663" s="311">
        <f>+SUMIF('TUNZ Extracted TB'!M:M,$P1663,'TUNZ Extracted TB'!G:G)</f>
        <v>0</v>
      </c>
      <c r="M1663" s="311"/>
      <c r="N1663" s="311">
        <f>+SUMIF('Input Sheet'!$AE:$AE,P1663,'Input Sheet'!$X:$X)</f>
        <v>0</v>
      </c>
      <c r="O1663" s="311"/>
      <c r="P1663" t="str">
        <f t="shared" si="143"/>
        <v>147-7295</v>
      </c>
      <c r="Q1663" s="315" t="str">
        <f t="shared" si="144"/>
        <v>Admin &amp; Other</v>
      </c>
      <c r="R1663" s="315" t="str">
        <f t="shared" si="145"/>
        <v xml:space="preserve">Admin &amp; OtherStaff Remuneration &amp; Benefits as % of Total Gross </v>
      </c>
      <c r="S1663" s="199"/>
      <c r="T1663" s="199"/>
      <c r="U1663" s="199"/>
    </row>
    <row r="1664" spans="1:21" x14ac:dyDescent="0.25">
      <c r="A1664" t="s">
        <v>996</v>
      </c>
      <c r="B1664" t="s">
        <v>997</v>
      </c>
      <c r="C1664" t="s">
        <v>1005</v>
      </c>
      <c r="D1664">
        <v>7295</v>
      </c>
      <c r="E1664">
        <v>200</v>
      </c>
      <c r="F1664" t="s">
        <v>1353</v>
      </c>
      <c r="G1664" t="s">
        <v>1354</v>
      </c>
      <c r="H1664" s="315" t="s">
        <v>1000</v>
      </c>
      <c r="I1664" s="315" t="s">
        <v>1276</v>
      </c>
      <c r="J1664" s="315" t="str">
        <f t="shared" si="141"/>
        <v xml:space="preserve">Admin &amp; OtherStaff Remuneration &amp; Benefits as % of Total Gross </v>
      </c>
      <c r="K1664" s="315" t="str">
        <f t="shared" si="142"/>
        <v>200Staff Benefits (Superannuation, FBT, ACC) - Toyota</v>
      </c>
      <c r="L1664" s="311">
        <f>+SUMIF('TUNZ Extracted TB'!M:M,$P1664,'TUNZ Extracted TB'!G:G)</f>
        <v>0</v>
      </c>
      <c r="M1664" s="311"/>
      <c r="N1664" s="311">
        <f>+SUMIF('Input Sheet'!$AE:$AE,P1664,'Input Sheet'!$X:$X)</f>
        <v>0</v>
      </c>
      <c r="O1664" s="311"/>
      <c r="P1664" t="str">
        <f t="shared" si="143"/>
        <v>200-7295</v>
      </c>
      <c r="Q1664" s="315" t="str">
        <f t="shared" si="144"/>
        <v>Admin &amp; Other</v>
      </c>
      <c r="R1664" s="315" t="str">
        <f t="shared" si="145"/>
        <v xml:space="preserve">Admin &amp; OtherStaff Remuneration &amp; Benefits as % of Total Gross </v>
      </c>
      <c r="S1664" s="199"/>
      <c r="T1664" s="199"/>
      <c r="U1664" s="199"/>
    </row>
    <row r="1665" spans="1:21" x14ac:dyDescent="0.25">
      <c r="A1665" t="s">
        <v>996</v>
      </c>
      <c r="B1665" t="s">
        <v>997</v>
      </c>
      <c r="C1665" t="s">
        <v>1005</v>
      </c>
      <c r="D1665">
        <v>7295</v>
      </c>
      <c r="E1665">
        <v>221</v>
      </c>
      <c r="F1665" t="s">
        <v>1353</v>
      </c>
      <c r="G1665" t="s">
        <v>1354</v>
      </c>
      <c r="H1665" s="315" t="s">
        <v>1000</v>
      </c>
      <c r="I1665" s="315" t="s">
        <v>1276</v>
      </c>
      <c r="J1665" s="315" t="str">
        <f t="shared" si="141"/>
        <v xml:space="preserve">Admin &amp; OtherStaff Remuneration &amp; Benefits as % of Total Gross </v>
      </c>
      <c r="K1665" s="315" t="str">
        <f t="shared" si="142"/>
        <v>221Staff Benefits (Superannuation, FBT, ACC) - Toyota</v>
      </c>
      <c r="L1665" s="311">
        <f>+SUMIF('TUNZ Extracted TB'!M:M,$P1665,'TUNZ Extracted TB'!G:G)</f>
        <v>0</v>
      </c>
      <c r="M1665" s="311"/>
      <c r="N1665" s="311">
        <f>+SUMIF('Input Sheet'!$AE:$AE,P1665,'Input Sheet'!$X:$X)</f>
        <v>0</v>
      </c>
      <c r="O1665" s="311"/>
      <c r="P1665" t="str">
        <f t="shared" si="143"/>
        <v>221-7295</v>
      </c>
      <c r="Q1665" s="315" t="str">
        <f t="shared" si="144"/>
        <v>Admin &amp; Other</v>
      </c>
      <c r="R1665" s="315" t="str">
        <f t="shared" si="145"/>
        <v xml:space="preserve">Admin &amp; OtherStaff Remuneration &amp; Benefits as % of Total Gross </v>
      </c>
      <c r="S1665" s="199"/>
      <c r="T1665" s="199"/>
      <c r="U1665" s="199"/>
    </row>
    <row r="1666" spans="1:21" x14ac:dyDescent="0.25">
      <c r="A1666" t="s">
        <v>996</v>
      </c>
      <c r="B1666" t="s">
        <v>997</v>
      </c>
      <c r="C1666" t="s">
        <v>1012</v>
      </c>
      <c r="D1666">
        <v>7295</v>
      </c>
      <c r="E1666">
        <v>400</v>
      </c>
      <c r="F1666" t="s">
        <v>1353</v>
      </c>
      <c r="G1666" t="s">
        <v>1354</v>
      </c>
      <c r="H1666" s="315" t="s">
        <v>1000</v>
      </c>
      <c r="I1666" s="315" t="s">
        <v>1276</v>
      </c>
      <c r="J1666" s="315" t="str">
        <f t="shared" si="141"/>
        <v xml:space="preserve">Admin &amp; OtherStaff Remuneration &amp; Benefits as % of Total Gross </v>
      </c>
      <c r="K1666" s="315" t="str">
        <f t="shared" si="142"/>
        <v>400Staff Benefits (Superannuation, FBT, ACC) - Toyota</v>
      </c>
      <c r="L1666" s="311">
        <f>+SUMIF('TUNZ Extracted TB'!M:M,$P1666,'TUNZ Extracted TB'!G:G)</f>
        <v>0</v>
      </c>
      <c r="M1666" s="311"/>
      <c r="N1666" s="311">
        <f>+SUMIF('Input Sheet'!$AE:$AE,P1666,'Input Sheet'!$X:$X)</f>
        <v>0</v>
      </c>
      <c r="O1666" s="311"/>
      <c r="P1666" t="str">
        <f t="shared" si="143"/>
        <v>400-7295</v>
      </c>
      <c r="Q1666" s="315" t="str">
        <f t="shared" si="144"/>
        <v>Admin &amp; Other</v>
      </c>
      <c r="R1666" s="315" t="str">
        <f t="shared" si="145"/>
        <v xml:space="preserve">Admin &amp; OtherStaff Remuneration &amp; Benefits as % of Total Gross </v>
      </c>
      <c r="S1666" s="199"/>
      <c r="T1666" s="199"/>
      <c r="U1666" s="199"/>
    </row>
    <row r="1667" spans="1:21" x14ac:dyDescent="0.25">
      <c r="A1667" t="s">
        <v>996</v>
      </c>
      <c r="B1667" t="s">
        <v>997</v>
      </c>
      <c r="C1667" t="s">
        <v>1012</v>
      </c>
      <c r="D1667">
        <v>7295</v>
      </c>
      <c r="E1667">
        <v>410</v>
      </c>
      <c r="F1667" t="s">
        <v>1353</v>
      </c>
      <c r="G1667" t="s">
        <v>1354</v>
      </c>
      <c r="H1667" s="315" t="s">
        <v>1000</v>
      </c>
      <c r="I1667" s="315" t="s">
        <v>1276</v>
      </c>
      <c r="J1667" s="315" t="str">
        <f t="shared" ref="J1667:J1730" si="146">+H1667&amp;I1667</f>
        <v xml:space="preserve">Admin &amp; OtherStaff Remuneration &amp; Benefits as % of Total Gross </v>
      </c>
      <c r="K1667" s="315" t="str">
        <f t="shared" ref="K1667:K1730" si="147">+E1667&amp;G1667</f>
        <v>410Staff Benefits (Superannuation, FBT, ACC) - Toyota</v>
      </c>
      <c r="L1667" s="311">
        <f>+SUMIF('TUNZ Extracted TB'!M:M,$P1667,'TUNZ Extracted TB'!G:G)</f>
        <v>0</v>
      </c>
      <c r="M1667" s="311"/>
      <c r="N1667" s="311">
        <f>+SUMIF('Input Sheet'!$AE:$AE,P1667,'Input Sheet'!$X:$X)</f>
        <v>0</v>
      </c>
      <c r="O1667" s="311"/>
      <c r="P1667" t="str">
        <f t="shared" ref="P1667:P1730" si="148">+E1667&amp;"-"&amp;D1667</f>
        <v>410-7295</v>
      </c>
      <c r="Q1667" s="315" t="str">
        <f t="shared" ref="Q1667:Q1730" si="149">H1667</f>
        <v>Admin &amp; Other</v>
      </c>
      <c r="R1667" s="315" t="str">
        <f t="shared" ref="R1667:R1730" si="150">J1667</f>
        <v xml:space="preserve">Admin &amp; OtherStaff Remuneration &amp; Benefits as % of Total Gross </v>
      </c>
      <c r="S1667" s="199"/>
      <c r="T1667" s="199"/>
      <c r="U1667" s="199"/>
    </row>
    <row r="1668" spans="1:21" x14ac:dyDescent="0.25">
      <c r="A1668" t="s">
        <v>996</v>
      </c>
      <c r="B1668" t="s">
        <v>997</v>
      </c>
      <c r="C1668" t="s">
        <v>1012</v>
      </c>
      <c r="D1668">
        <v>7295</v>
      </c>
      <c r="E1668">
        <v>420</v>
      </c>
      <c r="F1668" t="s">
        <v>1353</v>
      </c>
      <c r="G1668" t="s">
        <v>1354</v>
      </c>
      <c r="H1668" s="315" t="s">
        <v>1000</v>
      </c>
      <c r="I1668" s="315" t="s">
        <v>1276</v>
      </c>
      <c r="J1668" s="315" t="str">
        <f t="shared" si="146"/>
        <v xml:space="preserve">Admin &amp; OtherStaff Remuneration &amp; Benefits as % of Total Gross </v>
      </c>
      <c r="K1668" s="315" t="str">
        <f t="shared" si="147"/>
        <v>420Staff Benefits (Superannuation, FBT, ACC) - Toyota</v>
      </c>
      <c r="L1668" s="311">
        <f>+SUMIF('TUNZ Extracted TB'!M:M,$P1668,'TUNZ Extracted TB'!G:G)</f>
        <v>0</v>
      </c>
      <c r="M1668" s="311"/>
      <c r="N1668" s="311">
        <f>+SUMIF('Input Sheet'!$AE:$AE,P1668,'Input Sheet'!$X:$X)</f>
        <v>0</v>
      </c>
      <c r="O1668" s="311"/>
      <c r="P1668" t="str">
        <f t="shared" si="148"/>
        <v>420-7295</v>
      </c>
      <c r="Q1668" s="315" t="str">
        <f t="shared" si="149"/>
        <v>Admin &amp; Other</v>
      </c>
      <c r="R1668" s="315" t="str">
        <f t="shared" si="150"/>
        <v xml:space="preserve">Admin &amp; OtherStaff Remuneration &amp; Benefits as % of Total Gross </v>
      </c>
      <c r="S1668" s="199"/>
      <c r="T1668" s="199"/>
      <c r="U1668" s="199"/>
    </row>
    <row r="1669" spans="1:21" x14ac:dyDescent="0.25">
      <c r="A1669" t="s">
        <v>996</v>
      </c>
      <c r="B1669" t="s">
        <v>997</v>
      </c>
      <c r="C1669" t="s">
        <v>1012</v>
      </c>
      <c r="D1669">
        <v>7295</v>
      </c>
      <c r="E1669">
        <v>421</v>
      </c>
      <c r="F1669" t="s">
        <v>1353</v>
      </c>
      <c r="G1669" t="s">
        <v>1354</v>
      </c>
      <c r="H1669" s="315" t="s">
        <v>1000</v>
      </c>
      <c r="I1669" s="315" t="s">
        <v>1276</v>
      </c>
      <c r="J1669" s="315" t="str">
        <f t="shared" si="146"/>
        <v xml:space="preserve">Admin &amp; OtherStaff Remuneration &amp; Benefits as % of Total Gross </v>
      </c>
      <c r="K1669" s="315" t="str">
        <f t="shared" si="147"/>
        <v>421Staff Benefits (Superannuation, FBT, ACC) - Toyota</v>
      </c>
      <c r="L1669" s="311">
        <f>+SUMIF('TUNZ Extracted TB'!M:M,$P1669,'TUNZ Extracted TB'!G:G)</f>
        <v>0</v>
      </c>
      <c r="M1669" s="311"/>
      <c r="N1669" s="311">
        <f>+SUMIF('Input Sheet'!$AE:$AE,P1669,'Input Sheet'!$X:$X)</f>
        <v>0</v>
      </c>
      <c r="O1669" s="311"/>
      <c r="P1669" t="str">
        <f t="shared" si="148"/>
        <v>421-7295</v>
      </c>
      <c r="Q1669" s="315" t="str">
        <f t="shared" si="149"/>
        <v>Admin &amp; Other</v>
      </c>
      <c r="R1669" s="315" t="str">
        <f t="shared" si="150"/>
        <v xml:space="preserve">Admin &amp; OtherStaff Remuneration &amp; Benefits as % of Total Gross </v>
      </c>
      <c r="S1669" s="199"/>
      <c r="T1669" s="199"/>
      <c r="U1669" s="199"/>
    </row>
    <row r="1670" spans="1:21" x14ac:dyDescent="0.25">
      <c r="A1670" t="s">
        <v>996</v>
      </c>
      <c r="B1670" t="s">
        <v>997</v>
      </c>
      <c r="C1670" t="s">
        <v>1012</v>
      </c>
      <c r="D1670">
        <v>7295</v>
      </c>
      <c r="E1670">
        <v>430</v>
      </c>
      <c r="F1670" t="s">
        <v>1353</v>
      </c>
      <c r="G1670" t="s">
        <v>1354</v>
      </c>
      <c r="H1670" s="315" t="s">
        <v>1000</v>
      </c>
      <c r="I1670" s="315" t="s">
        <v>1276</v>
      </c>
      <c r="J1670" s="315" t="str">
        <f t="shared" si="146"/>
        <v xml:space="preserve">Admin &amp; OtherStaff Remuneration &amp; Benefits as % of Total Gross </v>
      </c>
      <c r="K1670" s="315" t="str">
        <f t="shared" si="147"/>
        <v>430Staff Benefits (Superannuation, FBT, ACC) - Toyota</v>
      </c>
      <c r="L1670" s="311">
        <f>+SUMIF('TUNZ Extracted TB'!M:M,$P1670,'TUNZ Extracted TB'!G:G)</f>
        <v>0</v>
      </c>
      <c r="M1670" s="311"/>
      <c r="N1670" s="311">
        <f>+SUMIF('Input Sheet'!$AE:$AE,P1670,'Input Sheet'!$X:$X)</f>
        <v>0</v>
      </c>
      <c r="O1670" s="311"/>
      <c r="P1670" t="str">
        <f t="shared" si="148"/>
        <v>430-7295</v>
      </c>
      <c r="Q1670" s="315" t="str">
        <f t="shared" si="149"/>
        <v>Admin &amp; Other</v>
      </c>
      <c r="R1670" s="315" t="str">
        <f t="shared" si="150"/>
        <v xml:space="preserve">Admin &amp; OtherStaff Remuneration &amp; Benefits as % of Total Gross </v>
      </c>
      <c r="S1670" s="199"/>
      <c r="T1670" s="199"/>
      <c r="U1670" s="199"/>
    </row>
    <row r="1671" spans="1:21" x14ac:dyDescent="0.25">
      <c r="A1671" t="s">
        <v>996</v>
      </c>
      <c r="B1671" t="s">
        <v>997</v>
      </c>
      <c r="C1671" t="s">
        <v>1012</v>
      </c>
      <c r="D1671">
        <v>7295</v>
      </c>
      <c r="E1671">
        <v>460</v>
      </c>
      <c r="F1671" t="s">
        <v>1353</v>
      </c>
      <c r="G1671" t="s">
        <v>1354</v>
      </c>
      <c r="H1671" s="315" t="s">
        <v>1000</v>
      </c>
      <c r="I1671" s="315" t="s">
        <v>1276</v>
      </c>
      <c r="J1671" s="315" t="str">
        <f t="shared" si="146"/>
        <v xml:space="preserve">Admin &amp; OtherStaff Remuneration &amp; Benefits as % of Total Gross </v>
      </c>
      <c r="K1671" s="315" t="str">
        <f t="shared" si="147"/>
        <v>460Staff Benefits (Superannuation, FBT, ACC) - Toyota</v>
      </c>
      <c r="L1671" s="311">
        <f>+SUMIF('TUNZ Extracted TB'!M:M,$P1671,'TUNZ Extracted TB'!G:G)</f>
        <v>0</v>
      </c>
      <c r="M1671" s="311"/>
      <c r="N1671" s="311">
        <f>+SUMIF('Input Sheet'!$AE:$AE,P1671,'Input Sheet'!$X:$X)</f>
        <v>0</v>
      </c>
      <c r="O1671" s="311"/>
      <c r="P1671" t="str">
        <f t="shared" si="148"/>
        <v>460-7295</v>
      </c>
      <c r="Q1671" s="315" t="str">
        <f t="shared" si="149"/>
        <v>Admin &amp; Other</v>
      </c>
      <c r="R1671" s="315" t="str">
        <f t="shared" si="150"/>
        <v xml:space="preserve">Admin &amp; OtherStaff Remuneration &amp; Benefits as % of Total Gross </v>
      </c>
      <c r="S1671" s="199"/>
      <c r="T1671" s="199"/>
      <c r="U1671" s="199"/>
    </row>
    <row r="1672" spans="1:21" x14ac:dyDescent="0.25">
      <c r="A1672" t="s">
        <v>996</v>
      </c>
      <c r="B1672" t="s">
        <v>997</v>
      </c>
      <c r="C1672" t="s">
        <v>1013</v>
      </c>
      <c r="D1672">
        <v>7295</v>
      </c>
      <c r="E1672">
        <v>300</v>
      </c>
      <c r="F1672" t="s">
        <v>1353</v>
      </c>
      <c r="G1672" t="s">
        <v>1354</v>
      </c>
      <c r="H1672" s="315" t="s">
        <v>1000</v>
      </c>
      <c r="I1672" s="315" t="s">
        <v>1276</v>
      </c>
      <c r="J1672" s="315" t="str">
        <f t="shared" si="146"/>
        <v xml:space="preserve">Admin &amp; OtherStaff Remuneration &amp; Benefits as % of Total Gross </v>
      </c>
      <c r="K1672" s="315" t="str">
        <f t="shared" si="147"/>
        <v>300Staff Benefits (Superannuation, FBT, ACC) - Toyota</v>
      </c>
      <c r="L1672" s="311">
        <f>+SUMIF('TUNZ Extracted TB'!M:M,$P1672,'TUNZ Extracted TB'!G:G)</f>
        <v>0</v>
      </c>
      <c r="M1672" s="311"/>
      <c r="N1672" s="311">
        <f>+SUMIF('Input Sheet'!$AE:$AE,P1672,'Input Sheet'!$X:$X)</f>
        <v>0</v>
      </c>
      <c r="O1672" s="311"/>
      <c r="P1672" t="str">
        <f t="shared" si="148"/>
        <v>300-7295</v>
      </c>
      <c r="Q1672" s="315" t="str">
        <f t="shared" si="149"/>
        <v>Admin &amp; Other</v>
      </c>
      <c r="R1672" s="315" t="str">
        <f t="shared" si="150"/>
        <v xml:space="preserve">Admin &amp; OtherStaff Remuneration &amp; Benefits as % of Total Gross </v>
      </c>
      <c r="S1672" s="199"/>
      <c r="T1672" s="199"/>
      <c r="U1672" s="199"/>
    </row>
    <row r="1673" spans="1:21" x14ac:dyDescent="0.25">
      <c r="A1673" t="s">
        <v>996</v>
      </c>
      <c r="B1673" t="s">
        <v>997</v>
      </c>
      <c r="C1673" t="s">
        <v>1013</v>
      </c>
      <c r="D1673">
        <v>7295</v>
      </c>
      <c r="E1673">
        <v>310</v>
      </c>
      <c r="F1673" t="s">
        <v>1353</v>
      </c>
      <c r="G1673" t="s">
        <v>1354</v>
      </c>
      <c r="H1673" s="315" t="s">
        <v>1000</v>
      </c>
      <c r="I1673" s="315" t="s">
        <v>1276</v>
      </c>
      <c r="J1673" s="315" t="str">
        <f t="shared" si="146"/>
        <v xml:space="preserve">Admin &amp; OtherStaff Remuneration &amp; Benefits as % of Total Gross </v>
      </c>
      <c r="K1673" s="315" t="str">
        <f t="shared" si="147"/>
        <v>310Staff Benefits (Superannuation, FBT, ACC) - Toyota</v>
      </c>
      <c r="L1673" s="311">
        <f>+SUMIF('TUNZ Extracted TB'!M:M,$P1673,'TUNZ Extracted TB'!G:G)</f>
        <v>0</v>
      </c>
      <c r="M1673" s="311"/>
      <c r="N1673" s="311">
        <f>+SUMIF('Input Sheet'!$AE:$AE,P1673,'Input Sheet'!$X:$X)</f>
        <v>0</v>
      </c>
      <c r="O1673" s="311"/>
      <c r="P1673" t="str">
        <f t="shared" si="148"/>
        <v>310-7295</v>
      </c>
      <c r="Q1673" s="315" t="str">
        <f t="shared" si="149"/>
        <v>Admin &amp; Other</v>
      </c>
      <c r="R1673" s="315" t="str">
        <f t="shared" si="150"/>
        <v xml:space="preserve">Admin &amp; OtherStaff Remuneration &amp; Benefits as % of Total Gross </v>
      </c>
      <c r="S1673" s="199"/>
      <c r="T1673" s="199"/>
      <c r="U1673" s="199"/>
    </row>
    <row r="1674" spans="1:21" x14ac:dyDescent="0.25">
      <c r="A1674" t="s">
        <v>996</v>
      </c>
      <c r="B1674" t="s">
        <v>997</v>
      </c>
      <c r="C1674" t="s">
        <v>1013</v>
      </c>
      <c r="D1674">
        <v>7295</v>
      </c>
      <c r="E1674">
        <v>321</v>
      </c>
      <c r="F1674" t="s">
        <v>1353</v>
      </c>
      <c r="G1674" t="s">
        <v>1354</v>
      </c>
      <c r="H1674" s="315" t="s">
        <v>1000</v>
      </c>
      <c r="I1674" s="315" t="s">
        <v>1276</v>
      </c>
      <c r="J1674" s="315" t="str">
        <f t="shared" si="146"/>
        <v xml:space="preserve">Admin &amp; OtherStaff Remuneration &amp; Benefits as % of Total Gross </v>
      </c>
      <c r="K1674" s="315" t="str">
        <f t="shared" si="147"/>
        <v>321Staff Benefits (Superannuation, FBT, ACC) - Toyota</v>
      </c>
      <c r="L1674" s="311">
        <f>+SUMIF('TUNZ Extracted TB'!M:M,$P1674,'TUNZ Extracted TB'!G:G)</f>
        <v>0</v>
      </c>
      <c r="M1674" s="311"/>
      <c r="N1674" s="311">
        <f>+SUMIF('Input Sheet'!$AE:$AE,P1674,'Input Sheet'!$X:$X)</f>
        <v>0</v>
      </c>
      <c r="O1674" s="311"/>
      <c r="P1674" t="str">
        <f t="shared" si="148"/>
        <v>321-7295</v>
      </c>
      <c r="Q1674" s="315" t="str">
        <f t="shared" si="149"/>
        <v>Admin &amp; Other</v>
      </c>
      <c r="R1674" s="315" t="str">
        <f t="shared" si="150"/>
        <v xml:space="preserve">Admin &amp; OtherStaff Remuneration &amp; Benefits as % of Total Gross </v>
      </c>
      <c r="S1674" s="199"/>
      <c r="T1674" s="199"/>
      <c r="U1674" s="199"/>
    </row>
    <row r="1675" spans="1:21" x14ac:dyDescent="0.25">
      <c r="A1675" t="s">
        <v>996</v>
      </c>
      <c r="B1675" t="s">
        <v>997</v>
      </c>
      <c r="C1675" t="s">
        <v>1013</v>
      </c>
      <c r="D1675">
        <v>7295</v>
      </c>
      <c r="E1675">
        <v>330</v>
      </c>
      <c r="F1675" t="s">
        <v>1353</v>
      </c>
      <c r="G1675" t="s">
        <v>1354</v>
      </c>
      <c r="H1675" s="315" t="s">
        <v>1000</v>
      </c>
      <c r="I1675" s="315" t="s">
        <v>1276</v>
      </c>
      <c r="J1675" s="315" t="str">
        <f t="shared" si="146"/>
        <v xml:space="preserve">Admin &amp; OtherStaff Remuneration &amp; Benefits as % of Total Gross </v>
      </c>
      <c r="K1675" s="315" t="str">
        <f t="shared" si="147"/>
        <v>330Staff Benefits (Superannuation, FBT, ACC) - Toyota</v>
      </c>
      <c r="L1675" s="311">
        <f>+SUMIF('TUNZ Extracted TB'!M:M,$P1675,'TUNZ Extracted TB'!G:G)</f>
        <v>0</v>
      </c>
      <c r="M1675" s="311"/>
      <c r="N1675" s="311">
        <f>+SUMIF('Input Sheet'!$AE:$AE,P1675,'Input Sheet'!$X:$X)</f>
        <v>0</v>
      </c>
      <c r="O1675" s="311"/>
      <c r="P1675" t="str">
        <f t="shared" si="148"/>
        <v>330-7295</v>
      </c>
      <c r="Q1675" s="315" t="str">
        <f t="shared" si="149"/>
        <v>Admin &amp; Other</v>
      </c>
      <c r="R1675" s="315" t="str">
        <f t="shared" si="150"/>
        <v xml:space="preserve">Admin &amp; OtherStaff Remuneration &amp; Benefits as % of Total Gross </v>
      </c>
      <c r="S1675" s="199"/>
      <c r="T1675" s="199"/>
      <c r="U1675" s="199"/>
    </row>
    <row r="1676" spans="1:21" x14ac:dyDescent="0.25">
      <c r="A1676" t="s">
        <v>996</v>
      </c>
      <c r="B1676" t="s">
        <v>997</v>
      </c>
      <c r="C1676" t="s">
        <v>1013</v>
      </c>
      <c r="D1676">
        <v>7295</v>
      </c>
      <c r="E1676">
        <v>360</v>
      </c>
      <c r="F1676" t="s">
        <v>1353</v>
      </c>
      <c r="G1676" t="s">
        <v>1354</v>
      </c>
      <c r="H1676" s="315" t="s">
        <v>1000</v>
      </c>
      <c r="I1676" s="315" t="s">
        <v>1276</v>
      </c>
      <c r="J1676" s="315" t="str">
        <f t="shared" si="146"/>
        <v xml:space="preserve">Admin &amp; OtherStaff Remuneration &amp; Benefits as % of Total Gross </v>
      </c>
      <c r="K1676" s="315" t="str">
        <f t="shared" si="147"/>
        <v>360Staff Benefits (Superannuation, FBT, ACC) - Toyota</v>
      </c>
      <c r="L1676" s="311">
        <f>+SUMIF('TUNZ Extracted TB'!M:M,$P1676,'TUNZ Extracted TB'!G:G)</f>
        <v>0</v>
      </c>
      <c r="M1676" s="311"/>
      <c r="N1676" s="311">
        <f>+SUMIF('Input Sheet'!$AE:$AE,P1676,'Input Sheet'!$X:$X)</f>
        <v>0</v>
      </c>
      <c r="O1676" s="311"/>
      <c r="P1676" t="str">
        <f t="shared" si="148"/>
        <v>360-7295</v>
      </c>
      <c r="Q1676" s="315" t="str">
        <f t="shared" si="149"/>
        <v>Admin &amp; Other</v>
      </c>
      <c r="R1676" s="315" t="str">
        <f t="shared" si="150"/>
        <v xml:space="preserve">Admin &amp; OtherStaff Remuneration &amp; Benefits as % of Total Gross </v>
      </c>
      <c r="S1676" s="199"/>
      <c r="T1676" s="199"/>
      <c r="U1676" s="199"/>
    </row>
    <row r="1677" spans="1:21" x14ac:dyDescent="0.25">
      <c r="A1677" t="s">
        <v>996</v>
      </c>
      <c r="B1677" t="s">
        <v>997</v>
      </c>
      <c r="C1677" t="s">
        <v>997</v>
      </c>
      <c r="D1677">
        <v>7300</v>
      </c>
      <c r="E1677">
        <v>122</v>
      </c>
      <c r="F1677" t="s">
        <v>1362</v>
      </c>
      <c r="G1677" t="s">
        <v>1363</v>
      </c>
      <c r="H1677" s="315" t="s">
        <v>1023</v>
      </c>
      <c r="I1677" s="315" t="s">
        <v>1001</v>
      </c>
      <c r="J1677" s="315" t="str">
        <f t="shared" si="146"/>
        <v>LEX Admin &amp; OtherOther Overheads as % of Total Gross Profit</v>
      </c>
      <c r="K1677" s="315" t="str">
        <f t="shared" si="147"/>
        <v>122Miscellaneous expenses - Lexus</v>
      </c>
      <c r="L1677" s="311">
        <f>+SUMIF('TUNZ Extracted TB'!M:M,$P1677,'TUNZ Extracted TB'!G:G)</f>
        <v>0</v>
      </c>
      <c r="M1677" s="311"/>
      <c r="N1677" s="311">
        <f>+SUMIF('Input Sheet'!$AE:$AE,P1677,'Input Sheet'!$X:$X)</f>
        <v>0</v>
      </c>
      <c r="O1677" s="311"/>
      <c r="P1677" t="str">
        <f t="shared" si="148"/>
        <v>122-7300</v>
      </c>
      <c r="Q1677" s="315" t="str">
        <f t="shared" si="149"/>
        <v>LEX Admin &amp; Other</v>
      </c>
      <c r="R1677" s="315" t="str">
        <f t="shared" si="150"/>
        <v>LEX Admin &amp; OtherOther Overheads as % of Total Gross Profit</v>
      </c>
      <c r="S1677" s="199"/>
      <c r="T1677" s="199"/>
      <c r="U1677" s="199"/>
    </row>
    <row r="1678" spans="1:21" x14ac:dyDescent="0.25">
      <c r="A1678" s="316">
        <v>44866</v>
      </c>
      <c r="B1678" t="s">
        <v>997</v>
      </c>
      <c r="C1678" t="s">
        <v>997</v>
      </c>
      <c r="D1678">
        <v>7300</v>
      </c>
      <c r="E1678">
        <v>190</v>
      </c>
      <c r="G1678" t="s">
        <v>937</v>
      </c>
      <c r="H1678" s="315" t="s">
        <v>1000</v>
      </c>
      <c r="I1678" s="315" t="s">
        <v>1001</v>
      </c>
      <c r="J1678" s="315" t="str">
        <f t="shared" si="146"/>
        <v>Admin &amp; OtherOther Overheads as % of Total Gross Profit</v>
      </c>
      <c r="K1678" s="315" t="str">
        <f t="shared" si="147"/>
        <v>190Fines Non-Deductable</v>
      </c>
      <c r="L1678" s="311">
        <f>+SUMIF('TUNZ Extracted TB'!M:M,$P1678,'TUNZ Extracted TB'!G:G)</f>
        <v>0</v>
      </c>
      <c r="M1678" s="311"/>
      <c r="N1678" s="311">
        <f>+SUMIF('Input Sheet'!$AE:$AE,P1678,'Input Sheet'!$X:$X)</f>
        <v>0</v>
      </c>
      <c r="O1678" s="311"/>
      <c r="P1678" t="str">
        <f t="shared" si="148"/>
        <v>190-7300</v>
      </c>
      <c r="Q1678" s="315" t="str">
        <f t="shared" si="149"/>
        <v>Admin &amp; Other</v>
      </c>
      <c r="R1678" s="315" t="str">
        <f t="shared" si="150"/>
        <v>Admin &amp; OtherOther Overheads as % of Total Gross Profit</v>
      </c>
      <c r="S1678" s="199"/>
      <c r="T1678" s="199"/>
      <c r="U1678" s="199"/>
    </row>
    <row r="1679" spans="1:21" x14ac:dyDescent="0.25">
      <c r="A1679" t="s">
        <v>996</v>
      </c>
      <c r="B1679" t="s">
        <v>997</v>
      </c>
      <c r="C1679" t="s">
        <v>997</v>
      </c>
      <c r="D1679">
        <v>7300</v>
      </c>
      <c r="E1679">
        <v>140</v>
      </c>
      <c r="F1679" t="s">
        <v>998</v>
      </c>
      <c r="G1679" t="s">
        <v>999</v>
      </c>
      <c r="H1679" s="315" t="s">
        <v>1000</v>
      </c>
      <c r="I1679" s="315" t="s">
        <v>1001</v>
      </c>
      <c r="J1679" s="315" t="str">
        <f t="shared" si="146"/>
        <v>Admin &amp; OtherOther Overheads as % of Total Gross Profit</v>
      </c>
      <c r="K1679" s="315" t="str">
        <f t="shared" si="147"/>
        <v>140Miscellaneous expenses - Toyota</v>
      </c>
      <c r="L1679" s="311">
        <f>+SUMIF('TUNZ Extracted TB'!M:M,$P1679,'TUNZ Extracted TB'!G:G)</f>
        <v>0</v>
      </c>
      <c r="M1679" s="311"/>
      <c r="N1679" s="311">
        <f>+SUMIF('Input Sheet'!$AE:$AE,P1679,'Input Sheet'!$X:$X)</f>
        <v>0</v>
      </c>
      <c r="O1679" s="311"/>
      <c r="P1679" t="str">
        <f t="shared" si="148"/>
        <v>140-7300</v>
      </c>
      <c r="Q1679" s="315" t="str">
        <f t="shared" si="149"/>
        <v>Admin &amp; Other</v>
      </c>
      <c r="R1679" s="315" t="str">
        <f t="shared" si="150"/>
        <v>Admin &amp; OtherOther Overheads as % of Total Gross Profit</v>
      </c>
      <c r="S1679" s="199"/>
      <c r="T1679" s="199"/>
      <c r="U1679" s="199"/>
    </row>
    <row r="1680" spans="1:21" x14ac:dyDescent="0.25">
      <c r="A1680" t="s">
        <v>996</v>
      </c>
      <c r="B1680" t="s">
        <v>997</v>
      </c>
      <c r="C1680" t="s">
        <v>997</v>
      </c>
      <c r="D1680">
        <v>7300</v>
      </c>
      <c r="E1680">
        <v>142</v>
      </c>
      <c r="F1680" t="s">
        <v>1362</v>
      </c>
      <c r="G1680" t="s">
        <v>1363</v>
      </c>
      <c r="H1680" s="315" t="s">
        <v>1023</v>
      </c>
      <c r="I1680" s="315" t="s">
        <v>1001</v>
      </c>
      <c r="J1680" s="315" t="str">
        <f t="shared" si="146"/>
        <v>LEX Admin &amp; OtherOther Overheads as % of Total Gross Profit</v>
      </c>
      <c r="K1680" s="315" t="str">
        <f t="shared" si="147"/>
        <v>142Miscellaneous expenses - Lexus</v>
      </c>
      <c r="L1680" s="311">
        <f>+SUMIF('TUNZ Extracted TB'!M:M,$P1680,'TUNZ Extracted TB'!G:G)</f>
        <v>0</v>
      </c>
      <c r="M1680" s="311"/>
      <c r="N1680" s="311">
        <f>+SUMIF('Input Sheet'!$AE:$AE,P1680,'Input Sheet'!$X:$X)</f>
        <v>0</v>
      </c>
      <c r="O1680" s="311"/>
      <c r="P1680" t="str">
        <f t="shared" si="148"/>
        <v>142-7300</v>
      </c>
      <c r="Q1680" s="315" t="str">
        <f t="shared" si="149"/>
        <v>LEX Admin &amp; Other</v>
      </c>
      <c r="R1680" s="315" t="str">
        <f t="shared" si="150"/>
        <v>LEX Admin &amp; OtherOther Overheads as % of Total Gross Profit</v>
      </c>
      <c r="S1680" s="199"/>
      <c r="T1680" s="199"/>
      <c r="U1680" s="199"/>
    </row>
    <row r="1681" spans="1:21" x14ac:dyDescent="0.25">
      <c r="A1681" t="s">
        <v>996</v>
      </c>
      <c r="B1681" t="s">
        <v>997</v>
      </c>
      <c r="C1681" t="s">
        <v>997</v>
      </c>
      <c r="D1681">
        <v>7300</v>
      </c>
      <c r="E1681">
        <v>132</v>
      </c>
      <c r="F1681" t="s">
        <v>1362</v>
      </c>
      <c r="G1681" t="s">
        <v>1363</v>
      </c>
      <c r="H1681" s="315" t="s">
        <v>1023</v>
      </c>
      <c r="I1681" s="315" t="s">
        <v>1001</v>
      </c>
      <c r="J1681" s="315" t="str">
        <f t="shared" si="146"/>
        <v>LEX Admin &amp; OtherOther Overheads as % of Total Gross Profit</v>
      </c>
      <c r="K1681" s="315" t="str">
        <f t="shared" si="147"/>
        <v>132Miscellaneous expenses - Lexus</v>
      </c>
      <c r="L1681" s="311">
        <f>+SUMIF('TUNZ Extracted TB'!M:M,$P1681,'TUNZ Extracted TB'!G:G)</f>
        <v>0</v>
      </c>
      <c r="M1681" s="311"/>
      <c r="N1681" s="311">
        <f>+SUMIF('Input Sheet'!$AE:$AE,P1681,'Input Sheet'!$X:$X)</f>
        <v>0</v>
      </c>
      <c r="O1681" s="311"/>
      <c r="P1681" t="str">
        <f t="shared" si="148"/>
        <v>132-7300</v>
      </c>
      <c r="Q1681" s="315" t="str">
        <f t="shared" si="149"/>
        <v>LEX Admin &amp; Other</v>
      </c>
      <c r="R1681" s="315" t="str">
        <f t="shared" si="150"/>
        <v>LEX Admin &amp; OtherOther Overheads as % of Total Gross Profit</v>
      </c>
      <c r="S1681" s="199"/>
      <c r="T1681" s="199"/>
      <c r="U1681" s="199"/>
    </row>
    <row r="1682" spans="1:21" x14ac:dyDescent="0.25">
      <c r="A1682" t="s">
        <v>996</v>
      </c>
      <c r="B1682" t="s">
        <v>997</v>
      </c>
      <c r="C1682" t="s">
        <v>997</v>
      </c>
      <c r="D1682">
        <v>7300</v>
      </c>
      <c r="E1682">
        <v>130</v>
      </c>
      <c r="F1682" t="s">
        <v>998</v>
      </c>
      <c r="G1682" t="s">
        <v>999</v>
      </c>
      <c r="H1682" s="315" t="s">
        <v>1000</v>
      </c>
      <c r="I1682" s="315" t="s">
        <v>1001</v>
      </c>
      <c r="J1682" s="315" t="str">
        <f t="shared" si="146"/>
        <v>Admin &amp; OtherOther Overheads as % of Total Gross Profit</v>
      </c>
      <c r="K1682" s="315" t="str">
        <f t="shared" si="147"/>
        <v>130Miscellaneous expenses - Toyota</v>
      </c>
      <c r="L1682" s="311">
        <f>+SUMIF('TUNZ Extracted TB'!M:M,$P1682,'TUNZ Extracted TB'!G:G)</f>
        <v>0</v>
      </c>
      <c r="M1682" s="311"/>
      <c r="N1682" s="311">
        <f>+SUMIF('Input Sheet'!$AE:$AE,P1682,'Input Sheet'!$X:$X)</f>
        <v>0</v>
      </c>
      <c r="O1682" s="311"/>
      <c r="P1682" t="str">
        <f t="shared" si="148"/>
        <v>130-7300</v>
      </c>
      <c r="Q1682" s="315" t="str">
        <f t="shared" si="149"/>
        <v>Admin &amp; Other</v>
      </c>
      <c r="R1682" s="315" t="str">
        <f t="shared" si="150"/>
        <v>Admin &amp; OtherOther Overheads as % of Total Gross Profit</v>
      </c>
      <c r="S1682" s="199"/>
      <c r="T1682" s="199"/>
      <c r="U1682" s="199"/>
    </row>
    <row r="1683" spans="1:21" x14ac:dyDescent="0.25">
      <c r="A1683" t="s">
        <v>996</v>
      </c>
      <c r="B1683" t="s">
        <v>997</v>
      </c>
      <c r="C1683" t="s">
        <v>997</v>
      </c>
      <c r="D1683">
        <v>7300</v>
      </c>
      <c r="E1683">
        <v>112</v>
      </c>
      <c r="F1683" t="s">
        <v>1362</v>
      </c>
      <c r="G1683" t="s">
        <v>1363</v>
      </c>
      <c r="H1683" s="315" t="s">
        <v>1023</v>
      </c>
      <c r="I1683" s="315" t="s">
        <v>1001</v>
      </c>
      <c r="J1683" s="315" t="str">
        <f t="shared" si="146"/>
        <v>LEX Admin &amp; OtherOther Overheads as % of Total Gross Profit</v>
      </c>
      <c r="K1683" s="315" t="str">
        <f t="shared" si="147"/>
        <v>112Miscellaneous expenses - Lexus</v>
      </c>
      <c r="L1683" s="311">
        <f>+SUMIF('TUNZ Extracted TB'!M:M,$P1683,'TUNZ Extracted TB'!G:G)</f>
        <v>54.91</v>
      </c>
      <c r="M1683" s="311"/>
      <c r="N1683" s="311">
        <f>+SUMIF('Input Sheet'!$AE:$AE,P1683,'Input Sheet'!$X:$X)</f>
        <v>0</v>
      </c>
      <c r="O1683" s="311"/>
      <c r="P1683" t="str">
        <f t="shared" si="148"/>
        <v>112-7300</v>
      </c>
      <c r="Q1683" s="315" t="str">
        <f t="shared" si="149"/>
        <v>LEX Admin &amp; Other</v>
      </c>
      <c r="R1683" s="315" t="str">
        <f t="shared" si="150"/>
        <v>LEX Admin &amp; OtherOther Overheads as % of Total Gross Profit</v>
      </c>
      <c r="S1683" s="199"/>
      <c r="T1683" s="199"/>
      <c r="U1683" s="199"/>
    </row>
    <row r="1684" spans="1:21" x14ac:dyDescent="0.25">
      <c r="A1684" t="s">
        <v>996</v>
      </c>
      <c r="B1684" t="s">
        <v>997</v>
      </c>
      <c r="C1684" t="s">
        <v>997</v>
      </c>
      <c r="D1684">
        <v>7300</v>
      </c>
      <c r="E1684">
        <v>110</v>
      </c>
      <c r="F1684" t="s">
        <v>998</v>
      </c>
      <c r="G1684" t="s">
        <v>999</v>
      </c>
      <c r="H1684" s="315" t="s">
        <v>1000</v>
      </c>
      <c r="I1684" s="315" t="s">
        <v>1001</v>
      </c>
      <c r="J1684" s="315" t="str">
        <f t="shared" si="146"/>
        <v>Admin &amp; OtherOther Overheads as % of Total Gross Profit</v>
      </c>
      <c r="K1684" s="315" t="str">
        <f t="shared" si="147"/>
        <v>110Miscellaneous expenses - Toyota</v>
      </c>
      <c r="L1684" s="311">
        <f>+SUMIF('TUNZ Extracted TB'!M:M,$P1684,'TUNZ Extracted TB'!G:G)</f>
        <v>54.91</v>
      </c>
      <c r="M1684" s="311"/>
      <c r="N1684" s="311">
        <f>+SUMIF('Input Sheet'!$AE:$AE,P1684,'Input Sheet'!$X:$X)</f>
        <v>0</v>
      </c>
      <c r="O1684" s="311"/>
      <c r="P1684" t="str">
        <f t="shared" si="148"/>
        <v>110-7300</v>
      </c>
      <c r="Q1684" s="315" t="str">
        <f t="shared" si="149"/>
        <v>Admin &amp; Other</v>
      </c>
      <c r="R1684" s="315" t="str">
        <f t="shared" si="150"/>
        <v>Admin &amp; OtherOther Overheads as % of Total Gross Profit</v>
      </c>
      <c r="S1684" s="199"/>
      <c r="T1684" s="199"/>
      <c r="U1684" s="199"/>
    </row>
    <row r="1685" spans="1:21" x14ac:dyDescent="0.25">
      <c r="A1685" t="s">
        <v>996</v>
      </c>
      <c r="B1685" t="s">
        <v>997</v>
      </c>
      <c r="C1685" t="s">
        <v>997</v>
      </c>
      <c r="D1685">
        <v>7300</v>
      </c>
      <c r="E1685">
        <v>100</v>
      </c>
      <c r="F1685" t="s">
        <v>998</v>
      </c>
      <c r="G1685" t="s">
        <v>999</v>
      </c>
      <c r="H1685" s="315" t="s">
        <v>1000</v>
      </c>
      <c r="I1685" s="315" t="s">
        <v>1001</v>
      </c>
      <c r="J1685" s="315" t="str">
        <f t="shared" si="146"/>
        <v>Admin &amp; OtherOther Overheads as % of Total Gross Profit</v>
      </c>
      <c r="K1685" s="315" t="str">
        <f t="shared" si="147"/>
        <v>100Miscellaneous expenses - Toyota</v>
      </c>
      <c r="L1685" s="311">
        <f>+SUMIF('TUNZ Extracted TB'!M:M,$P1685,'TUNZ Extracted TB'!G:G)</f>
        <v>0</v>
      </c>
      <c r="M1685" s="311"/>
      <c r="N1685" s="311">
        <f>+SUMIF('Input Sheet'!$AE:$AE,P1685,'Input Sheet'!$X:$X)</f>
        <v>0</v>
      </c>
      <c r="O1685" s="311"/>
      <c r="P1685" t="str">
        <f t="shared" si="148"/>
        <v>100-7300</v>
      </c>
      <c r="Q1685" s="315" t="str">
        <f t="shared" si="149"/>
        <v>Admin &amp; Other</v>
      </c>
      <c r="R1685" s="315" t="str">
        <f t="shared" si="150"/>
        <v>Admin &amp; OtherOther Overheads as % of Total Gross Profit</v>
      </c>
      <c r="S1685" s="199"/>
      <c r="T1685" s="199"/>
      <c r="U1685" s="199"/>
    </row>
    <row r="1686" spans="1:21" x14ac:dyDescent="0.25">
      <c r="A1686" t="s">
        <v>996</v>
      </c>
      <c r="B1686" t="s">
        <v>997</v>
      </c>
      <c r="C1686" t="s">
        <v>997</v>
      </c>
      <c r="D1686">
        <v>7300</v>
      </c>
      <c r="E1686">
        <v>162</v>
      </c>
      <c r="F1686" t="s">
        <v>1362</v>
      </c>
      <c r="G1686" t="s">
        <v>1363</v>
      </c>
      <c r="H1686" s="315" t="s">
        <v>1023</v>
      </c>
      <c r="I1686" s="315" t="s">
        <v>1001</v>
      </c>
      <c r="J1686" s="315" t="str">
        <f t="shared" si="146"/>
        <v>LEX Admin &amp; OtherOther Overheads as % of Total Gross Profit</v>
      </c>
      <c r="K1686" s="315" t="str">
        <f t="shared" si="147"/>
        <v>162Miscellaneous expenses - Lexus</v>
      </c>
      <c r="L1686" s="311">
        <f>+SUMIF('TUNZ Extracted TB'!M:M,$P1686,'TUNZ Extracted TB'!G:G)</f>
        <v>0</v>
      </c>
      <c r="M1686" s="311"/>
      <c r="N1686" s="311">
        <f>+SUMIF('Input Sheet'!$AE:$AE,P1686,'Input Sheet'!$X:$X)</f>
        <v>0</v>
      </c>
      <c r="O1686" s="311"/>
      <c r="P1686" t="str">
        <f t="shared" si="148"/>
        <v>162-7300</v>
      </c>
      <c r="Q1686" s="315" t="str">
        <f t="shared" si="149"/>
        <v>LEX Admin &amp; Other</v>
      </c>
      <c r="R1686" s="315" t="str">
        <f t="shared" si="150"/>
        <v>LEX Admin &amp; OtherOther Overheads as % of Total Gross Profit</v>
      </c>
      <c r="S1686" s="199"/>
      <c r="T1686" s="199"/>
      <c r="U1686" s="199"/>
    </row>
    <row r="1687" spans="1:21" x14ac:dyDescent="0.25">
      <c r="A1687" t="s">
        <v>996</v>
      </c>
      <c r="B1687" t="s">
        <v>997</v>
      </c>
      <c r="C1687" t="s">
        <v>1005</v>
      </c>
      <c r="D1687">
        <v>7300</v>
      </c>
      <c r="E1687">
        <v>210</v>
      </c>
      <c r="F1687" t="s">
        <v>998</v>
      </c>
      <c r="G1687" t="s">
        <v>999</v>
      </c>
      <c r="H1687" s="315" t="s">
        <v>1000</v>
      </c>
      <c r="I1687" s="315" t="s">
        <v>1001</v>
      </c>
      <c r="J1687" s="315" t="str">
        <f t="shared" si="146"/>
        <v>Admin &amp; OtherOther Overheads as % of Total Gross Profit</v>
      </c>
      <c r="K1687" s="315" t="str">
        <f t="shared" si="147"/>
        <v>210Miscellaneous expenses - Toyota</v>
      </c>
      <c r="L1687" s="311">
        <f>+SUMIF('TUNZ Extracted TB'!M:M,$P1687,'TUNZ Extracted TB'!G:G)</f>
        <v>0</v>
      </c>
      <c r="M1687" s="311"/>
      <c r="N1687" s="311">
        <f>+SUMIF('Input Sheet'!$AE:$AE,P1687,'Input Sheet'!$X:$X)</f>
        <v>0</v>
      </c>
      <c r="O1687" s="311"/>
      <c r="P1687" t="str">
        <f t="shared" si="148"/>
        <v>210-7300</v>
      </c>
      <c r="Q1687" s="315" t="str">
        <f t="shared" si="149"/>
        <v>Admin &amp; Other</v>
      </c>
      <c r="R1687" s="315" t="str">
        <f t="shared" si="150"/>
        <v>Admin &amp; OtherOther Overheads as % of Total Gross Profit</v>
      </c>
      <c r="S1687" s="199"/>
      <c r="T1687" s="199"/>
      <c r="U1687" s="199"/>
    </row>
    <row r="1688" spans="1:21" x14ac:dyDescent="0.25">
      <c r="A1688" t="s">
        <v>996</v>
      </c>
      <c r="B1688" t="s">
        <v>997</v>
      </c>
      <c r="C1688" t="s">
        <v>1005</v>
      </c>
      <c r="D1688">
        <v>7300</v>
      </c>
      <c r="E1688">
        <v>220</v>
      </c>
      <c r="F1688" t="s">
        <v>998</v>
      </c>
      <c r="G1688" t="s">
        <v>999</v>
      </c>
      <c r="H1688" s="315" t="s">
        <v>1000</v>
      </c>
      <c r="I1688" s="315" t="s">
        <v>1001</v>
      </c>
      <c r="J1688" s="315" t="str">
        <f t="shared" si="146"/>
        <v>Admin &amp; OtherOther Overheads as % of Total Gross Profit</v>
      </c>
      <c r="K1688" s="315" t="str">
        <f t="shared" si="147"/>
        <v>220Miscellaneous expenses - Toyota</v>
      </c>
      <c r="L1688" s="311">
        <f>+SUMIF('TUNZ Extracted TB'!M:M,$P1688,'TUNZ Extracted TB'!G:G)</f>
        <v>54.91</v>
      </c>
      <c r="M1688" s="311"/>
      <c r="N1688" s="311">
        <f>+SUMIF('Input Sheet'!$AE:$AE,P1688,'Input Sheet'!$X:$X)</f>
        <v>0</v>
      </c>
      <c r="O1688" s="311"/>
      <c r="P1688" t="str">
        <f t="shared" si="148"/>
        <v>220-7300</v>
      </c>
      <c r="Q1688" s="315" t="str">
        <f t="shared" si="149"/>
        <v>Admin &amp; Other</v>
      </c>
      <c r="R1688" s="315" t="str">
        <f t="shared" si="150"/>
        <v>Admin &amp; OtherOther Overheads as % of Total Gross Profit</v>
      </c>
      <c r="S1688" s="199"/>
      <c r="T1688" s="199"/>
      <c r="U1688" s="199"/>
    </row>
    <row r="1689" spans="1:21" x14ac:dyDescent="0.25">
      <c r="A1689" t="s">
        <v>996</v>
      </c>
      <c r="B1689" t="s">
        <v>997</v>
      </c>
      <c r="C1689" t="s">
        <v>997</v>
      </c>
      <c r="D1689">
        <v>7300</v>
      </c>
      <c r="E1689">
        <v>120</v>
      </c>
      <c r="F1689" t="s">
        <v>998</v>
      </c>
      <c r="G1689" t="s">
        <v>999</v>
      </c>
      <c r="H1689" s="315" t="s">
        <v>1000</v>
      </c>
      <c r="I1689" s="315" t="s">
        <v>1001</v>
      </c>
      <c r="J1689" s="315" t="str">
        <f t="shared" si="146"/>
        <v>Admin &amp; OtherOther Overheads as % of Total Gross Profit</v>
      </c>
      <c r="K1689" s="315" t="str">
        <f t="shared" si="147"/>
        <v>120Miscellaneous expenses - Toyota</v>
      </c>
      <c r="L1689" s="311">
        <f>+SUMIF('TUNZ Extracted TB'!M:M,$P1689,'TUNZ Extracted TB'!G:G)</f>
        <v>54.91</v>
      </c>
      <c r="M1689" s="311"/>
      <c r="N1689" s="311">
        <f>+SUMIF('Input Sheet'!$AE:$AE,P1689,'Input Sheet'!$X:$X)</f>
        <v>0</v>
      </c>
      <c r="O1689" s="311"/>
      <c r="P1689" t="str">
        <f t="shared" si="148"/>
        <v>120-7300</v>
      </c>
      <c r="Q1689" s="315" t="str">
        <f t="shared" si="149"/>
        <v>Admin &amp; Other</v>
      </c>
      <c r="R1689" s="315" t="str">
        <f t="shared" si="150"/>
        <v>Admin &amp; OtherOther Overheads as % of Total Gross Profit</v>
      </c>
      <c r="S1689" s="199"/>
      <c r="T1689" s="199"/>
      <c r="U1689" s="199"/>
    </row>
    <row r="1690" spans="1:21" x14ac:dyDescent="0.25">
      <c r="A1690" t="s">
        <v>996</v>
      </c>
      <c r="B1690" t="s">
        <v>997</v>
      </c>
      <c r="C1690" t="s">
        <v>1005</v>
      </c>
      <c r="D1690">
        <v>7300</v>
      </c>
      <c r="E1690">
        <v>240</v>
      </c>
      <c r="F1690" t="s">
        <v>998</v>
      </c>
      <c r="G1690" t="s">
        <v>999</v>
      </c>
      <c r="H1690" s="315" t="s">
        <v>1000</v>
      </c>
      <c r="I1690" s="315" t="s">
        <v>1001</v>
      </c>
      <c r="J1690" s="315" t="str">
        <f t="shared" si="146"/>
        <v>Admin &amp; OtherOther Overheads as % of Total Gross Profit</v>
      </c>
      <c r="K1690" s="315" t="str">
        <f t="shared" si="147"/>
        <v>240Miscellaneous expenses - Toyota</v>
      </c>
      <c r="L1690" s="311">
        <f>+SUMIF('TUNZ Extracted TB'!M:M,$P1690,'TUNZ Extracted TB'!G:G)</f>
        <v>0</v>
      </c>
      <c r="M1690" s="311"/>
      <c r="N1690" s="311">
        <f>+SUMIF('Input Sheet'!$AE:$AE,P1690,'Input Sheet'!$X:$X)</f>
        <v>0</v>
      </c>
      <c r="O1690" s="311"/>
      <c r="P1690" t="str">
        <f t="shared" si="148"/>
        <v>240-7300</v>
      </c>
      <c r="Q1690" s="315" t="str">
        <f t="shared" si="149"/>
        <v>Admin &amp; Other</v>
      </c>
      <c r="R1690" s="315" t="str">
        <f t="shared" si="150"/>
        <v>Admin &amp; OtherOther Overheads as % of Total Gross Profit</v>
      </c>
      <c r="S1690" s="199"/>
      <c r="T1690" s="199"/>
      <c r="U1690" s="199"/>
    </row>
    <row r="1691" spans="1:21" x14ac:dyDescent="0.25">
      <c r="A1691" t="s">
        <v>996</v>
      </c>
      <c r="B1691" t="s">
        <v>997</v>
      </c>
      <c r="C1691" t="s">
        <v>997</v>
      </c>
      <c r="D1691">
        <v>7300</v>
      </c>
      <c r="E1691">
        <v>121</v>
      </c>
      <c r="F1691" t="s">
        <v>998</v>
      </c>
      <c r="G1691" t="s">
        <v>999</v>
      </c>
      <c r="H1691" s="315" t="s">
        <v>1000</v>
      </c>
      <c r="I1691" s="315" t="s">
        <v>1001</v>
      </c>
      <c r="J1691" s="315" t="str">
        <f t="shared" si="146"/>
        <v>Admin &amp; OtherOther Overheads as % of Total Gross Profit</v>
      </c>
      <c r="K1691" s="315" t="str">
        <f t="shared" si="147"/>
        <v>121Miscellaneous expenses - Toyota</v>
      </c>
      <c r="L1691" s="311">
        <f>+SUMIF('TUNZ Extracted TB'!M:M,$P1691,'TUNZ Extracted TB'!G:G)</f>
        <v>0</v>
      </c>
      <c r="M1691" s="311"/>
      <c r="N1691" s="311">
        <f>+SUMIF('Input Sheet'!$AE:$AE,P1691,'Input Sheet'!$X:$X)</f>
        <v>0</v>
      </c>
      <c r="O1691" s="311"/>
      <c r="P1691" t="str">
        <f t="shared" si="148"/>
        <v>121-7300</v>
      </c>
      <c r="Q1691" s="315" t="str">
        <f t="shared" si="149"/>
        <v>Admin &amp; Other</v>
      </c>
      <c r="R1691" s="315" t="str">
        <f t="shared" si="150"/>
        <v>Admin &amp; OtherOther Overheads as % of Total Gross Profit</v>
      </c>
      <c r="S1691" s="199"/>
      <c r="T1691" s="199"/>
      <c r="U1691" s="199"/>
    </row>
    <row r="1692" spans="1:21" x14ac:dyDescent="0.25">
      <c r="A1692" t="s">
        <v>996</v>
      </c>
      <c r="B1692" t="s">
        <v>997</v>
      </c>
      <c r="C1692" t="s">
        <v>1013</v>
      </c>
      <c r="D1692">
        <v>7300</v>
      </c>
      <c r="E1692">
        <v>340</v>
      </c>
      <c r="F1692" t="s">
        <v>998</v>
      </c>
      <c r="G1692" t="s">
        <v>999</v>
      </c>
      <c r="H1692" s="315" t="s">
        <v>1000</v>
      </c>
      <c r="I1692" s="315" t="s">
        <v>1001</v>
      </c>
      <c r="J1692" s="315" t="str">
        <f t="shared" si="146"/>
        <v>Admin &amp; OtherOther Overheads as % of Total Gross Profit</v>
      </c>
      <c r="K1692" s="315" t="str">
        <f t="shared" si="147"/>
        <v>340Miscellaneous expenses - Toyota</v>
      </c>
      <c r="L1692" s="311">
        <f>+SUMIF('TUNZ Extracted TB'!M:M,$P1692,'TUNZ Extracted TB'!G:G)</f>
        <v>0</v>
      </c>
      <c r="M1692" s="311"/>
      <c r="N1692" s="311">
        <f>+SUMIF('Input Sheet'!$AE:$AE,P1692,'Input Sheet'!$X:$X)</f>
        <v>0</v>
      </c>
      <c r="O1692" s="311"/>
      <c r="P1692" t="str">
        <f t="shared" si="148"/>
        <v>340-7300</v>
      </c>
      <c r="Q1692" s="315" t="str">
        <f t="shared" si="149"/>
        <v>Admin &amp; Other</v>
      </c>
      <c r="R1692" s="315" t="str">
        <f t="shared" si="150"/>
        <v>Admin &amp; OtherOther Overheads as % of Total Gross Profit</v>
      </c>
      <c r="S1692" s="199"/>
      <c r="T1692" s="199"/>
      <c r="U1692" s="199"/>
    </row>
    <row r="1693" spans="1:21" x14ac:dyDescent="0.25">
      <c r="A1693" t="s">
        <v>996</v>
      </c>
      <c r="B1693" t="s">
        <v>997</v>
      </c>
      <c r="C1693" t="s">
        <v>1012</v>
      </c>
      <c r="D1693">
        <v>7300</v>
      </c>
      <c r="E1693">
        <v>440</v>
      </c>
      <c r="F1693" t="s">
        <v>998</v>
      </c>
      <c r="G1693" t="s">
        <v>999</v>
      </c>
      <c r="H1693" s="315" t="s">
        <v>1000</v>
      </c>
      <c r="I1693" s="315" t="s">
        <v>1001</v>
      </c>
      <c r="J1693" s="315" t="str">
        <f t="shared" si="146"/>
        <v>Admin &amp; OtherOther Overheads as % of Total Gross Profit</v>
      </c>
      <c r="K1693" s="315" t="str">
        <f t="shared" si="147"/>
        <v>440Miscellaneous expenses - Toyota</v>
      </c>
      <c r="L1693" s="311">
        <f>+SUMIF('TUNZ Extracted TB'!M:M,$P1693,'TUNZ Extracted TB'!G:G)</f>
        <v>0</v>
      </c>
      <c r="M1693" s="311"/>
      <c r="N1693" s="311">
        <f>+SUMIF('Input Sheet'!$AE:$AE,P1693,'Input Sheet'!$X:$X)</f>
        <v>0</v>
      </c>
      <c r="O1693" s="311"/>
      <c r="P1693" t="str">
        <f t="shared" si="148"/>
        <v>440-7300</v>
      </c>
      <c r="Q1693" s="315" t="str">
        <f t="shared" si="149"/>
        <v>Admin &amp; Other</v>
      </c>
      <c r="R1693" s="315" t="str">
        <f t="shared" si="150"/>
        <v>Admin &amp; OtherOther Overheads as % of Total Gross Profit</v>
      </c>
      <c r="S1693" s="199"/>
      <c r="T1693" s="199"/>
      <c r="U1693" s="199"/>
    </row>
    <row r="1694" spans="1:21" x14ac:dyDescent="0.25">
      <c r="A1694" t="s">
        <v>996</v>
      </c>
      <c r="B1694" t="s">
        <v>997</v>
      </c>
      <c r="C1694" t="s">
        <v>1005</v>
      </c>
      <c r="D1694">
        <v>7300</v>
      </c>
      <c r="E1694">
        <v>200</v>
      </c>
      <c r="F1694" t="s">
        <v>998</v>
      </c>
      <c r="G1694" t="s">
        <v>999</v>
      </c>
      <c r="H1694" s="315" t="s">
        <v>1000</v>
      </c>
      <c r="I1694" s="315" t="s">
        <v>1001</v>
      </c>
      <c r="J1694" s="315" t="str">
        <f t="shared" si="146"/>
        <v>Admin &amp; OtherOther Overheads as % of Total Gross Profit</v>
      </c>
      <c r="K1694" s="315" t="str">
        <f t="shared" si="147"/>
        <v>200Miscellaneous expenses - Toyota</v>
      </c>
      <c r="L1694" s="311">
        <f>+SUMIF('TUNZ Extracted TB'!M:M,$P1694,'TUNZ Extracted TB'!G:G)</f>
        <v>0</v>
      </c>
      <c r="M1694" s="311"/>
      <c r="N1694" s="311">
        <f>+SUMIF('Input Sheet'!$AE:$AE,P1694,'Input Sheet'!$X:$X)</f>
        <v>0</v>
      </c>
      <c r="O1694" s="311"/>
      <c r="P1694" t="str">
        <f t="shared" si="148"/>
        <v>200-7300</v>
      </c>
      <c r="Q1694" s="315" t="str">
        <f t="shared" si="149"/>
        <v>Admin &amp; Other</v>
      </c>
      <c r="R1694" s="315" t="str">
        <f t="shared" si="150"/>
        <v>Admin &amp; OtherOther Overheads as % of Total Gross Profit</v>
      </c>
      <c r="S1694" s="199"/>
      <c r="T1694" s="199"/>
      <c r="U1694" s="199"/>
    </row>
    <row r="1695" spans="1:21" x14ac:dyDescent="0.25">
      <c r="A1695" t="s">
        <v>996</v>
      </c>
      <c r="B1695" t="s">
        <v>997</v>
      </c>
      <c r="C1695" t="s">
        <v>1005</v>
      </c>
      <c r="D1695">
        <v>7300</v>
      </c>
      <c r="E1695">
        <v>221</v>
      </c>
      <c r="F1695" t="s">
        <v>998</v>
      </c>
      <c r="G1695" t="s">
        <v>999</v>
      </c>
      <c r="H1695" s="315" t="s">
        <v>1000</v>
      </c>
      <c r="I1695" s="315" t="s">
        <v>1001</v>
      </c>
      <c r="J1695" s="315" t="str">
        <f t="shared" si="146"/>
        <v>Admin &amp; OtherOther Overheads as % of Total Gross Profit</v>
      </c>
      <c r="K1695" s="315" t="str">
        <f t="shared" si="147"/>
        <v>221Miscellaneous expenses - Toyota</v>
      </c>
      <c r="L1695" s="311">
        <f>+SUMIF('TUNZ Extracted TB'!M:M,$P1695,'TUNZ Extracted TB'!G:G)</f>
        <v>0</v>
      </c>
      <c r="M1695" s="311"/>
      <c r="N1695" s="311">
        <f>+SUMIF('Input Sheet'!$AE:$AE,P1695,'Input Sheet'!$X:$X)</f>
        <v>0</v>
      </c>
      <c r="O1695" s="311"/>
      <c r="P1695" t="str">
        <f t="shared" si="148"/>
        <v>221-7300</v>
      </c>
      <c r="Q1695" s="315" t="str">
        <f t="shared" si="149"/>
        <v>Admin &amp; Other</v>
      </c>
      <c r="R1695" s="315" t="str">
        <f t="shared" si="150"/>
        <v>Admin &amp; OtherOther Overheads as % of Total Gross Profit</v>
      </c>
      <c r="S1695" s="199"/>
      <c r="T1695" s="199"/>
      <c r="U1695" s="199"/>
    </row>
    <row r="1696" spans="1:21" x14ac:dyDescent="0.25">
      <c r="A1696" t="s">
        <v>996</v>
      </c>
      <c r="B1696" t="s">
        <v>997</v>
      </c>
      <c r="C1696" t="s">
        <v>1005</v>
      </c>
      <c r="D1696">
        <v>7300</v>
      </c>
      <c r="E1696">
        <v>230</v>
      </c>
      <c r="F1696" t="s">
        <v>998</v>
      </c>
      <c r="G1696" t="s">
        <v>999</v>
      </c>
      <c r="H1696" s="315" t="s">
        <v>1000</v>
      </c>
      <c r="I1696" s="315" t="s">
        <v>1001</v>
      </c>
      <c r="J1696" s="315" t="str">
        <f t="shared" si="146"/>
        <v>Admin &amp; OtherOther Overheads as % of Total Gross Profit</v>
      </c>
      <c r="K1696" s="315" t="str">
        <f t="shared" si="147"/>
        <v>230Miscellaneous expenses - Toyota</v>
      </c>
      <c r="L1696" s="311">
        <f>+SUMIF('TUNZ Extracted TB'!M:M,$P1696,'TUNZ Extracted TB'!G:G)</f>
        <v>0</v>
      </c>
      <c r="M1696" s="311"/>
      <c r="N1696" s="311">
        <f>+SUMIF('Input Sheet'!$AE:$AE,P1696,'Input Sheet'!$X:$X)</f>
        <v>0</v>
      </c>
      <c r="O1696" s="311"/>
      <c r="P1696" t="str">
        <f t="shared" si="148"/>
        <v>230-7300</v>
      </c>
      <c r="Q1696" s="315" t="str">
        <f t="shared" si="149"/>
        <v>Admin &amp; Other</v>
      </c>
      <c r="R1696" s="315" t="str">
        <f t="shared" si="150"/>
        <v>Admin &amp; OtherOther Overheads as % of Total Gross Profit</v>
      </c>
      <c r="S1696" s="199"/>
      <c r="T1696" s="199"/>
      <c r="U1696" s="199"/>
    </row>
    <row r="1697" spans="1:21" x14ac:dyDescent="0.25">
      <c r="A1697" t="s">
        <v>996</v>
      </c>
      <c r="B1697" t="s">
        <v>997</v>
      </c>
      <c r="C1697" t="s">
        <v>1005</v>
      </c>
      <c r="D1697">
        <v>7300</v>
      </c>
      <c r="E1697">
        <v>260</v>
      </c>
      <c r="F1697" t="s">
        <v>998</v>
      </c>
      <c r="G1697" t="s">
        <v>999</v>
      </c>
      <c r="H1697" s="315" t="s">
        <v>1000</v>
      </c>
      <c r="I1697" s="315" t="s">
        <v>1001</v>
      </c>
      <c r="J1697" s="315" t="str">
        <f t="shared" si="146"/>
        <v>Admin &amp; OtherOther Overheads as % of Total Gross Profit</v>
      </c>
      <c r="K1697" s="315" t="str">
        <f t="shared" si="147"/>
        <v>260Miscellaneous expenses - Toyota</v>
      </c>
      <c r="L1697" s="311">
        <f>+SUMIF('TUNZ Extracted TB'!M:M,$P1697,'TUNZ Extracted TB'!G:G)</f>
        <v>0</v>
      </c>
      <c r="M1697" s="311"/>
      <c r="N1697" s="311">
        <f>+SUMIF('Input Sheet'!$AE:$AE,P1697,'Input Sheet'!$X:$X)</f>
        <v>0</v>
      </c>
      <c r="O1697" s="311"/>
      <c r="P1697" t="str">
        <f t="shared" si="148"/>
        <v>260-7300</v>
      </c>
      <c r="Q1697" s="315" t="str">
        <f t="shared" si="149"/>
        <v>Admin &amp; Other</v>
      </c>
      <c r="R1697" s="315" t="str">
        <f t="shared" si="150"/>
        <v>Admin &amp; OtherOther Overheads as % of Total Gross Profit</v>
      </c>
      <c r="S1697" s="199"/>
      <c r="T1697" s="199"/>
      <c r="U1697" s="199"/>
    </row>
    <row r="1698" spans="1:21" x14ac:dyDescent="0.25">
      <c r="A1698" t="s">
        <v>996</v>
      </c>
      <c r="B1698" t="s">
        <v>997</v>
      </c>
      <c r="C1698" t="s">
        <v>1012</v>
      </c>
      <c r="D1698">
        <v>7300</v>
      </c>
      <c r="E1698">
        <v>400</v>
      </c>
      <c r="F1698" t="s">
        <v>998</v>
      </c>
      <c r="G1698" t="s">
        <v>999</v>
      </c>
      <c r="H1698" s="315" t="s">
        <v>1000</v>
      </c>
      <c r="I1698" s="315" t="s">
        <v>1001</v>
      </c>
      <c r="J1698" s="315" t="str">
        <f t="shared" si="146"/>
        <v>Admin &amp; OtherOther Overheads as % of Total Gross Profit</v>
      </c>
      <c r="K1698" s="315" t="str">
        <f t="shared" si="147"/>
        <v>400Miscellaneous expenses - Toyota</v>
      </c>
      <c r="L1698" s="311">
        <f>+SUMIF('TUNZ Extracted TB'!M:M,$P1698,'TUNZ Extracted TB'!G:G)</f>
        <v>0</v>
      </c>
      <c r="M1698" s="311"/>
      <c r="N1698" s="311">
        <f>+SUMIF('Input Sheet'!$AE:$AE,P1698,'Input Sheet'!$X:$X)</f>
        <v>0</v>
      </c>
      <c r="O1698" s="311"/>
      <c r="P1698" t="str">
        <f t="shared" si="148"/>
        <v>400-7300</v>
      </c>
      <c r="Q1698" s="315" t="str">
        <f t="shared" si="149"/>
        <v>Admin &amp; Other</v>
      </c>
      <c r="R1698" s="315" t="str">
        <f t="shared" si="150"/>
        <v>Admin &amp; OtherOther Overheads as % of Total Gross Profit</v>
      </c>
      <c r="S1698" s="199"/>
      <c r="T1698" s="199"/>
      <c r="U1698" s="199"/>
    </row>
    <row r="1699" spans="1:21" x14ac:dyDescent="0.25">
      <c r="A1699" t="s">
        <v>996</v>
      </c>
      <c r="B1699" t="s">
        <v>997</v>
      </c>
      <c r="C1699" t="s">
        <v>1012</v>
      </c>
      <c r="D1699">
        <v>7300</v>
      </c>
      <c r="E1699">
        <v>410</v>
      </c>
      <c r="F1699" t="s">
        <v>998</v>
      </c>
      <c r="G1699" t="s">
        <v>999</v>
      </c>
      <c r="H1699" s="315" t="s">
        <v>1000</v>
      </c>
      <c r="I1699" s="315" t="s">
        <v>1001</v>
      </c>
      <c r="J1699" s="315" t="str">
        <f t="shared" si="146"/>
        <v>Admin &amp; OtherOther Overheads as % of Total Gross Profit</v>
      </c>
      <c r="K1699" s="315" t="str">
        <f t="shared" si="147"/>
        <v>410Miscellaneous expenses - Toyota</v>
      </c>
      <c r="L1699" s="311">
        <f>+SUMIF('TUNZ Extracted TB'!M:M,$P1699,'TUNZ Extracted TB'!G:G)</f>
        <v>0</v>
      </c>
      <c r="M1699" s="311"/>
      <c r="N1699" s="311">
        <f>+SUMIF('Input Sheet'!$AE:$AE,P1699,'Input Sheet'!$X:$X)</f>
        <v>0</v>
      </c>
      <c r="O1699" s="311"/>
      <c r="P1699" t="str">
        <f t="shared" si="148"/>
        <v>410-7300</v>
      </c>
      <c r="Q1699" s="315" t="str">
        <f t="shared" si="149"/>
        <v>Admin &amp; Other</v>
      </c>
      <c r="R1699" s="315" t="str">
        <f t="shared" si="150"/>
        <v>Admin &amp; OtherOther Overheads as % of Total Gross Profit</v>
      </c>
      <c r="S1699" s="199"/>
      <c r="T1699" s="199"/>
      <c r="U1699" s="199"/>
    </row>
    <row r="1700" spans="1:21" x14ac:dyDescent="0.25">
      <c r="A1700" t="s">
        <v>996</v>
      </c>
      <c r="B1700" t="s">
        <v>997</v>
      </c>
      <c r="C1700" t="s">
        <v>1012</v>
      </c>
      <c r="D1700">
        <v>7300</v>
      </c>
      <c r="E1700">
        <v>420</v>
      </c>
      <c r="F1700" t="s">
        <v>998</v>
      </c>
      <c r="G1700" t="s">
        <v>999</v>
      </c>
      <c r="H1700" s="315" t="s">
        <v>1000</v>
      </c>
      <c r="I1700" s="315" t="s">
        <v>1001</v>
      </c>
      <c r="J1700" s="315" t="str">
        <f t="shared" si="146"/>
        <v>Admin &amp; OtherOther Overheads as % of Total Gross Profit</v>
      </c>
      <c r="K1700" s="315" t="str">
        <f t="shared" si="147"/>
        <v>420Miscellaneous expenses - Toyota</v>
      </c>
      <c r="L1700" s="311">
        <f>+SUMIF('TUNZ Extracted TB'!M:M,$P1700,'TUNZ Extracted TB'!G:G)</f>
        <v>0</v>
      </c>
      <c r="M1700" s="311"/>
      <c r="N1700" s="311">
        <f>+SUMIF('Input Sheet'!$AE:$AE,P1700,'Input Sheet'!$X:$X)</f>
        <v>0</v>
      </c>
      <c r="O1700" s="311"/>
      <c r="P1700" t="str">
        <f t="shared" si="148"/>
        <v>420-7300</v>
      </c>
      <c r="Q1700" s="315" t="str">
        <f t="shared" si="149"/>
        <v>Admin &amp; Other</v>
      </c>
      <c r="R1700" s="315" t="str">
        <f t="shared" si="150"/>
        <v>Admin &amp; OtherOther Overheads as % of Total Gross Profit</v>
      </c>
      <c r="S1700" s="199"/>
      <c r="T1700" s="199"/>
      <c r="U1700" s="199"/>
    </row>
    <row r="1701" spans="1:21" x14ac:dyDescent="0.25">
      <c r="A1701" t="s">
        <v>996</v>
      </c>
      <c r="B1701" t="s">
        <v>997</v>
      </c>
      <c r="C1701" t="s">
        <v>1012</v>
      </c>
      <c r="D1701">
        <v>7300</v>
      </c>
      <c r="E1701">
        <v>421</v>
      </c>
      <c r="F1701" t="s">
        <v>998</v>
      </c>
      <c r="G1701" t="s">
        <v>999</v>
      </c>
      <c r="H1701" s="315" t="s">
        <v>1000</v>
      </c>
      <c r="I1701" s="315" t="s">
        <v>1001</v>
      </c>
      <c r="J1701" s="315" t="str">
        <f t="shared" si="146"/>
        <v>Admin &amp; OtherOther Overheads as % of Total Gross Profit</v>
      </c>
      <c r="K1701" s="315" t="str">
        <f t="shared" si="147"/>
        <v>421Miscellaneous expenses - Toyota</v>
      </c>
      <c r="L1701" s="311">
        <f>+SUMIF('TUNZ Extracted TB'!M:M,$P1701,'TUNZ Extracted TB'!G:G)</f>
        <v>0</v>
      </c>
      <c r="M1701" s="311"/>
      <c r="N1701" s="311">
        <f>+SUMIF('Input Sheet'!$AE:$AE,P1701,'Input Sheet'!$X:$X)</f>
        <v>0</v>
      </c>
      <c r="O1701" s="311"/>
      <c r="P1701" t="str">
        <f t="shared" si="148"/>
        <v>421-7300</v>
      </c>
      <c r="Q1701" s="315" t="str">
        <f t="shared" si="149"/>
        <v>Admin &amp; Other</v>
      </c>
      <c r="R1701" s="315" t="str">
        <f t="shared" si="150"/>
        <v>Admin &amp; OtherOther Overheads as % of Total Gross Profit</v>
      </c>
      <c r="S1701" s="199"/>
      <c r="T1701" s="199"/>
      <c r="U1701" s="199"/>
    </row>
    <row r="1702" spans="1:21" x14ac:dyDescent="0.25">
      <c r="A1702" t="s">
        <v>996</v>
      </c>
      <c r="B1702" t="s">
        <v>997</v>
      </c>
      <c r="C1702" t="s">
        <v>1012</v>
      </c>
      <c r="D1702">
        <v>7300</v>
      </c>
      <c r="E1702">
        <v>430</v>
      </c>
      <c r="F1702" t="s">
        <v>998</v>
      </c>
      <c r="G1702" t="s">
        <v>999</v>
      </c>
      <c r="H1702" s="315" t="s">
        <v>1000</v>
      </c>
      <c r="I1702" s="315" t="s">
        <v>1001</v>
      </c>
      <c r="J1702" s="315" t="str">
        <f t="shared" si="146"/>
        <v>Admin &amp; OtherOther Overheads as % of Total Gross Profit</v>
      </c>
      <c r="K1702" s="315" t="str">
        <f t="shared" si="147"/>
        <v>430Miscellaneous expenses - Toyota</v>
      </c>
      <c r="L1702" s="311">
        <f>+SUMIF('TUNZ Extracted TB'!M:M,$P1702,'TUNZ Extracted TB'!G:G)</f>
        <v>0</v>
      </c>
      <c r="M1702" s="311"/>
      <c r="N1702" s="311">
        <f>+SUMIF('Input Sheet'!$AE:$AE,P1702,'Input Sheet'!$X:$X)</f>
        <v>0</v>
      </c>
      <c r="O1702" s="311"/>
      <c r="P1702" t="str">
        <f t="shared" si="148"/>
        <v>430-7300</v>
      </c>
      <c r="Q1702" s="315" t="str">
        <f t="shared" si="149"/>
        <v>Admin &amp; Other</v>
      </c>
      <c r="R1702" s="315" t="str">
        <f t="shared" si="150"/>
        <v>Admin &amp; OtherOther Overheads as % of Total Gross Profit</v>
      </c>
      <c r="S1702" s="199"/>
      <c r="T1702" s="199"/>
      <c r="U1702" s="199"/>
    </row>
    <row r="1703" spans="1:21" x14ac:dyDescent="0.25">
      <c r="A1703" t="s">
        <v>996</v>
      </c>
      <c r="B1703" t="s">
        <v>997</v>
      </c>
      <c r="C1703" t="s">
        <v>1012</v>
      </c>
      <c r="D1703">
        <v>7300</v>
      </c>
      <c r="E1703">
        <v>460</v>
      </c>
      <c r="F1703" t="s">
        <v>998</v>
      </c>
      <c r="G1703" t="s">
        <v>999</v>
      </c>
      <c r="H1703" s="315" t="s">
        <v>1000</v>
      </c>
      <c r="I1703" s="315" t="s">
        <v>1001</v>
      </c>
      <c r="J1703" s="315" t="str">
        <f t="shared" si="146"/>
        <v>Admin &amp; OtherOther Overheads as % of Total Gross Profit</v>
      </c>
      <c r="K1703" s="315" t="str">
        <f t="shared" si="147"/>
        <v>460Miscellaneous expenses - Toyota</v>
      </c>
      <c r="L1703" s="311">
        <f>+SUMIF('TUNZ Extracted TB'!M:M,$P1703,'TUNZ Extracted TB'!G:G)</f>
        <v>0</v>
      </c>
      <c r="M1703" s="311"/>
      <c r="N1703" s="311">
        <f>+SUMIF('Input Sheet'!$AE:$AE,P1703,'Input Sheet'!$X:$X)</f>
        <v>0</v>
      </c>
      <c r="O1703" s="311"/>
      <c r="P1703" t="str">
        <f t="shared" si="148"/>
        <v>460-7300</v>
      </c>
      <c r="Q1703" s="315" t="str">
        <f t="shared" si="149"/>
        <v>Admin &amp; Other</v>
      </c>
      <c r="R1703" s="315" t="str">
        <f t="shared" si="150"/>
        <v>Admin &amp; OtherOther Overheads as % of Total Gross Profit</v>
      </c>
      <c r="S1703" s="199"/>
      <c r="T1703" s="199"/>
      <c r="U1703" s="199"/>
    </row>
    <row r="1704" spans="1:21" x14ac:dyDescent="0.25">
      <c r="A1704" t="s">
        <v>996</v>
      </c>
      <c r="B1704" t="s">
        <v>997</v>
      </c>
      <c r="C1704" t="s">
        <v>1013</v>
      </c>
      <c r="D1704">
        <v>7300</v>
      </c>
      <c r="E1704">
        <v>300</v>
      </c>
      <c r="F1704" t="s">
        <v>998</v>
      </c>
      <c r="G1704" t="s">
        <v>999</v>
      </c>
      <c r="H1704" s="315" t="s">
        <v>1000</v>
      </c>
      <c r="I1704" s="315" t="s">
        <v>1001</v>
      </c>
      <c r="J1704" s="315" t="str">
        <f t="shared" si="146"/>
        <v>Admin &amp; OtherOther Overheads as % of Total Gross Profit</v>
      </c>
      <c r="K1704" s="315" t="str">
        <f t="shared" si="147"/>
        <v>300Miscellaneous expenses - Toyota</v>
      </c>
      <c r="L1704" s="311">
        <f>+SUMIF('TUNZ Extracted TB'!M:M,$P1704,'TUNZ Extracted TB'!G:G)</f>
        <v>0</v>
      </c>
      <c r="M1704" s="311"/>
      <c r="N1704" s="311">
        <f>+SUMIF('Input Sheet'!$AE:$AE,P1704,'Input Sheet'!$X:$X)</f>
        <v>0</v>
      </c>
      <c r="O1704" s="311"/>
      <c r="P1704" t="str">
        <f t="shared" si="148"/>
        <v>300-7300</v>
      </c>
      <c r="Q1704" s="315" t="str">
        <f t="shared" si="149"/>
        <v>Admin &amp; Other</v>
      </c>
      <c r="R1704" s="315" t="str">
        <f t="shared" si="150"/>
        <v>Admin &amp; OtherOther Overheads as % of Total Gross Profit</v>
      </c>
      <c r="S1704" s="199"/>
      <c r="T1704" s="199"/>
      <c r="U1704" s="199"/>
    </row>
    <row r="1705" spans="1:21" x14ac:dyDescent="0.25">
      <c r="A1705" t="s">
        <v>996</v>
      </c>
      <c r="B1705" t="s">
        <v>997</v>
      </c>
      <c r="C1705" t="s">
        <v>1013</v>
      </c>
      <c r="D1705">
        <v>7300</v>
      </c>
      <c r="E1705">
        <v>310</v>
      </c>
      <c r="F1705" t="s">
        <v>998</v>
      </c>
      <c r="G1705" t="s">
        <v>999</v>
      </c>
      <c r="H1705" s="315" t="s">
        <v>1000</v>
      </c>
      <c r="I1705" s="315" t="s">
        <v>1001</v>
      </c>
      <c r="J1705" s="315" t="str">
        <f t="shared" si="146"/>
        <v>Admin &amp; OtherOther Overheads as % of Total Gross Profit</v>
      </c>
      <c r="K1705" s="315" t="str">
        <f t="shared" si="147"/>
        <v>310Miscellaneous expenses - Toyota</v>
      </c>
      <c r="L1705" s="311">
        <f>+SUMIF('TUNZ Extracted TB'!M:M,$P1705,'TUNZ Extracted TB'!G:G)</f>
        <v>0</v>
      </c>
      <c r="M1705" s="311"/>
      <c r="N1705" s="311">
        <f>+SUMIF('Input Sheet'!$AE:$AE,P1705,'Input Sheet'!$X:$X)</f>
        <v>0</v>
      </c>
      <c r="O1705" s="311"/>
      <c r="P1705" t="str">
        <f t="shared" si="148"/>
        <v>310-7300</v>
      </c>
      <c r="Q1705" s="315" t="str">
        <f t="shared" si="149"/>
        <v>Admin &amp; Other</v>
      </c>
      <c r="R1705" s="315" t="str">
        <f t="shared" si="150"/>
        <v>Admin &amp; OtherOther Overheads as % of Total Gross Profit</v>
      </c>
      <c r="S1705" s="199"/>
      <c r="T1705" s="199"/>
      <c r="U1705" s="199"/>
    </row>
    <row r="1706" spans="1:21" x14ac:dyDescent="0.25">
      <c r="A1706" t="s">
        <v>996</v>
      </c>
      <c r="B1706" t="s">
        <v>997</v>
      </c>
      <c r="C1706" t="s">
        <v>1013</v>
      </c>
      <c r="D1706">
        <v>7300</v>
      </c>
      <c r="E1706">
        <v>320</v>
      </c>
      <c r="F1706" t="s">
        <v>998</v>
      </c>
      <c r="G1706" t="s">
        <v>999</v>
      </c>
      <c r="H1706" s="315" t="s">
        <v>1000</v>
      </c>
      <c r="I1706" s="315" t="s">
        <v>1001</v>
      </c>
      <c r="J1706" s="315" t="str">
        <f t="shared" si="146"/>
        <v>Admin &amp; OtherOther Overheads as % of Total Gross Profit</v>
      </c>
      <c r="K1706" s="315" t="str">
        <f t="shared" si="147"/>
        <v>320Miscellaneous expenses - Toyota</v>
      </c>
      <c r="L1706" s="311">
        <f>+SUMIF('TUNZ Extracted TB'!M:M,$P1706,'TUNZ Extracted TB'!G:G)</f>
        <v>0</v>
      </c>
      <c r="M1706" s="311"/>
      <c r="N1706" s="311">
        <f>+SUMIF('Input Sheet'!$AE:$AE,P1706,'Input Sheet'!$X:$X)</f>
        <v>0</v>
      </c>
      <c r="O1706" s="311"/>
      <c r="P1706" t="str">
        <f t="shared" si="148"/>
        <v>320-7300</v>
      </c>
      <c r="Q1706" s="315" t="str">
        <f t="shared" si="149"/>
        <v>Admin &amp; Other</v>
      </c>
      <c r="R1706" s="315" t="str">
        <f t="shared" si="150"/>
        <v>Admin &amp; OtherOther Overheads as % of Total Gross Profit</v>
      </c>
      <c r="S1706" s="199"/>
      <c r="T1706" s="199"/>
      <c r="U1706" s="199"/>
    </row>
    <row r="1707" spans="1:21" x14ac:dyDescent="0.25">
      <c r="A1707" t="s">
        <v>996</v>
      </c>
      <c r="B1707" t="s">
        <v>997</v>
      </c>
      <c r="C1707" t="s">
        <v>1013</v>
      </c>
      <c r="D1707">
        <v>7300</v>
      </c>
      <c r="E1707">
        <v>321</v>
      </c>
      <c r="F1707" t="s">
        <v>998</v>
      </c>
      <c r="G1707" t="s">
        <v>999</v>
      </c>
      <c r="H1707" s="315" t="s">
        <v>1000</v>
      </c>
      <c r="I1707" s="315" t="s">
        <v>1001</v>
      </c>
      <c r="J1707" s="315" t="str">
        <f t="shared" si="146"/>
        <v>Admin &amp; OtherOther Overheads as % of Total Gross Profit</v>
      </c>
      <c r="K1707" s="315" t="str">
        <f t="shared" si="147"/>
        <v>321Miscellaneous expenses - Toyota</v>
      </c>
      <c r="L1707" s="311">
        <f>+SUMIF('TUNZ Extracted TB'!M:M,$P1707,'TUNZ Extracted TB'!G:G)</f>
        <v>0</v>
      </c>
      <c r="M1707" s="311"/>
      <c r="N1707" s="311">
        <f>+SUMIF('Input Sheet'!$AE:$AE,P1707,'Input Sheet'!$X:$X)</f>
        <v>0</v>
      </c>
      <c r="O1707" s="311"/>
      <c r="P1707" t="str">
        <f t="shared" si="148"/>
        <v>321-7300</v>
      </c>
      <c r="Q1707" s="315" t="str">
        <f t="shared" si="149"/>
        <v>Admin &amp; Other</v>
      </c>
      <c r="R1707" s="315" t="str">
        <f t="shared" si="150"/>
        <v>Admin &amp; OtherOther Overheads as % of Total Gross Profit</v>
      </c>
      <c r="S1707" s="199"/>
      <c r="T1707" s="199"/>
      <c r="U1707" s="199"/>
    </row>
    <row r="1708" spans="1:21" x14ac:dyDescent="0.25">
      <c r="A1708" t="s">
        <v>996</v>
      </c>
      <c r="B1708" t="s">
        <v>997</v>
      </c>
      <c r="C1708" t="s">
        <v>1013</v>
      </c>
      <c r="D1708">
        <v>7300</v>
      </c>
      <c r="E1708">
        <v>330</v>
      </c>
      <c r="F1708" t="s">
        <v>998</v>
      </c>
      <c r="G1708" t="s">
        <v>999</v>
      </c>
      <c r="H1708" s="315" t="s">
        <v>1000</v>
      </c>
      <c r="I1708" s="315" t="s">
        <v>1001</v>
      </c>
      <c r="J1708" s="315" t="str">
        <f t="shared" si="146"/>
        <v>Admin &amp; OtherOther Overheads as % of Total Gross Profit</v>
      </c>
      <c r="K1708" s="315" t="str">
        <f t="shared" si="147"/>
        <v>330Miscellaneous expenses - Toyota</v>
      </c>
      <c r="L1708" s="311">
        <f>+SUMIF('TUNZ Extracted TB'!M:M,$P1708,'TUNZ Extracted TB'!G:G)</f>
        <v>0</v>
      </c>
      <c r="M1708" s="311"/>
      <c r="N1708" s="311">
        <f>+SUMIF('Input Sheet'!$AE:$AE,P1708,'Input Sheet'!$X:$X)</f>
        <v>0</v>
      </c>
      <c r="O1708" s="311"/>
      <c r="P1708" t="str">
        <f t="shared" si="148"/>
        <v>330-7300</v>
      </c>
      <c r="Q1708" s="315" t="str">
        <f t="shared" si="149"/>
        <v>Admin &amp; Other</v>
      </c>
      <c r="R1708" s="315" t="str">
        <f t="shared" si="150"/>
        <v>Admin &amp; OtherOther Overheads as % of Total Gross Profit</v>
      </c>
      <c r="S1708" s="199"/>
      <c r="T1708" s="199"/>
      <c r="U1708" s="199"/>
    </row>
    <row r="1709" spans="1:21" x14ac:dyDescent="0.25">
      <c r="A1709" t="s">
        <v>996</v>
      </c>
      <c r="B1709" t="s">
        <v>997</v>
      </c>
      <c r="C1709" t="s">
        <v>1013</v>
      </c>
      <c r="D1709">
        <v>7300</v>
      </c>
      <c r="E1709">
        <v>360</v>
      </c>
      <c r="F1709" t="s">
        <v>998</v>
      </c>
      <c r="G1709" t="s">
        <v>999</v>
      </c>
      <c r="H1709" s="315" t="s">
        <v>1000</v>
      </c>
      <c r="I1709" s="315" t="s">
        <v>1001</v>
      </c>
      <c r="J1709" s="315" t="str">
        <f t="shared" si="146"/>
        <v>Admin &amp; OtherOther Overheads as % of Total Gross Profit</v>
      </c>
      <c r="K1709" s="315" t="str">
        <f t="shared" si="147"/>
        <v>360Miscellaneous expenses - Toyota</v>
      </c>
      <c r="L1709" s="311">
        <f>+SUMIF('TUNZ Extracted TB'!M:M,$P1709,'TUNZ Extracted TB'!G:G)</f>
        <v>0</v>
      </c>
      <c r="M1709" s="311"/>
      <c r="N1709" s="311">
        <f>+SUMIF('Input Sheet'!$AE:$AE,P1709,'Input Sheet'!$X:$X)</f>
        <v>0</v>
      </c>
      <c r="O1709" s="311"/>
      <c r="P1709" t="str">
        <f t="shared" si="148"/>
        <v>360-7300</v>
      </c>
      <c r="Q1709" s="315" t="str">
        <f t="shared" si="149"/>
        <v>Admin &amp; Other</v>
      </c>
      <c r="R1709" s="315" t="str">
        <f t="shared" si="150"/>
        <v>Admin &amp; OtherOther Overheads as % of Total Gross Profit</v>
      </c>
      <c r="S1709" s="199"/>
      <c r="T1709" s="199"/>
      <c r="U1709" s="199"/>
    </row>
    <row r="1710" spans="1:21" x14ac:dyDescent="0.25">
      <c r="A1710" t="s">
        <v>996</v>
      </c>
      <c r="B1710" t="s">
        <v>997</v>
      </c>
      <c r="C1710" t="s">
        <v>997</v>
      </c>
      <c r="D1710">
        <v>7300</v>
      </c>
      <c r="E1710">
        <v>160</v>
      </c>
      <c r="F1710" t="s">
        <v>998</v>
      </c>
      <c r="G1710" t="s">
        <v>999</v>
      </c>
      <c r="H1710" s="315" t="s">
        <v>1000</v>
      </c>
      <c r="I1710" s="315" t="s">
        <v>1001</v>
      </c>
      <c r="J1710" s="315" t="str">
        <f t="shared" si="146"/>
        <v>Admin &amp; OtherOther Overheads as % of Total Gross Profit</v>
      </c>
      <c r="K1710" s="315" t="str">
        <f t="shared" si="147"/>
        <v>160Miscellaneous expenses - Toyota</v>
      </c>
      <c r="L1710" s="311">
        <f>+SUMIF('TUNZ Extracted TB'!M:M,$P1710,'TUNZ Extracted TB'!G:G)</f>
        <v>0</v>
      </c>
      <c r="M1710" s="311"/>
      <c r="N1710" s="311">
        <f>+SUMIF('Input Sheet'!$AE:$AE,P1710,'Input Sheet'!$X:$X)</f>
        <v>0</v>
      </c>
      <c r="O1710" s="311"/>
      <c r="P1710" t="str">
        <f t="shared" si="148"/>
        <v>160-7300</v>
      </c>
      <c r="Q1710" s="315" t="str">
        <f t="shared" si="149"/>
        <v>Admin &amp; Other</v>
      </c>
      <c r="R1710" s="315" t="str">
        <f t="shared" si="150"/>
        <v>Admin &amp; OtherOther Overheads as % of Total Gross Profit</v>
      </c>
      <c r="S1710" s="199"/>
      <c r="T1710" s="199"/>
      <c r="U1710" s="199"/>
    </row>
    <row r="1711" spans="1:21" x14ac:dyDescent="0.25">
      <c r="A1711" t="s">
        <v>996</v>
      </c>
      <c r="B1711" t="s">
        <v>997</v>
      </c>
      <c r="C1711" t="s">
        <v>997</v>
      </c>
      <c r="D1711">
        <v>7300</v>
      </c>
      <c r="E1711">
        <v>170</v>
      </c>
      <c r="F1711" t="s">
        <v>998</v>
      </c>
      <c r="G1711" t="s">
        <v>999</v>
      </c>
      <c r="H1711" s="315" t="s">
        <v>1000</v>
      </c>
      <c r="I1711" s="315" t="s">
        <v>1001</v>
      </c>
      <c r="J1711" s="315" t="str">
        <f t="shared" si="146"/>
        <v>Admin &amp; OtherOther Overheads as % of Total Gross Profit</v>
      </c>
      <c r="K1711" s="315" t="str">
        <f t="shared" si="147"/>
        <v>170Miscellaneous expenses - Toyota</v>
      </c>
      <c r="L1711" s="311">
        <f>+SUMIF('TUNZ Extracted TB'!M:M,$P1711,'TUNZ Extracted TB'!G:G)</f>
        <v>0</v>
      </c>
      <c r="M1711" s="311"/>
      <c r="N1711" s="311">
        <f>+SUMIF('Input Sheet'!$AE:$AE,P1711,'Input Sheet'!$X:$X)</f>
        <v>0</v>
      </c>
      <c r="O1711" s="311"/>
      <c r="P1711" t="str">
        <f t="shared" si="148"/>
        <v>170-7300</v>
      </c>
      <c r="Q1711" s="315" t="str">
        <f t="shared" si="149"/>
        <v>Admin &amp; Other</v>
      </c>
      <c r="R1711" s="315" t="str">
        <f t="shared" si="150"/>
        <v>Admin &amp; OtherOther Overheads as % of Total Gross Profit</v>
      </c>
      <c r="S1711" s="199"/>
      <c r="T1711" s="199"/>
      <c r="U1711" s="199"/>
    </row>
    <row r="1712" spans="1:21" x14ac:dyDescent="0.25">
      <c r="A1712" t="s">
        <v>996</v>
      </c>
      <c r="B1712" t="s">
        <v>997</v>
      </c>
      <c r="C1712" t="s">
        <v>997</v>
      </c>
      <c r="D1712">
        <v>7300</v>
      </c>
      <c r="E1712">
        <v>147</v>
      </c>
      <c r="F1712" t="s">
        <v>998</v>
      </c>
      <c r="G1712" t="s">
        <v>999</v>
      </c>
      <c r="H1712" s="315" t="s">
        <v>1000</v>
      </c>
      <c r="I1712" s="315" t="s">
        <v>1001</v>
      </c>
      <c r="J1712" s="315" t="str">
        <f t="shared" si="146"/>
        <v>Admin &amp; OtherOther Overheads as % of Total Gross Profit</v>
      </c>
      <c r="K1712" s="315" t="str">
        <f t="shared" si="147"/>
        <v>147Miscellaneous expenses - Toyota</v>
      </c>
      <c r="L1712" s="311">
        <f>+SUMIF('TUNZ Extracted TB'!M:M,$P1712,'TUNZ Extracted TB'!G:G)</f>
        <v>0</v>
      </c>
      <c r="M1712" s="311"/>
      <c r="N1712" s="311">
        <f>+SUMIF('Input Sheet'!$AE:$AE,P1712,'Input Sheet'!$X:$X)</f>
        <v>0</v>
      </c>
      <c r="O1712" s="311"/>
      <c r="P1712" t="str">
        <f t="shared" si="148"/>
        <v>147-7300</v>
      </c>
      <c r="Q1712" s="315" t="str">
        <f t="shared" si="149"/>
        <v>Admin &amp; Other</v>
      </c>
      <c r="R1712" s="315" t="str">
        <f t="shared" si="150"/>
        <v>Admin &amp; OtherOther Overheads as % of Total Gross Profit</v>
      </c>
      <c r="S1712" s="199"/>
      <c r="T1712" s="199"/>
      <c r="U1712" s="199"/>
    </row>
    <row r="1713" spans="1:21" x14ac:dyDescent="0.25">
      <c r="A1713" t="s">
        <v>996</v>
      </c>
      <c r="B1713" t="s">
        <v>997</v>
      </c>
      <c r="C1713" t="s">
        <v>997</v>
      </c>
      <c r="D1713">
        <v>7300</v>
      </c>
      <c r="E1713">
        <v>936</v>
      </c>
      <c r="F1713" t="s">
        <v>1175</v>
      </c>
      <c r="G1713" t="s">
        <v>1176</v>
      </c>
      <c r="H1713" s="315" t="s">
        <v>1023</v>
      </c>
      <c r="I1713" s="315" t="s">
        <v>1001</v>
      </c>
      <c r="J1713" s="315" t="str">
        <f t="shared" si="146"/>
        <v>LEX Admin &amp; OtherOther Overheads as % of Total Gross Profit</v>
      </c>
      <c r="K1713" s="315" t="str">
        <f t="shared" si="147"/>
        <v>936Other franchise/business expense</v>
      </c>
      <c r="L1713" s="311">
        <f>+SUMIF('TUNZ Extracted TB'!M:M,$P1713,'TUNZ Extracted TB'!G:G)</f>
        <v>0</v>
      </c>
      <c r="M1713" s="311"/>
      <c r="N1713" s="311">
        <f>+SUMIF('Input Sheet'!$AE:$AE,P1713,'Input Sheet'!$X:$X)</f>
        <v>0</v>
      </c>
      <c r="O1713" s="311"/>
      <c r="P1713" t="str">
        <f t="shared" si="148"/>
        <v>936-7300</v>
      </c>
      <c r="Q1713" s="315" t="str">
        <f t="shared" si="149"/>
        <v>LEX Admin &amp; Other</v>
      </c>
      <c r="R1713" s="315" t="str">
        <f t="shared" si="150"/>
        <v>LEX Admin &amp; OtherOther Overheads as % of Total Gross Profit</v>
      </c>
      <c r="S1713" s="199"/>
      <c r="T1713" s="199"/>
      <c r="U1713" s="199"/>
    </row>
    <row r="1714" spans="1:21" x14ac:dyDescent="0.25">
      <c r="A1714" t="s">
        <v>996</v>
      </c>
      <c r="B1714" t="s">
        <v>997</v>
      </c>
      <c r="C1714" t="s">
        <v>997</v>
      </c>
      <c r="D1714">
        <v>7300</v>
      </c>
      <c r="E1714">
        <v>935</v>
      </c>
      <c r="F1714" t="s">
        <v>1175</v>
      </c>
      <c r="G1714" t="s">
        <v>1176</v>
      </c>
      <c r="H1714" s="315" t="s">
        <v>1023</v>
      </c>
      <c r="I1714" s="315" t="s">
        <v>1001</v>
      </c>
      <c r="J1714" s="315" t="str">
        <f t="shared" si="146"/>
        <v>LEX Admin &amp; OtherOther Overheads as % of Total Gross Profit</v>
      </c>
      <c r="K1714" s="315" t="str">
        <f t="shared" si="147"/>
        <v>935Other franchise/business expense</v>
      </c>
      <c r="L1714" s="311">
        <f>+SUMIF('TUNZ Extracted TB'!M:M,$P1714,'TUNZ Extracted TB'!G:G)</f>
        <v>0</v>
      </c>
      <c r="M1714" s="311"/>
      <c r="N1714" s="311">
        <f>+SUMIF('Input Sheet'!$AE:$AE,P1714,'Input Sheet'!$X:$X)</f>
        <v>0</v>
      </c>
      <c r="O1714" s="311"/>
      <c r="P1714" t="str">
        <f t="shared" si="148"/>
        <v>935-7300</v>
      </c>
      <c r="Q1714" s="315" t="str">
        <f t="shared" si="149"/>
        <v>LEX Admin &amp; Other</v>
      </c>
      <c r="R1714" s="315" t="str">
        <f t="shared" si="150"/>
        <v>LEX Admin &amp; OtherOther Overheads as % of Total Gross Profit</v>
      </c>
      <c r="S1714" s="199"/>
      <c r="T1714" s="199"/>
      <c r="U1714" s="199"/>
    </row>
    <row r="1715" spans="1:21" x14ac:dyDescent="0.25">
      <c r="A1715" t="s">
        <v>996</v>
      </c>
      <c r="B1715" t="s">
        <v>997</v>
      </c>
      <c r="C1715" t="s">
        <v>1005</v>
      </c>
      <c r="D1715">
        <v>7305</v>
      </c>
      <c r="E1715">
        <v>240</v>
      </c>
      <c r="F1715" t="s">
        <v>1364</v>
      </c>
      <c r="G1715" t="s">
        <v>1365</v>
      </c>
      <c r="H1715" s="315" t="s">
        <v>1000</v>
      </c>
      <c r="I1715" s="315" t="s">
        <v>1001</v>
      </c>
      <c r="J1715" s="315" t="str">
        <f t="shared" si="146"/>
        <v>Admin &amp; OtherOther Overheads as % of Total Gross Profit</v>
      </c>
      <c r="K1715" s="315" t="str">
        <f t="shared" si="147"/>
        <v>240Bad Debts - Toyota</v>
      </c>
      <c r="L1715" s="311">
        <f>+SUMIF('TUNZ Extracted TB'!M:M,$P1715,'TUNZ Extracted TB'!G:G)</f>
        <v>700</v>
      </c>
      <c r="M1715" s="311"/>
      <c r="N1715" s="311">
        <f>+SUMIF('Input Sheet'!$AE:$AE,P1715,'Input Sheet'!$X:$X)</f>
        <v>0</v>
      </c>
      <c r="O1715" s="311"/>
      <c r="P1715" t="str">
        <f t="shared" si="148"/>
        <v>240-7305</v>
      </c>
      <c r="Q1715" s="315" t="str">
        <f t="shared" si="149"/>
        <v>Admin &amp; Other</v>
      </c>
      <c r="R1715" s="315" t="str">
        <f t="shared" si="150"/>
        <v>Admin &amp; OtherOther Overheads as % of Total Gross Profit</v>
      </c>
      <c r="S1715" s="199"/>
      <c r="T1715" s="199"/>
      <c r="U1715" s="199"/>
    </row>
    <row r="1716" spans="1:21" x14ac:dyDescent="0.25">
      <c r="A1716" t="s">
        <v>996</v>
      </c>
      <c r="B1716" t="s">
        <v>997</v>
      </c>
      <c r="C1716" t="s">
        <v>1005</v>
      </c>
      <c r="D1716">
        <v>7305</v>
      </c>
      <c r="E1716">
        <v>230</v>
      </c>
      <c r="F1716" t="s">
        <v>1364</v>
      </c>
      <c r="G1716" t="s">
        <v>1365</v>
      </c>
      <c r="H1716" s="315" t="s">
        <v>1000</v>
      </c>
      <c r="I1716" s="315" t="s">
        <v>1001</v>
      </c>
      <c r="J1716" s="315" t="str">
        <f t="shared" si="146"/>
        <v>Admin &amp; OtherOther Overheads as % of Total Gross Profit</v>
      </c>
      <c r="K1716" s="315" t="str">
        <f t="shared" si="147"/>
        <v>230Bad Debts - Toyota</v>
      </c>
      <c r="L1716" s="311">
        <f>+SUMIF('TUNZ Extracted TB'!M:M,$P1716,'TUNZ Extracted TB'!G:G)</f>
        <v>500</v>
      </c>
      <c r="M1716" s="311"/>
      <c r="N1716" s="311">
        <f>+SUMIF('Input Sheet'!$AE:$AE,P1716,'Input Sheet'!$X:$X)</f>
        <v>0</v>
      </c>
      <c r="O1716" s="311"/>
      <c r="P1716" t="str">
        <f t="shared" si="148"/>
        <v>230-7305</v>
      </c>
      <c r="Q1716" s="315" t="str">
        <f t="shared" si="149"/>
        <v>Admin &amp; Other</v>
      </c>
      <c r="R1716" s="315" t="str">
        <f t="shared" si="150"/>
        <v>Admin &amp; OtherOther Overheads as % of Total Gross Profit</v>
      </c>
      <c r="S1716" s="199"/>
      <c r="T1716" s="199"/>
      <c r="U1716" s="199"/>
    </row>
    <row r="1717" spans="1:21" x14ac:dyDescent="0.25">
      <c r="A1717" t="s">
        <v>996</v>
      </c>
      <c r="B1717" t="s">
        <v>997</v>
      </c>
      <c r="C1717" t="s">
        <v>1013</v>
      </c>
      <c r="D1717">
        <v>7305</v>
      </c>
      <c r="E1717">
        <v>340</v>
      </c>
      <c r="F1717" t="s">
        <v>1364</v>
      </c>
      <c r="G1717" t="s">
        <v>1365</v>
      </c>
      <c r="H1717" s="315" t="s">
        <v>1000</v>
      </c>
      <c r="I1717" s="315" t="s">
        <v>1001</v>
      </c>
      <c r="J1717" s="315" t="str">
        <f t="shared" si="146"/>
        <v>Admin &amp; OtherOther Overheads as % of Total Gross Profit</v>
      </c>
      <c r="K1717" s="315" t="str">
        <f t="shared" si="147"/>
        <v>340Bad Debts - Toyota</v>
      </c>
      <c r="L1717" s="311">
        <f>+SUMIF('TUNZ Extracted TB'!M:M,$P1717,'TUNZ Extracted TB'!G:G)</f>
        <v>100</v>
      </c>
      <c r="M1717" s="311"/>
      <c r="N1717" s="311">
        <f>+SUMIF('Input Sheet'!$AE:$AE,P1717,'Input Sheet'!$X:$X)</f>
        <v>0</v>
      </c>
      <c r="O1717" s="311"/>
      <c r="P1717" t="str">
        <f t="shared" si="148"/>
        <v>340-7305</v>
      </c>
      <c r="Q1717" s="315" t="str">
        <f t="shared" si="149"/>
        <v>Admin &amp; Other</v>
      </c>
      <c r="R1717" s="315" t="str">
        <f t="shared" si="150"/>
        <v>Admin &amp; OtherOther Overheads as % of Total Gross Profit</v>
      </c>
      <c r="S1717" s="199"/>
      <c r="T1717" s="199"/>
      <c r="U1717" s="199"/>
    </row>
    <row r="1718" spans="1:21" x14ac:dyDescent="0.25">
      <c r="A1718" t="s">
        <v>996</v>
      </c>
      <c r="B1718" t="s">
        <v>997</v>
      </c>
      <c r="C1718" t="s">
        <v>997</v>
      </c>
      <c r="D1718">
        <v>7305</v>
      </c>
      <c r="E1718">
        <v>936</v>
      </c>
      <c r="F1718" t="s">
        <v>1175</v>
      </c>
      <c r="G1718" t="s">
        <v>1176</v>
      </c>
      <c r="H1718" s="315" t="s">
        <v>1023</v>
      </c>
      <c r="I1718" s="315" t="s">
        <v>1001</v>
      </c>
      <c r="J1718" s="315" t="str">
        <f t="shared" si="146"/>
        <v>LEX Admin &amp; OtherOther Overheads as % of Total Gross Profit</v>
      </c>
      <c r="K1718" s="315" t="str">
        <f t="shared" si="147"/>
        <v>936Other franchise/business expense</v>
      </c>
      <c r="L1718" s="311">
        <f>+SUMIF('TUNZ Extracted TB'!M:M,$P1718,'TUNZ Extracted TB'!G:G)</f>
        <v>50</v>
      </c>
      <c r="M1718" s="311"/>
      <c r="N1718" s="311">
        <f>+SUMIF('Input Sheet'!$AE:$AE,P1718,'Input Sheet'!$X:$X)</f>
        <v>0</v>
      </c>
      <c r="O1718" s="311"/>
      <c r="P1718" t="str">
        <f t="shared" si="148"/>
        <v>936-7305</v>
      </c>
      <c r="Q1718" s="315" t="str">
        <f t="shared" si="149"/>
        <v>LEX Admin &amp; Other</v>
      </c>
      <c r="R1718" s="315" t="str">
        <f t="shared" si="150"/>
        <v>LEX Admin &amp; OtherOther Overheads as % of Total Gross Profit</v>
      </c>
      <c r="S1718" s="199"/>
      <c r="T1718" s="199"/>
      <c r="U1718" s="199"/>
    </row>
    <row r="1719" spans="1:21" x14ac:dyDescent="0.25">
      <c r="A1719" t="s">
        <v>996</v>
      </c>
      <c r="B1719" t="s">
        <v>997</v>
      </c>
      <c r="C1719" t="s">
        <v>997</v>
      </c>
      <c r="D1719">
        <v>7305</v>
      </c>
      <c r="E1719">
        <v>935</v>
      </c>
      <c r="F1719" t="s">
        <v>1175</v>
      </c>
      <c r="G1719" t="s">
        <v>1176</v>
      </c>
      <c r="H1719" s="315" t="s">
        <v>1023</v>
      </c>
      <c r="I1719" s="315" t="s">
        <v>1001</v>
      </c>
      <c r="J1719" s="315" t="str">
        <f t="shared" si="146"/>
        <v>LEX Admin &amp; OtherOther Overheads as % of Total Gross Profit</v>
      </c>
      <c r="K1719" s="315" t="str">
        <f t="shared" si="147"/>
        <v>935Other franchise/business expense</v>
      </c>
      <c r="L1719" s="311">
        <f>+SUMIF('TUNZ Extracted TB'!M:M,$P1719,'TUNZ Extracted TB'!G:G)</f>
        <v>50</v>
      </c>
      <c r="M1719" s="311"/>
      <c r="N1719" s="311">
        <f>+SUMIF('Input Sheet'!$AE:$AE,P1719,'Input Sheet'!$X:$X)</f>
        <v>0</v>
      </c>
      <c r="O1719" s="311"/>
      <c r="P1719" t="str">
        <f t="shared" si="148"/>
        <v>935-7305</v>
      </c>
      <c r="Q1719" s="315" t="str">
        <f t="shared" si="149"/>
        <v>LEX Admin &amp; Other</v>
      </c>
      <c r="R1719" s="315" t="str">
        <f t="shared" si="150"/>
        <v>LEX Admin &amp; OtherOther Overheads as % of Total Gross Profit</v>
      </c>
      <c r="S1719" s="199"/>
      <c r="T1719" s="199"/>
      <c r="U1719" s="199"/>
    </row>
    <row r="1720" spans="1:21" x14ac:dyDescent="0.25">
      <c r="A1720" s="316">
        <v>44866</v>
      </c>
      <c r="B1720" t="s">
        <v>997</v>
      </c>
      <c r="C1720" t="s">
        <v>997</v>
      </c>
      <c r="D1720">
        <v>7305</v>
      </c>
      <c r="E1720">
        <v>190</v>
      </c>
      <c r="G1720" t="s">
        <v>970</v>
      </c>
      <c r="H1720" s="315" t="s">
        <v>1000</v>
      </c>
      <c r="I1720" s="315" t="s">
        <v>1001</v>
      </c>
      <c r="J1720" s="315" t="str">
        <f t="shared" si="146"/>
        <v>Admin &amp; OtherOther Overheads as % of Total Gross Profit</v>
      </c>
      <c r="K1720" s="315" t="str">
        <f t="shared" si="147"/>
        <v>190Bad Debts</v>
      </c>
      <c r="L1720" s="311">
        <f>+SUMIF('TUNZ Extracted TB'!M:M,$P1720,'TUNZ Extracted TB'!G:G)</f>
        <v>0</v>
      </c>
      <c r="M1720" s="311"/>
      <c r="N1720" s="311">
        <f>+SUMIF('Input Sheet'!$AE:$AE,P1720,'Input Sheet'!$X:$X)</f>
        <v>0</v>
      </c>
      <c r="O1720" s="311"/>
      <c r="P1720" t="str">
        <f t="shared" si="148"/>
        <v>190-7305</v>
      </c>
      <c r="Q1720" s="315" t="str">
        <f t="shared" si="149"/>
        <v>Admin &amp; Other</v>
      </c>
      <c r="R1720" s="315" t="str">
        <f t="shared" si="150"/>
        <v>Admin &amp; OtherOther Overheads as % of Total Gross Profit</v>
      </c>
      <c r="S1720" s="199"/>
      <c r="T1720" s="199"/>
      <c r="U1720" s="199"/>
    </row>
    <row r="1721" spans="1:21" x14ac:dyDescent="0.25">
      <c r="A1721" t="s">
        <v>996</v>
      </c>
      <c r="B1721" t="s">
        <v>997</v>
      </c>
      <c r="C1721" t="s">
        <v>997</v>
      </c>
      <c r="D1721">
        <v>7305</v>
      </c>
      <c r="E1721">
        <v>140</v>
      </c>
      <c r="F1721" t="s">
        <v>1364</v>
      </c>
      <c r="G1721" t="s">
        <v>1365</v>
      </c>
      <c r="H1721" s="315" t="s">
        <v>1000</v>
      </c>
      <c r="I1721" s="315" t="s">
        <v>1001</v>
      </c>
      <c r="J1721" s="315" t="str">
        <f t="shared" si="146"/>
        <v>Admin &amp; OtherOther Overheads as % of Total Gross Profit</v>
      </c>
      <c r="K1721" s="315" t="str">
        <f t="shared" si="147"/>
        <v>140Bad Debts - Toyota</v>
      </c>
      <c r="L1721" s="311">
        <f>+SUMIF('TUNZ Extracted TB'!M:M,$P1721,'TUNZ Extracted TB'!G:G)</f>
        <v>650</v>
      </c>
      <c r="M1721" s="311"/>
      <c r="N1721" s="311">
        <f>+SUMIF('Input Sheet'!$AE:$AE,P1721,'Input Sheet'!$X:$X)</f>
        <v>0</v>
      </c>
      <c r="O1721" s="311"/>
      <c r="P1721" t="str">
        <f t="shared" si="148"/>
        <v>140-7305</v>
      </c>
      <c r="Q1721" s="315" t="str">
        <f t="shared" si="149"/>
        <v>Admin &amp; Other</v>
      </c>
      <c r="R1721" s="315" t="str">
        <f t="shared" si="150"/>
        <v>Admin &amp; OtherOther Overheads as % of Total Gross Profit</v>
      </c>
      <c r="S1721" s="199"/>
      <c r="T1721" s="199"/>
      <c r="U1721" s="199"/>
    </row>
    <row r="1722" spans="1:21" x14ac:dyDescent="0.25">
      <c r="A1722" t="s">
        <v>996</v>
      </c>
      <c r="B1722" t="s">
        <v>997</v>
      </c>
      <c r="C1722" t="s">
        <v>997</v>
      </c>
      <c r="D1722">
        <v>7305</v>
      </c>
      <c r="E1722">
        <v>142</v>
      </c>
      <c r="F1722" t="s">
        <v>1366</v>
      </c>
      <c r="G1722" t="s">
        <v>1367</v>
      </c>
      <c r="H1722" s="315" t="s">
        <v>1023</v>
      </c>
      <c r="I1722" s="315" t="s">
        <v>1001</v>
      </c>
      <c r="J1722" s="315" t="str">
        <f t="shared" si="146"/>
        <v>LEX Admin &amp; OtherOther Overheads as % of Total Gross Profit</v>
      </c>
      <c r="K1722" s="315" t="str">
        <f t="shared" si="147"/>
        <v>142Bad Debts - Lexus</v>
      </c>
      <c r="L1722" s="311">
        <f>+SUMIF('TUNZ Extracted TB'!M:M,$P1722,'TUNZ Extracted TB'!G:G)</f>
        <v>50</v>
      </c>
      <c r="M1722" s="311"/>
      <c r="N1722" s="311">
        <f>+SUMIF('Input Sheet'!$AE:$AE,P1722,'Input Sheet'!$X:$X)</f>
        <v>0</v>
      </c>
      <c r="O1722" s="311"/>
      <c r="P1722" t="str">
        <f t="shared" si="148"/>
        <v>142-7305</v>
      </c>
      <c r="Q1722" s="315" t="str">
        <f t="shared" si="149"/>
        <v>LEX Admin &amp; Other</v>
      </c>
      <c r="R1722" s="315" t="str">
        <f t="shared" si="150"/>
        <v>LEX Admin &amp; OtherOther Overheads as % of Total Gross Profit</v>
      </c>
      <c r="S1722" s="199"/>
      <c r="T1722" s="199"/>
      <c r="U1722" s="199"/>
    </row>
    <row r="1723" spans="1:21" x14ac:dyDescent="0.25">
      <c r="A1723" t="s">
        <v>996</v>
      </c>
      <c r="B1723" t="s">
        <v>997</v>
      </c>
      <c r="C1723" t="s">
        <v>997</v>
      </c>
      <c r="D1723">
        <v>7305</v>
      </c>
      <c r="E1723">
        <v>130</v>
      </c>
      <c r="F1723" t="s">
        <v>1364</v>
      </c>
      <c r="G1723" t="s">
        <v>1365</v>
      </c>
      <c r="H1723" s="315" t="s">
        <v>1000</v>
      </c>
      <c r="I1723" s="315" t="s">
        <v>1001</v>
      </c>
      <c r="J1723" s="315" t="str">
        <f t="shared" si="146"/>
        <v>Admin &amp; OtherOther Overheads as % of Total Gross Profit</v>
      </c>
      <c r="K1723" s="315" t="str">
        <f t="shared" si="147"/>
        <v>130Bad Debts - Toyota</v>
      </c>
      <c r="L1723" s="311">
        <f>+SUMIF('TUNZ Extracted TB'!M:M,$P1723,'TUNZ Extracted TB'!G:G)</f>
        <v>500</v>
      </c>
      <c r="M1723" s="311"/>
      <c r="N1723" s="311">
        <f>+SUMIF('Input Sheet'!$AE:$AE,P1723,'Input Sheet'!$X:$X)</f>
        <v>0</v>
      </c>
      <c r="O1723" s="311"/>
      <c r="P1723" t="str">
        <f t="shared" si="148"/>
        <v>130-7305</v>
      </c>
      <c r="Q1723" s="315" t="str">
        <f t="shared" si="149"/>
        <v>Admin &amp; Other</v>
      </c>
      <c r="R1723" s="315" t="str">
        <f t="shared" si="150"/>
        <v>Admin &amp; OtherOther Overheads as % of Total Gross Profit</v>
      </c>
      <c r="S1723" s="199"/>
      <c r="T1723" s="199"/>
      <c r="U1723" s="199"/>
    </row>
    <row r="1724" spans="1:21" x14ac:dyDescent="0.25">
      <c r="A1724" t="s">
        <v>996</v>
      </c>
      <c r="B1724" t="s">
        <v>997</v>
      </c>
      <c r="C1724" t="s">
        <v>997</v>
      </c>
      <c r="D1724">
        <v>7305</v>
      </c>
      <c r="E1724">
        <v>132</v>
      </c>
      <c r="F1724" t="s">
        <v>1366</v>
      </c>
      <c r="G1724" t="s">
        <v>1367</v>
      </c>
      <c r="H1724" s="315" t="s">
        <v>1023</v>
      </c>
      <c r="I1724" s="315" t="s">
        <v>1001</v>
      </c>
      <c r="J1724" s="315" t="str">
        <f t="shared" si="146"/>
        <v>LEX Admin &amp; OtherOther Overheads as % of Total Gross Profit</v>
      </c>
      <c r="K1724" s="315" t="str">
        <f t="shared" si="147"/>
        <v>132Bad Debts - Lexus</v>
      </c>
      <c r="L1724" s="311">
        <f>+SUMIF('TUNZ Extracted TB'!M:M,$P1724,'TUNZ Extracted TB'!G:G)</f>
        <v>0</v>
      </c>
      <c r="M1724" s="311"/>
      <c r="N1724" s="311">
        <f>+SUMIF('Input Sheet'!$AE:$AE,P1724,'Input Sheet'!$X:$X)</f>
        <v>0</v>
      </c>
      <c r="O1724" s="311"/>
      <c r="P1724" t="str">
        <f t="shared" si="148"/>
        <v>132-7305</v>
      </c>
      <c r="Q1724" s="315" t="str">
        <f t="shared" si="149"/>
        <v>LEX Admin &amp; Other</v>
      </c>
      <c r="R1724" s="315" t="str">
        <f t="shared" si="150"/>
        <v>LEX Admin &amp; OtherOther Overheads as % of Total Gross Profit</v>
      </c>
      <c r="S1724" s="199"/>
      <c r="T1724" s="199"/>
      <c r="U1724" s="199"/>
    </row>
    <row r="1725" spans="1:21" x14ac:dyDescent="0.25">
      <c r="A1725" t="s">
        <v>996</v>
      </c>
      <c r="B1725" t="s">
        <v>997</v>
      </c>
      <c r="C1725" t="s">
        <v>997</v>
      </c>
      <c r="D1725">
        <v>7305</v>
      </c>
      <c r="E1725">
        <v>112</v>
      </c>
      <c r="F1725" t="s">
        <v>1366</v>
      </c>
      <c r="G1725" t="s">
        <v>1367</v>
      </c>
      <c r="H1725" s="315" t="s">
        <v>1023</v>
      </c>
      <c r="I1725" s="315" t="s">
        <v>1001</v>
      </c>
      <c r="J1725" s="315" t="str">
        <f t="shared" si="146"/>
        <v>LEX Admin &amp; OtherOther Overheads as % of Total Gross Profit</v>
      </c>
      <c r="K1725" s="315" t="str">
        <f t="shared" si="147"/>
        <v>112Bad Debts - Lexus</v>
      </c>
      <c r="L1725" s="311">
        <f>+SUMIF('TUNZ Extracted TB'!M:M,$P1725,'TUNZ Extracted TB'!G:G)</f>
        <v>0</v>
      </c>
      <c r="M1725" s="311"/>
      <c r="N1725" s="311">
        <f>+SUMIF('Input Sheet'!$AE:$AE,P1725,'Input Sheet'!$X:$X)</f>
        <v>0</v>
      </c>
      <c r="O1725" s="311"/>
      <c r="P1725" t="str">
        <f t="shared" si="148"/>
        <v>112-7305</v>
      </c>
      <c r="Q1725" s="315" t="str">
        <f t="shared" si="149"/>
        <v>LEX Admin &amp; Other</v>
      </c>
      <c r="R1725" s="315" t="str">
        <f t="shared" si="150"/>
        <v>LEX Admin &amp; OtherOther Overheads as % of Total Gross Profit</v>
      </c>
      <c r="S1725" s="199"/>
      <c r="T1725" s="199"/>
      <c r="U1725" s="199"/>
    </row>
    <row r="1726" spans="1:21" x14ac:dyDescent="0.25">
      <c r="A1726" t="s">
        <v>996</v>
      </c>
      <c r="B1726" t="s">
        <v>997</v>
      </c>
      <c r="C1726" t="s">
        <v>997</v>
      </c>
      <c r="D1726">
        <v>7305</v>
      </c>
      <c r="E1726">
        <v>100</v>
      </c>
      <c r="F1726" t="s">
        <v>1364</v>
      </c>
      <c r="G1726" t="s">
        <v>1365</v>
      </c>
      <c r="H1726" s="315" t="s">
        <v>1000</v>
      </c>
      <c r="I1726" s="315" t="s">
        <v>1001</v>
      </c>
      <c r="J1726" s="315" t="str">
        <f t="shared" si="146"/>
        <v>Admin &amp; OtherOther Overheads as % of Total Gross Profit</v>
      </c>
      <c r="K1726" s="315" t="str">
        <f t="shared" si="147"/>
        <v>100Bad Debts - Toyota</v>
      </c>
      <c r="L1726" s="311">
        <f>+SUMIF('TUNZ Extracted TB'!M:M,$P1726,'TUNZ Extracted TB'!G:G)</f>
        <v>0</v>
      </c>
      <c r="M1726" s="311"/>
      <c r="N1726" s="311">
        <f>+SUMIF('Input Sheet'!$AE:$AE,P1726,'Input Sheet'!$X:$X)</f>
        <v>0</v>
      </c>
      <c r="O1726" s="311"/>
      <c r="P1726" t="str">
        <f t="shared" si="148"/>
        <v>100-7305</v>
      </c>
      <c r="Q1726" s="315" t="str">
        <f t="shared" si="149"/>
        <v>Admin &amp; Other</v>
      </c>
      <c r="R1726" s="315" t="str">
        <f t="shared" si="150"/>
        <v>Admin &amp; OtherOther Overheads as % of Total Gross Profit</v>
      </c>
      <c r="S1726" s="199"/>
      <c r="T1726" s="199"/>
      <c r="U1726" s="199"/>
    </row>
    <row r="1727" spans="1:21" x14ac:dyDescent="0.25">
      <c r="A1727" t="s">
        <v>996</v>
      </c>
      <c r="B1727" t="s">
        <v>997</v>
      </c>
      <c r="C1727" t="s">
        <v>997</v>
      </c>
      <c r="D1727">
        <v>7305</v>
      </c>
      <c r="E1727">
        <v>110</v>
      </c>
      <c r="F1727" t="s">
        <v>1364</v>
      </c>
      <c r="G1727" t="s">
        <v>1365</v>
      </c>
      <c r="H1727" s="315" t="s">
        <v>1000</v>
      </c>
      <c r="I1727" s="315" t="s">
        <v>1001</v>
      </c>
      <c r="J1727" s="315" t="str">
        <f t="shared" si="146"/>
        <v>Admin &amp; OtherOther Overheads as % of Total Gross Profit</v>
      </c>
      <c r="K1727" s="315" t="str">
        <f t="shared" si="147"/>
        <v>110Bad Debts - Toyota</v>
      </c>
      <c r="L1727" s="311">
        <f>+SUMIF('TUNZ Extracted TB'!M:M,$P1727,'TUNZ Extracted TB'!G:G)</f>
        <v>0</v>
      </c>
      <c r="M1727" s="311"/>
      <c r="N1727" s="311">
        <f>+SUMIF('Input Sheet'!$AE:$AE,P1727,'Input Sheet'!$X:$X)</f>
        <v>0</v>
      </c>
      <c r="O1727" s="311"/>
      <c r="P1727" t="str">
        <f t="shared" si="148"/>
        <v>110-7305</v>
      </c>
      <c r="Q1727" s="315" t="str">
        <f t="shared" si="149"/>
        <v>Admin &amp; Other</v>
      </c>
      <c r="R1727" s="315" t="str">
        <f t="shared" si="150"/>
        <v>Admin &amp; OtherOther Overheads as % of Total Gross Profit</v>
      </c>
      <c r="S1727" s="199"/>
      <c r="T1727" s="199"/>
      <c r="U1727" s="199"/>
    </row>
    <row r="1728" spans="1:21" x14ac:dyDescent="0.25">
      <c r="A1728" t="s">
        <v>996</v>
      </c>
      <c r="B1728" t="s">
        <v>997</v>
      </c>
      <c r="C1728" t="s">
        <v>997</v>
      </c>
      <c r="D1728">
        <v>7305</v>
      </c>
      <c r="E1728">
        <v>122</v>
      </c>
      <c r="F1728" t="s">
        <v>1366</v>
      </c>
      <c r="G1728" t="s">
        <v>1367</v>
      </c>
      <c r="H1728" s="315" t="s">
        <v>1023</v>
      </c>
      <c r="I1728" s="315" t="s">
        <v>1001</v>
      </c>
      <c r="J1728" s="315" t="str">
        <f t="shared" si="146"/>
        <v>LEX Admin &amp; OtherOther Overheads as % of Total Gross Profit</v>
      </c>
      <c r="K1728" s="315" t="str">
        <f t="shared" si="147"/>
        <v>122Bad Debts - Lexus</v>
      </c>
      <c r="L1728" s="311">
        <f>+SUMIF('TUNZ Extracted TB'!M:M,$P1728,'TUNZ Extracted TB'!G:G)</f>
        <v>0</v>
      </c>
      <c r="M1728" s="311"/>
      <c r="N1728" s="311">
        <f>+SUMIF('Input Sheet'!$AE:$AE,P1728,'Input Sheet'!$X:$X)</f>
        <v>0</v>
      </c>
      <c r="O1728" s="311"/>
      <c r="P1728" t="str">
        <f t="shared" si="148"/>
        <v>122-7305</v>
      </c>
      <c r="Q1728" s="315" t="str">
        <f t="shared" si="149"/>
        <v>LEX Admin &amp; Other</v>
      </c>
      <c r="R1728" s="315" t="str">
        <f t="shared" si="150"/>
        <v>LEX Admin &amp; OtherOther Overheads as % of Total Gross Profit</v>
      </c>
      <c r="S1728" s="199"/>
      <c r="T1728" s="199"/>
      <c r="U1728" s="199"/>
    </row>
    <row r="1729" spans="1:21" x14ac:dyDescent="0.25">
      <c r="A1729" t="s">
        <v>996</v>
      </c>
      <c r="B1729" t="s">
        <v>997</v>
      </c>
      <c r="C1729" t="s">
        <v>997</v>
      </c>
      <c r="D1729">
        <v>7305</v>
      </c>
      <c r="E1729">
        <v>162</v>
      </c>
      <c r="F1729" t="s">
        <v>1366</v>
      </c>
      <c r="G1729" t="s">
        <v>1367</v>
      </c>
      <c r="H1729" s="315" t="s">
        <v>1023</v>
      </c>
      <c r="I1729" s="315" t="s">
        <v>1001</v>
      </c>
      <c r="J1729" s="315" t="str">
        <f t="shared" si="146"/>
        <v>LEX Admin &amp; OtherOther Overheads as % of Total Gross Profit</v>
      </c>
      <c r="K1729" s="315" t="str">
        <f t="shared" si="147"/>
        <v>162Bad Debts - Lexus</v>
      </c>
      <c r="L1729" s="311">
        <f>+SUMIF('TUNZ Extracted TB'!M:M,$P1729,'TUNZ Extracted TB'!G:G)</f>
        <v>0</v>
      </c>
      <c r="M1729" s="311"/>
      <c r="N1729" s="311">
        <f>+SUMIF('Input Sheet'!$AE:$AE,P1729,'Input Sheet'!$X:$X)</f>
        <v>0</v>
      </c>
      <c r="O1729" s="311"/>
      <c r="P1729" t="str">
        <f t="shared" si="148"/>
        <v>162-7305</v>
      </c>
      <c r="Q1729" s="315" t="str">
        <f t="shared" si="149"/>
        <v>LEX Admin &amp; Other</v>
      </c>
      <c r="R1729" s="315" t="str">
        <f t="shared" si="150"/>
        <v>LEX Admin &amp; OtherOther Overheads as % of Total Gross Profit</v>
      </c>
      <c r="S1729" s="199"/>
      <c r="T1729" s="199"/>
      <c r="U1729" s="199"/>
    </row>
    <row r="1730" spans="1:21" x14ac:dyDescent="0.25">
      <c r="A1730" t="s">
        <v>996</v>
      </c>
      <c r="B1730" t="s">
        <v>997</v>
      </c>
      <c r="C1730" t="s">
        <v>997</v>
      </c>
      <c r="D1730">
        <v>7305</v>
      </c>
      <c r="E1730">
        <v>120</v>
      </c>
      <c r="F1730" t="s">
        <v>1364</v>
      </c>
      <c r="G1730" t="s">
        <v>1365</v>
      </c>
      <c r="H1730" s="315" t="s">
        <v>1000</v>
      </c>
      <c r="I1730" s="315" t="s">
        <v>1001</v>
      </c>
      <c r="J1730" s="315" t="str">
        <f t="shared" si="146"/>
        <v>Admin &amp; OtherOther Overheads as % of Total Gross Profit</v>
      </c>
      <c r="K1730" s="315" t="str">
        <f t="shared" si="147"/>
        <v>120Bad Debts - Toyota</v>
      </c>
      <c r="L1730" s="311">
        <f>+SUMIF('TUNZ Extracted TB'!M:M,$P1730,'TUNZ Extracted TB'!G:G)</f>
        <v>0</v>
      </c>
      <c r="M1730" s="311"/>
      <c r="N1730" s="311">
        <f>+SUMIF('Input Sheet'!$AE:$AE,P1730,'Input Sheet'!$X:$X)</f>
        <v>0</v>
      </c>
      <c r="O1730" s="311"/>
      <c r="P1730" t="str">
        <f t="shared" si="148"/>
        <v>120-7305</v>
      </c>
      <c r="Q1730" s="315" t="str">
        <f t="shared" si="149"/>
        <v>Admin &amp; Other</v>
      </c>
      <c r="R1730" s="315" t="str">
        <f t="shared" si="150"/>
        <v>Admin &amp; OtherOther Overheads as % of Total Gross Profit</v>
      </c>
      <c r="S1730" s="199"/>
      <c r="T1730" s="199"/>
      <c r="U1730" s="199"/>
    </row>
    <row r="1731" spans="1:21" x14ac:dyDescent="0.25">
      <c r="A1731" t="s">
        <v>996</v>
      </c>
      <c r="B1731" t="s">
        <v>997</v>
      </c>
      <c r="C1731" t="s">
        <v>1005</v>
      </c>
      <c r="D1731">
        <v>7305</v>
      </c>
      <c r="E1731">
        <v>200</v>
      </c>
      <c r="F1731" t="s">
        <v>1364</v>
      </c>
      <c r="G1731" t="s">
        <v>1365</v>
      </c>
      <c r="H1731" s="315" t="s">
        <v>1000</v>
      </c>
      <c r="I1731" s="315" t="s">
        <v>1001</v>
      </c>
      <c r="J1731" s="315" t="str">
        <f t="shared" ref="J1731:J1794" si="151">+H1731&amp;I1731</f>
        <v>Admin &amp; OtherOther Overheads as % of Total Gross Profit</v>
      </c>
      <c r="K1731" s="315" t="str">
        <f t="shared" ref="K1731:K1794" si="152">+E1731&amp;G1731</f>
        <v>200Bad Debts - Toyota</v>
      </c>
      <c r="L1731" s="311">
        <f>+SUMIF('TUNZ Extracted TB'!M:M,$P1731,'TUNZ Extracted TB'!G:G)</f>
        <v>0</v>
      </c>
      <c r="M1731" s="311"/>
      <c r="N1731" s="311">
        <f>+SUMIF('Input Sheet'!$AE:$AE,P1731,'Input Sheet'!$X:$X)</f>
        <v>0</v>
      </c>
      <c r="O1731" s="311"/>
      <c r="P1731" t="str">
        <f t="shared" ref="P1731:P1794" si="153">+E1731&amp;"-"&amp;D1731</f>
        <v>200-7305</v>
      </c>
      <c r="Q1731" s="315" t="str">
        <f t="shared" ref="Q1731:Q1794" si="154">H1731</f>
        <v>Admin &amp; Other</v>
      </c>
      <c r="R1731" s="315" t="str">
        <f t="shared" ref="R1731:R1794" si="155">J1731</f>
        <v>Admin &amp; OtherOther Overheads as % of Total Gross Profit</v>
      </c>
      <c r="S1731" s="199"/>
      <c r="T1731" s="199"/>
      <c r="U1731" s="199"/>
    </row>
    <row r="1732" spans="1:21" x14ac:dyDescent="0.25">
      <c r="A1732" t="s">
        <v>996</v>
      </c>
      <c r="B1732" t="s">
        <v>997</v>
      </c>
      <c r="C1732" t="s">
        <v>1005</v>
      </c>
      <c r="D1732">
        <v>7305</v>
      </c>
      <c r="E1732">
        <v>210</v>
      </c>
      <c r="F1732" t="s">
        <v>1364</v>
      </c>
      <c r="G1732" t="s">
        <v>1365</v>
      </c>
      <c r="H1732" s="315" t="s">
        <v>1000</v>
      </c>
      <c r="I1732" s="315" t="s">
        <v>1001</v>
      </c>
      <c r="J1732" s="315" t="str">
        <f t="shared" si="151"/>
        <v>Admin &amp; OtherOther Overheads as % of Total Gross Profit</v>
      </c>
      <c r="K1732" s="315" t="str">
        <f t="shared" si="152"/>
        <v>210Bad Debts - Toyota</v>
      </c>
      <c r="L1732" s="311">
        <f>+SUMIF('TUNZ Extracted TB'!M:M,$P1732,'TUNZ Extracted TB'!G:G)</f>
        <v>0</v>
      </c>
      <c r="M1732" s="311"/>
      <c r="N1732" s="311">
        <f>+SUMIF('Input Sheet'!$AE:$AE,P1732,'Input Sheet'!$X:$X)</f>
        <v>0</v>
      </c>
      <c r="O1732" s="311"/>
      <c r="P1732" t="str">
        <f t="shared" si="153"/>
        <v>210-7305</v>
      </c>
      <c r="Q1732" s="315" t="str">
        <f t="shared" si="154"/>
        <v>Admin &amp; Other</v>
      </c>
      <c r="R1732" s="315" t="str">
        <f t="shared" si="155"/>
        <v>Admin &amp; OtherOther Overheads as % of Total Gross Profit</v>
      </c>
      <c r="S1732" s="199"/>
      <c r="T1732" s="199"/>
      <c r="U1732" s="199"/>
    </row>
    <row r="1733" spans="1:21" x14ac:dyDescent="0.25">
      <c r="A1733" t="s">
        <v>996</v>
      </c>
      <c r="B1733" t="s">
        <v>997</v>
      </c>
      <c r="C1733" t="s">
        <v>1005</v>
      </c>
      <c r="D1733">
        <v>7305</v>
      </c>
      <c r="E1733">
        <v>220</v>
      </c>
      <c r="F1733" t="s">
        <v>1364</v>
      </c>
      <c r="G1733" t="s">
        <v>1365</v>
      </c>
      <c r="H1733" s="315" t="s">
        <v>1000</v>
      </c>
      <c r="I1733" s="315" t="s">
        <v>1001</v>
      </c>
      <c r="J1733" s="315" t="str">
        <f t="shared" si="151"/>
        <v>Admin &amp; OtherOther Overheads as % of Total Gross Profit</v>
      </c>
      <c r="K1733" s="315" t="str">
        <f t="shared" si="152"/>
        <v>220Bad Debts - Toyota</v>
      </c>
      <c r="L1733" s="311">
        <f>+SUMIF('TUNZ Extracted TB'!M:M,$P1733,'TUNZ Extracted TB'!G:G)</f>
        <v>0</v>
      </c>
      <c r="M1733" s="311"/>
      <c r="N1733" s="311">
        <f>+SUMIF('Input Sheet'!$AE:$AE,P1733,'Input Sheet'!$X:$X)</f>
        <v>0</v>
      </c>
      <c r="O1733" s="311"/>
      <c r="P1733" t="str">
        <f t="shared" si="153"/>
        <v>220-7305</v>
      </c>
      <c r="Q1733" s="315" t="str">
        <f t="shared" si="154"/>
        <v>Admin &amp; Other</v>
      </c>
      <c r="R1733" s="315" t="str">
        <f t="shared" si="155"/>
        <v>Admin &amp; OtherOther Overheads as % of Total Gross Profit</v>
      </c>
      <c r="S1733" s="199"/>
      <c r="T1733" s="199"/>
      <c r="U1733" s="199"/>
    </row>
    <row r="1734" spans="1:21" x14ac:dyDescent="0.25">
      <c r="A1734" t="s">
        <v>996</v>
      </c>
      <c r="B1734" t="s">
        <v>997</v>
      </c>
      <c r="C1734" t="s">
        <v>1005</v>
      </c>
      <c r="D1734">
        <v>7305</v>
      </c>
      <c r="E1734">
        <v>221</v>
      </c>
      <c r="F1734" t="s">
        <v>1364</v>
      </c>
      <c r="G1734" t="s">
        <v>1365</v>
      </c>
      <c r="H1734" s="315" t="s">
        <v>1000</v>
      </c>
      <c r="I1734" s="315" t="s">
        <v>1001</v>
      </c>
      <c r="J1734" s="315" t="str">
        <f t="shared" si="151"/>
        <v>Admin &amp; OtherOther Overheads as % of Total Gross Profit</v>
      </c>
      <c r="K1734" s="315" t="str">
        <f t="shared" si="152"/>
        <v>221Bad Debts - Toyota</v>
      </c>
      <c r="L1734" s="311">
        <f>+SUMIF('TUNZ Extracted TB'!M:M,$P1734,'TUNZ Extracted TB'!G:G)</f>
        <v>0</v>
      </c>
      <c r="M1734" s="311"/>
      <c r="N1734" s="311">
        <f>+SUMIF('Input Sheet'!$AE:$AE,P1734,'Input Sheet'!$X:$X)</f>
        <v>0</v>
      </c>
      <c r="O1734" s="311"/>
      <c r="P1734" t="str">
        <f t="shared" si="153"/>
        <v>221-7305</v>
      </c>
      <c r="Q1734" s="315" t="str">
        <f t="shared" si="154"/>
        <v>Admin &amp; Other</v>
      </c>
      <c r="R1734" s="315" t="str">
        <f t="shared" si="155"/>
        <v>Admin &amp; OtherOther Overheads as % of Total Gross Profit</v>
      </c>
      <c r="S1734" s="199"/>
      <c r="T1734" s="199"/>
      <c r="U1734" s="199"/>
    </row>
    <row r="1735" spans="1:21" x14ac:dyDescent="0.25">
      <c r="A1735" t="s">
        <v>996</v>
      </c>
      <c r="B1735" t="s">
        <v>997</v>
      </c>
      <c r="C1735" t="s">
        <v>1005</v>
      </c>
      <c r="D1735">
        <v>7305</v>
      </c>
      <c r="E1735">
        <v>260</v>
      </c>
      <c r="F1735" t="s">
        <v>1364</v>
      </c>
      <c r="G1735" t="s">
        <v>1365</v>
      </c>
      <c r="H1735" s="315" t="s">
        <v>1000</v>
      </c>
      <c r="I1735" s="315" t="s">
        <v>1001</v>
      </c>
      <c r="J1735" s="315" t="str">
        <f t="shared" si="151"/>
        <v>Admin &amp; OtherOther Overheads as % of Total Gross Profit</v>
      </c>
      <c r="K1735" s="315" t="str">
        <f t="shared" si="152"/>
        <v>260Bad Debts - Toyota</v>
      </c>
      <c r="L1735" s="311">
        <f>+SUMIF('TUNZ Extracted TB'!M:M,$P1735,'TUNZ Extracted TB'!G:G)</f>
        <v>0</v>
      </c>
      <c r="M1735" s="311"/>
      <c r="N1735" s="311">
        <f>+SUMIF('Input Sheet'!$AE:$AE,P1735,'Input Sheet'!$X:$X)</f>
        <v>0</v>
      </c>
      <c r="O1735" s="311"/>
      <c r="P1735" t="str">
        <f t="shared" si="153"/>
        <v>260-7305</v>
      </c>
      <c r="Q1735" s="315" t="str">
        <f t="shared" si="154"/>
        <v>Admin &amp; Other</v>
      </c>
      <c r="R1735" s="315" t="str">
        <f t="shared" si="155"/>
        <v>Admin &amp; OtherOther Overheads as % of Total Gross Profit</v>
      </c>
      <c r="S1735" s="199"/>
      <c r="T1735" s="199"/>
      <c r="U1735" s="199"/>
    </row>
    <row r="1736" spans="1:21" x14ac:dyDescent="0.25">
      <c r="A1736" t="s">
        <v>996</v>
      </c>
      <c r="B1736" t="s">
        <v>997</v>
      </c>
      <c r="C1736" t="s">
        <v>1012</v>
      </c>
      <c r="D1736">
        <v>7305</v>
      </c>
      <c r="E1736">
        <v>400</v>
      </c>
      <c r="F1736" t="s">
        <v>1364</v>
      </c>
      <c r="G1736" t="s">
        <v>1365</v>
      </c>
      <c r="H1736" s="315" t="s">
        <v>1000</v>
      </c>
      <c r="I1736" s="315" t="s">
        <v>1001</v>
      </c>
      <c r="J1736" s="315" t="str">
        <f t="shared" si="151"/>
        <v>Admin &amp; OtherOther Overheads as % of Total Gross Profit</v>
      </c>
      <c r="K1736" s="315" t="str">
        <f t="shared" si="152"/>
        <v>400Bad Debts - Toyota</v>
      </c>
      <c r="L1736" s="311">
        <f>+SUMIF('TUNZ Extracted TB'!M:M,$P1736,'TUNZ Extracted TB'!G:G)</f>
        <v>0</v>
      </c>
      <c r="M1736" s="311"/>
      <c r="N1736" s="311">
        <f>+SUMIF('Input Sheet'!$AE:$AE,P1736,'Input Sheet'!$X:$X)</f>
        <v>0</v>
      </c>
      <c r="O1736" s="311"/>
      <c r="P1736" t="str">
        <f t="shared" si="153"/>
        <v>400-7305</v>
      </c>
      <c r="Q1736" s="315" t="str">
        <f t="shared" si="154"/>
        <v>Admin &amp; Other</v>
      </c>
      <c r="R1736" s="315" t="str">
        <f t="shared" si="155"/>
        <v>Admin &amp; OtherOther Overheads as % of Total Gross Profit</v>
      </c>
      <c r="S1736" s="199"/>
      <c r="T1736" s="199"/>
      <c r="U1736" s="199"/>
    </row>
    <row r="1737" spans="1:21" x14ac:dyDescent="0.25">
      <c r="A1737" t="s">
        <v>996</v>
      </c>
      <c r="B1737" t="s">
        <v>997</v>
      </c>
      <c r="C1737" t="s">
        <v>1012</v>
      </c>
      <c r="D1737">
        <v>7305</v>
      </c>
      <c r="E1737">
        <v>410</v>
      </c>
      <c r="F1737" t="s">
        <v>1364</v>
      </c>
      <c r="G1737" t="s">
        <v>1365</v>
      </c>
      <c r="H1737" s="315" t="s">
        <v>1000</v>
      </c>
      <c r="I1737" s="315" t="s">
        <v>1001</v>
      </c>
      <c r="J1737" s="315" t="str">
        <f t="shared" si="151"/>
        <v>Admin &amp; OtherOther Overheads as % of Total Gross Profit</v>
      </c>
      <c r="K1737" s="315" t="str">
        <f t="shared" si="152"/>
        <v>410Bad Debts - Toyota</v>
      </c>
      <c r="L1737" s="311">
        <f>+SUMIF('TUNZ Extracted TB'!M:M,$P1737,'TUNZ Extracted TB'!G:G)</f>
        <v>0</v>
      </c>
      <c r="M1737" s="311"/>
      <c r="N1737" s="311">
        <f>+SUMIF('Input Sheet'!$AE:$AE,P1737,'Input Sheet'!$X:$X)</f>
        <v>0</v>
      </c>
      <c r="O1737" s="311"/>
      <c r="P1737" t="str">
        <f t="shared" si="153"/>
        <v>410-7305</v>
      </c>
      <c r="Q1737" s="315" t="str">
        <f t="shared" si="154"/>
        <v>Admin &amp; Other</v>
      </c>
      <c r="R1737" s="315" t="str">
        <f t="shared" si="155"/>
        <v>Admin &amp; OtherOther Overheads as % of Total Gross Profit</v>
      </c>
      <c r="S1737" s="199"/>
      <c r="T1737" s="199"/>
      <c r="U1737" s="199"/>
    </row>
    <row r="1738" spans="1:21" x14ac:dyDescent="0.25">
      <c r="A1738" t="s">
        <v>996</v>
      </c>
      <c r="B1738" t="s">
        <v>997</v>
      </c>
      <c r="C1738" t="s">
        <v>1012</v>
      </c>
      <c r="D1738">
        <v>7305</v>
      </c>
      <c r="E1738">
        <v>420</v>
      </c>
      <c r="F1738" t="s">
        <v>1364</v>
      </c>
      <c r="G1738" t="s">
        <v>1365</v>
      </c>
      <c r="H1738" s="315" t="s">
        <v>1000</v>
      </c>
      <c r="I1738" s="315" t="s">
        <v>1001</v>
      </c>
      <c r="J1738" s="315" t="str">
        <f t="shared" si="151"/>
        <v>Admin &amp; OtherOther Overheads as % of Total Gross Profit</v>
      </c>
      <c r="K1738" s="315" t="str">
        <f t="shared" si="152"/>
        <v>420Bad Debts - Toyota</v>
      </c>
      <c r="L1738" s="311">
        <f>+SUMIF('TUNZ Extracted TB'!M:M,$P1738,'TUNZ Extracted TB'!G:G)</f>
        <v>0</v>
      </c>
      <c r="M1738" s="311"/>
      <c r="N1738" s="311">
        <f>+SUMIF('Input Sheet'!$AE:$AE,P1738,'Input Sheet'!$X:$X)</f>
        <v>0</v>
      </c>
      <c r="O1738" s="311"/>
      <c r="P1738" t="str">
        <f t="shared" si="153"/>
        <v>420-7305</v>
      </c>
      <c r="Q1738" s="315" t="str">
        <f t="shared" si="154"/>
        <v>Admin &amp; Other</v>
      </c>
      <c r="R1738" s="315" t="str">
        <f t="shared" si="155"/>
        <v>Admin &amp; OtherOther Overheads as % of Total Gross Profit</v>
      </c>
      <c r="S1738" s="199"/>
      <c r="T1738" s="199"/>
      <c r="U1738" s="199"/>
    </row>
    <row r="1739" spans="1:21" x14ac:dyDescent="0.25">
      <c r="A1739" t="s">
        <v>996</v>
      </c>
      <c r="B1739" t="s">
        <v>997</v>
      </c>
      <c r="C1739" t="s">
        <v>1012</v>
      </c>
      <c r="D1739">
        <v>7305</v>
      </c>
      <c r="E1739">
        <v>421</v>
      </c>
      <c r="F1739" t="s">
        <v>1364</v>
      </c>
      <c r="G1739" t="s">
        <v>1365</v>
      </c>
      <c r="H1739" s="315" t="s">
        <v>1000</v>
      </c>
      <c r="I1739" s="315" t="s">
        <v>1001</v>
      </c>
      <c r="J1739" s="315" t="str">
        <f t="shared" si="151"/>
        <v>Admin &amp; OtherOther Overheads as % of Total Gross Profit</v>
      </c>
      <c r="K1739" s="315" t="str">
        <f t="shared" si="152"/>
        <v>421Bad Debts - Toyota</v>
      </c>
      <c r="L1739" s="311">
        <f>+SUMIF('TUNZ Extracted TB'!M:M,$P1739,'TUNZ Extracted TB'!G:G)</f>
        <v>0</v>
      </c>
      <c r="M1739" s="311"/>
      <c r="N1739" s="311">
        <f>+SUMIF('Input Sheet'!$AE:$AE,P1739,'Input Sheet'!$X:$X)</f>
        <v>0</v>
      </c>
      <c r="O1739" s="311"/>
      <c r="P1739" t="str">
        <f t="shared" si="153"/>
        <v>421-7305</v>
      </c>
      <c r="Q1739" s="315" t="str">
        <f t="shared" si="154"/>
        <v>Admin &amp; Other</v>
      </c>
      <c r="R1739" s="315" t="str">
        <f t="shared" si="155"/>
        <v>Admin &amp; OtherOther Overheads as % of Total Gross Profit</v>
      </c>
      <c r="S1739" s="199"/>
      <c r="T1739" s="199"/>
      <c r="U1739" s="199"/>
    </row>
    <row r="1740" spans="1:21" x14ac:dyDescent="0.25">
      <c r="A1740" t="s">
        <v>996</v>
      </c>
      <c r="B1740" t="s">
        <v>997</v>
      </c>
      <c r="C1740" t="s">
        <v>1012</v>
      </c>
      <c r="D1740">
        <v>7305</v>
      </c>
      <c r="E1740">
        <v>430</v>
      </c>
      <c r="F1740" t="s">
        <v>1364</v>
      </c>
      <c r="G1740" t="s">
        <v>1365</v>
      </c>
      <c r="H1740" s="315" t="s">
        <v>1000</v>
      </c>
      <c r="I1740" s="315" t="s">
        <v>1001</v>
      </c>
      <c r="J1740" s="315" t="str">
        <f t="shared" si="151"/>
        <v>Admin &amp; OtherOther Overheads as % of Total Gross Profit</v>
      </c>
      <c r="K1740" s="315" t="str">
        <f t="shared" si="152"/>
        <v>430Bad Debts - Toyota</v>
      </c>
      <c r="L1740" s="311">
        <f>+SUMIF('TUNZ Extracted TB'!M:M,$P1740,'TUNZ Extracted TB'!G:G)</f>
        <v>0</v>
      </c>
      <c r="M1740" s="311"/>
      <c r="N1740" s="311">
        <f>+SUMIF('Input Sheet'!$AE:$AE,P1740,'Input Sheet'!$X:$X)</f>
        <v>0</v>
      </c>
      <c r="O1740" s="311"/>
      <c r="P1740" t="str">
        <f t="shared" si="153"/>
        <v>430-7305</v>
      </c>
      <c r="Q1740" s="315" t="str">
        <f t="shared" si="154"/>
        <v>Admin &amp; Other</v>
      </c>
      <c r="R1740" s="315" t="str">
        <f t="shared" si="155"/>
        <v>Admin &amp; OtherOther Overheads as % of Total Gross Profit</v>
      </c>
      <c r="S1740" s="199"/>
      <c r="T1740" s="199"/>
      <c r="U1740" s="199"/>
    </row>
    <row r="1741" spans="1:21" x14ac:dyDescent="0.25">
      <c r="A1741" t="s">
        <v>996</v>
      </c>
      <c r="B1741" t="s">
        <v>997</v>
      </c>
      <c r="C1741" t="s">
        <v>1012</v>
      </c>
      <c r="D1741">
        <v>7305</v>
      </c>
      <c r="E1741">
        <v>440</v>
      </c>
      <c r="F1741" t="s">
        <v>1364</v>
      </c>
      <c r="G1741" t="s">
        <v>1365</v>
      </c>
      <c r="H1741" s="315" t="s">
        <v>1000</v>
      </c>
      <c r="I1741" s="315" t="s">
        <v>1001</v>
      </c>
      <c r="J1741" s="315" t="str">
        <f t="shared" si="151"/>
        <v>Admin &amp; OtherOther Overheads as % of Total Gross Profit</v>
      </c>
      <c r="K1741" s="315" t="str">
        <f t="shared" si="152"/>
        <v>440Bad Debts - Toyota</v>
      </c>
      <c r="L1741" s="311">
        <f>+SUMIF('TUNZ Extracted TB'!M:M,$P1741,'TUNZ Extracted TB'!G:G)</f>
        <v>0</v>
      </c>
      <c r="M1741" s="311"/>
      <c r="N1741" s="311">
        <f>+SUMIF('Input Sheet'!$AE:$AE,P1741,'Input Sheet'!$X:$X)</f>
        <v>0</v>
      </c>
      <c r="O1741" s="311"/>
      <c r="P1741" t="str">
        <f t="shared" si="153"/>
        <v>440-7305</v>
      </c>
      <c r="Q1741" s="315" t="str">
        <f t="shared" si="154"/>
        <v>Admin &amp; Other</v>
      </c>
      <c r="R1741" s="315" t="str">
        <f t="shared" si="155"/>
        <v>Admin &amp; OtherOther Overheads as % of Total Gross Profit</v>
      </c>
      <c r="S1741" s="199"/>
      <c r="T1741" s="199"/>
      <c r="U1741" s="199"/>
    </row>
    <row r="1742" spans="1:21" x14ac:dyDescent="0.25">
      <c r="A1742" t="s">
        <v>996</v>
      </c>
      <c r="B1742" t="s">
        <v>997</v>
      </c>
      <c r="C1742" t="s">
        <v>1012</v>
      </c>
      <c r="D1742">
        <v>7305</v>
      </c>
      <c r="E1742">
        <v>460</v>
      </c>
      <c r="F1742" t="s">
        <v>1364</v>
      </c>
      <c r="G1742" t="s">
        <v>1365</v>
      </c>
      <c r="H1742" s="315" t="s">
        <v>1000</v>
      </c>
      <c r="I1742" s="315" t="s">
        <v>1001</v>
      </c>
      <c r="J1742" s="315" t="str">
        <f t="shared" si="151"/>
        <v>Admin &amp; OtherOther Overheads as % of Total Gross Profit</v>
      </c>
      <c r="K1742" s="315" t="str">
        <f t="shared" si="152"/>
        <v>460Bad Debts - Toyota</v>
      </c>
      <c r="L1742" s="311">
        <f>+SUMIF('TUNZ Extracted TB'!M:M,$P1742,'TUNZ Extracted TB'!G:G)</f>
        <v>0</v>
      </c>
      <c r="M1742" s="311"/>
      <c r="N1742" s="311">
        <f>+SUMIF('Input Sheet'!$AE:$AE,P1742,'Input Sheet'!$X:$X)</f>
        <v>0</v>
      </c>
      <c r="O1742" s="311"/>
      <c r="P1742" t="str">
        <f t="shared" si="153"/>
        <v>460-7305</v>
      </c>
      <c r="Q1742" s="315" t="str">
        <f t="shared" si="154"/>
        <v>Admin &amp; Other</v>
      </c>
      <c r="R1742" s="315" t="str">
        <f t="shared" si="155"/>
        <v>Admin &amp; OtherOther Overheads as % of Total Gross Profit</v>
      </c>
      <c r="S1742" s="199"/>
      <c r="T1742" s="199"/>
      <c r="U1742" s="199"/>
    </row>
    <row r="1743" spans="1:21" x14ac:dyDescent="0.25">
      <c r="A1743" t="s">
        <v>996</v>
      </c>
      <c r="B1743" t="s">
        <v>997</v>
      </c>
      <c r="C1743" t="s">
        <v>1013</v>
      </c>
      <c r="D1743">
        <v>7305</v>
      </c>
      <c r="E1743">
        <v>300</v>
      </c>
      <c r="F1743" t="s">
        <v>1364</v>
      </c>
      <c r="G1743" t="s">
        <v>1365</v>
      </c>
      <c r="H1743" s="315" t="s">
        <v>1000</v>
      </c>
      <c r="I1743" s="315" t="s">
        <v>1001</v>
      </c>
      <c r="J1743" s="315" t="str">
        <f t="shared" si="151"/>
        <v>Admin &amp; OtherOther Overheads as % of Total Gross Profit</v>
      </c>
      <c r="K1743" s="315" t="str">
        <f t="shared" si="152"/>
        <v>300Bad Debts - Toyota</v>
      </c>
      <c r="L1743" s="311">
        <f>+SUMIF('TUNZ Extracted TB'!M:M,$P1743,'TUNZ Extracted TB'!G:G)</f>
        <v>0</v>
      </c>
      <c r="M1743" s="311"/>
      <c r="N1743" s="311">
        <f>+SUMIF('Input Sheet'!$AE:$AE,P1743,'Input Sheet'!$X:$X)</f>
        <v>0</v>
      </c>
      <c r="O1743" s="311"/>
      <c r="P1743" t="str">
        <f t="shared" si="153"/>
        <v>300-7305</v>
      </c>
      <c r="Q1743" s="315" t="str">
        <f t="shared" si="154"/>
        <v>Admin &amp; Other</v>
      </c>
      <c r="R1743" s="315" t="str">
        <f t="shared" si="155"/>
        <v>Admin &amp; OtherOther Overheads as % of Total Gross Profit</v>
      </c>
      <c r="S1743" s="199"/>
      <c r="T1743" s="199"/>
      <c r="U1743" s="199"/>
    </row>
    <row r="1744" spans="1:21" x14ac:dyDescent="0.25">
      <c r="A1744" t="s">
        <v>996</v>
      </c>
      <c r="B1744" t="s">
        <v>997</v>
      </c>
      <c r="C1744" t="s">
        <v>1013</v>
      </c>
      <c r="D1744">
        <v>7305</v>
      </c>
      <c r="E1744">
        <v>310</v>
      </c>
      <c r="F1744" t="s">
        <v>1364</v>
      </c>
      <c r="G1744" t="s">
        <v>1365</v>
      </c>
      <c r="H1744" s="315" t="s">
        <v>1000</v>
      </c>
      <c r="I1744" s="315" t="s">
        <v>1001</v>
      </c>
      <c r="J1744" s="315" t="str">
        <f t="shared" si="151"/>
        <v>Admin &amp; OtherOther Overheads as % of Total Gross Profit</v>
      </c>
      <c r="K1744" s="315" t="str">
        <f t="shared" si="152"/>
        <v>310Bad Debts - Toyota</v>
      </c>
      <c r="L1744" s="311">
        <f>+SUMIF('TUNZ Extracted TB'!M:M,$P1744,'TUNZ Extracted TB'!G:G)</f>
        <v>0</v>
      </c>
      <c r="M1744" s="311"/>
      <c r="N1744" s="311">
        <f>+SUMIF('Input Sheet'!$AE:$AE,P1744,'Input Sheet'!$X:$X)</f>
        <v>0</v>
      </c>
      <c r="O1744" s="311"/>
      <c r="P1744" t="str">
        <f t="shared" si="153"/>
        <v>310-7305</v>
      </c>
      <c r="Q1744" s="315" t="str">
        <f t="shared" si="154"/>
        <v>Admin &amp; Other</v>
      </c>
      <c r="R1744" s="315" t="str">
        <f t="shared" si="155"/>
        <v>Admin &amp; OtherOther Overheads as % of Total Gross Profit</v>
      </c>
      <c r="S1744" s="199"/>
      <c r="T1744" s="199"/>
      <c r="U1744" s="199"/>
    </row>
    <row r="1745" spans="1:21" x14ac:dyDescent="0.25">
      <c r="A1745" t="s">
        <v>996</v>
      </c>
      <c r="B1745" t="s">
        <v>997</v>
      </c>
      <c r="C1745" t="s">
        <v>1013</v>
      </c>
      <c r="D1745">
        <v>7305</v>
      </c>
      <c r="E1745">
        <v>321</v>
      </c>
      <c r="F1745" t="s">
        <v>1364</v>
      </c>
      <c r="G1745" t="s">
        <v>1365</v>
      </c>
      <c r="H1745" s="315" t="s">
        <v>1000</v>
      </c>
      <c r="I1745" s="315" t="s">
        <v>1001</v>
      </c>
      <c r="J1745" s="315" t="str">
        <f t="shared" si="151"/>
        <v>Admin &amp; OtherOther Overheads as % of Total Gross Profit</v>
      </c>
      <c r="K1745" s="315" t="str">
        <f t="shared" si="152"/>
        <v>321Bad Debts - Toyota</v>
      </c>
      <c r="L1745" s="311">
        <f>+SUMIF('TUNZ Extracted TB'!M:M,$P1745,'TUNZ Extracted TB'!G:G)</f>
        <v>0</v>
      </c>
      <c r="M1745" s="311"/>
      <c r="N1745" s="311">
        <f>+SUMIF('Input Sheet'!$AE:$AE,P1745,'Input Sheet'!$X:$X)</f>
        <v>0</v>
      </c>
      <c r="O1745" s="311"/>
      <c r="P1745" t="str">
        <f t="shared" si="153"/>
        <v>321-7305</v>
      </c>
      <c r="Q1745" s="315" t="str">
        <f t="shared" si="154"/>
        <v>Admin &amp; Other</v>
      </c>
      <c r="R1745" s="315" t="str">
        <f t="shared" si="155"/>
        <v>Admin &amp; OtherOther Overheads as % of Total Gross Profit</v>
      </c>
      <c r="S1745" s="199"/>
      <c r="T1745" s="199"/>
      <c r="U1745" s="199"/>
    </row>
    <row r="1746" spans="1:21" x14ac:dyDescent="0.25">
      <c r="A1746" t="s">
        <v>996</v>
      </c>
      <c r="B1746" t="s">
        <v>997</v>
      </c>
      <c r="C1746" t="s">
        <v>1013</v>
      </c>
      <c r="D1746">
        <v>7305</v>
      </c>
      <c r="E1746">
        <v>330</v>
      </c>
      <c r="F1746" t="s">
        <v>1364</v>
      </c>
      <c r="G1746" t="s">
        <v>1365</v>
      </c>
      <c r="H1746" s="315" t="s">
        <v>1000</v>
      </c>
      <c r="I1746" s="315" t="s">
        <v>1001</v>
      </c>
      <c r="J1746" s="315" t="str">
        <f t="shared" si="151"/>
        <v>Admin &amp; OtherOther Overheads as % of Total Gross Profit</v>
      </c>
      <c r="K1746" s="315" t="str">
        <f t="shared" si="152"/>
        <v>330Bad Debts - Toyota</v>
      </c>
      <c r="L1746" s="311">
        <f>+SUMIF('TUNZ Extracted TB'!M:M,$P1746,'TUNZ Extracted TB'!G:G)</f>
        <v>0</v>
      </c>
      <c r="M1746" s="311"/>
      <c r="N1746" s="311">
        <f>+SUMIF('Input Sheet'!$AE:$AE,P1746,'Input Sheet'!$X:$X)</f>
        <v>0</v>
      </c>
      <c r="O1746" s="311"/>
      <c r="P1746" t="str">
        <f t="shared" si="153"/>
        <v>330-7305</v>
      </c>
      <c r="Q1746" s="315" t="str">
        <f t="shared" si="154"/>
        <v>Admin &amp; Other</v>
      </c>
      <c r="R1746" s="315" t="str">
        <f t="shared" si="155"/>
        <v>Admin &amp; OtherOther Overheads as % of Total Gross Profit</v>
      </c>
      <c r="S1746" s="199"/>
      <c r="T1746" s="199"/>
      <c r="U1746" s="199"/>
    </row>
    <row r="1747" spans="1:21" x14ac:dyDescent="0.25">
      <c r="A1747" t="s">
        <v>996</v>
      </c>
      <c r="B1747" t="s">
        <v>997</v>
      </c>
      <c r="C1747" t="s">
        <v>1013</v>
      </c>
      <c r="D1747">
        <v>7305</v>
      </c>
      <c r="E1747">
        <v>360</v>
      </c>
      <c r="F1747" t="s">
        <v>1364</v>
      </c>
      <c r="G1747" t="s">
        <v>1365</v>
      </c>
      <c r="H1747" s="315" t="s">
        <v>1000</v>
      </c>
      <c r="I1747" s="315" t="s">
        <v>1001</v>
      </c>
      <c r="J1747" s="315" t="str">
        <f t="shared" si="151"/>
        <v>Admin &amp; OtherOther Overheads as % of Total Gross Profit</v>
      </c>
      <c r="K1747" s="315" t="str">
        <f t="shared" si="152"/>
        <v>360Bad Debts - Toyota</v>
      </c>
      <c r="L1747" s="311">
        <f>+SUMIF('TUNZ Extracted TB'!M:M,$P1747,'TUNZ Extracted TB'!G:G)</f>
        <v>0</v>
      </c>
      <c r="M1747" s="311"/>
      <c r="N1747" s="311">
        <f>+SUMIF('Input Sheet'!$AE:$AE,P1747,'Input Sheet'!$X:$X)</f>
        <v>0</v>
      </c>
      <c r="O1747" s="311"/>
      <c r="P1747" t="str">
        <f t="shared" si="153"/>
        <v>360-7305</v>
      </c>
      <c r="Q1747" s="315" t="str">
        <f t="shared" si="154"/>
        <v>Admin &amp; Other</v>
      </c>
      <c r="R1747" s="315" t="str">
        <f t="shared" si="155"/>
        <v>Admin &amp; OtherOther Overheads as % of Total Gross Profit</v>
      </c>
      <c r="S1747" s="199"/>
      <c r="T1747" s="199"/>
      <c r="U1747" s="199"/>
    </row>
    <row r="1748" spans="1:21" x14ac:dyDescent="0.25">
      <c r="A1748" t="s">
        <v>996</v>
      </c>
      <c r="B1748" t="s">
        <v>997</v>
      </c>
      <c r="C1748" t="s">
        <v>997</v>
      </c>
      <c r="D1748">
        <v>7305</v>
      </c>
      <c r="E1748">
        <v>121</v>
      </c>
      <c r="F1748" t="s">
        <v>1364</v>
      </c>
      <c r="G1748" t="s">
        <v>1365</v>
      </c>
      <c r="H1748" s="315" t="s">
        <v>1000</v>
      </c>
      <c r="I1748" s="315" t="s">
        <v>1001</v>
      </c>
      <c r="J1748" s="315" t="str">
        <f t="shared" si="151"/>
        <v>Admin &amp; OtherOther Overheads as % of Total Gross Profit</v>
      </c>
      <c r="K1748" s="315" t="str">
        <f t="shared" si="152"/>
        <v>121Bad Debts - Toyota</v>
      </c>
      <c r="L1748" s="311">
        <f>+SUMIF('TUNZ Extracted TB'!M:M,$P1748,'TUNZ Extracted TB'!G:G)</f>
        <v>0</v>
      </c>
      <c r="M1748" s="311"/>
      <c r="N1748" s="311">
        <f>+SUMIF('Input Sheet'!$AE:$AE,P1748,'Input Sheet'!$X:$X)</f>
        <v>0</v>
      </c>
      <c r="O1748" s="311"/>
      <c r="P1748" t="str">
        <f t="shared" si="153"/>
        <v>121-7305</v>
      </c>
      <c r="Q1748" s="315" t="str">
        <f t="shared" si="154"/>
        <v>Admin &amp; Other</v>
      </c>
      <c r="R1748" s="315" t="str">
        <f t="shared" si="155"/>
        <v>Admin &amp; OtherOther Overheads as % of Total Gross Profit</v>
      </c>
      <c r="S1748" s="199"/>
      <c r="T1748" s="199"/>
      <c r="U1748" s="199"/>
    </row>
    <row r="1749" spans="1:21" x14ac:dyDescent="0.25">
      <c r="A1749" t="s">
        <v>996</v>
      </c>
      <c r="B1749" t="s">
        <v>997</v>
      </c>
      <c r="C1749" t="s">
        <v>997</v>
      </c>
      <c r="D1749">
        <v>7305</v>
      </c>
      <c r="E1749">
        <v>160</v>
      </c>
      <c r="F1749" t="s">
        <v>1364</v>
      </c>
      <c r="G1749" t="s">
        <v>1365</v>
      </c>
      <c r="H1749" s="315" t="s">
        <v>1000</v>
      </c>
      <c r="I1749" s="315" t="s">
        <v>1001</v>
      </c>
      <c r="J1749" s="315" t="str">
        <f t="shared" si="151"/>
        <v>Admin &amp; OtherOther Overheads as % of Total Gross Profit</v>
      </c>
      <c r="K1749" s="315" t="str">
        <f t="shared" si="152"/>
        <v>160Bad Debts - Toyota</v>
      </c>
      <c r="L1749" s="311">
        <f>+SUMIF('TUNZ Extracted TB'!M:M,$P1749,'TUNZ Extracted TB'!G:G)</f>
        <v>0</v>
      </c>
      <c r="M1749" s="311"/>
      <c r="N1749" s="311">
        <f>+SUMIF('Input Sheet'!$AE:$AE,P1749,'Input Sheet'!$X:$X)</f>
        <v>0</v>
      </c>
      <c r="O1749" s="311"/>
      <c r="P1749" t="str">
        <f t="shared" si="153"/>
        <v>160-7305</v>
      </c>
      <c r="Q1749" s="315" t="str">
        <f t="shared" si="154"/>
        <v>Admin &amp; Other</v>
      </c>
      <c r="R1749" s="315" t="str">
        <f t="shared" si="155"/>
        <v>Admin &amp; OtherOther Overheads as % of Total Gross Profit</v>
      </c>
      <c r="S1749" s="199"/>
      <c r="T1749" s="199"/>
      <c r="U1749" s="199"/>
    </row>
    <row r="1750" spans="1:21" x14ac:dyDescent="0.25">
      <c r="A1750" t="s">
        <v>996</v>
      </c>
      <c r="B1750" t="s">
        <v>997</v>
      </c>
      <c r="C1750" t="s">
        <v>997</v>
      </c>
      <c r="D1750">
        <v>7305</v>
      </c>
      <c r="E1750">
        <v>170</v>
      </c>
      <c r="F1750" t="s">
        <v>1364</v>
      </c>
      <c r="G1750" t="s">
        <v>1365</v>
      </c>
      <c r="H1750" s="315" t="s">
        <v>1000</v>
      </c>
      <c r="I1750" s="315" t="s">
        <v>1001</v>
      </c>
      <c r="J1750" s="315" t="str">
        <f t="shared" si="151"/>
        <v>Admin &amp; OtherOther Overheads as % of Total Gross Profit</v>
      </c>
      <c r="K1750" s="315" t="str">
        <f t="shared" si="152"/>
        <v>170Bad Debts - Toyota</v>
      </c>
      <c r="L1750" s="311">
        <f>+SUMIF('TUNZ Extracted TB'!M:M,$P1750,'TUNZ Extracted TB'!G:G)</f>
        <v>0</v>
      </c>
      <c r="M1750" s="311"/>
      <c r="N1750" s="311">
        <f>+SUMIF('Input Sheet'!$AE:$AE,P1750,'Input Sheet'!$X:$X)</f>
        <v>0</v>
      </c>
      <c r="O1750" s="311"/>
      <c r="P1750" t="str">
        <f t="shared" si="153"/>
        <v>170-7305</v>
      </c>
      <c r="Q1750" s="315" t="str">
        <f t="shared" si="154"/>
        <v>Admin &amp; Other</v>
      </c>
      <c r="R1750" s="315" t="str">
        <f t="shared" si="155"/>
        <v>Admin &amp; OtherOther Overheads as % of Total Gross Profit</v>
      </c>
      <c r="S1750" s="199"/>
      <c r="T1750" s="199"/>
      <c r="U1750" s="199"/>
    </row>
    <row r="1751" spans="1:21" x14ac:dyDescent="0.25">
      <c r="A1751" t="s">
        <v>996</v>
      </c>
      <c r="B1751" t="s">
        <v>997</v>
      </c>
      <c r="C1751" t="s">
        <v>997</v>
      </c>
      <c r="D1751">
        <v>7305</v>
      </c>
      <c r="E1751">
        <v>147</v>
      </c>
      <c r="F1751" t="s">
        <v>1364</v>
      </c>
      <c r="G1751" t="s">
        <v>1365</v>
      </c>
      <c r="H1751" s="315" t="s">
        <v>1000</v>
      </c>
      <c r="I1751" s="315" t="s">
        <v>1001</v>
      </c>
      <c r="J1751" s="315" t="str">
        <f t="shared" si="151"/>
        <v>Admin &amp; OtherOther Overheads as % of Total Gross Profit</v>
      </c>
      <c r="K1751" s="315" t="str">
        <f t="shared" si="152"/>
        <v>147Bad Debts - Toyota</v>
      </c>
      <c r="L1751" s="311">
        <f>+SUMIF('TUNZ Extracted TB'!M:M,$P1751,'TUNZ Extracted TB'!G:G)</f>
        <v>0</v>
      </c>
      <c r="M1751" s="311"/>
      <c r="N1751" s="311">
        <f>+SUMIF('Input Sheet'!$AE:$AE,P1751,'Input Sheet'!$X:$X)</f>
        <v>0</v>
      </c>
      <c r="O1751" s="311"/>
      <c r="P1751" t="str">
        <f t="shared" si="153"/>
        <v>147-7305</v>
      </c>
      <c r="Q1751" s="315" t="str">
        <f t="shared" si="154"/>
        <v>Admin &amp; Other</v>
      </c>
      <c r="R1751" s="315" t="str">
        <f t="shared" si="155"/>
        <v>Admin &amp; OtherOther Overheads as % of Total Gross Profit</v>
      </c>
      <c r="S1751" s="199"/>
      <c r="T1751" s="199"/>
      <c r="U1751" s="199"/>
    </row>
    <row r="1752" spans="1:21" x14ac:dyDescent="0.25">
      <c r="A1752" t="s">
        <v>996</v>
      </c>
      <c r="B1752" t="s">
        <v>997</v>
      </c>
      <c r="C1752" t="s">
        <v>1013</v>
      </c>
      <c r="D1752">
        <v>7310</v>
      </c>
      <c r="E1752">
        <v>340</v>
      </c>
      <c r="F1752" t="s">
        <v>1353</v>
      </c>
      <c r="G1752" t="s">
        <v>1354</v>
      </c>
      <c r="H1752" s="315" t="s">
        <v>1000</v>
      </c>
      <c r="I1752" s="315" t="s">
        <v>1276</v>
      </c>
      <c r="J1752" s="315" t="str">
        <f t="shared" si="151"/>
        <v xml:space="preserve">Admin &amp; OtherStaff Remuneration &amp; Benefits as % of Total Gross </v>
      </c>
      <c r="K1752" s="315" t="str">
        <f t="shared" si="152"/>
        <v>340Staff Benefits (Superannuation, FBT, ACC) - Toyota</v>
      </c>
      <c r="L1752" s="311">
        <f>+SUMIF('TUNZ Extracted TB'!M:M,$P1752,'TUNZ Extracted TB'!G:G)</f>
        <v>707.76</v>
      </c>
      <c r="M1752" s="311"/>
      <c r="N1752" s="311">
        <f>+SUMIF('Input Sheet'!$AE:$AE,P1752,'Input Sheet'!$X:$X)</f>
        <v>0</v>
      </c>
      <c r="O1752" s="311"/>
      <c r="P1752" t="str">
        <f t="shared" si="153"/>
        <v>340-7310</v>
      </c>
      <c r="Q1752" s="315" t="str">
        <f t="shared" si="154"/>
        <v>Admin &amp; Other</v>
      </c>
      <c r="R1752" s="315" t="str">
        <f t="shared" si="155"/>
        <v xml:space="preserve">Admin &amp; OtherStaff Remuneration &amp; Benefits as % of Total Gross </v>
      </c>
      <c r="S1752" s="199"/>
      <c r="T1752" s="199"/>
      <c r="U1752" s="199"/>
    </row>
    <row r="1753" spans="1:21" x14ac:dyDescent="0.25">
      <c r="A1753" t="s">
        <v>996</v>
      </c>
      <c r="B1753" t="s">
        <v>997</v>
      </c>
      <c r="C1753" t="s">
        <v>997</v>
      </c>
      <c r="D1753">
        <v>7310</v>
      </c>
      <c r="E1753">
        <v>120</v>
      </c>
      <c r="F1753" t="s">
        <v>1353</v>
      </c>
      <c r="G1753" t="s">
        <v>1354</v>
      </c>
      <c r="H1753" s="315" t="s">
        <v>1000</v>
      </c>
      <c r="I1753" s="315" t="s">
        <v>1276</v>
      </c>
      <c r="J1753" s="315" t="str">
        <f t="shared" si="151"/>
        <v xml:space="preserve">Admin &amp; OtherStaff Remuneration &amp; Benefits as % of Total Gross </v>
      </c>
      <c r="K1753" s="315" t="str">
        <f t="shared" si="152"/>
        <v>120Staff Benefits (Superannuation, FBT, ACC) - Toyota</v>
      </c>
      <c r="L1753" s="311">
        <f>+SUMIF('TUNZ Extracted TB'!M:M,$P1753,'TUNZ Extracted TB'!G:G)</f>
        <v>167.35</v>
      </c>
      <c r="M1753" s="311"/>
      <c r="N1753" s="311">
        <f>+SUMIF('Input Sheet'!$AE:$AE,P1753,'Input Sheet'!$X:$X)</f>
        <v>0</v>
      </c>
      <c r="O1753" s="311"/>
      <c r="P1753" t="str">
        <f t="shared" si="153"/>
        <v>120-7310</v>
      </c>
      <c r="Q1753" s="315" t="str">
        <f t="shared" si="154"/>
        <v>Admin &amp; Other</v>
      </c>
      <c r="R1753" s="315" t="str">
        <f t="shared" si="155"/>
        <v xml:space="preserve">Admin &amp; OtherStaff Remuneration &amp; Benefits as % of Total Gross </v>
      </c>
      <c r="S1753" s="199"/>
      <c r="T1753" s="199"/>
      <c r="U1753" s="199"/>
    </row>
    <row r="1754" spans="1:21" x14ac:dyDescent="0.25">
      <c r="A1754" t="s">
        <v>996</v>
      </c>
      <c r="B1754" t="s">
        <v>997</v>
      </c>
      <c r="C1754" t="s">
        <v>1005</v>
      </c>
      <c r="D1754">
        <v>7310</v>
      </c>
      <c r="E1754">
        <v>260</v>
      </c>
      <c r="F1754" t="s">
        <v>1353</v>
      </c>
      <c r="G1754" t="s">
        <v>1354</v>
      </c>
      <c r="H1754" s="315" t="s">
        <v>1000</v>
      </c>
      <c r="I1754" s="315" t="s">
        <v>1276</v>
      </c>
      <c r="J1754" s="315" t="str">
        <f t="shared" si="151"/>
        <v xml:space="preserve">Admin &amp; OtherStaff Remuneration &amp; Benefits as % of Total Gross </v>
      </c>
      <c r="K1754" s="315" t="str">
        <f t="shared" si="152"/>
        <v>260Staff Benefits (Superannuation, FBT, ACC) - Toyota</v>
      </c>
      <c r="L1754" s="311">
        <f>+SUMIF('TUNZ Extracted TB'!M:M,$P1754,'TUNZ Extracted TB'!G:G)</f>
        <v>321.69</v>
      </c>
      <c r="M1754" s="311"/>
      <c r="N1754" s="311">
        <f>+SUMIF('Input Sheet'!$AE:$AE,P1754,'Input Sheet'!$X:$X)</f>
        <v>0</v>
      </c>
      <c r="O1754" s="311"/>
      <c r="P1754" t="str">
        <f t="shared" si="153"/>
        <v>260-7310</v>
      </c>
      <c r="Q1754" s="315" t="str">
        <f t="shared" si="154"/>
        <v>Admin &amp; Other</v>
      </c>
      <c r="R1754" s="315" t="str">
        <f t="shared" si="155"/>
        <v xml:space="preserve">Admin &amp; OtherStaff Remuneration &amp; Benefits as % of Total Gross </v>
      </c>
      <c r="S1754" s="199"/>
      <c r="T1754" s="199"/>
      <c r="U1754" s="199"/>
    </row>
    <row r="1755" spans="1:21" x14ac:dyDescent="0.25">
      <c r="A1755" t="s">
        <v>996</v>
      </c>
      <c r="B1755" t="s">
        <v>997</v>
      </c>
      <c r="C1755" t="s">
        <v>1005</v>
      </c>
      <c r="D1755">
        <v>7310</v>
      </c>
      <c r="E1755">
        <v>220</v>
      </c>
      <c r="F1755" t="s">
        <v>1353</v>
      </c>
      <c r="G1755" t="s">
        <v>1354</v>
      </c>
      <c r="H1755" s="315" t="s">
        <v>1000</v>
      </c>
      <c r="I1755" s="315" t="s">
        <v>1276</v>
      </c>
      <c r="J1755" s="315" t="str">
        <f t="shared" si="151"/>
        <v xml:space="preserve">Admin &amp; OtherStaff Remuneration &amp; Benefits as % of Total Gross </v>
      </c>
      <c r="K1755" s="315" t="str">
        <f t="shared" si="152"/>
        <v>220Staff Benefits (Superannuation, FBT, ACC) - Toyota</v>
      </c>
      <c r="L1755" s="311">
        <f>+SUMIF('TUNZ Extracted TB'!M:M,$P1755,'TUNZ Extracted TB'!G:G)</f>
        <v>264.95999999999998</v>
      </c>
      <c r="M1755" s="311"/>
      <c r="N1755" s="311">
        <f>+SUMIF('Input Sheet'!$AE:$AE,P1755,'Input Sheet'!$X:$X)</f>
        <v>0</v>
      </c>
      <c r="O1755" s="311"/>
      <c r="P1755" t="str">
        <f t="shared" si="153"/>
        <v>220-7310</v>
      </c>
      <c r="Q1755" s="315" t="str">
        <f t="shared" si="154"/>
        <v>Admin &amp; Other</v>
      </c>
      <c r="R1755" s="315" t="str">
        <f t="shared" si="155"/>
        <v xml:space="preserve">Admin &amp; OtherStaff Remuneration &amp; Benefits as % of Total Gross </v>
      </c>
      <c r="S1755" s="199"/>
      <c r="T1755" s="199"/>
      <c r="U1755" s="199"/>
    </row>
    <row r="1756" spans="1:21" x14ac:dyDescent="0.25">
      <c r="A1756" t="s">
        <v>996</v>
      </c>
      <c r="B1756" t="s">
        <v>997</v>
      </c>
      <c r="C1756" t="s">
        <v>997</v>
      </c>
      <c r="D1756">
        <v>7310</v>
      </c>
      <c r="E1756">
        <v>121</v>
      </c>
      <c r="F1756" t="s">
        <v>1353</v>
      </c>
      <c r="G1756" t="s">
        <v>1354</v>
      </c>
      <c r="H1756" s="315" t="s">
        <v>1000</v>
      </c>
      <c r="I1756" s="315" t="s">
        <v>1276</v>
      </c>
      <c r="J1756" s="315" t="str">
        <f t="shared" si="151"/>
        <v xml:space="preserve">Admin &amp; OtherStaff Remuneration &amp; Benefits as % of Total Gross </v>
      </c>
      <c r="K1756" s="315" t="str">
        <f t="shared" si="152"/>
        <v>121Staff Benefits (Superannuation, FBT, ACC) - Toyota</v>
      </c>
      <c r="L1756" s="311">
        <f>+SUMIF('TUNZ Extracted TB'!M:M,$P1756,'TUNZ Extracted TB'!G:G)</f>
        <v>449.58</v>
      </c>
      <c r="M1756" s="311"/>
      <c r="N1756" s="311">
        <f>+SUMIF('Input Sheet'!$AE:$AE,P1756,'Input Sheet'!$X:$X)</f>
        <v>0</v>
      </c>
      <c r="O1756" s="311"/>
      <c r="P1756" t="str">
        <f t="shared" si="153"/>
        <v>121-7310</v>
      </c>
      <c r="Q1756" s="315" t="str">
        <f t="shared" si="154"/>
        <v>Admin &amp; Other</v>
      </c>
      <c r="R1756" s="315" t="str">
        <f t="shared" si="155"/>
        <v xml:space="preserve">Admin &amp; OtherStaff Remuneration &amp; Benefits as % of Total Gross </v>
      </c>
      <c r="S1756" s="199"/>
      <c r="T1756" s="199"/>
      <c r="U1756" s="199"/>
    </row>
    <row r="1757" spans="1:21" x14ac:dyDescent="0.25">
      <c r="A1757" t="s">
        <v>996</v>
      </c>
      <c r="B1757" t="s">
        <v>997</v>
      </c>
      <c r="C1757" t="s">
        <v>1005</v>
      </c>
      <c r="D1757">
        <v>7310</v>
      </c>
      <c r="E1757">
        <v>240</v>
      </c>
      <c r="F1757" t="s">
        <v>1353</v>
      </c>
      <c r="G1757" t="s">
        <v>1354</v>
      </c>
      <c r="H1757" s="315" t="s">
        <v>1000</v>
      </c>
      <c r="I1757" s="315" t="s">
        <v>1276</v>
      </c>
      <c r="J1757" s="315" t="str">
        <f t="shared" si="151"/>
        <v xml:space="preserve">Admin &amp; OtherStaff Remuneration &amp; Benefits as % of Total Gross </v>
      </c>
      <c r="K1757" s="315" t="str">
        <f t="shared" si="152"/>
        <v>240Staff Benefits (Superannuation, FBT, ACC) - Toyota</v>
      </c>
      <c r="L1757" s="311">
        <f>+SUMIF('TUNZ Extracted TB'!M:M,$P1757,'TUNZ Extracted TB'!G:G)</f>
        <v>548.04</v>
      </c>
      <c r="M1757" s="311"/>
      <c r="N1757" s="311">
        <f>+SUMIF('Input Sheet'!$AE:$AE,P1757,'Input Sheet'!$X:$X)</f>
        <v>0</v>
      </c>
      <c r="O1757" s="311"/>
      <c r="P1757" t="str">
        <f t="shared" si="153"/>
        <v>240-7310</v>
      </c>
      <c r="Q1757" s="315" t="str">
        <f t="shared" si="154"/>
        <v>Admin &amp; Other</v>
      </c>
      <c r="R1757" s="315" t="str">
        <f t="shared" si="155"/>
        <v xml:space="preserve">Admin &amp; OtherStaff Remuneration &amp; Benefits as % of Total Gross </v>
      </c>
      <c r="S1757" s="199"/>
      <c r="T1757" s="199"/>
      <c r="U1757" s="199"/>
    </row>
    <row r="1758" spans="1:21" x14ac:dyDescent="0.25">
      <c r="A1758" t="s">
        <v>996</v>
      </c>
      <c r="B1758" t="s">
        <v>997</v>
      </c>
      <c r="C1758" t="s">
        <v>1013</v>
      </c>
      <c r="D1758">
        <v>7310</v>
      </c>
      <c r="E1758">
        <v>330</v>
      </c>
      <c r="F1758" t="s">
        <v>1353</v>
      </c>
      <c r="G1758" t="s">
        <v>1354</v>
      </c>
      <c r="H1758" s="315" t="s">
        <v>1000</v>
      </c>
      <c r="I1758" s="315" t="s">
        <v>1276</v>
      </c>
      <c r="J1758" s="315" t="str">
        <f t="shared" si="151"/>
        <v xml:space="preserve">Admin &amp; OtherStaff Remuneration &amp; Benefits as % of Total Gross </v>
      </c>
      <c r="K1758" s="315" t="str">
        <f t="shared" si="152"/>
        <v>330Staff Benefits (Superannuation, FBT, ACC) - Toyota</v>
      </c>
      <c r="L1758" s="311">
        <f>+SUMIF('TUNZ Extracted TB'!M:M,$P1758,'TUNZ Extracted TB'!G:G)</f>
        <v>190.53</v>
      </c>
      <c r="M1758" s="311"/>
      <c r="N1758" s="311">
        <f>+SUMIF('Input Sheet'!$AE:$AE,P1758,'Input Sheet'!$X:$X)</f>
        <v>0</v>
      </c>
      <c r="O1758" s="311"/>
      <c r="P1758" t="str">
        <f t="shared" si="153"/>
        <v>330-7310</v>
      </c>
      <c r="Q1758" s="315" t="str">
        <f t="shared" si="154"/>
        <v>Admin &amp; Other</v>
      </c>
      <c r="R1758" s="315" t="str">
        <f t="shared" si="155"/>
        <v xml:space="preserve">Admin &amp; OtherStaff Remuneration &amp; Benefits as % of Total Gross </v>
      </c>
      <c r="S1758" s="199"/>
      <c r="T1758" s="199"/>
      <c r="U1758" s="199"/>
    </row>
    <row r="1759" spans="1:21" x14ac:dyDescent="0.25">
      <c r="A1759" t="s">
        <v>996</v>
      </c>
      <c r="B1759" t="s">
        <v>997</v>
      </c>
      <c r="C1759" t="s">
        <v>997</v>
      </c>
      <c r="D1759">
        <v>7310</v>
      </c>
      <c r="E1759">
        <v>160</v>
      </c>
      <c r="F1759" t="s">
        <v>1353</v>
      </c>
      <c r="G1759" t="s">
        <v>1354</v>
      </c>
      <c r="H1759" s="315" t="s">
        <v>1000</v>
      </c>
      <c r="I1759" s="315" t="s">
        <v>1276</v>
      </c>
      <c r="J1759" s="315" t="str">
        <f t="shared" si="151"/>
        <v xml:space="preserve">Admin &amp; OtherStaff Remuneration &amp; Benefits as % of Total Gross </v>
      </c>
      <c r="K1759" s="315" t="str">
        <f t="shared" si="152"/>
        <v>160Staff Benefits (Superannuation, FBT, ACC) - Toyota</v>
      </c>
      <c r="L1759" s="311">
        <f>+SUMIF('TUNZ Extracted TB'!M:M,$P1759,'TUNZ Extracted TB'!G:G)</f>
        <v>685.46</v>
      </c>
      <c r="M1759" s="311"/>
      <c r="N1759" s="311">
        <f>+SUMIF('Input Sheet'!$AE:$AE,P1759,'Input Sheet'!$X:$X)</f>
        <v>0</v>
      </c>
      <c r="O1759" s="311"/>
      <c r="P1759" t="str">
        <f t="shared" si="153"/>
        <v>160-7310</v>
      </c>
      <c r="Q1759" s="315" t="str">
        <f t="shared" si="154"/>
        <v>Admin &amp; Other</v>
      </c>
      <c r="R1759" s="315" t="str">
        <f t="shared" si="155"/>
        <v xml:space="preserve">Admin &amp; OtherStaff Remuneration &amp; Benefits as % of Total Gross </v>
      </c>
      <c r="S1759" s="199"/>
      <c r="T1759" s="199"/>
      <c r="U1759" s="199"/>
    </row>
    <row r="1760" spans="1:21" x14ac:dyDescent="0.25">
      <c r="A1760" t="s">
        <v>996</v>
      </c>
      <c r="B1760" t="s">
        <v>997</v>
      </c>
      <c r="C1760" t="s">
        <v>1012</v>
      </c>
      <c r="D1760">
        <v>7310</v>
      </c>
      <c r="E1760">
        <v>430</v>
      </c>
      <c r="F1760" t="s">
        <v>1353</v>
      </c>
      <c r="G1760" t="s">
        <v>1354</v>
      </c>
      <c r="H1760" s="315" t="s">
        <v>1000</v>
      </c>
      <c r="I1760" s="315" t="s">
        <v>1276</v>
      </c>
      <c r="J1760" s="315" t="str">
        <f t="shared" si="151"/>
        <v xml:space="preserve">Admin &amp; OtherStaff Remuneration &amp; Benefits as % of Total Gross </v>
      </c>
      <c r="K1760" s="315" t="str">
        <f t="shared" si="152"/>
        <v>430Staff Benefits (Superannuation, FBT, ACC) - Toyota</v>
      </c>
      <c r="L1760" s="311">
        <f>+SUMIF('TUNZ Extracted TB'!M:M,$P1760,'TUNZ Extracted TB'!G:G)</f>
        <v>163.46</v>
      </c>
      <c r="M1760" s="311"/>
      <c r="N1760" s="311">
        <f>+SUMIF('Input Sheet'!$AE:$AE,P1760,'Input Sheet'!$X:$X)</f>
        <v>0</v>
      </c>
      <c r="O1760" s="311"/>
      <c r="P1760" t="str">
        <f t="shared" si="153"/>
        <v>430-7310</v>
      </c>
      <c r="Q1760" s="315" t="str">
        <f t="shared" si="154"/>
        <v>Admin &amp; Other</v>
      </c>
      <c r="R1760" s="315" t="str">
        <f t="shared" si="155"/>
        <v xml:space="preserve">Admin &amp; OtherStaff Remuneration &amp; Benefits as % of Total Gross </v>
      </c>
      <c r="S1760" s="199"/>
      <c r="T1760" s="199"/>
      <c r="U1760" s="199"/>
    </row>
    <row r="1761" spans="1:21" x14ac:dyDescent="0.25">
      <c r="A1761" t="s">
        <v>996</v>
      </c>
      <c r="B1761" t="s">
        <v>997</v>
      </c>
      <c r="C1761" t="s">
        <v>1012</v>
      </c>
      <c r="D1761">
        <v>7310</v>
      </c>
      <c r="E1761">
        <v>440</v>
      </c>
      <c r="F1761" t="s">
        <v>1353</v>
      </c>
      <c r="G1761" t="s">
        <v>1354</v>
      </c>
      <c r="H1761" s="315" t="s">
        <v>1000</v>
      </c>
      <c r="I1761" s="315" t="s">
        <v>1276</v>
      </c>
      <c r="J1761" s="315" t="str">
        <f t="shared" si="151"/>
        <v xml:space="preserve">Admin &amp; OtherStaff Remuneration &amp; Benefits as % of Total Gross </v>
      </c>
      <c r="K1761" s="315" t="str">
        <f t="shared" si="152"/>
        <v>440Staff Benefits (Superannuation, FBT, ACC) - Toyota</v>
      </c>
      <c r="L1761" s="311">
        <f>+SUMIF('TUNZ Extracted TB'!M:M,$P1761,'TUNZ Extracted TB'!G:G)</f>
        <v>528.39</v>
      </c>
      <c r="M1761" s="311"/>
      <c r="N1761" s="311">
        <f>+SUMIF('Input Sheet'!$AE:$AE,P1761,'Input Sheet'!$X:$X)</f>
        <v>0</v>
      </c>
      <c r="O1761" s="311"/>
      <c r="P1761" t="str">
        <f t="shared" si="153"/>
        <v>440-7310</v>
      </c>
      <c r="Q1761" s="315" t="str">
        <f t="shared" si="154"/>
        <v>Admin &amp; Other</v>
      </c>
      <c r="R1761" s="315" t="str">
        <f t="shared" si="155"/>
        <v xml:space="preserve">Admin &amp; OtherStaff Remuneration &amp; Benefits as % of Total Gross </v>
      </c>
      <c r="S1761" s="199"/>
      <c r="T1761" s="199"/>
      <c r="U1761" s="199"/>
    </row>
    <row r="1762" spans="1:21" x14ac:dyDescent="0.25">
      <c r="A1762" t="s">
        <v>996</v>
      </c>
      <c r="B1762" t="s">
        <v>997</v>
      </c>
      <c r="C1762" t="s">
        <v>997</v>
      </c>
      <c r="D1762">
        <v>7310</v>
      </c>
      <c r="E1762">
        <v>150</v>
      </c>
      <c r="F1762" t="s">
        <v>1353</v>
      </c>
      <c r="G1762" t="s">
        <v>1354</v>
      </c>
      <c r="H1762" s="315" t="s">
        <v>1023</v>
      </c>
      <c r="I1762" s="315" t="s">
        <v>1276</v>
      </c>
      <c r="J1762" s="315" t="str">
        <f t="shared" si="151"/>
        <v xml:space="preserve">LEX Admin &amp; OtherStaff Remuneration &amp; Benefits as % of Total Gross </v>
      </c>
      <c r="K1762" s="315" t="str">
        <f t="shared" si="152"/>
        <v>150Staff Benefits (Superannuation, FBT, ACC) - Toyota</v>
      </c>
      <c r="L1762" s="311">
        <f>+SUMIF('TUNZ Extracted TB'!M:M,$P1762,'TUNZ Extracted TB'!G:G)</f>
        <v>140.19999999999999</v>
      </c>
      <c r="M1762" s="311"/>
      <c r="N1762" s="311">
        <f>+SUMIF('Input Sheet'!$AE:$AE,P1762,'Input Sheet'!$X:$X)</f>
        <v>0</v>
      </c>
      <c r="O1762" s="311"/>
      <c r="P1762" t="str">
        <f t="shared" si="153"/>
        <v>150-7310</v>
      </c>
      <c r="Q1762" s="315" t="str">
        <f t="shared" si="154"/>
        <v>LEX Admin &amp; Other</v>
      </c>
      <c r="R1762" s="315" t="str">
        <f t="shared" si="155"/>
        <v xml:space="preserve">LEX Admin &amp; OtherStaff Remuneration &amp; Benefits as % of Total Gross </v>
      </c>
      <c r="S1762" s="199"/>
      <c r="T1762" s="199"/>
      <c r="U1762" s="199"/>
    </row>
    <row r="1763" spans="1:21" x14ac:dyDescent="0.25">
      <c r="A1763" s="316">
        <v>44866</v>
      </c>
      <c r="B1763" t="s">
        <v>997</v>
      </c>
      <c r="C1763" t="s">
        <v>997</v>
      </c>
      <c r="D1763">
        <v>7310</v>
      </c>
      <c r="E1763">
        <v>190</v>
      </c>
      <c r="G1763" t="s">
        <v>932</v>
      </c>
      <c r="H1763" s="315" t="s">
        <v>1000</v>
      </c>
      <c r="I1763" s="315" t="s">
        <v>1276</v>
      </c>
      <c r="J1763" s="315" t="str">
        <f t="shared" si="151"/>
        <v xml:space="preserve">Admin &amp; OtherStaff Remuneration &amp; Benefits as % of Total Gross </v>
      </c>
      <c r="K1763" s="315" t="str">
        <f t="shared" si="152"/>
        <v>190Kiwisaver</v>
      </c>
      <c r="L1763" s="311">
        <f>+SUMIF('TUNZ Extracted TB'!M:M,$P1763,'TUNZ Extracted TB'!G:G)</f>
        <v>0</v>
      </c>
      <c r="M1763" s="311"/>
      <c r="N1763" s="311">
        <f>+SUMIF('Input Sheet'!$AE:$AE,P1763,'Input Sheet'!$X:$X)</f>
        <v>0</v>
      </c>
      <c r="O1763" s="311"/>
      <c r="P1763" t="str">
        <f t="shared" si="153"/>
        <v>190-7310</v>
      </c>
      <c r="Q1763" s="315" t="str">
        <f t="shared" si="154"/>
        <v>Admin &amp; Other</v>
      </c>
      <c r="R1763" s="315" t="str">
        <f t="shared" si="155"/>
        <v xml:space="preserve">Admin &amp; OtherStaff Remuneration &amp; Benefits as % of Total Gross </v>
      </c>
      <c r="S1763" s="199"/>
      <c r="T1763" s="199"/>
      <c r="U1763" s="199"/>
    </row>
    <row r="1764" spans="1:21" x14ac:dyDescent="0.25">
      <c r="A1764" t="s">
        <v>996</v>
      </c>
      <c r="B1764" t="s">
        <v>997</v>
      </c>
      <c r="C1764" t="s">
        <v>1005</v>
      </c>
      <c r="D1764">
        <v>7310</v>
      </c>
      <c r="E1764">
        <v>210</v>
      </c>
      <c r="F1764" t="s">
        <v>1353</v>
      </c>
      <c r="G1764" t="s">
        <v>1354</v>
      </c>
      <c r="H1764" s="315" t="s">
        <v>1000</v>
      </c>
      <c r="I1764" s="315" t="s">
        <v>1276</v>
      </c>
      <c r="J1764" s="315" t="str">
        <f t="shared" si="151"/>
        <v xml:space="preserve">Admin &amp; OtherStaff Remuneration &amp; Benefits as % of Total Gross </v>
      </c>
      <c r="K1764" s="315" t="str">
        <f t="shared" si="152"/>
        <v>210Staff Benefits (Superannuation, FBT, ACC) - Toyota</v>
      </c>
      <c r="L1764" s="311">
        <f>+SUMIF('TUNZ Extracted TB'!M:M,$P1764,'TUNZ Extracted TB'!G:G)</f>
        <v>128.53</v>
      </c>
      <c r="M1764" s="311"/>
      <c r="N1764" s="311">
        <f>+SUMIF('Input Sheet'!$AE:$AE,P1764,'Input Sheet'!$X:$X)</f>
        <v>0</v>
      </c>
      <c r="O1764" s="311"/>
      <c r="P1764" t="str">
        <f t="shared" si="153"/>
        <v>210-7310</v>
      </c>
      <c r="Q1764" s="315" t="str">
        <f t="shared" si="154"/>
        <v>Admin &amp; Other</v>
      </c>
      <c r="R1764" s="315" t="str">
        <f t="shared" si="155"/>
        <v xml:space="preserve">Admin &amp; OtherStaff Remuneration &amp; Benefits as % of Total Gross </v>
      </c>
      <c r="S1764" s="199"/>
      <c r="T1764" s="199"/>
      <c r="U1764" s="199"/>
    </row>
    <row r="1765" spans="1:21" x14ac:dyDescent="0.25">
      <c r="A1765" t="s">
        <v>996</v>
      </c>
      <c r="B1765" t="s">
        <v>997</v>
      </c>
      <c r="C1765" t="s">
        <v>997</v>
      </c>
      <c r="D1765">
        <v>7310</v>
      </c>
      <c r="E1765">
        <v>122</v>
      </c>
      <c r="F1765" t="s">
        <v>1355</v>
      </c>
      <c r="G1765" t="s">
        <v>1356</v>
      </c>
      <c r="H1765" s="315" t="s">
        <v>1023</v>
      </c>
      <c r="I1765" s="315" t="s">
        <v>1276</v>
      </c>
      <c r="J1765" s="315" t="str">
        <f t="shared" si="151"/>
        <v xml:space="preserve">LEX Admin &amp; OtherStaff Remuneration &amp; Benefits as % of Total Gross </v>
      </c>
      <c r="K1765" s="315" t="str">
        <f t="shared" si="152"/>
        <v>122Staff Benefits (Superannuation, FBT, ACC) - Lexus</v>
      </c>
      <c r="L1765" s="311">
        <f>+SUMIF('TUNZ Extracted TB'!M:M,$P1765,'TUNZ Extracted TB'!G:G)</f>
        <v>144.78</v>
      </c>
      <c r="M1765" s="311"/>
      <c r="N1765" s="311">
        <f>+SUMIF('Input Sheet'!$AE:$AE,P1765,'Input Sheet'!$X:$X)</f>
        <v>0</v>
      </c>
      <c r="O1765" s="311"/>
      <c r="P1765" t="str">
        <f t="shared" si="153"/>
        <v>122-7310</v>
      </c>
      <c r="Q1765" s="315" t="str">
        <f t="shared" si="154"/>
        <v>LEX Admin &amp; Other</v>
      </c>
      <c r="R1765" s="315" t="str">
        <f t="shared" si="155"/>
        <v xml:space="preserve">LEX Admin &amp; OtherStaff Remuneration &amp; Benefits as % of Total Gross </v>
      </c>
      <c r="S1765" s="199"/>
      <c r="T1765" s="199"/>
      <c r="U1765" s="199"/>
    </row>
    <row r="1766" spans="1:21" x14ac:dyDescent="0.25">
      <c r="A1766" s="316">
        <v>44866</v>
      </c>
      <c r="B1766" t="s">
        <v>997</v>
      </c>
      <c r="C1766" t="s">
        <v>997</v>
      </c>
      <c r="D1766">
        <v>7310</v>
      </c>
      <c r="E1766">
        <v>170</v>
      </c>
      <c r="G1766" t="s">
        <v>932</v>
      </c>
      <c r="H1766" s="315" t="s">
        <v>1000</v>
      </c>
      <c r="I1766" s="315" t="s">
        <v>1276</v>
      </c>
      <c r="J1766" s="315" t="str">
        <f t="shared" si="151"/>
        <v xml:space="preserve">Admin &amp; OtherStaff Remuneration &amp; Benefits as % of Total Gross </v>
      </c>
      <c r="K1766" s="315" t="str">
        <f t="shared" si="152"/>
        <v>170Kiwisaver</v>
      </c>
      <c r="L1766" s="311">
        <f>+SUMIF('TUNZ Extracted TB'!M:M,$P1766,'TUNZ Extracted TB'!G:G)</f>
        <v>0</v>
      </c>
      <c r="M1766" s="199"/>
      <c r="N1766" s="311">
        <f>+SUMIF('Input Sheet'!$AE:$AE,P1766,'Input Sheet'!$X:$X)</f>
        <v>0</v>
      </c>
      <c r="O1766" s="199"/>
      <c r="P1766" t="str">
        <f t="shared" si="153"/>
        <v>170-7310</v>
      </c>
      <c r="Q1766" s="315" t="str">
        <f t="shared" si="154"/>
        <v>Admin &amp; Other</v>
      </c>
      <c r="R1766" s="315" t="str">
        <f t="shared" si="155"/>
        <v xml:space="preserve">Admin &amp; OtherStaff Remuneration &amp; Benefits as % of Total Gross </v>
      </c>
      <c r="S1766" s="199"/>
      <c r="T1766" s="199"/>
      <c r="U1766" s="199"/>
    </row>
    <row r="1767" spans="1:21" x14ac:dyDescent="0.25">
      <c r="A1767" t="s">
        <v>996</v>
      </c>
      <c r="B1767" t="s">
        <v>997</v>
      </c>
      <c r="C1767" t="s">
        <v>997</v>
      </c>
      <c r="D1767">
        <v>7310</v>
      </c>
      <c r="E1767">
        <v>140</v>
      </c>
      <c r="F1767" t="s">
        <v>1353</v>
      </c>
      <c r="G1767" t="s">
        <v>1354</v>
      </c>
      <c r="H1767" s="315" t="s">
        <v>1000</v>
      </c>
      <c r="I1767" s="315" t="s">
        <v>1276</v>
      </c>
      <c r="J1767" s="315" t="str">
        <f t="shared" si="151"/>
        <v xml:space="preserve">Admin &amp; OtherStaff Remuneration &amp; Benefits as % of Total Gross </v>
      </c>
      <c r="K1767" s="315" t="str">
        <f t="shared" si="152"/>
        <v>140Staff Benefits (Superannuation, FBT, ACC) - Toyota</v>
      </c>
      <c r="L1767" s="311">
        <f>+SUMIF('TUNZ Extracted TB'!M:M,$P1767,'TUNZ Extracted TB'!G:G)</f>
        <v>2535.25</v>
      </c>
      <c r="M1767" s="311"/>
      <c r="N1767" s="311">
        <f>+SUMIF('Input Sheet'!$AE:$AE,P1767,'Input Sheet'!$X:$X)</f>
        <v>0</v>
      </c>
      <c r="O1767" s="311"/>
      <c r="P1767" t="str">
        <f t="shared" si="153"/>
        <v>140-7310</v>
      </c>
      <c r="Q1767" s="315" t="str">
        <f t="shared" si="154"/>
        <v>Admin &amp; Other</v>
      </c>
      <c r="R1767" s="315" t="str">
        <f t="shared" si="155"/>
        <v xml:space="preserve">Admin &amp; OtherStaff Remuneration &amp; Benefits as % of Total Gross </v>
      </c>
      <c r="S1767" s="199"/>
      <c r="T1767" s="199"/>
      <c r="U1767" s="199"/>
    </row>
    <row r="1768" spans="1:21" x14ac:dyDescent="0.25">
      <c r="A1768" t="s">
        <v>996</v>
      </c>
      <c r="B1768" t="s">
        <v>997</v>
      </c>
      <c r="C1768" t="s">
        <v>997</v>
      </c>
      <c r="D1768">
        <v>7310</v>
      </c>
      <c r="E1768">
        <v>142</v>
      </c>
      <c r="F1768" t="s">
        <v>1366</v>
      </c>
      <c r="G1768" t="s">
        <v>1367</v>
      </c>
      <c r="H1768" s="315" t="s">
        <v>1023</v>
      </c>
      <c r="I1768" s="315" t="s">
        <v>1276</v>
      </c>
      <c r="J1768" s="315" t="str">
        <f t="shared" si="151"/>
        <v xml:space="preserve">LEX Admin &amp; OtherStaff Remuneration &amp; Benefits as % of Total Gross </v>
      </c>
      <c r="K1768" s="315" t="str">
        <f t="shared" si="152"/>
        <v>142Bad Debts - Lexus</v>
      </c>
      <c r="L1768" s="311">
        <f>+SUMIF('TUNZ Extracted TB'!M:M,$P1768,'TUNZ Extracted TB'!G:G)</f>
        <v>561.34</v>
      </c>
      <c r="M1768" s="311"/>
      <c r="N1768" s="311">
        <f>+SUMIF('Input Sheet'!$AE:$AE,P1768,'Input Sheet'!$X:$X)</f>
        <v>0</v>
      </c>
      <c r="O1768" s="311"/>
      <c r="P1768" t="str">
        <f t="shared" si="153"/>
        <v>142-7310</v>
      </c>
      <c r="Q1768" s="315" t="str">
        <f t="shared" si="154"/>
        <v>LEX Admin &amp; Other</v>
      </c>
      <c r="R1768" s="315" t="str">
        <f t="shared" si="155"/>
        <v xml:space="preserve">LEX Admin &amp; OtherStaff Remuneration &amp; Benefits as % of Total Gross </v>
      </c>
      <c r="S1768" s="199"/>
      <c r="T1768" s="199"/>
      <c r="U1768" s="199"/>
    </row>
    <row r="1769" spans="1:21" x14ac:dyDescent="0.25">
      <c r="A1769" t="s">
        <v>996</v>
      </c>
      <c r="B1769" t="s">
        <v>997</v>
      </c>
      <c r="C1769" t="s">
        <v>997</v>
      </c>
      <c r="D1769">
        <v>7310</v>
      </c>
      <c r="E1769">
        <v>130</v>
      </c>
      <c r="F1769" t="s">
        <v>1353</v>
      </c>
      <c r="G1769" t="s">
        <v>1354</v>
      </c>
      <c r="H1769" s="315" t="s">
        <v>1000</v>
      </c>
      <c r="I1769" s="315" t="s">
        <v>1276</v>
      </c>
      <c r="J1769" s="315" t="str">
        <f t="shared" si="151"/>
        <v xml:space="preserve">Admin &amp; OtherStaff Remuneration &amp; Benefits as % of Total Gross </v>
      </c>
      <c r="K1769" s="315" t="str">
        <f t="shared" si="152"/>
        <v>130Staff Benefits (Superannuation, FBT, ACC) - Toyota</v>
      </c>
      <c r="L1769" s="311">
        <f>+SUMIF('TUNZ Extracted TB'!M:M,$P1769,'TUNZ Extracted TB'!G:G)</f>
        <v>545.27</v>
      </c>
      <c r="M1769" s="311"/>
      <c r="N1769" s="311">
        <f>+SUMIF('Input Sheet'!$AE:$AE,P1769,'Input Sheet'!$X:$X)</f>
        <v>0</v>
      </c>
      <c r="O1769" s="311"/>
      <c r="P1769" t="str">
        <f t="shared" si="153"/>
        <v>130-7310</v>
      </c>
      <c r="Q1769" s="315" t="str">
        <f t="shared" si="154"/>
        <v>Admin &amp; Other</v>
      </c>
      <c r="R1769" s="315" t="str">
        <f t="shared" si="155"/>
        <v xml:space="preserve">Admin &amp; OtherStaff Remuneration &amp; Benefits as % of Total Gross </v>
      </c>
      <c r="S1769" s="199"/>
      <c r="T1769" s="199"/>
      <c r="U1769" s="199"/>
    </row>
    <row r="1770" spans="1:21" x14ac:dyDescent="0.25">
      <c r="A1770" t="s">
        <v>996</v>
      </c>
      <c r="B1770" t="s">
        <v>997</v>
      </c>
      <c r="C1770" t="s">
        <v>997</v>
      </c>
      <c r="D1770">
        <v>7310</v>
      </c>
      <c r="E1770">
        <v>132</v>
      </c>
      <c r="F1770" t="s">
        <v>1355</v>
      </c>
      <c r="G1770" t="s">
        <v>1356</v>
      </c>
      <c r="H1770" s="315" t="s">
        <v>1023</v>
      </c>
      <c r="I1770" s="315" t="s">
        <v>1276</v>
      </c>
      <c r="J1770" s="315" t="str">
        <f t="shared" si="151"/>
        <v xml:space="preserve">LEX Admin &amp; OtherStaff Remuneration &amp; Benefits as % of Total Gross </v>
      </c>
      <c r="K1770" s="315" t="str">
        <f t="shared" si="152"/>
        <v>132Staff Benefits (Superannuation, FBT, ACC) - Lexus</v>
      </c>
      <c r="L1770" s="311">
        <f>+SUMIF('TUNZ Extracted TB'!M:M,$P1770,'TUNZ Extracted TB'!G:G)</f>
        <v>0</v>
      </c>
      <c r="M1770" s="311"/>
      <c r="N1770" s="311">
        <f>+SUMIF('Input Sheet'!$AE:$AE,P1770,'Input Sheet'!$X:$X)</f>
        <v>0</v>
      </c>
      <c r="O1770" s="311"/>
      <c r="P1770" t="str">
        <f t="shared" si="153"/>
        <v>132-7310</v>
      </c>
      <c r="Q1770" s="315" t="str">
        <f t="shared" si="154"/>
        <v>LEX Admin &amp; Other</v>
      </c>
      <c r="R1770" s="315" t="str">
        <f t="shared" si="155"/>
        <v xml:space="preserve">LEX Admin &amp; OtherStaff Remuneration &amp; Benefits as % of Total Gross </v>
      </c>
      <c r="S1770" s="199"/>
      <c r="T1770" s="199"/>
      <c r="U1770" s="199"/>
    </row>
    <row r="1771" spans="1:21" x14ac:dyDescent="0.25">
      <c r="A1771" t="s">
        <v>996</v>
      </c>
      <c r="B1771" t="s">
        <v>997</v>
      </c>
      <c r="C1771" t="s">
        <v>997</v>
      </c>
      <c r="D1771">
        <v>7310</v>
      </c>
      <c r="E1771">
        <v>110</v>
      </c>
      <c r="F1771" t="s">
        <v>1353</v>
      </c>
      <c r="G1771" t="s">
        <v>1354</v>
      </c>
      <c r="H1771" s="315" t="s">
        <v>1000</v>
      </c>
      <c r="I1771" s="315" t="s">
        <v>1276</v>
      </c>
      <c r="J1771" s="315" t="str">
        <f t="shared" si="151"/>
        <v xml:space="preserve">Admin &amp; OtherStaff Remuneration &amp; Benefits as % of Total Gross </v>
      </c>
      <c r="K1771" s="315" t="str">
        <f t="shared" si="152"/>
        <v>110Staff Benefits (Superannuation, FBT, ACC) - Toyota</v>
      </c>
      <c r="L1771" s="311">
        <f>+SUMIF('TUNZ Extracted TB'!M:M,$P1771,'TUNZ Extracted TB'!G:G)</f>
        <v>447.29</v>
      </c>
      <c r="M1771" s="311"/>
      <c r="N1771" s="311">
        <f>+SUMIF('Input Sheet'!$AE:$AE,P1771,'Input Sheet'!$X:$X)</f>
        <v>0</v>
      </c>
      <c r="O1771" s="311"/>
      <c r="P1771" t="str">
        <f t="shared" si="153"/>
        <v>110-7310</v>
      </c>
      <c r="Q1771" s="315" t="str">
        <f t="shared" si="154"/>
        <v>Admin &amp; Other</v>
      </c>
      <c r="R1771" s="315" t="str">
        <f t="shared" si="155"/>
        <v xml:space="preserve">Admin &amp; OtherStaff Remuneration &amp; Benefits as % of Total Gross </v>
      </c>
      <c r="S1771" s="199"/>
      <c r="T1771" s="199"/>
      <c r="U1771" s="199"/>
    </row>
    <row r="1772" spans="1:21" x14ac:dyDescent="0.25">
      <c r="A1772" t="s">
        <v>996</v>
      </c>
      <c r="B1772" t="s">
        <v>997</v>
      </c>
      <c r="C1772" t="s">
        <v>997</v>
      </c>
      <c r="D1772">
        <v>7310</v>
      </c>
      <c r="E1772">
        <v>112</v>
      </c>
      <c r="F1772" t="s">
        <v>1355</v>
      </c>
      <c r="G1772" t="s">
        <v>1356</v>
      </c>
      <c r="H1772" s="315" t="s">
        <v>1023</v>
      </c>
      <c r="I1772" s="315" t="s">
        <v>1276</v>
      </c>
      <c r="J1772" s="315" t="str">
        <f t="shared" si="151"/>
        <v xml:space="preserve">LEX Admin &amp; OtherStaff Remuneration &amp; Benefits as % of Total Gross </v>
      </c>
      <c r="K1772" s="315" t="str">
        <f t="shared" si="152"/>
        <v>112Staff Benefits (Superannuation, FBT, ACC) - Lexus</v>
      </c>
      <c r="L1772" s="311">
        <f>+SUMIF('TUNZ Extracted TB'!M:M,$P1772,'TUNZ Extracted TB'!G:G)</f>
        <v>463.16</v>
      </c>
      <c r="M1772" s="311"/>
      <c r="N1772" s="311">
        <f>+SUMIF('Input Sheet'!$AE:$AE,P1772,'Input Sheet'!$X:$X)</f>
        <v>0</v>
      </c>
      <c r="O1772" s="311"/>
      <c r="P1772" t="str">
        <f t="shared" si="153"/>
        <v>112-7310</v>
      </c>
      <c r="Q1772" s="315" t="str">
        <f t="shared" si="154"/>
        <v>LEX Admin &amp; Other</v>
      </c>
      <c r="R1772" s="315" t="str">
        <f t="shared" si="155"/>
        <v xml:space="preserve">LEX Admin &amp; OtherStaff Remuneration &amp; Benefits as % of Total Gross </v>
      </c>
      <c r="S1772" s="199"/>
      <c r="T1772" s="199"/>
      <c r="U1772" s="199"/>
    </row>
    <row r="1773" spans="1:21" x14ac:dyDescent="0.25">
      <c r="A1773" t="s">
        <v>996</v>
      </c>
      <c r="B1773" t="s">
        <v>997</v>
      </c>
      <c r="C1773" t="s">
        <v>997</v>
      </c>
      <c r="D1773">
        <v>7310</v>
      </c>
      <c r="E1773">
        <v>100</v>
      </c>
      <c r="F1773" t="s">
        <v>1353</v>
      </c>
      <c r="G1773" t="s">
        <v>1354</v>
      </c>
      <c r="H1773" s="315" t="s">
        <v>1000</v>
      </c>
      <c r="I1773" s="315" t="s">
        <v>1276</v>
      </c>
      <c r="J1773" s="315" t="str">
        <f t="shared" si="151"/>
        <v xml:space="preserve">Admin &amp; OtherStaff Remuneration &amp; Benefits as % of Total Gross </v>
      </c>
      <c r="K1773" s="315" t="str">
        <f t="shared" si="152"/>
        <v>100Staff Benefits (Superannuation, FBT, ACC) - Toyota</v>
      </c>
      <c r="L1773" s="311">
        <f>+SUMIF('TUNZ Extracted TB'!M:M,$P1773,'TUNZ Extracted TB'!G:G)</f>
        <v>0</v>
      </c>
      <c r="M1773" s="311"/>
      <c r="N1773" s="311">
        <f>+SUMIF('Input Sheet'!$AE:$AE,P1773,'Input Sheet'!$X:$X)</f>
        <v>0</v>
      </c>
      <c r="O1773" s="311"/>
      <c r="P1773" t="str">
        <f t="shared" si="153"/>
        <v>100-7310</v>
      </c>
      <c r="Q1773" s="315" t="str">
        <f t="shared" si="154"/>
        <v>Admin &amp; Other</v>
      </c>
      <c r="R1773" s="315" t="str">
        <f t="shared" si="155"/>
        <v xml:space="preserve">Admin &amp; OtherStaff Remuneration &amp; Benefits as % of Total Gross </v>
      </c>
      <c r="S1773" s="199"/>
      <c r="T1773" s="199"/>
      <c r="U1773" s="199"/>
    </row>
    <row r="1774" spans="1:21" x14ac:dyDescent="0.25">
      <c r="A1774" t="s">
        <v>996</v>
      </c>
      <c r="B1774" t="s">
        <v>997</v>
      </c>
      <c r="C1774" t="s">
        <v>997</v>
      </c>
      <c r="D1774">
        <v>7310</v>
      </c>
      <c r="E1774">
        <v>162</v>
      </c>
      <c r="F1774" t="s">
        <v>1355</v>
      </c>
      <c r="G1774" t="s">
        <v>1356</v>
      </c>
      <c r="H1774" s="315" t="s">
        <v>1023</v>
      </c>
      <c r="I1774" s="315" t="s">
        <v>1276</v>
      </c>
      <c r="J1774" s="315" t="str">
        <f t="shared" si="151"/>
        <v xml:space="preserve">LEX Admin &amp; OtherStaff Remuneration &amp; Benefits as % of Total Gross </v>
      </c>
      <c r="K1774" s="315" t="str">
        <f t="shared" si="152"/>
        <v>162Staff Benefits (Superannuation, FBT, ACC) - Lexus</v>
      </c>
      <c r="L1774" s="311">
        <f>+SUMIF('TUNZ Extracted TB'!M:M,$P1774,'TUNZ Extracted TB'!G:G)</f>
        <v>0</v>
      </c>
      <c r="M1774" s="311"/>
      <c r="N1774" s="311">
        <f>+SUMIF('Input Sheet'!$AE:$AE,P1774,'Input Sheet'!$X:$X)</f>
        <v>0</v>
      </c>
      <c r="O1774" s="311"/>
      <c r="P1774" t="str">
        <f t="shared" si="153"/>
        <v>162-7310</v>
      </c>
      <c r="Q1774" s="315" t="str">
        <f t="shared" si="154"/>
        <v>LEX Admin &amp; Other</v>
      </c>
      <c r="R1774" s="315" t="str">
        <f t="shared" si="155"/>
        <v xml:space="preserve">LEX Admin &amp; OtherStaff Remuneration &amp; Benefits as % of Total Gross </v>
      </c>
      <c r="S1774" s="199"/>
      <c r="T1774" s="199"/>
      <c r="U1774" s="199"/>
    </row>
    <row r="1775" spans="1:21" x14ac:dyDescent="0.25">
      <c r="A1775" t="s">
        <v>996</v>
      </c>
      <c r="B1775" t="s">
        <v>997</v>
      </c>
      <c r="C1775" t="s">
        <v>1005</v>
      </c>
      <c r="D1775">
        <v>7310</v>
      </c>
      <c r="E1775">
        <v>200</v>
      </c>
      <c r="F1775" t="s">
        <v>1353</v>
      </c>
      <c r="G1775" t="s">
        <v>1354</v>
      </c>
      <c r="H1775" s="315" t="s">
        <v>1000</v>
      </c>
      <c r="I1775" s="315" t="s">
        <v>1276</v>
      </c>
      <c r="J1775" s="315" t="str">
        <f t="shared" si="151"/>
        <v xml:space="preserve">Admin &amp; OtherStaff Remuneration &amp; Benefits as % of Total Gross </v>
      </c>
      <c r="K1775" s="315" t="str">
        <f t="shared" si="152"/>
        <v>200Staff Benefits (Superannuation, FBT, ACC) - Toyota</v>
      </c>
      <c r="L1775" s="311">
        <f>+SUMIF('TUNZ Extracted TB'!M:M,$P1775,'TUNZ Extracted TB'!G:G)</f>
        <v>0</v>
      </c>
      <c r="M1775" s="311"/>
      <c r="N1775" s="311">
        <f>+SUMIF('Input Sheet'!$AE:$AE,P1775,'Input Sheet'!$X:$X)</f>
        <v>0</v>
      </c>
      <c r="O1775" s="311"/>
      <c r="P1775" t="str">
        <f t="shared" si="153"/>
        <v>200-7310</v>
      </c>
      <c r="Q1775" s="315" t="str">
        <f t="shared" si="154"/>
        <v>Admin &amp; Other</v>
      </c>
      <c r="R1775" s="315" t="str">
        <f t="shared" si="155"/>
        <v xml:space="preserve">Admin &amp; OtherStaff Remuneration &amp; Benefits as % of Total Gross </v>
      </c>
      <c r="S1775" s="199"/>
      <c r="T1775" s="199"/>
      <c r="U1775" s="199"/>
    </row>
    <row r="1776" spans="1:21" x14ac:dyDescent="0.25">
      <c r="A1776" t="s">
        <v>996</v>
      </c>
      <c r="B1776" t="s">
        <v>997</v>
      </c>
      <c r="C1776" t="s">
        <v>1005</v>
      </c>
      <c r="D1776">
        <v>7310</v>
      </c>
      <c r="E1776">
        <v>221</v>
      </c>
      <c r="F1776" t="s">
        <v>1353</v>
      </c>
      <c r="G1776" t="s">
        <v>1354</v>
      </c>
      <c r="H1776" s="315" t="s">
        <v>1000</v>
      </c>
      <c r="I1776" s="315" t="s">
        <v>1276</v>
      </c>
      <c r="J1776" s="315" t="str">
        <f t="shared" si="151"/>
        <v xml:space="preserve">Admin &amp; OtherStaff Remuneration &amp; Benefits as % of Total Gross </v>
      </c>
      <c r="K1776" s="315" t="str">
        <f t="shared" si="152"/>
        <v>221Staff Benefits (Superannuation, FBT, ACC) - Toyota</v>
      </c>
      <c r="L1776" s="311">
        <f>+SUMIF('TUNZ Extracted TB'!M:M,$P1776,'TUNZ Extracted TB'!G:G)</f>
        <v>0</v>
      </c>
      <c r="M1776" s="311"/>
      <c r="N1776" s="311">
        <f>+SUMIF('Input Sheet'!$AE:$AE,P1776,'Input Sheet'!$X:$X)</f>
        <v>0</v>
      </c>
      <c r="O1776" s="311"/>
      <c r="P1776" t="str">
        <f t="shared" si="153"/>
        <v>221-7310</v>
      </c>
      <c r="Q1776" s="315" t="str">
        <f t="shared" si="154"/>
        <v>Admin &amp; Other</v>
      </c>
      <c r="R1776" s="315" t="str">
        <f t="shared" si="155"/>
        <v xml:space="preserve">Admin &amp; OtherStaff Remuneration &amp; Benefits as % of Total Gross </v>
      </c>
      <c r="S1776" s="199"/>
      <c r="T1776" s="199"/>
      <c r="U1776" s="199"/>
    </row>
    <row r="1777" spans="1:21" x14ac:dyDescent="0.25">
      <c r="A1777" t="s">
        <v>996</v>
      </c>
      <c r="B1777" t="s">
        <v>997</v>
      </c>
      <c r="C1777" t="s">
        <v>1012</v>
      </c>
      <c r="D1777">
        <v>7310</v>
      </c>
      <c r="E1777">
        <v>400</v>
      </c>
      <c r="F1777" t="s">
        <v>1353</v>
      </c>
      <c r="G1777" t="s">
        <v>1354</v>
      </c>
      <c r="H1777" s="315" t="s">
        <v>1000</v>
      </c>
      <c r="I1777" s="315" t="s">
        <v>1276</v>
      </c>
      <c r="J1777" s="315" t="str">
        <f t="shared" si="151"/>
        <v xml:space="preserve">Admin &amp; OtherStaff Remuneration &amp; Benefits as % of Total Gross </v>
      </c>
      <c r="K1777" s="315" t="str">
        <f t="shared" si="152"/>
        <v>400Staff Benefits (Superannuation, FBT, ACC) - Toyota</v>
      </c>
      <c r="L1777" s="311">
        <f>+SUMIF('TUNZ Extracted TB'!M:M,$P1777,'TUNZ Extracted TB'!G:G)</f>
        <v>0</v>
      </c>
      <c r="M1777" s="311"/>
      <c r="N1777" s="311">
        <f>+SUMIF('Input Sheet'!$AE:$AE,P1777,'Input Sheet'!$X:$X)</f>
        <v>0</v>
      </c>
      <c r="O1777" s="311"/>
      <c r="P1777" t="str">
        <f t="shared" si="153"/>
        <v>400-7310</v>
      </c>
      <c r="Q1777" s="315" t="str">
        <f t="shared" si="154"/>
        <v>Admin &amp; Other</v>
      </c>
      <c r="R1777" s="315" t="str">
        <f t="shared" si="155"/>
        <v xml:space="preserve">Admin &amp; OtherStaff Remuneration &amp; Benefits as % of Total Gross </v>
      </c>
      <c r="S1777" s="199"/>
      <c r="T1777" s="199"/>
      <c r="U1777" s="199"/>
    </row>
    <row r="1778" spans="1:21" x14ac:dyDescent="0.25">
      <c r="A1778" t="s">
        <v>996</v>
      </c>
      <c r="B1778" t="s">
        <v>997</v>
      </c>
      <c r="C1778" t="s">
        <v>1012</v>
      </c>
      <c r="D1778">
        <v>7310</v>
      </c>
      <c r="E1778">
        <v>410</v>
      </c>
      <c r="F1778" t="s">
        <v>1353</v>
      </c>
      <c r="G1778" t="s">
        <v>1354</v>
      </c>
      <c r="H1778" s="315" t="s">
        <v>1000</v>
      </c>
      <c r="I1778" s="315" t="s">
        <v>1276</v>
      </c>
      <c r="J1778" s="315" t="str">
        <f t="shared" si="151"/>
        <v xml:space="preserve">Admin &amp; OtherStaff Remuneration &amp; Benefits as % of Total Gross </v>
      </c>
      <c r="K1778" s="315" t="str">
        <f t="shared" si="152"/>
        <v>410Staff Benefits (Superannuation, FBT, ACC) - Toyota</v>
      </c>
      <c r="L1778" s="311">
        <f>+SUMIF('TUNZ Extracted TB'!M:M,$P1778,'TUNZ Extracted TB'!G:G)</f>
        <v>0</v>
      </c>
      <c r="M1778" s="311"/>
      <c r="N1778" s="311">
        <f>+SUMIF('Input Sheet'!$AE:$AE,P1778,'Input Sheet'!$X:$X)</f>
        <v>0</v>
      </c>
      <c r="O1778" s="311"/>
      <c r="P1778" t="str">
        <f t="shared" si="153"/>
        <v>410-7310</v>
      </c>
      <c r="Q1778" s="315" t="str">
        <f t="shared" si="154"/>
        <v>Admin &amp; Other</v>
      </c>
      <c r="R1778" s="315" t="str">
        <f t="shared" si="155"/>
        <v xml:space="preserve">Admin &amp; OtherStaff Remuneration &amp; Benefits as % of Total Gross </v>
      </c>
      <c r="S1778" s="199"/>
      <c r="T1778" s="199"/>
      <c r="U1778" s="199"/>
    </row>
    <row r="1779" spans="1:21" x14ac:dyDescent="0.25">
      <c r="A1779" t="s">
        <v>996</v>
      </c>
      <c r="B1779" t="s">
        <v>997</v>
      </c>
      <c r="C1779" t="s">
        <v>1012</v>
      </c>
      <c r="D1779">
        <v>7310</v>
      </c>
      <c r="E1779">
        <v>420</v>
      </c>
      <c r="F1779" t="s">
        <v>1353</v>
      </c>
      <c r="G1779" t="s">
        <v>1354</v>
      </c>
      <c r="H1779" s="315" t="s">
        <v>1000</v>
      </c>
      <c r="I1779" s="315" t="s">
        <v>1276</v>
      </c>
      <c r="J1779" s="315" t="str">
        <f t="shared" si="151"/>
        <v xml:space="preserve">Admin &amp; OtherStaff Remuneration &amp; Benefits as % of Total Gross </v>
      </c>
      <c r="K1779" s="315" t="str">
        <f t="shared" si="152"/>
        <v>420Staff Benefits (Superannuation, FBT, ACC) - Toyota</v>
      </c>
      <c r="L1779" s="311">
        <f>+SUMIF('TUNZ Extracted TB'!M:M,$P1779,'TUNZ Extracted TB'!G:G)</f>
        <v>0</v>
      </c>
      <c r="M1779" s="311"/>
      <c r="N1779" s="311">
        <f>+SUMIF('Input Sheet'!$AE:$AE,P1779,'Input Sheet'!$X:$X)</f>
        <v>0</v>
      </c>
      <c r="O1779" s="311"/>
      <c r="P1779" t="str">
        <f t="shared" si="153"/>
        <v>420-7310</v>
      </c>
      <c r="Q1779" s="315" t="str">
        <f t="shared" si="154"/>
        <v>Admin &amp; Other</v>
      </c>
      <c r="R1779" s="315" t="str">
        <f t="shared" si="155"/>
        <v xml:space="preserve">Admin &amp; OtherStaff Remuneration &amp; Benefits as % of Total Gross </v>
      </c>
      <c r="S1779" s="199"/>
      <c r="T1779" s="199"/>
      <c r="U1779" s="199"/>
    </row>
    <row r="1780" spans="1:21" x14ac:dyDescent="0.25">
      <c r="A1780" t="s">
        <v>996</v>
      </c>
      <c r="B1780" t="s">
        <v>997</v>
      </c>
      <c r="C1780" t="s">
        <v>1012</v>
      </c>
      <c r="D1780">
        <v>7310</v>
      </c>
      <c r="E1780">
        <v>421</v>
      </c>
      <c r="F1780" t="s">
        <v>1353</v>
      </c>
      <c r="G1780" t="s">
        <v>1354</v>
      </c>
      <c r="H1780" s="315" t="s">
        <v>1000</v>
      </c>
      <c r="I1780" s="315" t="s">
        <v>1276</v>
      </c>
      <c r="J1780" s="315" t="str">
        <f t="shared" si="151"/>
        <v xml:space="preserve">Admin &amp; OtherStaff Remuneration &amp; Benefits as % of Total Gross </v>
      </c>
      <c r="K1780" s="315" t="str">
        <f t="shared" si="152"/>
        <v>421Staff Benefits (Superannuation, FBT, ACC) - Toyota</v>
      </c>
      <c r="L1780" s="311">
        <f>+SUMIF('TUNZ Extracted TB'!M:M,$P1780,'TUNZ Extracted TB'!G:G)</f>
        <v>0</v>
      </c>
      <c r="M1780" s="311"/>
      <c r="N1780" s="311">
        <f>+SUMIF('Input Sheet'!$AE:$AE,P1780,'Input Sheet'!$X:$X)</f>
        <v>0</v>
      </c>
      <c r="O1780" s="311"/>
      <c r="P1780" t="str">
        <f t="shared" si="153"/>
        <v>421-7310</v>
      </c>
      <c r="Q1780" s="315" t="str">
        <f t="shared" si="154"/>
        <v>Admin &amp; Other</v>
      </c>
      <c r="R1780" s="315" t="str">
        <f t="shared" si="155"/>
        <v xml:space="preserve">Admin &amp; OtherStaff Remuneration &amp; Benefits as % of Total Gross </v>
      </c>
      <c r="S1780" s="199"/>
      <c r="T1780" s="199"/>
      <c r="U1780" s="199"/>
    </row>
    <row r="1781" spans="1:21" x14ac:dyDescent="0.25">
      <c r="A1781" t="s">
        <v>996</v>
      </c>
      <c r="B1781" t="s">
        <v>997</v>
      </c>
      <c r="C1781" t="s">
        <v>1012</v>
      </c>
      <c r="D1781">
        <v>7310</v>
      </c>
      <c r="E1781">
        <v>460</v>
      </c>
      <c r="F1781" t="s">
        <v>1353</v>
      </c>
      <c r="G1781" t="s">
        <v>1354</v>
      </c>
      <c r="H1781" s="315" t="s">
        <v>1000</v>
      </c>
      <c r="I1781" s="315" t="s">
        <v>1276</v>
      </c>
      <c r="J1781" s="315" t="str">
        <f t="shared" si="151"/>
        <v xml:space="preserve">Admin &amp; OtherStaff Remuneration &amp; Benefits as % of Total Gross </v>
      </c>
      <c r="K1781" s="315" t="str">
        <f t="shared" si="152"/>
        <v>460Staff Benefits (Superannuation, FBT, ACC) - Toyota</v>
      </c>
      <c r="L1781" s="311">
        <f>+SUMIF('TUNZ Extracted TB'!M:M,$P1781,'TUNZ Extracted TB'!G:G)</f>
        <v>0</v>
      </c>
      <c r="M1781" s="311"/>
      <c r="N1781" s="311">
        <f>+SUMIF('Input Sheet'!$AE:$AE,P1781,'Input Sheet'!$X:$X)</f>
        <v>0</v>
      </c>
      <c r="O1781" s="311"/>
      <c r="P1781" t="str">
        <f t="shared" si="153"/>
        <v>460-7310</v>
      </c>
      <c r="Q1781" s="315" t="str">
        <f t="shared" si="154"/>
        <v>Admin &amp; Other</v>
      </c>
      <c r="R1781" s="315" t="str">
        <f t="shared" si="155"/>
        <v xml:space="preserve">Admin &amp; OtherStaff Remuneration &amp; Benefits as % of Total Gross </v>
      </c>
      <c r="S1781" s="199"/>
      <c r="T1781" s="199"/>
      <c r="U1781" s="199"/>
    </row>
    <row r="1782" spans="1:21" x14ac:dyDescent="0.25">
      <c r="A1782" t="s">
        <v>996</v>
      </c>
      <c r="B1782" t="s">
        <v>997</v>
      </c>
      <c r="C1782" t="s">
        <v>1013</v>
      </c>
      <c r="D1782">
        <v>7310</v>
      </c>
      <c r="E1782">
        <v>300</v>
      </c>
      <c r="F1782" t="s">
        <v>1353</v>
      </c>
      <c r="G1782" t="s">
        <v>1354</v>
      </c>
      <c r="H1782" s="315" t="s">
        <v>1000</v>
      </c>
      <c r="I1782" s="315" t="s">
        <v>1276</v>
      </c>
      <c r="J1782" s="315" t="str">
        <f t="shared" si="151"/>
        <v xml:space="preserve">Admin &amp; OtherStaff Remuneration &amp; Benefits as % of Total Gross </v>
      </c>
      <c r="K1782" s="315" t="str">
        <f t="shared" si="152"/>
        <v>300Staff Benefits (Superannuation, FBT, ACC) - Toyota</v>
      </c>
      <c r="L1782" s="311">
        <f>+SUMIF('TUNZ Extracted TB'!M:M,$P1782,'TUNZ Extracted TB'!G:G)</f>
        <v>0</v>
      </c>
      <c r="M1782" s="311"/>
      <c r="N1782" s="311">
        <f>+SUMIF('Input Sheet'!$AE:$AE,P1782,'Input Sheet'!$X:$X)</f>
        <v>0</v>
      </c>
      <c r="O1782" s="311"/>
      <c r="P1782" t="str">
        <f t="shared" si="153"/>
        <v>300-7310</v>
      </c>
      <c r="Q1782" s="315" t="str">
        <f t="shared" si="154"/>
        <v>Admin &amp; Other</v>
      </c>
      <c r="R1782" s="315" t="str">
        <f t="shared" si="155"/>
        <v xml:space="preserve">Admin &amp; OtherStaff Remuneration &amp; Benefits as % of Total Gross </v>
      </c>
      <c r="S1782" s="199"/>
      <c r="T1782" s="199"/>
      <c r="U1782" s="199"/>
    </row>
    <row r="1783" spans="1:21" x14ac:dyDescent="0.25">
      <c r="A1783" t="s">
        <v>996</v>
      </c>
      <c r="B1783" t="s">
        <v>997</v>
      </c>
      <c r="C1783" t="s">
        <v>1013</v>
      </c>
      <c r="D1783">
        <v>7310</v>
      </c>
      <c r="E1783">
        <v>310</v>
      </c>
      <c r="F1783" t="s">
        <v>1353</v>
      </c>
      <c r="G1783" t="s">
        <v>1354</v>
      </c>
      <c r="H1783" s="315" t="s">
        <v>1000</v>
      </c>
      <c r="I1783" s="315" t="s">
        <v>1276</v>
      </c>
      <c r="J1783" s="315" t="str">
        <f t="shared" si="151"/>
        <v xml:space="preserve">Admin &amp; OtherStaff Remuneration &amp; Benefits as % of Total Gross </v>
      </c>
      <c r="K1783" s="315" t="str">
        <f t="shared" si="152"/>
        <v>310Staff Benefits (Superannuation, FBT, ACC) - Toyota</v>
      </c>
      <c r="L1783" s="311">
        <f>+SUMIF('TUNZ Extracted TB'!M:M,$P1783,'TUNZ Extracted TB'!G:G)</f>
        <v>0</v>
      </c>
      <c r="M1783" s="311"/>
      <c r="N1783" s="311">
        <f>+SUMIF('Input Sheet'!$AE:$AE,P1783,'Input Sheet'!$X:$X)</f>
        <v>0</v>
      </c>
      <c r="O1783" s="311"/>
      <c r="P1783" t="str">
        <f t="shared" si="153"/>
        <v>310-7310</v>
      </c>
      <c r="Q1783" s="315" t="str">
        <f t="shared" si="154"/>
        <v>Admin &amp; Other</v>
      </c>
      <c r="R1783" s="315" t="str">
        <f t="shared" si="155"/>
        <v xml:space="preserve">Admin &amp; OtherStaff Remuneration &amp; Benefits as % of Total Gross </v>
      </c>
      <c r="S1783" s="199"/>
      <c r="T1783" s="199"/>
      <c r="U1783" s="199"/>
    </row>
    <row r="1784" spans="1:21" x14ac:dyDescent="0.25">
      <c r="A1784" t="s">
        <v>996</v>
      </c>
      <c r="B1784" t="s">
        <v>997</v>
      </c>
      <c r="C1784" t="s">
        <v>1013</v>
      </c>
      <c r="D1784">
        <v>7310</v>
      </c>
      <c r="E1784">
        <v>321</v>
      </c>
      <c r="F1784" t="s">
        <v>1353</v>
      </c>
      <c r="G1784" t="s">
        <v>1354</v>
      </c>
      <c r="H1784" s="315" t="s">
        <v>1000</v>
      </c>
      <c r="I1784" s="315" t="s">
        <v>1276</v>
      </c>
      <c r="J1784" s="315" t="str">
        <f t="shared" si="151"/>
        <v xml:space="preserve">Admin &amp; OtherStaff Remuneration &amp; Benefits as % of Total Gross </v>
      </c>
      <c r="K1784" s="315" t="str">
        <f t="shared" si="152"/>
        <v>321Staff Benefits (Superannuation, FBT, ACC) - Toyota</v>
      </c>
      <c r="L1784" s="311">
        <f>+SUMIF('TUNZ Extracted TB'!M:M,$P1784,'TUNZ Extracted TB'!G:G)</f>
        <v>0</v>
      </c>
      <c r="M1784" s="311"/>
      <c r="N1784" s="311">
        <f>+SUMIF('Input Sheet'!$AE:$AE,P1784,'Input Sheet'!$X:$X)</f>
        <v>0</v>
      </c>
      <c r="O1784" s="311"/>
      <c r="P1784" t="str">
        <f t="shared" si="153"/>
        <v>321-7310</v>
      </c>
      <c r="Q1784" s="315" t="str">
        <f t="shared" si="154"/>
        <v>Admin &amp; Other</v>
      </c>
      <c r="R1784" s="315" t="str">
        <f t="shared" si="155"/>
        <v xml:space="preserve">Admin &amp; OtherStaff Remuneration &amp; Benefits as % of Total Gross </v>
      </c>
      <c r="S1784" s="199"/>
      <c r="T1784" s="199"/>
      <c r="U1784" s="199"/>
    </row>
    <row r="1785" spans="1:21" x14ac:dyDescent="0.25">
      <c r="A1785" t="s">
        <v>996</v>
      </c>
      <c r="B1785" t="s">
        <v>997</v>
      </c>
      <c r="C1785" t="s">
        <v>1013</v>
      </c>
      <c r="D1785">
        <v>7310</v>
      </c>
      <c r="E1785">
        <v>360</v>
      </c>
      <c r="F1785" t="s">
        <v>1353</v>
      </c>
      <c r="G1785" t="s">
        <v>1354</v>
      </c>
      <c r="H1785" s="315" t="s">
        <v>1000</v>
      </c>
      <c r="I1785" s="315" t="s">
        <v>1276</v>
      </c>
      <c r="J1785" s="315" t="str">
        <f t="shared" si="151"/>
        <v xml:space="preserve">Admin &amp; OtherStaff Remuneration &amp; Benefits as % of Total Gross </v>
      </c>
      <c r="K1785" s="315" t="str">
        <f t="shared" si="152"/>
        <v>360Staff Benefits (Superannuation, FBT, ACC) - Toyota</v>
      </c>
      <c r="L1785" s="311">
        <f>+SUMIF('TUNZ Extracted TB'!M:M,$P1785,'TUNZ Extracted TB'!G:G)</f>
        <v>0</v>
      </c>
      <c r="M1785" s="311"/>
      <c r="N1785" s="311">
        <f>+SUMIF('Input Sheet'!$AE:$AE,P1785,'Input Sheet'!$X:$X)</f>
        <v>0</v>
      </c>
      <c r="O1785" s="311"/>
      <c r="P1785" t="str">
        <f t="shared" si="153"/>
        <v>360-7310</v>
      </c>
      <c r="Q1785" s="315" t="str">
        <f t="shared" si="154"/>
        <v>Admin &amp; Other</v>
      </c>
      <c r="R1785" s="315" t="str">
        <f t="shared" si="155"/>
        <v xml:space="preserve">Admin &amp; OtherStaff Remuneration &amp; Benefits as % of Total Gross </v>
      </c>
      <c r="S1785" s="199"/>
      <c r="T1785" s="199"/>
      <c r="U1785" s="199"/>
    </row>
    <row r="1786" spans="1:21" x14ac:dyDescent="0.25">
      <c r="A1786" t="s">
        <v>996</v>
      </c>
      <c r="B1786" t="s">
        <v>997</v>
      </c>
      <c r="C1786" t="s">
        <v>997</v>
      </c>
      <c r="D1786">
        <v>7310</v>
      </c>
      <c r="E1786">
        <v>147</v>
      </c>
      <c r="F1786" t="s">
        <v>1353</v>
      </c>
      <c r="G1786" t="s">
        <v>1354</v>
      </c>
      <c r="H1786" s="315" t="s">
        <v>1000</v>
      </c>
      <c r="I1786" s="315" t="s">
        <v>1276</v>
      </c>
      <c r="J1786" s="315" t="str">
        <f t="shared" si="151"/>
        <v xml:space="preserve">Admin &amp; OtherStaff Remuneration &amp; Benefits as % of Total Gross </v>
      </c>
      <c r="K1786" s="315" t="str">
        <f t="shared" si="152"/>
        <v>147Staff Benefits (Superannuation, FBT, ACC) - Toyota</v>
      </c>
      <c r="L1786" s="311">
        <f>+SUMIF('TUNZ Extracted TB'!M:M,$P1786,'TUNZ Extracted TB'!G:G)</f>
        <v>0</v>
      </c>
      <c r="M1786" s="311"/>
      <c r="N1786" s="311">
        <f>+SUMIF('Input Sheet'!$AE:$AE,P1786,'Input Sheet'!$X:$X)</f>
        <v>0</v>
      </c>
      <c r="O1786" s="311"/>
      <c r="P1786" t="str">
        <f t="shared" si="153"/>
        <v>147-7310</v>
      </c>
      <c r="Q1786" s="315" t="str">
        <f t="shared" si="154"/>
        <v>Admin &amp; Other</v>
      </c>
      <c r="R1786" s="315" t="str">
        <f t="shared" si="155"/>
        <v xml:space="preserve">Admin &amp; OtherStaff Remuneration &amp; Benefits as % of Total Gross </v>
      </c>
      <c r="S1786" s="199"/>
      <c r="T1786" s="199"/>
      <c r="U1786" s="199"/>
    </row>
    <row r="1787" spans="1:21" x14ac:dyDescent="0.25">
      <c r="A1787" t="s">
        <v>996</v>
      </c>
      <c r="B1787" t="s">
        <v>997</v>
      </c>
      <c r="C1787" t="s">
        <v>997</v>
      </c>
      <c r="D1787">
        <v>7310</v>
      </c>
      <c r="E1787">
        <v>935</v>
      </c>
      <c r="F1787" t="s">
        <v>1175</v>
      </c>
      <c r="G1787" t="s">
        <v>1176</v>
      </c>
      <c r="H1787" s="315" t="s">
        <v>1023</v>
      </c>
      <c r="I1787" s="315" t="s">
        <v>1276</v>
      </c>
      <c r="J1787" s="315" t="str">
        <f t="shared" si="151"/>
        <v xml:space="preserve">LEX Admin &amp; OtherStaff Remuneration &amp; Benefits as % of Total Gross </v>
      </c>
      <c r="K1787" s="315" t="str">
        <f t="shared" si="152"/>
        <v>935Other franchise/business expense</v>
      </c>
      <c r="L1787" s="311">
        <f>+SUMIF('TUNZ Extracted TB'!M:M,$P1787,'TUNZ Extracted TB'!G:G)</f>
        <v>174.39</v>
      </c>
      <c r="M1787" s="311"/>
      <c r="N1787" s="311">
        <f>+SUMIF('Input Sheet'!$AE:$AE,P1787,'Input Sheet'!$X:$X)</f>
        <v>0</v>
      </c>
      <c r="O1787" s="311"/>
      <c r="P1787" t="str">
        <f t="shared" si="153"/>
        <v>935-7310</v>
      </c>
      <c r="Q1787" s="315" t="str">
        <f t="shared" si="154"/>
        <v>LEX Admin &amp; Other</v>
      </c>
      <c r="R1787" s="315" t="str">
        <f t="shared" si="155"/>
        <v xml:space="preserve">LEX Admin &amp; OtherStaff Remuneration &amp; Benefits as % of Total Gross </v>
      </c>
      <c r="S1787" s="199"/>
      <c r="T1787" s="199"/>
      <c r="U1787" s="199"/>
    </row>
    <row r="1788" spans="1:21" x14ac:dyDescent="0.25">
      <c r="A1788" t="s">
        <v>996</v>
      </c>
      <c r="B1788" t="s">
        <v>997</v>
      </c>
      <c r="C1788" t="s">
        <v>997</v>
      </c>
      <c r="D1788">
        <v>7310</v>
      </c>
      <c r="E1788">
        <v>936</v>
      </c>
      <c r="F1788" t="s">
        <v>1175</v>
      </c>
      <c r="G1788" t="s">
        <v>1176</v>
      </c>
      <c r="H1788" s="315" t="s">
        <v>1023</v>
      </c>
      <c r="I1788" s="315" t="s">
        <v>1276</v>
      </c>
      <c r="J1788" s="315" t="str">
        <f t="shared" si="151"/>
        <v xml:space="preserve">LEX Admin &amp; OtherStaff Remuneration &amp; Benefits as % of Total Gross </v>
      </c>
      <c r="K1788" s="315" t="str">
        <f t="shared" si="152"/>
        <v>936Other franchise/business expense</v>
      </c>
      <c r="L1788" s="311">
        <f>+SUMIF('TUNZ Extracted TB'!M:M,$P1788,'TUNZ Extracted TB'!G:G)</f>
        <v>30.87</v>
      </c>
      <c r="M1788" s="311"/>
      <c r="N1788" s="311">
        <f>+SUMIF('Input Sheet'!$AE:$AE,P1788,'Input Sheet'!$X:$X)</f>
        <v>0</v>
      </c>
      <c r="O1788" s="311"/>
      <c r="P1788" t="str">
        <f t="shared" si="153"/>
        <v>936-7310</v>
      </c>
      <c r="Q1788" s="315" t="str">
        <f t="shared" si="154"/>
        <v>LEX Admin &amp; Other</v>
      </c>
      <c r="R1788" s="315" t="str">
        <f t="shared" si="155"/>
        <v xml:space="preserve">LEX Admin &amp; OtherStaff Remuneration &amp; Benefits as % of Total Gross </v>
      </c>
      <c r="S1788" s="199"/>
      <c r="T1788" s="199"/>
      <c r="U1788" s="199"/>
    </row>
    <row r="1789" spans="1:21" x14ac:dyDescent="0.25">
      <c r="A1789" t="s">
        <v>996</v>
      </c>
      <c r="B1789" t="s">
        <v>997</v>
      </c>
      <c r="C1789" t="s">
        <v>1005</v>
      </c>
      <c r="D1789">
        <v>7310</v>
      </c>
      <c r="E1789">
        <v>230</v>
      </c>
      <c r="F1789" t="s">
        <v>1353</v>
      </c>
      <c r="G1789" t="s">
        <v>1354</v>
      </c>
      <c r="H1789" s="315" t="s">
        <v>1000</v>
      </c>
      <c r="I1789" s="315" t="s">
        <v>1276</v>
      </c>
      <c r="J1789" s="315" t="str">
        <f t="shared" si="151"/>
        <v xml:space="preserve">Admin &amp; OtherStaff Remuneration &amp; Benefits as % of Total Gross </v>
      </c>
      <c r="K1789" s="315" t="str">
        <f t="shared" si="152"/>
        <v>230Staff Benefits (Superannuation, FBT, ACC) - Toyota</v>
      </c>
      <c r="L1789" s="311">
        <f>+SUMIF('TUNZ Extracted TB'!M:M,$P1789,'TUNZ Extracted TB'!G:G)</f>
        <v>311.69</v>
      </c>
      <c r="M1789" s="311"/>
      <c r="N1789" s="311">
        <f>+SUMIF('Input Sheet'!$AE:$AE,P1789,'Input Sheet'!$X:$X)</f>
        <v>0</v>
      </c>
      <c r="O1789" s="311"/>
      <c r="P1789" t="str">
        <f t="shared" si="153"/>
        <v>230-7310</v>
      </c>
      <c r="Q1789" s="315" t="str">
        <f t="shared" si="154"/>
        <v>Admin &amp; Other</v>
      </c>
      <c r="R1789" s="315" t="str">
        <f t="shared" si="155"/>
        <v xml:space="preserve">Admin &amp; OtherStaff Remuneration &amp; Benefits as % of Total Gross </v>
      </c>
      <c r="S1789" s="199"/>
      <c r="T1789" s="199"/>
      <c r="U1789" s="199"/>
    </row>
    <row r="1790" spans="1:21" x14ac:dyDescent="0.25">
      <c r="A1790" t="s">
        <v>996</v>
      </c>
      <c r="B1790" t="s">
        <v>997</v>
      </c>
      <c r="C1790" t="s">
        <v>1005</v>
      </c>
      <c r="D1790">
        <v>7330</v>
      </c>
      <c r="E1790">
        <v>220</v>
      </c>
      <c r="F1790" t="s">
        <v>1328</v>
      </c>
      <c r="G1790" t="s">
        <v>1329</v>
      </c>
      <c r="H1790" s="315" t="s">
        <v>30</v>
      </c>
      <c r="I1790" s="315" t="s">
        <v>1327</v>
      </c>
      <c r="J1790" s="315" t="str">
        <f t="shared" si="151"/>
        <v>Used VehicleOther Semi-Fixed expenses per retail</v>
      </c>
      <c r="K1790" s="315" t="str">
        <f t="shared" si="152"/>
        <v>220Toyota UV Other Semi-Fixed expenses</v>
      </c>
      <c r="L1790" s="311">
        <f>+SUMIF('TUNZ Extracted TB'!M:M,$P1790,'TUNZ Extracted TB'!G:G)</f>
        <v>0</v>
      </c>
      <c r="M1790" s="311"/>
      <c r="N1790" s="311">
        <f>+SUMIF('Input Sheet'!$AE:$AE,P1790,'Input Sheet'!$X:$X)</f>
        <v>0</v>
      </c>
      <c r="O1790" s="311"/>
      <c r="P1790" t="str">
        <f t="shared" si="153"/>
        <v>220-7330</v>
      </c>
      <c r="Q1790" s="315" t="str">
        <f t="shared" si="154"/>
        <v>Used Vehicle</v>
      </c>
      <c r="R1790" s="315" t="str">
        <f t="shared" si="155"/>
        <v>Used VehicleOther Semi-Fixed expenses per retail</v>
      </c>
      <c r="S1790" s="199"/>
      <c r="T1790" s="199"/>
      <c r="U1790" s="199"/>
    </row>
    <row r="1791" spans="1:21" x14ac:dyDescent="0.25">
      <c r="A1791" t="s">
        <v>996</v>
      </c>
      <c r="B1791" t="s">
        <v>997</v>
      </c>
      <c r="C1791" t="s">
        <v>997</v>
      </c>
      <c r="D1791">
        <v>7330</v>
      </c>
      <c r="E1791">
        <v>140</v>
      </c>
      <c r="F1791" t="s">
        <v>1289</v>
      </c>
      <c r="G1791" t="s">
        <v>1290</v>
      </c>
      <c r="H1791" s="315" t="s">
        <v>17</v>
      </c>
      <c r="I1791" s="315" t="s">
        <v>1286</v>
      </c>
      <c r="J1791" s="315" t="str">
        <f t="shared" si="151"/>
        <v>ServiceOther Expenses as % of Sales</v>
      </c>
      <c r="K1791" s="315" t="str">
        <f t="shared" si="152"/>
        <v>140Service Other expenses - Toyota</v>
      </c>
      <c r="L1791" s="311">
        <f>+SUMIF('TUNZ Extracted TB'!M:M,$P1791,'TUNZ Extracted TB'!G:G)</f>
        <v>0</v>
      </c>
      <c r="M1791" s="311"/>
      <c r="N1791" s="311">
        <f>+SUMIF('Input Sheet'!$AE:$AE,P1791,'Input Sheet'!$X:$X)</f>
        <v>0</v>
      </c>
      <c r="O1791" s="311"/>
      <c r="P1791" t="str">
        <f t="shared" si="153"/>
        <v>140-7330</v>
      </c>
      <c r="Q1791" s="315" t="str">
        <f t="shared" si="154"/>
        <v>Service</v>
      </c>
      <c r="R1791" s="315" t="str">
        <f t="shared" si="155"/>
        <v>ServiceOther Expenses as % of Sales</v>
      </c>
      <c r="S1791" s="199"/>
      <c r="T1791" s="199"/>
      <c r="U1791" s="199"/>
    </row>
    <row r="1792" spans="1:21" x14ac:dyDescent="0.25">
      <c r="A1792" t="s">
        <v>996</v>
      </c>
      <c r="B1792" t="s">
        <v>997</v>
      </c>
      <c r="C1792" t="s">
        <v>997</v>
      </c>
      <c r="D1792">
        <v>7330</v>
      </c>
      <c r="E1792">
        <v>142</v>
      </c>
      <c r="F1792" t="s">
        <v>1284</v>
      </c>
      <c r="G1792" t="s">
        <v>1285</v>
      </c>
      <c r="H1792" s="315" t="s">
        <v>1022</v>
      </c>
      <c r="I1792" s="315" t="s">
        <v>1286</v>
      </c>
      <c r="J1792" s="315" t="str">
        <f t="shared" si="151"/>
        <v>Lex ServiceOther Expenses as % of Sales</v>
      </c>
      <c r="K1792" s="315" t="str">
        <f t="shared" si="152"/>
        <v>142Service Other expenses - Lexus</v>
      </c>
      <c r="L1792" s="311">
        <f>+SUMIF('TUNZ Extracted TB'!M:M,$P1792,'TUNZ Extracted TB'!G:G)</f>
        <v>0</v>
      </c>
      <c r="M1792" s="311"/>
      <c r="N1792" s="311">
        <f>+SUMIF('Input Sheet'!$AE:$AE,P1792,'Input Sheet'!$X:$X)</f>
        <v>0</v>
      </c>
      <c r="O1792" s="311"/>
      <c r="P1792" t="str">
        <f t="shared" si="153"/>
        <v>142-7330</v>
      </c>
      <c r="Q1792" s="315" t="str">
        <f t="shared" si="154"/>
        <v>Lex Service</v>
      </c>
      <c r="R1792" s="315" t="str">
        <f t="shared" si="155"/>
        <v>Lex ServiceOther Expenses as % of Sales</v>
      </c>
      <c r="S1792" s="199"/>
      <c r="T1792" s="199"/>
      <c r="U1792" s="199"/>
    </row>
    <row r="1793" spans="1:21" x14ac:dyDescent="0.25">
      <c r="A1793" t="s">
        <v>996</v>
      </c>
      <c r="B1793" t="s">
        <v>997</v>
      </c>
      <c r="C1793" t="s">
        <v>997</v>
      </c>
      <c r="D1793">
        <v>7330</v>
      </c>
      <c r="E1793">
        <v>132</v>
      </c>
      <c r="F1793" t="s">
        <v>1321</v>
      </c>
      <c r="G1793" t="s">
        <v>1322</v>
      </c>
      <c r="H1793" s="315" t="s">
        <v>143</v>
      </c>
      <c r="I1793" s="315" t="s">
        <v>1286</v>
      </c>
      <c r="J1793" s="315" t="str">
        <f t="shared" si="151"/>
        <v>LEX PartsOther Expenses as % of Sales</v>
      </c>
      <c r="K1793" s="315" t="str">
        <f t="shared" si="152"/>
        <v>132Parts Other Expenses - Lexus</v>
      </c>
      <c r="L1793" s="311">
        <f>+SUMIF('TUNZ Extracted TB'!M:M,$P1793,'TUNZ Extracted TB'!G:G)</f>
        <v>0</v>
      </c>
      <c r="M1793" s="311"/>
      <c r="N1793" s="311">
        <f>+SUMIF('Input Sheet'!$AE:$AE,P1793,'Input Sheet'!$X:$X)</f>
        <v>0</v>
      </c>
      <c r="O1793" s="311"/>
      <c r="P1793" t="str">
        <f t="shared" si="153"/>
        <v>132-7330</v>
      </c>
      <c r="Q1793" s="315" t="str">
        <f t="shared" si="154"/>
        <v>LEX Parts</v>
      </c>
      <c r="R1793" s="315" t="str">
        <f t="shared" si="155"/>
        <v>LEX PartsOther Expenses as % of Sales</v>
      </c>
      <c r="S1793" s="199"/>
      <c r="T1793" s="199"/>
      <c r="U1793" s="199"/>
    </row>
    <row r="1794" spans="1:21" x14ac:dyDescent="0.25">
      <c r="A1794" t="s">
        <v>996</v>
      </c>
      <c r="B1794" t="s">
        <v>997</v>
      </c>
      <c r="C1794" t="s">
        <v>997</v>
      </c>
      <c r="D1794">
        <v>7330</v>
      </c>
      <c r="E1794">
        <v>130</v>
      </c>
      <c r="F1794" t="s">
        <v>1291</v>
      </c>
      <c r="G1794" t="s">
        <v>1292</v>
      </c>
      <c r="H1794" s="315" t="s">
        <v>5</v>
      </c>
      <c r="I1794" s="315" t="s">
        <v>1286</v>
      </c>
      <c r="J1794" s="315" t="str">
        <f t="shared" si="151"/>
        <v>PartsOther Expenses as % of Sales</v>
      </c>
      <c r="K1794" s="315" t="str">
        <f t="shared" si="152"/>
        <v>130Parts Other Expenses - Toyota</v>
      </c>
      <c r="L1794" s="311">
        <f>+SUMIF('TUNZ Extracted TB'!M:M,$P1794,'TUNZ Extracted TB'!G:G)</f>
        <v>196.88</v>
      </c>
      <c r="M1794" s="311"/>
      <c r="N1794" s="311">
        <f>+SUMIF('Input Sheet'!$AE:$AE,P1794,'Input Sheet'!$X:$X)</f>
        <v>0</v>
      </c>
      <c r="O1794" s="311"/>
      <c r="P1794" t="str">
        <f t="shared" si="153"/>
        <v>130-7330</v>
      </c>
      <c r="Q1794" s="315" t="str">
        <f t="shared" si="154"/>
        <v>Parts</v>
      </c>
      <c r="R1794" s="315" t="str">
        <f t="shared" si="155"/>
        <v>PartsOther Expenses as % of Sales</v>
      </c>
      <c r="S1794" s="199"/>
      <c r="T1794" s="199"/>
      <c r="U1794" s="199"/>
    </row>
    <row r="1795" spans="1:21" x14ac:dyDescent="0.25">
      <c r="A1795" t="s">
        <v>996</v>
      </c>
      <c r="B1795" t="s">
        <v>997</v>
      </c>
      <c r="C1795" t="s">
        <v>1013</v>
      </c>
      <c r="D1795">
        <v>7330</v>
      </c>
      <c r="E1795">
        <v>300</v>
      </c>
      <c r="F1795" t="s">
        <v>1360</v>
      </c>
      <c r="G1795" t="s">
        <v>1361</v>
      </c>
      <c r="H1795" s="315" t="s">
        <v>29</v>
      </c>
      <c r="I1795" s="315" t="s">
        <v>1359</v>
      </c>
      <c r="J1795" s="315" t="str">
        <f t="shared" ref="J1795:J1858" si="156">+H1795&amp;I1795</f>
        <v>New VehicleOther Semi-Fixed Expenses p.u</v>
      </c>
      <c r="K1795" s="315" t="str">
        <f t="shared" ref="K1795:K1858" si="157">+E1795&amp;G1795</f>
        <v>300NV Other Semi-Fixed expenses - Toyota</v>
      </c>
      <c r="L1795" s="311">
        <f>+SUMIF('TUNZ Extracted TB'!M:M,$P1795,'TUNZ Extracted TB'!G:G)</f>
        <v>0</v>
      </c>
      <c r="M1795" s="311"/>
      <c r="N1795" s="311">
        <f>+SUMIF('Input Sheet'!$AE:$AE,P1795,'Input Sheet'!$X:$X)</f>
        <v>0</v>
      </c>
      <c r="O1795" s="311"/>
      <c r="P1795" t="str">
        <f t="shared" ref="P1795:P1858" si="158">+E1795&amp;"-"&amp;D1795</f>
        <v>300-7330</v>
      </c>
      <c r="Q1795" s="315" t="str">
        <f t="shared" ref="Q1795:Q1858" si="159">H1795</f>
        <v>New Vehicle</v>
      </c>
      <c r="R1795" s="315" t="str">
        <f t="shared" ref="R1795:R1858" si="160">J1795</f>
        <v>New VehicleOther Semi-Fixed Expenses p.u</v>
      </c>
      <c r="S1795" s="199"/>
      <c r="T1795" s="199"/>
      <c r="U1795" s="199"/>
    </row>
    <row r="1796" spans="1:21" x14ac:dyDescent="0.25">
      <c r="A1796" t="s">
        <v>996</v>
      </c>
      <c r="B1796" t="s">
        <v>997</v>
      </c>
      <c r="C1796" t="s">
        <v>997</v>
      </c>
      <c r="D1796">
        <v>7331</v>
      </c>
      <c r="E1796">
        <v>112</v>
      </c>
      <c r="F1796" t="s">
        <v>1280</v>
      </c>
      <c r="G1796" t="s">
        <v>1281</v>
      </c>
      <c r="H1796" s="315" t="s">
        <v>1011</v>
      </c>
      <c r="I1796" s="315" t="s">
        <v>1279</v>
      </c>
      <c r="J1796" s="315" t="str">
        <f t="shared" si="156"/>
        <v>LEX New VehicleOther Variable expenses p.u.</v>
      </c>
      <c r="K1796" s="315" t="str">
        <f t="shared" si="157"/>
        <v>112NV Other variable expenses - Lexus</v>
      </c>
      <c r="L1796" s="311">
        <f>+SUMIF('TUNZ Extracted TB'!M:M,$P1796,'TUNZ Extracted TB'!G:G)</f>
        <v>0</v>
      </c>
      <c r="M1796" s="311"/>
      <c r="N1796" s="311">
        <f>+SUMIF('Input Sheet'!$AE:$AE,P1796,'Input Sheet'!$X:$X)</f>
        <v>0</v>
      </c>
      <c r="O1796" s="311"/>
      <c r="P1796" t="str">
        <f t="shared" si="158"/>
        <v>112-7331</v>
      </c>
      <c r="Q1796" s="315" t="str">
        <f t="shared" si="159"/>
        <v>LEX New Vehicle</v>
      </c>
      <c r="R1796" s="315" t="str">
        <f t="shared" si="160"/>
        <v>LEX New VehicleOther Variable expenses p.u.</v>
      </c>
      <c r="S1796" s="199"/>
      <c r="T1796" s="199"/>
      <c r="U1796" s="199"/>
    </row>
    <row r="1797" spans="1:21" x14ac:dyDescent="0.25">
      <c r="A1797" t="s">
        <v>996</v>
      </c>
      <c r="B1797" t="s">
        <v>997</v>
      </c>
      <c r="C1797" t="s">
        <v>997</v>
      </c>
      <c r="D1797">
        <v>7330</v>
      </c>
      <c r="E1797">
        <v>110</v>
      </c>
      <c r="F1797" t="s">
        <v>1328</v>
      </c>
      <c r="G1797" t="s">
        <v>1329</v>
      </c>
      <c r="H1797" s="315" t="s">
        <v>30</v>
      </c>
      <c r="I1797" s="315" t="s">
        <v>1327</v>
      </c>
      <c r="J1797" s="315" t="str">
        <f t="shared" si="156"/>
        <v>Used VehicleOther Semi-Fixed expenses per retail</v>
      </c>
      <c r="K1797" s="315" t="str">
        <f t="shared" si="157"/>
        <v>110Toyota UV Other Semi-Fixed expenses</v>
      </c>
      <c r="L1797" s="311">
        <f>+SUMIF('TUNZ Extracted TB'!M:M,$P1797,'TUNZ Extracted TB'!G:G)</f>
        <v>305.93</v>
      </c>
      <c r="M1797" s="311"/>
      <c r="N1797" s="311">
        <f>+SUMIF('Input Sheet'!$AE:$AE,P1797,'Input Sheet'!$X:$X)</f>
        <v>0</v>
      </c>
      <c r="O1797" s="311"/>
      <c r="P1797" t="str">
        <f t="shared" si="158"/>
        <v>110-7330</v>
      </c>
      <c r="Q1797" s="315" t="str">
        <f t="shared" si="159"/>
        <v>Used Vehicle</v>
      </c>
      <c r="R1797" s="315" t="str">
        <f t="shared" si="160"/>
        <v>Used VehicleOther Semi-Fixed expenses per retail</v>
      </c>
      <c r="S1797" s="199"/>
      <c r="T1797" s="199"/>
      <c r="U1797" s="199"/>
    </row>
    <row r="1798" spans="1:21" x14ac:dyDescent="0.25">
      <c r="A1798" t="s">
        <v>996</v>
      </c>
      <c r="B1798" t="s">
        <v>997</v>
      </c>
      <c r="C1798" t="s">
        <v>997</v>
      </c>
      <c r="D1798">
        <v>7330</v>
      </c>
      <c r="E1798">
        <v>162</v>
      </c>
      <c r="F1798" t="s">
        <v>1323</v>
      </c>
      <c r="G1798" t="s">
        <v>1324</v>
      </c>
      <c r="H1798" s="315" t="s">
        <v>142</v>
      </c>
      <c r="I1798" s="315" t="s">
        <v>1295</v>
      </c>
      <c r="J1798" s="315" t="str">
        <f t="shared" si="156"/>
        <v>LEX F&amp;IOther Expenses per vehicle retailed</v>
      </c>
      <c r="K1798" s="315" t="str">
        <f t="shared" si="157"/>
        <v>162F&amp;I Other expenses - Lexus</v>
      </c>
      <c r="L1798" s="311">
        <f>+SUMIF('TUNZ Extracted TB'!M:M,$P1798,'TUNZ Extracted TB'!G:G)</f>
        <v>0</v>
      </c>
      <c r="M1798" s="311"/>
      <c r="N1798" s="311">
        <f>+SUMIF('Input Sheet'!$AE:$AE,P1798,'Input Sheet'!$X:$X)</f>
        <v>0</v>
      </c>
      <c r="O1798" s="311"/>
      <c r="P1798" t="str">
        <f t="shared" si="158"/>
        <v>162-7330</v>
      </c>
      <c r="Q1798" s="315" t="str">
        <f t="shared" si="159"/>
        <v>LEX F&amp;I</v>
      </c>
      <c r="R1798" s="315" t="str">
        <f t="shared" si="160"/>
        <v>LEX F&amp;IOther Expenses per vehicle retailed</v>
      </c>
      <c r="S1798" s="199"/>
      <c r="T1798" s="199"/>
      <c r="U1798" s="199"/>
    </row>
    <row r="1799" spans="1:21" x14ac:dyDescent="0.25">
      <c r="A1799" t="s">
        <v>996</v>
      </c>
      <c r="B1799" t="s">
        <v>997</v>
      </c>
      <c r="C1799" t="s">
        <v>1005</v>
      </c>
      <c r="D1799">
        <v>7330</v>
      </c>
      <c r="E1799">
        <v>260</v>
      </c>
      <c r="F1799" t="s">
        <v>1293</v>
      </c>
      <c r="G1799" t="s">
        <v>1294</v>
      </c>
      <c r="H1799" s="315" t="s">
        <v>16</v>
      </c>
      <c r="I1799" s="315" t="s">
        <v>1295</v>
      </c>
      <c r="J1799" s="315" t="str">
        <f t="shared" si="156"/>
        <v>F&amp;IOther Expenses per vehicle retailed</v>
      </c>
      <c r="K1799" s="315" t="str">
        <f t="shared" si="157"/>
        <v>260F&amp;I Other expenses - Toyota</v>
      </c>
      <c r="L1799" s="311">
        <f>+SUMIF('TUNZ Extracted TB'!M:M,$P1799,'TUNZ Extracted TB'!G:G)</f>
        <v>0</v>
      </c>
      <c r="M1799" s="311"/>
      <c r="N1799" s="311">
        <f>+SUMIF('Input Sheet'!$AE:$AE,P1799,'Input Sheet'!$X:$X)</f>
        <v>0</v>
      </c>
      <c r="O1799" s="311"/>
      <c r="P1799" t="str">
        <f t="shared" si="158"/>
        <v>260-7330</v>
      </c>
      <c r="Q1799" s="315" t="str">
        <f t="shared" si="159"/>
        <v>F&amp;I</v>
      </c>
      <c r="R1799" s="315" t="str">
        <f t="shared" si="160"/>
        <v>F&amp;IOther Expenses per vehicle retailed</v>
      </c>
      <c r="S1799" s="199"/>
      <c r="T1799" s="199"/>
      <c r="U1799" s="199"/>
    </row>
    <row r="1800" spans="1:21" x14ac:dyDescent="0.25">
      <c r="A1800" t="s">
        <v>996</v>
      </c>
      <c r="B1800" t="s">
        <v>997</v>
      </c>
      <c r="C1800" t="s">
        <v>1012</v>
      </c>
      <c r="D1800">
        <v>7330</v>
      </c>
      <c r="E1800">
        <v>460</v>
      </c>
      <c r="F1800" t="s">
        <v>1293</v>
      </c>
      <c r="G1800" t="s">
        <v>1294</v>
      </c>
      <c r="H1800" s="315" t="s">
        <v>16</v>
      </c>
      <c r="I1800" s="315" t="s">
        <v>1295</v>
      </c>
      <c r="J1800" s="315" t="str">
        <f t="shared" si="156"/>
        <v>F&amp;IOther Expenses per vehicle retailed</v>
      </c>
      <c r="K1800" s="315" t="str">
        <f t="shared" si="157"/>
        <v>460F&amp;I Other expenses - Toyota</v>
      </c>
      <c r="L1800" s="311">
        <f>+SUMIF('TUNZ Extracted TB'!M:M,$P1800,'TUNZ Extracted TB'!G:G)</f>
        <v>0</v>
      </c>
      <c r="M1800" s="311"/>
      <c r="N1800" s="311">
        <f>+SUMIF('Input Sheet'!$AE:$AE,P1800,'Input Sheet'!$X:$X)</f>
        <v>0</v>
      </c>
      <c r="O1800" s="311"/>
      <c r="P1800" t="str">
        <f t="shared" si="158"/>
        <v>460-7330</v>
      </c>
      <c r="Q1800" s="315" t="str">
        <f t="shared" si="159"/>
        <v>F&amp;I</v>
      </c>
      <c r="R1800" s="315" t="str">
        <f t="shared" si="160"/>
        <v>F&amp;IOther Expenses per vehicle retailed</v>
      </c>
      <c r="S1800" s="199"/>
      <c r="T1800" s="199"/>
      <c r="U1800" s="199"/>
    </row>
    <row r="1801" spans="1:21" x14ac:dyDescent="0.25">
      <c r="A1801" t="s">
        <v>996</v>
      </c>
      <c r="B1801" t="s">
        <v>997</v>
      </c>
      <c r="C1801" t="s">
        <v>1013</v>
      </c>
      <c r="D1801">
        <v>7330</v>
      </c>
      <c r="E1801">
        <v>360</v>
      </c>
      <c r="F1801" t="s">
        <v>1293</v>
      </c>
      <c r="G1801" t="s">
        <v>1294</v>
      </c>
      <c r="H1801" s="315" t="s">
        <v>16</v>
      </c>
      <c r="I1801" s="315" t="s">
        <v>1295</v>
      </c>
      <c r="J1801" s="315" t="str">
        <f t="shared" si="156"/>
        <v>F&amp;IOther Expenses per vehicle retailed</v>
      </c>
      <c r="K1801" s="315" t="str">
        <f t="shared" si="157"/>
        <v>360F&amp;I Other expenses - Toyota</v>
      </c>
      <c r="L1801" s="311">
        <f>+SUMIF('TUNZ Extracted TB'!M:M,$P1801,'TUNZ Extracted TB'!G:G)</f>
        <v>0</v>
      </c>
      <c r="M1801" s="311"/>
      <c r="N1801" s="311">
        <f>+SUMIF('Input Sheet'!$AE:$AE,P1801,'Input Sheet'!$X:$X)</f>
        <v>0</v>
      </c>
      <c r="O1801" s="311"/>
      <c r="P1801" t="str">
        <f t="shared" si="158"/>
        <v>360-7330</v>
      </c>
      <c r="Q1801" s="315" t="str">
        <f t="shared" si="159"/>
        <v>F&amp;I</v>
      </c>
      <c r="R1801" s="315" t="str">
        <f t="shared" si="160"/>
        <v>F&amp;IOther Expenses per vehicle retailed</v>
      </c>
      <c r="S1801" s="199"/>
      <c r="T1801" s="199"/>
      <c r="U1801" s="199"/>
    </row>
    <row r="1802" spans="1:21" x14ac:dyDescent="0.25">
      <c r="A1802" t="s">
        <v>996</v>
      </c>
      <c r="B1802" t="s">
        <v>997</v>
      </c>
      <c r="C1802" t="s">
        <v>997</v>
      </c>
      <c r="D1802">
        <v>7330</v>
      </c>
      <c r="E1802">
        <v>160</v>
      </c>
      <c r="F1802" t="s">
        <v>1293</v>
      </c>
      <c r="G1802" t="s">
        <v>1294</v>
      </c>
      <c r="H1802" s="315" t="s">
        <v>16</v>
      </c>
      <c r="I1802" s="315" t="s">
        <v>1295</v>
      </c>
      <c r="J1802" s="315" t="str">
        <f t="shared" si="156"/>
        <v>F&amp;IOther Expenses per vehicle retailed</v>
      </c>
      <c r="K1802" s="315" t="str">
        <f t="shared" si="157"/>
        <v>160F&amp;I Other expenses - Toyota</v>
      </c>
      <c r="L1802" s="311">
        <f>+SUMIF('TUNZ Extracted TB'!M:M,$P1802,'TUNZ Extracted TB'!G:G)</f>
        <v>0</v>
      </c>
      <c r="M1802" s="311"/>
      <c r="N1802" s="311">
        <f>+SUMIF('Input Sheet'!$AE:$AE,P1802,'Input Sheet'!$X:$X)</f>
        <v>0</v>
      </c>
      <c r="O1802" s="311"/>
      <c r="P1802" t="str">
        <f t="shared" si="158"/>
        <v>160-7330</v>
      </c>
      <c r="Q1802" s="315" t="str">
        <f t="shared" si="159"/>
        <v>F&amp;I</v>
      </c>
      <c r="R1802" s="315" t="str">
        <f t="shared" si="160"/>
        <v>F&amp;IOther Expenses per vehicle retailed</v>
      </c>
      <c r="S1802" s="199"/>
      <c r="T1802" s="199"/>
      <c r="U1802" s="199"/>
    </row>
    <row r="1803" spans="1:21" x14ac:dyDescent="0.25">
      <c r="A1803" t="s">
        <v>996</v>
      </c>
      <c r="B1803" t="s">
        <v>997</v>
      </c>
      <c r="C1803" t="s">
        <v>997</v>
      </c>
      <c r="D1803">
        <v>7330</v>
      </c>
      <c r="E1803">
        <v>122</v>
      </c>
      <c r="F1803" t="s">
        <v>1325</v>
      </c>
      <c r="G1803" t="s">
        <v>1326</v>
      </c>
      <c r="H1803" s="315" t="s">
        <v>1041</v>
      </c>
      <c r="I1803" s="315" t="s">
        <v>1327</v>
      </c>
      <c r="J1803" s="315" t="str">
        <f t="shared" si="156"/>
        <v>LEX Used VehicleOther Semi-Fixed expenses per retail</v>
      </c>
      <c r="K1803" s="315" t="str">
        <f t="shared" si="157"/>
        <v>122Lexus UV Other Semi-Fixed expenses</v>
      </c>
      <c r="L1803" s="311">
        <f>+SUMIF('TUNZ Extracted TB'!M:M,$P1803,'TUNZ Extracted TB'!G:G)</f>
        <v>0</v>
      </c>
      <c r="M1803" s="311"/>
      <c r="N1803" s="311">
        <f>+SUMIF('Input Sheet'!$AE:$AE,P1803,'Input Sheet'!$X:$X)</f>
        <v>0</v>
      </c>
      <c r="O1803" s="311"/>
      <c r="P1803" t="str">
        <f t="shared" si="158"/>
        <v>122-7330</v>
      </c>
      <c r="Q1803" s="315" t="str">
        <f t="shared" si="159"/>
        <v>LEX Used Vehicle</v>
      </c>
      <c r="R1803" s="315" t="str">
        <f t="shared" si="160"/>
        <v>LEX Used VehicleOther Semi-Fixed expenses per retail</v>
      </c>
      <c r="S1803" s="199"/>
      <c r="T1803" s="199"/>
      <c r="U1803" s="199"/>
    </row>
    <row r="1804" spans="1:21" x14ac:dyDescent="0.25">
      <c r="A1804" t="s">
        <v>996</v>
      </c>
      <c r="B1804" t="s">
        <v>997</v>
      </c>
      <c r="C1804" t="s">
        <v>997</v>
      </c>
      <c r="D1804">
        <v>7331</v>
      </c>
      <c r="E1804">
        <v>100</v>
      </c>
      <c r="F1804" t="s">
        <v>1277</v>
      </c>
      <c r="G1804" t="s">
        <v>1278</v>
      </c>
      <c r="H1804" s="315" t="s">
        <v>29</v>
      </c>
      <c r="I1804" s="315" t="s">
        <v>1279</v>
      </c>
      <c r="J1804" s="315" t="str">
        <f t="shared" si="156"/>
        <v>New VehicleOther Variable expenses p.u.</v>
      </c>
      <c r="K1804" s="315" t="str">
        <f t="shared" si="157"/>
        <v>100NV Other variable expenses - Toyota</v>
      </c>
      <c r="L1804" s="311">
        <f>+SUMIF('TUNZ Extracted TB'!M:M,$P1804,'TUNZ Extracted TB'!G:G)</f>
        <v>0</v>
      </c>
      <c r="M1804" s="311"/>
      <c r="N1804" s="311">
        <f>+SUMIF('Input Sheet'!$AE:$AE,P1804,'Input Sheet'!$X:$X)</f>
        <v>0</v>
      </c>
      <c r="O1804" s="311"/>
      <c r="P1804" t="str">
        <f t="shared" si="158"/>
        <v>100-7331</v>
      </c>
      <c r="Q1804" s="315" t="str">
        <f t="shared" si="159"/>
        <v>New Vehicle</v>
      </c>
      <c r="R1804" s="315" t="str">
        <f t="shared" si="160"/>
        <v>New VehicleOther Variable expenses p.u.</v>
      </c>
      <c r="S1804" s="199"/>
      <c r="T1804" s="199"/>
      <c r="U1804" s="199"/>
    </row>
    <row r="1805" spans="1:21" x14ac:dyDescent="0.25">
      <c r="A1805" t="s">
        <v>996</v>
      </c>
      <c r="B1805" t="s">
        <v>997</v>
      </c>
      <c r="C1805" t="s">
        <v>1005</v>
      </c>
      <c r="D1805">
        <v>7331</v>
      </c>
      <c r="E1805">
        <v>200</v>
      </c>
      <c r="F1805" t="s">
        <v>1277</v>
      </c>
      <c r="G1805" t="s">
        <v>1278</v>
      </c>
      <c r="H1805" s="315" t="s">
        <v>29</v>
      </c>
      <c r="I1805" s="315" t="s">
        <v>1279</v>
      </c>
      <c r="J1805" s="315" t="str">
        <f t="shared" si="156"/>
        <v>New VehicleOther Variable expenses p.u.</v>
      </c>
      <c r="K1805" s="315" t="str">
        <f t="shared" si="157"/>
        <v>200NV Other variable expenses - Toyota</v>
      </c>
      <c r="L1805" s="311">
        <f>+SUMIF('TUNZ Extracted TB'!M:M,$P1805,'TUNZ Extracted TB'!G:G)</f>
        <v>0</v>
      </c>
      <c r="M1805" s="311"/>
      <c r="N1805" s="311">
        <f>+SUMIF('Input Sheet'!$AE:$AE,P1805,'Input Sheet'!$X:$X)</f>
        <v>0</v>
      </c>
      <c r="O1805" s="311"/>
      <c r="P1805" t="str">
        <f t="shared" si="158"/>
        <v>200-7331</v>
      </c>
      <c r="Q1805" s="315" t="str">
        <f t="shared" si="159"/>
        <v>New Vehicle</v>
      </c>
      <c r="R1805" s="315" t="str">
        <f t="shared" si="160"/>
        <v>New VehicleOther Variable expenses p.u.</v>
      </c>
      <c r="S1805" s="199"/>
      <c r="T1805" s="199"/>
      <c r="U1805" s="199"/>
    </row>
    <row r="1806" spans="1:21" x14ac:dyDescent="0.25">
      <c r="A1806" t="s">
        <v>996</v>
      </c>
      <c r="B1806" t="s">
        <v>997</v>
      </c>
      <c r="C1806" t="s">
        <v>1012</v>
      </c>
      <c r="D1806">
        <v>7331</v>
      </c>
      <c r="E1806">
        <v>400</v>
      </c>
      <c r="F1806" t="s">
        <v>1277</v>
      </c>
      <c r="G1806" t="s">
        <v>1278</v>
      </c>
      <c r="H1806" s="315" t="s">
        <v>29</v>
      </c>
      <c r="I1806" s="315" t="s">
        <v>1279</v>
      </c>
      <c r="J1806" s="315" t="str">
        <f t="shared" si="156"/>
        <v>New VehicleOther Variable expenses p.u.</v>
      </c>
      <c r="K1806" s="315" t="str">
        <f t="shared" si="157"/>
        <v>400NV Other variable expenses - Toyota</v>
      </c>
      <c r="L1806" s="311">
        <f>+SUMIF('TUNZ Extracted TB'!M:M,$P1806,'TUNZ Extracted TB'!G:G)</f>
        <v>0</v>
      </c>
      <c r="M1806" s="311"/>
      <c r="N1806" s="311">
        <f>+SUMIF('Input Sheet'!$AE:$AE,P1806,'Input Sheet'!$X:$X)</f>
        <v>0</v>
      </c>
      <c r="O1806" s="311"/>
      <c r="P1806" t="str">
        <f t="shared" si="158"/>
        <v>400-7331</v>
      </c>
      <c r="Q1806" s="315" t="str">
        <f t="shared" si="159"/>
        <v>New Vehicle</v>
      </c>
      <c r="R1806" s="315" t="str">
        <f t="shared" si="160"/>
        <v>New VehicleOther Variable expenses p.u.</v>
      </c>
      <c r="S1806" s="199"/>
      <c r="T1806" s="199"/>
      <c r="U1806" s="199"/>
    </row>
    <row r="1807" spans="1:21" x14ac:dyDescent="0.25">
      <c r="A1807" t="s">
        <v>996</v>
      </c>
      <c r="B1807" t="s">
        <v>997</v>
      </c>
      <c r="C1807" t="s">
        <v>997</v>
      </c>
      <c r="D1807">
        <v>7330</v>
      </c>
      <c r="E1807">
        <v>936</v>
      </c>
      <c r="F1807" t="s">
        <v>1175</v>
      </c>
      <c r="G1807" t="s">
        <v>1176</v>
      </c>
      <c r="H1807" s="315" t="s">
        <v>58</v>
      </c>
      <c r="I1807" s="315" t="s">
        <v>1286</v>
      </c>
      <c r="J1807" s="315" t="str">
        <f t="shared" si="156"/>
        <v>BridgestoneOther Expenses as % of Sales</v>
      </c>
      <c r="K1807" s="315" t="str">
        <f t="shared" si="157"/>
        <v>936Other franchise/business expense</v>
      </c>
      <c r="L1807" s="311">
        <f>+SUMIF('TUNZ Extracted TB'!M:M,$P1807,'TUNZ Extracted TB'!G:G)</f>
        <v>0</v>
      </c>
      <c r="M1807" s="311"/>
      <c r="N1807" s="311">
        <f>+SUMIF('Input Sheet'!$AE:$AE,P1807,'Input Sheet'!$X:$X)</f>
        <v>0</v>
      </c>
      <c r="O1807" s="311"/>
      <c r="P1807" t="str">
        <f t="shared" si="158"/>
        <v>936-7330</v>
      </c>
      <c r="Q1807" s="315" t="str">
        <f t="shared" si="159"/>
        <v>Bridgestone</v>
      </c>
      <c r="R1807" s="315" t="str">
        <f t="shared" si="160"/>
        <v>BridgestoneOther Expenses as % of Sales</v>
      </c>
      <c r="S1807" s="199"/>
      <c r="T1807" s="199"/>
      <c r="U1807" s="199"/>
    </row>
    <row r="1808" spans="1:21" x14ac:dyDescent="0.25">
      <c r="A1808" t="s">
        <v>996</v>
      </c>
      <c r="B1808" t="s">
        <v>997</v>
      </c>
      <c r="C1808" t="s">
        <v>997</v>
      </c>
      <c r="D1808">
        <v>7330</v>
      </c>
      <c r="E1808">
        <v>935</v>
      </c>
      <c r="F1808" t="s">
        <v>1175</v>
      </c>
      <c r="G1808" t="s">
        <v>1176</v>
      </c>
      <c r="H1808" s="315" t="s">
        <v>58</v>
      </c>
      <c r="I1808" s="315" t="s">
        <v>1286</v>
      </c>
      <c r="J1808" s="315" t="str">
        <f t="shared" si="156"/>
        <v>BridgestoneOther Expenses as % of Sales</v>
      </c>
      <c r="K1808" s="315" t="str">
        <f t="shared" si="157"/>
        <v>935Other franchise/business expense</v>
      </c>
      <c r="L1808" s="311">
        <f>+SUMIF('TUNZ Extracted TB'!M:M,$P1808,'TUNZ Extracted TB'!G:G)</f>
        <v>0</v>
      </c>
      <c r="M1808" s="311"/>
      <c r="N1808" s="311">
        <f>+SUMIF('Input Sheet'!$AE:$AE,P1808,'Input Sheet'!$X:$X)</f>
        <v>0</v>
      </c>
      <c r="O1808" s="311"/>
      <c r="P1808" t="str">
        <f t="shared" si="158"/>
        <v>935-7330</v>
      </c>
      <c r="Q1808" s="315" t="str">
        <f t="shared" si="159"/>
        <v>Bridgestone</v>
      </c>
      <c r="R1808" s="315" t="str">
        <f t="shared" si="160"/>
        <v>BridgestoneOther Expenses as % of Sales</v>
      </c>
      <c r="S1808" s="199"/>
      <c r="T1808" s="199"/>
      <c r="U1808" s="199"/>
    </row>
    <row r="1809" spans="1:21" x14ac:dyDescent="0.25">
      <c r="A1809" t="s">
        <v>996</v>
      </c>
      <c r="B1809" t="s">
        <v>997</v>
      </c>
      <c r="C1809" t="s">
        <v>1005</v>
      </c>
      <c r="D1809">
        <v>7330</v>
      </c>
      <c r="E1809">
        <v>230</v>
      </c>
      <c r="F1809" t="s">
        <v>1291</v>
      </c>
      <c r="G1809" t="s">
        <v>1292</v>
      </c>
      <c r="H1809" s="315" t="s">
        <v>5</v>
      </c>
      <c r="I1809" s="315" t="s">
        <v>1286</v>
      </c>
      <c r="J1809" s="315" t="str">
        <f t="shared" si="156"/>
        <v>PartsOther Expenses as % of Sales</v>
      </c>
      <c r="K1809" s="315" t="str">
        <f t="shared" si="157"/>
        <v>230Parts Other Expenses - Toyota</v>
      </c>
      <c r="L1809" s="311">
        <f>+SUMIF('TUNZ Extracted TB'!M:M,$P1809,'TUNZ Extracted TB'!G:G)</f>
        <v>0</v>
      </c>
      <c r="M1809" s="311"/>
      <c r="N1809" s="311">
        <f>+SUMIF('Input Sheet'!$AE:$AE,P1809,'Input Sheet'!$X:$X)</f>
        <v>0</v>
      </c>
      <c r="O1809" s="311"/>
      <c r="P1809" t="str">
        <f t="shared" si="158"/>
        <v>230-7330</v>
      </c>
      <c r="Q1809" s="315" t="str">
        <f t="shared" si="159"/>
        <v>Parts</v>
      </c>
      <c r="R1809" s="315" t="str">
        <f t="shared" si="160"/>
        <v>PartsOther Expenses as % of Sales</v>
      </c>
      <c r="S1809" s="199"/>
      <c r="T1809" s="199"/>
      <c r="U1809" s="199"/>
    </row>
    <row r="1810" spans="1:21" x14ac:dyDescent="0.25">
      <c r="A1810" t="s">
        <v>996</v>
      </c>
      <c r="B1810" t="s">
        <v>997</v>
      </c>
      <c r="C1810" t="s">
        <v>1012</v>
      </c>
      <c r="D1810">
        <v>7330</v>
      </c>
      <c r="E1810">
        <v>430</v>
      </c>
      <c r="F1810" t="s">
        <v>1291</v>
      </c>
      <c r="G1810" t="s">
        <v>1292</v>
      </c>
      <c r="H1810" s="315" t="s">
        <v>5</v>
      </c>
      <c r="I1810" s="315" t="s">
        <v>1286</v>
      </c>
      <c r="J1810" s="315" t="str">
        <f t="shared" si="156"/>
        <v>PartsOther Expenses as % of Sales</v>
      </c>
      <c r="K1810" s="315" t="str">
        <f t="shared" si="157"/>
        <v>430Parts Other Expenses - Toyota</v>
      </c>
      <c r="L1810" s="311">
        <f>+SUMIF('TUNZ Extracted TB'!M:M,$P1810,'TUNZ Extracted TB'!G:G)</f>
        <v>0</v>
      </c>
      <c r="M1810" s="311"/>
      <c r="N1810" s="311">
        <f>+SUMIF('Input Sheet'!$AE:$AE,P1810,'Input Sheet'!$X:$X)</f>
        <v>0</v>
      </c>
      <c r="O1810" s="311"/>
      <c r="P1810" t="str">
        <f t="shared" si="158"/>
        <v>430-7330</v>
      </c>
      <c r="Q1810" s="315" t="str">
        <f t="shared" si="159"/>
        <v>Parts</v>
      </c>
      <c r="R1810" s="315" t="str">
        <f t="shared" si="160"/>
        <v>PartsOther Expenses as % of Sales</v>
      </c>
      <c r="S1810" s="199"/>
      <c r="T1810" s="199"/>
      <c r="U1810" s="199"/>
    </row>
    <row r="1811" spans="1:21" x14ac:dyDescent="0.25">
      <c r="A1811" t="s">
        <v>996</v>
      </c>
      <c r="B1811" t="s">
        <v>997</v>
      </c>
      <c r="C1811" t="s">
        <v>1013</v>
      </c>
      <c r="D1811">
        <v>7330</v>
      </c>
      <c r="E1811">
        <v>330</v>
      </c>
      <c r="F1811" t="s">
        <v>1291</v>
      </c>
      <c r="G1811" t="s">
        <v>1292</v>
      </c>
      <c r="H1811" s="315" t="s">
        <v>5</v>
      </c>
      <c r="I1811" s="315" t="s">
        <v>1286</v>
      </c>
      <c r="J1811" s="315" t="str">
        <f t="shared" si="156"/>
        <v>PartsOther Expenses as % of Sales</v>
      </c>
      <c r="K1811" s="315" t="str">
        <f t="shared" si="157"/>
        <v>330Parts Other Expenses - Toyota</v>
      </c>
      <c r="L1811" s="311">
        <f>+SUMIF('TUNZ Extracted TB'!M:M,$P1811,'TUNZ Extracted TB'!G:G)</f>
        <v>0</v>
      </c>
      <c r="M1811" s="311"/>
      <c r="N1811" s="311">
        <f>+SUMIF('Input Sheet'!$AE:$AE,P1811,'Input Sheet'!$X:$X)</f>
        <v>0</v>
      </c>
      <c r="O1811" s="311"/>
      <c r="P1811" t="str">
        <f t="shared" si="158"/>
        <v>330-7330</v>
      </c>
      <c r="Q1811" s="315" t="str">
        <f t="shared" si="159"/>
        <v>Parts</v>
      </c>
      <c r="R1811" s="315" t="str">
        <f t="shared" si="160"/>
        <v>PartsOther Expenses as % of Sales</v>
      </c>
      <c r="S1811" s="199"/>
      <c r="T1811" s="199"/>
      <c r="U1811" s="199"/>
    </row>
    <row r="1812" spans="1:21" x14ac:dyDescent="0.25">
      <c r="A1812" t="s">
        <v>996</v>
      </c>
      <c r="B1812" t="s">
        <v>997</v>
      </c>
      <c r="C1812" t="s">
        <v>997</v>
      </c>
      <c r="D1812">
        <v>7330</v>
      </c>
      <c r="E1812">
        <v>147</v>
      </c>
      <c r="F1812" t="s">
        <v>1289</v>
      </c>
      <c r="G1812" t="s">
        <v>1290</v>
      </c>
      <c r="H1812" s="315" t="s">
        <v>17</v>
      </c>
      <c r="I1812" s="315" t="s">
        <v>1286</v>
      </c>
      <c r="J1812" s="315" t="str">
        <f t="shared" si="156"/>
        <v>ServiceOther Expenses as % of Sales</v>
      </c>
      <c r="K1812" s="315" t="str">
        <f t="shared" si="157"/>
        <v>147Service Other expenses - Toyota</v>
      </c>
      <c r="L1812" s="311">
        <f>+SUMIF('TUNZ Extracted TB'!M:M,$P1812,'TUNZ Extracted TB'!G:G)</f>
        <v>0</v>
      </c>
      <c r="M1812" s="311"/>
      <c r="N1812" s="311">
        <f>+SUMIF('Input Sheet'!$AE:$AE,P1812,'Input Sheet'!$X:$X)</f>
        <v>0</v>
      </c>
      <c r="O1812" s="311"/>
      <c r="P1812" t="str">
        <f t="shared" si="158"/>
        <v>147-7330</v>
      </c>
      <c r="Q1812" s="315" t="str">
        <f t="shared" si="159"/>
        <v>Service</v>
      </c>
      <c r="R1812" s="315" t="str">
        <f t="shared" si="160"/>
        <v>ServiceOther Expenses as % of Sales</v>
      </c>
      <c r="S1812" s="199"/>
      <c r="T1812" s="199"/>
      <c r="U1812" s="199"/>
    </row>
    <row r="1813" spans="1:21" x14ac:dyDescent="0.25">
      <c r="A1813" t="s">
        <v>996</v>
      </c>
      <c r="B1813" t="s">
        <v>997</v>
      </c>
      <c r="C1813" t="s">
        <v>1005</v>
      </c>
      <c r="D1813">
        <v>7330</v>
      </c>
      <c r="E1813">
        <v>240</v>
      </c>
      <c r="F1813" t="s">
        <v>1289</v>
      </c>
      <c r="G1813" t="s">
        <v>1290</v>
      </c>
      <c r="H1813" s="315" t="s">
        <v>17</v>
      </c>
      <c r="I1813" s="315" t="s">
        <v>1286</v>
      </c>
      <c r="J1813" s="315" t="str">
        <f t="shared" si="156"/>
        <v>ServiceOther Expenses as % of Sales</v>
      </c>
      <c r="K1813" s="315" t="str">
        <f t="shared" si="157"/>
        <v>240Service Other expenses - Toyota</v>
      </c>
      <c r="L1813" s="311">
        <f>+SUMIF('TUNZ Extracted TB'!M:M,$P1813,'TUNZ Extracted TB'!G:G)</f>
        <v>0</v>
      </c>
      <c r="M1813" s="311"/>
      <c r="N1813" s="311">
        <f>+SUMIF('Input Sheet'!$AE:$AE,P1813,'Input Sheet'!$X:$X)</f>
        <v>0</v>
      </c>
      <c r="O1813" s="311"/>
      <c r="P1813" t="str">
        <f t="shared" si="158"/>
        <v>240-7330</v>
      </c>
      <c r="Q1813" s="315" t="str">
        <f t="shared" si="159"/>
        <v>Service</v>
      </c>
      <c r="R1813" s="315" t="str">
        <f t="shared" si="160"/>
        <v>ServiceOther Expenses as % of Sales</v>
      </c>
      <c r="S1813" s="199"/>
      <c r="T1813" s="199"/>
      <c r="U1813" s="199"/>
    </row>
    <row r="1814" spans="1:21" x14ac:dyDescent="0.25">
      <c r="A1814" t="s">
        <v>996</v>
      </c>
      <c r="B1814" t="s">
        <v>997</v>
      </c>
      <c r="C1814" t="s">
        <v>1012</v>
      </c>
      <c r="D1814">
        <v>7330</v>
      </c>
      <c r="E1814">
        <v>440</v>
      </c>
      <c r="F1814" t="s">
        <v>1289</v>
      </c>
      <c r="G1814" t="s">
        <v>1290</v>
      </c>
      <c r="H1814" s="315" t="s">
        <v>17</v>
      </c>
      <c r="I1814" s="315" t="s">
        <v>1286</v>
      </c>
      <c r="J1814" s="315" t="str">
        <f t="shared" si="156"/>
        <v>ServiceOther Expenses as % of Sales</v>
      </c>
      <c r="K1814" s="315" t="str">
        <f t="shared" si="157"/>
        <v>440Service Other expenses - Toyota</v>
      </c>
      <c r="L1814" s="311">
        <f>+SUMIF('TUNZ Extracted TB'!M:M,$P1814,'TUNZ Extracted TB'!G:G)</f>
        <v>0</v>
      </c>
      <c r="M1814" s="311"/>
      <c r="N1814" s="311">
        <f>+SUMIF('Input Sheet'!$AE:$AE,P1814,'Input Sheet'!$X:$X)</f>
        <v>0</v>
      </c>
      <c r="O1814" s="311"/>
      <c r="P1814" t="str">
        <f t="shared" si="158"/>
        <v>440-7330</v>
      </c>
      <c r="Q1814" s="315" t="str">
        <f t="shared" si="159"/>
        <v>Service</v>
      </c>
      <c r="R1814" s="315" t="str">
        <f t="shared" si="160"/>
        <v>ServiceOther Expenses as % of Sales</v>
      </c>
      <c r="S1814" s="199"/>
      <c r="T1814" s="199"/>
      <c r="U1814" s="199"/>
    </row>
    <row r="1815" spans="1:21" x14ac:dyDescent="0.25">
      <c r="A1815" t="s">
        <v>996</v>
      </c>
      <c r="B1815" t="s">
        <v>997</v>
      </c>
      <c r="C1815" t="s">
        <v>1013</v>
      </c>
      <c r="D1815">
        <v>7330</v>
      </c>
      <c r="E1815">
        <v>340</v>
      </c>
      <c r="F1815" t="s">
        <v>1289</v>
      </c>
      <c r="G1815" t="s">
        <v>1290</v>
      </c>
      <c r="H1815" s="315" t="s">
        <v>17</v>
      </c>
      <c r="I1815" s="315" t="s">
        <v>1286</v>
      </c>
      <c r="J1815" s="315" t="str">
        <f t="shared" si="156"/>
        <v>ServiceOther Expenses as % of Sales</v>
      </c>
      <c r="K1815" s="315" t="str">
        <f t="shared" si="157"/>
        <v>340Service Other expenses - Toyota</v>
      </c>
      <c r="L1815" s="311">
        <f>+SUMIF('TUNZ Extracted TB'!M:M,$P1815,'TUNZ Extracted TB'!G:G)</f>
        <v>0</v>
      </c>
      <c r="M1815" s="311"/>
      <c r="N1815" s="311">
        <f>+SUMIF('Input Sheet'!$AE:$AE,P1815,'Input Sheet'!$X:$X)</f>
        <v>0</v>
      </c>
      <c r="O1815" s="311"/>
      <c r="P1815" t="str">
        <f t="shared" si="158"/>
        <v>340-7330</v>
      </c>
      <c r="Q1815" s="315" t="str">
        <f t="shared" si="159"/>
        <v>Service</v>
      </c>
      <c r="R1815" s="315" t="str">
        <f t="shared" si="160"/>
        <v>ServiceOther Expenses as % of Sales</v>
      </c>
      <c r="S1815" s="199"/>
      <c r="T1815" s="199"/>
      <c r="U1815" s="199"/>
    </row>
    <row r="1816" spans="1:21" x14ac:dyDescent="0.25">
      <c r="A1816" t="s">
        <v>996</v>
      </c>
      <c r="B1816" t="s">
        <v>997</v>
      </c>
      <c r="C1816" t="s">
        <v>1005</v>
      </c>
      <c r="D1816">
        <v>7330</v>
      </c>
      <c r="E1816">
        <v>210</v>
      </c>
      <c r="F1816" t="s">
        <v>1328</v>
      </c>
      <c r="G1816" t="s">
        <v>1329</v>
      </c>
      <c r="H1816" s="315" t="s">
        <v>30</v>
      </c>
      <c r="I1816" s="315" t="s">
        <v>1327</v>
      </c>
      <c r="J1816" s="315" t="str">
        <f t="shared" si="156"/>
        <v>Used VehicleOther Semi-Fixed expenses per retail</v>
      </c>
      <c r="K1816" s="315" t="str">
        <f t="shared" si="157"/>
        <v>210Toyota UV Other Semi-Fixed expenses</v>
      </c>
      <c r="L1816" s="311">
        <f>+SUMIF('TUNZ Extracted TB'!M:M,$P1816,'TUNZ Extracted TB'!G:G)</f>
        <v>0</v>
      </c>
      <c r="M1816" s="311"/>
      <c r="N1816" s="311">
        <f>+SUMIF('Input Sheet'!$AE:$AE,P1816,'Input Sheet'!$X:$X)</f>
        <v>0</v>
      </c>
      <c r="O1816" s="311"/>
      <c r="P1816" t="str">
        <f t="shared" si="158"/>
        <v>210-7330</v>
      </c>
      <c r="Q1816" s="315" t="str">
        <f t="shared" si="159"/>
        <v>Used Vehicle</v>
      </c>
      <c r="R1816" s="315" t="str">
        <f t="shared" si="160"/>
        <v>Used VehicleOther Semi-Fixed expenses per retail</v>
      </c>
      <c r="S1816" s="199"/>
      <c r="T1816" s="199"/>
      <c r="U1816" s="199"/>
    </row>
    <row r="1817" spans="1:21" x14ac:dyDescent="0.25">
      <c r="A1817" t="s">
        <v>996</v>
      </c>
      <c r="B1817" t="s">
        <v>997</v>
      </c>
      <c r="C1817" t="s">
        <v>1005</v>
      </c>
      <c r="D1817">
        <v>7330</v>
      </c>
      <c r="E1817">
        <v>221</v>
      </c>
      <c r="F1817" t="s">
        <v>1328</v>
      </c>
      <c r="G1817" t="s">
        <v>1329</v>
      </c>
      <c r="H1817" s="315" t="s">
        <v>30</v>
      </c>
      <c r="I1817" s="315" t="s">
        <v>1327</v>
      </c>
      <c r="J1817" s="315" t="str">
        <f t="shared" si="156"/>
        <v>Used VehicleOther Semi-Fixed expenses per retail</v>
      </c>
      <c r="K1817" s="315" t="str">
        <f t="shared" si="157"/>
        <v>221Toyota UV Other Semi-Fixed expenses</v>
      </c>
      <c r="L1817" s="311">
        <f>+SUMIF('TUNZ Extracted TB'!M:M,$P1817,'TUNZ Extracted TB'!G:G)</f>
        <v>0</v>
      </c>
      <c r="M1817" s="311"/>
      <c r="N1817" s="311">
        <f>+SUMIF('Input Sheet'!$AE:$AE,P1817,'Input Sheet'!$X:$X)</f>
        <v>0</v>
      </c>
      <c r="O1817" s="311"/>
      <c r="P1817" t="str">
        <f t="shared" si="158"/>
        <v>221-7330</v>
      </c>
      <c r="Q1817" s="315" t="str">
        <f t="shared" si="159"/>
        <v>Used Vehicle</v>
      </c>
      <c r="R1817" s="315" t="str">
        <f t="shared" si="160"/>
        <v>Used VehicleOther Semi-Fixed expenses per retail</v>
      </c>
      <c r="S1817" s="199"/>
      <c r="T1817" s="199"/>
      <c r="U1817" s="199"/>
    </row>
    <row r="1818" spans="1:21" x14ac:dyDescent="0.25">
      <c r="A1818" t="s">
        <v>996</v>
      </c>
      <c r="B1818" t="s">
        <v>997</v>
      </c>
      <c r="C1818" t="s">
        <v>1012</v>
      </c>
      <c r="D1818">
        <v>7330</v>
      </c>
      <c r="E1818">
        <v>410</v>
      </c>
      <c r="F1818" t="s">
        <v>1328</v>
      </c>
      <c r="G1818" t="s">
        <v>1329</v>
      </c>
      <c r="H1818" s="315" t="s">
        <v>30</v>
      </c>
      <c r="I1818" s="315" t="s">
        <v>1327</v>
      </c>
      <c r="J1818" s="315" t="str">
        <f t="shared" si="156"/>
        <v>Used VehicleOther Semi-Fixed expenses per retail</v>
      </c>
      <c r="K1818" s="315" t="str">
        <f t="shared" si="157"/>
        <v>410Toyota UV Other Semi-Fixed expenses</v>
      </c>
      <c r="L1818" s="311">
        <f>+SUMIF('TUNZ Extracted TB'!M:M,$P1818,'TUNZ Extracted TB'!G:G)</f>
        <v>0</v>
      </c>
      <c r="M1818" s="311"/>
      <c r="N1818" s="311">
        <f>+SUMIF('Input Sheet'!$AE:$AE,P1818,'Input Sheet'!$X:$X)</f>
        <v>0</v>
      </c>
      <c r="O1818" s="311"/>
      <c r="P1818" t="str">
        <f t="shared" si="158"/>
        <v>410-7330</v>
      </c>
      <c r="Q1818" s="315" t="str">
        <f t="shared" si="159"/>
        <v>Used Vehicle</v>
      </c>
      <c r="R1818" s="315" t="str">
        <f t="shared" si="160"/>
        <v>Used VehicleOther Semi-Fixed expenses per retail</v>
      </c>
      <c r="S1818" s="199"/>
      <c r="T1818" s="199"/>
      <c r="U1818" s="199"/>
    </row>
    <row r="1819" spans="1:21" x14ac:dyDescent="0.25">
      <c r="A1819" t="s">
        <v>996</v>
      </c>
      <c r="B1819" t="s">
        <v>997</v>
      </c>
      <c r="C1819" t="s">
        <v>1012</v>
      </c>
      <c r="D1819">
        <v>7330</v>
      </c>
      <c r="E1819">
        <v>420</v>
      </c>
      <c r="F1819" t="s">
        <v>1328</v>
      </c>
      <c r="G1819" t="s">
        <v>1329</v>
      </c>
      <c r="H1819" s="315" t="s">
        <v>30</v>
      </c>
      <c r="I1819" s="315" t="s">
        <v>1327</v>
      </c>
      <c r="J1819" s="315" t="str">
        <f t="shared" si="156"/>
        <v>Used VehicleOther Semi-Fixed expenses per retail</v>
      </c>
      <c r="K1819" s="315" t="str">
        <f t="shared" si="157"/>
        <v>420Toyota UV Other Semi-Fixed expenses</v>
      </c>
      <c r="L1819" s="311">
        <f>+SUMIF('TUNZ Extracted TB'!M:M,$P1819,'TUNZ Extracted TB'!G:G)</f>
        <v>0</v>
      </c>
      <c r="M1819" s="311"/>
      <c r="N1819" s="311">
        <f>+SUMIF('Input Sheet'!$AE:$AE,P1819,'Input Sheet'!$X:$X)</f>
        <v>0</v>
      </c>
      <c r="O1819" s="311"/>
      <c r="P1819" t="str">
        <f t="shared" si="158"/>
        <v>420-7330</v>
      </c>
      <c r="Q1819" s="315" t="str">
        <f t="shared" si="159"/>
        <v>Used Vehicle</v>
      </c>
      <c r="R1819" s="315" t="str">
        <f t="shared" si="160"/>
        <v>Used VehicleOther Semi-Fixed expenses per retail</v>
      </c>
      <c r="S1819" s="199"/>
      <c r="T1819" s="199"/>
      <c r="U1819" s="199"/>
    </row>
    <row r="1820" spans="1:21" x14ac:dyDescent="0.25">
      <c r="A1820" t="s">
        <v>996</v>
      </c>
      <c r="B1820" t="s">
        <v>997</v>
      </c>
      <c r="C1820" t="s">
        <v>1012</v>
      </c>
      <c r="D1820">
        <v>7330</v>
      </c>
      <c r="E1820">
        <v>421</v>
      </c>
      <c r="F1820" t="s">
        <v>1328</v>
      </c>
      <c r="G1820" t="s">
        <v>1329</v>
      </c>
      <c r="H1820" s="315" t="s">
        <v>30</v>
      </c>
      <c r="I1820" s="315" t="s">
        <v>1327</v>
      </c>
      <c r="J1820" s="315" t="str">
        <f t="shared" si="156"/>
        <v>Used VehicleOther Semi-Fixed expenses per retail</v>
      </c>
      <c r="K1820" s="315" t="str">
        <f t="shared" si="157"/>
        <v>421Toyota UV Other Semi-Fixed expenses</v>
      </c>
      <c r="L1820" s="311">
        <f>+SUMIF('TUNZ Extracted TB'!M:M,$P1820,'TUNZ Extracted TB'!G:G)</f>
        <v>0</v>
      </c>
      <c r="M1820" s="311"/>
      <c r="N1820" s="311">
        <f>+SUMIF('Input Sheet'!$AE:$AE,P1820,'Input Sheet'!$X:$X)</f>
        <v>0</v>
      </c>
      <c r="O1820" s="311"/>
      <c r="P1820" t="str">
        <f t="shared" si="158"/>
        <v>421-7330</v>
      </c>
      <c r="Q1820" s="315" t="str">
        <f t="shared" si="159"/>
        <v>Used Vehicle</v>
      </c>
      <c r="R1820" s="315" t="str">
        <f t="shared" si="160"/>
        <v>Used VehicleOther Semi-Fixed expenses per retail</v>
      </c>
      <c r="S1820" s="199"/>
      <c r="T1820" s="199"/>
      <c r="U1820" s="199"/>
    </row>
    <row r="1821" spans="1:21" x14ac:dyDescent="0.25">
      <c r="A1821" t="s">
        <v>996</v>
      </c>
      <c r="B1821" t="s">
        <v>997</v>
      </c>
      <c r="C1821" t="s">
        <v>1013</v>
      </c>
      <c r="D1821">
        <v>7330</v>
      </c>
      <c r="E1821">
        <v>310</v>
      </c>
      <c r="F1821" t="s">
        <v>1328</v>
      </c>
      <c r="G1821" t="s">
        <v>1329</v>
      </c>
      <c r="H1821" s="315" t="s">
        <v>30</v>
      </c>
      <c r="I1821" s="315" t="s">
        <v>1327</v>
      </c>
      <c r="J1821" s="315" t="str">
        <f t="shared" si="156"/>
        <v>Used VehicleOther Semi-Fixed expenses per retail</v>
      </c>
      <c r="K1821" s="315" t="str">
        <f t="shared" si="157"/>
        <v>310Toyota UV Other Semi-Fixed expenses</v>
      </c>
      <c r="L1821" s="311">
        <f>+SUMIF('TUNZ Extracted TB'!M:M,$P1821,'TUNZ Extracted TB'!G:G)</f>
        <v>0</v>
      </c>
      <c r="M1821" s="311"/>
      <c r="N1821" s="311">
        <f>+SUMIF('Input Sheet'!$AE:$AE,P1821,'Input Sheet'!$X:$X)</f>
        <v>0</v>
      </c>
      <c r="O1821" s="311"/>
      <c r="P1821" t="str">
        <f t="shared" si="158"/>
        <v>310-7330</v>
      </c>
      <c r="Q1821" s="315" t="str">
        <f t="shared" si="159"/>
        <v>Used Vehicle</v>
      </c>
      <c r="R1821" s="315" t="str">
        <f t="shared" si="160"/>
        <v>Used VehicleOther Semi-Fixed expenses per retail</v>
      </c>
      <c r="S1821" s="199"/>
      <c r="T1821" s="199"/>
      <c r="U1821" s="199"/>
    </row>
    <row r="1822" spans="1:21" x14ac:dyDescent="0.25">
      <c r="A1822" t="s">
        <v>996</v>
      </c>
      <c r="B1822" t="s">
        <v>997</v>
      </c>
      <c r="C1822" t="s">
        <v>1013</v>
      </c>
      <c r="D1822">
        <v>7330</v>
      </c>
      <c r="E1822">
        <v>320</v>
      </c>
      <c r="F1822" t="s">
        <v>1328</v>
      </c>
      <c r="G1822" t="s">
        <v>1329</v>
      </c>
      <c r="H1822" s="315" t="s">
        <v>30</v>
      </c>
      <c r="I1822" s="315" t="s">
        <v>1327</v>
      </c>
      <c r="J1822" s="315" t="str">
        <f t="shared" si="156"/>
        <v>Used VehicleOther Semi-Fixed expenses per retail</v>
      </c>
      <c r="K1822" s="315" t="str">
        <f t="shared" si="157"/>
        <v>320Toyota UV Other Semi-Fixed expenses</v>
      </c>
      <c r="L1822" s="311">
        <f>+SUMIF('TUNZ Extracted TB'!M:M,$P1822,'TUNZ Extracted TB'!G:G)</f>
        <v>0</v>
      </c>
      <c r="M1822" s="311"/>
      <c r="N1822" s="311">
        <f>+SUMIF('Input Sheet'!$AE:$AE,P1822,'Input Sheet'!$X:$X)</f>
        <v>0</v>
      </c>
      <c r="O1822" s="311"/>
      <c r="P1822" t="str">
        <f t="shared" si="158"/>
        <v>320-7330</v>
      </c>
      <c r="Q1822" s="315" t="str">
        <f t="shared" si="159"/>
        <v>Used Vehicle</v>
      </c>
      <c r="R1822" s="315" t="str">
        <f t="shared" si="160"/>
        <v>Used VehicleOther Semi-Fixed expenses per retail</v>
      </c>
      <c r="S1822" s="199"/>
      <c r="T1822" s="199"/>
      <c r="U1822" s="199"/>
    </row>
    <row r="1823" spans="1:21" x14ac:dyDescent="0.25">
      <c r="A1823" t="s">
        <v>996</v>
      </c>
      <c r="B1823" t="s">
        <v>997</v>
      </c>
      <c r="C1823" t="s">
        <v>1013</v>
      </c>
      <c r="D1823">
        <v>7330</v>
      </c>
      <c r="E1823">
        <v>321</v>
      </c>
      <c r="F1823" t="s">
        <v>1328</v>
      </c>
      <c r="G1823" t="s">
        <v>1329</v>
      </c>
      <c r="H1823" s="315" t="s">
        <v>30</v>
      </c>
      <c r="I1823" s="315" t="s">
        <v>1327</v>
      </c>
      <c r="J1823" s="315" t="str">
        <f t="shared" si="156"/>
        <v>Used VehicleOther Semi-Fixed expenses per retail</v>
      </c>
      <c r="K1823" s="315" t="str">
        <f t="shared" si="157"/>
        <v>321Toyota UV Other Semi-Fixed expenses</v>
      </c>
      <c r="L1823" s="311">
        <f>+SUMIF('TUNZ Extracted TB'!M:M,$P1823,'TUNZ Extracted TB'!G:G)</f>
        <v>0</v>
      </c>
      <c r="M1823" s="311"/>
      <c r="N1823" s="311">
        <f>+SUMIF('Input Sheet'!$AE:$AE,P1823,'Input Sheet'!$X:$X)</f>
        <v>0</v>
      </c>
      <c r="O1823" s="311"/>
      <c r="P1823" t="str">
        <f t="shared" si="158"/>
        <v>321-7330</v>
      </c>
      <c r="Q1823" s="315" t="str">
        <f t="shared" si="159"/>
        <v>Used Vehicle</v>
      </c>
      <c r="R1823" s="315" t="str">
        <f t="shared" si="160"/>
        <v>Used VehicleOther Semi-Fixed expenses per retail</v>
      </c>
      <c r="S1823" s="199"/>
      <c r="T1823" s="199"/>
      <c r="U1823" s="199"/>
    </row>
    <row r="1824" spans="1:21" x14ac:dyDescent="0.25">
      <c r="A1824" t="s">
        <v>996</v>
      </c>
      <c r="B1824" t="s">
        <v>997</v>
      </c>
      <c r="C1824" t="s">
        <v>997</v>
      </c>
      <c r="D1824">
        <v>7330</v>
      </c>
      <c r="E1824">
        <v>120</v>
      </c>
      <c r="F1824" t="s">
        <v>1328</v>
      </c>
      <c r="G1824" t="s">
        <v>1329</v>
      </c>
      <c r="H1824" s="315" t="s">
        <v>30</v>
      </c>
      <c r="I1824" s="315" t="s">
        <v>1327</v>
      </c>
      <c r="J1824" s="315" t="str">
        <f t="shared" si="156"/>
        <v>Used VehicleOther Semi-Fixed expenses per retail</v>
      </c>
      <c r="K1824" s="315" t="str">
        <f t="shared" si="157"/>
        <v>120Toyota UV Other Semi-Fixed expenses</v>
      </c>
      <c r="L1824" s="311">
        <f>+SUMIF('TUNZ Extracted TB'!M:M,$P1824,'TUNZ Extracted TB'!G:G)</f>
        <v>0</v>
      </c>
      <c r="M1824" s="311"/>
      <c r="N1824" s="311">
        <f>+SUMIF('Input Sheet'!$AE:$AE,P1824,'Input Sheet'!$X:$X)</f>
        <v>0</v>
      </c>
      <c r="O1824" s="311"/>
      <c r="P1824" t="str">
        <f t="shared" si="158"/>
        <v>120-7330</v>
      </c>
      <c r="Q1824" s="315" t="str">
        <f t="shared" si="159"/>
        <v>Used Vehicle</v>
      </c>
      <c r="R1824" s="315" t="str">
        <f t="shared" si="160"/>
        <v>Used VehicleOther Semi-Fixed expenses per retail</v>
      </c>
      <c r="S1824" s="199"/>
      <c r="T1824" s="199"/>
      <c r="U1824" s="199"/>
    </row>
    <row r="1825" spans="1:21" x14ac:dyDescent="0.25">
      <c r="A1825" t="s">
        <v>996</v>
      </c>
      <c r="B1825" t="s">
        <v>997</v>
      </c>
      <c r="C1825" t="s">
        <v>997</v>
      </c>
      <c r="D1825">
        <v>7330</v>
      </c>
      <c r="E1825">
        <v>121</v>
      </c>
      <c r="F1825" t="s">
        <v>1328</v>
      </c>
      <c r="G1825" t="s">
        <v>1329</v>
      </c>
      <c r="H1825" s="315" t="s">
        <v>30</v>
      </c>
      <c r="I1825" s="315" t="s">
        <v>1327</v>
      </c>
      <c r="J1825" s="315" t="str">
        <f t="shared" si="156"/>
        <v>Used VehicleOther Semi-Fixed expenses per retail</v>
      </c>
      <c r="K1825" s="315" t="str">
        <f t="shared" si="157"/>
        <v>121Toyota UV Other Semi-Fixed expenses</v>
      </c>
      <c r="L1825" s="311">
        <f>+SUMIF('TUNZ Extracted TB'!M:M,$P1825,'TUNZ Extracted TB'!G:G)</f>
        <v>0</v>
      </c>
      <c r="M1825" s="311"/>
      <c r="N1825" s="311">
        <f>+SUMIF('Input Sheet'!$AE:$AE,P1825,'Input Sheet'!$X:$X)</f>
        <v>0</v>
      </c>
      <c r="O1825" s="311"/>
      <c r="P1825" t="str">
        <f t="shared" si="158"/>
        <v>121-7330</v>
      </c>
      <c r="Q1825" s="315" t="str">
        <f t="shared" si="159"/>
        <v>Used Vehicle</v>
      </c>
      <c r="R1825" s="315" t="str">
        <f t="shared" si="160"/>
        <v>Used VehicleOther Semi-Fixed expenses per retail</v>
      </c>
      <c r="S1825" s="199"/>
      <c r="T1825" s="199"/>
      <c r="U1825" s="199"/>
    </row>
    <row r="1826" spans="1:21" x14ac:dyDescent="0.25">
      <c r="A1826" t="s">
        <v>996</v>
      </c>
      <c r="B1826" t="s">
        <v>997</v>
      </c>
      <c r="C1826" t="s">
        <v>997</v>
      </c>
      <c r="D1826">
        <v>7331</v>
      </c>
      <c r="E1826">
        <v>140</v>
      </c>
      <c r="F1826" t="s">
        <v>1289</v>
      </c>
      <c r="G1826" t="s">
        <v>1290</v>
      </c>
      <c r="H1826" s="315" t="s">
        <v>17</v>
      </c>
      <c r="I1826" s="315" t="s">
        <v>1286</v>
      </c>
      <c r="J1826" s="315" t="str">
        <f t="shared" si="156"/>
        <v>ServiceOther Expenses as % of Sales</v>
      </c>
      <c r="K1826" s="315" t="str">
        <f t="shared" si="157"/>
        <v>140Service Other expenses - Toyota</v>
      </c>
      <c r="L1826" s="311">
        <f>+SUMIF('TUNZ Extracted TB'!M:M,$P1826,'TUNZ Extracted TB'!G:G)</f>
        <v>0</v>
      </c>
      <c r="M1826" s="311"/>
      <c r="N1826" s="311">
        <f>+SUMIF('Input Sheet'!$AE:$AE,P1826,'Input Sheet'!$X:$X)</f>
        <v>0</v>
      </c>
      <c r="O1826" s="311"/>
      <c r="P1826" t="str">
        <f t="shared" si="158"/>
        <v>140-7331</v>
      </c>
      <c r="Q1826" s="315" t="str">
        <f t="shared" si="159"/>
        <v>Service</v>
      </c>
      <c r="R1826" s="315" t="str">
        <f t="shared" si="160"/>
        <v>ServiceOther Expenses as % of Sales</v>
      </c>
      <c r="S1826" s="199"/>
      <c r="T1826" s="199"/>
      <c r="U1826" s="199"/>
    </row>
    <row r="1827" spans="1:21" x14ac:dyDescent="0.25">
      <c r="A1827" t="s">
        <v>996</v>
      </c>
      <c r="B1827" t="s">
        <v>997</v>
      </c>
      <c r="C1827" t="s">
        <v>997</v>
      </c>
      <c r="D1827">
        <v>7331</v>
      </c>
      <c r="E1827">
        <v>142</v>
      </c>
      <c r="F1827" t="s">
        <v>1284</v>
      </c>
      <c r="G1827" t="s">
        <v>1285</v>
      </c>
      <c r="H1827" s="315" t="s">
        <v>1022</v>
      </c>
      <c r="I1827" s="315" t="s">
        <v>1286</v>
      </c>
      <c r="J1827" s="315" t="str">
        <f t="shared" si="156"/>
        <v>Lex ServiceOther Expenses as % of Sales</v>
      </c>
      <c r="K1827" s="315" t="str">
        <f t="shared" si="157"/>
        <v>142Service Other expenses - Lexus</v>
      </c>
      <c r="L1827" s="311">
        <f>+SUMIF('TUNZ Extracted TB'!M:M,$P1827,'TUNZ Extracted TB'!G:G)</f>
        <v>0</v>
      </c>
      <c r="M1827" s="311"/>
      <c r="N1827" s="311">
        <f>+SUMIF('Input Sheet'!$AE:$AE,P1827,'Input Sheet'!$X:$X)</f>
        <v>0</v>
      </c>
      <c r="O1827" s="311"/>
      <c r="P1827" t="str">
        <f t="shared" si="158"/>
        <v>142-7331</v>
      </c>
      <c r="Q1827" s="315" t="str">
        <f t="shared" si="159"/>
        <v>Lex Service</v>
      </c>
      <c r="R1827" s="315" t="str">
        <f t="shared" si="160"/>
        <v>Lex ServiceOther Expenses as % of Sales</v>
      </c>
      <c r="S1827" s="199"/>
      <c r="T1827" s="199"/>
      <c r="U1827" s="199"/>
    </row>
    <row r="1828" spans="1:21" x14ac:dyDescent="0.25">
      <c r="A1828" t="s">
        <v>996</v>
      </c>
      <c r="B1828" t="s">
        <v>997</v>
      </c>
      <c r="C1828" t="s">
        <v>997</v>
      </c>
      <c r="D1828">
        <v>7331</v>
      </c>
      <c r="E1828">
        <v>132</v>
      </c>
      <c r="F1828" t="s">
        <v>1321</v>
      </c>
      <c r="G1828" t="s">
        <v>1322</v>
      </c>
      <c r="H1828" s="315" t="s">
        <v>143</v>
      </c>
      <c r="I1828" s="315" t="s">
        <v>1286</v>
      </c>
      <c r="J1828" s="315" t="str">
        <f t="shared" si="156"/>
        <v>LEX PartsOther Expenses as % of Sales</v>
      </c>
      <c r="K1828" s="315" t="str">
        <f t="shared" si="157"/>
        <v>132Parts Other Expenses - Lexus</v>
      </c>
      <c r="L1828" s="311">
        <f>+SUMIF('TUNZ Extracted TB'!M:M,$P1828,'TUNZ Extracted TB'!G:G)</f>
        <v>0</v>
      </c>
      <c r="M1828" s="311"/>
      <c r="N1828" s="311">
        <f>+SUMIF('Input Sheet'!$AE:$AE,P1828,'Input Sheet'!$X:$X)</f>
        <v>0</v>
      </c>
      <c r="O1828" s="311"/>
      <c r="P1828" t="str">
        <f t="shared" si="158"/>
        <v>132-7331</v>
      </c>
      <c r="Q1828" s="315" t="str">
        <f t="shared" si="159"/>
        <v>LEX Parts</v>
      </c>
      <c r="R1828" s="315" t="str">
        <f t="shared" si="160"/>
        <v>LEX PartsOther Expenses as % of Sales</v>
      </c>
      <c r="S1828" s="199"/>
      <c r="T1828" s="199"/>
      <c r="U1828" s="199"/>
    </row>
    <row r="1829" spans="1:21" x14ac:dyDescent="0.25">
      <c r="A1829" t="s">
        <v>996</v>
      </c>
      <c r="B1829" t="s">
        <v>997</v>
      </c>
      <c r="C1829" t="s">
        <v>997</v>
      </c>
      <c r="D1829">
        <v>7331</v>
      </c>
      <c r="E1829">
        <v>130</v>
      </c>
      <c r="F1829" t="s">
        <v>1291</v>
      </c>
      <c r="G1829" t="s">
        <v>1292</v>
      </c>
      <c r="H1829" s="315" t="s">
        <v>5</v>
      </c>
      <c r="I1829" s="315" t="s">
        <v>1286</v>
      </c>
      <c r="J1829" s="315" t="str">
        <f t="shared" si="156"/>
        <v>PartsOther Expenses as % of Sales</v>
      </c>
      <c r="K1829" s="315" t="str">
        <f t="shared" si="157"/>
        <v>130Parts Other Expenses - Toyota</v>
      </c>
      <c r="L1829" s="311">
        <f>+SUMIF('TUNZ Extracted TB'!M:M,$P1829,'TUNZ Extracted TB'!G:G)</f>
        <v>0</v>
      </c>
      <c r="M1829" s="311"/>
      <c r="N1829" s="311">
        <f>+SUMIF('Input Sheet'!$AE:$AE,P1829,'Input Sheet'!$X:$X)</f>
        <v>0</v>
      </c>
      <c r="O1829" s="311"/>
      <c r="P1829" t="str">
        <f t="shared" si="158"/>
        <v>130-7331</v>
      </c>
      <c r="Q1829" s="315" t="str">
        <f t="shared" si="159"/>
        <v>Parts</v>
      </c>
      <c r="R1829" s="315" t="str">
        <f t="shared" si="160"/>
        <v>PartsOther Expenses as % of Sales</v>
      </c>
      <c r="S1829" s="199"/>
      <c r="T1829" s="199"/>
      <c r="U1829" s="199"/>
    </row>
    <row r="1830" spans="1:21" x14ac:dyDescent="0.25">
      <c r="A1830" t="s">
        <v>996</v>
      </c>
      <c r="B1830" t="s">
        <v>997</v>
      </c>
      <c r="C1830" t="s">
        <v>1013</v>
      </c>
      <c r="D1830">
        <v>7331</v>
      </c>
      <c r="E1830">
        <v>300</v>
      </c>
      <c r="F1830" t="s">
        <v>1277</v>
      </c>
      <c r="G1830" t="s">
        <v>1278</v>
      </c>
      <c r="H1830" s="315" t="s">
        <v>29</v>
      </c>
      <c r="I1830" s="315" t="s">
        <v>1279</v>
      </c>
      <c r="J1830" s="315" t="str">
        <f t="shared" si="156"/>
        <v>New VehicleOther Variable expenses p.u.</v>
      </c>
      <c r="K1830" s="315" t="str">
        <f t="shared" si="157"/>
        <v>300NV Other variable expenses - Toyota</v>
      </c>
      <c r="L1830" s="311">
        <f>+SUMIF('TUNZ Extracted TB'!M:M,$P1830,'TUNZ Extracted TB'!G:G)</f>
        <v>0</v>
      </c>
      <c r="M1830" s="311"/>
      <c r="N1830" s="311">
        <f>+SUMIF('Input Sheet'!$AE:$AE,P1830,'Input Sheet'!$X:$X)</f>
        <v>0</v>
      </c>
      <c r="O1830" s="311"/>
      <c r="P1830" t="str">
        <f t="shared" si="158"/>
        <v>300-7331</v>
      </c>
      <c r="Q1830" s="315" t="str">
        <f t="shared" si="159"/>
        <v>New Vehicle</v>
      </c>
      <c r="R1830" s="315" t="str">
        <f t="shared" si="160"/>
        <v>New VehicleOther Variable expenses p.u.</v>
      </c>
      <c r="S1830" s="199"/>
      <c r="T1830" s="199"/>
      <c r="U1830" s="199"/>
    </row>
    <row r="1831" spans="1:21" x14ac:dyDescent="0.25">
      <c r="A1831" t="s">
        <v>996</v>
      </c>
      <c r="B1831" t="s">
        <v>997</v>
      </c>
      <c r="C1831" t="s">
        <v>1005</v>
      </c>
      <c r="D1831">
        <v>7332</v>
      </c>
      <c r="E1831">
        <v>210</v>
      </c>
      <c r="F1831" t="s">
        <v>1319</v>
      </c>
      <c r="G1831" t="s">
        <v>1320</v>
      </c>
      <c r="H1831" s="315" t="s">
        <v>29</v>
      </c>
      <c r="I1831" s="315" t="s">
        <v>1314</v>
      </c>
      <c r="J1831" s="315" t="str">
        <f t="shared" si="156"/>
        <v>New VehicleDemo Expenses (incl. interest) p.u.</v>
      </c>
      <c r="K1831" s="315" t="str">
        <f t="shared" si="157"/>
        <v>210NV Demo Expenses - Toyota</v>
      </c>
      <c r="L1831" s="311">
        <f>+SUMIF('TUNZ Extracted TB'!M:M,$P1831,'TUNZ Extracted TB'!G:G)</f>
        <v>798.79</v>
      </c>
      <c r="M1831" s="311"/>
      <c r="N1831" s="311">
        <f>+SUMIF('Input Sheet'!$AE:$AE,P1831,'Input Sheet'!$X:$X)</f>
        <v>0</v>
      </c>
      <c r="O1831" s="311"/>
      <c r="P1831" t="str">
        <f t="shared" si="158"/>
        <v>210-7332</v>
      </c>
      <c r="Q1831" s="315" t="str">
        <f t="shared" si="159"/>
        <v>New Vehicle</v>
      </c>
      <c r="R1831" s="315" t="str">
        <f t="shared" si="160"/>
        <v>New VehicleDemo Expenses (incl. interest) p.u.</v>
      </c>
      <c r="S1831" s="199"/>
      <c r="T1831" s="199"/>
      <c r="U1831" s="199"/>
    </row>
    <row r="1832" spans="1:21" x14ac:dyDescent="0.25">
      <c r="A1832" t="s">
        <v>996</v>
      </c>
      <c r="B1832" t="s">
        <v>997</v>
      </c>
      <c r="C1832" t="s">
        <v>997</v>
      </c>
      <c r="D1832">
        <v>7331</v>
      </c>
      <c r="E1832">
        <v>110</v>
      </c>
      <c r="F1832" t="s">
        <v>1165</v>
      </c>
      <c r="G1832" t="s">
        <v>1166</v>
      </c>
      <c r="H1832" s="315" t="s">
        <v>30</v>
      </c>
      <c r="I1832" s="315" t="s">
        <v>1167</v>
      </c>
      <c r="J1832" s="315" t="str">
        <f t="shared" si="156"/>
        <v>Used VehicleOther Variable expenses per retail</v>
      </c>
      <c r="K1832" s="315" t="str">
        <f t="shared" si="157"/>
        <v>110Toyota UV Other Variable expense</v>
      </c>
      <c r="L1832" s="311">
        <f>+SUMIF('TUNZ Extracted TB'!M:M,$P1832,'TUNZ Extracted TB'!G:G)</f>
        <v>0</v>
      </c>
      <c r="M1832" s="311"/>
      <c r="N1832" s="311">
        <f>+SUMIF('Input Sheet'!$AE:$AE,P1832,'Input Sheet'!$X:$X)</f>
        <v>0</v>
      </c>
      <c r="O1832" s="311"/>
      <c r="P1832" t="str">
        <f t="shared" si="158"/>
        <v>110-7331</v>
      </c>
      <c r="Q1832" s="315" t="str">
        <f t="shared" si="159"/>
        <v>Used Vehicle</v>
      </c>
      <c r="R1832" s="315" t="str">
        <f t="shared" si="160"/>
        <v>Used VehicleOther Variable expenses per retail</v>
      </c>
      <c r="S1832" s="199"/>
      <c r="T1832" s="199"/>
      <c r="U1832" s="199"/>
    </row>
    <row r="1833" spans="1:21" x14ac:dyDescent="0.25">
      <c r="A1833" t="s">
        <v>996</v>
      </c>
      <c r="B1833" t="s">
        <v>997</v>
      </c>
      <c r="C1833" t="s">
        <v>997</v>
      </c>
      <c r="D1833">
        <v>7331</v>
      </c>
      <c r="E1833">
        <v>162</v>
      </c>
      <c r="F1833" t="s">
        <v>1323</v>
      </c>
      <c r="G1833" t="s">
        <v>1324</v>
      </c>
      <c r="H1833" s="315" t="s">
        <v>142</v>
      </c>
      <c r="I1833" s="315" t="s">
        <v>1295</v>
      </c>
      <c r="J1833" s="315" t="str">
        <f t="shared" si="156"/>
        <v>LEX F&amp;IOther Expenses per vehicle retailed</v>
      </c>
      <c r="K1833" s="315" t="str">
        <f t="shared" si="157"/>
        <v>162F&amp;I Other expenses - Lexus</v>
      </c>
      <c r="L1833" s="311">
        <f>+SUMIF('TUNZ Extracted TB'!M:M,$P1833,'TUNZ Extracted TB'!G:G)</f>
        <v>0</v>
      </c>
      <c r="M1833" s="311"/>
      <c r="N1833" s="311">
        <f>+SUMIF('Input Sheet'!$AE:$AE,P1833,'Input Sheet'!$X:$X)</f>
        <v>0</v>
      </c>
      <c r="O1833" s="311"/>
      <c r="P1833" t="str">
        <f t="shared" si="158"/>
        <v>162-7331</v>
      </c>
      <c r="Q1833" s="315" t="str">
        <f t="shared" si="159"/>
        <v>LEX F&amp;I</v>
      </c>
      <c r="R1833" s="315" t="str">
        <f t="shared" si="160"/>
        <v>LEX F&amp;IOther Expenses per vehicle retailed</v>
      </c>
      <c r="S1833" s="199"/>
      <c r="T1833" s="199"/>
      <c r="U1833" s="199"/>
    </row>
    <row r="1834" spans="1:21" x14ac:dyDescent="0.25">
      <c r="A1834" t="s">
        <v>996</v>
      </c>
      <c r="B1834" t="s">
        <v>997</v>
      </c>
      <c r="C1834" t="s">
        <v>1005</v>
      </c>
      <c r="D1834">
        <v>7331</v>
      </c>
      <c r="E1834">
        <v>260</v>
      </c>
      <c r="F1834" t="s">
        <v>1293</v>
      </c>
      <c r="G1834" t="s">
        <v>1294</v>
      </c>
      <c r="H1834" s="315" t="s">
        <v>16</v>
      </c>
      <c r="I1834" s="315" t="s">
        <v>1295</v>
      </c>
      <c r="J1834" s="315" t="str">
        <f t="shared" si="156"/>
        <v>F&amp;IOther Expenses per vehicle retailed</v>
      </c>
      <c r="K1834" s="315" t="str">
        <f t="shared" si="157"/>
        <v>260F&amp;I Other expenses - Toyota</v>
      </c>
      <c r="L1834" s="311">
        <f>+SUMIF('TUNZ Extracted TB'!M:M,$P1834,'TUNZ Extracted TB'!G:G)</f>
        <v>0</v>
      </c>
      <c r="M1834" s="311"/>
      <c r="N1834" s="311">
        <f>+SUMIF('Input Sheet'!$AE:$AE,P1834,'Input Sheet'!$X:$X)</f>
        <v>0</v>
      </c>
      <c r="O1834" s="311"/>
      <c r="P1834" t="str">
        <f t="shared" si="158"/>
        <v>260-7331</v>
      </c>
      <c r="Q1834" s="315" t="str">
        <f t="shared" si="159"/>
        <v>F&amp;I</v>
      </c>
      <c r="R1834" s="315" t="str">
        <f t="shared" si="160"/>
        <v>F&amp;IOther Expenses per vehicle retailed</v>
      </c>
      <c r="S1834" s="199"/>
      <c r="T1834" s="199"/>
      <c r="U1834" s="199"/>
    </row>
    <row r="1835" spans="1:21" x14ac:dyDescent="0.25">
      <c r="A1835" t="s">
        <v>996</v>
      </c>
      <c r="B1835" t="s">
        <v>997</v>
      </c>
      <c r="C1835" t="s">
        <v>1012</v>
      </c>
      <c r="D1835">
        <v>7331</v>
      </c>
      <c r="E1835">
        <v>460</v>
      </c>
      <c r="F1835" t="s">
        <v>1293</v>
      </c>
      <c r="G1835" t="s">
        <v>1294</v>
      </c>
      <c r="H1835" s="315" t="s">
        <v>16</v>
      </c>
      <c r="I1835" s="315" t="s">
        <v>1295</v>
      </c>
      <c r="J1835" s="315" t="str">
        <f t="shared" si="156"/>
        <v>F&amp;IOther Expenses per vehicle retailed</v>
      </c>
      <c r="K1835" s="315" t="str">
        <f t="shared" si="157"/>
        <v>460F&amp;I Other expenses - Toyota</v>
      </c>
      <c r="L1835" s="311">
        <f>+SUMIF('TUNZ Extracted TB'!M:M,$P1835,'TUNZ Extracted TB'!G:G)</f>
        <v>0</v>
      </c>
      <c r="M1835" s="311"/>
      <c r="N1835" s="311">
        <f>+SUMIF('Input Sheet'!$AE:$AE,P1835,'Input Sheet'!$X:$X)</f>
        <v>0</v>
      </c>
      <c r="O1835" s="311"/>
      <c r="P1835" t="str">
        <f t="shared" si="158"/>
        <v>460-7331</v>
      </c>
      <c r="Q1835" s="315" t="str">
        <f t="shared" si="159"/>
        <v>F&amp;I</v>
      </c>
      <c r="R1835" s="315" t="str">
        <f t="shared" si="160"/>
        <v>F&amp;IOther Expenses per vehicle retailed</v>
      </c>
      <c r="S1835" s="199"/>
      <c r="T1835" s="199"/>
      <c r="U1835" s="199"/>
    </row>
    <row r="1836" spans="1:21" x14ac:dyDescent="0.25">
      <c r="A1836" t="s">
        <v>996</v>
      </c>
      <c r="B1836" t="s">
        <v>997</v>
      </c>
      <c r="C1836" t="s">
        <v>1013</v>
      </c>
      <c r="D1836">
        <v>7331</v>
      </c>
      <c r="E1836">
        <v>360</v>
      </c>
      <c r="F1836" t="s">
        <v>1293</v>
      </c>
      <c r="G1836" t="s">
        <v>1294</v>
      </c>
      <c r="H1836" s="315" t="s">
        <v>16</v>
      </c>
      <c r="I1836" s="315" t="s">
        <v>1295</v>
      </c>
      <c r="J1836" s="315" t="str">
        <f t="shared" si="156"/>
        <v>F&amp;IOther Expenses per vehicle retailed</v>
      </c>
      <c r="K1836" s="315" t="str">
        <f t="shared" si="157"/>
        <v>360F&amp;I Other expenses - Toyota</v>
      </c>
      <c r="L1836" s="311">
        <f>+SUMIF('TUNZ Extracted TB'!M:M,$P1836,'TUNZ Extracted TB'!G:G)</f>
        <v>0</v>
      </c>
      <c r="M1836" s="311"/>
      <c r="N1836" s="311">
        <f>+SUMIF('Input Sheet'!$AE:$AE,P1836,'Input Sheet'!$X:$X)</f>
        <v>0</v>
      </c>
      <c r="O1836" s="311"/>
      <c r="P1836" t="str">
        <f t="shared" si="158"/>
        <v>360-7331</v>
      </c>
      <c r="Q1836" s="315" t="str">
        <f t="shared" si="159"/>
        <v>F&amp;I</v>
      </c>
      <c r="R1836" s="315" t="str">
        <f t="shared" si="160"/>
        <v>F&amp;IOther Expenses per vehicle retailed</v>
      </c>
      <c r="S1836" s="199"/>
      <c r="T1836" s="199"/>
      <c r="U1836" s="199"/>
    </row>
    <row r="1837" spans="1:21" x14ac:dyDescent="0.25">
      <c r="A1837" t="s">
        <v>996</v>
      </c>
      <c r="B1837" t="s">
        <v>997</v>
      </c>
      <c r="C1837" t="s">
        <v>997</v>
      </c>
      <c r="D1837">
        <v>7331</v>
      </c>
      <c r="E1837">
        <v>160</v>
      </c>
      <c r="F1837" t="s">
        <v>1293</v>
      </c>
      <c r="G1837" t="s">
        <v>1294</v>
      </c>
      <c r="H1837" s="315" t="s">
        <v>16</v>
      </c>
      <c r="I1837" s="315" t="s">
        <v>1295</v>
      </c>
      <c r="J1837" s="315" t="str">
        <f t="shared" si="156"/>
        <v>F&amp;IOther Expenses per vehicle retailed</v>
      </c>
      <c r="K1837" s="315" t="str">
        <f t="shared" si="157"/>
        <v>160F&amp;I Other expenses - Toyota</v>
      </c>
      <c r="L1837" s="311">
        <f>+SUMIF('TUNZ Extracted TB'!M:M,$P1837,'TUNZ Extracted TB'!G:G)</f>
        <v>0</v>
      </c>
      <c r="M1837" s="311"/>
      <c r="N1837" s="311">
        <f>+SUMIF('Input Sheet'!$AE:$AE,P1837,'Input Sheet'!$X:$X)</f>
        <v>0</v>
      </c>
      <c r="O1837" s="311"/>
      <c r="P1837" t="str">
        <f t="shared" si="158"/>
        <v>160-7331</v>
      </c>
      <c r="Q1837" s="315" t="str">
        <f t="shared" si="159"/>
        <v>F&amp;I</v>
      </c>
      <c r="R1837" s="315" t="str">
        <f t="shared" si="160"/>
        <v>F&amp;IOther Expenses per vehicle retailed</v>
      </c>
      <c r="S1837" s="199"/>
      <c r="T1837" s="199"/>
      <c r="U1837" s="199"/>
    </row>
    <row r="1838" spans="1:21" x14ac:dyDescent="0.25">
      <c r="A1838" t="s">
        <v>996</v>
      </c>
      <c r="B1838" t="s">
        <v>997</v>
      </c>
      <c r="C1838" t="s">
        <v>997</v>
      </c>
      <c r="D1838">
        <v>7331</v>
      </c>
      <c r="E1838">
        <v>122</v>
      </c>
      <c r="F1838" t="s">
        <v>1282</v>
      </c>
      <c r="G1838" t="s">
        <v>1283</v>
      </c>
      <c r="H1838" s="315" t="s">
        <v>1041</v>
      </c>
      <c r="I1838" s="315" t="s">
        <v>1167</v>
      </c>
      <c r="J1838" s="315" t="str">
        <f t="shared" si="156"/>
        <v>LEX Used VehicleOther Variable expenses per retail</v>
      </c>
      <c r="K1838" s="315" t="str">
        <f t="shared" si="157"/>
        <v>122Lexus UV Other Variable expense</v>
      </c>
      <c r="L1838" s="311">
        <f>+SUMIF('TUNZ Extracted TB'!M:M,$P1838,'TUNZ Extracted TB'!G:G)</f>
        <v>0</v>
      </c>
      <c r="M1838" s="311"/>
      <c r="N1838" s="311">
        <f>+SUMIF('Input Sheet'!$AE:$AE,P1838,'Input Sheet'!$X:$X)</f>
        <v>0</v>
      </c>
      <c r="O1838" s="311"/>
      <c r="P1838" t="str">
        <f t="shared" si="158"/>
        <v>122-7331</v>
      </c>
      <c r="Q1838" s="315" t="str">
        <f t="shared" si="159"/>
        <v>LEX Used Vehicle</v>
      </c>
      <c r="R1838" s="315" t="str">
        <f t="shared" si="160"/>
        <v>LEX Used VehicleOther Variable expenses per retail</v>
      </c>
      <c r="S1838" s="199"/>
      <c r="T1838" s="199"/>
      <c r="U1838" s="199"/>
    </row>
    <row r="1839" spans="1:21" x14ac:dyDescent="0.25">
      <c r="A1839" t="s">
        <v>996</v>
      </c>
      <c r="B1839" t="s">
        <v>997</v>
      </c>
      <c r="C1839" t="s">
        <v>997</v>
      </c>
      <c r="D1839">
        <v>7331</v>
      </c>
      <c r="E1839">
        <v>170</v>
      </c>
      <c r="F1839" t="s">
        <v>998</v>
      </c>
      <c r="G1839" t="s">
        <v>999</v>
      </c>
      <c r="H1839" s="315" t="s">
        <v>1000</v>
      </c>
      <c r="I1839" s="315" t="s">
        <v>1001</v>
      </c>
      <c r="J1839" s="315" t="str">
        <f t="shared" si="156"/>
        <v>Admin &amp; OtherOther Overheads as % of Total Gross Profit</v>
      </c>
      <c r="K1839" s="315" t="str">
        <f t="shared" si="157"/>
        <v>170Miscellaneous expenses - Toyota</v>
      </c>
      <c r="L1839" s="311">
        <f>+SUMIF('TUNZ Extracted TB'!M:M,$P1839,'TUNZ Extracted TB'!G:G)</f>
        <v>0</v>
      </c>
      <c r="M1839" s="311"/>
      <c r="N1839" s="311">
        <f>+SUMIF('Input Sheet'!$AE:$AE,P1839,'Input Sheet'!$X:$X)</f>
        <v>0</v>
      </c>
      <c r="O1839" s="311"/>
      <c r="P1839" t="str">
        <f t="shared" si="158"/>
        <v>170-7331</v>
      </c>
      <c r="Q1839" s="315" t="str">
        <f t="shared" si="159"/>
        <v>Admin &amp; Other</v>
      </c>
      <c r="R1839" s="315" t="str">
        <f t="shared" si="160"/>
        <v>Admin &amp; OtherOther Overheads as % of Total Gross Profit</v>
      </c>
      <c r="S1839" s="199"/>
      <c r="T1839" s="199"/>
      <c r="U1839" s="199"/>
    </row>
    <row r="1840" spans="1:21" x14ac:dyDescent="0.25">
      <c r="A1840" t="s">
        <v>996</v>
      </c>
      <c r="B1840" t="s">
        <v>997</v>
      </c>
      <c r="C1840" t="s">
        <v>997</v>
      </c>
      <c r="D1840">
        <v>7332</v>
      </c>
      <c r="E1840">
        <v>112</v>
      </c>
      <c r="F1840" t="s">
        <v>1312</v>
      </c>
      <c r="G1840" t="s">
        <v>1313</v>
      </c>
      <c r="H1840" s="315" t="s">
        <v>1011</v>
      </c>
      <c r="I1840" s="315" t="s">
        <v>1314</v>
      </c>
      <c r="J1840" s="315" t="str">
        <f t="shared" si="156"/>
        <v>LEX New VehicleDemo Expenses (incl. interest) p.u.</v>
      </c>
      <c r="K1840" s="315" t="str">
        <f t="shared" si="157"/>
        <v>112NV Demo Expenses - Lexus</v>
      </c>
      <c r="L1840" s="311">
        <f>+SUMIF('TUNZ Extracted TB'!M:M,$P1840,'TUNZ Extracted TB'!G:G)</f>
        <v>2119.17</v>
      </c>
      <c r="M1840" s="311"/>
      <c r="N1840" s="311">
        <f>+SUMIF('Input Sheet'!$AE:$AE,P1840,'Input Sheet'!$X:$X)</f>
        <v>0</v>
      </c>
      <c r="O1840" s="311"/>
      <c r="P1840" t="str">
        <f t="shared" si="158"/>
        <v>112-7332</v>
      </c>
      <c r="Q1840" s="315" t="str">
        <f t="shared" si="159"/>
        <v>LEX New Vehicle</v>
      </c>
      <c r="R1840" s="315" t="str">
        <f t="shared" si="160"/>
        <v>LEX New VehicleDemo Expenses (incl. interest) p.u.</v>
      </c>
      <c r="S1840" s="199"/>
      <c r="T1840" s="199"/>
      <c r="U1840" s="199"/>
    </row>
    <row r="1841" spans="1:21" x14ac:dyDescent="0.25">
      <c r="A1841" t="s">
        <v>996</v>
      </c>
      <c r="B1841" t="s">
        <v>997</v>
      </c>
      <c r="C1841" t="s">
        <v>997</v>
      </c>
      <c r="D1841">
        <v>7332</v>
      </c>
      <c r="E1841">
        <v>110</v>
      </c>
      <c r="F1841" t="s">
        <v>1319</v>
      </c>
      <c r="G1841" t="s">
        <v>1320</v>
      </c>
      <c r="H1841" s="315" t="s">
        <v>29</v>
      </c>
      <c r="I1841" s="315" t="s">
        <v>1314</v>
      </c>
      <c r="J1841" s="315" t="str">
        <f t="shared" si="156"/>
        <v>New VehicleDemo Expenses (incl. interest) p.u.</v>
      </c>
      <c r="K1841" s="315" t="str">
        <f t="shared" si="157"/>
        <v>110NV Demo Expenses - Toyota</v>
      </c>
      <c r="L1841" s="311">
        <f>+SUMIF('TUNZ Extracted TB'!M:M,$P1841,'TUNZ Extracted TB'!G:G)</f>
        <v>4326.63</v>
      </c>
      <c r="M1841" s="311"/>
      <c r="N1841" s="311">
        <f>+SUMIF('Input Sheet'!$AE:$AE,P1841,'Input Sheet'!$X:$X)</f>
        <v>0</v>
      </c>
      <c r="O1841" s="311"/>
      <c r="P1841" t="str">
        <f t="shared" si="158"/>
        <v>110-7332</v>
      </c>
      <c r="Q1841" s="315" t="str">
        <f t="shared" si="159"/>
        <v>New Vehicle</v>
      </c>
      <c r="R1841" s="315" t="str">
        <f t="shared" si="160"/>
        <v>New VehicleDemo Expenses (incl. interest) p.u.</v>
      </c>
      <c r="S1841" s="199"/>
      <c r="T1841" s="199"/>
      <c r="U1841" s="199"/>
    </row>
    <row r="1842" spans="1:21" x14ac:dyDescent="0.25">
      <c r="A1842" t="s">
        <v>996</v>
      </c>
      <c r="B1842" t="s">
        <v>997</v>
      </c>
      <c r="C1842" t="s">
        <v>997</v>
      </c>
      <c r="D1842">
        <v>7332</v>
      </c>
      <c r="E1842">
        <v>100</v>
      </c>
      <c r="F1842" t="s">
        <v>1319</v>
      </c>
      <c r="G1842" t="s">
        <v>1320</v>
      </c>
      <c r="H1842" s="315" t="s">
        <v>29</v>
      </c>
      <c r="I1842" s="315" t="s">
        <v>1314</v>
      </c>
      <c r="J1842" s="315" t="str">
        <f t="shared" si="156"/>
        <v>New VehicleDemo Expenses (incl. interest) p.u.</v>
      </c>
      <c r="K1842" s="315" t="str">
        <f t="shared" si="157"/>
        <v>100NV Demo Expenses - Toyota</v>
      </c>
      <c r="L1842" s="311">
        <f>+SUMIF('TUNZ Extracted TB'!M:M,$P1842,'TUNZ Extracted TB'!G:G)</f>
        <v>0</v>
      </c>
      <c r="M1842" s="311"/>
      <c r="N1842" s="311">
        <f>+SUMIF('Input Sheet'!$AE:$AE,P1842,'Input Sheet'!$X:$X)</f>
        <v>0</v>
      </c>
      <c r="O1842" s="311"/>
      <c r="P1842" t="str">
        <f t="shared" si="158"/>
        <v>100-7332</v>
      </c>
      <c r="Q1842" s="315" t="str">
        <f t="shared" si="159"/>
        <v>New Vehicle</v>
      </c>
      <c r="R1842" s="315" t="str">
        <f t="shared" si="160"/>
        <v>New VehicleDemo Expenses (incl. interest) p.u.</v>
      </c>
      <c r="S1842" s="199"/>
      <c r="T1842" s="199"/>
      <c r="U1842" s="199"/>
    </row>
    <row r="1843" spans="1:21" x14ac:dyDescent="0.25">
      <c r="A1843" t="s">
        <v>996</v>
      </c>
      <c r="B1843" t="s">
        <v>997</v>
      </c>
      <c r="C1843" t="s">
        <v>997</v>
      </c>
      <c r="D1843">
        <v>7331</v>
      </c>
      <c r="E1843">
        <v>936</v>
      </c>
      <c r="F1843" t="s">
        <v>1175</v>
      </c>
      <c r="G1843" t="s">
        <v>1176</v>
      </c>
      <c r="H1843" s="315" t="s">
        <v>58</v>
      </c>
      <c r="I1843" s="315" t="s">
        <v>1286</v>
      </c>
      <c r="J1843" s="315" t="str">
        <f t="shared" si="156"/>
        <v>BridgestoneOther Expenses as % of Sales</v>
      </c>
      <c r="K1843" s="315" t="str">
        <f t="shared" si="157"/>
        <v>936Other franchise/business expense</v>
      </c>
      <c r="L1843" s="311">
        <f>+SUMIF('TUNZ Extracted TB'!M:M,$P1843,'TUNZ Extracted TB'!G:G)</f>
        <v>0</v>
      </c>
      <c r="M1843" s="311"/>
      <c r="N1843" s="311">
        <f>+SUMIF('Input Sheet'!$AE:$AE,P1843,'Input Sheet'!$X:$X)</f>
        <v>0</v>
      </c>
      <c r="O1843" s="311"/>
      <c r="P1843" t="str">
        <f t="shared" si="158"/>
        <v>936-7331</v>
      </c>
      <c r="Q1843" s="315" t="str">
        <f t="shared" si="159"/>
        <v>Bridgestone</v>
      </c>
      <c r="R1843" s="315" t="str">
        <f t="shared" si="160"/>
        <v>BridgestoneOther Expenses as % of Sales</v>
      </c>
      <c r="S1843" s="199"/>
      <c r="T1843" s="199"/>
      <c r="U1843" s="199"/>
    </row>
    <row r="1844" spans="1:21" x14ac:dyDescent="0.25">
      <c r="A1844" t="s">
        <v>996</v>
      </c>
      <c r="B1844" t="s">
        <v>997</v>
      </c>
      <c r="C1844" t="s">
        <v>997</v>
      </c>
      <c r="D1844">
        <v>7331</v>
      </c>
      <c r="E1844">
        <v>935</v>
      </c>
      <c r="F1844" t="s">
        <v>1175</v>
      </c>
      <c r="G1844" t="s">
        <v>1176</v>
      </c>
      <c r="H1844" s="315" t="s">
        <v>58</v>
      </c>
      <c r="I1844" s="315" t="s">
        <v>1286</v>
      </c>
      <c r="J1844" s="315" t="str">
        <f t="shared" si="156"/>
        <v>BridgestoneOther Expenses as % of Sales</v>
      </c>
      <c r="K1844" s="315" t="str">
        <f t="shared" si="157"/>
        <v>935Other franchise/business expense</v>
      </c>
      <c r="L1844" s="311">
        <f>+SUMIF('TUNZ Extracted TB'!M:M,$P1844,'TUNZ Extracted TB'!G:G)</f>
        <v>0</v>
      </c>
      <c r="M1844" s="311"/>
      <c r="N1844" s="311">
        <f>+SUMIF('Input Sheet'!$AE:$AE,P1844,'Input Sheet'!$X:$X)</f>
        <v>0</v>
      </c>
      <c r="O1844" s="311"/>
      <c r="P1844" t="str">
        <f t="shared" si="158"/>
        <v>935-7331</v>
      </c>
      <c r="Q1844" s="315" t="str">
        <f t="shared" si="159"/>
        <v>Bridgestone</v>
      </c>
      <c r="R1844" s="315" t="str">
        <f t="shared" si="160"/>
        <v>BridgestoneOther Expenses as % of Sales</v>
      </c>
      <c r="S1844" s="199"/>
      <c r="T1844" s="199"/>
      <c r="U1844" s="199"/>
    </row>
    <row r="1845" spans="1:21" x14ac:dyDescent="0.25">
      <c r="A1845" t="s">
        <v>996</v>
      </c>
      <c r="B1845" t="s">
        <v>997</v>
      </c>
      <c r="C1845" t="s">
        <v>1005</v>
      </c>
      <c r="D1845">
        <v>7331</v>
      </c>
      <c r="E1845">
        <v>230</v>
      </c>
      <c r="F1845" t="s">
        <v>1291</v>
      </c>
      <c r="G1845" t="s">
        <v>1292</v>
      </c>
      <c r="H1845" s="315" t="s">
        <v>5</v>
      </c>
      <c r="I1845" s="315" t="s">
        <v>1286</v>
      </c>
      <c r="J1845" s="315" t="str">
        <f t="shared" si="156"/>
        <v>PartsOther Expenses as % of Sales</v>
      </c>
      <c r="K1845" s="315" t="str">
        <f t="shared" si="157"/>
        <v>230Parts Other Expenses - Toyota</v>
      </c>
      <c r="L1845" s="311">
        <f>+SUMIF('TUNZ Extracted TB'!M:M,$P1845,'TUNZ Extracted TB'!G:G)</f>
        <v>0</v>
      </c>
      <c r="M1845" s="311"/>
      <c r="N1845" s="311">
        <f>+SUMIF('Input Sheet'!$AE:$AE,P1845,'Input Sheet'!$X:$X)</f>
        <v>0</v>
      </c>
      <c r="O1845" s="311"/>
      <c r="P1845" t="str">
        <f t="shared" si="158"/>
        <v>230-7331</v>
      </c>
      <c r="Q1845" s="315" t="str">
        <f t="shared" si="159"/>
        <v>Parts</v>
      </c>
      <c r="R1845" s="315" t="str">
        <f t="shared" si="160"/>
        <v>PartsOther Expenses as % of Sales</v>
      </c>
      <c r="S1845" s="199"/>
      <c r="T1845" s="199"/>
      <c r="U1845" s="199"/>
    </row>
    <row r="1846" spans="1:21" x14ac:dyDescent="0.25">
      <c r="A1846" t="s">
        <v>996</v>
      </c>
      <c r="B1846" t="s">
        <v>997</v>
      </c>
      <c r="C1846" t="s">
        <v>1012</v>
      </c>
      <c r="D1846">
        <v>7331</v>
      </c>
      <c r="E1846">
        <v>430</v>
      </c>
      <c r="F1846" t="s">
        <v>1291</v>
      </c>
      <c r="G1846" t="s">
        <v>1292</v>
      </c>
      <c r="H1846" s="315" t="s">
        <v>5</v>
      </c>
      <c r="I1846" s="315" t="s">
        <v>1286</v>
      </c>
      <c r="J1846" s="315" t="str">
        <f t="shared" si="156"/>
        <v>PartsOther Expenses as % of Sales</v>
      </c>
      <c r="K1846" s="315" t="str">
        <f t="shared" si="157"/>
        <v>430Parts Other Expenses - Toyota</v>
      </c>
      <c r="L1846" s="311">
        <f>+SUMIF('TUNZ Extracted TB'!M:M,$P1846,'TUNZ Extracted TB'!G:G)</f>
        <v>0</v>
      </c>
      <c r="M1846" s="311"/>
      <c r="N1846" s="311">
        <f>+SUMIF('Input Sheet'!$AE:$AE,P1846,'Input Sheet'!$X:$X)</f>
        <v>0</v>
      </c>
      <c r="O1846" s="311"/>
      <c r="P1846" t="str">
        <f t="shared" si="158"/>
        <v>430-7331</v>
      </c>
      <c r="Q1846" s="315" t="str">
        <f t="shared" si="159"/>
        <v>Parts</v>
      </c>
      <c r="R1846" s="315" t="str">
        <f t="shared" si="160"/>
        <v>PartsOther Expenses as % of Sales</v>
      </c>
      <c r="S1846" s="199"/>
      <c r="T1846" s="199"/>
      <c r="U1846" s="199"/>
    </row>
    <row r="1847" spans="1:21" x14ac:dyDescent="0.25">
      <c r="A1847" t="s">
        <v>996</v>
      </c>
      <c r="B1847" t="s">
        <v>997</v>
      </c>
      <c r="C1847" t="s">
        <v>1013</v>
      </c>
      <c r="D1847">
        <v>7331</v>
      </c>
      <c r="E1847">
        <v>330</v>
      </c>
      <c r="F1847" t="s">
        <v>1291</v>
      </c>
      <c r="G1847" t="s">
        <v>1292</v>
      </c>
      <c r="H1847" s="315" t="s">
        <v>5</v>
      </c>
      <c r="I1847" s="315" t="s">
        <v>1286</v>
      </c>
      <c r="J1847" s="315" t="str">
        <f t="shared" si="156"/>
        <v>PartsOther Expenses as % of Sales</v>
      </c>
      <c r="K1847" s="315" t="str">
        <f t="shared" si="157"/>
        <v>330Parts Other Expenses - Toyota</v>
      </c>
      <c r="L1847" s="311">
        <f>+SUMIF('TUNZ Extracted TB'!M:M,$P1847,'TUNZ Extracted TB'!G:G)</f>
        <v>0</v>
      </c>
      <c r="M1847" s="311"/>
      <c r="N1847" s="311">
        <f>+SUMIF('Input Sheet'!$AE:$AE,P1847,'Input Sheet'!$X:$X)</f>
        <v>0</v>
      </c>
      <c r="O1847" s="311"/>
      <c r="P1847" t="str">
        <f t="shared" si="158"/>
        <v>330-7331</v>
      </c>
      <c r="Q1847" s="315" t="str">
        <f t="shared" si="159"/>
        <v>Parts</v>
      </c>
      <c r="R1847" s="315" t="str">
        <f t="shared" si="160"/>
        <v>PartsOther Expenses as % of Sales</v>
      </c>
      <c r="S1847" s="199"/>
      <c r="T1847" s="199"/>
      <c r="U1847" s="199"/>
    </row>
    <row r="1848" spans="1:21" x14ac:dyDescent="0.25">
      <c r="A1848" t="s">
        <v>996</v>
      </c>
      <c r="B1848" t="s">
        <v>997</v>
      </c>
      <c r="C1848" t="s">
        <v>1005</v>
      </c>
      <c r="D1848">
        <v>7331</v>
      </c>
      <c r="E1848">
        <v>240</v>
      </c>
      <c r="F1848" t="s">
        <v>1289</v>
      </c>
      <c r="G1848" t="s">
        <v>1290</v>
      </c>
      <c r="H1848" s="315" t="s">
        <v>17</v>
      </c>
      <c r="I1848" s="315" t="s">
        <v>1286</v>
      </c>
      <c r="J1848" s="315" t="str">
        <f t="shared" si="156"/>
        <v>ServiceOther Expenses as % of Sales</v>
      </c>
      <c r="K1848" s="315" t="str">
        <f t="shared" si="157"/>
        <v>240Service Other expenses - Toyota</v>
      </c>
      <c r="L1848" s="311">
        <f>+SUMIF('TUNZ Extracted TB'!M:M,$P1848,'TUNZ Extracted TB'!G:G)</f>
        <v>0</v>
      </c>
      <c r="M1848" s="311"/>
      <c r="N1848" s="311">
        <f>+SUMIF('Input Sheet'!$AE:$AE,P1848,'Input Sheet'!$X:$X)</f>
        <v>0</v>
      </c>
      <c r="O1848" s="311"/>
      <c r="P1848" t="str">
        <f t="shared" si="158"/>
        <v>240-7331</v>
      </c>
      <c r="Q1848" s="315" t="str">
        <f t="shared" si="159"/>
        <v>Service</v>
      </c>
      <c r="R1848" s="315" t="str">
        <f t="shared" si="160"/>
        <v>ServiceOther Expenses as % of Sales</v>
      </c>
      <c r="S1848" s="199"/>
      <c r="T1848" s="199"/>
      <c r="U1848" s="199"/>
    </row>
    <row r="1849" spans="1:21" x14ac:dyDescent="0.25">
      <c r="A1849" t="s">
        <v>996</v>
      </c>
      <c r="B1849" t="s">
        <v>997</v>
      </c>
      <c r="C1849" t="s">
        <v>1012</v>
      </c>
      <c r="D1849">
        <v>7331</v>
      </c>
      <c r="E1849">
        <v>440</v>
      </c>
      <c r="F1849" t="s">
        <v>1289</v>
      </c>
      <c r="G1849" t="s">
        <v>1290</v>
      </c>
      <c r="H1849" s="315" t="s">
        <v>17</v>
      </c>
      <c r="I1849" s="315" t="s">
        <v>1286</v>
      </c>
      <c r="J1849" s="315" t="str">
        <f t="shared" si="156"/>
        <v>ServiceOther Expenses as % of Sales</v>
      </c>
      <c r="K1849" s="315" t="str">
        <f t="shared" si="157"/>
        <v>440Service Other expenses - Toyota</v>
      </c>
      <c r="L1849" s="311">
        <f>+SUMIF('TUNZ Extracted TB'!M:M,$P1849,'TUNZ Extracted TB'!G:G)</f>
        <v>0</v>
      </c>
      <c r="M1849" s="311"/>
      <c r="N1849" s="311">
        <f>+SUMIF('Input Sheet'!$AE:$AE,P1849,'Input Sheet'!$X:$X)</f>
        <v>0</v>
      </c>
      <c r="O1849" s="311"/>
      <c r="P1849" t="str">
        <f t="shared" si="158"/>
        <v>440-7331</v>
      </c>
      <c r="Q1849" s="315" t="str">
        <f t="shared" si="159"/>
        <v>Service</v>
      </c>
      <c r="R1849" s="315" t="str">
        <f t="shared" si="160"/>
        <v>ServiceOther Expenses as % of Sales</v>
      </c>
      <c r="S1849" s="199"/>
      <c r="T1849" s="199"/>
      <c r="U1849" s="199"/>
    </row>
    <row r="1850" spans="1:21" x14ac:dyDescent="0.25">
      <c r="A1850" t="s">
        <v>996</v>
      </c>
      <c r="B1850" t="s">
        <v>997</v>
      </c>
      <c r="C1850" t="s">
        <v>1013</v>
      </c>
      <c r="D1850">
        <v>7331</v>
      </c>
      <c r="E1850">
        <v>340</v>
      </c>
      <c r="F1850" t="s">
        <v>1289</v>
      </c>
      <c r="G1850" t="s">
        <v>1290</v>
      </c>
      <c r="H1850" s="315" t="s">
        <v>17</v>
      </c>
      <c r="I1850" s="315" t="s">
        <v>1286</v>
      </c>
      <c r="J1850" s="315" t="str">
        <f t="shared" si="156"/>
        <v>ServiceOther Expenses as % of Sales</v>
      </c>
      <c r="K1850" s="315" t="str">
        <f t="shared" si="157"/>
        <v>340Service Other expenses - Toyota</v>
      </c>
      <c r="L1850" s="311">
        <f>+SUMIF('TUNZ Extracted TB'!M:M,$P1850,'TUNZ Extracted TB'!G:G)</f>
        <v>0</v>
      </c>
      <c r="M1850" s="311"/>
      <c r="N1850" s="311">
        <f>+SUMIF('Input Sheet'!$AE:$AE,P1850,'Input Sheet'!$X:$X)</f>
        <v>0</v>
      </c>
      <c r="O1850" s="311"/>
      <c r="P1850" t="str">
        <f t="shared" si="158"/>
        <v>340-7331</v>
      </c>
      <c r="Q1850" s="315" t="str">
        <f t="shared" si="159"/>
        <v>Service</v>
      </c>
      <c r="R1850" s="315" t="str">
        <f t="shared" si="160"/>
        <v>ServiceOther Expenses as % of Sales</v>
      </c>
      <c r="S1850" s="199"/>
      <c r="T1850" s="199"/>
      <c r="U1850" s="199"/>
    </row>
    <row r="1851" spans="1:21" x14ac:dyDescent="0.25">
      <c r="A1851" t="s">
        <v>996</v>
      </c>
      <c r="B1851" t="s">
        <v>997</v>
      </c>
      <c r="C1851" t="s">
        <v>997</v>
      </c>
      <c r="D1851">
        <v>7331</v>
      </c>
      <c r="E1851">
        <v>147</v>
      </c>
      <c r="F1851" t="s">
        <v>1289</v>
      </c>
      <c r="G1851" t="s">
        <v>1290</v>
      </c>
      <c r="H1851" s="315" t="s">
        <v>17</v>
      </c>
      <c r="I1851" s="315" t="s">
        <v>1286</v>
      </c>
      <c r="J1851" s="315" t="str">
        <f t="shared" si="156"/>
        <v>ServiceOther Expenses as % of Sales</v>
      </c>
      <c r="K1851" s="315" t="str">
        <f t="shared" si="157"/>
        <v>147Service Other expenses - Toyota</v>
      </c>
      <c r="L1851" s="311">
        <f>+SUMIF('TUNZ Extracted TB'!M:M,$P1851,'TUNZ Extracted TB'!G:G)</f>
        <v>0</v>
      </c>
      <c r="M1851" s="311"/>
      <c r="N1851" s="311">
        <f>+SUMIF('Input Sheet'!$AE:$AE,P1851,'Input Sheet'!$X:$X)</f>
        <v>0</v>
      </c>
      <c r="O1851" s="311"/>
      <c r="P1851" t="str">
        <f t="shared" si="158"/>
        <v>147-7331</v>
      </c>
      <c r="Q1851" s="315" t="str">
        <f t="shared" si="159"/>
        <v>Service</v>
      </c>
      <c r="R1851" s="315" t="str">
        <f t="shared" si="160"/>
        <v>ServiceOther Expenses as % of Sales</v>
      </c>
      <c r="S1851" s="199"/>
      <c r="T1851" s="199"/>
      <c r="U1851" s="199"/>
    </row>
    <row r="1852" spans="1:21" x14ac:dyDescent="0.25">
      <c r="A1852" t="s">
        <v>996</v>
      </c>
      <c r="B1852" t="s">
        <v>997</v>
      </c>
      <c r="C1852" t="s">
        <v>1005</v>
      </c>
      <c r="D1852">
        <v>7331</v>
      </c>
      <c r="E1852">
        <v>210</v>
      </c>
      <c r="F1852" t="s">
        <v>1165</v>
      </c>
      <c r="G1852" t="s">
        <v>1166</v>
      </c>
      <c r="H1852" s="315" t="s">
        <v>30</v>
      </c>
      <c r="I1852" s="315" t="s">
        <v>1167</v>
      </c>
      <c r="J1852" s="315" t="str">
        <f t="shared" si="156"/>
        <v>Used VehicleOther Variable expenses per retail</v>
      </c>
      <c r="K1852" s="315" t="str">
        <f t="shared" si="157"/>
        <v>210Toyota UV Other Variable expense</v>
      </c>
      <c r="L1852" s="311">
        <f>+SUMIF('TUNZ Extracted TB'!M:M,$P1852,'TUNZ Extracted TB'!G:G)</f>
        <v>0</v>
      </c>
      <c r="M1852" s="311"/>
      <c r="N1852" s="311">
        <f>+SUMIF('Input Sheet'!$AE:$AE,P1852,'Input Sheet'!$X:$X)</f>
        <v>0</v>
      </c>
      <c r="O1852" s="311"/>
      <c r="P1852" t="str">
        <f t="shared" si="158"/>
        <v>210-7331</v>
      </c>
      <c r="Q1852" s="315" t="str">
        <f t="shared" si="159"/>
        <v>Used Vehicle</v>
      </c>
      <c r="R1852" s="315" t="str">
        <f t="shared" si="160"/>
        <v>Used VehicleOther Variable expenses per retail</v>
      </c>
      <c r="S1852" s="199"/>
      <c r="T1852" s="199"/>
      <c r="U1852" s="199"/>
    </row>
    <row r="1853" spans="1:21" x14ac:dyDescent="0.25">
      <c r="A1853" t="s">
        <v>996</v>
      </c>
      <c r="B1853" t="s">
        <v>997</v>
      </c>
      <c r="C1853" t="s">
        <v>1005</v>
      </c>
      <c r="D1853">
        <v>7331</v>
      </c>
      <c r="E1853">
        <v>220</v>
      </c>
      <c r="F1853" t="s">
        <v>1165</v>
      </c>
      <c r="G1853" t="s">
        <v>1166</v>
      </c>
      <c r="H1853" s="315" t="s">
        <v>30</v>
      </c>
      <c r="I1853" s="315" t="s">
        <v>1167</v>
      </c>
      <c r="J1853" s="315" t="str">
        <f t="shared" si="156"/>
        <v>Used VehicleOther Variable expenses per retail</v>
      </c>
      <c r="K1853" s="315" t="str">
        <f t="shared" si="157"/>
        <v>220Toyota UV Other Variable expense</v>
      </c>
      <c r="L1853" s="311">
        <f>+SUMIF('TUNZ Extracted TB'!M:M,$P1853,'TUNZ Extracted TB'!G:G)</f>
        <v>0</v>
      </c>
      <c r="M1853" s="311"/>
      <c r="N1853" s="311">
        <f>+SUMIF('Input Sheet'!$AE:$AE,P1853,'Input Sheet'!$X:$X)</f>
        <v>0</v>
      </c>
      <c r="O1853" s="311"/>
      <c r="P1853" t="str">
        <f t="shared" si="158"/>
        <v>220-7331</v>
      </c>
      <c r="Q1853" s="315" t="str">
        <f t="shared" si="159"/>
        <v>Used Vehicle</v>
      </c>
      <c r="R1853" s="315" t="str">
        <f t="shared" si="160"/>
        <v>Used VehicleOther Variable expenses per retail</v>
      </c>
      <c r="S1853" s="199"/>
      <c r="T1853" s="199"/>
      <c r="U1853" s="199"/>
    </row>
    <row r="1854" spans="1:21" x14ac:dyDescent="0.25">
      <c r="A1854" t="s">
        <v>996</v>
      </c>
      <c r="B1854" t="s">
        <v>997</v>
      </c>
      <c r="C1854" t="s">
        <v>1005</v>
      </c>
      <c r="D1854">
        <v>7331</v>
      </c>
      <c r="E1854">
        <v>221</v>
      </c>
      <c r="F1854" t="s">
        <v>1165</v>
      </c>
      <c r="G1854" t="s">
        <v>1166</v>
      </c>
      <c r="H1854" s="315" t="s">
        <v>30</v>
      </c>
      <c r="I1854" s="315" t="s">
        <v>1167</v>
      </c>
      <c r="J1854" s="315" t="str">
        <f t="shared" si="156"/>
        <v>Used VehicleOther Variable expenses per retail</v>
      </c>
      <c r="K1854" s="315" t="str">
        <f t="shared" si="157"/>
        <v>221Toyota UV Other Variable expense</v>
      </c>
      <c r="L1854" s="311">
        <f>+SUMIF('TUNZ Extracted TB'!M:M,$P1854,'TUNZ Extracted TB'!G:G)</f>
        <v>0</v>
      </c>
      <c r="M1854" s="311"/>
      <c r="N1854" s="311">
        <f>+SUMIF('Input Sheet'!$AE:$AE,P1854,'Input Sheet'!$X:$X)</f>
        <v>0</v>
      </c>
      <c r="O1854" s="311"/>
      <c r="P1854" t="str">
        <f t="shared" si="158"/>
        <v>221-7331</v>
      </c>
      <c r="Q1854" s="315" t="str">
        <f t="shared" si="159"/>
        <v>Used Vehicle</v>
      </c>
      <c r="R1854" s="315" t="str">
        <f t="shared" si="160"/>
        <v>Used VehicleOther Variable expenses per retail</v>
      </c>
      <c r="S1854" s="199"/>
      <c r="T1854" s="199"/>
      <c r="U1854" s="199"/>
    </row>
    <row r="1855" spans="1:21" x14ac:dyDescent="0.25">
      <c r="A1855" t="s">
        <v>996</v>
      </c>
      <c r="B1855" t="s">
        <v>997</v>
      </c>
      <c r="C1855" t="s">
        <v>1012</v>
      </c>
      <c r="D1855">
        <v>7331</v>
      </c>
      <c r="E1855">
        <v>410</v>
      </c>
      <c r="F1855" t="s">
        <v>1165</v>
      </c>
      <c r="G1855" t="s">
        <v>1166</v>
      </c>
      <c r="H1855" s="315" t="s">
        <v>30</v>
      </c>
      <c r="I1855" s="315" t="s">
        <v>1167</v>
      </c>
      <c r="J1855" s="315" t="str">
        <f t="shared" si="156"/>
        <v>Used VehicleOther Variable expenses per retail</v>
      </c>
      <c r="K1855" s="315" t="str">
        <f t="shared" si="157"/>
        <v>410Toyota UV Other Variable expense</v>
      </c>
      <c r="L1855" s="311">
        <f>+SUMIF('TUNZ Extracted TB'!M:M,$P1855,'TUNZ Extracted TB'!G:G)</f>
        <v>0</v>
      </c>
      <c r="M1855" s="311"/>
      <c r="N1855" s="311">
        <f>+SUMIF('Input Sheet'!$AE:$AE,P1855,'Input Sheet'!$X:$X)</f>
        <v>0</v>
      </c>
      <c r="O1855" s="311"/>
      <c r="P1855" t="str">
        <f t="shared" si="158"/>
        <v>410-7331</v>
      </c>
      <c r="Q1855" s="315" t="str">
        <f t="shared" si="159"/>
        <v>Used Vehicle</v>
      </c>
      <c r="R1855" s="315" t="str">
        <f t="shared" si="160"/>
        <v>Used VehicleOther Variable expenses per retail</v>
      </c>
      <c r="S1855" s="199"/>
      <c r="T1855" s="199"/>
      <c r="U1855" s="199"/>
    </row>
    <row r="1856" spans="1:21" x14ac:dyDescent="0.25">
      <c r="A1856" t="s">
        <v>996</v>
      </c>
      <c r="B1856" t="s">
        <v>997</v>
      </c>
      <c r="C1856" t="s">
        <v>1012</v>
      </c>
      <c r="D1856">
        <v>7331</v>
      </c>
      <c r="E1856">
        <v>420</v>
      </c>
      <c r="F1856" t="s">
        <v>1165</v>
      </c>
      <c r="G1856" t="s">
        <v>1166</v>
      </c>
      <c r="H1856" s="315" t="s">
        <v>30</v>
      </c>
      <c r="I1856" s="315" t="s">
        <v>1167</v>
      </c>
      <c r="J1856" s="315" t="str">
        <f t="shared" si="156"/>
        <v>Used VehicleOther Variable expenses per retail</v>
      </c>
      <c r="K1856" s="315" t="str">
        <f t="shared" si="157"/>
        <v>420Toyota UV Other Variable expense</v>
      </c>
      <c r="L1856" s="311">
        <f>+SUMIF('TUNZ Extracted TB'!M:M,$P1856,'TUNZ Extracted TB'!G:G)</f>
        <v>0</v>
      </c>
      <c r="M1856" s="311"/>
      <c r="N1856" s="311">
        <f>+SUMIF('Input Sheet'!$AE:$AE,P1856,'Input Sheet'!$X:$X)</f>
        <v>0</v>
      </c>
      <c r="O1856" s="311"/>
      <c r="P1856" t="str">
        <f t="shared" si="158"/>
        <v>420-7331</v>
      </c>
      <c r="Q1856" s="315" t="str">
        <f t="shared" si="159"/>
        <v>Used Vehicle</v>
      </c>
      <c r="R1856" s="315" t="str">
        <f t="shared" si="160"/>
        <v>Used VehicleOther Variable expenses per retail</v>
      </c>
      <c r="S1856" s="199"/>
      <c r="T1856" s="199"/>
      <c r="U1856" s="199"/>
    </row>
    <row r="1857" spans="1:21" x14ac:dyDescent="0.25">
      <c r="A1857" t="s">
        <v>996</v>
      </c>
      <c r="B1857" t="s">
        <v>997</v>
      </c>
      <c r="C1857" t="s">
        <v>1012</v>
      </c>
      <c r="D1857">
        <v>7331</v>
      </c>
      <c r="E1857">
        <v>421</v>
      </c>
      <c r="F1857" t="s">
        <v>1165</v>
      </c>
      <c r="G1857" t="s">
        <v>1166</v>
      </c>
      <c r="H1857" s="315" t="s">
        <v>30</v>
      </c>
      <c r="I1857" s="315" t="s">
        <v>1167</v>
      </c>
      <c r="J1857" s="315" t="str">
        <f t="shared" si="156"/>
        <v>Used VehicleOther Variable expenses per retail</v>
      </c>
      <c r="K1857" s="315" t="str">
        <f t="shared" si="157"/>
        <v>421Toyota UV Other Variable expense</v>
      </c>
      <c r="L1857" s="311">
        <f>+SUMIF('TUNZ Extracted TB'!M:M,$P1857,'TUNZ Extracted TB'!G:G)</f>
        <v>0</v>
      </c>
      <c r="M1857" s="311"/>
      <c r="N1857" s="311">
        <f>+SUMIF('Input Sheet'!$AE:$AE,P1857,'Input Sheet'!$X:$X)</f>
        <v>0</v>
      </c>
      <c r="O1857" s="311"/>
      <c r="P1857" t="str">
        <f t="shared" si="158"/>
        <v>421-7331</v>
      </c>
      <c r="Q1857" s="315" t="str">
        <f t="shared" si="159"/>
        <v>Used Vehicle</v>
      </c>
      <c r="R1857" s="315" t="str">
        <f t="shared" si="160"/>
        <v>Used VehicleOther Variable expenses per retail</v>
      </c>
      <c r="S1857" s="199"/>
      <c r="T1857" s="199"/>
      <c r="U1857" s="199"/>
    </row>
    <row r="1858" spans="1:21" x14ac:dyDescent="0.25">
      <c r="A1858" t="s">
        <v>996</v>
      </c>
      <c r="B1858" t="s">
        <v>997</v>
      </c>
      <c r="C1858" t="s">
        <v>1013</v>
      </c>
      <c r="D1858">
        <v>7331</v>
      </c>
      <c r="E1858">
        <v>310</v>
      </c>
      <c r="F1858" t="s">
        <v>1165</v>
      </c>
      <c r="G1858" t="s">
        <v>1166</v>
      </c>
      <c r="H1858" s="315" t="s">
        <v>30</v>
      </c>
      <c r="I1858" s="315" t="s">
        <v>1167</v>
      </c>
      <c r="J1858" s="315" t="str">
        <f t="shared" si="156"/>
        <v>Used VehicleOther Variable expenses per retail</v>
      </c>
      <c r="K1858" s="315" t="str">
        <f t="shared" si="157"/>
        <v>310Toyota UV Other Variable expense</v>
      </c>
      <c r="L1858" s="311">
        <f>+SUMIF('TUNZ Extracted TB'!M:M,$P1858,'TUNZ Extracted TB'!G:G)</f>
        <v>0</v>
      </c>
      <c r="M1858" s="311"/>
      <c r="N1858" s="311">
        <f>+SUMIF('Input Sheet'!$AE:$AE,P1858,'Input Sheet'!$X:$X)</f>
        <v>0</v>
      </c>
      <c r="O1858" s="311"/>
      <c r="P1858" t="str">
        <f t="shared" si="158"/>
        <v>310-7331</v>
      </c>
      <c r="Q1858" s="315" t="str">
        <f t="shared" si="159"/>
        <v>Used Vehicle</v>
      </c>
      <c r="R1858" s="315" t="str">
        <f t="shared" si="160"/>
        <v>Used VehicleOther Variable expenses per retail</v>
      </c>
      <c r="S1858" s="199"/>
      <c r="T1858" s="199"/>
      <c r="U1858" s="199"/>
    </row>
    <row r="1859" spans="1:21" x14ac:dyDescent="0.25">
      <c r="A1859" t="s">
        <v>996</v>
      </c>
      <c r="B1859" t="s">
        <v>997</v>
      </c>
      <c r="C1859" t="s">
        <v>1013</v>
      </c>
      <c r="D1859">
        <v>7331</v>
      </c>
      <c r="E1859">
        <v>321</v>
      </c>
      <c r="F1859" t="s">
        <v>1165</v>
      </c>
      <c r="G1859" t="s">
        <v>1166</v>
      </c>
      <c r="H1859" s="315" t="s">
        <v>30</v>
      </c>
      <c r="I1859" s="315" t="s">
        <v>1167</v>
      </c>
      <c r="J1859" s="315" t="str">
        <f t="shared" ref="J1859:J1922" si="161">+H1859&amp;I1859</f>
        <v>Used VehicleOther Variable expenses per retail</v>
      </c>
      <c r="K1859" s="315" t="str">
        <f t="shared" ref="K1859:K1922" si="162">+E1859&amp;G1859</f>
        <v>321Toyota UV Other Variable expense</v>
      </c>
      <c r="L1859" s="311">
        <f>+SUMIF('TUNZ Extracted TB'!M:M,$P1859,'TUNZ Extracted TB'!G:G)</f>
        <v>0</v>
      </c>
      <c r="M1859" s="311"/>
      <c r="N1859" s="311">
        <f>+SUMIF('Input Sheet'!$AE:$AE,P1859,'Input Sheet'!$X:$X)</f>
        <v>0</v>
      </c>
      <c r="O1859" s="311"/>
      <c r="P1859" t="str">
        <f t="shared" ref="P1859:P1922" si="163">+E1859&amp;"-"&amp;D1859</f>
        <v>321-7331</v>
      </c>
      <c r="Q1859" s="315" t="str">
        <f t="shared" ref="Q1859:Q1922" si="164">H1859</f>
        <v>Used Vehicle</v>
      </c>
      <c r="R1859" s="315" t="str">
        <f t="shared" ref="R1859:R1922" si="165">J1859</f>
        <v>Used VehicleOther Variable expenses per retail</v>
      </c>
      <c r="S1859" s="199"/>
      <c r="T1859" s="199"/>
      <c r="U1859" s="199"/>
    </row>
    <row r="1860" spans="1:21" x14ac:dyDescent="0.25">
      <c r="A1860" t="s">
        <v>996</v>
      </c>
      <c r="B1860" t="s">
        <v>997</v>
      </c>
      <c r="C1860" t="s">
        <v>997</v>
      </c>
      <c r="D1860">
        <v>7331</v>
      </c>
      <c r="E1860">
        <v>121</v>
      </c>
      <c r="F1860" t="s">
        <v>1165</v>
      </c>
      <c r="G1860" t="s">
        <v>1166</v>
      </c>
      <c r="H1860" s="315" t="s">
        <v>30</v>
      </c>
      <c r="I1860" s="315" t="s">
        <v>1167</v>
      </c>
      <c r="J1860" s="315" t="str">
        <f t="shared" si="161"/>
        <v>Used VehicleOther Variable expenses per retail</v>
      </c>
      <c r="K1860" s="315" t="str">
        <f t="shared" si="162"/>
        <v>121Toyota UV Other Variable expense</v>
      </c>
      <c r="L1860" s="311">
        <f>+SUMIF('TUNZ Extracted TB'!M:M,$P1860,'TUNZ Extracted TB'!G:G)</f>
        <v>0</v>
      </c>
      <c r="M1860" s="311"/>
      <c r="N1860" s="311">
        <f>+SUMIF('Input Sheet'!$AE:$AE,P1860,'Input Sheet'!$X:$X)</f>
        <v>0</v>
      </c>
      <c r="O1860" s="311"/>
      <c r="P1860" t="str">
        <f t="shared" si="163"/>
        <v>121-7331</v>
      </c>
      <c r="Q1860" s="315" t="str">
        <f t="shared" si="164"/>
        <v>Used Vehicle</v>
      </c>
      <c r="R1860" s="315" t="str">
        <f t="shared" si="165"/>
        <v>Used VehicleOther Variable expenses per retail</v>
      </c>
      <c r="S1860" s="199"/>
      <c r="T1860" s="199"/>
      <c r="U1860" s="199"/>
    </row>
    <row r="1861" spans="1:21" x14ac:dyDescent="0.25">
      <c r="A1861" t="s">
        <v>996</v>
      </c>
      <c r="B1861" t="s">
        <v>997</v>
      </c>
      <c r="C1861" t="s">
        <v>997</v>
      </c>
      <c r="D1861">
        <v>7332</v>
      </c>
      <c r="E1861">
        <v>120</v>
      </c>
      <c r="F1861" t="s">
        <v>1328</v>
      </c>
      <c r="G1861" t="s">
        <v>1329</v>
      </c>
      <c r="H1861" s="315" t="s">
        <v>30</v>
      </c>
      <c r="I1861" s="315" t="s">
        <v>1327</v>
      </c>
      <c r="J1861" s="315" t="str">
        <f t="shared" si="161"/>
        <v>Used VehicleOther Semi-Fixed expenses per retail</v>
      </c>
      <c r="K1861" s="315" t="str">
        <f t="shared" si="162"/>
        <v>120Toyota UV Other Semi-Fixed expenses</v>
      </c>
      <c r="L1861" s="311">
        <f>+SUMIF('TUNZ Extracted TB'!M:M,$P1861,'TUNZ Extracted TB'!G:G)</f>
        <v>7538.79</v>
      </c>
      <c r="M1861" s="311"/>
      <c r="N1861" s="311">
        <f>+SUMIF('Input Sheet'!$AE:$AE,P1861,'Input Sheet'!$X:$X)</f>
        <v>0</v>
      </c>
      <c r="O1861" s="311"/>
      <c r="P1861" t="str">
        <f t="shared" si="163"/>
        <v>120-7332</v>
      </c>
      <c r="Q1861" s="315" t="str">
        <f t="shared" si="164"/>
        <v>Used Vehicle</v>
      </c>
      <c r="R1861" s="315" t="str">
        <f t="shared" si="165"/>
        <v>Used VehicleOther Semi-Fixed expenses per retail</v>
      </c>
      <c r="S1861" s="199"/>
      <c r="T1861" s="199"/>
      <c r="U1861" s="199"/>
    </row>
    <row r="1862" spans="1:21" x14ac:dyDescent="0.25">
      <c r="A1862" t="s">
        <v>996</v>
      </c>
      <c r="B1862" t="s">
        <v>997</v>
      </c>
      <c r="C1862" t="s">
        <v>1005</v>
      </c>
      <c r="D1862">
        <v>7332</v>
      </c>
      <c r="E1862">
        <v>220</v>
      </c>
      <c r="F1862" t="s">
        <v>1328</v>
      </c>
      <c r="G1862" t="s">
        <v>1329</v>
      </c>
      <c r="H1862" s="315" t="s">
        <v>30</v>
      </c>
      <c r="I1862" s="315" t="s">
        <v>1327</v>
      </c>
      <c r="J1862" s="315" t="str">
        <f t="shared" si="161"/>
        <v>Used VehicleOther Semi-Fixed expenses per retail</v>
      </c>
      <c r="K1862" s="315" t="str">
        <f t="shared" si="162"/>
        <v>220Toyota UV Other Semi-Fixed expenses</v>
      </c>
      <c r="L1862" s="311">
        <f>+SUMIF('TUNZ Extracted TB'!M:M,$P1862,'TUNZ Extracted TB'!G:G)</f>
        <v>3650.44</v>
      </c>
      <c r="M1862" s="311"/>
      <c r="N1862" s="311">
        <f>+SUMIF('Input Sheet'!$AE:$AE,P1862,'Input Sheet'!$X:$X)</f>
        <v>0</v>
      </c>
      <c r="O1862" s="311"/>
      <c r="P1862" t="str">
        <f t="shared" si="163"/>
        <v>220-7332</v>
      </c>
      <c r="Q1862" s="315" t="str">
        <f t="shared" si="164"/>
        <v>Used Vehicle</v>
      </c>
      <c r="R1862" s="315" t="str">
        <f t="shared" si="165"/>
        <v>Used VehicleOther Semi-Fixed expenses per retail</v>
      </c>
      <c r="S1862" s="199"/>
      <c r="T1862" s="199"/>
      <c r="U1862" s="199"/>
    </row>
    <row r="1863" spans="1:21" x14ac:dyDescent="0.25">
      <c r="A1863" t="s">
        <v>996</v>
      </c>
      <c r="B1863" t="s">
        <v>997</v>
      </c>
      <c r="C1863" t="s">
        <v>1013</v>
      </c>
      <c r="D1863">
        <v>7332</v>
      </c>
      <c r="E1863">
        <v>340</v>
      </c>
      <c r="F1863" t="s">
        <v>1289</v>
      </c>
      <c r="G1863" t="s">
        <v>1290</v>
      </c>
      <c r="H1863" s="315" t="s">
        <v>17</v>
      </c>
      <c r="I1863" s="315" t="s">
        <v>1286</v>
      </c>
      <c r="J1863" s="315" t="str">
        <f t="shared" si="161"/>
        <v>ServiceOther Expenses as % of Sales</v>
      </c>
      <c r="K1863" s="315" t="str">
        <f t="shared" si="162"/>
        <v>340Service Other expenses - Toyota</v>
      </c>
      <c r="L1863" s="311">
        <f>+SUMIF('TUNZ Extracted TB'!M:M,$P1863,'TUNZ Extracted TB'!G:G)</f>
        <v>948.82</v>
      </c>
      <c r="M1863" s="311"/>
      <c r="N1863" s="311">
        <f>+SUMIF('Input Sheet'!$AE:$AE,P1863,'Input Sheet'!$X:$X)</f>
        <v>0</v>
      </c>
      <c r="O1863" s="311"/>
      <c r="P1863" t="str">
        <f t="shared" si="163"/>
        <v>340-7332</v>
      </c>
      <c r="Q1863" s="315" t="str">
        <f t="shared" si="164"/>
        <v>Service</v>
      </c>
      <c r="R1863" s="315" t="str">
        <f t="shared" si="165"/>
        <v>ServiceOther Expenses as % of Sales</v>
      </c>
      <c r="S1863" s="199"/>
      <c r="T1863" s="199"/>
      <c r="U1863" s="199"/>
    </row>
    <row r="1864" spans="1:21" x14ac:dyDescent="0.25">
      <c r="A1864" t="s">
        <v>996</v>
      </c>
      <c r="B1864" t="s">
        <v>997</v>
      </c>
      <c r="C1864" t="s">
        <v>1005</v>
      </c>
      <c r="D1864">
        <v>7332</v>
      </c>
      <c r="E1864">
        <v>240</v>
      </c>
      <c r="F1864" t="s">
        <v>1289</v>
      </c>
      <c r="G1864" t="s">
        <v>1290</v>
      </c>
      <c r="H1864" s="315" t="s">
        <v>17</v>
      </c>
      <c r="I1864" s="315" t="s">
        <v>1286</v>
      </c>
      <c r="J1864" s="315" t="str">
        <f t="shared" si="161"/>
        <v>ServiceOther Expenses as % of Sales</v>
      </c>
      <c r="K1864" s="315" t="str">
        <f t="shared" si="162"/>
        <v>240Service Other expenses - Toyota</v>
      </c>
      <c r="L1864" s="311">
        <f>+SUMIF('TUNZ Extracted TB'!M:M,$P1864,'TUNZ Extracted TB'!G:G)</f>
        <v>1374.03</v>
      </c>
      <c r="M1864" s="311"/>
      <c r="N1864" s="311">
        <f>+SUMIF('Input Sheet'!$AE:$AE,P1864,'Input Sheet'!$X:$X)</f>
        <v>0</v>
      </c>
      <c r="O1864" s="311"/>
      <c r="P1864" t="str">
        <f t="shared" si="163"/>
        <v>240-7332</v>
      </c>
      <c r="Q1864" s="315" t="str">
        <f t="shared" si="164"/>
        <v>Service</v>
      </c>
      <c r="R1864" s="315" t="str">
        <f t="shared" si="165"/>
        <v>ServiceOther Expenses as % of Sales</v>
      </c>
      <c r="S1864" s="199"/>
      <c r="T1864" s="199"/>
      <c r="U1864" s="199"/>
    </row>
    <row r="1865" spans="1:21" x14ac:dyDescent="0.25">
      <c r="A1865" t="s">
        <v>996</v>
      </c>
      <c r="B1865" t="s">
        <v>997</v>
      </c>
      <c r="C1865" t="s">
        <v>997</v>
      </c>
      <c r="D1865">
        <v>7332</v>
      </c>
      <c r="E1865">
        <v>122</v>
      </c>
      <c r="F1865" t="s">
        <v>1282</v>
      </c>
      <c r="G1865" t="s">
        <v>1283</v>
      </c>
      <c r="H1865" s="315" t="s">
        <v>1041</v>
      </c>
      <c r="I1865" s="315" t="s">
        <v>1167</v>
      </c>
      <c r="J1865" s="315" t="str">
        <f t="shared" si="161"/>
        <v>LEX Used VehicleOther Variable expenses per retail</v>
      </c>
      <c r="K1865" s="315" t="str">
        <f t="shared" si="162"/>
        <v>122Lexus UV Other Variable expense</v>
      </c>
      <c r="L1865" s="311">
        <f>+SUMIF('TUNZ Extracted TB'!M:M,$P1865,'TUNZ Extracted TB'!G:G)</f>
        <v>1400.9</v>
      </c>
      <c r="M1865" s="311"/>
      <c r="N1865" s="311">
        <f>+SUMIF('Input Sheet'!$AE:$AE,P1865,'Input Sheet'!$X:$X)</f>
        <v>0</v>
      </c>
      <c r="O1865" s="311"/>
      <c r="P1865" t="str">
        <f t="shared" si="163"/>
        <v>122-7332</v>
      </c>
      <c r="Q1865" s="315" t="str">
        <f t="shared" si="164"/>
        <v>LEX Used Vehicle</v>
      </c>
      <c r="R1865" s="315" t="str">
        <f t="shared" si="165"/>
        <v>LEX Used VehicleOther Variable expenses per retail</v>
      </c>
      <c r="S1865" s="199"/>
      <c r="T1865" s="199"/>
      <c r="U1865" s="199"/>
    </row>
    <row r="1866" spans="1:21" x14ac:dyDescent="0.25">
      <c r="A1866" t="s">
        <v>996</v>
      </c>
      <c r="B1866" t="s">
        <v>997</v>
      </c>
      <c r="C1866" t="s">
        <v>997</v>
      </c>
      <c r="D1866">
        <v>7332</v>
      </c>
      <c r="E1866">
        <v>936</v>
      </c>
      <c r="F1866" t="s">
        <v>1175</v>
      </c>
      <c r="G1866" t="s">
        <v>1176</v>
      </c>
      <c r="H1866" s="315" t="s">
        <v>58</v>
      </c>
      <c r="I1866" s="315" t="s">
        <v>1286</v>
      </c>
      <c r="J1866" s="315" t="str">
        <f t="shared" si="161"/>
        <v>BridgestoneOther Expenses as % of Sales</v>
      </c>
      <c r="K1866" s="315" t="str">
        <f t="shared" si="162"/>
        <v>936Other franchise/business expense</v>
      </c>
      <c r="L1866" s="311">
        <f>+SUMIF('TUNZ Extracted TB'!M:M,$P1866,'TUNZ Extracted TB'!G:G)</f>
        <v>740.47</v>
      </c>
      <c r="M1866" s="311"/>
      <c r="N1866" s="311">
        <f>+SUMIF('Input Sheet'!$AE:$AE,P1866,'Input Sheet'!$X:$X)</f>
        <v>0</v>
      </c>
      <c r="O1866" s="311"/>
      <c r="P1866" t="str">
        <f t="shared" si="163"/>
        <v>936-7332</v>
      </c>
      <c r="Q1866" s="315" t="str">
        <f t="shared" si="164"/>
        <v>Bridgestone</v>
      </c>
      <c r="R1866" s="315" t="str">
        <f t="shared" si="165"/>
        <v>BridgestoneOther Expenses as % of Sales</v>
      </c>
      <c r="S1866" s="199"/>
      <c r="T1866" s="199"/>
      <c r="U1866" s="199"/>
    </row>
    <row r="1867" spans="1:21" x14ac:dyDescent="0.25">
      <c r="A1867" t="s">
        <v>996</v>
      </c>
      <c r="B1867" t="s">
        <v>997</v>
      </c>
      <c r="C1867" t="s">
        <v>1005</v>
      </c>
      <c r="D1867">
        <v>7332</v>
      </c>
      <c r="E1867">
        <v>230</v>
      </c>
      <c r="F1867" t="s">
        <v>1291</v>
      </c>
      <c r="G1867" t="s">
        <v>1292</v>
      </c>
      <c r="H1867" s="315" t="s">
        <v>5</v>
      </c>
      <c r="I1867" s="315" t="s">
        <v>1286</v>
      </c>
      <c r="J1867" s="315" t="str">
        <f t="shared" si="161"/>
        <v>PartsOther Expenses as % of Sales</v>
      </c>
      <c r="K1867" s="315" t="str">
        <f t="shared" si="162"/>
        <v>230Parts Other Expenses - Toyota</v>
      </c>
      <c r="L1867" s="311">
        <f>+SUMIF('TUNZ Extracted TB'!M:M,$P1867,'TUNZ Extracted TB'!G:G)</f>
        <v>506.48</v>
      </c>
      <c r="M1867" s="311"/>
      <c r="N1867" s="311">
        <f>+SUMIF('Input Sheet'!$AE:$AE,P1867,'Input Sheet'!$X:$X)</f>
        <v>0</v>
      </c>
      <c r="O1867" s="311"/>
      <c r="P1867" t="str">
        <f t="shared" si="163"/>
        <v>230-7332</v>
      </c>
      <c r="Q1867" s="315" t="str">
        <f t="shared" si="164"/>
        <v>Parts</v>
      </c>
      <c r="R1867" s="315" t="str">
        <f t="shared" si="165"/>
        <v>PartsOther Expenses as % of Sales</v>
      </c>
      <c r="S1867" s="199"/>
      <c r="T1867" s="199"/>
      <c r="U1867" s="199"/>
    </row>
    <row r="1868" spans="1:21" x14ac:dyDescent="0.25">
      <c r="A1868" t="s">
        <v>996</v>
      </c>
      <c r="B1868" t="s">
        <v>997</v>
      </c>
      <c r="C1868" t="s">
        <v>997</v>
      </c>
      <c r="D1868">
        <v>7332</v>
      </c>
      <c r="E1868">
        <v>160</v>
      </c>
      <c r="F1868" t="s">
        <v>1293</v>
      </c>
      <c r="G1868" t="s">
        <v>1294</v>
      </c>
      <c r="H1868" s="315" t="s">
        <v>16</v>
      </c>
      <c r="I1868" s="315" t="s">
        <v>1295</v>
      </c>
      <c r="J1868" s="315" t="str">
        <f t="shared" si="161"/>
        <v>F&amp;IOther Expenses per vehicle retailed</v>
      </c>
      <c r="K1868" s="315" t="str">
        <f t="shared" si="162"/>
        <v>160F&amp;I Other expenses - Toyota</v>
      </c>
      <c r="L1868" s="311">
        <f>+SUMIF('TUNZ Extracted TB'!M:M,$P1868,'TUNZ Extracted TB'!G:G)</f>
        <v>643.14</v>
      </c>
      <c r="M1868" s="311"/>
      <c r="N1868" s="311">
        <f>+SUMIF('Input Sheet'!$AE:$AE,P1868,'Input Sheet'!$X:$X)</f>
        <v>0</v>
      </c>
      <c r="O1868" s="311"/>
      <c r="P1868" t="str">
        <f t="shared" si="163"/>
        <v>160-7332</v>
      </c>
      <c r="Q1868" s="315" t="str">
        <f t="shared" si="164"/>
        <v>F&amp;I</v>
      </c>
      <c r="R1868" s="315" t="str">
        <f t="shared" si="165"/>
        <v>F&amp;IOther Expenses per vehicle retailed</v>
      </c>
      <c r="S1868" s="199"/>
      <c r="T1868" s="199"/>
      <c r="U1868" s="199"/>
    </row>
    <row r="1869" spans="1:21" x14ac:dyDescent="0.25">
      <c r="A1869" t="s">
        <v>996</v>
      </c>
      <c r="B1869" t="s">
        <v>997</v>
      </c>
      <c r="C1869" t="s">
        <v>1005</v>
      </c>
      <c r="D1869">
        <v>7332</v>
      </c>
      <c r="E1869">
        <v>260</v>
      </c>
      <c r="F1869" t="s">
        <v>1293</v>
      </c>
      <c r="G1869" t="s">
        <v>1294</v>
      </c>
      <c r="H1869" s="315" t="s">
        <v>16</v>
      </c>
      <c r="I1869" s="315" t="s">
        <v>1295</v>
      </c>
      <c r="J1869" s="315" t="str">
        <f t="shared" si="161"/>
        <v>F&amp;IOther Expenses per vehicle retailed</v>
      </c>
      <c r="K1869" s="315" t="str">
        <f t="shared" si="162"/>
        <v>260F&amp;I Other expenses - Toyota</v>
      </c>
      <c r="L1869" s="311">
        <f>+SUMIF('TUNZ Extracted TB'!M:M,$P1869,'TUNZ Extracted TB'!G:G)</f>
        <v>402.93</v>
      </c>
      <c r="M1869" s="311"/>
      <c r="N1869" s="311">
        <f>+SUMIF('Input Sheet'!$AE:$AE,P1869,'Input Sheet'!$X:$X)</f>
        <v>0</v>
      </c>
      <c r="O1869" s="311"/>
      <c r="P1869" t="str">
        <f t="shared" si="163"/>
        <v>260-7332</v>
      </c>
      <c r="Q1869" s="315" t="str">
        <f t="shared" si="164"/>
        <v>F&amp;I</v>
      </c>
      <c r="R1869" s="315" t="str">
        <f t="shared" si="165"/>
        <v>F&amp;IOther Expenses per vehicle retailed</v>
      </c>
      <c r="S1869" s="199"/>
      <c r="T1869" s="199"/>
      <c r="U1869" s="199"/>
    </row>
    <row r="1870" spans="1:21" x14ac:dyDescent="0.25">
      <c r="A1870" t="s">
        <v>996</v>
      </c>
      <c r="B1870" t="s">
        <v>997</v>
      </c>
      <c r="C1870" t="s">
        <v>997</v>
      </c>
      <c r="D1870">
        <v>7332</v>
      </c>
      <c r="E1870">
        <v>935</v>
      </c>
      <c r="F1870" t="s">
        <v>1175</v>
      </c>
      <c r="G1870" t="s">
        <v>1176</v>
      </c>
      <c r="H1870" s="315" t="s">
        <v>58</v>
      </c>
      <c r="I1870" s="315" t="s">
        <v>1286</v>
      </c>
      <c r="J1870" s="315" t="str">
        <f t="shared" si="161"/>
        <v>BridgestoneOther Expenses as % of Sales</v>
      </c>
      <c r="K1870" s="315" t="str">
        <f t="shared" si="162"/>
        <v>935Other franchise/business expense</v>
      </c>
      <c r="L1870" s="311">
        <f>+SUMIF('TUNZ Extracted TB'!M:M,$P1870,'TUNZ Extracted TB'!G:G)</f>
        <v>577.28</v>
      </c>
      <c r="M1870" s="311"/>
      <c r="N1870" s="311">
        <f>+SUMIF('Input Sheet'!$AE:$AE,P1870,'Input Sheet'!$X:$X)</f>
        <v>0</v>
      </c>
      <c r="O1870" s="311"/>
      <c r="P1870" t="str">
        <f t="shared" si="163"/>
        <v>935-7332</v>
      </c>
      <c r="Q1870" s="315" t="str">
        <f t="shared" si="164"/>
        <v>Bridgestone</v>
      </c>
      <c r="R1870" s="315" t="str">
        <f t="shared" si="165"/>
        <v>BridgestoneOther Expenses as % of Sales</v>
      </c>
      <c r="S1870" s="199"/>
      <c r="T1870" s="199"/>
      <c r="U1870" s="199"/>
    </row>
    <row r="1871" spans="1:21" x14ac:dyDescent="0.25">
      <c r="A1871" t="s">
        <v>996</v>
      </c>
      <c r="B1871" t="s">
        <v>997</v>
      </c>
      <c r="C1871" t="s">
        <v>1013</v>
      </c>
      <c r="D1871">
        <v>7332</v>
      </c>
      <c r="E1871">
        <v>330</v>
      </c>
      <c r="F1871" t="s">
        <v>1291</v>
      </c>
      <c r="G1871" t="s">
        <v>1292</v>
      </c>
      <c r="H1871" s="315" t="s">
        <v>5</v>
      </c>
      <c r="I1871" s="315" t="s">
        <v>1286</v>
      </c>
      <c r="J1871" s="315" t="str">
        <f t="shared" si="161"/>
        <v>PartsOther Expenses as % of Sales</v>
      </c>
      <c r="K1871" s="315" t="str">
        <f t="shared" si="162"/>
        <v>330Parts Other Expenses - Toyota</v>
      </c>
      <c r="L1871" s="311">
        <f>+SUMIF('TUNZ Extracted TB'!M:M,$P1871,'TUNZ Extracted TB'!G:G)</f>
        <v>271.02</v>
      </c>
      <c r="M1871" s="311"/>
      <c r="N1871" s="311">
        <f>+SUMIF('Input Sheet'!$AE:$AE,P1871,'Input Sheet'!$X:$X)</f>
        <v>0</v>
      </c>
      <c r="O1871" s="311"/>
      <c r="P1871" t="str">
        <f t="shared" si="163"/>
        <v>330-7332</v>
      </c>
      <c r="Q1871" s="315" t="str">
        <f t="shared" si="164"/>
        <v>Parts</v>
      </c>
      <c r="R1871" s="315" t="str">
        <f t="shared" si="165"/>
        <v>PartsOther Expenses as % of Sales</v>
      </c>
      <c r="S1871" s="199"/>
      <c r="T1871" s="199"/>
      <c r="U1871" s="199"/>
    </row>
    <row r="1872" spans="1:21" x14ac:dyDescent="0.25">
      <c r="A1872" t="s">
        <v>996</v>
      </c>
      <c r="B1872" t="s">
        <v>997</v>
      </c>
      <c r="C1872" t="s">
        <v>1012</v>
      </c>
      <c r="D1872">
        <v>7332</v>
      </c>
      <c r="E1872">
        <v>430</v>
      </c>
      <c r="F1872" t="s">
        <v>1291</v>
      </c>
      <c r="G1872" t="s">
        <v>1292</v>
      </c>
      <c r="H1872" s="315" t="s">
        <v>5</v>
      </c>
      <c r="I1872" s="315" t="s">
        <v>1286</v>
      </c>
      <c r="J1872" s="315" t="str">
        <f t="shared" si="161"/>
        <v>PartsOther Expenses as % of Sales</v>
      </c>
      <c r="K1872" s="315" t="str">
        <f t="shared" si="162"/>
        <v>430Parts Other Expenses - Toyota</v>
      </c>
      <c r="L1872" s="311">
        <f>+SUMIF('TUNZ Extracted TB'!M:M,$P1872,'TUNZ Extracted TB'!G:G)</f>
        <v>271.02</v>
      </c>
      <c r="M1872" s="311"/>
      <c r="N1872" s="311">
        <f>+SUMIF('Input Sheet'!$AE:$AE,P1872,'Input Sheet'!$X:$X)</f>
        <v>0</v>
      </c>
      <c r="O1872" s="311"/>
      <c r="P1872" t="str">
        <f t="shared" si="163"/>
        <v>430-7332</v>
      </c>
      <c r="Q1872" s="315" t="str">
        <f t="shared" si="164"/>
        <v>Parts</v>
      </c>
      <c r="R1872" s="315" t="str">
        <f t="shared" si="165"/>
        <v>PartsOther Expenses as % of Sales</v>
      </c>
      <c r="S1872" s="199"/>
      <c r="T1872" s="199"/>
      <c r="U1872" s="199"/>
    </row>
    <row r="1873" spans="1:21" x14ac:dyDescent="0.25">
      <c r="A1873" t="s">
        <v>996</v>
      </c>
      <c r="B1873" t="s">
        <v>997</v>
      </c>
      <c r="C1873" t="s">
        <v>1012</v>
      </c>
      <c r="D1873">
        <v>7332</v>
      </c>
      <c r="E1873">
        <v>440</v>
      </c>
      <c r="F1873" t="s">
        <v>1289</v>
      </c>
      <c r="G1873" t="s">
        <v>1290</v>
      </c>
      <c r="H1873" s="315" t="s">
        <v>17</v>
      </c>
      <c r="I1873" s="315" t="s">
        <v>1286</v>
      </c>
      <c r="J1873" s="315" t="str">
        <f t="shared" si="161"/>
        <v>ServiceOther Expenses as % of Sales</v>
      </c>
      <c r="K1873" s="315" t="str">
        <f t="shared" si="162"/>
        <v>440Service Other expenses - Toyota</v>
      </c>
      <c r="L1873" s="311">
        <f>+SUMIF('TUNZ Extracted TB'!M:M,$P1873,'TUNZ Extracted TB'!G:G)</f>
        <v>3841.52</v>
      </c>
      <c r="M1873" s="311"/>
      <c r="N1873" s="311">
        <f>+SUMIF('Input Sheet'!$AE:$AE,P1873,'Input Sheet'!$X:$X)</f>
        <v>0</v>
      </c>
      <c r="O1873" s="311"/>
      <c r="P1873" t="str">
        <f t="shared" si="163"/>
        <v>440-7332</v>
      </c>
      <c r="Q1873" s="315" t="str">
        <f t="shared" si="164"/>
        <v>Service</v>
      </c>
      <c r="R1873" s="315" t="str">
        <f t="shared" si="165"/>
        <v>ServiceOther Expenses as % of Sales</v>
      </c>
      <c r="S1873" s="199"/>
      <c r="T1873" s="199"/>
      <c r="U1873" s="199"/>
    </row>
    <row r="1874" spans="1:21" x14ac:dyDescent="0.25">
      <c r="A1874" s="316">
        <v>44866</v>
      </c>
      <c r="B1874" t="s">
        <v>997</v>
      </c>
      <c r="C1874" t="s">
        <v>997</v>
      </c>
      <c r="D1874">
        <v>7332</v>
      </c>
      <c r="E1874">
        <v>150</v>
      </c>
      <c r="G1874" t="s">
        <v>939</v>
      </c>
      <c r="H1874" s="315" t="s">
        <v>145</v>
      </c>
      <c r="I1874" s="315" t="s">
        <v>1286</v>
      </c>
      <c r="J1874" s="315" t="str">
        <f t="shared" si="161"/>
        <v>Retail DetailingOther Expenses as % of Sales</v>
      </c>
      <c r="K1874" s="315" t="str">
        <f t="shared" si="162"/>
        <v>150M/V Petrol</v>
      </c>
      <c r="L1874" s="311">
        <f>+SUMIF('TUNZ Extracted TB'!M:M,$P1874,'TUNZ Extracted TB'!G:G)</f>
        <v>115.61</v>
      </c>
      <c r="M1874" s="199"/>
      <c r="N1874" s="311">
        <f>+SUMIF('Input Sheet'!$AE:$AE,P1874,'Input Sheet'!$X:$X)</f>
        <v>0</v>
      </c>
      <c r="O1874" s="199"/>
      <c r="P1874" t="str">
        <f t="shared" si="163"/>
        <v>150-7332</v>
      </c>
      <c r="Q1874" s="315" t="str">
        <f t="shared" si="164"/>
        <v>Retail Detailing</v>
      </c>
      <c r="R1874" s="315" t="str">
        <f t="shared" si="165"/>
        <v>Retail DetailingOther Expenses as % of Sales</v>
      </c>
      <c r="S1874" s="199"/>
      <c r="T1874" s="199"/>
      <c r="U1874" s="199"/>
    </row>
    <row r="1875" spans="1:21" x14ac:dyDescent="0.25">
      <c r="A1875" t="s">
        <v>996</v>
      </c>
      <c r="B1875" t="s">
        <v>997</v>
      </c>
      <c r="C1875" t="s">
        <v>1005</v>
      </c>
      <c r="D1875">
        <v>7332</v>
      </c>
      <c r="E1875">
        <v>200</v>
      </c>
      <c r="F1875" t="s">
        <v>1319</v>
      </c>
      <c r="G1875" t="s">
        <v>1320</v>
      </c>
      <c r="H1875" s="315" t="s">
        <v>29</v>
      </c>
      <c r="I1875" s="315" t="s">
        <v>1314</v>
      </c>
      <c r="J1875" s="315" t="str">
        <f t="shared" si="161"/>
        <v>New VehicleDemo Expenses (incl. interest) p.u.</v>
      </c>
      <c r="K1875" s="315" t="str">
        <f t="shared" si="162"/>
        <v>200NV Demo Expenses - Toyota</v>
      </c>
      <c r="L1875" s="311">
        <f>+SUMIF('TUNZ Extracted TB'!M:M,$P1875,'TUNZ Extracted TB'!G:G)</f>
        <v>0</v>
      </c>
      <c r="M1875" s="311"/>
      <c r="N1875" s="311">
        <f>+SUMIF('Input Sheet'!$AE:$AE,P1875,'Input Sheet'!$X:$X)</f>
        <v>0</v>
      </c>
      <c r="O1875" s="311"/>
      <c r="P1875" t="str">
        <f t="shared" si="163"/>
        <v>200-7332</v>
      </c>
      <c r="Q1875" s="315" t="str">
        <f t="shared" si="164"/>
        <v>New Vehicle</v>
      </c>
      <c r="R1875" s="315" t="str">
        <f t="shared" si="165"/>
        <v>New VehicleDemo Expenses (incl. interest) p.u.</v>
      </c>
      <c r="S1875" s="199"/>
      <c r="T1875" s="199"/>
      <c r="U1875" s="199"/>
    </row>
    <row r="1876" spans="1:21" x14ac:dyDescent="0.25">
      <c r="A1876" t="s">
        <v>996</v>
      </c>
      <c r="B1876" t="s">
        <v>997</v>
      </c>
      <c r="C1876" t="s">
        <v>997</v>
      </c>
      <c r="D1876">
        <v>7332</v>
      </c>
      <c r="E1876">
        <v>140</v>
      </c>
      <c r="F1876" t="s">
        <v>1289</v>
      </c>
      <c r="G1876" t="s">
        <v>1290</v>
      </c>
      <c r="H1876" s="315" t="s">
        <v>17</v>
      </c>
      <c r="I1876" s="315" t="s">
        <v>1286</v>
      </c>
      <c r="J1876" s="315" t="str">
        <f t="shared" si="161"/>
        <v>ServiceOther Expenses as % of Sales</v>
      </c>
      <c r="K1876" s="315" t="str">
        <f t="shared" si="162"/>
        <v>140Service Other expenses - Toyota</v>
      </c>
      <c r="L1876" s="311">
        <f>+SUMIF('TUNZ Extracted TB'!M:M,$P1876,'TUNZ Extracted TB'!G:G)</f>
        <v>4164.07</v>
      </c>
      <c r="M1876" s="311"/>
      <c r="N1876" s="311">
        <f>+SUMIF('Input Sheet'!$AE:$AE,P1876,'Input Sheet'!$X:$X)</f>
        <v>0</v>
      </c>
      <c r="O1876" s="311"/>
      <c r="P1876" t="str">
        <f t="shared" si="163"/>
        <v>140-7332</v>
      </c>
      <c r="Q1876" s="315" t="str">
        <f t="shared" si="164"/>
        <v>Service</v>
      </c>
      <c r="R1876" s="315" t="str">
        <f t="shared" si="165"/>
        <v>ServiceOther Expenses as % of Sales</v>
      </c>
      <c r="S1876" s="199"/>
      <c r="T1876" s="199"/>
      <c r="U1876" s="199"/>
    </row>
    <row r="1877" spans="1:21" x14ac:dyDescent="0.25">
      <c r="A1877" t="s">
        <v>996</v>
      </c>
      <c r="B1877" t="s">
        <v>997</v>
      </c>
      <c r="C1877" t="s">
        <v>997</v>
      </c>
      <c r="D1877">
        <v>7332</v>
      </c>
      <c r="E1877">
        <v>142</v>
      </c>
      <c r="F1877" t="s">
        <v>1284</v>
      </c>
      <c r="G1877" t="s">
        <v>1285</v>
      </c>
      <c r="H1877" s="315" t="s">
        <v>1022</v>
      </c>
      <c r="I1877" s="315" t="s">
        <v>1286</v>
      </c>
      <c r="J1877" s="315" t="str">
        <f t="shared" si="161"/>
        <v>Lex ServiceOther Expenses as % of Sales</v>
      </c>
      <c r="K1877" s="315" t="str">
        <f t="shared" si="162"/>
        <v>142Service Other expenses - Lexus</v>
      </c>
      <c r="L1877" s="311">
        <f>+SUMIF('TUNZ Extracted TB'!M:M,$P1877,'TUNZ Extracted TB'!G:G)</f>
        <v>115.61</v>
      </c>
      <c r="M1877" s="311"/>
      <c r="N1877" s="311">
        <f>+SUMIF('Input Sheet'!$AE:$AE,P1877,'Input Sheet'!$X:$X)</f>
        <v>0</v>
      </c>
      <c r="O1877" s="311"/>
      <c r="P1877" t="str">
        <f t="shared" si="163"/>
        <v>142-7332</v>
      </c>
      <c r="Q1877" s="315" t="str">
        <f t="shared" si="164"/>
        <v>Lex Service</v>
      </c>
      <c r="R1877" s="315" t="str">
        <f t="shared" si="165"/>
        <v>Lex ServiceOther Expenses as % of Sales</v>
      </c>
      <c r="S1877" s="199"/>
      <c r="T1877" s="199"/>
      <c r="U1877" s="199"/>
    </row>
    <row r="1878" spans="1:21" x14ac:dyDescent="0.25">
      <c r="A1878" t="s">
        <v>996</v>
      </c>
      <c r="B1878" t="s">
        <v>997</v>
      </c>
      <c r="C1878" t="s">
        <v>997</v>
      </c>
      <c r="D1878">
        <v>7332</v>
      </c>
      <c r="E1878">
        <v>130</v>
      </c>
      <c r="F1878" t="s">
        <v>1291</v>
      </c>
      <c r="G1878" t="s">
        <v>1292</v>
      </c>
      <c r="H1878" s="315" t="s">
        <v>5</v>
      </c>
      <c r="I1878" s="315" t="s">
        <v>1286</v>
      </c>
      <c r="J1878" s="315" t="str">
        <f t="shared" si="161"/>
        <v>PartsOther Expenses as % of Sales</v>
      </c>
      <c r="K1878" s="315" t="str">
        <f t="shared" si="162"/>
        <v>130Parts Other Expenses - Toyota</v>
      </c>
      <c r="L1878" s="311">
        <f>+SUMIF('TUNZ Extracted TB'!M:M,$P1878,'TUNZ Extracted TB'!G:G)</f>
        <v>1069.9100000000001</v>
      </c>
      <c r="M1878" s="311"/>
      <c r="N1878" s="311">
        <f>+SUMIF('Input Sheet'!$AE:$AE,P1878,'Input Sheet'!$X:$X)</f>
        <v>0</v>
      </c>
      <c r="O1878" s="311"/>
      <c r="P1878" t="str">
        <f t="shared" si="163"/>
        <v>130-7332</v>
      </c>
      <c r="Q1878" s="315" t="str">
        <f t="shared" si="164"/>
        <v>Parts</v>
      </c>
      <c r="R1878" s="315" t="str">
        <f t="shared" si="165"/>
        <v>PartsOther Expenses as % of Sales</v>
      </c>
      <c r="S1878" s="199"/>
      <c r="T1878" s="199"/>
      <c r="U1878" s="199"/>
    </row>
    <row r="1879" spans="1:21" x14ac:dyDescent="0.25">
      <c r="A1879" t="s">
        <v>996</v>
      </c>
      <c r="B1879" t="s">
        <v>997</v>
      </c>
      <c r="C1879" t="s">
        <v>997</v>
      </c>
      <c r="D1879">
        <v>7332</v>
      </c>
      <c r="E1879">
        <v>132</v>
      </c>
      <c r="F1879" t="s">
        <v>1321</v>
      </c>
      <c r="G1879" t="s">
        <v>1322</v>
      </c>
      <c r="H1879" s="315" t="s">
        <v>143</v>
      </c>
      <c r="I1879" s="315" t="s">
        <v>1286</v>
      </c>
      <c r="J1879" s="315" t="str">
        <f t="shared" si="161"/>
        <v>LEX PartsOther Expenses as % of Sales</v>
      </c>
      <c r="K1879" s="315" t="str">
        <f t="shared" si="162"/>
        <v>132Parts Other Expenses - Lexus</v>
      </c>
      <c r="L1879" s="311">
        <f>+SUMIF('TUNZ Extracted TB'!M:M,$P1879,'TUNZ Extracted TB'!G:G)</f>
        <v>0</v>
      </c>
      <c r="M1879" s="311"/>
      <c r="N1879" s="311">
        <f>+SUMIF('Input Sheet'!$AE:$AE,P1879,'Input Sheet'!$X:$X)</f>
        <v>0</v>
      </c>
      <c r="O1879" s="311"/>
      <c r="P1879" t="str">
        <f t="shared" si="163"/>
        <v>132-7332</v>
      </c>
      <c r="Q1879" s="315" t="str">
        <f t="shared" si="164"/>
        <v>LEX Parts</v>
      </c>
      <c r="R1879" s="315" t="str">
        <f t="shared" si="165"/>
        <v>LEX PartsOther Expenses as % of Sales</v>
      </c>
      <c r="S1879" s="199"/>
      <c r="T1879" s="199"/>
      <c r="U1879" s="199"/>
    </row>
    <row r="1880" spans="1:21" x14ac:dyDescent="0.25">
      <c r="A1880" t="s">
        <v>996</v>
      </c>
      <c r="B1880" t="s">
        <v>997</v>
      </c>
      <c r="C1880" t="s">
        <v>1012</v>
      </c>
      <c r="D1880">
        <v>7332</v>
      </c>
      <c r="E1880">
        <v>400</v>
      </c>
      <c r="F1880" t="s">
        <v>1319</v>
      </c>
      <c r="G1880" t="s">
        <v>1320</v>
      </c>
      <c r="H1880" s="315" t="s">
        <v>29</v>
      </c>
      <c r="I1880" s="315" t="s">
        <v>1314</v>
      </c>
      <c r="J1880" s="315" t="str">
        <f t="shared" si="161"/>
        <v>New VehicleDemo Expenses (incl. interest) p.u.</v>
      </c>
      <c r="K1880" s="315" t="str">
        <f t="shared" si="162"/>
        <v>400NV Demo Expenses - Toyota</v>
      </c>
      <c r="L1880" s="311">
        <f>+SUMIF('TUNZ Extracted TB'!M:M,$P1880,'TUNZ Extracted TB'!G:G)</f>
        <v>0</v>
      </c>
      <c r="M1880" s="311"/>
      <c r="N1880" s="311">
        <f>+SUMIF('Input Sheet'!$AE:$AE,P1880,'Input Sheet'!$X:$X)</f>
        <v>0</v>
      </c>
      <c r="O1880" s="311"/>
      <c r="P1880" t="str">
        <f t="shared" si="163"/>
        <v>400-7332</v>
      </c>
      <c r="Q1880" s="315" t="str">
        <f t="shared" si="164"/>
        <v>New Vehicle</v>
      </c>
      <c r="R1880" s="315" t="str">
        <f t="shared" si="165"/>
        <v>New VehicleDemo Expenses (incl. interest) p.u.</v>
      </c>
      <c r="S1880" s="199"/>
      <c r="T1880" s="199"/>
      <c r="U1880" s="199"/>
    </row>
    <row r="1881" spans="1:21" x14ac:dyDescent="0.25">
      <c r="A1881" t="s">
        <v>996</v>
      </c>
      <c r="B1881" t="s">
        <v>997</v>
      </c>
      <c r="C1881" t="s">
        <v>1012</v>
      </c>
      <c r="D1881">
        <v>7332</v>
      </c>
      <c r="E1881">
        <v>410</v>
      </c>
      <c r="F1881" t="s">
        <v>1319</v>
      </c>
      <c r="G1881" t="s">
        <v>1320</v>
      </c>
      <c r="H1881" s="315" t="s">
        <v>29</v>
      </c>
      <c r="I1881" s="315" t="s">
        <v>1314</v>
      </c>
      <c r="J1881" s="315" t="str">
        <f t="shared" si="161"/>
        <v>New VehicleDemo Expenses (incl. interest) p.u.</v>
      </c>
      <c r="K1881" s="315" t="str">
        <f t="shared" si="162"/>
        <v>410NV Demo Expenses - Toyota</v>
      </c>
      <c r="L1881" s="311">
        <f>+SUMIF('TUNZ Extracted TB'!M:M,$P1881,'TUNZ Extracted TB'!G:G)</f>
        <v>0</v>
      </c>
      <c r="M1881" s="311"/>
      <c r="N1881" s="311">
        <f>+SUMIF('Input Sheet'!$AE:$AE,P1881,'Input Sheet'!$X:$X)</f>
        <v>0</v>
      </c>
      <c r="O1881" s="311"/>
      <c r="P1881" t="str">
        <f t="shared" si="163"/>
        <v>410-7332</v>
      </c>
      <c r="Q1881" s="315" t="str">
        <f t="shared" si="164"/>
        <v>New Vehicle</v>
      </c>
      <c r="R1881" s="315" t="str">
        <f t="shared" si="165"/>
        <v>New VehicleDemo Expenses (incl. interest) p.u.</v>
      </c>
      <c r="S1881" s="199"/>
      <c r="T1881" s="199"/>
      <c r="U1881" s="199"/>
    </row>
    <row r="1882" spans="1:21" x14ac:dyDescent="0.25">
      <c r="A1882" t="s">
        <v>996</v>
      </c>
      <c r="B1882" t="s">
        <v>997</v>
      </c>
      <c r="C1882" t="s">
        <v>1013</v>
      </c>
      <c r="D1882">
        <v>7332</v>
      </c>
      <c r="E1882">
        <v>300</v>
      </c>
      <c r="F1882" t="s">
        <v>1319</v>
      </c>
      <c r="G1882" t="s">
        <v>1320</v>
      </c>
      <c r="H1882" s="315" t="s">
        <v>29</v>
      </c>
      <c r="I1882" s="315" t="s">
        <v>1314</v>
      </c>
      <c r="J1882" s="315" t="str">
        <f t="shared" si="161"/>
        <v>New VehicleDemo Expenses (incl. interest) p.u.</v>
      </c>
      <c r="K1882" s="315" t="str">
        <f t="shared" si="162"/>
        <v>300NV Demo Expenses - Toyota</v>
      </c>
      <c r="L1882" s="311">
        <f>+SUMIF('TUNZ Extracted TB'!M:M,$P1882,'TUNZ Extracted TB'!G:G)</f>
        <v>0</v>
      </c>
      <c r="M1882" s="311"/>
      <c r="N1882" s="311">
        <f>+SUMIF('Input Sheet'!$AE:$AE,P1882,'Input Sheet'!$X:$X)</f>
        <v>0</v>
      </c>
      <c r="O1882" s="311"/>
      <c r="P1882" t="str">
        <f t="shared" si="163"/>
        <v>300-7332</v>
      </c>
      <c r="Q1882" s="315" t="str">
        <f t="shared" si="164"/>
        <v>New Vehicle</v>
      </c>
      <c r="R1882" s="315" t="str">
        <f t="shared" si="165"/>
        <v>New VehicleDemo Expenses (incl. interest) p.u.</v>
      </c>
      <c r="S1882" s="199"/>
      <c r="T1882" s="199"/>
      <c r="U1882" s="199"/>
    </row>
    <row r="1883" spans="1:21" x14ac:dyDescent="0.25">
      <c r="A1883" t="s">
        <v>996</v>
      </c>
      <c r="B1883" t="s">
        <v>997</v>
      </c>
      <c r="C1883" t="s">
        <v>997</v>
      </c>
      <c r="D1883">
        <v>7332</v>
      </c>
      <c r="E1883">
        <v>162</v>
      </c>
      <c r="F1883" t="s">
        <v>1323</v>
      </c>
      <c r="G1883" t="s">
        <v>1324</v>
      </c>
      <c r="H1883" s="315" t="s">
        <v>142</v>
      </c>
      <c r="I1883" s="315" t="s">
        <v>1295</v>
      </c>
      <c r="J1883" s="315" t="str">
        <f t="shared" si="161"/>
        <v>LEX F&amp;IOther Expenses per vehicle retailed</v>
      </c>
      <c r="K1883" s="315" t="str">
        <f t="shared" si="162"/>
        <v>162F&amp;I Other expenses - Lexus</v>
      </c>
      <c r="L1883" s="311">
        <f>+SUMIF('TUNZ Extracted TB'!M:M,$P1883,'TUNZ Extracted TB'!G:G)</f>
        <v>0</v>
      </c>
      <c r="M1883" s="311"/>
      <c r="N1883" s="311">
        <f>+SUMIF('Input Sheet'!$AE:$AE,P1883,'Input Sheet'!$X:$X)</f>
        <v>0</v>
      </c>
      <c r="O1883" s="311"/>
      <c r="P1883" t="str">
        <f t="shared" si="163"/>
        <v>162-7332</v>
      </c>
      <c r="Q1883" s="315" t="str">
        <f t="shared" si="164"/>
        <v>LEX F&amp;I</v>
      </c>
      <c r="R1883" s="315" t="str">
        <f t="shared" si="165"/>
        <v>LEX F&amp;IOther Expenses per vehicle retailed</v>
      </c>
      <c r="S1883" s="199"/>
      <c r="T1883" s="199"/>
      <c r="U1883" s="199"/>
    </row>
    <row r="1884" spans="1:21" x14ac:dyDescent="0.25">
      <c r="A1884" t="s">
        <v>996</v>
      </c>
      <c r="B1884" t="s">
        <v>997</v>
      </c>
      <c r="C1884" t="s">
        <v>1012</v>
      </c>
      <c r="D1884">
        <v>7332</v>
      </c>
      <c r="E1884">
        <v>460</v>
      </c>
      <c r="F1884" t="s">
        <v>1293</v>
      </c>
      <c r="G1884" t="s">
        <v>1294</v>
      </c>
      <c r="H1884" s="315" t="s">
        <v>16</v>
      </c>
      <c r="I1884" s="315" t="s">
        <v>1295</v>
      </c>
      <c r="J1884" s="315" t="str">
        <f t="shared" si="161"/>
        <v>F&amp;IOther Expenses per vehicle retailed</v>
      </c>
      <c r="K1884" s="315" t="str">
        <f t="shared" si="162"/>
        <v>460F&amp;I Other expenses - Toyota</v>
      </c>
      <c r="L1884" s="311">
        <f>+SUMIF('TUNZ Extracted TB'!M:M,$P1884,'TUNZ Extracted TB'!G:G)</f>
        <v>0</v>
      </c>
      <c r="M1884" s="311"/>
      <c r="N1884" s="311">
        <f>+SUMIF('Input Sheet'!$AE:$AE,P1884,'Input Sheet'!$X:$X)</f>
        <v>0</v>
      </c>
      <c r="O1884" s="311"/>
      <c r="P1884" t="str">
        <f t="shared" si="163"/>
        <v>460-7332</v>
      </c>
      <c r="Q1884" s="315" t="str">
        <f t="shared" si="164"/>
        <v>F&amp;I</v>
      </c>
      <c r="R1884" s="315" t="str">
        <f t="shared" si="165"/>
        <v>F&amp;IOther Expenses per vehicle retailed</v>
      </c>
      <c r="S1884" s="199"/>
      <c r="T1884" s="199"/>
      <c r="U1884" s="199"/>
    </row>
    <row r="1885" spans="1:21" x14ac:dyDescent="0.25">
      <c r="A1885" t="s">
        <v>996</v>
      </c>
      <c r="B1885" t="s">
        <v>997</v>
      </c>
      <c r="C1885" t="s">
        <v>1013</v>
      </c>
      <c r="D1885">
        <v>7332</v>
      </c>
      <c r="E1885">
        <v>360</v>
      </c>
      <c r="F1885" t="s">
        <v>1293</v>
      </c>
      <c r="G1885" t="s">
        <v>1294</v>
      </c>
      <c r="H1885" s="315" t="s">
        <v>16</v>
      </c>
      <c r="I1885" s="315" t="s">
        <v>1295</v>
      </c>
      <c r="J1885" s="315" t="str">
        <f t="shared" si="161"/>
        <v>F&amp;IOther Expenses per vehicle retailed</v>
      </c>
      <c r="K1885" s="315" t="str">
        <f t="shared" si="162"/>
        <v>360F&amp;I Other expenses - Toyota</v>
      </c>
      <c r="L1885" s="311">
        <f>+SUMIF('TUNZ Extracted TB'!M:M,$P1885,'TUNZ Extracted TB'!G:G)</f>
        <v>0</v>
      </c>
      <c r="M1885" s="311"/>
      <c r="N1885" s="311">
        <f>+SUMIF('Input Sheet'!$AE:$AE,P1885,'Input Sheet'!$X:$X)</f>
        <v>0</v>
      </c>
      <c r="O1885" s="311"/>
      <c r="P1885" t="str">
        <f t="shared" si="163"/>
        <v>360-7332</v>
      </c>
      <c r="Q1885" s="315" t="str">
        <f t="shared" si="164"/>
        <v>F&amp;I</v>
      </c>
      <c r="R1885" s="315" t="str">
        <f t="shared" si="165"/>
        <v>F&amp;IOther Expenses per vehicle retailed</v>
      </c>
      <c r="S1885" s="199"/>
      <c r="T1885" s="199"/>
      <c r="U1885" s="199"/>
    </row>
    <row r="1886" spans="1:21" x14ac:dyDescent="0.25">
      <c r="A1886" t="s">
        <v>996</v>
      </c>
      <c r="B1886" t="s">
        <v>997</v>
      </c>
      <c r="C1886" t="s">
        <v>1013</v>
      </c>
      <c r="D1886">
        <v>7332</v>
      </c>
      <c r="E1886">
        <v>310</v>
      </c>
      <c r="F1886" t="s">
        <v>1319</v>
      </c>
      <c r="G1886" t="s">
        <v>1320</v>
      </c>
      <c r="H1886" s="315" t="s">
        <v>29</v>
      </c>
      <c r="I1886" s="315" t="s">
        <v>1314</v>
      </c>
      <c r="J1886" s="315" t="str">
        <f t="shared" si="161"/>
        <v>New VehicleDemo Expenses (incl. interest) p.u.</v>
      </c>
      <c r="K1886" s="315" t="str">
        <f t="shared" si="162"/>
        <v>310NV Demo Expenses - Toyota</v>
      </c>
      <c r="L1886" s="311">
        <f>+SUMIF('TUNZ Extracted TB'!M:M,$P1886,'TUNZ Extracted TB'!G:G)</f>
        <v>0</v>
      </c>
      <c r="M1886" s="311"/>
      <c r="N1886" s="311">
        <f>+SUMIF('Input Sheet'!$AE:$AE,P1886,'Input Sheet'!$X:$X)</f>
        <v>0</v>
      </c>
      <c r="O1886" s="311"/>
      <c r="P1886" t="str">
        <f t="shared" si="163"/>
        <v>310-7332</v>
      </c>
      <c r="Q1886" s="315" t="str">
        <f t="shared" si="164"/>
        <v>New Vehicle</v>
      </c>
      <c r="R1886" s="315" t="str">
        <f t="shared" si="165"/>
        <v>New VehicleDemo Expenses (incl. interest) p.u.</v>
      </c>
      <c r="S1886" s="199"/>
      <c r="T1886" s="199"/>
      <c r="U1886" s="199"/>
    </row>
    <row r="1887" spans="1:21" x14ac:dyDescent="0.25">
      <c r="A1887" t="s">
        <v>996</v>
      </c>
      <c r="B1887" t="s">
        <v>997</v>
      </c>
      <c r="C1887" t="s">
        <v>997</v>
      </c>
      <c r="D1887">
        <v>7333</v>
      </c>
      <c r="E1887">
        <v>110</v>
      </c>
      <c r="F1887" t="s">
        <v>1360</v>
      </c>
      <c r="G1887" t="s">
        <v>1361</v>
      </c>
      <c r="H1887" s="315" t="s">
        <v>29</v>
      </c>
      <c r="I1887" s="315" t="s">
        <v>1359</v>
      </c>
      <c r="J1887" s="315" t="str">
        <f t="shared" si="161"/>
        <v>New VehicleOther Semi-Fixed Expenses p.u</v>
      </c>
      <c r="K1887" s="315" t="str">
        <f t="shared" si="162"/>
        <v>110NV Other Semi-Fixed expenses - Toyota</v>
      </c>
      <c r="L1887" s="311">
        <f>+SUMIF('TUNZ Extracted TB'!M:M,$P1887,'TUNZ Extracted TB'!G:G)</f>
        <v>1456.02</v>
      </c>
      <c r="M1887" s="311"/>
      <c r="N1887" s="311">
        <f>+SUMIF('Input Sheet'!$AE:$AE,P1887,'Input Sheet'!$X:$X)</f>
        <v>0</v>
      </c>
      <c r="O1887" s="311"/>
      <c r="P1887" t="str">
        <f t="shared" si="163"/>
        <v>110-7333</v>
      </c>
      <c r="Q1887" s="315" t="str">
        <f t="shared" si="164"/>
        <v>New Vehicle</v>
      </c>
      <c r="R1887" s="315" t="str">
        <f t="shared" si="165"/>
        <v>New VehicleOther Semi-Fixed Expenses p.u</v>
      </c>
      <c r="S1887" s="199"/>
      <c r="T1887" s="199"/>
      <c r="U1887" s="199"/>
    </row>
    <row r="1888" spans="1:21" x14ac:dyDescent="0.25">
      <c r="A1888" t="s">
        <v>996</v>
      </c>
      <c r="B1888" t="s">
        <v>997</v>
      </c>
      <c r="C1888" t="s">
        <v>997</v>
      </c>
      <c r="D1888">
        <v>7333</v>
      </c>
      <c r="E1888">
        <v>112</v>
      </c>
      <c r="F1888" t="s">
        <v>1312</v>
      </c>
      <c r="G1888" t="s">
        <v>1313</v>
      </c>
      <c r="H1888" s="315" t="s">
        <v>1011</v>
      </c>
      <c r="I1888" s="315" t="s">
        <v>1314</v>
      </c>
      <c r="J1888" s="315" t="str">
        <f t="shared" si="161"/>
        <v>LEX New VehicleDemo Expenses (incl. interest) p.u.</v>
      </c>
      <c r="K1888" s="315" t="str">
        <f t="shared" si="162"/>
        <v>112NV Demo Expenses - Lexus</v>
      </c>
      <c r="L1888" s="311">
        <f>+SUMIF('TUNZ Extracted TB'!M:M,$P1888,'TUNZ Extracted TB'!G:G)</f>
        <v>2078</v>
      </c>
      <c r="M1888" s="311"/>
      <c r="N1888" s="311">
        <f>+SUMIF('Input Sheet'!$AE:$AE,P1888,'Input Sheet'!$X:$X)</f>
        <v>0</v>
      </c>
      <c r="O1888" s="311"/>
      <c r="P1888" t="str">
        <f t="shared" si="163"/>
        <v>112-7333</v>
      </c>
      <c r="Q1888" s="315" t="str">
        <f t="shared" si="164"/>
        <v>LEX New Vehicle</v>
      </c>
      <c r="R1888" s="315" t="str">
        <f t="shared" si="165"/>
        <v>LEX New VehicleDemo Expenses (incl. interest) p.u.</v>
      </c>
      <c r="S1888" s="199"/>
      <c r="T1888" s="199"/>
      <c r="U1888" s="199"/>
    </row>
    <row r="1889" spans="1:21" x14ac:dyDescent="0.25">
      <c r="A1889" t="s">
        <v>996</v>
      </c>
      <c r="B1889" t="s">
        <v>997</v>
      </c>
      <c r="C1889" t="s">
        <v>997</v>
      </c>
      <c r="D1889">
        <v>7333</v>
      </c>
      <c r="E1889">
        <v>100</v>
      </c>
      <c r="F1889" t="s">
        <v>1319</v>
      </c>
      <c r="G1889" t="s">
        <v>1320</v>
      </c>
      <c r="H1889" s="315" t="s">
        <v>29</v>
      </c>
      <c r="I1889" s="315" t="s">
        <v>1314</v>
      </c>
      <c r="J1889" s="315" t="str">
        <f t="shared" si="161"/>
        <v>New VehicleDemo Expenses (incl. interest) p.u.</v>
      </c>
      <c r="K1889" s="315" t="str">
        <f t="shared" si="162"/>
        <v>100NV Demo Expenses - Toyota</v>
      </c>
      <c r="L1889" s="311">
        <f>+SUMIF('TUNZ Extracted TB'!M:M,$P1889,'TUNZ Extracted TB'!G:G)</f>
        <v>0</v>
      </c>
      <c r="M1889" s="311"/>
      <c r="N1889" s="311">
        <f>+SUMIF('Input Sheet'!$AE:$AE,P1889,'Input Sheet'!$X:$X)</f>
        <v>0</v>
      </c>
      <c r="O1889" s="311"/>
      <c r="P1889" t="str">
        <f t="shared" si="163"/>
        <v>100-7333</v>
      </c>
      <c r="Q1889" s="315" t="str">
        <f t="shared" si="164"/>
        <v>New Vehicle</v>
      </c>
      <c r="R1889" s="315" t="str">
        <f t="shared" si="165"/>
        <v>New VehicleDemo Expenses (incl. interest) p.u.</v>
      </c>
      <c r="S1889" s="199"/>
      <c r="T1889" s="199"/>
      <c r="U1889" s="199"/>
    </row>
    <row r="1890" spans="1:21" x14ac:dyDescent="0.25">
      <c r="A1890" t="s">
        <v>996</v>
      </c>
      <c r="B1890" t="s">
        <v>997</v>
      </c>
      <c r="C1890" t="s">
        <v>1005</v>
      </c>
      <c r="D1890">
        <v>7333</v>
      </c>
      <c r="E1890">
        <v>200</v>
      </c>
      <c r="F1890" t="s">
        <v>1319</v>
      </c>
      <c r="G1890" t="s">
        <v>1320</v>
      </c>
      <c r="H1890" s="315" t="s">
        <v>29</v>
      </c>
      <c r="I1890" s="315" t="s">
        <v>1314</v>
      </c>
      <c r="J1890" s="315" t="str">
        <f t="shared" si="161"/>
        <v>New VehicleDemo Expenses (incl. interest) p.u.</v>
      </c>
      <c r="K1890" s="315" t="str">
        <f t="shared" si="162"/>
        <v>200NV Demo Expenses - Toyota</v>
      </c>
      <c r="L1890" s="311">
        <f>+SUMIF('TUNZ Extracted TB'!M:M,$P1890,'TUNZ Extracted TB'!G:G)</f>
        <v>0</v>
      </c>
      <c r="M1890" s="311"/>
      <c r="N1890" s="311">
        <f>+SUMIF('Input Sheet'!$AE:$AE,P1890,'Input Sheet'!$X:$X)</f>
        <v>0</v>
      </c>
      <c r="O1890" s="311"/>
      <c r="P1890" t="str">
        <f t="shared" si="163"/>
        <v>200-7333</v>
      </c>
      <c r="Q1890" s="315" t="str">
        <f t="shared" si="164"/>
        <v>New Vehicle</v>
      </c>
      <c r="R1890" s="315" t="str">
        <f t="shared" si="165"/>
        <v>New VehicleDemo Expenses (incl. interest) p.u.</v>
      </c>
      <c r="S1890" s="199"/>
      <c r="T1890" s="199"/>
      <c r="U1890" s="199"/>
    </row>
    <row r="1891" spans="1:21" x14ac:dyDescent="0.25">
      <c r="A1891" t="s">
        <v>996</v>
      </c>
      <c r="B1891" t="s">
        <v>997</v>
      </c>
      <c r="C1891" t="s">
        <v>997</v>
      </c>
      <c r="D1891">
        <v>7332</v>
      </c>
      <c r="E1891">
        <v>147</v>
      </c>
      <c r="F1891" t="s">
        <v>1289</v>
      </c>
      <c r="G1891" t="s">
        <v>1290</v>
      </c>
      <c r="H1891" s="315" t="s">
        <v>17</v>
      </c>
      <c r="I1891" s="315" t="s">
        <v>1286</v>
      </c>
      <c r="J1891" s="315" t="str">
        <f t="shared" si="161"/>
        <v>ServiceOther Expenses as % of Sales</v>
      </c>
      <c r="K1891" s="315" t="str">
        <f t="shared" si="162"/>
        <v>147Service Other expenses - Toyota</v>
      </c>
      <c r="L1891" s="311">
        <f>+SUMIF('TUNZ Extracted TB'!M:M,$P1891,'TUNZ Extracted TB'!G:G)</f>
        <v>0</v>
      </c>
      <c r="M1891" s="311"/>
      <c r="N1891" s="311">
        <f>+SUMIF('Input Sheet'!$AE:$AE,P1891,'Input Sheet'!$X:$X)</f>
        <v>0</v>
      </c>
      <c r="O1891" s="311"/>
      <c r="P1891" t="str">
        <f t="shared" si="163"/>
        <v>147-7332</v>
      </c>
      <c r="Q1891" s="315" t="str">
        <f t="shared" si="164"/>
        <v>Service</v>
      </c>
      <c r="R1891" s="315" t="str">
        <f t="shared" si="165"/>
        <v>ServiceOther Expenses as % of Sales</v>
      </c>
      <c r="S1891" s="199"/>
      <c r="T1891" s="199"/>
      <c r="U1891" s="199"/>
    </row>
    <row r="1892" spans="1:21" x14ac:dyDescent="0.25">
      <c r="A1892" t="s">
        <v>996</v>
      </c>
      <c r="B1892" t="s">
        <v>997</v>
      </c>
      <c r="C1892" t="s">
        <v>1005</v>
      </c>
      <c r="D1892">
        <v>7332</v>
      </c>
      <c r="E1892">
        <v>221</v>
      </c>
      <c r="F1892" t="s">
        <v>1328</v>
      </c>
      <c r="G1892" t="s">
        <v>1329</v>
      </c>
      <c r="H1892" s="315" t="s">
        <v>30</v>
      </c>
      <c r="I1892" s="315" t="s">
        <v>1327</v>
      </c>
      <c r="J1892" s="315" t="str">
        <f t="shared" si="161"/>
        <v>Used VehicleOther Semi-Fixed expenses per retail</v>
      </c>
      <c r="K1892" s="315" t="str">
        <f t="shared" si="162"/>
        <v>221Toyota UV Other Semi-Fixed expenses</v>
      </c>
      <c r="L1892" s="311">
        <f>+SUMIF('TUNZ Extracted TB'!M:M,$P1892,'TUNZ Extracted TB'!G:G)</f>
        <v>0</v>
      </c>
      <c r="M1892" s="311"/>
      <c r="N1892" s="311">
        <f>+SUMIF('Input Sheet'!$AE:$AE,P1892,'Input Sheet'!$X:$X)</f>
        <v>0</v>
      </c>
      <c r="O1892" s="311"/>
      <c r="P1892" t="str">
        <f t="shared" si="163"/>
        <v>221-7332</v>
      </c>
      <c r="Q1892" s="315" t="str">
        <f t="shared" si="164"/>
        <v>Used Vehicle</v>
      </c>
      <c r="R1892" s="315" t="str">
        <f t="shared" si="165"/>
        <v>Used VehicleOther Semi-Fixed expenses per retail</v>
      </c>
      <c r="S1892" s="199"/>
      <c r="T1892" s="199"/>
      <c r="U1892" s="199"/>
    </row>
    <row r="1893" spans="1:21" x14ac:dyDescent="0.25">
      <c r="A1893" t="s">
        <v>996</v>
      </c>
      <c r="B1893" t="s">
        <v>997</v>
      </c>
      <c r="C1893" t="s">
        <v>1012</v>
      </c>
      <c r="D1893">
        <v>7332</v>
      </c>
      <c r="E1893">
        <v>420</v>
      </c>
      <c r="F1893" t="s">
        <v>1328</v>
      </c>
      <c r="G1893" t="s">
        <v>1329</v>
      </c>
      <c r="H1893" s="315" t="s">
        <v>30</v>
      </c>
      <c r="I1893" s="315" t="s">
        <v>1327</v>
      </c>
      <c r="J1893" s="315" t="str">
        <f t="shared" si="161"/>
        <v>Used VehicleOther Semi-Fixed expenses per retail</v>
      </c>
      <c r="K1893" s="315" t="str">
        <f t="shared" si="162"/>
        <v>420Toyota UV Other Semi-Fixed expenses</v>
      </c>
      <c r="L1893" s="311">
        <f>+SUMIF('TUNZ Extracted TB'!M:M,$P1893,'TUNZ Extracted TB'!G:G)</f>
        <v>0</v>
      </c>
      <c r="M1893" s="311"/>
      <c r="N1893" s="311">
        <f>+SUMIF('Input Sheet'!$AE:$AE,P1893,'Input Sheet'!$X:$X)</f>
        <v>0</v>
      </c>
      <c r="O1893" s="311"/>
      <c r="P1893" t="str">
        <f t="shared" si="163"/>
        <v>420-7332</v>
      </c>
      <c r="Q1893" s="315" t="str">
        <f t="shared" si="164"/>
        <v>Used Vehicle</v>
      </c>
      <c r="R1893" s="315" t="str">
        <f t="shared" si="165"/>
        <v>Used VehicleOther Semi-Fixed expenses per retail</v>
      </c>
      <c r="S1893" s="199"/>
      <c r="T1893" s="199"/>
      <c r="U1893" s="199"/>
    </row>
    <row r="1894" spans="1:21" x14ac:dyDescent="0.25">
      <c r="A1894" t="s">
        <v>996</v>
      </c>
      <c r="B1894" t="s">
        <v>997</v>
      </c>
      <c r="C1894" t="s">
        <v>1012</v>
      </c>
      <c r="D1894">
        <v>7332</v>
      </c>
      <c r="E1894">
        <v>421</v>
      </c>
      <c r="F1894" t="s">
        <v>1328</v>
      </c>
      <c r="G1894" t="s">
        <v>1329</v>
      </c>
      <c r="H1894" s="315" t="s">
        <v>30</v>
      </c>
      <c r="I1894" s="315" t="s">
        <v>1327</v>
      </c>
      <c r="J1894" s="315" t="str">
        <f t="shared" si="161"/>
        <v>Used VehicleOther Semi-Fixed expenses per retail</v>
      </c>
      <c r="K1894" s="315" t="str">
        <f t="shared" si="162"/>
        <v>421Toyota UV Other Semi-Fixed expenses</v>
      </c>
      <c r="L1894" s="311">
        <f>+SUMIF('TUNZ Extracted TB'!M:M,$P1894,'TUNZ Extracted TB'!G:G)</f>
        <v>0</v>
      </c>
      <c r="M1894" s="311"/>
      <c r="N1894" s="311">
        <f>+SUMIF('Input Sheet'!$AE:$AE,P1894,'Input Sheet'!$X:$X)</f>
        <v>0</v>
      </c>
      <c r="O1894" s="311"/>
      <c r="P1894" t="str">
        <f t="shared" si="163"/>
        <v>421-7332</v>
      </c>
      <c r="Q1894" s="315" t="str">
        <f t="shared" si="164"/>
        <v>Used Vehicle</v>
      </c>
      <c r="R1894" s="315" t="str">
        <f t="shared" si="165"/>
        <v>Used VehicleOther Semi-Fixed expenses per retail</v>
      </c>
      <c r="S1894" s="199"/>
      <c r="T1894" s="199"/>
      <c r="U1894" s="199"/>
    </row>
    <row r="1895" spans="1:21" x14ac:dyDescent="0.25">
      <c r="A1895" t="s">
        <v>996</v>
      </c>
      <c r="B1895" t="s">
        <v>997</v>
      </c>
      <c r="C1895" t="s">
        <v>1013</v>
      </c>
      <c r="D1895">
        <v>7332</v>
      </c>
      <c r="E1895">
        <v>321</v>
      </c>
      <c r="F1895" t="s">
        <v>1328</v>
      </c>
      <c r="G1895" t="s">
        <v>1329</v>
      </c>
      <c r="H1895" s="315" t="s">
        <v>30</v>
      </c>
      <c r="I1895" s="315" t="s">
        <v>1327</v>
      </c>
      <c r="J1895" s="315" t="str">
        <f t="shared" si="161"/>
        <v>Used VehicleOther Semi-Fixed expenses per retail</v>
      </c>
      <c r="K1895" s="315" t="str">
        <f t="shared" si="162"/>
        <v>321Toyota UV Other Semi-Fixed expenses</v>
      </c>
      <c r="L1895" s="311">
        <f>+SUMIF('TUNZ Extracted TB'!M:M,$P1895,'TUNZ Extracted TB'!G:G)</f>
        <v>0</v>
      </c>
      <c r="M1895" s="311"/>
      <c r="N1895" s="311">
        <f>+SUMIF('Input Sheet'!$AE:$AE,P1895,'Input Sheet'!$X:$X)</f>
        <v>0</v>
      </c>
      <c r="O1895" s="311"/>
      <c r="P1895" t="str">
        <f t="shared" si="163"/>
        <v>321-7332</v>
      </c>
      <c r="Q1895" s="315" t="str">
        <f t="shared" si="164"/>
        <v>Used Vehicle</v>
      </c>
      <c r="R1895" s="315" t="str">
        <f t="shared" si="165"/>
        <v>Used VehicleOther Semi-Fixed expenses per retail</v>
      </c>
      <c r="S1895" s="199"/>
      <c r="T1895" s="199"/>
      <c r="U1895" s="199"/>
    </row>
    <row r="1896" spans="1:21" x14ac:dyDescent="0.25">
      <c r="A1896" t="s">
        <v>996</v>
      </c>
      <c r="B1896" t="s">
        <v>997</v>
      </c>
      <c r="C1896" t="s">
        <v>997</v>
      </c>
      <c r="D1896">
        <v>7332</v>
      </c>
      <c r="E1896">
        <v>121</v>
      </c>
      <c r="F1896" t="s">
        <v>1328</v>
      </c>
      <c r="G1896" t="s">
        <v>1329</v>
      </c>
      <c r="H1896" s="315" t="s">
        <v>30</v>
      </c>
      <c r="I1896" s="315" t="s">
        <v>1327</v>
      </c>
      <c r="J1896" s="315" t="str">
        <f t="shared" si="161"/>
        <v>Used VehicleOther Semi-Fixed expenses per retail</v>
      </c>
      <c r="K1896" s="315" t="str">
        <f t="shared" si="162"/>
        <v>121Toyota UV Other Semi-Fixed expenses</v>
      </c>
      <c r="L1896" s="311">
        <f>+SUMIF('TUNZ Extracted TB'!M:M,$P1896,'TUNZ Extracted TB'!G:G)</f>
        <v>-1201.9000000000001</v>
      </c>
      <c r="M1896" s="311"/>
      <c r="N1896" s="311">
        <f>+SUMIF('Input Sheet'!$AE:$AE,P1896,'Input Sheet'!$X:$X)</f>
        <v>0</v>
      </c>
      <c r="O1896" s="311"/>
      <c r="P1896" t="str">
        <f t="shared" si="163"/>
        <v>121-7332</v>
      </c>
      <c r="Q1896" s="315" t="str">
        <f t="shared" si="164"/>
        <v>Used Vehicle</v>
      </c>
      <c r="R1896" s="315" t="str">
        <f t="shared" si="165"/>
        <v>Used VehicleOther Semi-Fixed expenses per retail</v>
      </c>
      <c r="S1896" s="199"/>
      <c r="T1896" s="199"/>
      <c r="U1896" s="199"/>
    </row>
    <row r="1897" spans="1:21" x14ac:dyDescent="0.25">
      <c r="A1897" t="s">
        <v>996</v>
      </c>
      <c r="B1897" t="s">
        <v>997</v>
      </c>
      <c r="C1897" t="s">
        <v>1012</v>
      </c>
      <c r="D1897">
        <v>7333</v>
      </c>
      <c r="E1897">
        <v>440</v>
      </c>
      <c r="F1897" t="s">
        <v>1289</v>
      </c>
      <c r="G1897" t="s">
        <v>1290</v>
      </c>
      <c r="H1897" s="315" t="s">
        <v>17</v>
      </c>
      <c r="I1897" s="315" t="s">
        <v>1286</v>
      </c>
      <c r="J1897" s="315" t="str">
        <f t="shared" si="161"/>
        <v>ServiceOther Expenses as % of Sales</v>
      </c>
      <c r="K1897" s="315" t="str">
        <f t="shared" si="162"/>
        <v>440Service Other expenses - Toyota</v>
      </c>
      <c r="L1897" s="311">
        <f>+SUMIF('TUNZ Extracted TB'!M:M,$P1897,'TUNZ Extracted TB'!G:G)</f>
        <v>326.41000000000003</v>
      </c>
      <c r="M1897" s="311"/>
      <c r="N1897" s="311">
        <f>+SUMIF('Input Sheet'!$AE:$AE,P1897,'Input Sheet'!$X:$X)</f>
        <v>0</v>
      </c>
      <c r="O1897" s="311"/>
      <c r="P1897" t="str">
        <f t="shared" si="163"/>
        <v>440-7333</v>
      </c>
      <c r="Q1897" s="315" t="str">
        <f t="shared" si="164"/>
        <v>Service</v>
      </c>
      <c r="R1897" s="315" t="str">
        <f t="shared" si="165"/>
        <v>ServiceOther Expenses as % of Sales</v>
      </c>
      <c r="S1897" s="199"/>
      <c r="T1897" s="199"/>
      <c r="U1897" s="199"/>
    </row>
    <row r="1898" spans="1:21" x14ac:dyDescent="0.25">
      <c r="A1898" t="s">
        <v>996</v>
      </c>
      <c r="B1898" t="s">
        <v>997</v>
      </c>
      <c r="C1898" t="s">
        <v>1013</v>
      </c>
      <c r="D1898">
        <v>7333</v>
      </c>
      <c r="E1898">
        <v>340</v>
      </c>
      <c r="F1898" t="s">
        <v>1289</v>
      </c>
      <c r="G1898" t="s">
        <v>1290</v>
      </c>
      <c r="H1898" s="315" t="s">
        <v>17</v>
      </c>
      <c r="I1898" s="315" t="s">
        <v>1286</v>
      </c>
      <c r="J1898" s="315" t="str">
        <f t="shared" si="161"/>
        <v>ServiceOther Expenses as % of Sales</v>
      </c>
      <c r="K1898" s="315" t="str">
        <f t="shared" si="162"/>
        <v>340Service Other expenses - Toyota</v>
      </c>
      <c r="L1898" s="311">
        <f>+SUMIF('TUNZ Extracted TB'!M:M,$P1898,'TUNZ Extracted TB'!G:G)</f>
        <v>30</v>
      </c>
      <c r="M1898" s="311"/>
      <c r="N1898" s="311">
        <f>+SUMIF('Input Sheet'!$AE:$AE,P1898,'Input Sheet'!$X:$X)</f>
        <v>0</v>
      </c>
      <c r="O1898" s="311"/>
      <c r="P1898" t="str">
        <f t="shared" si="163"/>
        <v>340-7333</v>
      </c>
      <c r="Q1898" s="315" t="str">
        <f t="shared" si="164"/>
        <v>Service</v>
      </c>
      <c r="R1898" s="315" t="str">
        <f t="shared" si="165"/>
        <v>ServiceOther Expenses as % of Sales</v>
      </c>
      <c r="S1898" s="199"/>
      <c r="T1898" s="199"/>
      <c r="U1898" s="199"/>
    </row>
    <row r="1899" spans="1:21" x14ac:dyDescent="0.25">
      <c r="A1899" t="s">
        <v>996</v>
      </c>
      <c r="B1899" t="s">
        <v>997</v>
      </c>
      <c r="C1899" t="s">
        <v>997</v>
      </c>
      <c r="D1899">
        <v>7333</v>
      </c>
      <c r="E1899">
        <v>122</v>
      </c>
      <c r="F1899" t="s">
        <v>1282</v>
      </c>
      <c r="G1899" t="s">
        <v>1283</v>
      </c>
      <c r="H1899" s="315" t="s">
        <v>1041</v>
      </c>
      <c r="I1899" s="315" t="s">
        <v>1327</v>
      </c>
      <c r="J1899" s="315" t="str">
        <f t="shared" si="161"/>
        <v>LEX Used VehicleOther Semi-Fixed expenses per retail</v>
      </c>
      <c r="K1899" s="315" t="str">
        <f t="shared" si="162"/>
        <v>122Lexus UV Other Variable expense</v>
      </c>
      <c r="L1899" s="311">
        <f>+SUMIF('TUNZ Extracted TB'!M:M,$P1899,'TUNZ Extracted TB'!G:G)</f>
        <v>0</v>
      </c>
      <c r="M1899" s="311"/>
      <c r="N1899" s="311">
        <f>+SUMIF('Input Sheet'!$AE:$AE,P1899,'Input Sheet'!$X:$X)</f>
        <v>0</v>
      </c>
      <c r="O1899" s="311"/>
      <c r="P1899" t="str">
        <f t="shared" si="163"/>
        <v>122-7333</v>
      </c>
      <c r="Q1899" s="315" t="str">
        <f t="shared" si="164"/>
        <v>LEX Used Vehicle</v>
      </c>
      <c r="R1899" s="315" t="str">
        <f t="shared" si="165"/>
        <v>LEX Used VehicleOther Semi-Fixed expenses per retail</v>
      </c>
      <c r="S1899" s="199"/>
      <c r="T1899" s="199"/>
      <c r="U1899" s="199"/>
    </row>
    <row r="1900" spans="1:21" x14ac:dyDescent="0.25">
      <c r="A1900" t="s">
        <v>996</v>
      </c>
      <c r="B1900" t="s">
        <v>997</v>
      </c>
      <c r="C1900" t="s">
        <v>997</v>
      </c>
      <c r="D1900">
        <v>7333</v>
      </c>
      <c r="E1900">
        <v>935</v>
      </c>
      <c r="F1900" t="s">
        <v>1175</v>
      </c>
      <c r="G1900" t="s">
        <v>1176</v>
      </c>
      <c r="H1900" s="315" t="s">
        <v>58</v>
      </c>
      <c r="I1900" s="315" t="s">
        <v>1286</v>
      </c>
      <c r="J1900" s="315" t="str">
        <f t="shared" si="161"/>
        <v>BridgestoneOther Expenses as % of Sales</v>
      </c>
      <c r="K1900" s="315" t="str">
        <f t="shared" si="162"/>
        <v>935Other franchise/business expense</v>
      </c>
      <c r="L1900" s="311">
        <f>+SUMIF('TUNZ Extracted TB'!M:M,$P1900,'TUNZ Extracted TB'!G:G)</f>
        <v>1645.08</v>
      </c>
      <c r="M1900" s="311"/>
      <c r="N1900" s="311">
        <f>+SUMIF('Input Sheet'!$AE:$AE,P1900,'Input Sheet'!$X:$X)</f>
        <v>0</v>
      </c>
      <c r="O1900" s="311"/>
      <c r="P1900" t="str">
        <f t="shared" si="163"/>
        <v>935-7333</v>
      </c>
      <c r="Q1900" s="315" t="str">
        <f t="shared" si="164"/>
        <v>Bridgestone</v>
      </c>
      <c r="R1900" s="315" t="str">
        <f t="shared" si="165"/>
        <v>BridgestoneOther Expenses as % of Sales</v>
      </c>
      <c r="S1900" s="199"/>
      <c r="T1900" s="199"/>
      <c r="U1900" s="199"/>
    </row>
    <row r="1901" spans="1:21" x14ac:dyDescent="0.25">
      <c r="A1901" s="316">
        <v>45200</v>
      </c>
      <c r="B1901" t="s">
        <v>997</v>
      </c>
      <c r="C1901" t="s">
        <v>997</v>
      </c>
      <c r="D1901">
        <v>7333</v>
      </c>
      <c r="E1901">
        <v>190</v>
      </c>
      <c r="G1901" t="s">
        <v>940</v>
      </c>
      <c r="H1901" s="315" t="s">
        <v>1000</v>
      </c>
      <c r="I1901" s="315" t="s">
        <v>1001</v>
      </c>
      <c r="J1901" s="315" t="str">
        <f t="shared" si="161"/>
        <v>Admin &amp; OtherOther Overheads as % of Total Gross Profit</v>
      </c>
      <c r="K1901" s="315" t="str">
        <f t="shared" si="162"/>
        <v>190M/V Maintenance</v>
      </c>
      <c r="L1901" s="311">
        <f>+SUMIF('TUNZ Extracted TB'!M:M,$P1901,'TUNZ Extracted TB'!G:G)</f>
        <v>5250.74</v>
      </c>
      <c r="M1901" s="311"/>
      <c r="N1901" s="311">
        <f>+SUMIF('Input Sheet'!$AE:$AE,P1901,'Input Sheet'!$X:$X)</f>
        <v>0</v>
      </c>
      <c r="O1901" s="311"/>
      <c r="P1901" t="str">
        <f t="shared" si="163"/>
        <v>190-7333</v>
      </c>
      <c r="Q1901" s="315" t="str">
        <f t="shared" si="164"/>
        <v>Admin &amp; Other</v>
      </c>
      <c r="R1901" s="315" t="str">
        <f t="shared" si="165"/>
        <v>Admin &amp; OtherOther Overheads as % of Total Gross Profit</v>
      </c>
      <c r="S1901" s="199"/>
      <c r="T1901" s="199"/>
      <c r="U1901" s="199"/>
    </row>
    <row r="1902" spans="1:21" x14ac:dyDescent="0.25">
      <c r="A1902" s="316">
        <v>44866</v>
      </c>
      <c r="B1902" t="s">
        <v>997</v>
      </c>
      <c r="C1902" t="s">
        <v>997</v>
      </c>
      <c r="D1902">
        <v>7333</v>
      </c>
      <c r="E1902">
        <v>150</v>
      </c>
      <c r="G1902" t="s">
        <v>940</v>
      </c>
      <c r="H1902" s="315" t="s">
        <v>145</v>
      </c>
      <c r="I1902" s="315" t="s">
        <v>1286</v>
      </c>
      <c r="J1902" s="315" t="str">
        <f t="shared" si="161"/>
        <v>Retail DetailingOther Expenses as % of Sales</v>
      </c>
      <c r="K1902" s="315" t="str">
        <f t="shared" si="162"/>
        <v>150M/V Maintenance</v>
      </c>
      <c r="L1902" s="311">
        <f>+SUMIF('TUNZ Extracted TB'!M:M,$P1902,'TUNZ Extracted TB'!G:G)</f>
        <v>0</v>
      </c>
      <c r="M1902" s="311"/>
      <c r="N1902" s="311">
        <f>+SUMIF('Input Sheet'!$AE:$AE,P1902,'Input Sheet'!$X:$X)</f>
        <v>0</v>
      </c>
      <c r="O1902" s="311"/>
      <c r="P1902" t="str">
        <f t="shared" si="163"/>
        <v>150-7333</v>
      </c>
      <c r="Q1902" s="315" t="str">
        <f t="shared" si="164"/>
        <v>Retail Detailing</v>
      </c>
      <c r="R1902" s="315" t="str">
        <f t="shared" si="165"/>
        <v>Retail DetailingOther Expenses as % of Sales</v>
      </c>
      <c r="S1902" s="199"/>
      <c r="T1902" s="199"/>
      <c r="U1902" s="199"/>
    </row>
    <row r="1903" spans="1:21" x14ac:dyDescent="0.25">
      <c r="A1903" t="s">
        <v>996</v>
      </c>
      <c r="B1903" t="s">
        <v>997</v>
      </c>
      <c r="C1903" t="s">
        <v>997</v>
      </c>
      <c r="D1903">
        <v>7333</v>
      </c>
      <c r="E1903">
        <v>121</v>
      </c>
      <c r="F1903" t="s">
        <v>1328</v>
      </c>
      <c r="G1903" t="s">
        <v>1329</v>
      </c>
      <c r="H1903" s="315" t="s">
        <v>30</v>
      </c>
      <c r="I1903" s="315" t="s">
        <v>1327</v>
      </c>
      <c r="J1903" s="315" t="str">
        <f t="shared" si="161"/>
        <v>Used VehicleOther Semi-Fixed expenses per retail</v>
      </c>
      <c r="K1903" s="315" t="str">
        <f t="shared" si="162"/>
        <v>121Toyota UV Other Semi-Fixed expenses</v>
      </c>
      <c r="L1903" s="311">
        <f>+SUMIF('TUNZ Extracted TB'!M:M,$P1903,'TUNZ Extracted TB'!G:G)</f>
        <v>0</v>
      </c>
      <c r="M1903" s="311"/>
      <c r="N1903" s="311">
        <f>+SUMIF('Input Sheet'!$AE:$AE,P1903,'Input Sheet'!$X:$X)</f>
        <v>0</v>
      </c>
      <c r="O1903" s="311"/>
      <c r="P1903" t="str">
        <f t="shared" si="163"/>
        <v>121-7333</v>
      </c>
      <c r="Q1903" s="315" t="str">
        <f t="shared" si="164"/>
        <v>Used Vehicle</v>
      </c>
      <c r="R1903" s="315" t="str">
        <f t="shared" si="165"/>
        <v>Used VehicleOther Semi-Fixed expenses per retail</v>
      </c>
      <c r="S1903" s="199"/>
      <c r="T1903" s="199"/>
      <c r="U1903" s="199"/>
    </row>
    <row r="1904" spans="1:21" x14ac:dyDescent="0.25">
      <c r="A1904" t="s">
        <v>996</v>
      </c>
      <c r="B1904" t="s">
        <v>997</v>
      </c>
      <c r="C1904" t="s">
        <v>997</v>
      </c>
      <c r="D1904">
        <v>7333</v>
      </c>
      <c r="E1904">
        <v>160</v>
      </c>
      <c r="F1904" t="s">
        <v>1293</v>
      </c>
      <c r="G1904" t="s">
        <v>1294</v>
      </c>
      <c r="H1904" s="315" t="s">
        <v>16</v>
      </c>
      <c r="I1904" s="315" t="s">
        <v>1295</v>
      </c>
      <c r="J1904" s="315" t="str">
        <f t="shared" si="161"/>
        <v>F&amp;IOther Expenses per vehicle retailed</v>
      </c>
      <c r="K1904" s="315" t="str">
        <f t="shared" si="162"/>
        <v>160F&amp;I Other expenses - Toyota</v>
      </c>
      <c r="L1904" s="311">
        <f>+SUMIF('TUNZ Extracted TB'!M:M,$P1904,'TUNZ Extracted TB'!G:G)</f>
        <v>0</v>
      </c>
      <c r="M1904" s="311"/>
      <c r="N1904" s="311">
        <f>+SUMIF('Input Sheet'!$AE:$AE,P1904,'Input Sheet'!$X:$X)</f>
        <v>0</v>
      </c>
      <c r="O1904" s="311"/>
      <c r="P1904" t="str">
        <f t="shared" si="163"/>
        <v>160-7333</v>
      </c>
      <c r="Q1904" s="315" t="str">
        <f t="shared" si="164"/>
        <v>F&amp;I</v>
      </c>
      <c r="R1904" s="315" t="str">
        <f t="shared" si="165"/>
        <v>F&amp;IOther Expenses per vehicle retailed</v>
      </c>
      <c r="S1904" s="199"/>
      <c r="T1904" s="199"/>
      <c r="U1904" s="199"/>
    </row>
    <row r="1905" spans="1:21" x14ac:dyDescent="0.25">
      <c r="A1905" t="s">
        <v>996</v>
      </c>
      <c r="B1905" t="s">
        <v>997</v>
      </c>
      <c r="C1905" t="s">
        <v>1005</v>
      </c>
      <c r="D1905">
        <v>7333</v>
      </c>
      <c r="E1905">
        <v>240</v>
      </c>
      <c r="F1905" t="s">
        <v>1289</v>
      </c>
      <c r="G1905" t="s">
        <v>1290</v>
      </c>
      <c r="H1905" s="315" t="s">
        <v>17</v>
      </c>
      <c r="I1905" s="315" t="s">
        <v>1286</v>
      </c>
      <c r="J1905" s="315" t="str">
        <f t="shared" si="161"/>
        <v>ServiceOther Expenses as % of Sales</v>
      </c>
      <c r="K1905" s="315" t="str">
        <f t="shared" si="162"/>
        <v>240Service Other expenses - Toyota</v>
      </c>
      <c r="L1905" s="311">
        <f>+SUMIF('TUNZ Extracted TB'!M:M,$P1905,'TUNZ Extracted TB'!G:G)</f>
        <v>441.91</v>
      </c>
      <c r="M1905" s="311"/>
      <c r="N1905" s="311">
        <f>+SUMIF('Input Sheet'!$AE:$AE,P1905,'Input Sheet'!$X:$X)</f>
        <v>0</v>
      </c>
      <c r="O1905" s="311"/>
      <c r="P1905" t="str">
        <f t="shared" si="163"/>
        <v>240-7333</v>
      </c>
      <c r="Q1905" s="315" t="str">
        <f t="shared" si="164"/>
        <v>Service</v>
      </c>
      <c r="R1905" s="315" t="str">
        <f t="shared" si="165"/>
        <v>ServiceOther Expenses as % of Sales</v>
      </c>
      <c r="S1905" s="199"/>
      <c r="T1905" s="199"/>
      <c r="U1905" s="199"/>
    </row>
    <row r="1906" spans="1:21" x14ac:dyDescent="0.25">
      <c r="A1906" t="s">
        <v>996</v>
      </c>
      <c r="B1906" t="s">
        <v>997</v>
      </c>
      <c r="C1906" t="s">
        <v>1005</v>
      </c>
      <c r="D1906">
        <v>7333</v>
      </c>
      <c r="E1906">
        <v>220</v>
      </c>
      <c r="F1906" t="s">
        <v>1328</v>
      </c>
      <c r="G1906" t="s">
        <v>1329</v>
      </c>
      <c r="H1906" s="315" t="s">
        <v>30</v>
      </c>
      <c r="I1906" s="315" t="s">
        <v>1327</v>
      </c>
      <c r="J1906" s="315" t="str">
        <f t="shared" si="161"/>
        <v>Used VehicleOther Semi-Fixed expenses per retail</v>
      </c>
      <c r="K1906" s="315" t="str">
        <f t="shared" si="162"/>
        <v>220Toyota UV Other Semi-Fixed expenses</v>
      </c>
      <c r="L1906" s="311">
        <f>+SUMIF('TUNZ Extracted TB'!M:M,$P1906,'TUNZ Extracted TB'!G:G)</f>
        <v>0</v>
      </c>
      <c r="M1906" s="311"/>
      <c r="N1906" s="311">
        <f>+SUMIF('Input Sheet'!$AE:$AE,P1906,'Input Sheet'!$X:$X)</f>
        <v>0</v>
      </c>
      <c r="O1906" s="311"/>
      <c r="P1906" t="str">
        <f t="shared" si="163"/>
        <v>220-7333</v>
      </c>
      <c r="Q1906" s="315" t="str">
        <f t="shared" si="164"/>
        <v>Used Vehicle</v>
      </c>
      <c r="R1906" s="315" t="str">
        <f t="shared" si="165"/>
        <v>Used VehicleOther Semi-Fixed expenses per retail</v>
      </c>
      <c r="S1906" s="199"/>
      <c r="T1906" s="199"/>
      <c r="U1906" s="199"/>
    </row>
    <row r="1907" spans="1:21" x14ac:dyDescent="0.25">
      <c r="A1907" t="s">
        <v>996</v>
      </c>
      <c r="B1907" t="s">
        <v>997</v>
      </c>
      <c r="C1907" t="s">
        <v>997</v>
      </c>
      <c r="D1907">
        <v>7333</v>
      </c>
      <c r="E1907">
        <v>140</v>
      </c>
      <c r="F1907" t="s">
        <v>1289</v>
      </c>
      <c r="G1907" t="s">
        <v>1290</v>
      </c>
      <c r="H1907" s="315" t="s">
        <v>17</v>
      </c>
      <c r="I1907" s="315" t="s">
        <v>1286</v>
      </c>
      <c r="J1907" s="315" t="str">
        <f t="shared" si="161"/>
        <v>ServiceOther Expenses as % of Sales</v>
      </c>
      <c r="K1907" s="315" t="str">
        <f t="shared" si="162"/>
        <v>140Service Other expenses - Toyota</v>
      </c>
      <c r="L1907" s="311">
        <f>+SUMIF('TUNZ Extracted TB'!M:M,$P1907,'TUNZ Extracted TB'!G:G)</f>
        <v>1802.93</v>
      </c>
      <c r="M1907" s="311"/>
      <c r="N1907" s="311">
        <f>+SUMIF('Input Sheet'!$AE:$AE,P1907,'Input Sheet'!$X:$X)</f>
        <v>0</v>
      </c>
      <c r="O1907" s="311"/>
      <c r="P1907" t="str">
        <f t="shared" si="163"/>
        <v>140-7333</v>
      </c>
      <c r="Q1907" s="315" t="str">
        <f t="shared" si="164"/>
        <v>Service</v>
      </c>
      <c r="R1907" s="315" t="str">
        <f t="shared" si="165"/>
        <v>ServiceOther Expenses as % of Sales</v>
      </c>
      <c r="S1907" s="199"/>
      <c r="T1907" s="199"/>
      <c r="U1907" s="199"/>
    </row>
    <row r="1908" spans="1:21" x14ac:dyDescent="0.25">
      <c r="A1908" t="s">
        <v>996</v>
      </c>
      <c r="B1908" t="s">
        <v>997</v>
      </c>
      <c r="C1908" t="s">
        <v>997</v>
      </c>
      <c r="D1908">
        <v>7333</v>
      </c>
      <c r="E1908">
        <v>142</v>
      </c>
      <c r="F1908" t="s">
        <v>1284</v>
      </c>
      <c r="G1908" t="s">
        <v>1285</v>
      </c>
      <c r="H1908" s="315" t="s">
        <v>1022</v>
      </c>
      <c r="I1908" s="315" t="s">
        <v>1286</v>
      </c>
      <c r="J1908" s="315" t="str">
        <f t="shared" si="161"/>
        <v>Lex ServiceOther Expenses as % of Sales</v>
      </c>
      <c r="K1908" s="315" t="str">
        <f t="shared" si="162"/>
        <v>142Service Other expenses - Lexus</v>
      </c>
      <c r="L1908" s="311">
        <f>+SUMIF('TUNZ Extracted TB'!M:M,$P1908,'TUNZ Extracted TB'!G:G)</f>
        <v>0</v>
      </c>
      <c r="M1908" s="311"/>
      <c r="N1908" s="311">
        <f>+SUMIF('Input Sheet'!$AE:$AE,P1908,'Input Sheet'!$X:$X)</f>
        <v>0</v>
      </c>
      <c r="O1908" s="311"/>
      <c r="P1908" t="str">
        <f t="shared" si="163"/>
        <v>142-7333</v>
      </c>
      <c r="Q1908" s="315" t="str">
        <f t="shared" si="164"/>
        <v>Lex Service</v>
      </c>
      <c r="R1908" s="315" t="str">
        <f t="shared" si="165"/>
        <v>Lex ServiceOther Expenses as % of Sales</v>
      </c>
      <c r="S1908" s="199"/>
      <c r="T1908" s="199"/>
      <c r="U1908" s="199"/>
    </row>
    <row r="1909" spans="1:21" x14ac:dyDescent="0.25">
      <c r="A1909" t="s">
        <v>996</v>
      </c>
      <c r="B1909" t="s">
        <v>997</v>
      </c>
      <c r="C1909" t="s">
        <v>997</v>
      </c>
      <c r="D1909">
        <v>7333</v>
      </c>
      <c r="E1909">
        <v>132</v>
      </c>
      <c r="F1909" t="s">
        <v>1321</v>
      </c>
      <c r="G1909" t="s">
        <v>1322</v>
      </c>
      <c r="H1909" s="315" t="s">
        <v>143</v>
      </c>
      <c r="I1909" s="315" t="s">
        <v>1286</v>
      </c>
      <c r="J1909" s="315" t="str">
        <f t="shared" si="161"/>
        <v>LEX PartsOther Expenses as % of Sales</v>
      </c>
      <c r="K1909" s="315" t="str">
        <f t="shared" si="162"/>
        <v>132Parts Other Expenses - Lexus</v>
      </c>
      <c r="L1909" s="311">
        <f>+SUMIF('TUNZ Extracted TB'!M:M,$P1909,'TUNZ Extracted TB'!G:G)</f>
        <v>0</v>
      </c>
      <c r="M1909" s="311"/>
      <c r="N1909" s="311">
        <f>+SUMIF('Input Sheet'!$AE:$AE,P1909,'Input Sheet'!$X:$X)</f>
        <v>0</v>
      </c>
      <c r="O1909" s="311"/>
      <c r="P1909" t="str">
        <f t="shared" si="163"/>
        <v>132-7333</v>
      </c>
      <c r="Q1909" s="315" t="str">
        <f t="shared" si="164"/>
        <v>LEX Parts</v>
      </c>
      <c r="R1909" s="315" t="str">
        <f t="shared" si="165"/>
        <v>LEX PartsOther Expenses as % of Sales</v>
      </c>
      <c r="S1909" s="199"/>
      <c r="T1909" s="199"/>
      <c r="U1909" s="199"/>
    </row>
    <row r="1910" spans="1:21" x14ac:dyDescent="0.25">
      <c r="A1910" t="s">
        <v>996</v>
      </c>
      <c r="B1910" t="s">
        <v>997</v>
      </c>
      <c r="C1910" t="s">
        <v>997</v>
      </c>
      <c r="D1910">
        <v>7333</v>
      </c>
      <c r="E1910">
        <v>130</v>
      </c>
      <c r="F1910" t="s">
        <v>1291</v>
      </c>
      <c r="G1910" t="s">
        <v>1292</v>
      </c>
      <c r="H1910" s="315" t="s">
        <v>5</v>
      </c>
      <c r="I1910" s="315" t="s">
        <v>1286</v>
      </c>
      <c r="J1910" s="315" t="str">
        <f t="shared" si="161"/>
        <v>PartsOther Expenses as % of Sales</v>
      </c>
      <c r="K1910" s="315" t="str">
        <f t="shared" si="162"/>
        <v>130Parts Other Expenses - Toyota</v>
      </c>
      <c r="L1910" s="311">
        <f>+SUMIF('TUNZ Extracted TB'!M:M,$P1910,'TUNZ Extracted TB'!G:G)</f>
        <v>817.87</v>
      </c>
      <c r="M1910" s="311"/>
      <c r="N1910" s="311">
        <f>+SUMIF('Input Sheet'!$AE:$AE,P1910,'Input Sheet'!$X:$X)</f>
        <v>0</v>
      </c>
      <c r="O1910" s="311"/>
      <c r="P1910" t="str">
        <f t="shared" si="163"/>
        <v>130-7333</v>
      </c>
      <c r="Q1910" s="315" t="str">
        <f t="shared" si="164"/>
        <v>Parts</v>
      </c>
      <c r="R1910" s="315" t="str">
        <f t="shared" si="165"/>
        <v>PartsOther Expenses as % of Sales</v>
      </c>
      <c r="S1910" s="199"/>
      <c r="T1910" s="199"/>
      <c r="U1910" s="199"/>
    </row>
    <row r="1911" spans="1:21" x14ac:dyDescent="0.25">
      <c r="A1911" t="s">
        <v>996</v>
      </c>
      <c r="B1911" t="s">
        <v>997</v>
      </c>
      <c r="C1911" t="s">
        <v>1012</v>
      </c>
      <c r="D1911">
        <v>7333</v>
      </c>
      <c r="E1911">
        <v>400</v>
      </c>
      <c r="F1911" t="s">
        <v>1319</v>
      </c>
      <c r="G1911" t="s">
        <v>1320</v>
      </c>
      <c r="H1911" s="315" t="s">
        <v>29</v>
      </c>
      <c r="I1911" s="315" t="s">
        <v>1314</v>
      </c>
      <c r="J1911" s="315" t="str">
        <f t="shared" si="161"/>
        <v>New VehicleDemo Expenses (incl. interest) p.u.</v>
      </c>
      <c r="K1911" s="315" t="str">
        <f t="shared" si="162"/>
        <v>400NV Demo Expenses - Toyota</v>
      </c>
      <c r="L1911" s="311">
        <f>+SUMIF('TUNZ Extracted TB'!M:M,$P1911,'TUNZ Extracted TB'!G:G)</f>
        <v>0</v>
      </c>
      <c r="M1911" s="311"/>
      <c r="N1911" s="311">
        <f>+SUMIF('Input Sheet'!$AE:$AE,P1911,'Input Sheet'!$X:$X)</f>
        <v>0</v>
      </c>
      <c r="O1911" s="311"/>
      <c r="P1911" t="str">
        <f t="shared" si="163"/>
        <v>400-7333</v>
      </c>
      <c r="Q1911" s="315" t="str">
        <f t="shared" si="164"/>
        <v>New Vehicle</v>
      </c>
      <c r="R1911" s="315" t="str">
        <f t="shared" si="165"/>
        <v>New VehicleDemo Expenses (incl. interest) p.u.</v>
      </c>
      <c r="S1911" s="199"/>
      <c r="T1911" s="199"/>
      <c r="U1911" s="199"/>
    </row>
    <row r="1912" spans="1:21" x14ac:dyDescent="0.25">
      <c r="A1912" t="s">
        <v>996</v>
      </c>
      <c r="B1912" t="s">
        <v>997</v>
      </c>
      <c r="C1912" t="s">
        <v>1013</v>
      </c>
      <c r="D1912">
        <v>7333</v>
      </c>
      <c r="E1912">
        <v>300</v>
      </c>
      <c r="F1912" t="s">
        <v>1319</v>
      </c>
      <c r="G1912" t="s">
        <v>1320</v>
      </c>
      <c r="H1912" s="315" t="s">
        <v>29</v>
      </c>
      <c r="I1912" s="315" t="s">
        <v>1314</v>
      </c>
      <c r="J1912" s="315" t="str">
        <f t="shared" si="161"/>
        <v>New VehicleDemo Expenses (incl. interest) p.u.</v>
      </c>
      <c r="K1912" s="315" t="str">
        <f t="shared" si="162"/>
        <v>300NV Demo Expenses - Toyota</v>
      </c>
      <c r="L1912" s="311">
        <f>+SUMIF('TUNZ Extracted TB'!M:M,$P1912,'TUNZ Extracted TB'!G:G)</f>
        <v>0</v>
      </c>
      <c r="M1912" s="311"/>
      <c r="N1912" s="311">
        <f>+SUMIF('Input Sheet'!$AE:$AE,P1912,'Input Sheet'!$X:$X)</f>
        <v>0</v>
      </c>
      <c r="O1912" s="311"/>
      <c r="P1912" t="str">
        <f t="shared" si="163"/>
        <v>300-7333</v>
      </c>
      <c r="Q1912" s="315" t="str">
        <f t="shared" si="164"/>
        <v>New Vehicle</v>
      </c>
      <c r="R1912" s="315" t="str">
        <f t="shared" si="165"/>
        <v>New VehicleDemo Expenses (incl. interest) p.u.</v>
      </c>
      <c r="S1912" s="199"/>
      <c r="T1912" s="199"/>
      <c r="U1912" s="199"/>
    </row>
    <row r="1913" spans="1:21" x14ac:dyDescent="0.25">
      <c r="A1913" t="s">
        <v>996</v>
      </c>
      <c r="B1913" t="s">
        <v>997</v>
      </c>
      <c r="C1913" t="s">
        <v>997</v>
      </c>
      <c r="D1913">
        <v>7370</v>
      </c>
      <c r="E1913">
        <v>112</v>
      </c>
      <c r="F1913" t="s">
        <v>1357</v>
      </c>
      <c r="G1913" t="s">
        <v>1358</v>
      </c>
      <c r="H1913" s="315" t="s">
        <v>1011</v>
      </c>
      <c r="I1913" s="315" t="s">
        <v>1359</v>
      </c>
      <c r="J1913" s="315" t="str">
        <f t="shared" si="161"/>
        <v>LEX New VehicleOther Semi-Fixed Expenses p.u</v>
      </c>
      <c r="K1913" s="315" t="str">
        <f t="shared" si="162"/>
        <v>112NV Other Semi-Fixed expenses - Lexus</v>
      </c>
      <c r="L1913" s="311">
        <f>+SUMIF('TUNZ Extracted TB'!M:M,$P1913,'TUNZ Extracted TB'!G:G)</f>
        <v>0</v>
      </c>
      <c r="M1913" s="311"/>
      <c r="N1913" s="311">
        <f>+SUMIF('Input Sheet'!$AE:$AE,P1913,'Input Sheet'!$X:$X)</f>
        <v>0</v>
      </c>
      <c r="O1913" s="311"/>
      <c r="P1913" t="str">
        <f t="shared" si="163"/>
        <v>112-7370</v>
      </c>
      <c r="Q1913" s="315" t="str">
        <f t="shared" si="164"/>
        <v>LEX New Vehicle</v>
      </c>
      <c r="R1913" s="315" t="str">
        <f t="shared" si="165"/>
        <v>LEX New VehicleOther Semi-Fixed Expenses p.u</v>
      </c>
      <c r="S1913" s="199"/>
      <c r="T1913" s="199"/>
      <c r="U1913" s="199"/>
    </row>
    <row r="1914" spans="1:21" x14ac:dyDescent="0.25">
      <c r="A1914" t="s">
        <v>996</v>
      </c>
      <c r="B1914" t="s">
        <v>997</v>
      </c>
      <c r="C1914" t="s">
        <v>997</v>
      </c>
      <c r="D1914">
        <v>7333</v>
      </c>
      <c r="E1914">
        <v>162</v>
      </c>
      <c r="F1914" t="s">
        <v>1323</v>
      </c>
      <c r="G1914" t="s">
        <v>1324</v>
      </c>
      <c r="H1914" s="315" t="s">
        <v>142</v>
      </c>
      <c r="I1914" s="315" t="s">
        <v>1295</v>
      </c>
      <c r="J1914" s="315" t="str">
        <f t="shared" si="161"/>
        <v>LEX F&amp;IOther Expenses per vehicle retailed</v>
      </c>
      <c r="K1914" s="315" t="str">
        <f t="shared" si="162"/>
        <v>162F&amp;I Other expenses - Lexus</v>
      </c>
      <c r="L1914" s="311">
        <f>+SUMIF('TUNZ Extracted TB'!M:M,$P1914,'TUNZ Extracted TB'!G:G)</f>
        <v>0</v>
      </c>
      <c r="M1914" s="311"/>
      <c r="N1914" s="311">
        <f>+SUMIF('Input Sheet'!$AE:$AE,P1914,'Input Sheet'!$X:$X)</f>
        <v>0</v>
      </c>
      <c r="O1914" s="311"/>
      <c r="P1914" t="str">
        <f t="shared" si="163"/>
        <v>162-7333</v>
      </c>
      <c r="Q1914" s="315" t="str">
        <f t="shared" si="164"/>
        <v>LEX F&amp;I</v>
      </c>
      <c r="R1914" s="315" t="str">
        <f t="shared" si="165"/>
        <v>LEX F&amp;IOther Expenses per vehicle retailed</v>
      </c>
      <c r="S1914" s="199"/>
      <c r="T1914" s="199"/>
      <c r="U1914" s="199"/>
    </row>
    <row r="1915" spans="1:21" x14ac:dyDescent="0.25">
      <c r="A1915" t="s">
        <v>996</v>
      </c>
      <c r="B1915" t="s">
        <v>997</v>
      </c>
      <c r="C1915" t="s">
        <v>1005</v>
      </c>
      <c r="D1915">
        <v>7333</v>
      </c>
      <c r="E1915">
        <v>260</v>
      </c>
      <c r="F1915" t="s">
        <v>1293</v>
      </c>
      <c r="G1915" t="s">
        <v>1294</v>
      </c>
      <c r="H1915" s="315" t="s">
        <v>16</v>
      </c>
      <c r="I1915" s="315" t="s">
        <v>1295</v>
      </c>
      <c r="J1915" s="315" t="str">
        <f t="shared" si="161"/>
        <v>F&amp;IOther Expenses per vehicle retailed</v>
      </c>
      <c r="K1915" s="315" t="str">
        <f t="shared" si="162"/>
        <v>260F&amp;I Other expenses - Toyota</v>
      </c>
      <c r="L1915" s="311">
        <f>+SUMIF('TUNZ Extracted TB'!M:M,$P1915,'TUNZ Extracted TB'!G:G)</f>
        <v>0</v>
      </c>
      <c r="M1915" s="311"/>
      <c r="N1915" s="311">
        <f>+SUMIF('Input Sheet'!$AE:$AE,P1915,'Input Sheet'!$X:$X)</f>
        <v>0</v>
      </c>
      <c r="O1915" s="311"/>
      <c r="P1915" t="str">
        <f t="shared" si="163"/>
        <v>260-7333</v>
      </c>
      <c r="Q1915" s="315" t="str">
        <f t="shared" si="164"/>
        <v>F&amp;I</v>
      </c>
      <c r="R1915" s="315" t="str">
        <f t="shared" si="165"/>
        <v>F&amp;IOther Expenses per vehicle retailed</v>
      </c>
      <c r="S1915" s="199"/>
      <c r="T1915" s="199"/>
      <c r="U1915" s="199"/>
    </row>
    <row r="1916" spans="1:21" x14ac:dyDescent="0.25">
      <c r="A1916" t="s">
        <v>996</v>
      </c>
      <c r="B1916" t="s">
        <v>997</v>
      </c>
      <c r="C1916" t="s">
        <v>1012</v>
      </c>
      <c r="D1916">
        <v>7333</v>
      </c>
      <c r="E1916">
        <v>460</v>
      </c>
      <c r="F1916" t="s">
        <v>1293</v>
      </c>
      <c r="G1916" t="s">
        <v>1294</v>
      </c>
      <c r="H1916" s="315" t="s">
        <v>16</v>
      </c>
      <c r="I1916" s="315" t="s">
        <v>1295</v>
      </c>
      <c r="J1916" s="315" t="str">
        <f t="shared" si="161"/>
        <v>F&amp;IOther Expenses per vehicle retailed</v>
      </c>
      <c r="K1916" s="315" t="str">
        <f t="shared" si="162"/>
        <v>460F&amp;I Other expenses - Toyota</v>
      </c>
      <c r="L1916" s="311">
        <f>+SUMIF('TUNZ Extracted TB'!M:M,$P1916,'TUNZ Extracted TB'!G:G)</f>
        <v>0</v>
      </c>
      <c r="M1916" s="311"/>
      <c r="N1916" s="311">
        <f>+SUMIF('Input Sheet'!$AE:$AE,P1916,'Input Sheet'!$X:$X)</f>
        <v>0</v>
      </c>
      <c r="O1916" s="311"/>
      <c r="P1916" t="str">
        <f t="shared" si="163"/>
        <v>460-7333</v>
      </c>
      <c r="Q1916" s="315" t="str">
        <f t="shared" si="164"/>
        <v>F&amp;I</v>
      </c>
      <c r="R1916" s="315" t="str">
        <f t="shared" si="165"/>
        <v>F&amp;IOther Expenses per vehicle retailed</v>
      </c>
      <c r="S1916" s="199"/>
      <c r="T1916" s="199"/>
      <c r="U1916" s="199"/>
    </row>
    <row r="1917" spans="1:21" x14ac:dyDescent="0.25">
      <c r="A1917" t="s">
        <v>996</v>
      </c>
      <c r="B1917" t="s">
        <v>997</v>
      </c>
      <c r="C1917" t="s">
        <v>1013</v>
      </c>
      <c r="D1917">
        <v>7333</v>
      </c>
      <c r="E1917">
        <v>360</v>
      </c>
      <c r="F1917" t="s">
        <v>1293</v>
      </c>
      <c r="G1917" t="s">
        <v>1294</v>
      </c>
      <c r="H1917" s="315" t="s">
        <v>16</v>
      </c>
      <c r="I1917" s="315" t="s">
        <v>1295</v>
      </c>
      <c r="J1917" s="315" t="str">
        <f t="shared" si="161"/>
        <v>F&amp;IOther Expenses per vehicle retailed</v>
      </c>
      <c r="K1917" s="315" t="str">
        <f t="shared" si="162"/>
        <v>360F&amp;I Other expenses - Toyota</v>
      </c>
      <c r="L1917" s="311">
        <f>+SUMIF('TUNZ Extracted TB'!M:M,$P1917,'TUNZ Extracted TB'!G:G)</f>
        <v>0</v>
      </c>
      <c r="M1917" s="311"/>
      <c r="N1917" s="311">
        <f>+SUMIF('Input Sheet'!$AE:$AE,P1917,'Input Sheet'!$X:$X)</f>
        <v>0</v>
      </c>
      <c r="O1917" s="311"/>
      <c r="P1917" t="str">
        <f t="shared" si="163"/>
        <v>360-7333</v>
      </c>
      <c r="Q1917" s="315" t="str">
        <f t="shared" si="164"/>
        <v>F&amp;I</v>
      </c>
      <c r="R1917" s="315" t="str">
        <f t="shared" si="165"/>
        <v>F&amp;IOther Expenses per vehicle retailed</v>
      </c>
      <c r="S1917" s="199"/>
      <c r="T1917" s="199"/>
      <c r="U1917" s="199"/>
    </row>
    <row r="1918" spans="1:21" x14ac:dyDescent="0.25">
      <c r="A1918" t="s">
        <v>996</v>
      </c>
      <c r="B1918" t="s">
        <v>997</v>
      </c>
      <c r="C1918" t="s">
        <v>997</v>
      </c>
      <c r="D1918">
        <v>7370</v>
      </c>
      <c r="E1918">
        <v>100</v>
      </c>
      <c r="F1918" t="s">
        <v>1360</v>
      </c>
      <c r="G1918" t="s">
        <v>1361</v>
      </c>
      <c r="H1918" s="315" t="s">
        <v>29</v>
      </c>
      <c r="I1918" s="315" t="s">
        <v>1359</v>
      </c>
      <c r="J1918" s="315" t="str">
        <f t="shared" si="161"/>
        <v>New VehicleOther Semi-Fixed Expenses p.u</v>
      </c>
      <c r="K1918" s="315" t="str">
        <f t="shared" si="162"/>
        <v>100NV Other Semi-Fixed expenses - Toyota</v>
      </c>
      <c r="L1918" s="311">
        <f>+SUMIF('TUNZ Extracted TB'!M:M,$P1918,'TUNZ Extracted TB'!G:G)</f>
        <v>0</v>
      </c>
      <c r="M1918" s="311"/>
      <c r="N1918" s="311">
        <f>+SUMIF('Input Sheet'!$AE:$AE,P1918,'Input Sheet'!$X:$X)</f>
        <v>0</v>
      </c>
      <c r="O1918" s="311"/>
      <c r="P1918" t="str">
        <f t="shared" si="163"/>
        <v>100-7370</v>
      </c>
      <c r="Q1918" s="315" t="str">
        <f t="shared" si="164"/>
        <v>New Vehicle</v>
      </c>
      <c r="R1918" s="315" t="str">
        <f t="shared" si="165"/>
        <v>New VehicleOther Semi-Fixed Expenses p.u</v>
      </c>
      <c r="S1918" s="199"/>
      <c r="T1918" s="199"/>
      <c r="U1918" s="199"/>
    </row>
    <row r="1919" spans="1:21" x14ac:dyDescent="0.25">
      <c r="A1919" t="s">
        <v>996</v>
      </c>
      <c r="B1919" t="s">
        <v>997</v>
      </c>
      <c r="C1919" t="s">
        <v>1005</v>
      </c>
      <c r="D1919">
        <v>7370</v>
      </c>
      <c r="E1919">
        <v>200</v>
      </c>
      <c r="F1919" t="s">
        <v>1360</v>
      </c>
      <c r="G1919" t="s">
        <v>1361</v>
      </c>
      <c r="H1919" s="315" t="s">
        <v>29</v>
      </c>
      <c r="I1919" s="315" t="s">
        <v>1359</v>
      </c>
      <c r="J1919" s="315" t="str">
        <f t="shared" si="161"/>
        <v>New VehicleOther Semi-Fixed Expenses p.u</v>
      </c>
      <c r="K1919" s="315" t="str">
        <f t="shared" si="162"/>
        <v>200NV Other Semi-Fixed expenses - Toyota</v>
      </c>
      <c r="L1919" s="311">
        <f>+SUMIF('TUNZ Extracted TB'!M:M,$P1919,'TUNZ Extracted TB'!G:G)</f>
        <v>0</v>
      </c>
      <c r="M1919" s="311"/>
      <c r="N1919" s="311">
        <f>+SUMIF('Input Sheet'!$AE:$AE,P1919,'Input Sheet'!$X:$X)</f>
        <v>0</v>
      </c>
      <c r="O1919" s="311"/>
      <c r="P1919" t="str">
        <f t="shared" si="163"/>
        <v>200-7370</v>
      </c>
      <c r="Q1919" s="315" t="str">
        <f t="shared" si="164"/>
        <v>New Vehicle</v>
      </c>
      <c r="R1919" s="315" t="str">
        <f t="shared" si="165"/>
        <v>New VehicleOther Semi-Fixed Expenses p.u</v>
      </c>
      <c r="S1919" s="199"/>
      <c r="T1919" s="199"/>
      <c r="U1919" s="199"/>
    </row>
    <row r="1920" spans="1:21" x14ac:dyDescent="0.25">
      <c r="A1920" t="s">
        <v>996</v>
      </c>
      <c r="B1920" t="s">
        <v>997</v>
      </c>
      <c r="C1920" t="s">
        <v>1012</v>
      </c>
      <c r="D1920">
        <v>7370</v>
      </c>
      <c r="E1920">
        <v>400</v>
      </c>
      <c r="F1920" t="s">
        <v>1360</v>
      </c>
      <c r="G1920" t="s">
        <v>1361</v>
      </c>
      <c r="H1920" s="315" t="s">
        <v>29</v>
      </c>
      <c r="I1920" s="315" t="s">
        <v>1359</v>
      </c>
      <c r="J1920" s="315" t="str">
        <f t="shared" si="161"/>
        <v>New VehicleOther Semi-Fixed Expenses p.u</v>
      </c>
      <c r="K1920" s="315" t="str">
        <f t="shared" si="162"/>
        <v>400NV Other Semi-Fixed expenses - Toyota</v>
      </c>
      <c r="L1920" s="311">
        <f>+SUMIF('TUNZ Extracted TB'!M:M,$P1920,'TUNZ Extracted TB'!G:G)</f>
        <v>0</v>
      </c>
      <c r="M1920" s="311"/>
      <c r="N1920" s="311">
        <f>+SUMIF('Input Sheet'!$AE:$AE,P1920,'Input Sheet'!$X:$X)</f>
        <v>0</v>
      </c>
      <c r="O1920" s="311"/>
      <c r="P1920" t="str">
        <f t="shared" si="163"/>
        <v>400-7370</v>
      </c>
      <c r="Q1920" s="315" t="str">
        <f t="shared" si="164"/>
        <v>New Vehicle</v>
      </c>
      <c r="R1920" s="315" t="str">
        <f t="shared" si="165"/>
        <v>New VehicleOther Semi-Fixed Expenses p.u</v>
      </c>
      <c r="S1920" s="199"/>
      <c r="T1920" s="199"/>
      <c r="U1920" s="199"/>
    </row>
    <row r="1921" spans="1:21" x14ac:dyDescent="0.25">
      <c r="A1921" t="s">
        <v>996</v>
      </c>
      <c r="B1921" t="s">
        <v>997</v>
      </c>
      <c r="C1921" t="s">
        <v>997</v>
      </c>
      <c r="D1921">
        <v>7333</v>
      </c>
      <c r="E1921">
        <v>936</v>
      </c>
      <c r="F1921" t="s">
        <v>1175</v>
      </c>
      <c r="G1921" t="s">
        <v>1176</v>
      </c>
      <c r="H1921" s="315" t="s">
        <v>58</v>
      </c>
      <c r="I1921" s="315" t="s">
        <v>1286</v>
      </c>
      <c r="J1921" s="315" t="str">
        <f t="shared" si="161"/>
        <v>BridgestoneOther Expenses as % of Sales</v>
      </c>
      <c r="K1921" s="315" t="str">
        <f t="shared" si="162"/>
        <v>936Other franchise/business expense</v>
      </c>
      <c r="L1921" s="311">
        <f>+SUMIF('TUNZ Extracted TB'!M:M,$P1921,'TUNZ Extracted TB'!G:G)</f>
        <v>300.06</v>
      </c>
      <c r="M1921" s="311"/>
      <c r="N1921" s="311">
        <f>+SUMIF('Input Sheet'!$AE:$AE,P1921,'Input Sheet'!$X:$X)</f>
        <v>0</v>
      </c>
      <c r="O1921" s="311"/>
      <c r="P1921" t="str">
        <f t="shared" si="163"/>
        <v>936-7333</v>
      </c>
      <c r="Q1921" s="315" t="str">
        <f t="shared" si="164"/>
        <v>Bridgestone</v>
      </c>
      <c r="R1921" s="315" t="str">
        <f t="shared" si="165"/>
        <v>BridgestoneOther Expenses as % of Sales</v>
      </c>
      <c r="S1921" s="199"/>
      <c r="T1921" s="199"/>
      <c r="U1921" s="199"/>
    </row>
    <row r="1922" spans="1:21" x14ac:dyDescent="0.25">
      <c r="A1922" t="s">
        <v>996</v>
      </c>
      <c r="B1922" t="s">
        <v>997</v>
      </c>
      <c r="C1922" t="s">
        <v>1005</v>
      </c>
      <c r="D1922">
        <v>7333</v>
      </c>
      <c r="E1922">
        <v>230</v>
      </c>
      <c r="F1922" t="s">
        <v>1291</v>
      </c>
      <c r="G1922" t="s">
        <v>1292</v>
      </c>
      <c r="H1922" s="315" t="s">
        <v>5</v>
      </c>
      <c r="I1922" s="315" t="s">
        <v>1286</v>
      </c>
      <c r="J1922" s="315" t="str">
        <f t="shared" si="161"/>
        <v>PartsOther Expenses as % of Sales</v>
      </c>
      <c r="K1922" s="315" t="str">
        <f t="shared" si="162"/>
        <v>230Parts Other Expenses - Toyota</v>
      </c>
      <c r="L1922" s="311">
        <f>+SUMIF('TUNZ Extracted TB'!M:M,$P1922,'TUNZ Extracted TB'!G:G)</f>
        <v>0</v>
      </c>
      <c r="M1922" s="311"/>
      <c r="N1922" s="311">
        <f>+SUMIF('Input Sheet'!$AE:$AE,P1922,'Input Sheet'!$X:$X)</f>
        <v>0</v>
      </c>
      <c r="O1922" s="311"/>
      <c r="P1922" t="str">
        <f t="shared" si="163"/>
        <v>230-7333</v>
      </c>
      <c r="Q1922" s="315" t="str">
        <f t="shared" si="164"/>
        <v>Parts</v>
      </c>
      <c r="R1922" s="315" t="str">
        <f t="shared" si="165"/>
        <v>PartsOther Expenses as % of Sales</v>
      </c>
      <c r="S1922" s="199"/>
      <c r="T1922" s="199"/>
      <c r="U1922" s="199"/>
    </row>
    <row r="1923" spans="1:21" x14ac:dyDescent="0.25">
      <c r="A1923" t="s">
        <v>996</v>
      </c>
      <c r="B1923" t="s">
        <v>997</v>
      </c>
      <c r="C1923" t="s">
        <v>1012</v>
      </c>
      <c r="D1923">
        <v>7333</v>
      </c>
      <c r="E1923">
        <v>430</v>
      </c>
      <c r="F1923" t="s">
        <v>1291</v>
      </c>
      <c r="G1923" t="s">
        <v>1292</v>
      </c>
      <c r="H1923" s="315" t="s">
        <v>5</v>
      </c>
      <c r="I1923" s="315" t="s">
        <v>1286</v>
      </c>
      <c r="J1923" s="315" t="str">
        <f t="shared" ref="J1923:J1986" si="166">+H1923&amp;I1923</f>
        <v>PartsOther Expenses as % of Sales</v>
      </c>
      <c r="K1923" s="315" t="str">
        <f t="shared" ref="K1923:K1986" si="167">+E1923&amp;G1923</f>
        <v>430Parts Other Expenses - Toyota</v>
      </c>
      <c r="L1923" s="311">
        <f>+SUMIF('TUNZ Extracted TB'!M:M,$P1923,'TUNZ Extracted TB'!G:G)</f>
        <v>0</v>
      </c>
      <c r="M1923" s="311"/>
      <c r="N1923" s="311">
        <f>+SUMIF('Input Sheet'!$AE:$AE,P1923,'Input Sheet'!$X:$X)</f>
        <v>0</v>
      </c>
      <c r="O1923" s="311"/>
      <c r="P1923" t="str">
        <f t="shared" ref="P1923:P1986" si="168">+E1923&amp;"-"&amp;D1923</f>
        <v>430-7333</v>
      </c>
      <c r="Q1923" s="315" t="str">
        <f t="shared" ref="Q1923:Q1986" si="169">H1923</f>
        <v>Parts</v>
      </c>
      <c r="R1923" s="315" t="str">
        <f t="shared" ref="R1923:R1986" si="170">J1923</f>
        <v>PartsOther Expenses as % of Sales</v>
      </c>
      <c r="S1923" s="199"/>
      <c r="T1923" s="199"/>
      <c r="U1923" s="199"/>
    </row>
    <row r="1924" spans="1:21" x14ac:dyDescent="0.25">
      <c r="A1924" t="s">
        <v>996</v>
      </c>
      <c r="B1924" t="s">
        <v>997</v>
      </c>
      <c r="C1924" t="s">
        <v>1013</v>
      </c>
      <c r="D1924">
        <v>7333</v>
      </c>
      <c r="E1924">
        <v>330</v>
      </c>
      <c r="F1924" t="s">
        <v>1291</v>
      </c>
      <c r="G1924" t="s">
        <v>1292</v>
      </c>
      <c r="H1924" s="315" t="s">
        <v>5</v>
      </c>
      <c r="I1924" s="315" t="s">
        <v>1286</v>
      </c>
      <c r="J1924" s="315" t="str">
        <f t="shared" si="166"/>
        <v>PartsOther Expenses as % of Sales</v>
      </c>
      <c r="K1924" s="315" t="str">
        <f t="shared" si="167"/>
        <v>330Parts Other Expenses - Toyota</v>
      </c>
      <c r="L1924" s="311">
        <f>+SUMIF('TUNZ Extracted TB'!M:M,$P1924,'TUNZ Extracted TB'!G:G)</f>
        <v>0</v>
      </c>
      <c r="M1924" s="311"/>
      <c r="N1924" s="311">
        <f>+SUMIF('Input Sheet'!$AE:$AE,P1924,'Input Sheet'!$X:$X)</f>
        <v>0</v>
      </c>
      <c r="O1924" s="311"/>
      <c r="P1924" t="str">
        <f t="shared" si="168"/>
        <v>330-7333</v>
      </c>
      <c r="Q1924" s="315" t="str">
        <f t="shared" si="169"/>
        <v>Parts</v>
      </c>
      <c r="R1924" s="315" t="str">
        <f t="shared" si="170"/>
        <v>PartsOther Expenses as % of Sales</v>
      </c>
      <c r="S1924" s="199"/>
      <c r="T1924" s="199"/>
      <c r="U1924" s="199"/>
    </row>
    <row r="1925" spans="1:21" x14ac:dyDescent="0.25">
      <c r="A1925" t="s">
        <v>996</v>
      </c>
      <c r="B1925" t="s">
        <v>997</v>
      </c>
      <c r="C1925" t="s">
        <v>997</v>
      </c>
      <c r="D1925">
        <v>7333</v>
      </c>
      <c r="E1925">
        <v>170</v>
      </c>
      <c r="F1925" t="s">
        <v>1368</v>
      </c>
      <c r="G1925" t="s">
        <v>1369</v>
      </c>
      <c r="H1925" s="315" t="s">
        <v>1000</v>
      </c>
      <c r="I1925" s="315" t="s">
        <v>1370</v>
      </c>
      <c r="J1925" s="315" t="str">
        <f t="shared" si="166"/>
        <v>Admin &amp; OtherR&amp;M and Cleaning as % of Total Gross Profit</v>
      </c>
      <c r="K1925" s="315" t="str">
        <f t="shared" si="167"/>
        <v>170Repairs &amp; Maintenance - Toyota</v>
      </c>
      <c r="L1925" s="311">
        <f>+SUMIF('TUNZ Extracted TB'!M:M,$P1925,'TUNZ Extracted TB'!G:G)</f>
        <v>0</v>
      </c>
      <c r="M1925" s="311"/>
      <c r="N1925" s="311">
        <f>+SUMIF('Input Sheet'!$AE:$AE,P1925,'Input Sheet'!$X:$X)</f>
        <v>0</v>
      </c>
      <c r="O1925" s="311"/>
      <c r="P1925" t="str">
        <f t="shared" si="168"/>
        <v>170-7333</v>
      </c>
      <c r="Q1925" s="315" t="str">
        <f t="shared" si="169"/>
        <v>Admin &amp; Other</v>
      </c>
      <c r="R1925" s="315" t="str">
        <f t="shared" si="170"/>
        <v>Admin &amp; OtherR&amp;M and Cleaning as % of Total Gross Profit</v>
      </c>
      <c r="S1925" s="199"/>
      <c r="T1925" s="199"/>
      <c r="U1925" s="199"/>
    </row>
    <row r="1926" spans="1:21" x14ac:dyDescent="0.25">
      <c r="A1926" t="s">
        <v>996</v>
      </c>
      <c r="B1926" t="s">
        <v>997</v>
      </c>
      <c r="C1926" t="s">
        <v>997</v>
      </c>
      <c r="D1926">
        <v>7333</v>
      </c>
      <c r="E1926">
        <v>147</v>
      </c>
      <c r="F1926" t="s">
        <v>1289</v>
      </c>
      <c r="G1926" t="s">
        <v>1290</v>
      </c>
      <c r="H1926" s="315" t="s">
        <v>17</v>
      </c>
      <c r="I1926" s="315" t="s">
        <v>1286</v>
      </c>
      <c r="J1926" s="315" t="str">
        <f t="shared" si="166"/>
        <v>ServiceOther Expenses as % of Sales</v>
      </c>
      <c r="K1926" s="315" t="str">
        <f t="shared" si="167"/>
        <v>147Service Other expenses - Toyota</v>
      </c>
      <c r="L1926" s="311">
        <f>+SUMIF('TUNZ Extracted TB'!M:M,$P1926,'TUNZ Extracted TB'!G:G)</f>
        <v>0</v>
      </c>
      <c r="M1926" s="311"/>
      <c r="N1926" s="311">
        <f>+SUMIF('Input Sheet'!$AE:$AE,P1926,'Input Sheet'!$X:$X)</f>
        <v>0</v>
      </c>
      <c r="O1926" s="311"/>
      <c r="P1926" t="str">
        <f t="shared" si="168"/>
        <v>147-7333</v>
      </c>
      <c r="Q1926" s="315" t="str">
        <f t="shared" si="169"/>
        <v>Service</v>
      </c>
      <c r="R1926" s="315" t="str">
        <f t="shared" si="170"/>
        <v>ServiceOther Expenses as % of Sales</v>
      </c>
      <c r="S1926" s="199"/>
      <c r="T1926" s="199"/>
      <c r="U1926" s="199"/>
    </row>
    <row r="1927" spans="1:21" x14ac:dyDescent="0.25">
      <c r="A1927" t="s">
        <v>996</v>
      </c>
      <c r="B1927" t="s">
        <v>997</v>
      </c>
      <c r="C1927" t="s">
        <v>997</v>
      </c>
      <c r="D1927">
        <v>7333</v>
      </c>
      <c r="E1927">
        <v>120</v>
      </c>
      <c r="F1927" t="s">
        <v>1328</v>
      </c>
      <c r="G1927" t="s">
        <v>1329</v>
      </c>
      <c r="H1927" s="315" t="s">
        <v>30</v>
      </c>
      <c r="I1927" s="315" t="s">
        <v>1327</v>
      </c>
      <c r="J1927" s="315" t="str">
        <f t="shared" si="166"/>
        <v>Used VehicleOther Semi-Fixed expenses per retail</v>
      </c>
      <c r="K1927" s="315" t="str">
        <f t="shared" si="167"/>
        <v>120Toyota UV Other Semi-Fixed expenses</v>
      </c>
      <c r="L1927" s="311">
        <f>+SUMIF('TUNZ Extracted TB'!M:M,$P1927,'TUNZ Extracted TB'!G:G)</f>
        <v>1249.32</v>
      </c>
      <c r="M1927" s="311"/>
      <c r="N1927" s="311">
        <f>+SUMIF('Input Sheet'!$AE:$AE,P1927,'Input Sheet'!$X:$X)</f>
        <v>0</v>
      </c>
      <c r="O1927" s="311"/>
      <c r="P1927" t="str">
        <f t="shared" si="168"/>
        <v>120-7333</v>
      </c>
      <c r="Q1927" s="315" t="str">
        <f t="shared" si="169"/>
        <v>Used Vehicle</v>
      </c>
      <c r="R1927" s="315" t="str">
        <f t="shared" si="170"/>
        <v>Used VehicleOther Semi-Fixed expenses per retail</v>
      </c>
      <c r="S1927" s="199"/>
      <c r="T1927" s="199"/>
      <c r="U1927" s="199"/>
    </row>
    <row r="1928" spans="1:21" x14ac:dyDescent="0.25">
      <c r="A1928" t="s">
        <v>996</v>
      </c>
      <c r="B1928" t="s">
        <v>997</v>
      </c>
      <c r="C1928" t="s">
        <v>1005</v>
      </c>
      <c r="D1928">
        <v>7333</v>
      </c>
      <c r="E1928">
        <v>210</v>
      </c>
      <c r="F1928" t="s">
        <v>1328</v>
      </c>
      <c r="G1928" t="s">
        <v>1329</v>
      </c>
      <c r="H1928" s="315" t="s">
        <v>30</v>
      </c>
      <c r="I1928" s="315" t="s">
        <v>1327</v>
      </c>
      <c r="J1928" s="315" t="str">
        <f t="shared" si="166"/>
        <v>Used VehicleOther Semi-Fixed expenses per retail</v>
      </c>
      <c r="K1928" s="315" t="str">
        <f t="shared" si="167"/>
        <v>210Toyota UV Other Semi-Fixed expenses</v>
      </c>
      <c r="L1928" s="311">
        <f>+SUMIF('TUNZ Extracted TB'!M:M,$P1928,'TUNZ Extracted TB'!G:G)</f>
        <v>0</v>
      </c>
      <c r="M1928" s="311"/>
      <c r="N1928" s="311">
        <f>+SUMIF('Input Sheet'!$AE:$AE,P1928,'Input Sheet'!$X:$X)</f>
        <v>0</v>
      </c>
      <c r="O1928" s="311"/>
      <c r="P1928" t="str">
        <f t="shared" si="168"/>
        <v>210-7333</v>
      </c>
      <c r="Q1928" s="315" t="str">
        <f t="shared" si="169"/>
        <v>Used Vehicle</v>
      </c>
      <c r="R1928" s="315" t="str">
        <f t="shared" si="170"/>
        <v>Used VehicleOther Semi-Fixed expenses per retail</v>
      </c>
      <c r="S1928" s="199"/>
      <c r="T1928" s="199"/>
      <c r="U1928" s="199"/>
    </row>
    <row r="1929" spans="1:21" x14ac:dyDescent="0.25">
      <c r="A1929" t="s">
        <v>996</v>
      </c>
      <c r="B1929" t="s">
        <v>997</v>
      </c>
      <c r="C1929" t="s">
        <v>1005</v>
      </c>
      <c r="D1929">
        <v>7333</v>
      </c>
      <c r="E1929">
        <v>221</v>
      </c>
      <c r="F1929" t="s">
        <v>1328</v>
      </c>
      <c r="G1929" t="s">
        <v>1329</v>
      </c>
      <c r="H1929" s="315" t="s">
        <v>30</v>
      </c>
      <c r="I1929" s="315" t="s">
        <v>1327</v>
      </c>
      <c r="J1929" s="315" t="str">
        <f t="shared" si="166"/>
        <v>Used VehicleOther Semi-Fixed expenses per retail</v>
      </c>
      <c r="K1929" s="315" t="str">
        <f t="shared" si="167"/>
        <v>221Toyota UV Other Semi-Fixed expenses</v>
      </c>
      <c r="L1929" s="311">
        <f>+SUMIF('TUNZ Extracted TB'!M:M,$P1929,'TUNZ Extracted TB'!G:G)</f>
        <v>0</v>
      </c>
      <c r="M1929" s="311"/>
      <c r="N1929" s="311">
        <f>+SUMIF('Input Sheet'!$AE:$AE,P1929,'Input Sheet'!$X:$X)</f>
        <v>0</v>
      </c>
      <c r="O1929" s="311"/>
      <c r="P1929" t="str">
        <f t="shared" si="168"/>
        <v>221-7333</v>
      </c>
      <c r="Q1929" s="315" t="str">
        <f t="shared" si="169"/>
        <v>Used Vehicle</v>
      </c>
      <c r="R1929" s="315" t="str">
        <f t="shared" si="170"/>
        <v>Used VehicleOther Semi-Fixed expenses per retail</v>
      </c>
      <c r="S1929" s="199"/>
      <c r="T1929" s="199"/>
      <c r="U1929" s="199"/>
    </row>
    <row r="1930" spans="1:21" x14ac:dyDescent="0.25">
      <c r="A1930" t="s">
        <v>996</v>
      </c>
      <c r="B1930" t="s">
        <v>997</v>
      </c>
      <c r="C1930" t="s">
        <v>1012</v>
      </c>
      <c r="D1930">
        <v>7333</v>
      </c>
      <c r="E1930">
        <v>410</v>
      </c>
      <c r="F1930" t="s">
        <v>1328</v>
      </c>
      <c r="G1930" t="s">
        <v>1329</v>
      </c>
      <c r="H1930" s="315" t="s">
        <v>30</v>
      </c>
      <c r="I1930" s="315" t="s">
        <v>1327</v>
      </c>
      <c r="J1930" s="315" t="str">
        <f t="shared" si="166"/>
        <v>Used VehicleOther Semi-Fixed expenses per retail</v>
      </c>
      <c r="K1930" s="315" t="str">
        <f t="shared" si="167"/>
        <v>410Toyota UV Other Semi-Fixed expenses</v>
      </c>
      <c r="L1930" s="311">
        <f>+SUMIF('TUNZ Extracted TB'!M:M,$P1930,'TUNZ Extracted TB'!G:G)</f>
        <v>0</v>
      </c>
      <c r="M1930" s="311"/>
      <c r="N1930" s="311">
        <f>+SUMIF('Input Sheet'!$AE:$AE,P1930,'Input Sheet'!$X:$X)</f>
        <v>0</v>
      </c>
      <c r="O1930" s="311"/>
      <c r="P1930" t="str">
        <f t="shared" si="168"/>
        <v>410-7333</v>
      </c>
      <c r="Q1930" s="315" t="str">
        <f t="shared" si="169"/>
        <v>Used Vehicle</v>
      </c>
      <c r="R1930" s="315" t="str">
        <f t="shared" si="170"/>
        <v>Used VehicleOther Semi-Fixed expenses per retail</v>
      </c>
      <c r="S1930" s="199"/>
      <c r="T1930" s="199"/>
      <c r="U1930" s="199"/>
    </row>
    <row r="1931" spans="1:21" x14ac:dyDescent="0.25">
      <c r="A1931" t="s">
        <v>996</v>
      </c>
      <c r="B1931" t="s">
        <v>997</v>
      </c>
      <c r="C1931" t="s">
        <v>1012</v>
      </c>
      <c r="D1931">
        <v>7333</v>
      </c>
      <c r="E1931">
        <v>420</v>
      </c>
      <c r="F1931" t="s">
        <v>1328</v>
      </c>
      <c r="G1931" t="s">
        <v>1329</v>
      </c>
      <c r="H1931" s="315" t="s">
        <v>30</v>
      </c>
      <c r="I1931" s="315" t="s">
        <v>1327</v>
      </c>
      <c r="J1931" s="315" t="str">
        <f t="shared" si="166"/>
        <v>Used VehicleOther Semi-Fixed expenses per retail</v>
      </c>
      <c r="K1931" s="315" t="str">
        <f t="shared" si="167"/>
        <v>420Toyota UV Other Semi-Fixed expenses</v>
      </c>
      <c r="L1931" s="311">
        <f>+SUMIF('TUNZ Extracted TB'!M:M,$P1931,'TUNZ Extracted TB'!G:G)</f>
        <v>0</v>
      </c>
      <c r="M1931" s="311"/>
      <c r="N1931" s="311">
        <f>+SUMIF('Input Sheet'!$AE:$AE,P1931,'Input Sheet'!$X:$X)</f>
        <v>0</v>
      </c>
      <c r="O1931" s="311"/>
      <c r="P1931" t="str">
        <f t="shared" si="168"/>
        <v>420-7333</v>
      </c>
      <c r="Q1931" s="315" t="str">
        <f t="shared" si="169"/>
        <v>Used Vehicle</v>
      </c>
      <c r="R1931" s="315" t="str">
        <f t="shared" si="170"/>
        <v>Used VehicleOther Semi-Fixed expenses per retail</v>
      </c>
      <c r="S1931" s="199"/>
      <c r="T1931" s="199"/>
      <c r="U1931" s="199"/>
    </row>
    <row r="1932" spans="1:21" x14ac:dyDescent="0.25">
      <c r="A1932" t="s">
        <v>996</v>
      </c>
      <c r="B1932" t="s">
        <v>997</v>
      </c>
      <c r="C1932" t="s">
        <v>1012</v>
      </c>
      <c r="D1932">
        <v>7333</v>
      </c>
      <c r="E1932">
        <v>421</v>
      </c>
      <c r="F1932" t="s">
        <v>1328</v>
      </c>
      <c r="G1932" t="s">
        <v>1329</v>
      </c>
      <c r="H1932" s="315" t="s">
        <v>30</v>
      </c>
      <c r="I1932" s="315" t="s">
        <v>1327</v>
      </c>
      <c r="J1932" s="315" t="str">
        <f t="shared" si="166"/>
        <v>Used VehicleOther Semi-Fixed expenses per retail</v>
      </c>
      <c r="K1932" s="315" t="str">
        <f t="shared" si="167"/>
        <v>421Toyota UV Other Semi-Fixed expenses</v>
      </c>
      <c r="L1932" s="311">
        <f>+SUMIF('TUNZ Extracted TB'!M:M,$P1932,'TUNZ Extracted TB'!G:G)</f>
        <v>0</v>
      </c>
      <c r="M1932" s="311"/>
      <c r="N1932" s="311">
        <f>+SUMIF('Input Sheet'!$AE:$AE,P1932,'Input Sheet'!$X:$X)</f>
        <v>0</v>
      </c>
      <c r="O1932" s="311"/>
      <c r="P1932" t="str">
        <f t="shared" si="168"/>
        <v>421-7333</v>
      </c>
      <c r="Q1932" s="315" t="str">
        <f t="shared" si="169"/>
        <v>Used Vehicle</v>
      </c>
      <c r="R1932" s="315" t="str">
        <f t="shared" si="170"/>
        <v>Used VehicleOther Semi-Fixed expenses per retail</v>
      </c>
      <c r="S1932" s="199"/>
      <c r="T1932" s="199"/>
      <c r="U1932" s="199"/>
    </row>
    <row r="1933" spans="1:21" x14ac:dyDescent="0.25">
      <c r="A1933" t="s">
        <v>996</v>
      </c>
      <c r="B1933" t="s">
        <v>997</v>
      </c>
      <c r="C1933" t="s">
        <v>1013</v>
      </c>
      <c r="D1933">
        <v>7333</v>
      </c>
      <c r="E1933">
        <v>310</v>
      </c>
      <c r="F1933" t="s">
        <v>1328</v>
      </c>
      <c r="G1933" t="s">
        <v>1329</v>
      </c>
      <c r="H1933" s="315" t="s">
        <v>30</v>
      </c>
      <c r="I1933" s="315" t="s">
        <v>1327</v>
      </c>
      <c r="J1933" s="315" t="str">
        <f t="shared" si="166"/>
        <v>Used VehicleOther Semi-Fixed expenses per retail</v>
      </c>
      <c r="K1933" s="315" t="str">
        <f t="shared" si="167"/>
        <v>310Toyota UV Other Semi-Fixed expenses</v>
      </c>
      <c r="L1933" s="311">
        <f>+SUMIF('TUNZ Extracted TB'!M:M,$P1933,'TUNZ Extracted TB'!G:G)</f>
        <v>0</v>
      </c>
      <c r="M1933" s="311"/>
      <c r="N1933" s="311">
        <f>+SUMIF('Input Sheet'!$AE:$AE,P1933,'Input Sheet'!$X:$X)</f>
        <v>0</v>
      </c>
      <c r="O1933" s="311"/>
      <c r="P1933" t="str">
        <f t="shared" si="168"/>
        <v>310-7333</v>
      </c>
      <c r="Q1933" s="315" t="str">
        <f t="shared" si="169"/>
        <v>Used Vehicle</v>
      </c>
      <c r="R1933" s="315" t="str">
        <f t="shared" si="170"/>
        <v>Used VehicleOther Semi-Fixed expenses per retail</v>
      </c>
      <c r="S1933" s="199"/>
      <c r="T1933" s="199"/>
      <c r="U1933" s="199"/>
    </row>
    <row r="1934" spans="1:21" x14ac:dyDescent="0.25">
      <c r="A1934" t="s">
        <v>996</v>
      </c>
      <c r="B1934" t="s">
        <v>997</v>
      </c>
      <c r="C1934" t="s">
        <v>1013</v>
      </c>
      <c r="D1934">
        <v>7333</v>
      </c>
      <c r="E1934">
        <v>321</v>
      </c>
      <c r="F1934" t="s">
        <v>1328</v>
      </c>
      <c r="G1934" t="s">
        <v>1329</v>
      </c>
      <c r="H1934" s="315" t="s">
        <v>30</v>
      </c>
      <c r="I1934" s="315" t="s">
        <v>1327</v>
      </c>
      <c r="J1934" s="315" t="str">
        <f t="shared" si="166"/>
        <v>Used VehicleOther Semi-Fixed expenses per retail</v>
      </c>
      <c r="K1934" s="315" t="str">
        <f t="shared" si="167"/>
        <v>321Toyota UV Other Semi-Fixed expenses</v>
      </c>
      <c r="L1934" s="311">
        <f>+SUMIF('TUNZ Extracted TB'!M:M,$P1934,'TUNZ Extracted TB'!G:G)</f>
        <v>0</v>
      </c>
      <c r="M1934" s="311"/>
      <c r="N1934" s="311">
        <f>+SUMIF('Input Sheet'!$AE:$AE,P1934,'Input Sheet'!$X:$X)</f>
        <v>0</v>
      </c>
      <c r="O1934" s="311"/>
      <c r="P1934" t="str">
        <f t="shared" si="168"/>
        <v>321-7333</v>
      </c>
      <c r="Q1934" s="315" t="str">
        <f t="shared" si="169"/>
        <v>Used Vehicle</v>
      </c>
      <c r="R1934" s="315" t="str">
        <f t="shared" si="170"/>
        <v>Used VehicleOther Semi-Fixed expenses per retail</v>
      </c>
      <c r="S1934" s="199"/>
      <c r="T1934" s="199"/>
      <c r="U1934" s="199"/>
    </row>
    <row r="1935" spans="1:21" x14ac:dyDescent="0.25">
      <c r="A1935" t="s">
        <v>996</v>
      </c>
      <c r="B1935" t="s">
        <v>997</v>
      </c>
      <c r="C1935" t="s">
        <v>997</v>
      </c>
      <c r="D1935">
        <v>7340</v>
      </c>
      <c r="E1935">
        <v>140</v>
      </c>
      <c r="F1935" t="s">
        <v>1353</v>
      </c>
      <c r="G1935" t="s">
        <v>1354</v>
      </c>
      <c r="H1935" s="315" t="s">
        <v>1000</v>
      </c>
      <c r="I1935" s="315" t="s">
        <v>1276</v>
      </c>
      <c r="J1935" s="315" t="str">
        <f t="shared" si="166"/>
        <v xml:space="preserve">Admin &amp; OtherStaff Remuneration &amp; Benefits as % of Total Gross </v>
      </c>
      <c r="K1935" s="315" t="str">
        <f t="shared" si="167"/>
        <v>140Staff Benefits (Superannuation, FBT, ACC) - Toyota</v>
      </c>
      <c r="L1935" s="311">
        <f>+SUMIF('TUNZ Extracted TB'!M:M,$P1935,'TUNZ Extracted TB'!G:G)</f>
        <v>0</v>
      </c>
      <c r="M1935" s="311"/>
      <c r="N1935" s="311">
        <f>+SUMIF('Input Sheet'!$AE:$AE,P1935,'Input Sheet'!$X:$X)</f>
        <v>0</v>
      </c>
      <c r="O1935" s="311"/>
      <c r="P1935" t="str">
        <f t="shared" si="168"/>
        <v>140-7340</v>
      </c>
      <c r="Q1935" s="315" t="str">
        <f t="shared" si="169"/>
        <v>Admin &amp; Other</v>
      </c>
      <c r="R1935" s="315" t="str">
        <f t="shared" si="170"/>
        <v xml:space="preserve">Admin &amp; OtherStaff Remuneration &amp; Benefits as % of Total Gross </v>
      </c>
      <c r="S1935" s="199"/>
      <c r="T1935" s="199"/>
      <c r="U1935" s="199"/>
    </row>
    <row r="1936" spans="1:21" x14ac:dyDescent="0.25">
      <c r="A1936" t="s">
        <v>996</v>
      </c>
      <c r="B1936" t="s">
        <v>997</v>
      </c>
      <c r="C1936" t="s">
        <v>997</v>
      </c>
      <c r="D1936">
        <v>7340</v>
      </c>
      <c r="E1936">
        <v>142</v>
      </c>
      <c r="F1936" t="s">
        <v>1355</v>
      </c>
      <c r="G1936" t="s">
        <v>1356</v>
      </c>
      <c r="H1936" s="315" t="s">
        <v>1023</v>
      </c>
      <c r="I1936" s="315" t="s">
        <v>1276</v>
      </c>
      <c r="J1936" s="315" t="str">
        <f t="shared" si="166"/>
        <v xml:space="preserve">LEX Admin &amp; OtherStaff Remuneration &amp; Benefits as % of Total Gross </v>
      </c>
      <c r="K1936" s="315" t="str">
        <f t="shared" si="167"/>
        <v>142Staff Benefits (Superannuation, FBT, ACC) - Lexus</v>
      </c>
      <c r="L1936" s="311">
        <f>+SUMIF('TUNZ Extracted TB'!M:M,$P1936,'TUNZ Extracted TB'!G:G)</f>
        <v>0</v>
      </c>
      <c r="M1936" s="311"/>
      <c r="N1936" s="311">
        <f>+SUMIF('Input Sheet'!$AE:$AE,P1936,'Input Sheet'!$X:$X)</f>
        <v>0</v>
      </c>
      <c r="O1936" s="311"/>
      <c r="P1936" t="str">
        <f t="shared" si="168"/>
        <v>142-7340</v>
      </c>
      <c r="Q1936" s="315" t="str">
        <f t="shared" si="169"/>
        <v>LEX Admin &amp; Other</v>
      </c>
      <c r="R1936" s="315" t="str">
        <f t="shared" si="170"/>
        <v xml:space="preserve">LEX Admin &amp; OtherStaff Remuneration &amp; Benefits as % of Total Gross </v>
      </c>
      <c r="S1936" s="199"/>
      <c r="T1936" s="199"/>
      <c r="U1936" s="199"/>
    </row>
    <row r="1937" spans="1:21" x14ac:dyDescent="0.25">
      <c r="A1937" t="s">
        <v>996</v>
      </c>
      <c r="B1937" t="s">
        <v>997</v>
      </c>
      <c r="C1937" t="s">
        <v>997</v>
      </c>
      <c r="D1937">
        <v>7340</v>
      </c>
      <c r="E1937">
        <v>132</v>
      </c>
      <c r="F1937" t="s">
        <v>1355</v>
      </c>
      <c r="G1937" t="s">
        <v>1356</v>
      </c>
      <c r="H1937" s="315" t="s">
        <v>1023</v>
      </c>
      <c r="I1937" s="315" t="s">
        <v>1276</v>
      </c>
      <c r="J1937" s="315" t="str">
        <f t="shared" si="166"/>
        <v xml:space="preserve">LEX Admin &amp; OtherStaff Remuneration &amp; Benefits as % of Total Gross </v>
      </c>
      <c r="K1937" s="315" t="str">
        <f t="shared" si="167"/>
        <v>132Staff Benefits (Superannuation, FBT, ACC) - Lexus</v>
      </c>
      <c r="L1937" s="311">
        <f>+SUMIF('TUNZ Extracted TB'!M:M,$P1937,'TUNZ Extracted TB'!G:G)</f>
        <v>0</v>
      </c>
      <c r="M1937" s="311"/>
      <c r="N1937" s="311">
        <f>+SUMIF('Input Sheet'!$AE:$AE,P1937,'Input Sheet'!$X:$X)</f>
        <v>0</v>
      </c>
      <c r="O1937" s="311"/>
      <c r="P1937" t="str">
        <f t="shared" si="168"/>
        <v>132-7340</v>
      </c>
      <c r="Q1937" s="315" t="str">
        <f t="shared" si="169"/>
        <v>LEX Admin &amp; Other</v>
      </c>
      <c r="R1937" s="315" t="str">
        <f t="shared" si="170"/>
        <v xml:space="preserve">LEX Admin &amp; OtherStaff Remuneration &amp; Benefits as % of Total Gross </v>
      </c>
      <c r="S1937" s="199"/>
      <c r="T1937" s="199"/>
      <c r="U1937" s="199"/>
    </row>
    <row r="1938" spans="1:21" x14ac:dyDescent="0.25">
      <c r="A1938" t="s">
        <v>996</v>
      </c>
      <c r="B1938" t="s">
        <v>997</v>
      </c>
      <c r="C1938" t="s">
        <v>997</v>
      </c>
      <c r="D1938">
        <v>7340</v>
      </c>
      <c r="E1938">
        <v>130</v>
      </c>
      <c r="F1938" t="s">
        <v>1353</v>
      </c>
      <c r="G1938" t="s">
        <v>1354</v>
      </c>
      <c r="H1938" s="315" t="s">
        <v>1000</v>
      </c>
      <c r="I1938" s="315" t="s">
        <v>1276</v>
      </c>
      <c r="J1938" s="315" t="str">
        <f t="shared" si="166"/>
        <v xml:space="preserve">Admin &amp; OtherStaff Remuneration &amp; Benefits as % of Total Gross </v>
      </c>
      <c r="K1938" s="315" t="str">
        <f t="shared" si="167"/>
        <v>130Staff Benefits (Superannuation, FBT, ACC) - Toyota</v>
      </c>
      <c r="L1938" s="311">
        <f>+SUMIF('TUNZ Extracted TB'!M:M,$P1938,'TUNZ Extracted TB'!G:G)</f>
        <v>0</v>
      </c>
      <c r="M1938" s="311"/>
      <c r="N1938" s="311">
        <f>+SUMIF('Input Sheet'!$AE:$AE,P1938,'Input Sheet'!$X:$X)</f>
        <v>0</v>
      </c>
      <c r="O1938" s="311"/>
      <c r="P1938" t="str">
        <f t="shared" si="168"/>
        <v>130-7340</v>
      </c>
      <c r="Q1938" s="315" t="str">
        <f t="shared" si="169"/>
        <v>Admin &amp; Other</v>
      </c>
      <c r="R1938" s="315" t="str">
        <f t="shared" si="170"/>
        <v xml:space="preserve">Admin &amp; OtherStaff Remuneration &amp; Benefits as % of Total Gross </v>
      </c>
      <c r="S1938" s="199"/>
      <c r="T1938" s="199"/>
      <c r="U1938" s="199"/>
    </row>
    <row r="1939" spans="1:21" x14ac:dyDescent="0.25">
      <c r="A1939" t="s">
        <v>996</v>
      </c>
      <c r="B1939" t="s">
        <v>997</v>
      </c>
      <c r="C1939" t="s">
        <v>997</v>
      </c>
      <c r="D1939">
        <v>7340</v>
      </c>
      <c r="E1939">
        <v>112</v>
      </c>
      <c r="F1939" t="s">
        <v>1355</v>
      </c>
      <c r="G1939" t="s">
        <v>1356</v>
      </c>
      <c r="H1939" s="315" t="s">
        <v>1023</v>
      </c>
      <c r="I1939" s="315" t="s">
        <v>1276</v>
      </c>
      <c r="J1939" s="315" t="str">
        <f t="shared" si="166"/>
        <v xml:space="preserve">LEX Admin &amp; OtherStaff Remuneration &amp; Benefits as % of Total Gross </v>
      </c>
      <c r="K1939" s="315" t="str">
        <f t="shared" si="167"/>
        <v>112Staff Benefits (Superannuation, FBT, ACC) - Lexus</v>
      </c>
      <c r="L1939" s="311">
        <f>+SUMIF('TUNZ Extracted TB'!M:M,$P1939,'TUNZ Extracted TB'!G:G)</f>
        <v>0</v>
      </c>
      <c r="M1939" s="311"/>
      <c r="N1939" s="311">
        <f>+SUMIF('Input Sheet'!$AE:$AE,P1939,'Input Sheet'!$X:$X)</f>
        <v>0</v>
      </c>
      <c r="O1939" s="311"/>
      <c r="P1939" t="str">
        <f t="shared" si="168"/>
        <v>112-7340</v>
      </c>
      <c r="Q1939" s="315" t="str">
        <f t="shared" si="169"/>
        <v>LEX Admin &amp; Other</v>
      </c>
      <c r="R1939" s="315" t="str">
        <f t="shared" si="170"/>
        <v xml:space="preserve">LEX Admin &amp; OtherStaff Remuneration &amp; Benefits as % of Total Gross </v>
      </c>
      <c r="S1939" s="199"/>
      <c r="T1939" s="199"/>
      <c r="U1939" s="199"/>
    </row>
    <row r="1940" spans="1:21" x14ac:dyDescent="0.25">
      <c r="A1940" t="s">
        <v>996</v>
      </c>
      <c r="B1940" t="s">
        <v>997</v>
      </c>
      <c r="C1940" t="s">
        <v>997</v>
      </c>
      <c r="D1940">
        <v>7340</v>
      </c>
      <c r="E1940">
        <v>936</v>
      </c>
      <c r="F1940" t="s">
        <v>1175</v>
      </c>
      <c r="G1940" t="s">
        <v>1176</v>
      </c>
      <c r="H1940" s="315" t="s">
        <v>1023</v>
      </c>
      <c r="I1940" s="315" t="s">
        <v>1276</v>
      </c>
      <c r="J1940" s="315" t="str">
        <f t="shared" si="166"/>
        <v xml:space="preserve">LEX Admin &amp; OtherStaff Remuneration &amp; Benefits as % of Total Gross </v>
      </c>
      <c r="K1940" s="315" t="str">
        <f t="shared" si="167"/>
        <v>936Other franchise/business expense</v>
      </c>
      <c r="L1940" s="311">
        <f>+SUMIF('TUNZ Extracted TB'!M:M,$P1940,'TUNZ Extracted TB'!G:G)</f>
        <v>0</v>
      </c>
      <c r="M1940" s="311"/>
      <c r="N1940" s="311">
        <f>+SUMIF('Input Sheet'!$AE:$AE,P1940,'Input Sheet'!$X:$X)</f>
        <v>0</v>
      </c>
      <c r="O1940" s="311"/>
      <c r="P1940" t="str">
        <f t="shared" si="168"/>
        <v>936-7340</v>
      </c>
      <c r="Q1940" s="315" t="str">
        <f t="shared" si="169"/>
        <v>LEX Admin &amp; Other</v>
      </c>
      <c r="R1940" s="315" t="str">
        <f t="shared" si="170"/>
        <v xml:space="preserve">LEX Admin &amp; OtherStaff Remuneration &amp; Benefits as % of Total Gross </v>
      </c>
      <c r="S1940" s="199"/>
      <c r="T1940" s="199"/>
      <c r="U1940" s="199"/>
    </row>
    <row r="1941" spans="1:21" x14ac:dyDescent="0.25">
      <c r="A1941" t="s">
        <v>996</v>
      </c>
      <c r="B1941" t="s">
        <v>997</v>
      </c>
      <c r="C1941" t="s">
        <v>997</v>
      </c>
      <c r="D1941">
        <v>7340</v>
      </c>
      <c r="E1941">
        <v>935</v>
      </c>
      <c r="F1941" t="s">
        <v>1175</v>
      </c>
      <c r="G1941" t="s">
        <v>1176</v>
      </c>
      <c r="H1941" s="315" t="s">
        <v>1023</v>
      </c>
      <c r="I1941" s="315" t="s">
        <v>1276</v>
      </c>
      <c r="J1941" s="315" t="str">
        <f t="shared" si="166"/>
        <v xml:space="preserve">LEX Admin &amp; OtherStaff Remuneration &amp; Benefits as % of Total Gross </v>
      </c>
      <c r="K1941" s="315" t="str">
        <f t="shared" si="167"/>
        <v>935Other franchise/business expense</v>
      </c>
      <c r="L1941" s="311">
        <f>+SUMIF('TUNZ Extracted TB'!M:M,$P1941,'TUNZ Extracted TB'!G:G)</f>
        <v>0</v>
      </c>
      <c r="M1941" s="311"/>
      <c r="N1941" s="311">
        <f>+SUMIF('Input Sheet'!$AE:$AE,P1941,'Input Sheet'!$X:$X)</f>
        <v>0</v>
      </c>
      <c r="O1941" s="311"/>
      <c r="P1941" t="str">
        <f t="shared" si="168"/>
        <v>935-7340</v>
      </c>
      <c r="Q1941" s="315" t="str">
        <f t="shared" si="169"/>
        <v>LEX Admin &amp; Other</v>
      </c>
      <c r="R1941" s="315" t="str">
        <f t="shared" si="170"/>
        <v xml:space="preserve">LEX Admin &amp; OtherStaff Remuneration &amp; Benefits as % of Total Gross </v>
      </c>
      <c r="S1941" s="199"/>
      <c r="T1941" s="199"/>
      <c r="U1941" s="199"/>
    </row>
    <row r="1942" spans="1:21" x14ac:dyDescent="0.25">
      <c r="A1942" t="s">
        <v>996</v>
      </c>
      <c r="B1942" t="s">
        <v>997</v>
      </c>
      <c r="C1942" t="s">
        <v>997</v>
      </c>
      <c r="D1942">
        <v>7340</v>
      </c>
      <c r="E1942">
        <v>122</v>
      </c>
      <c r="F1942" t="s">
        <v>1355</v>
      </c>
      <c r="G1942" t="s">
        <v>1356</v>
      </c>
      <c r="H1942" s="315" t="s">
        <v>1023</v>
      </c>
      <c r="I1942" s="315" t="s">
        <v>1276</v>
      </c>
      <c r="J1942" s="315" t="str">
        <f t="shared" si="166"/>
        <v xml:space="preserve">LEX Admin &amp; OtherStaff Remuneration &amp; Benefits as % of Total Gross </v>
      </c>
      <c r="K1942" s="315" t="str">
        <f t="shared" si="167"/>
        <v>122Staff Benefits (Superannuation, FBT, ACC) - Lexus</v>
      </c>
      <c r="L1942" s="311">
        <f>+SUMIF('TUNZ Extracted TB'!M:M,$P1942,'TUNZ Extracted TB'!G:G)</f>
        <v>0</v>
      </c>
      <c r="M1942" s="311"/>
      <c r="N1942" s="311">
        <f>+SUMIF('Input Sheet'!$AE:$AE,P1942,'Input Sheet'!$X:$X)</f>
        <v>0</v>
      </c>
      <c r="O1942" s="311"/>
      <c r="P1942" t="str">
        <f t="shared" si="168"/>
        <v>122-7340</v>
      </c>
      <c r="Q1942" s="315" t="str">
        <f t="shared" si="169"/>
        <v>LEX Admin &amp; Other</v>
      </c>
      <c r="R1942" s="315" t="str">
        <f t="shared" si="170"/>
        <v xml:space="preserve">LEX Admin &amp; OtherStaff Remuneration &amp; Benefits as % of Total Gross </v>
      </c>
      <c r="S1942" s="199"/>
      <c r="T1942" s="199"/>
      <c r="U1942" s="199"/>
    </row>
    <row r="1943" spans="1:21" x14ac:dyDescent="0.25">
      <c r="A1943" t="s">
        <v>996</v>
      </c>
      <c r="B1943" t="s">
        <v>997</v>
      </c>
      <c r="C1943" t="s">
        <v>997</v>
      </c>
      <c r="D1943">
        <v>7340</v>
      </c>
      <c r="E1943">
        <v>162</v>
      </c>
      <c r="F1943" t="s">
        <v>1355</v>
      </c>
      <c r="G1943" t="s">
        <v>1356</v>
      </c>
      <c r="H1943" s="315" t="s">
        <v>1023</v>
      </c>
      <c r="I1943" s="315" t="s">
        <v>1276</v>
      </c>
      <c r="J1943" s="315" t="str">
        <f t="shared" si="166"/>
        <v xml:space="preserve">LEX Admin &amp; OtherStaff Remuneration &amp; Benefits as % of Total Gross </v>
      </c>
      <c r="K1943" s="315" t="str">
        <f t="shared" si="167"/>
        <v>162Staff Benefits (Superannuation, FBT, ACC) - Lexus</v>
      </c>
      <c r="L1943" s="311">
        <f>+SUMIF('TUNZ Extracted TB'!M:M,$P1943,'TUNZ Extracted TB'!G:G)</f>
        <v>0</v>
      </c>
      <c r="M1943" s="311"/>
      <c r="N1943" s="311">
        <f>+SUMIF('Input Sheet'!$AE:$AE,P1943,'Input Sheet'!$X:$X)</f>
        <v>0</v>
      </c>
      <c r="O1943" s="311"/>
      <c r="P1943" t="str">
        <f t="shared" si="168"/>
        <v>162-7340</v>
      </c>
      <c r="Q1943" s="315" t="str">
        <f t="shared" si="169"/>
        <v>LEX Admin &amp; Other</v>
      </c>
      <c r="R1943" s="315" t="str">
        <f t="shared" si="170"/>
        <v xml:space="preserve">LEX Admin &amp; OtherStaff Remuneration &amp; Benefits as % of Total Gross </v>
      </c>
      <c r="S1943" s="199"/>
      <c r="T1943" s="199"/>
      <c r="U1943" s="199"/>
    </row>
    <row r="1944" spans="1:21" x14ac:dyDescent="0.25">
      <c r="A1944" t="s">
        <v>996</v>
      </c>
      <c r="B1944" t="s">
        <v>997</v>
      </c>
      <c r="C1944" t="s">
        <v>1005</v>
      </c>
      <c r="D1944">
        <v>7340</v>
      </c>
      <c r="E1944">
        <v>200</v>
      </c>
      <c r="F1944" t="s">
        <v>1353</v>
      </c>
      <c r="G1944" t="s">
        <v>1354</v>
      </c>
      <c r="H1944" s="315" t="s">
        <v>1000</v>
      </c>
      <c r="I1944" s="315" t="s">
        <v>1276</v>
      </c>
      <c r="J1944" s="315" t="str">
        <f t="shared" si="166"/>
        <v xml:space="preserve">Admin &amp; OtherStaff Remuneration &amp; Benefits as % of Total Gross </v>
      </c>
      <c r="K1944" s="315" t="str">
        <f t="shared" si="167"/>
        <v>200Staff Benefits (Superannuation, FBT, ACC) - Toyota</v>
      </c>
      <c r="L1944" s="311">
        <f>+SUMIF('TUNZ Extracted TB'!M:M,$P1944,'TUNZ Extracted TB'!G:G)</f>
        <v>0</v>
      </c>
      <c r="M1944" s="311"/>
      <c r="N1944" s="311">
        <f>+SUMIF('Input Sheet'!$AE:$AE,P1944,'Input Sheet'!$X:$X)</f>
        <v>0</v>
      </c>
      <c r="O1944" s="311"/>
      <c r="P1944" t="str">
        <f t="shared" si="168"/>
        <v>200-7340</v>
      </c>
      <c r="Q1944" s="315" t="str">
        <f t="shared" si="169"/>
        <v>Admin &amp; Other</v>
      </c>
      <c r="R1944" s="315" t="str">
        <f t="shared" si="170"/>
        <v xml:space="preserve">Admin &amp; OtherStaff Remuneration &amp; Benefits as % of Total Gross </v>
      </c>
      <c r="S1944" s="199"/>
      <c r="T1944" s="199"/>
      <c r="U1944" s="199"/>
    </row>
    <row r="1945" spans="1:21" x14ac:dyDescent="0.25">
      <c r="A1945" t="s">
        <v>996</v>
      </c>
      <c r="B1945" t="s">
        <v>997</v>
      </c>
      <c r="C1945" t="s">
        <v>1005</v>
      </c>
      <c r="D1945">
        <v>7340</v>
      </c>
      <c r="E1945">
        <v>210</v>
      </c>
      <c r="F1945" t="s">
        <v>1353</v>
      </c>
      <c r="G1945" t="s">
        <v>1354</v>
      </c>
      <c r="H1945" s="315" t="s">
        <v>1000</v>
      </c>
      <c r="I1945" s="315" t="s">
        <v>1276</v>
      </c>
      <c r="J1945" s="315" t="str">
        <f t="shared" si="166"/>
        <v xml:space="preserve">Admin &amp; OtherStaff Remuneration &amp; Benefits as % of Total Gross </v>
      </c>
      <c r="K1945" s="315" t="str">
        <f t="shared" si="167"/>
        <v>210Staff Benefits (Superannuation, FBT, ACC) - Toyota</v>
      </c>
      <c r="L1945" s="311">
        <f>+SUMIF('TUNZ Extracted TB'!M:M,$P1945,'TUNZ Extracted TB'!G:G)</f>
        <v>0</v>
      </c>
      <c r="M1945" s="311"/>
      <c r="N1945" s="311">
        <f>+SUMIF('Input Sheet'!$AE:$AE,P1945,'Input Sheet'!$X:$X)</f>
        <v>0</v>
      </c>
      <c r="O1945" s="311"/>
      <c r="P1945" t="str">
        <f t="shared" si="168"/>
        <v>210-7340</v>
      </c>
      <c r="Q1945" s="315" t="str">
        <f t="shared" si="169"/>
        <v>Admin &amp; Other</v>
      </c>
      <c r="R1945" s="315" t="str">
        <f t="shared" si="170"/>
        <v xml:space="preserve">Admin &amp; OtherStaff Remuneration &amp; Benefits as % of Total Gross </v>
      </c>
      <c r="S1945" s="199"/>
      <c r="T1945" s="199"/>
      <c r="U1945" s="199"/>
    </row>
    <row r="1946" spans="1:21" x14ac:dyDescent="0.25">
      <c r="A1946" t="s">
        <v>996</v>
      </c>
      <c r="B1946" t="s">
        <v>997</v>
      </c>
      <c r="C1946" t="s">
        <v>1005</v>
      </c>
      <c r="D1946">
        <v>7340</v>
      </c>
      <c r="E1946">
        <v>220</v>
      </c>
      <c r="F1946" t="s">
        <v>1353</v>
      </c>
      <c r="G1946" t="s">
        <v>1354</v>
      </c>
      <c r="H1946" s="315" t="s">
        <v>1000</v>
      </c>
      <c r="I1946" s="315" t="s">
        <v>1276</v>
      </c>
      <c r="J1946" s="315" t="str">
        <f t="shared" si="166"/>
        <v xml:space="preserve">Admin &amp; OtherStaff Remuneration &amp; Benefits as % of Total Gross </v>
      </c>
      <c r="K1946" s="315" t="str">
        <f t="shared" si="167"/>
        <v>220Staff Benefits (Superannuation, FBT, ACC) - Toyota</v>
      </c>
      <c r="L1946" s="311">
        <f>+SUMIF('TUNZ Extracted TB'!M:M,$P1946,'TUNZ Extracted TB'!G:G)</f>
        <v>0</v>
      </c>
      <c r="M1946" s="311"/>
      <c r="N1946" s="311">
        <f>+SUMIF('Input Sheet'!$AE:$AE,P1946,'Input Sheet'!$X:$X)</f>
        <v>0</v>
      </c>
      <c r="O1946" s="311"/>
      <c r="P1946" t="str">
        <f t="shared" si="168"/>
        <v>220-7340</v>
      </c>
      <c r="Q1946" s="315" t="str">
        <f t="shared" si="169"/>
        <v>Admin &amp; Other</v>
      </c>
      <c r="R1946" s="315" t="str">
        <f t="shared" si="170"/>
        <v xml:space="preserve">Admin &amp; OtherStaff Remuneration &amp; Benefits as % of Total Gross </v>
      </c>
      <c r="S1946" s="199"/>
      <c r="T1946" s="199"/>
      <c r="U1946" s="199"/>
    </row>
    <row r="1947" spans="1:21" x14ac:dyDescent="0.25">
      <c r="A1947" t="s">
        <v>996</v>
      </c>
      <c r="B1947" t="s">
        <v>997</v>
      </c>
      <c r="C1947" t="s">
        <v>1005</v>
      </c>
      <c r="D1947">
        <v>7340</v>
      </c>
      <c r="E1947">
        <v>221</v>
      </c>
      <c r="F1947" t="s">
        <v>1353</v>
      </c>
      <c r="G1947" t="s">
        <v>1354</v>
      </c>
      <c r="H1947" s="315" t="s">
        <v>1000</v>
      </c>
      <c r="I1947" s="315" t="s">
        <v>1276</v>
      </c>
      <c r="J1947" s="315" t="str">
        <f t="shared" si="166"/>
        <v xml:space="preserve">Admin &amp; OtherStaff Remuneration &amp; Benefits as % of Total Gross </v>
      </c>
      <c r="K1947" s="315" t="str">
        <f t="shared" si="167"/>
        <v>221Staff Benefits (Superannuation, FBT, ACC) - Toyota</v>
      </c>
      <c r="L1947" s="311">
        <f>+SUMIF('TUNZ Extracted TB'!M:M,$P1947,'TUNZ Extracted TB'!G:G)</f>
        <v>0</v>
      </c>
      <c r="M1947" s="311"/>
      <c r="N1947" s="311">
        <f>+SUMIF('Input Sheet'!$AE:$AE,P1947,'Input Sheet'!$X:$X)</f>
        <v>0</v>
      </c>
      <c r="O1947" s="311"/>
      <c r="P1947" t="str">
        <f t="shared" si="168"/>
        <v>221-7340</v>
      </c>
      <c r="Q1947" s="315" t="str">
        <f t="shared" si="169"/>
        <v>Admin &amp; Other</v>
      </c>
      <c r="R1947" s="315" t="str">
        <f t="shared" si="170"/>
        <v xml:space="preserve">Admin &amp; OtherStaff Remuneration &amp; Benefits as % of Total Gross </v>
      </c>
      <c r="S1947" s="199"/>
      <c r="T1947" s="199"/>
      <c r="U1947" s="199"/>
    </row>
    <row r="1948" spans="1:21" x14ac:dyDescent="0.25">
      <c r="A1948" t="s">
        <v>996</v>
      </c>
      <c r="B1948" t="s">
        <v>997</v>
      </c>
      <c r="C1948" t="s">
        <v>1005</v>
      </c>
      <c r="D1948">
        <v>7340</v>
      </c>
      <c r="E1948">
        <v>230</v>
      </c>
      <c r="F1948" t="s">
        <v>1353</v>
      </c>
      <c r="G1948" t="s">
        <v>1354</v>
      </c>
      <c r="H1948" s="315" t="s">
        <v>1000</v>
      </c>
      <c r="I1948" s="315" t="s">
        <v>1276</v>
      </c>
      <c r="J1948" s="315" t="str">
        <f t="shared" si="166"/>
        <v xml:space="preserve">Admin &amp; OtherStaff Remuneration &amp; Benefits as % of Total Gross </v>
      </c>
      <c r="K1948" s="315" t="str">
        <f t="shared" si="167"/>
        <v>230Staff Benefits (Superannuation, FBT, ACC) - Toyota</v>
      </c>
      <c r="L1948" s="311">
        <f>+SUMIF('TUNZ Extracted TB'!M:M,$P1948,'TUNZ Extracted TB'!G:G)</f>
        <v>0</v>
      </c>
      <c r="M1948" s="311"/>
      <c r="N1948" s="311">
        <f>+SUMIF('Input Sheet'!$AE:$AE,P1948,'Input Sheet'!$X:$X)</f>
        <v>0</v>
      </c>
      <c r="O1948" s="311"/>
      <c r="P1948" t="str">
        <f t="shared" si="168"/>
        <v>230-7340</v>
      </c>
      <c r="Q1948" s="315" t="str">
        <f t="shared" si="169"/>
        <v>Admin &amp; Other</v>
      </c>
      <c r="R1948" s="315" t="str">
        <f t="shared" si="170"/>
        <v xml:space="preserve">Admin &amp; OtherStaff Remuneration &amp; Benefits as % of Total Gross </v>
      </c>
      <c r="S1948" s="199"/>
      <c r="T1948" s="199"/>
      <c r="U1948" s="199"/>
    </row>
    <row r="1949" spans="1:21" x14ac:dyDescent="0.25">
      <c r="A1949" t="s">
        <v>996</v>
      </c>
      <c r="B1949" t="s">
        <v>997</v>
      </c>
      <c r="C1949" t="s">
        <v>1005</v>
      </c>
      <c r="D1949">
        <v>7340</v>
      </c>
      <c r="E1949">
        <v>240</v>
      </c>
      <c r="F1949" t="s">
        <v>1353</v>
      </c>
      <c r="G1949" t="s">
        <v>1354</v>
      </c>
      <c r="H1949" s="315" t="s">
        <v>1000</v>
      </c>
      <c r="I1949" s="315" t="s">
        <v>1276</v>
      </c>
      <c r="J1949" s="315" t="str">
        <f t="shared" si="166"/>
        <v xml:space="preserve">Admin &amp; OtherStaff Remuneration &amp; Benefits as % of Total Gross </v>
      </c>
      <c r="K1949" s="315" t="str">
        <f t="shared" si="167"/>
        <v>240Staff Benefits (Superannuation, FBT, ACC) - Toyota</v>
      </c>
      <c r="L1949" s="311">
        <f>+SUMIF('TUNZ Extracted TB'!M:M,$P1949,'TUNZ Extracted TB'!G:G)</f>
        <v>0</v>
      </c>
      <c r="M1949" s="311"/>
      <c r="N1949" s="311">
        <f>+SUMIF('Input Sheet'!$AE:$AE,P1949,'Input Sheet'!$X:$X)</f>
        <v>0</v>
      </c>
      <c r="O1949" s="311"/>
      <c r="P1949" t="str">
        <f t="shared" si="168"/>
        <v>240-7340</v>
      </c>
      <c r="Q1949" s="315" t="str">
        <f t="shared" si="169"/>
        <v>Admin &amp; Other</v>
      </c>
      <c r="R1949" s="315" t="str">
        <f t="shared" si="170"/>
        <v xml:space="preserve">Admin &amp; OtherStaff Remuneration &amp; Benefits as % of Total Gross </v>
      </c>
      <c r="S1949" s="199"/>
      <c r="T1949" s="199"/>
      <c r="U1949" s="199"/>
    </row>
    <row r="1950" spans="1:21" x14ac:dyDescent="0.25">
      <c r="A1950" t="s">
        <v>996</v>
      </c>
      <c r="B1950" t="s">
        <v>997</v>
      </c>
      <c r="C1950" t="s">
        <v>1005</v>
      </c>
      <c r="D1950">
        <v>7340</v>
      </c>
      <c r="E1950">
        <v>260</v>
      </c>
      <c r="F1950" t="s">
        <v>1353</v>
      </c>
      <c r="G1950" t="s">
        <v>1354</v>
      </c>
      <c r="H1950" s="315" t="s">
        <v>1000</v>
      </c>
      <c r="I1950" s="315" t="s">
        <v>1276</v>
      </c>
      <c r="J1950" s="315" t="str">
        <f t="shared" si="166"/>
        <v xml:space="preserve">Admin &amp; OtherStaff Remuneration &amp; Benefits as % of Total Gross </v>
      </c>
      <c r="K1950" s="315" t="str">
        <f t="shared" si="167"/>
        <v>260Staff Benefits (Superannuation, FBT, ACC) - Toyota</v>
      </c>
      <c r="L1950" s="311">
        <f>+SUMIF('TUNZ Extracted TB'!M:M,$P1950,'TUNZ Extracted TB'!G:G)</f>
        <v>0</v>
      </c>
      <c r="M1950" s="311"/>
      <c r="N1950" s="311">
        <f>+SUMIF('Input Sheet'!$AE:$AE,P1950,'Input Sheet'!$X:$X)</f>
        <v>0</v>
      </c>
      <c r="O1950" s="311"/>
      <c r="P1950" t="str">
        <f t="shared" si="168"/>
        <v>260-7340</v>
      </c>
      <c r="Q1950" s="315" t="str">
        <f t="shared" si="169"/>
        <v>Admin &amp; Other</v>
      </c>
      <c r="R1950" s="315" t="str">
        <f t="shared" si="170"/>
        <v xml:space="preserve">Admin &amp; OtherStaff Remuneration &amp; Benefits as % of Total Gross </v>
      </c>
      <c r="S1950" s="199"/>
      <c r="T1950" s="199"/>
      <c r="U1950" s="199"/>
    </row>
    <row r="1951" spans="1:21" x14ac:dyDescent="0.25">
      <c r="A1951" t="s">
        <v>996</v>
      </c>
      <c r="B1951" t="s">
        <v>997</v>
      </c>
      <c r="C1951" t="s">
        <v>1012</v>
      </c>
      <c r="D1951">
        <v>7340</v>
      </c>
      <c r="E1951">
        <v>400</v>
      </c>
      <c r="F1951" t="s">
        <v>1353</v>
      </c>
      <c r="G1951" t="s">
        <v>1354</v>
      </c>
      <c r="H1951" s="315" t="s">
        <v>1000</v>
      </c>
      <c r="I1951" s="315" t="s">
        <v>1276</v>
      </c>
      <c r="J1951" s="315" t="str">
        <f t="shared" si="166"/>
        <v xml:space="preserve">Admin &amp; OtherStaff Remuneration &amp; Benefits as % of Total Gross </v>
      </c>
      <c r="K1951" s="315" t="str">
        <f t="shared" si="167"/>
        <v>400Staff Benefits (Superannuation, FBT, ACC) - Toyota</v>
      </c>
      <c r="L1951" s="311">
        <f>+SUMIF('TUNZ Extracted TB'!M:M,$P1951,'TUNZ Extracted TB'!G:G)</f>
        <v>0</v>
      </c>
      <c r="M1951" s="311"/>
      <c r="N1951" s="311">
        <f>+SUMIF('Input Sheet'!$AE:$AE,P1951,'Input Sheet'!$X:$X)</f>
        <v>0</v>
      </c>
      <c r="O1951" s="311"/>
      <c r="P1951" t="str">
        <f t="shared" si="168"/>
        <v>400-7340</v>
      </c>
      <c r="Q1951" s="315" t="str">
        <f t="shared" si="169"/>
        <v>Admin &amp; Other</v>
      </c>
      <c r="R1951" s="315" t="str">
        <f t="shared" si="170"/>
        <v xml:space="preserve">Admin &amp; OtherStaff Remuneration &amp; Benefits as % of Total Gross </v>
      </c>
      <c r="S1951" s="199"/>
      <c r="T1951" s="199"/>
      <c r="U1951" s="199"/>
    </row>
    <row r="1952" spans="1:21" x14ac:dyDescent="0.25">
      <c r="A1952" t="s">
        <v>996</v>
      </c>
      <c r="B1952" t="s">
        <v>997</v>
      </c>
      <c r="C1952" t="s">
        <v>1012</v>
      </c>
      <c r="D1952">
        <v>7340</v>
      </c>
      <c r="E1952">
        <v>410</v>
      </c>
      <c r="F1952" t="s">
        <v>1353</v>
      </c>
      <c r="G1952" t="s">
        <v>1354</v>
      </c>
      <c r="H1952" s="315" t="s">
        <v>1000</v>
      </c>
      <c r="I1952" s="315" t="s">
        <v>1276</v>
      </c>
      <c r="J1952" s="315" t="str">
        <f t="shared" si="166"/>
        <v xml:space="preserve">Admin &amp; OtherStaff Remuneration &amp; Benefits as % of Total Gross </v>
      </c>
      <c r="K1952" s="315" t="str">
        <f t="shared" si="167"/>
        <v>410Staff Benefits (Superannuation, FBT, ACC) - Toyota</v>
      </c>
      <c r="L1952" s="311">
        <f>+SUMIF('TUNZ Extracted TB'!M:M,$P1952,'TUNZ Extracted TB'!G:G)</f>
        <v>0</v>
      </c>
      <c r="M1952" s="311"/>
      <c r="N1952" s="311">
        <f>+SUMIF('Input Sheet'!$AE:$AE,P1952,'Input Sheet'!$X:$X)</f>
        <v>0</v>
      </c>
      <c r="O1952" s="311"/>
      <c r="P1952" t="str">
        <f t="shared" si="168"/>
        <v>410-7340</v>
      </c>
      <c r="Q1952" s="315" t="str">
        <f t="shared" si="169"/>
        <v>Admin &amp; Other</v>
      </c>
      <c r="R1952" s="315" t="str">
        <f t="shared" si="170"/>
        <v xml:space="preserve">Admin &amp; OtherStaff Remuneration &amp; Benefits as % of Total Gross </v>
      </c>
      <c r="S1952" s="199"/>
      <c r="T1952" s="199"/>
      <c r="U1952" s="199"/>
    </row>
    <row r="1953" spans="1:21" x14ac:dyDescent="0.25">
      <c r="A1953" t="s">
        <v>996</v>
      </c>
      <c r="B1953" t="s">
        <v>997</v>
      </c>
      <c r="C1953" t="s">
        <v>1012</v>
      </c>
      <c r="D1953">
        <v>7340</v>
      </c>
      <c r="E1953">
        <v>420</v>
      </c>
      <c r="F1953" t="s">
        <v>1353</v>
      </c>
      <c r="G1953" t="s">
        <v>1354</v>
      </c>
      <c r="H1953" s="315" t="s">
        <v>1000</v>
      </c>
      <c r="I1953" s="315" t="s">
        <v>1276</v>
      </c>
      <c r="J1953" s="315" t="str">
        <f t="shared" si="166"/>
        <v xml:space="preserve">Admin &amp; OtherStaff Remuneration &amp; Benefits as % of Total Gross </v>
      </c>
      <c r="K1953" s="315" t="str">
        <f t="shared" si="167"/>
        <v>420Staff Benefits (Superannuation, FBT, ACC) - Toyota</v>
      </c>
      <c r="L1953" s="311">
        <f>+SUMIF('TUNZ Extracted TB'!M:M,$P1953,'TUNZ Extracted TB'!G:G)</f>
        <v>0</v>
      </c>
      <c r="M1953" s="311"/>
      <c r="N1953" s="311">
        <f>+SUMIF('Input Sheet'!$AE:$AE,P1953,'Input Sheet'!$X:$X)</f>
        <v>0</v>
      </c>
      <c r="O1953" s="311"/>
      <c r="P1953" t="str">
        <f t="shared" si="168"/>
        <v>420-7340</v>
      </c>
      <c r="Q1953" s="315" t="str">
        <f t="shared" si="169"/>
        <v>Admin &amp; Other</v>
      </c>
      <c r="R1953" s="315" t="str">
        <f t="shared" si="170"/>
        <v xml:space="preserve">Admin &amp; OtherStaff Remuneration &amp; Benefits as % of Total Gross </v>
      </c>
      <c r="S1953" s="199"/>
      <c r="T1953" s="199"/>
      <c r="U1953" s="199"/>
    </row>
    <row r="1954" spans="1:21" x14ac:dyDescent="0.25">
      <c r="A1954" t="s">
        <v>996</v>
      </c>
      <c r="B1954" t="s">
        <v>997</v>
      </c>
      <c r="C1954" t="s">
        <v>1012</v>
      </c>
      <c r="D1954">
        <v>7340</v>
      </c>
      <c r="E1954">
        <v>421</v>
      </c>
      <c r="F1954" t="s">
        <v>1353</v>
      </c>
      <c r="G1954" t="s">
        <v>1354</v>
      </c>
      <c r="H1954" s="315" t="s">
        <v>1000</v>
      </c>
      <c r="I1954" s="315" t="s">
        <v>1276</v>
      </c>
      <c r="J1954" s="315" t="str">
        <f t="shared" si="166"/>
        <v xml:space="preserve">Admin &amp; OtherStaff Remuneration &amp; Benefits as % of Total Gross </v>
      </c>
      <c r="K1954" s="315" t="str">
        <f t="shared" si="167"/>
        <v>421Staff Benefits (Superannuation, FBT, ACC) - Toyota</v>
      </c>
      <c r="L1954" s="311">
        <f>+SUMIF('TUNZ Extracted TB'!M:M,$P1954,'TUNZ Extracted TB'!G:G)</f>
        <v>0</v>
      </c>
      <c r="M1954" s="311"/>
      <c r="N1954" s="311">
        <f>+SUMIF('Input Sheet'!$AE:$AE,P1954,'Input Sheet'!$X:$X)</f>
        <v>0</v>
      </c>
      <c r="O1954" s="311"/>
      <c r="P1954" t="str">
        <f t="shared" si="168"/>
        <v>421-7340</v>
      </c>
      <c r="Q1954" s="315" t="str">
        <f t="shared" si="169"/>
        <v>Admin &amp; Other</v>
      </c>
      <c r="R1954" s="315" t="str">
        <f t="shared" si="170"/>
        <v xml:space="preserve">Admin &amp; OtherStaff Remuneration &amp; Benefits as % of Total Gross </v>
      </c>
      <c r="S1954" s="199"/>
      <c r="T1954" s="199"/>
      <c r="U1954" s="199"/>
    </row>
    <row r="1955" spans="1:21" x14ac:dyDescent="0.25">
      <c r="A1955" t="s">
        <v>996</v>
      </c>
      <c r="B1955" t="s">
        <v>997</v>
      </c>
      <c r="C1955" t="s">
        <v>1012</v>
      </c>
      <c r="D1955">
        <v>7340</v>
      </c>
      <c r="E1955">
        <v>430</v>
      </c>
      <c r="F1955" t="s">
        <v>1353</v>
      </c>
      <c r="G1955" t="s">
        <v>1354</v>
      </c>
      <c r="H1955" s="315" t="s">
        <v>1000</v>
      </c>
      <c r="I1955" s="315" t="s">
        <v>1276</v>
      </c>
      <c r="J1955" s="315" t="str">
        <f t="shared" si="166"/>
        <v xml:space="preserve">Admin &amp; OtherStaff Remuneration &amp; Benefits as % of Total Gross </v>
      </c>
      <c r="K1955" s="315" t="str">
        <f t="shared" si="167"/>
        <v>430Staff Benefits (Superannuation, FBT, ACC) - Toyota</v>
      </c>
      <c r="L1955" s="311">
        <f>+SUMIF('TUNZ Extracted TB'!M:M,$P1955,'TUNZ Extracted TB'!G:G)</f>
        <v>0</v>
      </c>
      <c r="M1955" s="311"/>
      <c r="N1955" s="311">
        <f>+SUMIF('Input Sheet'!$AE:$AE,P1955,'Input Sheet'!$X:$X)</f>
        <v>0</v>
      </c>
      <c r="O1955" s="311"/>
      <c r="P1955" t="str">
        <f t="shared" si="168"/>
        <v>430-7340</v>
      </c>
      <c r="Q1955" s="315" t="str">
        <f t="shared" si="169"/>
        <v>Admin &amp; Other</v>
      </c>
      <c r="R1955" s="315" t="str">
        <f t="shared" si="170"/>
        <v xml:space="preserve">Admin &amp; OtherStaff Remuneration &amp; Benefits as % of Total Gross </v>
      </c>
      <c r="S1955" s="199"/>
      <c r="T1955" s="199"/>
      <c r="U1955" s="199"/>
    </row>
    <row r="1956" spans="1:21" x14ac:dyDescent="0.25">
      <c r="A1956" t="s">
        <v>996</v>
      </c>
      <c r="B1956" t="s">
        <v>997</v>
      </c>
      <c r="C1956" t="s">
        <v>1012</v>
      </c>
      <c r="D1956">
        <v>7340</v>
      </c>
      <c r="E1956">
        <v>440</v>
      </c>
      <c r="F1956" t="s">
        <v>1353</v>
      </c>
      <c r="G1956" t="s">
        <v>1354</v>
      </c>
      <c r="H1956" s="315" t="s">
        <v>1000</v>
      </c>
      <c r="I1956" s="315" t="s">
        <v>1276</v>
      </c>
      <c r="J1956" s="315" t="str">
        <f t="shared" si="166"/>
        <v xml:space="preserve">Admin &amp; OtherStaff Remuneration &amp; Benefits as % of Total Gross </v>
      </c>
      <c r="K1956" s="315" t="str">
        <f t="shared" si="167"/>
        <v>440Staff Benefits (Superannuation, FBT, ACC) - Toyota</v>
      </c>
      <c r="L1956" s="311">
        <f>+SUMIF('TUNZ Extracted TB'!M:M,$P1956,'TUNZ Extracted TB'!G:G)</f>
        <v>0</v>
      </c>
      <c r="M1956" s="311"/>
      <c r="N1956" s="311">
        <f>+SUMIF('Input Sheet'!$AE:$AE,P1956,'Input Sheet'!$X:$X)</f>
        <v>0</v>
      </c>
      <c r="O1956" s="311"/>
      <c r="P1956" t="str">
        <f t="shared" si="168"/>
        <v>440-7340</v>
      </c>
      <c r="Q1956" s="315" t="str">
        <f t="shared" si="169"/>
        <v>Admin &amp; Other</v>
      </c>
      <c r="R1956" s="315" t="str">
        <f t="shared" si="170"/>
        <v xml:space="preserve">Admin &amp; OtherStaff Remuneration &amp; Benefits as % of Total Gross </v>
      </c>
      <c r="S1956" s="199"/>
      <c r="T1956" s="199"/>
      <c r="U1956" s="199"/>
    </row>
    <row r="1957" spans="1:21" x14ac:dyDescent="0.25">
      <c r="A1957" t="s">
        <v>996</v>
      </c>
      <c r="B1957" t="s">
        <v>997</v>
      </c>
      <c r="C1957" t="s">
        <v>1012</v>
      </c>
      <c r="D1957">
        <v>7340</v>
      </c>
      <c r="E1957">
        <v>460</v>
      </c>
      <c r="F1957" t="s">
        <v>1353</v>
      </c>
      <c r="G1957" t="s">
        <v>1354</v>
      </c>
      <c r="H1957" s="315" t="s">
        <v>1000</v>
      </c>
      <c r="I1957" s="315" t="s">
        <v>1276</v>
      </c>
      <c r="J1957" s="315" t="str">
        <f t="shared" si="166"/>
        <v xml:space="preserve">Admin &amp; OtherStaff Remuneration &amp; Benefits as % of Total Gross </v>
      </c>
      <c r="K1957" s="315" t="str">
        <f t="shared" si="167"/>
        <v>460Staff Benefits (Superannuation, FBT, ACC) - Toyota</v>
      </c>
      <c r="L1957" s="311">
        <f>+SUMIF('TUNZ Extracted TB'!M:M,$P1957,'TUNZ Extracted TB'!G:G)</f>
        <v>0</v>
      </c>
      <c r="M1957" s="311"/>
      <c r="N1957" s="311">
        <f>+SUMIF('Input Sheet'!$AE:$AE,P1957,'Input Sheet'!$X:$X)</f>
        <v>0</v>
      </c>
      <c r="O1957" s="311"/>
      <c r="P1957" t="str">
        <f t="shared" si="168"/>
        <v>460-7340</v>
      </c>
      <c r="Q1957" s="315" t="str">
        <f t="shared" si="169"/>
        <v>Admin &amp; Other</v>
      </c>
      <c r="R1957" s="315" t="str">
        <f t="shared" si="170"/>
        <v xml:space="preserve">Admin &amp; OtherStaff Remuneration &amp; Benefits as % of Total Gross </v>
      </c>
      <c r="S1957" s="199"/>
      <c r="T1957" s="199"/>
      <c r="U1957" s="199"/>
    </row>
    <row r="1958" spans="1:21" x14ac:dyDescent="0.25">
      <c r="A1958" t="s">
        <v>996</v>
      </c>
      <c r="B1958" t="s">
        <v>997</v>
      </c>
      <c r="C1958" t="s">
        <v>1013</v>
      </c>
      <c r="D1958">
        <v>7340</v>
      </c>
      <c r="E1958">
        <v>300</v>
      </c>
      <c r="F1958" t="s">
        <v>1353</v>
      </c>
      <c r="G1958" t="s">
        <v>1354</v>
      </c>
      <c r="H1958" s="315" t="s">
        <v>1000</v>
      </c>
      <c r="I1958" s="315" t="s">
        <v>1276</v>
      </c>
      <c r="J1958" s="315" t="str">
        <f t="shared" si="166"/>
        <v xml:space="preserve">Admin &amp; OtherStaff Remuneration &amp; Benefits as % of Total Gross </v>
      </c>
      <c r="K1958" s="315" t="str">
        <f t="shared" si="167"/>
        <v>300Staff Benefits (Superannuation, FBT, ACC) - Toyota</v>
      </c>
      <c r="L1958" s="311">
        <f>+SUMIF('TUNZ Extracted TB'!M:M,$P1958,'TUNZ Extracted TB'!G:G)</f>
        <v>0</v>
      </c>
      <c r="M1958" s="311"/>
      <c r="N1958" s="311">
        <f>+SUMIF('Input Sheet'!$AE:$AE,P1958,'Input Sheet'!$X:$X)</f>
        <v>0</v>
      </c>
      <c r="O1958" s="311"/>
      <c r="P1958" t="str">
        <f t="shared" si="168"/>
        <v>300-7340</v>
      </c>
      <c r="Q1958" s="315" t="str">
        <f t="shared" si="169"/>
        <v>Admin &amp; Other</v>
      </c>
      <c r="R1958" s="315" t="str">
        <f t="shared" si="170"/>
        <v xml:space="preserve">Admin &amp; OtherStaff Remuneration &amp; Benefits as % of Total Gross </v>
      </c>
      <c r="S1958" s="199"/>
      <c r="T1958" s="199"/>
      <c r="U1958" s="199"/>
    </row>
    <row r="1959" spans="1:21" x14ac:dyDescent="0.25">
      <c r="A1959" t="s">
        <v>996</v>
      </c>
      <c r="B1959" t="s">
        <v>997</v>
      </c>
      <c r="C1959" t="s">
        <v>1013</v>
      </c>
      <c r="D1959">
        <v>7340</v>
      </c>
      <c r="E1959">
        <v>310</v>
      </c>
      <c r="F1959" t="s">
        <v>1353</v>
      </c>
      <c r="G1959" t="s">
        <v>1354</v>
      </c>
      <c r="H1959" s="315" t="s">
        <v>1000</v>
      </c>
      <c r="I1959" s="315" t="s">
        <v>1276</v>
      </c>
      <c r="J1959" s="315" t="str">
        <f t="shared" si="166"/>
        <v xml:space="preserve">Admin &amp; OtherStaff Remuneration &amp; Benefits as % of Total Gross </v>
      </c>
      <c r="K1959" s="315" t="str">
        <f t="shared" si="167"/>
        <v>310Staff Benefits (Superannuation, FBT, ACC) - Toyota</v>
      </c>
      <c r="L1959" s="311">
        <f>+SUMIF('TUNZ Extracted TB'!M:M,$P1959,'TUNZ Extracted TB'!G:G)</f>
        <v>0</v>
      </c>
      <c r="M1959" s="311"/>
      <c r="N1959" s="311">
        <f>+SUMIF('Input Sheet'!$AE:$AE,P1959,'Input Sheet'!$X:$X)</f>
        <v>0</v>
      </c>
      <c r="O1959" s="311"/>
      <c r="P1959" t="str">
        <f t="shared" si="168"/>
        <v>310-7340</v>
      </c>
      <c r="Q1959" s="315" t="str">
        <f t="shared" si="169"/>
        <v>Admin &amp; Other</v>
      </c>
      <c r="R1959" s="315" t="str">
        <f t="shared" si="170"/>
        <v xml:space="preserve">Admin &amp; OtherStaff Remuneration &amp; Benefits as % of Total Gross </v>
      </c>
      <c r="S1959" s="199"/>
      <c r="T1959" s="199"/>
      <c r="U1959" s="199"/>
    </row>
    <row r="1960" spans="1:21" x14ac:dyDescent="0.25">
      <c r="A1960" t="s">
        <v>996</v>
      </c>
      <c r="B1960" t="s">
        <v>997</v>
      </c>
      <c r="C1960" t="s">
        <v>1013</v>
      </c>
      <c r="D1960">
        <v>7340</v>
      </c>
      <c r="E1960">
        <v>321</v>
      </c>
      <c r="F1960" t="s">
        <v>1353</v>
      </c>
      <c r="G1960" t="s">
        <v>1354</v>
      </c>
      <c r="H1960" s="315" t="s">
        <v>1000</v>
      </c>
      <c r="I1960" s="315" t="s">
        <v>1276</v>
      </c>
      <c r="J1960" s="315" t="str">
        <f t="shared" si="166"/>
        <v xml:space="preserve">Admin &amp; OtherStaff Remuneration &amp; Benefits as % of Total Gross </v>
      </c>
      <c r="K1960" s="315" t="str">
        <f t="shared" si="167"/>
        <v>321Staff Benefits (Superannuation, FBT, ACC) - Toyota</v>
      </c>
      <c r="L1960" s="311">
        <f>+SUMIF('TUNZ Extracted TB'!M:M,$P1960,'TUNZ Extracted TB'!G:G)</f>
        <v>0</v>
      </c>
      <c r="M1960" s="311"/>
      <c r="N1960" s="311">
        <f>+SUMIF('Input Sheet'!$AE:$AE,P1960,'Input Sheet'!$X:$X)</f>
        <v>0</v>
      </c>
      <c r="O1960" s="311"/>
      <c r="P1960" t="str">
        <f t="shared" si="168"/>
        <v>321-7340</v>
      </c>
      <c r="Q1960" s="315" t="str">
        <f t="shared" si="169"/>
        <v>Admin &amp; Other</v>
      </c>
      <c r="R1960" s="315" t="str">
        <f t="shared" si="170"/>
        <v xml:space="preserve">Admin &amp; OtherStaff Remuneration &amp; Benefits as % of Total Gross </v>
      </c>
      <c r="S1960" s="199"/>
      <c r="T1960" s="199"/>
      <c r="U1960" s="199"/>
    </row>
    <row r="1961" spans="1:21" x14ac:dyDescent="0.25">
      <c r="A1961" t="s">
        <v>996</v>
      </c>
      <c r="B1961" t="s">
        <v>997</v>
      </c>
      <c r="C1961" t="s">
        <v>1013</v>
      </c>
      <c r="D1961">
        <v>7340</v>
      </c>
      <c r="E1961">
        <v>330</v>
      </c>
      <c r="F1961" t="s">
        <v>1353</v>
      </c>
      <c r="G1961" t="s">
        <v>1354</v>
      </c>
      <c r="H1961" s="315" t="s">
        <v>1000</v>
      </c>
      <c r="I1961" s="315" t="s">
        <v>1276</v>
      </c>
      <c r="J1961" s="315" t="str">
        <f t="shared" si="166"/>
        <v xml:space="preserve">Admin &amp; OtherStaff Remuneration &amp; Benefits as % of Total Gross </v>
      </c>
      <c r="K1961" s="315" t="str">
        <f t="shared" si="167"/>
        <v>330Staff Benefits (Superannuation, FBT, ACC) - Toyota</v>
      </c>
      <c r="L1961" s="311">
        <f>+SUMIF('TUNZ Extracted TB'!M:M,$P1961,'TUNZ Extracted TB'!G:G)</f>
        <v>0</v>
      </c>
      <c r="M1961" s="311"/>
      <c r="N1961" s="311">
        <f>+SUMIF('Input Sheet'!$AE:$AE,P1961,'Input Sheet'!$X:$X)</f>
        <v>0</v>
      </c>
      <c r="O1961" s="311"/>
      <c r="P1961" t="str">
        <f t="shared" si="168"/>
        <v>330-7340</v>
      </c>
      <c r="Q1961" s="315" t="str">
        <f t="shared" si="169"/>
        <v>Admin &amp; Other</v>
      </c>
      <c r="R1961" s="315" t="str">
        <f t="shared" si="170"/>
        <v xml:space="preserve">Admin &amp; OtherStaff Remuneration &amp; Benefits as % of Total Gross </v>
      </c>
      <c r="S1961" s="199"/>
      <c r="T1961" s="199"/>
      <c r="U1961" s="199"/>
    </row>
    <row r="1962" spans="1:21" x14ac:dyDescent="0.25">
      <c r="A1962" t="s">
        <v>996</v>
      </c>
      <c r="B1962" t="s">
        <v>997</v>
      </c>
      <c r="C1962" t="s">
        <v>1013</v>
      </c>
      <c r="D1962">
        <v>7340</v>
      </c>
      <c r="E1962">
        <v>340</v>
      </c>
      <c r="F1962" t="s">
        <v>1353</v>
      </c>
      <c r="G1962" t="s">
        <v>1354</v>
      </c>
      <c r="H1962" s="315" t="s">
        <v>1000</v>
      </c>
      <c r="I1962" s="315" t="s">
        <v>1276</v>
      </c>
      <c r="J1962" s="315" t="str">
        <f t="shared" si="166"/>
        <v xml:space="preserve">Admin &amp; OtherStaff Remuneration &amp; Benefits as % of Total Gross </v>
      </c>
      <c r="K1962" s="315" t="str">
        <f t="shared" si="167"/>
        <v>340Staff Benefits (Superannuation, FBT, ACC) - Toyota</v>
      </c>
      <c r="L1962" s="311">
        <f>+SUMIF('TUNZ Extracted TB'!M:M,$P1962,'TUNZ Extracted TB'!G:G)</f>
        <v>0</v>
      </c>
      <c r="M1962" s="311"/>
      <c r="N1962" s="311">
        <f>+SUMIF('Input Sheet'!$AE:$AE,P1962,'Input Sheet'!$X:$X)</f>
        <v>0</v>
      </c>
      <c r="O1962" s="311"/>
      <c r="P1962" t="str">
        <f t="shared" si="168"/>
        <v>340-7340</v>
      </c>
      <c r="Q1962" s="315" t="str">
        <f t="shared" si="169"/>
        <v>Admin &amp; Other</v>
      </c>
      <c r="R1962" s="315" t="str">
        <f t="shared" si="170"/>
        <v xml:space="preserve">Admin &amp; OtherStaff Remuneration &amp; Benefits as % of Total Gross </v>
      </c>
      <c r="S1962" s="199"/>
      <c r="T1962" s="199"/>
      <c r="U1962" s="199"/>
    </row>
    <row r="1963" spans="1:21" x14ac:dyDescent="0.25">
      <c r="A1963" t="s">
        <v>996</v>
      </c>
      <c r="B1963" t="s">
        <v>997</v>
      </c>
      <c r="C1963" t="s">
        <v>1013</v>
      </c>
      <c r="D1963">
        <v>7340</v>
      </c>
      <c r="E1963">
        <v>360</v>
      </c>
      <c r="F1963" t="s">
        <v>1353</v>
      </c>
      <c r="G1963" t="s">
        <v>1354</v>
      </c>
      <c r="H1963" s="315" t="s">
        <v>1000</v>
      </c>
      <c r="I1963" s="315" t="s">
        <v>1276</v>
      </c>
      <c r="J1963" s="315" t="str">
        <f t="shared" si="166"/>
        <v xml:space="preserve">Admin &amp; OtherStaff Remuneration &amp; Benefits as % of Total Gross </v>
      </c>
      <c r="K1963" s="315" t="str">
        <f t="shared" si="167"/>
        <v>360Staff Benefits (Superannuation, FBT, ACC) - Toyota</v>
      </c>
      <c r="L1963" s="311">
        <f>+SUMIF('TUNZ Extracted TB'!M:M,$P1963,'TUNZ Extracted TB'!G:G)</f>
        <v>0</v>
      </c>
      <c r="M1963" s="311"/>
      <c r="N1963" s="311">
        <f>+SUMIF('Input Sheet'!$AE:$AE,P1963,'Input Sheet'!$X:$X)</f>
        <v>0</v>
      </c>
      <c r="O1963" s="311"/>
      <c r="P1963" t="str">
        <f t="shared" si="168"/>
        <v>360-7340</v>
      </c>
      <c r="Q1963" s="315" t="str">
        <f t="shared" si="169"/>
        <v>Admin &amp; Other</v>
      </c>
      <c r="R1963" s="315" t="str">
        <f t="shared" si="170"/>
        <v xml:space="preserve">Admin &amp; OtherStaff Remuneration &amp; Benefits as % of Total Gross </v>
      </c>
      <c r="S1963" s="199"/>
      <c r="T1963" s="199"/>
      <c r="U1963" s="199"/>
    </row>
    <row r="1964" spans="1:21" x14ac:dyDescent="0.25">
      <c r="A1964" t="s">
        <v>996</v>
      </c>
      <c r="B1964" t="s">
        <v>997</v>
      </c>
      <c r="C1964" t="s">
        <v>997</v>
      </c>
      <c r="D1964">
        <v>7340</v>
      </c>
      <c r="E1964">
        <v>120</v>
      </c>
      <c r="F1964" t="s">
        <v>1353</v>
      </c>
      <c r="G1964" t="s">
        <v>1354</v>
      </c>
      <c r="H1964" s="315" t="s">
        <v>1000</v>
      </c>
      <c r="I1964" s="315" t="s">
        <v>1276</v>
      </c>
      <c r="J1964" s="315" t="str">
        <f t="shared" si="166"/>
        <v xml:space="preserve">Admin &amp; OtherStaff Remuneration &amp; Benefits as % of Total Gross </v>
      </c>
      <c r="K1964" s="315" t="str">
        <f t="shared" si="167"/>
        <v>120Staff Benefits (Superannuation, FBT, ACC) - Toyota</v>
      </c>
      <c r="L1964" s="311">
        <f>+SUMIF('TUNZ Extracted TB'!M:M,$P1964,'TUNZ Extracted TB'!G:G)</f>
        <v>0</v>
      </c>
      <c r="M1964" s="311"/>
      <c r="N1964" s="311">
        <f>+SUMIF('Input Sheet'!$AE:$AE,P1964,'Input Sheet'!$X:$X)</f>
        <v>0</v>
      </c>
      <c r="O1964" s="311"/>
      <c r="P1964" t="str">
        <f t="shared" si="168"/>
        <v>120-7340</v>
      </c>
      <c r="Q1964" s="315" t="str">
        <f t="shared" si="169"/>
        <v>Admin &amp; Other</v>
      </c>
      <c r="R1964" s="315" t="str">
        <f t="shared" si="170"/>
        <v xml:space="preserve">Admin &amp; OtherStaff Remuneration &amp; Benefits as % of Total Gross </v>
      </c>
      <c r="S1964" s="199"/>
      <c r="T1964" s="199"/>
      <c r="U1964" s="199"/>
    </row>
    <row r="1965" spans="1:21" x14ac:dyDescent="0.25">
      <c r="A1965" t="s">
        <v>996</v>
      </c>
      <c r="B1965" t="s">
        <v>997</v>
      </c>
      <c r="C1965" t="s">
        <v>997</v>
      </c>
      <c r="D1965">
        <v>7340</v>
      </c>
      <c r="E1965">
        <v>121</v>
      </c>
      <c r="F1965" t="s">
        <v>1353</v>
      </c>
      <c r="G1965" t="s">
        <v>1354</v>
      </c>
      <c r="H1965" s="315" t="s">
        <v>1000</v>
      </c>
      <c r="I1965" s="315" t="s">
        <v>1276</v>
      </c>
      <c r="J1965" s="315" t="str">
        <f t="shared" si="166"/>
        <v xml:space="preserve">Admin &amp; OtherStaff Remuneration &amp; Benefits as % of Total Gross </v>
      </c>
      <c r="K1965" s="315" t="str">
        <f t="shared" si="167"/>
        <v>121Staff Benefits (Superannuation, FBT, ACC) - Toyota</v>
      </c>
      <c r="L1965" s="311">
        <f>+SUMIF('TUNZ Extracted TB'!M:M,$P1965,'TUNZ Extracted TB'!G:G)</f>
        <v>0</v>
      </c>
      <c r="M1965" s="311"/>
      <c r="N1965" s="311">
        <f>+SUMIF('Input Sheet'!$AE:$AE,P1965,'Input Sheet'!$X:$X)</f>
        <v>0</v>
      </c>
      <c r="O1965" s="311"/>
      <c r="P1965" t="str">
        <f t="shared" si="168"/>
        <v>121-7340</v>
      </c>
      <c r="Q1965" s="315" t="str">
        <f t="shared" si="169"/>
        <v>Admin &amp; Other</v>
      </c>
      <c r="R1965" s="315" t="str">
        <f t="shared" si="170"/>
        <v xml:space="preserve">Admin &amp; OtherStaff Remuneration &amp; Benefits as % of Total Gross </v>
      </c>
      <c r="S1965" s="199"/>
      <c r="T1965" s="199"/>
      <c r="U1965" s="199"/>
    </row>
    <row r="1966" spans="1:21" x14ac:dyDescent="0.25">
      <c r="A1966" t="s">
        <v>996</v>
      </c>
      <c r="B1966" t="s">
        <v>997</v>
      </c>
      <c r="C1966" t="s">
        <v>997</v>
      </c>
      <c r="D1966">
        <v>7340</v>
      </c>
      <c r="E1966">
        <v>147</v>
      </c>
      <c r="F1966" t="s">
        <v>1353</v>
      </c>
      <c r="G1966" t="s">
        <v>1354</v>
      </c>
      <c r="H1966" s="315" t="s">
        <v>1000</v>
      </c>
      <c r="I1966" s="315" t="s">
        <v>1276</v>
      </c>
      <c r="J1966" s="315" t="str">
        <f t="shared" si="166"/>
        <v xml:space="preserve">Admin &amp; OtherStaff Remuneration &amp; Benefits as % of Total Gross </v>
      </c>
      <c r="K1966" s="315" t="str">
        <f t="shared" si="167"/>
        <v>147Staff Benefits (Superannuation, FBT, ACC) - Toyota</v>
      </c>
      <c r="L1966" s="311">
        <f>+SUMIF('TUNZ Extracted TB'!M:M,$P1966,'TUNZ Extracted TB'!G:G)</f>
        <v>0</v>
      </c>
      <c r="M1966" s="311"/>
      <c r="N1966" s="311">
        <f>+SUMIF('Input Sheet'!$AE:$AE,P1966,'Input Sheet'!$X:$X)</f>
        <v>0</v>
      </c>
      <c r="O1966" s="311"/>
      <c r="P1966" t="str">
        <f t="shared" si="168"/>
        <v>147-7340</v>
      </c>
      <c r="Q1966" s="315" t="str">
        <f t="shared" si="169"/>
        <v>Admin &amp; Other</v>
      </c>
      <c r="R1966" s="315" t="str">
        <f t="shared" si="170"/>
        <v xml:space="preserve">Admin &amp; OtherStaff Remuneration &amp; Benefits as % of Total Gross </v>
      </c>
      <c r="S1966" s="199"/>
      <c r="T1966" s="199"/>
      <c r="U1966" s="199"/>
    </row>
    <row r="1967" spans="1:21" x14ac:dyDescent="0.25">
      <c r="A1967" t="s">
        <v>996</v>
      </c>
      <c r="B1967" t="s">
        <v>997</v>
      </c>
      <c r="C1967" t="s">
        <v>997</v>
      </c>
      <c r="D1967">
        <v>7340</v>
      </c>
      <c r="E1967">
        <v>160</v>
      </c>
      <c r="F1967" t="s">
        <v>1353</v>
      </c>
      <c r="G1967" t="s">
        <v>1354</v>
      </c>
      <c r="H1967" s="315" t="s">
        <v>1000</v>
      </c>
      <c r="I1967" s="315" t="s">
        <v>1276</v>
      </c>
      <c r="J1967" s="315" t="str">
        <f t="shared" si="166"/>
        <v xml:space="preserve">Admin &amp; OtherStaff Remuneration &amp; Benefits as % of Total Gross </v>
      </c>
      <c r="K1967" s="315" t="str">
        <f t="shared" si="167"/>
        <v>160Staff Benefits (Superannuation, FBT, ACC) - Toyota</v>
      </c>
      <c r="L1967" s="311">
        <f>+SUMIF('TUNZ Extracted TB'!M:M,$P1967,'TUNZ Extracted TB'!G:G)</f>
        <v>0</v>
      </c>
      <c r="M1967" s="311"/>
      <c r="N1967" s="311">
        <f>+SUMIF('Input Sheet'!$AE:$AE,P1967,'Input Sheet'!$X:$X)</f>
        <v>0</v>
      </c>
      <c r="O1967" s="311"/>
      <c r="P1967" t="str">
        <f t="shared" si="168"/>
        <v>160-7340</v>
      </c>
      <c r="Q1967" s="315" t="str">
        <f t="shared" si="169"/>
        <v>Admin &amp; Other</v>
      </c>
      <c r="R1967" s="315" t="str">
        <f t="shared" si="170"/>
        <v xml:space="preserve">Admin &amp; OtherStaff Remuneration &amp; Benefits as % of Total Gross </v>
      </c>
      <c r="S1967" s="199"/>
      <c r="T1967" s="199"/>
      <c r="U1967" s="199"/>
    </row>
    <row r="1968" spans="1:21" x14ac:dyDescent="0.25">
      <c r="A1968" t="s">
        <v>996</v>
      </c>
      <c r="B1968" t="s">
        <v>997</v>
      </c>
      <c r="C1968" t="s">
        <v>997</v>
      </c>
      <c r="D1968">
        <v>7340</v>
      </c>
      <c r="E1968">
        <v>170</v>
      </c>
      <c r="F1968" t="s">
        <v>1353</v>
      </c>
      <c r="G1968" t="s">
        <v>1354</v>
      </c>
      <c r="H1968" s="315" t="s">
        <v>1000</v>
      </c>
      <c r="I1968" s="315" t="s">
        <v>1276</v>
      </c>
      <c r="J1968" s="315" t="str">
        <f t="shared" si="166"/>
        <v xml:space="preserve">Admin &amp; OtherStaff Remuneration &amp; Benefits as % of Total Gross </v>
      </c>
      <c r="K1968" s="315" t="str">
        <f t="shared" si="167"/>
        <v>170Staff Benefits (Superannuation, FBT, ACC) - Toyota</v>
      </c>
      <c r="L1968" s="311">
        <f>+SUMIF('TUNZ Extracted TB'!M:M,$P1968,'TUNZ Extracted TB'!G:G)</f>
        <v>0</v>
      </c>
      <c r="M1968" s="311"/>
      <c r="N1968" s="311">
        <f>+SUMIF('Input Sheet'!$AE:$AE,P1968,'Input Sheet'!$X:$X)</f>
        <v>0</v>
      </c>
      <c r="O1968" s="311"/>
      <c r="P1968" t="str">
        <f t="shared" si="168"/>
        <v>170-7340</v>
      </c>
      <c r="Q1968" s="315" t="str">
        <f t="shared" si="169"/>
        <v>Admin &amp; Other</v>
      </c>
      <c r="R1968" s="315" t="str">
        <f t="shared" si="170"/>
        <v xml:space="preserve">Admin &amp; OtherStaff Remuneration &amp; Benefits as % of Total Gross </v>
      </c>
      <c r="S1968" s="199"/>
      <c r="T1968" s="199"/>
      <c r="U1968" s="199"/>
    </row>
    <row r="1969" spans="1:21" x14ac:dyDescent="0.25">
      <c r="A1969" t="s">
        <v>996</v>
      </c>
      <c r="B1969" t="s">
        <v>997</v>
      </c>
      <c r="C1969" t="s">
        <v>997</v>
      </c>
      <c r="D1969">
        <v>7350</v>
      </c>
      <c r="E1969">
        <v>120</v>
      </c>
      <c r="F1969" t="s">
        <v>1371</v>
      </c>
      <c r="G1969" t="s">
        <v>1372</v>
      </c>
      <c r="H1969" s="315" t="s">
        <v>1000</v>
      </c>
      <c r="I1969" s="315" t="s">
        <v>1001</v>
      </c>
      <c r="J1969" s="315" t="str">
        <f t="shared" si="166"/>
        <v>Admin &amp; OtherOther Overheads as % of Total Gross Profit</v>
      </c>
      <c r="K1969" s="315" t="str">
        <f t="shared" si="167"/>
        <v>120Office expenses (Stationery, postage) - Toyota</v>
      </c>
      <c r="L1969" s="311">
        <f>+SUMIF('TUNZ Extracted TB'!M:M,$P1969,'TUNZ Extracted TB'!G:G)</f>
        <v>1019.1</v>
      </c>
      <c r="M1969" s="311"/>
      <c r="N1969" s="311">
        <f>+SUMIF('Input Sheet'!$AE:$AE,P1969,'Input Sheet'!$X:$X)</f>
        <v>0</v>
      </c>
      <c r="O1969" s="311"/>
      <c r="P1969" t="str">
        <f t="shared" si="168"/>
        <v>120-7350</v>
      </c>
      <c r="Q1969" s="315" t="str">
        <f t="shared" si="169"/>
        <v>Admin &amp; Other</v>
      </c>
      <c r="R1969" s="315" t="str">
        <f t="shared" si="170"/>
        <v>Admin &amp; OtherOther Overheads as % of Total Gross Profit</v>
      </c>
      <c r="S1969" s="199"/>
      <c r="T1969" s="199"/>
      <c r="U1969" s="199"/>
    </row>
    <row r="1970" spans="1:21" x14ac:dyDescent="0.25">
      <c r="A1970" t="s">
        <v>996</v>
      </c>
      <c r="B1970" t="s">
        <v>997</v>
      </c>
      <c r="C1970" t="s">
        <v>1005</v>
      </c>
      <c r="D1970">
        <v>7350</v>
      </c>
      <c r="E1970">
        <v>230</v>
      </c>
      <c r="F1970" t="s">
        <v>1371</v>
      </c>
      <c r="G1970" t="s">
        <v>1372</v>
      </c>
      <c r="H1970" s="315" t="s">
        <v>1000</v>
      </c>
      <c r="I1970" s="315" t="s">
        <v>1001</v>
      </c>
      <c r="J1970" s="315" t="str">
        <f t="shared" si="166"/>
        <v>Admin &amp; OtherOther Overheads as % of Total Gross Profit</v>
      </c>
      <c r="K1970" s="315" t="str">
        <f t="shared" si="167"/>
        <v>230Office expenses (Stationery, postage) - Toyota</v>
      </c>
      <c r="L1970" s="311">
        <f>+SUMIF('TUNZ Extracted TB'!M:M,$P1970,'TUNZ Extracted TB'!G:G)</f>
        <v>873.74</v>
      </c>
      <c r="M1970" s="311"/>
      <c r="N1970" s="311">
        <f>+SUMIF('Input Sheet'!$AE:$AE,P1970,'Input Sheet'!$X:$X)</f>
        <v>0</v>
      </c>
      <c r="O1970" s="311"/>
      <c r="P1970" t="str">
        <f t="shared" si="168"/>
        <v>230-7350</v>
      </c>
      <c r="Q1970" s="315" t="str">
        <f t="shared" si="169"/>
        <v>Admin &amp; Other</v>
      </c>
      <c r="R1970" s="315" t="str">
        <f t="shared" si="170"/>
        <v>Admin &amp; OtherOther Overheads as % of Total Gross Profit</v>
      </c>
      <c r="S1970" s="199"/>
      <c r="T1970" s="199"/>
      <c r="U1970" s="199"/>
    </row>
    <row r="1971" spans="1:21" x14ac:dyDescent="0.25">
      <c r="A1971" t="s">
        <v>996</v>
      </c>
      <c r="B1971" t="s">
        <v>997</v>
      </c>
      <c r="C1971" t="s">
        <v>1013</v>
      </c>
      <c r="D1971">
        <v>7350</v>
      </c>
      <c r="E1971">
        <v>340</v>
      </c>
      <c r="F1971" t="s">
        <v>1371</v>
      </c>
      <c r="G1971" t="s">
        <v>1372</v>
      </c>
      <c r="H1971" s="315" t="s">
        <v>1000</v>
      </c>
      <c r="I1971" s="315" t="s">
        <v>1001</v>
      </c>
      <c r="J1971" s="315" t="str">
        <f t="shared" si="166"/>
        <v>Admin &amp; OtherOther Overheads as % of Total Gross Profit</v>
      </c>
      <c r="K1971" s="315" t="str">
        <f t="shared" si="167"/>
        <v>340Office expenses (Stationery, postage) - Toyota</v>
      </c>
      <c r="L1971" s="311">
        <f>+SUMIF('TUNZ Extracted TB'!M:M,$P1971,'TUNZ Extracted TB'!G:G)</f>
        <v>552.42999999999995</v>
      </c>
      <c r="M1971" s="311"/>
      <c r="N1971" s="311">
        <f>+SUMIF('Input Sheet'!$AE:$AE,P1971,'Input Sheet'!$X:$X)</f>
        <v>0</v>
      </c>
      <c r="O1971" s="311"/>
      <c r="P1971" t="str">
        <f t="shared" si="168"/>
        <v>340-7350</v>
      </c>
      <c r="Q1971" s="315" t="str">
        <f t="shared" si="169"/>
        <v>Admin &amp; Other</v>
      </c>
      <c r="R1971" s="315" t="str">
        <f t="shared" si="170"/>
        <v>Admin &amp; OtherOther Overheads as % of Total Gross Profit</v>
      </c>
      <c r="S1971" s="199"/>
      <c r="T1971" s="199"/>
      <c r="U1971" s="199"/>
    </row>
    <row r="1972" spans="1:21" x14ac:dyDescent="0.25">
      <c r="A1972" t="s">
        <v>996</v>
      </c>
      <c r="B1972" t="s">
        <v>997</v>
      </c>
      <c r="C1972" t="s">
        <v>1005</v>
      </c>
      <c r="D1972">
        <v>7350</v>
      </c>
      <c r="E1972">
        <v>210</v>
      </c>
      <c r="F1972" t="s">
        <v>1371</v>
      </c>
      <c r="G1972" t="s">
        <v>1372</v>
      </c>
      <c r="H1972" s="315" t="s">
        <v>1000</v>
      </c>
      <c r="I1972" s="315" t="s">
        <v>1001</v>
      </c>
      <c r="J1972" s="315" t="str">
        <f t="shared" si="166"/>
        <v>Admin &amp; OtherOther Overheads as % of Total Gross Profit</v>
      </c>
      <c r="K1972" s="315" t="str">
        <f t="shared" si="167"/>
        <v>210Office expenses (Stationery, postage) - Toyota</v>
      </c>
      <c r="L1972" s="311">
        <f>+SUMIF('TUNZ Extracted TB'!M:M,$P1972,'TUNZ Extracted TB'!G:G)</f>
        <v>873.6</v>
      </c>
      <c r="M1972" s="311"/>
      <c r="N1972" s="311">
        <f>+SUMIF('Input Sheet'!$AE:$AE,P1972,'Input Sheet'!$X:$X)</f>
        <v>0</v>
      </c>
      <c r="O1972" s="311"/>
      <c r="P1972" t="str">
        <f t="shared" si="168"/>
        <v>210-7350</v>
      </c>
      <c r="Q1972" s="315" t="str">
        <f t="shared" si="169"/>
        <v>Admin &amp; Other</v>
      </c>
      <c r="R1972" s="315" t="str">
        <f t="shared" si="170"/>
        <v>Admin &amp; OtherOther Overheads as % of Total Gross Profit</v>
      </c>
      <c r="S1972" s="199"/>
      <c r="T1972" s="199"/>
      <c r="U1972" s="199"/>
    </row>
    <row r="1973" spans="1:21" x14ac:dyDescent="0.25">
      <c r="A1973" t="s">
        <v>996</v>
      </c>
      <c r="B1973" t="s">
        <v>997</v>
      </c>
      <c r="C1973" t="s">
        <v>1005</v>
      </c>
      <c r="D1973">
        <v>7350</v>
      </c>
      <c r="E1973">
        <v>240</v>
      </c>
      <c r="F1973" t="s">
        <v>1371</v>
      </c>
      <c r="G1973" t="s">
        <v>1372</v>
      </c>
      <c r="H1973" s="315" t="s">
        <v>1000</v>
      </c>
      <c r="I1973" s="315" t="s">
        <v>1001</v>
      </c>
      <c r="J1973" s="315" t="str">
        <f t="shared" si="166"/>
        <v>Admin &amp; OtherOther Overheads as % of Total Gross Profit</v>
      </c>
      <c r="K1973" s="315" t="str">
        <f t="shared" si="167"/>
        <v>240Office expenses (Stationery, postage) - Toyota</v>
      </c>
      <c r="L1973" s="311">
        <f>+SUMIF('TUNZ Extracted TB'!M:M,$P1973,'TUNZ Extracted TB'!G:G)</f>
        <v>871.27</v>
      </c>
      <c r="M1973" s="311"/>
      <c r="N1973" s="311">
        <f>+SUMIF('Input Sheet'!$AE:$AE,P1973,'Input Sheet'!$X:$X)</f>
        <v>0</v>
      </c>
      <c r="O1973" s="311"/>
      <c r="P1973" t="str">
        <f t="shared" si="168"/>
        <v>240-7350</v>
      </c>
      <c r="Q1973" s="315" t="str">
        <f t="shared" si="169"/>
        <v>Admin &amp; Other</v>
      </c>
      <c r="R1973" s="315" t="str">
        <f t="shared" si="170"/>
        <v>Admin &amp; OtherOther Overheads as % of Total Gross Profit</v>
      </c>
      <c r="S1973" s="199"/>
      <c r="T1973" s="199"/>
      <c r="U1973" s="199"/>
    </row>
    <row r="1974" spans="1:21" x14ac:dyDescent="0.25">
      <c r="A1974" t="s">
        <v>996</v>
      </c>
      <c r="B1974" t="s">
        <v>997</v>
      </c>
      <c r="C1974" t="s">
        <v>1005</v>
      </c>
      <c r="D1974">
        <v>7350</v>
      </c>
      <c r="E1974">
        <v>220</v>
      </c>
      <c r="F1974" t="s">
        <v>1371</v>
      </c>
      <c r="G1974" t="s">
        <v>1372</v>
      </c>
      <c r="H1974" s="315" t="s">
        <v>1000</v>
      </c>
      <c r="I1974" s="315" t="s">
        <v>1001</v>
      </c>
      <c r="J1974" s="315" t="str">
        <f t="shared" si="166"/>
        <v>Admin &amp; OtherOther Overheads as % of Total Gross Profit</v>
      </c>
      <c r="K1974" s="315" t="str">
        <f t="shared" si="167"/>
        <v>220Office expenses (Stationery, postage) - Toyota</v>
      </c>
      <c r="L1974" s="311">
        <f>+SUMIF('TUNZ Extracted TB'!M:M,$P1974,'TUNZ Extracted TB'!G:G)</f>
        <v>868.96</v>
      </c>
      <c r="M1974" s="311"/>
      <c r="N1974" s="311">
        <f>+SUMIF('Input Sheet'!$AE:$AE,P1974,'Input Sheet'!$X:$X)</f>
        <v>0</v>
      </c>
      <c r="O1974" s="311"/>
      <c r="P1974" t="str">
        <f t="shared" si="168"/>
        <v>220-7350</v>
      </c>
      <c r="Q1974" s="315" t="str">
        <f t="shared" si="169"/>
        <v>Admin &amp; Other</v>
      </c>
      <c r="R1974" s="315" t="str">
        <f t="shared" si="170"/>
        <v>Admin &amp; OtherOther Overheads as % of Total Gross Profit</v>
      </c>
      <c r="S1974" s="199"/>
      <c r="T1974" s="199"/>
      <c r="U1974" s="199"/>
    </row>
    <row r="1975" spans="1:21" x14ac:dyDescent="0.25">
      <c r="A1975" t="s">
        <v>996</v>
      </c>
      <c r="B1975" t="s">
        <v>997</v>
      </c>
      <c r="C1975" t="s">
        <v>997</v>
      </c>
      <c r="D1975">
        <v>7350</v>
      </c>
      <c r="E1975">
        <v>936</v>
      </c>
      <c r="F1975" t="s">
        <v>1175</v>
      </c>
      <c r="G1975" t="s">
        <v>1176</v>
      </c>
      <c r="H1975" s="315" t="s">
        <v>1023</v>
      </c>
      <c r="I1975" s="315" t="s">
        <v>1001</v>
      </c>
      <c r="J1975" s="315" t="str">
        <f t="shared" si="166"/>
        <v>LEX Admin &amp; OtherOther Overheads as % of Total Gross Profit</v>
      </c>
      <c r="K1975" s="315" t="str">
        <f t="shared" si="167"/>
        <v>936Other franchise/business expense</v>
      </c>
      <c r="L1975" s="311">
        <f>+SUMIF('TUNZ Extracted TB'!M:M,$P1975,'TUNZ Extracted TB'!G:G)</f>
        <v>609.13</v>
      </c>
      <c r="M1975" s="311"/>
      <c r="N1975" s="311">
        <f>+SUMIF('Input Sheet'!$AE:$AE,P1975,'Input Sheet'!$X:$X)</f>
        <v>0</v>
      </c>
      <c r="O1975" s="311"/>
      <c r="P1975" t="str">
        <f t="shared" si="168"/>
        <v>936-7350</v>
      </c>
      <c r="Q1975" s="315" t="str">
        <f t="shared" si="169"/>
        <v>LEX Admin &amp; Other</v>
      </c>
      <c r="R1975" s="315" t="str">
        <f t="shared" si="170"/>
        <v>LEX Admin &amp; OtherOther Overheads as % of Total Gross Profit</v>
      </c>
      <c r="S1975" s="199"/>
      <c r="T1975" s="199"/>
      <c r="U1975" s="199"/>
    </row>
    <row r="1976" spans="1:21" x14ac:dyDescent="0.25">
      <c r="A1976" t="s">
        <v>996</v>
      </c>
      <c r="B1976" t="s">
        <v>997</v>
      </c>
      <c r="C1976" t="s">
        <v>997</v>
      </c>
      <c r="D1976">
        <v>7350</v>
      </c>
      <c r="E1976">
        <v>160</v>
      </c>
      <c r="F1976" t="s">
        <v>1371</v>
      </c>
      <c r="G1976" t="s">
        <v>1372</v>
      </c>
      <c r="H1976" s="315" t="s">
        <v>1000</v>
      </c>
      <c r="I1976" s="315" t="s">
        <v>1001</v>
      </c>
      <c r="J1976" s="315" t="str">
        <f t="shared" si="166"/>
        <v>Admin &amp; OtherOther Overheads as % of Total Gross Profit</v>
      </c>
      <c r="K1976" s="315" t="str">
        <f t="shared" si="167"/>
        <v>160Office expenses (Stationery, postage) - Toyota</v>
      </c>
      <c r="L1976" s="311">
        <f>+SUMIF('TUNZ Extracted TB'!M:M,$P1976,'TUNZ Extracted TB'!G:G)</f>
        <v>1780.66</v>
      </c>
      <c r="M1976" s="311"/>
      <c r="N1976" s="311">
        <f>+SUMIF('Input Sheet'!$AE:$AE,P1976,'Input Sheet'!$X:$X)</f>
        <v>0</v>
      </c>
      <c r="O1976" s="311"/>
      <c r="P1976" t="str">
        <f t="shared" si="168"/>
        <v>160-7350</v>
      </c>
      <c r="Q1976" s="315" t="str">
        <f t="shared" si="169"/>
        <v>Admin &amp; Other</v>
      </c>
      <c r="R1976" s="315" t="str">
        <f t="shared" si="170"/>
        <v>Admin &amp; OtherOther Overheads as % of Total Gross Profit</v>
      </c>
      <c r="S1976" s="199"/>
      <c r="T1976" s="199"/>
      <c r="U1976" s="199"/>
    </row>
    <row r="1977" spans="1:21" x14ac:dyDescent="0.25">
      <c r="A1977" t="s">
        <v>996</v>
      </c>
      <c r="B1977" t="s">
        <v>997</v>
      </c>
      <c r="C1977" t="s">
        <v>997</v>
      </c>
      <c r="D1977">
        <v>7350</v>
      </c>
      <c r="E1977">
        <v>935</v>
      </c>
      <c r="F1977" t="s">
        <v>1175</v>
      </c>
      <c r="G1977" t="s">
        <v>1176</v>
      </c>
      <c r="H1977" s="315" t="s">
        <v>1023</v>
      </c>
      <c r="I1977" s="315" t="s">
        <v>1001</v>
      </c>
      <c r="J1977" s="315" t="str">
        <f t="shared" si="166"/>
        <v>LEX Admin &amp; OtherOther Overheads as % of Total Gross Profit</v>
      </c>
      <c r="K1977" s="315" t="str">
        <f t="shared" si="167"/>
        <v>935Other franchise/business expense</v>
      </c>
      <c r="L1977" s="311">
        <f>+SUMIF('TUNZ Extracted TB'!M:M,$P1977,'TUNZ Extracted TB'!G:G)</f>
        <v>422.82</v>
      </c>
      <c r="M1977" s="311"/>
      <c r="N1977" s="311">
        <f>+SUMIF('Input Sheet'!$AE:$AE,P1977,'Input Sheet'!$X:$X)</f>
        <v>0</v>
      </c>
      <c r="O1977" s="311"/>
      <c r="P1977" t="str">
        <f t="shared" si="168"/>
        <v>935-7350</v>
      </c>
      <c r="Q1977" s="315" t="str">
        <f t="shared" si="169"/>
        <v>LEX Admin &amp; Other</v>
      </c>
      <c r="R1977" s="315" t="str">
        <f t="shared" si="170"/>
        <v>LEX Admin &amp; OtherOther Overheads as % of Total Gross Profit</v>
      </c>
      <c r="S1977" s="199"/>
      <c r="T1977" s="199"/>
      <c r="U1977" s="199"/>
    </row>
    <row r="1978" spans="1:21" x14ac:dyDescent="0.25">
      <c r="A1978" s="316">
        <v>44866</v>
      </c>
      <c r="B1978" t="s">
        <v>997</v>
      </c>
      <c r="C1978" t="s">
        <v>997</v>
      </c>
      <c r="D1978">
        <v>7350</v>
      </c>
      <c r="E1978">
        <v>190</v>
      </c>
      <c r="G1978" t="s">
        <v>941</v>
      </c>
      <c r="H1978" s="315" t="s">
        <v>1000</v>
      </c>
      <c r="I1978" s="315" t="s">
        <v>1001</v>
      </c>
      <c r="J1978" s="315" t="str">
        <f t="shared" si="166"/>
        <v>Admin &amp; OtherOther Overheads as % of Total Gross Profit</v>
      </c>
      <c r="K1978" s="315" t="str">
        <f t="shared" si="167"/>
        <v>190Office Supplies/Stationery</v>
      </c>
      <c r="L1978" s="311">
        <f>+SUMIF('TUNZ Extracted TB'!M:M,$P1978,'TUNZ Extracted TB'!G:G)</f>
        <v>823.78</v>
      </c>
      <c r="M1978" s="311"/>
      <c r="N1978" s="311">
        <f>+SUMIF('Input Sheet'!$AE:$AE,P1978,'Input Sheet'!$X:$X)</f>
        <v>0</v>
      </c>
      <c r="O1978" s="311"/>
      <c r="P1978" t="str">
        <f t="shared" si="168"/>
        <v>190-7350</v>
      </c>
      <c r="Q1978" s="315" t="str">
        <f t="shared" si="169"/>
        <v>Admin &amp; Other</v>
      </c>
      <c r="R1978" s="315" t="str">
        <f t="shared" si="170"/>
        <v>Admin &amp; OtherOther Overheads as % of Total Gross Profit</v>
      </c>
      <c r="S1978" s="199"/>
      <c r="T1978" s="199"/>
      <c r="U1978" s="199"/>
    </row>
    <row r="1979" spans="1:21" x14ac:dyDescent="0.25">
      <c r="A1979" t="s">
        <v>996</v>
      </c>
      <c r="B1979" t="s">
        <v>997</v>
      </c>
      <c r="C1979" t="s">
        <v>1012</v>
      </c>
      <c r="D1979">
        <v>7350</v>
      </c>
      <c r="E1979">
        <v>430</v>
      </c>
      <c r="F1979" t="s">
        <v>1371</v>
      </c>
      <c r="G1979" t="s">
        <v>1372</v>
      </c>
      <c r="H1979" s="315" t="s">
        <v>1000</v>
      </c>
      <c r="I1979" s="315" t="s">
        <v>1001</v>
      </c>
      <c r="J1979" s="315" t="str">
        <f t="shared" si="166"/>
        <v>Admin &amp; OtherOther Overheads as % of Total Gross Profit</v>
      </c>
      <c r="K1979" s="315" t="str">
        <f t="shared" si="167"/>
        <v>430Office expenses (Stationery, postage) - Toyota</v>
      </c>
      <c r="L1979" s="311">
        <f>+SUMIF('TUNZ Extracted TB'!M:M,$P1979,'TUNZ Extracted TB'!G:G)</f>
        <v>0</v>
      </c>
      <c r="M1979" s="311"/>
      <c r="N1979" s="311">
        <f>+SUMIF('Input Sheet'!$AE:$AE,P1979,'Input Sheet'!$X:$X)</f>
        <v>0</v>
      </c>
      <c r="O1979" s="311"/>
      <c r="P1979" t="str">
        <f t="shared" si="168"/>
        <v>430-7350</v>
      </c>
      <c r="Q1979" s="315" t="str">
        <f t="shared" si="169"/>
        <v>Admin &amp; Other</v>
      </c>
      <c r="R1979" s="315" t="str">
        <f t="shared" si="170"/>
        <v>Admin &amp; OtherOther Overheads as % of Total Gross Profit</v>
      </c>
      <c r="S1979" s="199"/>
      <c r="T1979" s="199"/>
      <c r="U1979" s="199"/>
    </row>
    <row r="1980" spans="1:21" x14ac:dyDescent="0.25">
      <c r="A1980" t="s">
        <v>996</v>
      </c>
      <c r="B1980" t="s">
        <v>997</v>
      </c>
      <c r="C1980" t="s">
        <v>1012</v>
      </c>
      <c r="D1980">
        <v>7350</v>
      </c>
      <c r="E1980">
        <v>440</v>
      </c>
      <c r="F1980" t="s">
        <v>1371</v>
      </c>
      <c r="G1980" t="s">
        <v>1372</v>
      </c>
      <c r="H1980" s="315" t="s">
        <v>1000</v>
      </c>
      <c r="I1980" s="315" t="s">
        <v>1001</v>
      </c>
      <c r="J1980" s="315" t="str">
        <f t="shared" si="166"/>
        <v>Admin &amp; OtherOther Overheads as % of Total Gross Profit</v>
      </c>
      <c r="K1980" s="315" t="str">
        <f t="shared" si="167"/>
        <v>440Office expenses (Stationery, postage) - Toyota</v>
      </c>
      <c r="L1980" s="311">
        <f>+SUMIF('TUNZ Extracted TB'!M:M,$P1980,'TUNZ Extracted TB'!G:G)</f>
        <v>135.54</v>
      </c>
      <c r="M1980" s="311"/>
      <c r="N1980" s="311">
        <f>+SUMIF('Input Sheet'!$AE:$AE,P1980,'Input Sheet'!$X:$X)</f>
        <v>0</v>
      </c>
      <c r="O1980" s="311"/>
      <c r="P1980" t="str">
        <f t="shared" si="168"/>
        <v>440-7350</v>
      </c>
      <c r="Q1980" s="315" t="str">
        <f t="shared" si="169"/>
        <v>Admin &amp; Other</v>
      </c>
      <c r="R1980" s="315" t="str">
        <f t="shared" si="170"/>
        <v>Admin &amp; OtherOther Overheads as % of Total Gross Profit</v>
      </c>
      <c r="S1980" s="199"/>
      <c r="T1980" s="199"/>
      <c r="U1980" s="199"/>
    </row>
    <row r="1981" spans="1:21" x14ac:dyDescent="0.25">
      <c r="A1981" s="316">
        <v>45078</v>
      </c>
      <c r="B1981" t="s">
        <v>997</v>
      </c>
      <c r="C1981" t="s">
        <v>997</v>
      </c>
      <c r="D1981">
        <v>7350</v>
      </c>
      <c r="E1981">
        <v>150</v>
      </c>
      <c r="G1981" t="s">
        <v>941</v>
      </c>
      <c r="H1981" s="315" t="s">
        <v>1023</v>
      </c>
      <c r="I1981" s="315" t="s">
        <v>1001</v>
      </c>
      <c r="J1981" s="315" t="str">
        <f t="shared" si="166"/>
        <v>LEX Admin &amp; OtherOther Overheads as % of Total Gross Profit</v>
      </c>
      <c r="K1981" s="315" t="str">
        <f t="shared" si="167"/>
        <v>150Office Supplies/Stationery</v>
      </c>
      <c r="L1981" s="311">
        <f>+SUMIF('TUNZ Extracted TB'!M:M,$P1981,'TUNZ Extracted TB'!G:G)</f>
        <v>0</v>
      </c>
      <c r="M1981" s="311"/>
      <c r="N1981" s="311">
        <f>+SUMIF('Input Sheet'!$AE:$AE,P1981,'Input Sheet'!$X:$X)</f>
        <v>0</v>
      </c>
      <c r="O1981" s="311"/>
      <c r="P1981" t="str">
        <f t="shared" si="168"/>
        <v>150-7350</v>
      </c>
      <c r="Q1981" s="315" t="str">
        <f t="shared" si="169"/>
        <v>LEX Admin &amp; Other</v>
      </c>
      <c r="R1981" s="315" t="str">
        <f t="shared" si="170"/>
        <v>LEX Admin &amp; OtherOther Overheads as % of Total Gross Profit</v>
      </c>
      <c r="S1981" s="199"/>
      <c r="T1981" s="199"/>
      <c r="U1981" s="199"/>
    </row>
    <row r="1982" spans="1:21" x14ac:dyDescent="0.25">
      <c r="A1982" t="s">
        <v>996</v>
      </c>
      <c r="B1982" t="s">
        <v>997</v>
      </c>
      <c r="C1982" t="s">
        <v>997</v>
      </c>
      <c r="D1982">
        <v>7350</v>
      </c>
      <c r="E1982">
        <v>140</v>
      </c>
      <c r="F1982" t="s">
        <v>1371</v>
      </c>
      <c r="G1982" t="s">
        <v>1372</v>
      </c>
      <c r="H1982" s="315" t="s">
        <v>1000</v>
      </c>
      <c r="I1982" s="315" t="s">
        <v>1001</v>
      </c>
      <c r="J1982" s="315" t="str">
        <f t="shared" si="166"/>
        <v>Admin &amp; OtherOther Overheads as % of Total Gross Profit</v>
      </c>
      <c r="K1982" s="315" t="str">
        <f t="shared" si="167"/>
        <v>140Office expenses (Stationery, postage) - Toyota</v>
      </c>
      <c r="L1982" s="311">
        <f>+SUMIF('TUNZ Extracted TB'!M:M,$P1982,'TUNZ Extracted TB'!G:G)</f>
        <v>1601.05</v>
      </c>
      <c r="M1982" s="311"/>
      <c r="N1982" s="311">
        <f>+SUMIF('Input Sheet'!$AE:$AE,P1982,'Input Sheet'!$X:$X)</f>
        <v>0</v>
      </c>
      <c r="O1982" s="311"/>
      <c r="P1982" t="str">
        <f t="shared" si="168"/>
        <v>140-7350</v>
      </c>
      <c r="Q1982" s="315" t="str">
        <f t="shared" si="169"/>
        <v>Admin &amp; Other</v>
      </c>
      <c r="R1982" s="315" t="str">
        <f t="shared" si="170"/>
        <v>Admin &amp; OtherOther Overheads as % of Total Gross Profit</v>
      </c>
      <c r="S1982" s="199"/>
      <c r="T1982" s="199"/>
      <c r="U1982" s="199"/>
    </row>
    <row r="1983" spans="1:21" x14ac:dyDescent="0.25">
      <c r="A1983" t="s">
        <v>996</v>
      </c>
      <c r="B1983" t="s">
        <v>997</v>
      </c>
      <c r="C1983" t="s">
        <v>997</v>
      </c>
      <c r="D1983">
        <v>7350</v>
      </c>
      <c r="E1983">
        <v>142</v>
      </c>
      <c r="F1983" t="s">
        <v>1373</v>
      </c>
      <c r="G1983" t="s">
        <v>1374</v>
      </c>
      <c r="H1983" s="315" t="s">
        <v>1023</v>
      </c>
      <c r="I1983" s="315" t="s">
        <v>1001</v>
      </c>
      <c r="J1983" s="315" t="str">
        <f t="shared" si="166"/>
        <v>LEX Admin &amp; OtherOther Overheads as % of Total Gross Profit</v>
      </c>
      <c r="K1983" s="315" t="str">
        <f t="shared" si="167"/>
        <v>142Office expenses (Stationery, postage) - Lexus</v>
      </c>
      <c r="L1983" s="311">
        <f>+SUMIF('TUNZ Extracted TB'!M:M,$P1983,'TUNZ Extracted TB'!G:G)</f>
        <v>0</v>
      </c>
      <c r="M1983" s="311"/>
      <c r="N1983" s="311">
        <f>+SUMIF('Input Sheet'!$AE:$AE,P1983,'Input Sheet'!$X:$X)</f>
        <v>0</v>
      </c>
      <c r="O1983" s="311"/>
      <c r="P1983" t="str">
        <f t="shared" si="168"/>
        <v>142-7350</v>
      </c>
      <c r="Q1983" s="315" t="str">
        <f t="shared" si="169"/>
        <v>LEX Admin &amp; Other</v>
      </c>
      <c r="R1983" s="315" t="str">
        <f t="shared" si="170"/>
        <v>LEX Admin &amp; OtherOther Overheads as % of Total Gross Profit</v>
      </c>
      <c r="S1983" s="199"/>
      <c r="T1983" s="199"/>
      <c r="U1983" s="199"/>
    </row>
    <row r="1984" spans="1:21" x14ac:dyDescent="0.25">
      <c r="A1984" t="s">
        <v>996</v>
      </c>
      <c r="B1984" t="s">
        <v>997</v>
      </c>
      <c r="C1984" t="s">
        <v>997</v>
      </c>
      <c r="D1984">
        <v>7350</v>
      </c>
      <c r="E1984">
        <v>130</v>
      </c>
      <c r="F1984" t="s">
        <v>1371</v>
      </c>
      <c r="G1984" t="s">
        <v>1372</v>
      </c>
      <c r="H1984" s="315" t="s">
        <v>1000</v>
      </c>
      <c r="I1984" s="315" t="s">
        <v>1001</v>
      </c>
      <c r="J1984" s="315" t="str">
        <f t="shared" si="166"/>
        <v>Admin &amp; OtherOther Overheads as % of Total Gross Profit</v>
      </c>
      <c r="K1984" s="315" t="str">
        <f t="shared" si="167"/>
        <v>130Office expenses (Stationery, postage) - Toyota</v>
      </c>
      <c r="L1984" s="311">
        <f>+SUMIF('TUNZ Extracted TB'!M:M,$P1984,'TUNZ Extracted TB'!G:G)</f>
        <v>602.23</v>
      </c>
      <c r="M1984" s="311"/>
      <c r="N1984" s="311">
        <f>+SUMIF('Input Sheet'!$AE:$AE,P1984,'Input Sheet'!$X:$X)</f>
        <v>0</v>
      </c>
      <c r="O1984" s="311"/>
      <c r="P1984" t="str">
        <f t="shared" si="168"/>
        <v>130-7350</v>
      </c>
      <c r="Q1984" s="315" t="str">
        <f t="shared" si="169"/>
        <v>Admin &amp; Other</v>
      </c>
      <c r="R1984" s="315" t="str">
        <f t="shared" si="170"/>
        <v>Admin &amp; OtherOther Overheads as % of Total Gross Profit</v>
      </c>
      <c r="S1984" s="199"/>
      <c r="T1984" s="199"/>
      <c r="U1984" s="199"/>
    </row>
    <row r="1985" spans="1:21" x14ac:dyDescent="0.25">
      <c r="A1985" t="s">
        <v>996</v>
      </c>
      <c r="B1985" t="s">
        <v>997</v>
      </c>
      <c r="C1985" t="s">
        <v>997</v>
      </c>
      <c r="D1985">
        <v>7350</v>
      </c>
      <c r="E1985">
        <v>132</v>
      </c>
      <c r="F1985" t="s">
        <v>1373</v>
      </c>
      <c r="G1985" t="s">
        <v>1374</v>
      </c>
      <c r="H1985" s="315" t="s">
        <v>1023</v>
      </c>
      <c r="I1985" s="315" t="s">
        <v>1001</v>
      </c>
      <c r="J1985" s="315" t="str">
        <f t="shared" si="166"/>
        <v>LEX Admin &amp; OtherOther Overheads as % of Total Gross Profit</v>
      </c>
      <c r="K1985" s="315" t="str">
        <f t="shared" si="167"/>
        <v>132Office expenses (Stationery, postage) - Lexus</v>
      </c>
      <c r="L1985" s="311">
        <f>+SUMIF('TUNZ Extracted TB'!M:M,$P1985,'TUNZ Extracted TB'!G:G)</f>
        <v>0</v>
      </c>
      <c r="M1985" s="311"/>
      <c r="N1985" s="311">
        <f>+SUMIF('Input Sheet'!$AE:$AE,P1985,'Input Sheet'!$X:$X)</f>
        <v>0</v>
      </c>
      <c r="O1985" s="311"/>
      <c r="P1985" t="str">
        <f t="shared" si="168"/>
        <v>132-7350</v>
      </c>
      <c r="Q1985" s="315" t="str">
        <f t="shared" si="169"/>
        <v>LEX Admin &amp; Other</v>
      </c>
      <c r="R1985" s="315" t="str">
        <f t="shared" si="170"/>
        <v>LEX Admin &amp; OtherOther Overheads as % of Total Gross Profit</v>
      </c>
      <c r="S1985" s="199"/>
      <c r="T1985" s="199"/>
      <c r="U1985" s="199"/>
    </row>
    <row r="1986" spans="1:21" x14ac:dyDescent="0.25">
      <c r="A1986" t="s">
        <v>996</v>
      </c>
      <c r="B1986" t="s">
        <v>997</v>
      </c>
      <c r="C1986" t="s">
        <v>997</v>
      </c>
      <c r="D1986">
        <v>7350</v>
      </c>
      <c r="E1986">
        <v>110</v>
      </c>
      <c r="F1986" t="s">
        <v>1371</v>
      </c>
      <c r="G1986" t="s">
        <v>1372</v>
      </c>
      <c r="H1986" s="315" t="s">
        <v>1000</v>
      </c>
      <c r="I1986" s="315" t="s">
        <v>1001</v>
      </c>
      <c r="J1986" s="315" t="str">
        <f t="shared" si="166"/>
        <v>Admin &amp; OtherOther Overheads as % of Total Gross Profit</v>
      </c>
      <c r="K1986" s="315" t="str">
        <f t="shared" si="167"/>
        <v>110Office expenses (Stationery, postage) - Toyota</v>
      </c>
      <c r="L1986" s="311">
        <f>+SUMIF('TUNZ Extracted TB'!M:M,$P1986,'TUNZ Extracted TB'!G:G)</f>
        <v>957.23</v>
      </c>
      <c r="M1986" s="311"/>
      <c r="N1986" s="311">
        <f>+SUMIF('Input Sheet'!$AE:$AE,P1986,'Input Sheet'!$X:$X)</f>
        <v>0</v>
      </c>
      <c r="O1986" s="311"/>
      <c r="P1986" t="str">
        <f t="shared" si="168"/>
        <v>110-7350</v>
      </c>
      <c r="Q1986" s="315" t="str">
        <f t="shared" si="169"/>
        <v>Admin &amp; Other</v>
      </c>
      <c r="R1986" s="315" t="str">
        <f t="shared" si="170"/>
        <v>Admin &amp; OtherOther Overheads as % of Total Gross Profit</v>
      </c>
      <c r="S1986" s="199"/>
      <c r="T1986" s="199"/>
      <c r="U1986" s="199"/>
    </row>
    <row r="1987" spans="1:21" x14ac:dyDescent="0.25">
      <c r="A1987" t="s">
        <v>996</v>
      </c>
      <c r="B1987" t="s">
        <v>997</v>
      </c>
      <c r="C1987" t="s">
        <v>997</v>
      </c>
      <c r="D1987">
        <v>7350</v>
      </c>
      <c r="E1987">
        <v>112</v>
      </c>
      <c r="F1987" t="s">
        <v>1373</v>
      </c>
      <c r="G1987" t="s">
        <v>1374</v>
      </c>
      <c r="H1987" s="315" t="s">
        <v>1023</v>
      </c>
      <c r="I1987" s="315" t="s">
        <v>1001</v>
      </c>
      <c r="J1987" s="315" t="str">
        <f t="shared" ref="J1987:J2050" si="171">+H1987&amp;I1987</f>
        <v>LEX Admin &amp; OtherOther Overheads as % of Total Gross Profit</v>
      </c>
      <c r="K1987" s="315" t="str">
        <f t="shared" ref="K1987:K2050" si="172">+E1987&amp;G1987</f>
        <v>112Office expenses (Stationery, postage) - Lexus</v>
      </c>
      <c r="L1987" s="311">
        <f>+SUMIF('TUNZ Extracted TB'!M:M,$P1987,'TUNZ Extracted TB'!G:G)</f>
        <v>1587.85</v>
      </c>
      <c r="M1987" s="311"/>
      <c r="N1987" s="311">
        <f>+SUMIF('Input Sheet'!$AE:$AE,P1987,'Input Sheet'!$X:$X)</f>
        <v>0</v>
      </c>
      <c r="O1987" s="311"/>
      <c r="P1987" t="str">
        <f t="shared" ref="P1987:P2050" si="173">+E1987&amp;"-"&amp;D1987</f>
        <v>112-7350</v>
      </c>
      <c r="Q1987" s="315" t="str">
        <f t="shared" ref="Q1987:Q2050" si="174">H1987</f>
        <v>LEX Admin &amp; Other</v>
      </c>
      <c r="R1987" s="315" t="str">
        <f t="shared" ref="R1987:R2050" si="175">J1987</f>
        <v>LEX Admin &amp; OtherOther Overheads as % of Total Gross Profit</v>
      </c>
      <c r="S1987" s="199"/>
      <c r="T1987" s="199"/>
      <c r="U1987" s="199"/>
    </row>
    <row r="1988" spans="1:21" x14ac:dyDescent="0.25">
      <c r="A1988" t="s">
        <v>996</v>
      </c>
      <c r="B1988" t="s">
        <v>997</v>
      </c>
      <c r="C1988" t="s">
        <v>997</v>
      </c>
      <c r="D1988">
        <v>7350</v>
      </c>
      <c r="E1988">
        <v>100</v>
      </c>
      <c r="F1988" t="s">
        <v>1371</v>
      </c>
      <c r="G1988" t="s">
        <v>1372</v>
      </c>
      <c r="H1988" s="315" t="s">
        <v>1000</v>
      </c>
      <c r="I1988" s="315" t="s">
        <v>1001</v>
      </c>
      <c r="J1988" s="315" t="str">
        <f t="shared" si="171"/>
        <v>Admin &amp; OtherOther Overheads as % of Total Gross Profit</v>
      </c>
      <c r="K1988" s="315" t="str">
        <f t="shared" si="172"/>
        <v>100Office expenses (Stationery, postage) - Toyota</v>
      </c>
      <c r="L1988" s="311">
        <f>+SUMIF('TUNZ Extracted TB'!M:M,$P1988,'TUNZ Extracted TB'!G:G)</f>
        <v>0</v>
      </c>
      <c r="M1988" s="311"/>
      <c r="N1988" s="311">
        <f>+SUMIF('Input Sheet'!$AE:$AE,P1988,'Input Sheet'!$X:$X)</f>
        <v>0</v>
      </c>
      <c r="O1988" s="311"/>
      <c r="P1988" t="str">
        <f t="shared" si="173"/>
        <v>100-7350</v>
      </c>
      <c r="Q1988" s="315" t="str">
        <f t="shared" si="174"/>
        <v>Admin &amp; Other</v>
      </c>
      <c r="R1988" s="315" t="str">
        <f t="shared" si="175"/>
        <v>Admin &amp; OtherOther Overheads as % of Total Gross Profit</v>
      </c>
      <c r="S1988" s="199"/>
      <c r="T1988" s="199"/>
      <c r="U1988" s="199"/>
    </row>
    <row r="1989" spans="1:21" x14ac:dyDescent="0.25">
      <c r="A1989" t="s">
        <v>996</v>
      </c>
      <c r="B1989" t="s">
        <v>997</v>
      </c>
      <c r="C1989" t="s">
        <v>997</v>
      </c>
      <c r="D1989">
        <v>7350</v>
      </c>
      <c r="E1989">
        <v>122</v>
      </c>
      <c r="F1989" t="s">
        <v>1373</v>
      </c>
      <c r="G1989" t="s">
        <v>1374</v>
      </c>
      <c r="H1989" s="315" t="s">
        <v>1023</v>
      </c>
      <c r="I1989" s="315" t="s">
        <v>1001</v>
      </c>
      <c r="J1989" s="315" t="str">
        <f t="shared" si="171"/>
        <v>LEX Admin &amp; OtherOther Overheads as % of Total Gross Profit</v>
      </c>
      <c r="K1989" s="315" t="str">
        <f t="shared" si="172"/>
        <v>122Office expenses (Stationery, postage) - Lexus</v>
      </c>
      <c r="L1989" s="311">
        <f>+SUMIF('TUNZ Extracted TB'!M:M,$P1989,'TUNZ Extracted TB'!G:G)</f>
        <v>0</v>
      </c>
      <c r="M1989" s="311"/>
      <c r="N1989" s="311">
        <f>+SUMIF('Input Sheet'!$AE:$AE,P1989,'Input Sheet'!$X:$X)</f>
        <v>0</v>
      </c>
      <c r="O1989" s="311"/>
      <c r="P1989" t="str">
        <f t="shared" si="173"/>
        <v>122-7350</v>
      </c>
      <c r="Q1989" s="315" t="str">
        <f t="shared" si="174"/>
        <v>LEX Admin &amp; Other</v>
      </c>
      <c r="R1989" s="315" t="str">
        <f t="shared" si="175"/>
        <v>LEX Admin &amp; OtherOther Overheads as % of Total Gross Profit</v>
      </c>
      <c r="S1989" s="199"/>
      <c r="T1989" s="199"/>
      <c r="U1989" s="199"/>
    </row>
    <row r="1990" spans="1:21" x14ac:dyDescent="0.25">
      <c r="A1990" t="s">
        <v>996</v>
      </c>
      <c r="B1990" t="s">
        <v>997</v>
      </c>
      <c r="C1990" t="s">
        <v>997</v>
      </c>
      <c r="D1990">
        <v>7350</v>
      </c>
      <c r="E1990">
        <v>162</v>
      </c>
      <c r="F1990" t="s">
        <v>1373</v>
      </c>
      <c r="G1990" t="s">
        <v>1374</v>
      </c>
      <c r="H1990" s="315" t="s">
        <v>1023</v>
      </c>
      <c r="I1990" s="315" t="s">
        <v>1001</v>
      </c>
      <c r="J1990" s="315" t="str">
        <f t="shared" si="171"/>
        <v>LEX Admin &amp; OtherOther Overheads as % of Total Gross Profit</v>
      </c>
      <c r="K1990" s="315" t="str">
        <f t="shared" si="172"/>
        <v>162Office expenses (Stationery, postage) - Lexus</v>
      </c>
      <c r="L1990" s="311">
        <f>+SUMIF('TUNZ Extracted TB'!M:M,$P1990,'TUNZ Extracted TB'!G:G)</f>
        <v>0</v>
      </c>
      <c r="M1990" s="311"/>
      <c r="N1990" s="311">
        <f>+SUMIF('Input Sheet'!$AE:$AE,P1990,'Input Sheet'!$X:$X)</f>
        <v>0</v>
      </c>
      <c r="O1990" s="311"/>
      <c r="P1990" t="str">
        <f t="shared" si="173"/>
        <v>162-7350</v>
      </c>
      <c r="Q1990" s="315" t="str">
        <f t="shared" si="174"/>
        <v>LEX Admin &amp; Other</v>
      </c>
      <c r="R1990" s="315" t="str">
        <f t="shared" si="175"/>
        <v>LEX Admin &amp; OtherOther Overheads as % of Total Gross Profit</v>
      </c>
      <c r="S1990" s="199"/>
      <c r="T1990" s="199"/>
      <c r="U1990" s="199"/>
    </row>
    <row r="1991" spans="1:21" x14ac:dyDescent="0.25">
      <c r="A1991" t="s">
        <v>996</v>
      </c>
      <c r="B1991" t="s">
        <v>997</v>
      </c>
      <c r="C1991" t="s">
        <v>997</v>
      </c>
      <c r="D1991">
        <v>7350</v>
      </c>
      <c r="E1991">
        <v>121</v>
      </c>
      <c r="F1991" t="s">
        <v>1371</v>
      </c>
      <c r="G1991" t="s">
        <v>1372</v>
      </c>
      <c r="H1991" s="315" t="s">
        <v>1000</v>
      </c>
      <c r="I1991" s="315" t="s">
        <v>1001</v>
      </c>
      <c r="J1991" s="315" t="str">
        <f t="shared" si="171"/>
        <v>Admin &amp; OtherOther Overheads as % of Total Gross Profit</v>
      </c>
      <c r="K1991" s="315" t="str">
        <f t="shared" si="172"/>
        <v>121Office expenses (Stationery, postage) - Toyota</v>
      </c>
      <c r="L1991" s="311">
        <f>+SUMIF('TUNZ Extracted TB'!M:M,$P1991,'TUNZ Extracted TB'!G:G)</f>
        <v>0</v>
      </c>
      <c r="M1991" s="311"/>
      <c r="N1991" s="311">
        <f>+SUMIF('Input Sheet'!$AE:$AE,P1991,'Input Sheet'!$X:$X)</f>
        <v>0</v>
      </c>
      <c r="O1991" s="311"/>
      <c r="P1991" t="str">
        <f t="shared" si="173"/>
        <v>121-7350</v>
      </c>
      <c r="Q1991" s="315" t="str">
        <f t="shared" si="174"/>
        <v>Admin &amp; Other</v>
      </c>
      <c r="R1991" s="315" t="str">
        <f t="shared" si="175"/>
        <v>Admin &amp; OtherOther Overheads as % of Total Gross Profit</v>
      </c>
      <c r="S1991" s="199"/>
      <c r="T1991" s="199"/>
      <c r="U1991" s="199"/>
    </row>
    <row r="1992" spans="1:21" x14ac:dyDescent="0.25">
      <c r="A1992" t="s">
        <v>996</v>
      </c>
      <c r="B1992" t="s">
        <v>997</v>
      </c>
      <c r="C1992" t="s">
        <v>1013</v>
      </c>
      <c r="D1992">
        <v>7350</v>
      </c>
      <c r="E1992">
        <v>330</v>
      </c>
      <c r="F1992" t="s">
        <v>1371</v>
      </c>
      <c r="G1992" t="s">
        <v>1372</v>
      </c>
      <c r="H1992" s="315" t="s">
        <v>1000</v>
      </c>
      <c r="I1992" s="315" t="s">
        <v>1001</v>
      </c>
      <c r="J1992" s="315" t="str">
        <f t="shared" si="171"/>
        <v>Admin &amp; OtherOther Overheads as % of Total Gross Profit</v>
      </c>
      <c r="K1992" s="315" t="str">
        <f t="shared" si="172"/>
        <v>330Office expenses (Stationery, postage) - Toyota</v>
      </c>
      <c r="L1992" s="311">
        <f>+SUMIF('TUNZ Extracted TB'!M:M,$P1992,'TUNZ Extracted TB'!G:G)</f>
        <v>0</v>
      </c>
      <c r="M1992" s="311"/>
      <c r="N1992" s="311">
        <f>+SUMIF('Input Sheet'!$AE:$AE,P1992,'Input Sheet'!$X:$X)</f>
        <v>0</v>
      </c>
      <c r="O1992" s="311"/>
      <c r="P1992" t="str">
        <f t="shared" si="173"/>
        <v>330-7350</v>
      </c>
      <c r="Q1992" s="315" t="str">
        <f t="shared" si="174"/>
        <v>Admin &amp; Other</v>
      </c>
      <c r="R1992" s="315" t="str">
        <f t="shared" si="175"/>
        <v>Admin &amp; OtherOther Overheads as % of Total Gross Profit</v>
      </c>
      <c r="S1992" s="199"/>
      <c r="T1992" s="199"/>
      <c r="U1992" s="199"/>
    </row>
    <row r="1993" spans="1:21" x14ac:dyDescent="0.25">
      <c r="A1993" t="s">
        <v>996</v>
      </c>
      <c r="B1993" t="s">
        <v>997</v>
      </c>
      <c r="C1993" t="s">
        <v>1005</v>
      </c>
      <c r="D1993">
        <v>7350</v>
      </c>
      <c r="E1993">
        <v>260</v>
      </c>
      <c r="F1993" t="s">
        <v>1371</v>
      </c>
      <c r="G1993" t="s">
        <v>1372</v>
      </c>
      <c r="H1993" s="315" t="s">
        <v>1000</v>
      </c>
      <c r="I1993" s="315" t="s">
        <v>1001</v>
      </c>
      <c r="J1993" s="315" t="str">
        <f t="shared" si="171"/>
        <v>Admin &amp; OtherOther Overheads as % of Total Gross Profit</v>
      </c>
      <c r="K1993" s="315" t="str">
        <f t="shared" si="172"/>
        <v>260Office expenses (Stationery, postage) - Toyota</v>
      </c>
      <c r="L1993" s="311">
        <f>+SUMIF('TUNZ Extracted TB'!M:M,$P1993,'TUNZ Extracted TB'!G:G)</f>
        <v>0</v>
      </c>
      <c r="M1993" s="311"/>
      <c r="N1993" s="311">
        <f>+SUMIF('Input Sheet'!$AE:$AE,P1993,'Input Sheet'!$X:$X)</f>
        <v>0</v>
      </c>
      <c r="O1993" s="311"/>
      <c r="P1993" t="str">
        <f t="shared" si="173"/>
        <v>260-7350</v>
      </c>
      <c r="Q1993" s="315" t="str">
        <f t="shared" si="174"/>
        <v>Admin &amp; Other</v>
      </c>
      <c r="R1993" s="315" t="str">
        <f t="shared" si="175"/>
        <v>Admin &amp; OtherOther Overheads as % of Total Gross Profit</v>
      </c>
      <c r="S1993" s="199"/>
      <c r="T1993" s="199"/>
      <c r="U1993" s="199"/>
    </row>
    <row r="1994" spans="1:21" x14ac:dyDescent="0.25">
      <c r="A1994" t="s">
        <v>996</v>
      </c>
      <c r="B1994" t="s">
        <v>997</v>
      </c>
      <c r="C1994" t="s">
        <v>997</v>
      </c>
      <c r="D1994">
        <v>7350</v>
      </c>
      <c r="E1994">
        <v>147</v>
      </c>
      <c r="F1994" t="s">
        <v>1371</v>
      </c>
      <c r="G1994" t="s">
        <v>1372</v>
      </c>
      <c r="H1994" s="315" t="s">
        <v>1000</v>
      </c>
      <c r="I1994" s="315" t="s">
        <v>1001</v>
      </c>
      <c r="J1994" s="315" t="str">
        <f t="shared" si="171"/>
        <v>Admin &amp; OtherOther Overheads as % of Total Gross Profit</v>
      </c>
      <c r="K1994" s="315" t="str">
        <f t="shared" si="172"/>
        <v>147Office expenses (Stationery, postage) - Toyota</v>
      </c>
      <c r="L1994" s="311">
        <f>+SUMIF('TUNZ Extracted TB'!M:M,$P1994,'TUNZ Extracted TB'!G:G)</f>
        <v>0</v>
      </c>
      <c r="M1994" s="311"/>
      <c r="N1994" s="311">
        <f>+SUMIF('Input Sheet'!$AE:$AE,P1994,'Input Sheet'!$X:$X)</f>
        <v>0</v>
      </c>
      <c r="O1994" s="311"/>
      <c r="P1994" t="str">
        <f t="shared" si="173"/>
        <v>147-7350</v>
      </c>
      <c r="Q1994" s="315" t="str">
        <f t="shared" si="174"/>
        <v>Admin &amp; Other</v>
      </c>
      <c r="R1994" s="315" t="str">
        <f t="shared" si="175"/>
        <v>Admin &amp; OtherOther Overheads as % of Total Gross Profit</v>
      </c>
      <c r="S1994" s="199"/>
      <c r="T1994" s="199"/>
      <c r="U1994" s="199"/>
    </row>
    <row r="1995" spans="1:21" x14ac:dyDescent="0.25">
      <c r="A1995" t="s">
        <v>996</v>
      </c>
      <c r="B1995" t="s">
        <v>997</v>
      </c>
      <c r="C1995" t="s">
        <v>1005</v>
      </c>
      <c r="D1995">
        <v>7350</v>
      </c>
      <c r="E1995">
        <v>200</v>
      </c>
      <c r="F1995" t="s">
        <v>1371</v>
      </c>
      <c r="G1995" t="s">
        <v>1372</v>
      </c>
      <c r="H1995" s="315" t="s">
        <v>1000</v>
      </c>
      <c r="I1995" s="315" t="s">
        <v>1001</v>
      </c>
      <c r="J1995" s="315" t="str">
        <f t="shared" si="171"/>
        <v>Admin &amp; OtherOther Overheads as % of Total Gross Profit</v>
      </c>
      <c r="K1995" s="315" t="str">
        <f t="shared" si="172"/>
        <v>200Office expenses (Stationery, postage) - Toyota</v>
      </c>
      <c r="L1995" s="311">
        <f>+SUMIF('TUNZ Extracted TB'!M:M,$P1995,'TUNZ Extracted TB'!G:G)</f>
        <v>0</v>
      </c>
      <c r="M1995" s="311"/>
      <c r="N1995" s="311">
        <f>+SUMIF('Input Sheet'!$AE:$AE,P1995,'Input Sheet'!$X:$X)</f>
        <v>0</v>
      </c>
      <c r="O1995" s="311"/>
      <c r="P1995" t="str">
        <f t="shared" si="173"/>
        <v>200-7350</v>
      </c>
      <c r="Q1995" s="315" t="str">
        <f t="shared" si="174"/>
        <v>Admin &amp; Other</v>
      </c>
      <c r="R1995" s="315" t="str">
        <f t="shared" si="175"/>
        <v>Admin &amp; OtherOther Overheads as % of Total Gross Profit</v>
      </c>
      <c r="S1995" s="199"/>
      <c r="T1995" s="199"/>
      <c r="U1995" s="199"/>
    </row>
    <row r="1996" spans="1:21" x14ac:dyDescent="0.25">
      <c r="A1996" t="s">
        <v>996</v>
      </c>
      <c r="B1996" t="s">
        <v>997</v>
      </c>
      <c r="C1996" t="s">
        <v>1005</v>
      </c>
      <c r="D1996">
        <v>7350</v>
      </c>
      <c r="E1996">
        <v>221</v>
      </c>
      <c r="F1996" t="s">
        <v>1371</v>
      </c>
      <c r="G1996" t="s">
        <v>1372</v>
      </c>
      <c r="H1996" s="315" t="s">
        <v>1000</v>
      </c>
      <c r="I1996" s="315" t="s">
        <v>1001</v>
      </c>
      <c r="J1996" s="315" t="str">
        <f t="shared" si="171"/>
        <v>Admin &amp; OtherOther Overheads as % of Total Gross Profit</v>
      </c>
      <c r="K1996" s="315" t="str">
        <f t="shared" si="172"/>
        <v>221Office expenses (Stationery, postage) - Toyota</v>
      </c>
      <c r="L1996" s="311">
        <f>+SUMIF('TUNZ Extracted TB'!M:M,$P1996,'TUNZ Extracted TB'!G:G)</f>
        <v>0</v>
      </c>
      <c r="M1996" s="311"/>
      <c r="N1996" s="311">
        <f>+SUMIF('Input Sheet'!$AE:$AE,P1996,'Input Sheet'!$X:$X)</f>
        <v>0</v>
      </c>
      <c r="O1996" s="311"/>
      <c r="P1996" t="str">
        <f t="shared" si="173"/>
        <v>221-7350</v>
      </c>
      <c r="Q1996" s="315" t="str">
        <f t="shared" si="174"/>
        <v>Admin &amp; Other</v>
      </c>
      <c r="R1996" s="315" t="str">
        <f t="shared" si="175"/>
        <v>Admin &amp; OtherOther Overheads as % of Total Gross Profit</v>
      </c>
      <c r="S1996" s="199"/>
      <c r="T1996" s="199"/>
      <c r="U1996" s="199"/>
    </row>
    <row r="1997" spans="1:21" x14ac:dyDescent="0.25">
      <c r="A1997" t="s">
        <v>996</v>
      </c>
      <c r="B1997" t="s">
        <v>997</v>
      </c>
      <c r="C1997" t="s">
        <v>1012</v>
      </c>
      <c r="D1997">
        <v>7350</v>
      </c>
      <c r="E1997">
        <v>400</v>
      </c>
      <c r="F1997" t="s">
        <v>1371</v>
      </c>
      <c r="G1997" t="s">
        <v>1372</v>
      </c>
      <c r="H1997" s="315" t="s">
        <v>1000</v>
      </c>
      <c r="I1997" s="315" t="s">
        <v>1001</v>
      </c>
      <c r="J1997" s="315" t="str">
        <f t="shared" si="171"/>
        <v>Admin &amp; OtherOther Overheads as % of Total Gross Profit</v>
      </c>
      <c r="K1997" s="315" t="str">
        <f t="shared" si="172"/>
        <v>400Office expenses (Stationery, postage) - Toyota</v>
      </c>
      <c r="L1997" s="311">
        <f>+SUMIF('TUNZ Extracted TB'!M:M,$P1997,'TUNZ Extracted TB'!G:G)</f>
        <v>0</v>
      </c>
      <c r="M1997" s="311"/>
      <c r="N1997" s="311">
        <f>+SUMIF('Input Sheet'!$AE:$AE,P1997,'Input Sheet'!$X:$X)</f>
        <v>0</v>
      </c>
      <c r="O1997" s="311"/>
      <c r="P1997" t="str">
        <f t="shared" si="173"/>
        <v>400-7350</v>
      </c>
      <c r="Q1997" s="315" t="str">
        <f t="shared" si="174"/>
        <v>Admin &amp; Other</v>
      </c>
      <c r="R1997" s="315" t="str">
        <f t="shared" si="175"/>
        <v>Admin &amp; OtherOther Overheads as % of Total Gross Profit</v>
      </c>
      <c r="S1997" s="199"/>
      <c r="T1997" s="199"/>
      <c r="U1997" s="199"/>
    </row>
    <row r="1998" spans="1:21" x14ac:dyDescent="0.25">
      <c r="A1998" t="s">
        <v>996</v>
      </c>
      <c r="B1998" t="s">
        <v>997</v>
      </c>
      <c r="C1998" t="s">
        <v>1012</v>
      </c>
      <c r="D1998">
        <v>7350</v>
      </c>
      <c r="E1998">
        <v>410</v>
      </c>
      <c r="F1998" t="s">
        <v>1371</v>
      </c>
      <c r="G1998" t="s">
        <v>1372</v>
      </c>
      <c r="H1998" s="315" t="s">
        <v>1000</v>
      </c>
      <c r="I1998" s="315" t="s">
        <v>1001</v>
      </c>
      <c r="J1998" s="315" t="str">
        <f t="shared" si="171"/>
        <v>Admin &amp; OtherOther Overheads as % of Total Gross Profit</v>
      </c>
      <c r="K1998" s="315" t="str">
        <f t="shared" si="172"/>
        <v>410Office expenses (Stationery, postage) - Toyota</v>
      </c>
      <c r="L1998" s="311">
        <f>+SUMIF('TUNZ Extracted TB'!M:M,$P1998,'TUNZ Extracted TB'!G:G)</f>
        <v>0</v>
      </c>
      <c r="M1998" s="311"/>
      <c r="N1998" s="311">
        <f>+SUMIF('Input Sheet'!$AE:$AE,P1998,'Input Sheet'!$X:$X)</f>
        <v>0</v>
      </c>
      <c r="O1998" s="311"/>
      <c r="P1998" t="str">
        <f t="shared" si="173"/>
        <v>410-7350</v>
      </c>
      <c r="Q1998" s="315" t="str">
        <f t="shared" si="174"/>
        <v>Admin &amp; Other</v>
      </c>
      <c r="R1998" s="315" t="str">
        <f t="shared" si="175"/>
        <v>Admin &amp; OtherOther Overheads as % of Total Gross Profit</v>
      </c>
      <c r="S1998" s="199"/>
      <c r="T1998" s="199"/>
      <c r="U1998" s="199"/>
    </row>
    <row r="1999" spans="1:21" x14ac:dyDescent="0.25">
      <c r="A1999" t="s">
        <v>996</v>
      </c>
      <c r="B1999" t="s">
        <v>997</v>
      </c>
      <c r="C1999" t="s">
        <v>1012</v>
      </c>
      <c r="D1999">
        <v>7350</v>
      </c>
      <c r="E1999">
        <v>420</v>
      </c>
      <c r="F1999" t="s">
        <v>1371</v>
      </c>
      <c r="G1999" t="s">
        <v>1372</v>
      </c>
      <c r="H1999" s="315" t="s">
        <v>1000</v>
      </c>
      <c r="I1999" s="315" t="s">
        <v>1001</v>
      </c>
      <c r="J1999" s="315" t="str">
        <f t="shared" si="171"/>
        <v>Admin &amp; OtherOther Overheads as % of Total Gross Profit</v>
      </c>
      <c r="K1999" s="315" t="str">
        <f t="shared" si="172"/>
        <v>420Office expenses (Stationery, postage) - Toyota</v>
      </c>
      <c r="L1999" s="311">
        <f>+SUMIF('TUNZ Extracted TB'!M:M,$P1999,'TUNZ Extracted TB'!G:G)</f>
        <v>0</v>
      </c>
      <c r="M1999" s="311"/>
      <c r="N1999" s="311">
        <f>+SUMIF('Input Sheet'!$AE:$AE,P1999,'Input Sheet'!$X:$X)</f>
        <v>0</v>
      </c>
      <c r="O1999" s="311"/>
      <c r="P1999" t="str">
        <f t="shared" si="173"/>
        <v>420-7350</v>
      </c>
      <c r="Q1999" s="315" t="str">
        <f t="shared" si="174"/>
        <v>Admin &amp; Other</v>
      </c>
      <c r="R1999" s="315" t="str">
        <f t="shared" si="175"/>
        <v>Admin &amp; OtherOther Overheads as % of Total Gross Profit</v>
      </c>
      <c r="S1999" s="199"/>
      <c r="T1999" s="199"/>
      <c r="U1999" s="199"/>
    </row>
    <row r="2000" spans="1:21" x14ac:dyDescent="0.25">
      <c r="A2000" t="s">
        <v>996</v>
      </c>
      <c r="B2000" t="s">
        <v>997</v>
      </c>
      <c r="C2000" t="s">
        <v>1012</v>
      </c>
      <c r="D2000">
        <v>7350</v>
      </c>
      <c r="E2000">
        <v>421</v>
      </c>
      <c r="F2000" t="s">
        <v>1371</v>
      </c>
      <c r="G2000" t="s">
        <v>1372</v>
      </c>
      <c r="H2000" s="315" t="s">
        <v>1000</v>
      </c>
      <c r="I2000" s="315" t="s">
        <v>1001</v>
      </c>
      <c r="J2000" s="315" t="str">
        <f t="shared" si="171"/>
        <v>Admin &amp; OtherOther Overheads as % of Total Gross Profit</v>
      </c>
      <c r="K2000" s="315" t="str">
        <f t="shared" si="172"/>
        <v>421Office expenses (Stationery, postage) - Toyota</v>
      </c>
      <c r="L2000" s="311">
        <f>+SUMIF('TUNZ Extracted TB'!M:M,$P2000,'TUNZ Extracted TB'!G:G)</f>
        <v>0</v>
      </c>
      <c r="M2000" s="311"/>
      <c r="N2000" s="311">
        <f>+SUMIF('Input Sheet'!$AE:$AE,P2000,'Input Sheet'!$X:$X)</f>
        <v>0</v>
      </c>
      <c r="O2000" s="311"/>
      <c r="P2000" t="str">
        <f t="shared" si="173"/>
        <v>421-7350</v>
      </c>
      <c r="Q2000" s="315" t="str">
        <f t="shared" si="174"/>
        <v>Admin &amp; Other</v>
      </c>
      <c r="R2000" s="315" t="str">
        <f t="shared" si="175"/>
        <v>Admin &amp; OtherOther Overheads as % of Total Gross Profit</v>
      </c>
      <c r="S2000" s="199"/>
      <c r="T2000" s="199"/>
      <c r="U2000" s="199"/>
    </row>
    <row r="2001" spans="1:21" x14ac:dyDescent="0.25">
      <c r="A2001" t="s">
        <v>996</v>
      </c>
      <c r="B2001" t="s">
        <v>997</v>
      </c>
      <c r="C2001" t="s">
        <v>1012</v>
      </c>
      <c r="D2001">
        <v>7350</v>
      </c>
      <c r="E2001">
        <v>460</v>
      </c>
      <c r="F2001" t="s">
        <v>1371</v>
      </c>
      <c r="G2001" t="s">
        <v>1372</v>
      </c>
      <c r="H2001" s="315" t="s">
        <v>1000</v>
      </c>
      <c r="I2001" s="315" t="s">
        <v>1001</v>
      </c>
      <c r="J2001" s="315" t="str">
        <f t="shared" si="171"/>
        <v>Admin &amp; OtherOther Overheads as % of Total Gross Profit</v>
      </c>
      <c r="K2001" s="315" t="str">
        <f t="shared" si="172"/>
        <v>460Office expenses (Stationery, postage) - Toyota</v>
      </c>
      <c r="L2001" s="311">
        <f>+SUMIF('TUNZ Extracted TB'!M:M,$P2001,'TUNZ Extracted TB'!G:G)</f>
        <v>0</v>
      </c>
      <c r="M2001" s="311"/>
      <c r="N2001" s="311">
        <f>+SUMIF('Input Sheet'!$AE:$AE,P2001,'Input Sheet'!$X:$X)</f>
        <v>0</v>
      </c>
      <c r="O2001" s="311"/>
      <c r="P2001" t="str">
        <f t="shared" si="173"/>
        <v>460-7350</v>
      </c>
      <c r="Q2001" s="315" t="str">
        <f t="shared" si="174"/>
        <v>Admin &amp; Other</v>
      </c>
      <c r="R2001" s="315" t="str">
        <f t="shared" si="175"/>
        <v>Admin &amp; OtherOther Overheads as % of Total Gross Profit</v>
      </c>
      <c r="S2001" s="199"/>
      <c r="T2001" s="199"/>
      <c r="U2001" s="199"/>
    </row>
    <row r="2002" spans="1:21" x14ac:dyDescent="0.25">
      <c r="A2002" t="s">
        <v>996</v>
      </c>
      <c r="B2002" t="s">
        <v>997</v>
      </c>
      <c r="C2002" t="s">
        <v>1013</v>
      </c>
      <c r="D2002">
        <v>7350</v>
      </c>
      <c r="E2002">
        <v>300</v>
      </c>
      <c r="F2002" t="s">
        <v>1371</v>
      </c>
      <c r="G2002" t="s">
        <v>1372</v>
      </c>
      <c r="H2002" s="315" t="s">
        <v>1000</v>
      </c>
      <c r="I2002" s="315" t="s">
        <v>1001</v>
      </c>
      <c r="J2002" s="315" t="str">
        <f t="shared" si="171"/>
        <v>Admin &amp; OtherOther Overheads as % of Total Gross Profit</v>
      </c>
      <c r="K2002" s="315" t="str">
        <f t="shared" si="172"/>
        <v>300Office expenses (Stationery, postage) - Toyota</v>
      </c>
      <c r="L2002" s="311">
        <f>+SUMIF('TUNZ Extracted TB'!M:M,$P2002,'TUNZ Extracted TB'!G:G)</f>
        <v>0</v>
      </c>
      <c r="M2002" s="311"/>
      <c r="N2002" s="311">
        <f>+SUMIF('Input Sheet'!$AE:$AE,P2002,'Input Sheet'!$X:$X)</f>
        <v>0</v>
      </c>
      <c r="O2002" s="311"/>
      <c r="P2002" t="str">
        <f t="shared" si="173"/>
        <v>300-7350</v>
      </c>
      <c r="Q2002" s="315" t="str">
        <f t="shared" si="174"/>
        <v>Admin &amp; Other</v>
      </c>
      <c r="R2002" s="315" t="str">
        <f t="shared" si="175"/>
        <v>Admin &amp; OtherOther Overheads as % of Total Gross Profit</v>
      </c>
      <c r="S2002" s="199"/>
      <c r="T2002" s="199"/>
      <c r="U2002" s="199"/>
    </row>
    <row r="2003" spans="1:21" x14ac:dyDescent="0.25">
      <c r="A2003" t="s">
        <v>996</v>
      </c>
      <c r="B2003" t="s">
        <v>997</v>
      </c>
      <c r="C2003" t="s">
        <v>1013</v>
      </c>
      <c r="D2003">
        <v>7350</v>
      </c>
      <c r="E2003">
        <v>310</v>
      </c>
      <c r="F2003" t="s">
        <v>1371</v>
      </c>
      <c r="G2003" t="s">
        <v>1372</v>
      </c>
      <c r="H2003" s="315" t="s">
        <v>1000</v>
      </c>
      <c r="I2003" s="315" t="s">
        <v>1001</v>
      </c>
      <c r="J2003" s="315" t="str">
        <f t="shared" si="171"/>
        <v>Admin &amp; OtherOther Overheads as % of Total Gross Profit</v>
      </c>
      <c r="K2003" s="315" t="str">
        <f t="shared" si="172"/>
        <v>310Office expenses (Stationery, postage) - Toyota</v>
      </c>
      <c r="L2003" s="311">
        <f>+SUMIF('TUNZ Extracted TB'!M:M,$P2003,'TUNZ Extracted TB'!G:G)</f>
        <v>0</v>
      </c>
      <c r="M2003" s="311"/>
      <c r="N2003" s="311">
        <f>+SUMIF('Input Sheet'!$AE:$AE,P2003,'Input Sheet'!$X:$X)</f>
        <v>0</v>
      </c>
      <c r="O2003" s="311"/>
      <c r="P2003" t="str">
        <f t="shared" si="173"/>
        <v>310-7350</v>
      </c>
      <c r="Q2003" s="315" t="str">
        <f t="shared" si="174"/>
        <v>Admin &amp; Other</v>
      </c>
      <c r="R2003" s="315" t="str">
        <f t="shared" si="175"/>
        <v>Admin &amp; OtherOther Overheads as % of Total Gross Profit</v>
      </c>
      <c r="S2003" s="199"/>
      <c r="T2003" s="199"/>
      <c r="U2003" s="199"/>
    </row>
    <row r="2004" spans="1:21" x14ac:dyDescent="0.25">
      <c r="A2004" t="s">
        <v>996</v>
      </c>
      <c r="B2004" t="s">
        <v>997</v>
      </c>
      <c r="C2004" t="s">
        <v>1013</v>
      </c>
      <c r="D2004">
        <v>7350</v>
      </c>
      <c r="E2004">
        <v>321</v>
      </c>
      <c r="F2004" t="s">
        <v>1371</v>
      </c>
      <c r="G2004" t="s">
        <v>1372</v>
      </c>
      <c r="H2004" s="315" t="s">
        <v>1000</v>
      </c>
      <c r="I2004" s="315" t="s">
        <v>1001</v>
      </c>
      <c r="J2004" s="315" t="str">
        <f t="shared" si="171"/>
        <v>Admin &amp; OtherOther Overheads as % of Total Gross Profit</v>
      </c>
      <c r="K2004" s="315" t="str">
        <f t="shared" si="172"/>
        <v>321Office expenses (Stationery, postage) - Toyota</v>
      </c>
      <c r="L2004" s="311">
        <f>+SUMIF('TUNZ Extracted TB'!M:M,$P2004,'TUNZ Extracted TB'!G:G)</f>
        <v>0</v>
      </c>
      <c r="M2004" s="311"/>
      <c r="N2004" s="311">
        <f>+SUMIF('Input Sheet'!$AE:$AE,P2004,'Input Sheet'!$X:$X)</f>
        <v>0</v>
      </c>
      <c r="O2004" s="311"/>
      <c r="P2004" t="str">
        <f t="shared" si="173"/>
        <v>321-7350</v>
      </c>
      <c r="Q2004" s="315" t="str">
        <f t="shared" si="174"/>
        <v>Admin &amp; Other</v>
      </c>
      <c r="R2004" s="315" t="str">
        <f t="shared" si="175"/>
        <v>Admin &amp; OtherOther Overheads as % of Total Gross Profit</v>
      </c>
      <c r="S2004" s="199"/>
      <c r="T2004" s="199"/>
      <c r="U2004" s="199"/>
    </row>
    <row r="2005" spans="1:21" x14ac:dyDescent="0.25">
      <c r="A2005" t="s">
        <v>996</v>
      </c>
      <c r="B2005" t="s">
        <v>997</v>
      </c>
      <c r="C2005" t="s">
        <v>1013</v>
      </c>
      <c r="D2005">
        <v>7350</v>
      </c>
      <c r="E2005">
        <v>360</v>
      </c>
      <c r="F2005" t="s">
        <v>1371</v>
      </c>
      <c r="G2005" t="s">
        <v>1372</v>
      </c>
      <c r="H2005" s="315" t="s">
        <v>1000</v>
      </c>
      <c r="I2005" s="315" t="s">
        <v>1001</v>
      </c>
      <c r="J2005" s="315" t="str">
        <f t="shared" si="171"/>
        <v>Admin &amp; OtherOther Overheads as % of Total Gross Profit</v>
      </c>
      <c r="K2005" s="315" t="str">
        <f t="shared" si="172"/>
        <v>360Office expenses (Stationery, postage) - Toyota</v>
      </c>
      <c r="L2005" s="311">
        <f>+SUMIF('TUNZ Extracted TB'!M:M,$P2005,'TUNZ Extracted TB'!G:G)</f>
        <v>0</v>
      </c>
      <c r="M2005" s="311"/>
      <c r="N2005" s="311">
        <f>+SUMIF('Input Sheet'!$AE:$AE,P2005,'Input Sheet'!$X:$X)</f>
        <v>0</v>
      </c>
      <c r="O2005" s="311"/>
      <c r="P2005" t="str">
        <f t="shared" si="173"/>
        <v>360-7350</v>
      </c>
      <c r="Q2005" s="315" t="str">
        <f t="shared" si="174"/>
        <v>Admin &amp; Other</v>
      </c>
      <c r="R2005" s="315" t="str">
        <f t="shared" si="175"/>
        <v>Admin &amp; OtherOther Overheads as % of Total Gross Profit</v>
      </c>
      <c r="S2005" s="199"/>
      <c r="T2005" s="199"/>
      <c r="U2005" s="199"/>
    </row>
    <row r="2006" spans="1:21" x14ac:dyDescent="0.25">
      <c r="A2006" t="s">
        <v>996</v>
      </c>
      <c r="B2006" t="s">
        <v>997</v>
      </c>
      <c r="C2006" t="s">
        <v>997</v>
      </c>
      <c r="D2006">
        <v>7370</v>
      </c>
      <c r="E2006">
        <v>140</v>
      </c>
      <c r="F2006" t="s">
        <v>1289</v>
      </c>
      <c r="G2006" t="s">
        <v>1290</v>
      </c>
      <c r="H2006" s="315" t="s">
        <v>17</v>
      </c>
      <c r="I2006" s="315" t="s">
        <v>1286</v>
      </c>
      <c r="J2006" s="315" t="str">
        <f t="shared" si="171"/>
        <v>ServiceOther Expenses as % of Sales</v>
      </c>
      <c r="K2006" s="315" t="str">
        <f t="shared" si="172"/>
        <v>140Service Other expenses - Toyota</v>
      </c>
      <c r="L2006" s="311">
        <f>+SUMIF('TUNZ Extracted TB'!M:M,$P2006,'TUNZ Extracted TB'!G:G)</f>
        <v>0</v>
      </c>
      <c r="M2006" s="311"/>
      <c r="N2006" s="311">
        <f>+SUMIF('Input Sheet'!$AE:$AE,P2006,'Input Sheet'!$X:$X)</f>
        <v>0</v>
      </c>
      <c r="O2006" s="311"/>
      <c r="P2006" t="str">
        <f t="shared" si="173"/>
        <v>140-7370</v>
      </c>
      <c r="Q2006" s="315" t="str">
        <f t="shared" si="174"/>
        <v>Service</v>
      </c>
      <c r="R2006" s="315" t="str">
        <f t="shared" si="175"/>
        <v>ServiceOther Expenses as % of Sales</v>
      </c>
      <c r="S2006" s="199"/>
      <c r="T2006" s="199"/>
      <c r="U2006" s="199"/>
    </row>
    <row r="2007" spans="1:21" x14ac:dyDescent="0.25">
      <c r="A2007" t="s">
        <v>996</v>
      </c>
      <c r="B2007" t="s">
        <v>997</v>
      </c>
      <c r="C2007" t="s">
        <v>997</v>
      </c>
      <c r="D2007">
        <v>7370</v>
      </c>
      <c r="E2007">
        <v>142</v>
      </c>
      <c r="F2007" t="s">
        <v>1284</v>
      </c>
      <c r="G2007" t="s">
        <v>1285</v>
      </c>
      <c r="H2007" s="315" t="s">
        <v>1022</v>
      </c>
      <c r="I2007" s="315" t="s">
        <v>1286</v>
      </c>
      <c r="J2007" s="315" t="str">
        <f t="shared" si="171"/>
        <v>Lex ServiceOther Expenses as % of Sales</v>
      </c>
      <c r="K2007" s="315" t="str">
        <f t="shared" si="172"/>
        <v>142Service Other expenses - Lexus</v>
      </c>
      <c r="L2007" s="311">
        <f>+SUMIF('TUNZ Extracted TB'!M:M,$P2007,'TUNZ Extracted TB'!G:G)</f>
        <v>0</v>
      </c>
      <c r="M2007" s="311"/>
      <c r="N2007" s="311">
        <f>+SUMIF('Input Sheet'!$AE:$AE,P2007,'Input Sheet'!$X:$X)</f>
        <v>0</v>
      </c>
      <c r="O2007" s="311"/>
      <c r="P2007" t="str">
        <f t="shared" si="173"/>
        <v>142-7370</v>
      </c>
      <c r="Q2007" s="315" t="str">
        <f t="shared" si="174"/>
        <v>Lex Service</v>
      </c>
      <c r="R2007" s="315" t="str">
        <f t="shared" si="175"/>
        <v>Lex ServiceOther Expenses as % of Sales</v>
      </c>
      <c r="S2007" s="199"/>
      <c r="T2007" s="199"/>
      <c r="U2007" s="199"/>
    </row>
    <row r="2008" spans="1:21" x14ac:dyDescent="0.25">
      <c r="A2008" t="s">
        <v>996</v>
      </c>
      <c r="B2008" t="s">
        <v>997</v>
      </c>
      <c r="C2008" t="s">
        <v>997</v>
      </c>
      <c r="D2008">
        <v>7370</v>
      </c>
      <c r="E2008">
        <v>132</v>
      </c>
      <c r="F2008" t="s">
        <v>1321</v>
      </c>
      <c r="G2008" t="s">
        <v>1322</v>
      </c>
      <c r="H2008" s="315" t="s">
        <v>143</v>
      </c>
      <c r="I2008" s="315" t="s">
        <v>1286</v>
      </c>
      <c r="J2008" s="315" t="str">
        <f t="shared" si="171"/>
        <v>LEX PartsOther Expenses as % of Sales</v>
      </c>
      <c r="K2008" s="315" t="str">
        <f t="shared" si="172"/>
        <v>132Parts Other Expenses - Lexus</v>
      </c>
      <c r="L2008" s="311">
        <f>+SUMIF('TUNZ Extracted TB'!M:M,$P2008,'TUNZ Extracted TB'!G:G)</f>
        <v>0</v>
      </c>
      <c r="M2008" s="311"/>
      <c r="N2008" s="311">
        <f>+SUMIF('Input Sheet'!$AE:$AE,P2008,'Input Sheet'!$X:$X)</f>
        <v>0</v>
      </c>
      <c r="O2008" s="311"/>
      <c r="P2008" t="str">
        <f t="shared" si="173"/>
        <v>132-7370</v>
      </c>
      <c r="Q2008" s="315" t="str">
        <f t="shared" si="174"/>
        <v>LEX Parts</v>
      </c>
      <c r="R2008" s="315" t="str">
        <f t="shared" si="175"/>
        <v>LEX PartsOther Expenses as % of Sales</v>
      </c>
      <c r="S2008" s="199"/>
      <c r="T2008" s="199"/>
      <c r="U2008" s="199"/>
    </row>
    <row r="2009" spans="1:21" x14ac:dyDescent="0.25">
      <c r="A2009" t="s">
        <v>996</v>
      </c>
      <c r="B2009" t="s">
        <v>997</v>
      </c>
      <c r="C2009" t="s">
        <v>997</v>
      </c>
      <c r="D2009">
        <v>7370</v>
      </c>
      <c r="E2009">
        <v>130</v>
      </c>
      <c r="F2009" t="s">
        <v>1291</v>
      </c>
      <c r="G2009" t="s">
        <v>1292</v>
      </c>
      <c r="H2009" s="315" t="s">
        <v>5</v>
      </c>
      <c r="I2009" s="315" t="s">
        <v>1286</v>
      </c>
      <c r="J2009" s="315" t="str">
        <f t="shared" si="171"/>
        <v>PartsOther Expenses as % of Sales</v>
      </c>
      <c r="K2009" s="315" t="str">
        <f t="shared" si="172"/>
        <v>130Parts Other Expenses - Toyota</v>
      </c>
      <c r="L2009" s="311">
        <f>+SUMIF('TUNZ Extracted TB'!M:M,$P2009,'TUNZ Extracted TB'!G:G)</f>
        <v>0</v>
      </c>
      <c r="M2009" s="311"/>
      <c r="N2009" s="311">
        <f>+SUMIF('Input Sheet'!$AE:$AE,P2009,'Input Sheet'!$X:$X)</f>
        <v>0</v>
      </c>
      <c r="O2009" s="311"/>
      <c r="P2009" t="str">
        <f t="shared" si="173"/>
        <v>130-7370</v>
      </c>
      <c r="Q2009" s="315" t="str">
        <f t="shared" si="174"/>
        <v>Parts</v>
      </c>
      <c r="R2009" s="315" t="str">
        <f t="shared" si="175"/>
        <v>PartsOther Expenses as % of Sales</v>
      </c>
      <c r="S2009" s="199"/>
      <c r="T2009" s="199"/>
      <c r="U2009" s="199"/>
    </row>
    <row r="2010" spans="1:21" x14ac:dyDescent="0.25">
      <c r="A2010" t="s">
        <v>996</v>
      </c>
      <c r="B2010" t="s">
        <v>997</v>
      </c>
      <c r="C2010" t="s">
        <v>1013</v>
      </c>
      <c r="D2010">
        <v>7370</v>
      </c>
      <c r="E2010">
        <v>300</v>
      </c>
      <c r="F2010" t="s">
        <v>1360</v>
      </c>
      <c r="G2010" t="s">
        <v>1361</v>
      </c>
      <c r="H2010" s="315" t="s">
        <v>29</v>
      </c>
      <c r="I2010" s="315" t="s">
        <v>1359</v>
      </c>
      <c r="J2010" s="315" t="str">
        <f t="shared" si="171"/>
        <v>New VehicleOther Semi-Fixed Expenses p.u</v>
      </c>
      <c r="K2010" s="315" t="str">
        <f t="shared" si="172"/>
        <v>300NV Other Semi-Fixed expenses - Toyota</v>
      </c>
      <c r="L2010" s="311">
        <f>+SUMIF('TUNZ Extracted TB'!M:M,$P2010,'TUNZ Extracted TB'!G:G)</f>
        <v>0</v>
      </c>
      <c r="M2010" s="311"/>
      <c r="N2010" s="311">
        <f>+SUMIF('Input Sheet'!$AE:$AE,P2010,'Input Sheet'!$X:$X)</f>
        <v>0</v>
      </c>
      <c r="O2010" s="311"/>
      <c r="P2010" t="str">
        <f t="shared" si="173"/>
        <v>300-7370</v>
      </c>
      <c r="Q2010" s="315" t="str">
        <f t="shared" si="174"/>
        <v>New Vehicle</v>
      </c>
      <c r="R2010" s="315" t="str">
        <f t="shared" si="175"/>
        <v>New VehicleOther Semi-Fixed Expenses p.u</v>
      </c>
      <c r="S2010" s="199"/>
      <c r="T2010" s="199"/>
      <c r="U2010" s="199"/>
    </row>
    <row r="2011" spans="1:21" x14ac:dyDescent="0.25">
      <c r="A2011" t="s">
        <v>996</v>
      </c>
      <c r="B2011" t="s">
        <v>997</v>
      </c>
      <c r="C2011" t="s">
        <v>997</v>
      </c>
      <c r="D2011">
        <v>7371</v>
      </c>
      <c r="E2011">
        <v>112</v>
      </c>
      <c r="F2011" t="s">
        <v>1357</v>
      </c>
      <c r="G2011" t="s">
        <v>1358</v>
      </c>
      <c r="H2011" s="315" t="s">
        <v>1011</v>
      </c>
      <c r="I2011" s="315" t="s">
        <v>1359</v>
      </c>
      <c r="J2011" s="315" t="str">
        <f t="shared" si="171"/>
        <v>LEX New VehicleOther Semi-Fixed Expenses p.u</v>
      </c>
      <c r="K2011" s="315" t="str">
        <f t="shared" si="172"/>
        <v>112NV Other Semi-Fixed expenses - Lexus</v>
      </c>
      <c r="L2011" s="311">
        <f>+SUMIF('TUNZ Extracted TB'!M:M,$P2011,'TUNZ Extracted TB'!G:G)</f>
        <v>0</v>
      </c>
      <c r="M2011" s="311"/>
      <c r="N2011" s="311">
        <f>+SUMIF('Input Sheet'!$AE:$AE,P2011,'Input Sheet'!$X:$X)</f>
        <v>0</v>
      </c>
      <c r="O2011" s="311"/>
      <c r="P2011" t="str">
        <f t="shared" si="173"/>
        <v>112-7371</v>
      </c>
      <c r="Q2011" s="315" t="str">
        <f t="shared" si="174"/>
        <v>LEX New Vehicle</v>
      </c>
      <c r="R2011" s="315" t="str">
        <f t="shared" si="175"/>
        <v>LEX New VehicleOther Semi-Fixed Expenses p.u</v>
      </c>
      <c r="S2011" s="199"/>
      <c r="T2011" s="199"/>
      <c r="U2011" s="199"/>
    </row>
    <row r="2012" spans="1:21" x14ac:dyDescent="0.25">
      <c r="A2012" t="s">
        <v>996</v>
      </c>
      <c r="B2012" t="s">
        <v>997</v>
      </c>
      <c r="C2012" t="s">
        <v>997</v>
      </c>
      <c r="D2012">
        <v>7370</v>
      </c>
      <c r="E2012">
        <v>110</v>
      </c>
      <c r="F2012" t="s">
        <v>1328</v>
      </c>
      <c r="G2012" t="s">
        <v>1329</v>
      </c>
      <c r="H2012" s="315" t="s">
        <v>30</v>
      </c>
      <c r="I2012" s="315" t="s">
        <v>1327</v>
      </c>
      <c r="J2012" s="315" t="str">
        <f t="shared" si="171"/>
        <v>Used VehicleOther Semi-Fixed expenses per retail</v>
      </c>
      <c r="K2012" s="315" t="str">
        <f t="shared" si="172"/>
        <v>110Toyota UV Other Semi-Fixed expenses</v>
      </c>
      <c r="L2012" s="311">
        <f>+SUMIF('TUNZ Extracted TB'!M:M,$P2012,'TUNZ Extracted TB'!G:G)</f>
        <v>0</v>
      </c>
      <c r="M2012" s="311"/>
      <c r="N2012" s="311">
        <f>+SUMIF('Input Sheet'!$AE:$AE,P2012,'Input Sheet'!$X:$X)</f>
        <v>0</v>
      </c>
      <c r="O2012" s="311"/>
      <c r="P2012" t="str">
        <f t="shared" si="173"/>
        <v>110-7370</v>
      </c>
      <c r="Q2012" s="315" t="str">
        <f t="shared" si="174"/>
        <v>Used Vehicle</v>
      </c>
      <c r="R2012" s="315" t="str">
        <f t="shared" si="175"/>
        <v>Used VehicleOther Semi-Fixed expenses per retail</v>
      </c>
      <c r="S2012" s="199"/>
      <c r="T2012" s="199"/>
      <c r="U2012" s="199"/>
    </row>
    <row r="2013" spans="1:21" x14ac:dyDescent="0.25">
      <c r="A2013" t="s">
        <v>996</v>
      </c>
      <c r="B2013" t="s">
        <v>997</v>
      </c>
      <c r="C2013" t="s">
        <v>997</v>
      </c>
      <c r="D2013">
        <v>7370</v>
      </c>
      <c r="E2013">
        <v>162</v>
      </c>
      <c r="F2013" t="s">
        <v>1323</v>
      </c>
      <c r="G2013" t="s">
        <v>1324</v>
      </c>
      <c r="H2013" s="315" t="s">
        <v>142</v>
      </c>
      <c r="I2013" s="315" t="s">
        <v>1295</v>
      </c>
      <c r="J2013" s="315" t="str">
        <f t="shared" si="171"/>
        <v>LEX F&amp;IOther Expenses per vehicle retailed</v>
      </c>
      <c r="K2013" s="315" t="str">
        <f t="shared" si="172"/>
        <v>162F&amp;I Other expenses - Lexus</v>
      </c>
      <c r="L2013" s="311">
        <f>+SUMIF('TUNZ Extracted TB'!M:M,$P2013,'TUNZ Extracted TB'!G:G)</f>
        <v>0</v>
      </c>
      <c r="M2013" s="311"/>
      <c r="N2013" s="311">
        <f>+SUMIF('Input Sheet'!$AE:$AE,P2013,'Input Sheet'!$X:$X)</f>
        <v>0</v>
      </c>
      <c r="O2013" s="311"/>
      <c r="P2013" t="str">
        <f t="shared" si="173"/>
        <v>162-7370</v>
      </c>
      <c r="Q2013" s="315" t="str">
        <f t="shared" si="174"/>
        <v>LEX F&amp;I</v>
      </c>
      <c r="R2013" s="315" t="str">
        <f t="shared" si="175"/>
        <v>LEX F&amp;IOther Expenses per vehicle retailed</v>
      </c>
      <c r="S2013" s="199"/>
      <c r="T2013" s="199"/>
      <c r="U2013" s="199"/>
    </row>
    <row r="2014" spans="1:21" x14ac:dyDescent="0.25">
      <c r="A2014" t="s">
        <v>996</v>
      </c>
      <c r="B2014" t="s">
        <v>997</v>
      </c>
      <c r="C2014" t="s">
        <v>1005</v>
      </c>
      <c r="D2014">
        <v>7370</v>
      </c>
      <c r="E2014">
        <v>260</v>
      </c>
      <c r="F2014" t="s">
        <v>1293</v>
      </c>
      <c r="G2014" t="s">
        <v>1294</v>
      </c>
      <c r="H2014" s="315" t="s">
        <v>16</v>
      </c>
      <c r="I2014" s="315" t="s">
        <v>1295</v>
      </c>
      <c r="J2014" s="315" t="str">
        <f t="shared" si="171"/>
        <v>F&amp;IOther Expenses per vehicle retailed</v>
      </c>
      <c r="K2014" s="315" t="str">
        <f t="shared" si="172"/>
        <v>260F&amp;I Other expenses - Toyota</v>
      </c>
      <c r="L2014" s="311">
        <f>+SUMIF('TUNZ Extracted TB'!M:M,$P2014,'TUNZ Extracted TB'!G:G)</f>
        <v>0</v>
      </c>
      <c r="M2014" s="311"/>
      <c r="N2014" s="311">
        <f>+SUMIF('Input Sheet'!$AE:$AE,P2014,'Input Sheet'!$X:$X)</f>
        <v>0</v>
      </c>
      <c r="O2014" s="311"/>
      <c r="P2014" t="str">
        <f t="shared" si="173"/>
        <v>260-7370</v>
      </c>
      <c r="Q2014" s="315" t="str">
        <f t="shared" si="174"/>
        <v>F&amp;I</v>
      </c>
      <c r="R2014" s="315" t="str">
        <f t="shared" si="175"/>
        <v>F&amp;IOther Expenses per vehicle retailed</v>
      </c>
      <c r="S2014" s="199"/>
      <c r="T2014" s="199"/>
      <c r="U2014" s="199"/>
    </row>
    <row r="2015" spans="1:21" x14ac:dyDescent="0.25">
      <c r="A2015" t="s">
        <v>996</v>
      </c>
      <c r="B2015" t="s">
        <v>997</v>
      </c>
      <c r="C2015" t="s">
        <v>1012</v>
      </c>
      <c r="D2015">
        <v>7370</v>
      </c>
      <c r="E2015">
        <v>460</v>
      </c>
      <c r="F2015" t="s">
        <v>1293</v>
      </c>
      <c r="G2015" t="s">
        <v>1294</v>
      </c>
      <c r="H2015" s="315" t="s">
        <v>16</v>
      </c>
      <c r="I2015" s="315" t="s">
        <v>1295</v>
      </c>
      <c r="J2015" s="315" t="str">
        <f t="shared" si="171"/>
        <v>F&amp;IOther Expenses per vehicle retailed</v>
      </c>
      <c r="K2015" s="315" t="str">
        <f t="shared" si="172"/>
        <v>460F&amp;I Other expenses - Toyota</v>
      </c>
      <c r="L2015" s="311">
        <f>+SUMIF('TUNZ Extracted TB'!M:M,$P2015,'TUNZ Extracted TB'!G:G)</f>
        <v>0</v>
      </c>
      <c r="M2015" s="311"/>
      <c r="N2015" s="311">
        <f>+SUMIF('Input Sheet'!$AE:$AE,P2015,'Input Sheet'!$X:$X)</f>
        <v>0</v>
      </c>
      <c r="O2015" s="311"/>
      <c r="P2015" t="str">
        <f t="shared" si="173"/>
        <v>460-7370</v>
      </c>
      <c r="Q2015" s="315" t="str">
        <f t="shared" si="174"/>
        <v>F&amp;I</v>
      </c>
      <c r="R2015" s="315" t="str">
        <f t="shared" si="175"/>
        <v>F&amp;IOther Expenses per vehicle retailed</v>
      </c>
      <c r="S2015" s="199"/>
      <c r="T2015" s="199"/>
      <c r="U2015" s="199"/>
    </row>
    <row r="2016" spans="1:21" x14ac:dyDescent="0.25">
      <c r="A2016" t="s">
        <v>996</v>
      </c>
      <c r="B2016" t="s">
        <v>997</v>
      </c>
      <c r="C2016" t="s">
        <v>1013</v>
      </c>
      <c r="D2016">
        <v>7370</v>
      </c>
      <c r="E2016">
        <v>360</v>
      </c>
      <c r="F2016" t="s">
        <v>1293</v>
      </c>
      <c r="G2016" t="s">
        <v>1294</v>
      </c>
      <c r="H2016" s="315" t="s">
        <v>16</v>
      </c>
      <c r="I2016" s="315" t="s">
        <v>1295</v>
      </c>
      <c r="J2016" s="315" t="str">
        <f t="shared" si="171"/>
        <v>F&amp;IOther Expenses per vehicle retailed</v>
      </c>
      <c r="K2016" s="315" t="str">
        <f t="shared" si="172"/>
        <v>360F&amp;I Other expenses - Toyota</v>
      </c>
      <c r="L2016" s="311">
        <f>+SUMIF('TUNZ Extracted TB'!M:M,$P2016,'TUNZ Extracted TB'!G:G)</f>
        <v>0</v>
      </c>
      <c r="M2016" s="311"/>
      <c r="N2016" s="311">
        <f>+SUMIF('Input Sheet'!$AE:$AE,P2016,'Input Sheet'!$X:$X)</f>
        <v>0</v>
      </c>
      <c r="O2016" s="311"/>
      <c r="P2016" t="str">
        <f t="shared" si="173"/>
        <v>360-7370</v>
      </c>
      <c r="Q2016" s="315" t="str">
        <f t="shared" si="174"/>
        <v>F&amp;I</v>
      </c>
      <c r="R2016" s="315" t="str">
        <f t="shared" si="175"/>
        <v>F&amp;IOther Expenses per vehicle retailed</v>
      </c>
      <c r="S2016" s="199"/>
      <c r="T2016" s="199"/>
      <c r="U2016" s="199"/>
    </row>
    <row r="2017" spans="1:21" x14ac:dyDescent="0.25">
      <c r="A2017" t="s">
        <v>996</v>
      </c>
      <c r="B2017" t="s">
        <v>997</v>
      </c>
      <c r="C2017" t="s">
        <v>997</v>
      </c>
      <c r="D2017">
        <v>7370</v>
      </c>
      <c r="E2017">
        <v>160</v>
      </c>
      <c r="F2017" t="s">
        <v>1293</v>
      </c>
      <c r="G2017" t="s">
        <v>1294</v>
      </c>
      <c r="H2017" s="315" t="s">
        <v>16</v>
      </c>
      <c r="I2017" s="315" t="s">
        <v>1295</v>
      </c>
      <c r="J2017" s="315" t="str">
        <f t="shared" si="171"/>
        <v>F&amp;IOther Expenses per vehicle retailed</v>
      </c>
      <c r="K2017" s="315" t="str">
        <f t="shared" si="172"/>
        <v>160F&amp;I Other expenses - Toyota</v>
      </c>
      <c r="L2017" s="311">
        <f>+SUMIF('TUNZ Extracted TB'!M:M,$P2017,'TUNZ Extracted TB'!G:G)</f>
        <v>0</v>
      </c>
      <c r="M2017" s="311"/>
      <c r="N2017" s="311">
        <f>+SUMIF('Input Sheet'!$AE:$AE,P2017,'Input Sheet'!$X:$X)</f>
        <v>0</v>
      </c>
      <c r="O2017" s="311"/>
      <c r="P2017" t="str">
        <f t="shared" si="173"/>
        <v>160-7370</v>
      </c>
      <c r="Q2017" s="315" t="str">
        <f t="shared" si="174"/>
        <v>F&amp;I</v>
      </c>
      <c r="R2017" s="315" t="str">
        <f t="shared" si="175"/>
        <v>F&amp;IOther Expenses per vehicle retailed</v>
      </c>
      <c r="S2017" s="199"/>
      <c r="T2017" s="199"/>
      <c r="U2017" s="199"/>
    </row>
    <row r="2018" spans="1:21" x14ac:dyDescent="0.25">
      <c r="A2018" t="s">
        <v>996</v>
      </c>
      <c r="B2018" t="s">
        <v>997</v>
      </c>
      <c r="C2018" t="s">
        <v>997</v>
      </c>
      <c r="D2018">
        <v>7370</v>
      </c>
      <c r="E2018">
        <v>122</v>
      </c>
      <c r="F2018" t="s">
        <v>1325</v>
      </c>
      <c r="G2018" t="s">
        <v>1326</v>
      </c>
      <c r="H2018" s="315" t="s">
        <v>1041</v>
      </c>
      <c r="I2018" s="315" t="s">
        <v>1327</v>
      </c>
      <c r="J2018" s="315" t="str">
        <f t="shared" si="171"/>
        <v>LEX Used VehicleOther Semi-Fixed expenses per retail</v>
      </c>
      <c r="K2018" s="315" t="str">
        <f t="shared" si="172"/>
        <v>122Lexus UV Other Semi-Fixed expenses</v>
      </c>
      <c r="L2018" s="311">
        <f>+SUMIF('TUNZ Extracted TB'!M:M,$P2018,'TUNZ Extracted TB'!G:G)</f>
        <v>0</v>
      </c>
      <c r="M2018" s="311"/>
      <c r="N2018" s="311">
        <f>+SUMIF('Input Sheet'!$AE:$AE,P2018,'Input Sheet'!$X:$X)</f>
        <v>0</v>
      </c>
      <c r="O2018" s="311"/>
      <c r="P2018" t="str">
        <f t="shared" si="173"/>
        <v>122-7370</v>
      </c>
      <c r="Q2018" s="315" t="str">
        <f t="shared" si="174"/>
        <v>LEX Used Vehicle</v>
      </c>
      <c r="R2018" s="315" t="str">
        <f t="shared" si="175"/>
        <v>LEX Used VehicleOther Semi-Fixed expenses per retail</v>
      </c>
      <c r="S2018" s="199"/>
      <c r="T2018" s="199"/>
      <c r="U2018" s="199"/>
    </row>
    <row r="2019" spans="1:21" x14ac:dyDescent="0.25">
      <c r="A2019" t="s">
        <v>996</v>
      </c>
      <c r="B2019" t="s">
        <v>997</v>
      </c>
      <c r="C2019" t="s">
        <v>997</v>
      </c>
      <c r="D2019">
        <v>7371</v>
      </c>
      <c r="E2019">
        <v>100</v>
      </c>
      <c r="F2019" t="s">
        <v>1360</v>
      </c>
      <c r="G2019" t="s">
        <v>1361</v>
      </c>
      <c r="H2019" s="315" t="s">
        <v>29</v>
      </c>
      <c r="I2019" s="315" t="s">
        <v>1359</v>
      </c>
      <c r="J2019" s="315" t="str">
        <f t="shared" si="171"/>
        <v>New VehicleOther Semi-Fixed Expenses p.u</v>
      </c>
      <c r="K2019" s="315" t="str">
        <f t="shared" si="172"/>
        <v>100NV Other Semi-Fixed expenses - Toyota</v>
      </c>
      <c r="L2019" s="311">
        <f>+SUMIF('TUNZ Extracted TB'!M:M,$P2019,'TUNZ Extracted TB'!G:G)</f>
        <v>0</v>
      </c>
      <c r="M2019" s="311"/>
      <c r="N2019" s="311">
        <f>+SUMIF('Input Sheet'!$AE:$AE,P2019,'Input Sheet'!$X:$X)</f>
        <v>0</v>
      </c>
      <c r="O2019" s="311"/>
      <c r="P2019" t="str">
        <f t="shared" si="173"/>
        <v>100-7371</v>
      </c>
      <c r="Q2019" s="315" t="str">
        <f t="shared" si="174"/>
        <v>New Vehicle</v>
      </c>
      <c r="R2019" s="315" t="str">
        <f t="shared" si="175"/>
        <v>New VehicleOther Semi-Fixed Expenses p.u</v>
      </c>
      <c r="S2019" s="199"/>
      <c r="T2019" s="199"/>
      <c r="U2019" s="199"/>
    </row>
    <row r="2020" spans="1:21" x14ac:dyDescent="0.25">
      <c r="A2020" t="s">
        <v>996</v>
      </c>
      <c r="B2020" t="s">
        <v>997</v>
      </c>
      <c r="C2020" t="s">
        <v>1005</v>
      </c>
      <c r="D2020">
        <v>7371</v>
      </c>
      <c r="E2020">
        <v>200</v>
      </c>
      <c r="F2020" t="s">
        <v>1360</v>
      </c>
      <c r="G2020" t="s">
        <v>1361</v>
      </c>
      <c r="H2020" s="315" t="s">
        <v>29</v>
      </c>
      <c r="I2020" s="315" t="s">
        <v>1359</v>
      </c>
      <c r="J2020" s="315" t="str">
        <f t="shared" si="171"/>
        <v>New VehicleOther Semi-Fixed Expenses p.u</v>
      </c>
      <c r="K2020" s="315" t="str">
        <f t="shared" si="172"/>
        <v>200NV Other Semi-Fixed expenses - Toyota</v>
      </c>
      <c r="L2020" s="311">
        <f>+SUMIF('TUNZ Extracted TB'!M:M,$P2020,'TUNZ Extracted TB'!G:G)</f>
        <v>0</v>
      </c>
      <c r="M2020" s="311"/>
      <c r="N2020" s="311">
        <f>+SUMIF('Input Sheet'!$AE:$AE,P2020,'Input Sheet'!$X:$X)</f>
        <v>0</v>
      </c>
      <c r="O2020" s="311"/>
      <c r="P2020" t="str">
        <f t="shared" si="173"/>
        <v>200-7371</v>
      </c>
      <c r="Q2020" s="315" t="str">
        <f t="shared" si="174"/>
        <v>New Vehicle</v>
      </c>
      <c r="R2020" s="315" t="str">
        <f t="shared" si="175"/>
        <v>New VehicleOther Semi-Fixed Expenses p.u</v>
      </c>
      <c r="S2020" s="199"/>
      <c r="T2020" s="199"/>
      <c r="U2020" s="199"/>
    </row>
    <row r="2021" spans="1:21" x14ac:dyDescent="0.25">
      <c r="A2021" t="s">
        <v>996</v>
      </c>
      <c r="B2021" t="s">
        <v>997</v>
      </c>
      <c r="C2021" t="s">
        <v>1013</v>
      </c>
      <c r="D2021">
        <v>7371</v>
      </c>
      <c r="E2021">
        <v>300</v>
      </c>
      <c r="F2021" t="s">
        <v>1360</v>
      </c>
      <c r="G2021" t="s">
        <v>1361</v>
      </c>
      <c r="H2021" s="315" t="s">
        <v>29</v>
      </c>
      <c r="I2021" s="315" t="s">
        <v>1359</v>
      </c>
      <c r="J2021" s="315" t="str">
        <f t="shared" si="171"/>
        <v>New VehicleOther Semi-Fixed Expenses p.u</v>
      </c>
      <c r="K2021" s="315" t="str">
        <f t="shared" si="172"/>
        <v>300NV Other Semi-Fixed expenses - Toyota</v>
      </c>
      <c r="L2021" s="311">
        <f>+SUMIF('TUNZ Extracted TB'!M:M,$P2021,'TUNZ Extracted TB'!G:G)</f>
        <v>0</v>
      </c>
      <c r="M2021" s="311"/>
      <c r="N2021" s="311">
        <f>+SUMIF('Input Sheet'!$AE:$AE,P2021,'Input Sheet'!$X:$X)</f>
        <v>0</v>
      </c>
      <c r="O2021" s="311"/>
      <c r="P2021" t="str">
        <f t="shared" si="173"/>
        <v>300-7371</v>
      </c>
      <c r="Q2021" s="315" t="str">
        <f t="shared" si="174"/>
        <v>New Vehicle</v>
      </c>
      <c r="R2021" s="315" t="str">
        <f t="shared" si="175"/>
        <v>New VehicleOther Semi-Fixed Expenses p.u</v>
      </c>
      <c r="S2021" s="199"/>
      <c r="T2021" s="199"/>
      <c r="U2021" s="199"/>
    </row>
    <row r="2022" spans="1:21" x14ac:dyDescent="0.25">
      <c r="A2022" t="s">
        <v>996</v>
      </c>
      <c r="B2022" t="s">
        <v>997</v>
      </c>
      <c r="C2022" t="s">
        <v>997</v>
      </c>
      <c r="D2022">
        <v>7370</v>
      </c>
      <c r="E2022">
        <v>936</v>
      </c>
      <c r="F2022" t="s">
        <v>1175</v>
      </c>
      <c r="G2022" t="s">
        <v>1176</v>
      </c>
      <c r="H2022" s="315" t="s">
        <v>58</v>
      </c>
      <c r="I2022" s="315" t="s">
        <v>1286</v>
      </c>
      <c r="J2022" s="315" t="str">
        <f t="shared" si="171"/>
        <v>BridgestoneOther Expenses as % of Sales</v>
      </c>
      <c r="K2022" s="315" t="str">
        <f t="shared" si="172"/>
        <v>936Other franchise/business expense</v>
      </c>
      <c r="L2022" s="311">
        <f>+SUMIF('TUNZ Extracted TB'!M:M,$P2022,'TUNZ Extracted TB'!G:G)</f>
        <v>0</v>
      </c>
      <c r="M2022" s="311"/>
      <c r="N2022" s="311">
        <f>+SUMIF('Input Sheet'!$AE:$AE,P2022,'Input Sheet'!$X:$X)</f>
        <v>0</v>
      </c>
      <c r="O2022" s="311"/>
      <c r="P2022" t="str">
        <f t="shared" si="173"/>
        <v>936-7370</v>
      </c>
      <c r="Q2022" s="315" t="str">
        <f t="shared" si="174"/>
        <v>Bridgestone</v>
      </c>
      <c r="R2022" s="315" t="str">
        <f t="shared" si="175"/>
        <v>BridgestoneOther Expenses as % of Sales</v>
      </c>
      <c r="S2022" s="199"/>
      <c r="T2022" s="199"/>
      <c r="U2022" s="199"/>
    </row>
    <row r="2023" spans="1:21" x14ac:dyDescent="0.25">
      <c r="A2023" t="s">
        <v>996</v>
      </c>
      <c r="B2023" t="s">
        <v>997</v>
      </c>
      <c r="C2023" t="s">
        <v>997</v>
      </c>
      <c r="D2023">
        <v>7370</v>
      </c>
      <c r="E2023">
        <v>935</v>
      </c>
      <c r="F2023" t="s">
        <v>1175</v>
      </c>
      <c r="G2023" t="s">
        <v>1176</v>
      </c>
      <c r="H2023" s="315" t="s">
        <v>58</v>
      </c>
      <c r="I2023" s="315" t="s">
        <v>1286</v>
      </c>
      <c r="J2023" s="315" t="str">
        <f t="shared" si="171"/>
        <v>BridgestoneOther Expenses as % of Sales</v>
      </c>
      <c r="K2023" s="315" t="str">
        <f t="shared" si="172"/>
        <v>935Other franchise/business expense</v>
      </c>
      <c r="L2023" s="311">
        <f>+SUMIF('TUNZ Extracted TB'!M:M,$P2023,'TUNZ Extracted TB'!G:G)</f>
        <v>0</v>
      </c>
      <c r="M2023" s="311"/>
      <c r="N2023" s="311">
        <f>+SUMIF('Input Sheet'!$AE:$AE,P2023,'Input Sheet'!$X:$X)</f>
        <v>0</v>
      </c>
      <c r="O2023" s="311"/>
      <c r="P2023" t="str">
        <f t="shared" si="173"/>
        <v>935-7370</v>
      </c>
      <c r="Q2023" s="315" t="str">
        <f t="shared" si="174"/>
        <v>Bridgestone</v>
      </c>
      <c r="R2023" s="315" t="str">
        <f t="shared" si="175"/>
        <v>BridgestoneOther Expenses as % of Sales</v>
      </c>
      <c r="S2023" s="199"/>
      <c r="T2023" s="199"/>
      <c r="U2023" s="199"/>
    </row>
    <row r="2024" spans="1:21" x14ac:dyDescent="0.25">
      <c r="A2024" t="s">
        <v>996</v>
      </c>
      <c r="B2024" t="s">
        <v>997</v>
      </c>
      <c r="C2024" t="s">
        <v>1005</v>
      </c>
      <c r="D2024">
        <v>7370</v>
      </c>
      <c r="E2024">
        <v>230</v>
      </c>
      <c r="F2024" t="s">
        <v>1291</v>
      </c>
      <c r="G2024" t="s">
        <v>1292</v>
      </c>
      <c r="H2024" s="315" t="s">
        <v>5</v>
      </c>
      <c r="I2024" s="315" t="s">
        <v>1286</v>
      </c>
      <c r="J2024" s="315" t="str">
        <f t="shared" si="171"/>
        <v>PartsOther Expenses as % of Sales</v>
      </c>
      <c r="K2024" s="315" t="str">
        <f t="shared" si="172"/>
        <v>230Parts Other Expenses - Toyota</v>
      </c>
      <c r="L2024" s="311">
        <f>+SUMIF('TUNZ Extracted TB'!M:M,$P2024,'TUNZ Extracted TB'!G:G)</f>
        <v>0</v>
      </c>
      <c r="M2024" s="311"/>
      <c r="N2024" s="311">
        <f>+SUMIF('Input Sheet'!$AE:$AE,P2024,'Input Sheet'!$X:$X)</f>
        <v>0</v>
      </c>
      <c r="O2024" s="311"/>
      <c r="P2024" t="str">
        <f t="shared" si="173"/>
        <v>230-7370</v>
      </c>
      <c r="Q2024" s="315" t="str">
        <f t="shared" si="174"/>
        <v>Parts</v>
      </c>
      <c r="R2024" s="315" t="str">
        <f t="shared" si="175"/>
        <v>PartsOther Expenses as % of Sales</v>
      </c>
      <c r="S2024" s="199"/>
      <c r="T2024" s="199"/>
      <c r="U2024" s="199"/>
    </row>
    <row r="2025" spans="1:21" x14ac:dyDescent="0.25">
      <c r="A2025" t="s">
        <v>996</v>
      </c>
      <c r="B2025" t="s">
        <v>997</v>
      </c>
      <c r="C2025" t="s">
        <v>1012</v>
      </c>
      <c r="D2025">
        <v>7370</v>
      </c>
      <c r="E2025">
        <v>430</v>
      </c>
      <c r="F2025" t="s">
        <v>1291</v>
      </c>
      <c r="G2025" t="s">
        <v>1292</v>
      </c>
      <c r="H2025" s="315" t="s">
        <v>5</v>
      </c>
      <c r="I2025" s="315" t="s">
        <v>1286</v>
      </c>
      <c r="J2025" s="315" t="str">
        <f t="shared" si="171"/>
        <v>PartsOther Expenses as % of Sales</v>
      </c>
      <c r="K2025" s="315" t="str">
        <f t="shared" si="172"/>
        <v>430Parts Other Expenses - Toyota</v>
      </c>
      <c r="L2025" s="311">
        <f>+SUMIF('TUNZ Extracted TB'!M:M,$P2025,'TUNZ Extracted TB'!G:G)</f>
        <v>0</v>
      </c>
      <c r="M2025" s="311"/>
      <c r="N2025" s="311">
        <f>+SUMIF('Input Sheet'!$AE:$AE,P2025,'Input Sheet'!$X:$X)</f>
        <v>0</v>
      </c>
      <c r="O2025" s="311"/>
      <c r="P2025" t="str">
        <f t="shared" si="173"/>
        <v>430-7370</v>
      </c>
      <c r="Q2025" s="315" t="str">
        <f t="shared" si="174"/>
        <v>Parts</v>
      </c>
      <c r="R2025" s="315" t="str">
        <f t="shared" si="175"/>
        <v>PartsOther Expenses as % of Sales</v>
      </c>
      <c r="S2025" s="199"/>
      <c r="T2025" s="199"/>
      <c r="U2025" s="199"/>
    </row>
    <row r="2026" spans="1:21" x14ac:dyDescent="0.25">
      <c r="A2026" t="s">
        <v>996</v>
      </c>
      <c r="B2026" t="s">
        <v>997</v>
      </c>
      <c r="C2026" t="s">
        <v>1013</v>
      </c>
      <c r="D2026">
        <v>7370</v>
      </c>
      <c r="E2026">
        <v>330</v>
      </c>
      <c r="F2026" t="s">
        <v>1291</v>
      </c>
      <c r="G2026" t="s">
        <v>1292</v>
      </c>
      <c r="H2026" s="315" t="s">
        <v>5</v>
      </c>
      <c r="I2026" s="315" t="s">
        <v>1286</v>
      </c>
      <c r="J2026" s="315" t="str">
        <f t="shared" si="171"/>
        <v>PartsOther Expenses as % of Sales</v>
      </c>
      <c r="K2026" s="315" t="str">
        <f t="shared" si="172"/>
        <v>330Parts Other Expenses - Toyota</v>
      </c>
      <c r="L2026" s="311">
        <f>+SUMIF('TUNZ Extracted TB'!M:M,$P2026,'TUNZ Extracted TB'!G:G)</f>
        <v>0</v>
      </c>
      <c r="M2026" s="311"/>
      <c r="N2026" s="311">
        <f>+SUMIF('Input Sheet'!$AE:$AE,P2026,'Input Sheet'!$X:$X)</f>
        <v>0</v>
      </c>
      <c r="O2026" s="311"/>
      <c r="P2026" t="str">
        <f t="shared" si="173"/>
        <v>330-7370</v>
      </c>
      <c r="Q2026" s="315" t="str">
        <f t="shared" si="174"/>
        <v>Parts</v>
      </c>
      <c r="R2026" s="315" t="str">
        <f t="shared" si="175"/>
        <v>PartsOther Expenses as % of Sales</v>
      </c>
      <c r="S2026" s="199"/>
      <c r="T2026" s="199"/>
      <c r="U2026" s="199"/>
    </row>
    <row r="2027" spans="1:21" x14ac:dyDescent="0.25">
      <c r="A2027" t="s">
        <v>996</v>
      </c>
      <c r="B2027" t="s">
        <v>997</v>
      </c>
      <c r="C2027" t="s">
        <v>1005</v>
      </c>
      <c r="D2027">
        <v>7370</v>
      </c>
      <c r="E2027">
        <v>240</v>
      </c>
      <c r="F2027" t="s">
        <v>1289</v>
      </c>
      <c r="G2027" t="s">
        <v>1290</v>
      </c>
      <c r="H2027" s="315" t="s">
        <v>17</v>
      </c>
      <c r="I2027" s="315" t="s">
        <v>1286</v>
      </c>
      <c r="J2027" s="315" t="str">
        <f t="shared" si="171"/>
        <v>ServiceOther Expenses as % of Sales</v>
      </c>
      <c r="K2027" s="315" t="str">
        <f t="shared" si="172"/>
        <v>240Service Other expenses - Toyota</v>
      </c>
      <c r="L2027" s="311">
        <f>+SUMIF('TUNZ Extracted TB'!M:M,$P2027,'TUNZ Extracted TB'!G:G)</f>
        <v>0</v>
      </c>
      <c r="M2027" s="311"/>
      <c r="N2027" s="311">
        <f>+SUMIF('Input Sheet'!$AE:$AE,P2027,'Input Sheet'!$X:$X)</f>
        <v>0</v>
      </c>
      <c r="O2027" s="311"/>
      <c r="P2027" t="str">
        <f t="shared" si="173"/>
        <v>240-7370</v>
      </c>
      <c r="Q2027" s="315" t="str">
        <f t="shared" si="174"/>
        <v>Service</v>
      </c>
      <c r="R2027" s="315" t="str">
        <f t="shared" si="175"/>
        <v>ServiceOther Expenses as % of Sales</v>
      </c>
      <c r="S2027" s="199"/>
      <c r="T2027" s="199"/>
      <c r="U2027" s="199"/>
    </row>
    <row r="2028" spans="1:21" x14ac:dyDescent="0.25">
      <c r="A2028" t="s">
        <v>996</v>
      </c>
      <c r="B2028" t="s">
        <v>997</v>
      </c>
      <c r="C2028" t="s">
        <v>1012</v>
      </c>
      <c r="D2028">
        <v>7370</v>
      </c>
      <c r="E2028">
        <v>440</v>
      </c>
      <c r="F2028" t="s">
        <v>1289</v>
      </c>
      <c r="G2028" t="s">
        <v>1290</v>
      </c>
      <c r="H2028" s="315" t="s">
        <v>17</v>
      </c>
      <c r="I2028" s="315" t="s">
        <v>1286</v>
      </c>
      <c r="J2028" s="315" t="str">
        <f t="shared" si="171"/>
        <v>ServiceOther Expenses as % of Sales</v>
      </c>
      <c r="K2028" s="315" t="str">
        <f t="shared" si="172"/>
        <v>440Service Other expenses - Toyota</v>
      </c>
      <c r="L2028" s="311">
        <f>+SUMIF('TUNZ Extracted TB'!M:M,$P2028,'TUNZ Extracted TB'!G:G)</f>
        <v>0</v>
      </c>
      <c r="M2028" s="311"/>
      <c r="N2028" s="311">
        <f>+SUMIF('Input Sheet'!$AE:$AE,P2028,'Input Sheet'!$X:$X)</f>
        <v>0</v>
      </c>
      <c r="O2028" s="311"/>
      <c r="P2028" t="str">
        <f t="shared" si="173"/>
        <v>440-7370</v>
      </c>
      <c r="Q2028" s="315" t="str">
        <f t="shared" si="174"/>
        <v>Service</v>
      </c>
      <c r="R2028" s="315" t="str">
        <f t="shared" si="175"/>
        <v>ServiceOther Expenses as % of Sales</v>
      </c>
      <c r="S2028" s="199"/>
      <c r="T2028" s="199"/>
      <c r="U2028" s="199"/>
    </row>
    <row r="2029" spans="1:21" x14ac:dyDescent="0.25">
      <c r="A2029" t="s">
        <v>996</v>
      </c>
      <c r="B2029" t="s">
        <v>997</v>
      </c>
      <c r="C2029" t="s">
        <v>1013</v>
      </c>
      <c r="D2029">
        <v>7370</v>
      </c>
      <c r="E2029">
        <v>340</v>
      </c>
      <c r="F2029" t="s">
        <v>1289</v>
      </c>
      <c r="G2029" t="s">
        <v>1290</v>
      </c>
      <c r="H2029" s="315" t="s">
        <v>17</v>
      </c>
      <c r="I2029" s="315" t="s">
        <v>1286</v>
      </c>
      <c r="J2029" s="315" t="str">
        <f t="shared" si="171"/>
        <v>ServiceOther Expenses as % of Sales</v>
      </c>
      <c r="K2029" s="315" t="str">
        <f t="shared" si="172"/>
        <v>340Service Other expenses - Toyota</v>
      </c>
      <c r="L2029" s="311">
        <f>+SUMIF('TUNZ Extracted TB'!M:M,$P2029,'TUNZ Extracted TB'!G:G)</f>
        <v>0</v>
      </c>
      <c r="M2029" s="311"/>
      <c r="N2029" s="311">
        <f>+SUMIF('Input Sheet'!$AE:$AE,P2029,'Input Sheet'!$X:$X)</f>
        <v>0</v>
      </c>
      <c r="O2029" s="311"/>
      <c r="P2029" t="str">
        <f t="shared" si="173"/>
        <v>340-7370</v>
      </c>
      <c r="Q2029" s="315" t="str">
        <f t="shared" si="174"/>
        <v>Service</v>
      </c>
      <c r="R2029" s="315" t="str">
        <f t="shared" si="175"/>
        <v>ServiceOther Expenses as % of Sales</v>
      </c>
      <c r="S2029" s="199"/>
      <c r="T2029" s="199"/>
      <c r="U2029" s="199"/>
    </row>
    <row r="2030" spans="1:21" x14ac:dyDescent="0.25">
      <c r="A2030" t="s">
        <v>996</v>
      </c>
      <c r="B2030" t="s">
        <v>997</v>
      </c>
      <c r="C2030" t="s">
        <v>997</v>
      </c>
      <c r="D2030">
        <v>7370</v>
      </c>
      <c r="E2030">
        <v>147</v>
      </c>
      <c r="F2030" t="s">
        <v>1289</v>
      </c>
      <c r="G2030" t="s">
        <v>1290</v>
      </c>
      <c r="H2030" s="315" t="s">
        <v>17</v>
      </c>
      <c r="I2030" s="315" t="s">
        <v>1286</v>
      </c>
      <c r="J2030" s="315" t="str">
        <f t="shared" si="171"/>
        <v>ServiceOther Expenses as % of Sales</v>
      </c>
      <c r="K2030" s="315" t="str">
        <f t="shared" si="172"/>
        <v>147Service Other expenses - Toyota</v>
      </c>
      <c r="L2030" s="311">
        <f>+SUMIF('TUNZ Extracted TB'!M:M,$P2030,'TUNZ Extracted TB'!G:G)</f>
        <v>0</v>
      </c>
      <c r="M2030" s="311"/>
      <c r="N2030" s="311">
        <f>+SUMIF('Input Sheet'!$AE:$AE,P2030,'Input Sheet'!$X:$X)</f>
        <v>0</v>
      </c>
      <c r="O2030" s="311"/>
      <c r="P2030" t="str">
        <f t="shared" si="173"/>
        <v>147-7370</v>
      </c>
      <c r="Q2030" s="315" t="str">
        <f t="shared" si="174"/>
        <v>Service</v>
      </c>
      <c r="R2030" s="315" t="str">
        <f t="shared" si="175"/>
        <v>ServiceOther Expenses as % of Sales</v>
      </c>
      <c r="S2030" s="199"/>
      <c r="T2030" s="199"/>
      <c r="U2030" s="199"/>
    </row>
    <row r="2031" spans="1:21" x14ac:dyDescent="0.25">
      <c r="A2031" t="s">
        <v>996</v>
      </c>
      <c r="B2031" t="s">
        <v>997</v>
      </c>
      <c r="C2031" t="s">
        <v>1005</v>
      </c>
      <c r="D2031">
        <v>7370</v>
      </c>
      <c r="E2031">
        <v>210</v>
      </c>
      <c r="F2031" t="s">
        <v>1328</v>
      </c>
      <c r="G2031" t="s">
        <v>1329</v>
      </c>
      <c r="H2031" s="315" t="s">
        <v>30</v>
      </c>
      <c r="I2031" s="315" t="s">
        <v>1327</v>
      </c>
      <c r="J2031" s="315" t="str">
        <f t="shared" si="171"/>
        <v>Used VehicleOther Semi-Fixed expenses per retail</v>
      </c>
      <c r="K2031" s="315" t="str">
        <f t="shared" si="172"/>
        <v>210Toyota UV Other Semi-Fixed expenses</v>
      </c>
      <c r="L2031" s="311">
        <f>+SUMIF('TUNZ Extracted TB'!M:M,$P2031,'TUNZ Extracted TB'!G:G)</f>
        <v>0</v>
      </c>
      <c r="M2031" s="311"/>
      <c r="N2031" s="311">
        <f>+SUMIF('Input Sheet'!$AE:$AE,P2031,'Input Sheet'!$X:$X)</f>
        <v>0</v>
      </c>
      <c r="O2031" s="311"/>
      <c r="P2031" t="str">
        <f t="shared" si="173"/>
        <v>210-7370</v>
      </c>
      <c r="Q2031" s="315" t="str">
        <f t="shared" si="174"/>
        <v>Used Vehicle</v>
      </c>
      <c r="R2031" s="315" t="str">
        <f t="shared" si="175"/>
        <v>Used VehicleOther Semi-Fixed expenses per retail</v>
      </c>
      <c r="S2031" s="199"/>
      <c r="T2031" s="199"/>
      <c r="U2031" s="199"/>
    </row>
    <row r="2032" spans="1:21" x14ac:dyDescent="0.25">
      <c r="A2032" t="s">
        <v>996</v>
      </c>
      <c r="B2032" t="s">
        <v>997</v>
      </c>
      <c r="C2032" t="s">
        <v>1005</v>
      </c>
      <c r="D2032">
        <v>7370</v>
      </c>
      <c r="E2032">
        <v>220</v>
      </c>
      <c r="F2032" t="s">
        <v>1328</v>
      </c>
      <c r="G2032" t="s">
        <v>1329</v>
      </c>
      <c r="H2032" s="315" t="s">
        <v>30</v>
      </c>
      <c r="I2032" s="315" t="s">
        <v>1327</v>
      </c>
      <c r="J2032" s="315" t="str">
        <f t="shared" si="171"/>
        <v>Used VehicleOther Semi-Fixed expenses per retail</v>
      </c>
      <c r="K2032" s="315" t="str">
        <f t="shared" si="172"/>
        <v>220Toyota UV Other Semi-Fixed expenses</v>
      </c>
      <c r="L2032" s="311">
        <f>+SUMIF('TUNZ Extracted TB'!M:M,$P2032,'TUNZ Extracted TB'!G:G)</f>
        <v>0</v>
      </c>
      <c r="M2032" s="311"/>
      <c r="N2032" s="311">
        <f>+SUMIF('Input Sheet'!$AE:$AE,P2032,'Input Sheet'!$X:$X)</f>
        <v>0</v>
      </c>
      <c r="O2032" s="311"/>
      <c r="P2032" t="str">
        <f t="shared" si="173"/>
        <v>220-7370</v>
      </c>
      <c r="Q2032" s="315" t="str">
        <f t="shared" si="174"/>
        <v>Used Vehicle</v>
      </c>
      <c r="R2032" s="315" t="str">
        <f t="shared" si="175"/>
        <v>Used VehicleOther Semi-Fixed expenses per retail</v>
      </c>
      <c r="S2032" s="199"/>
      <c r="T2032" s="199"/>
      <c r="U2032" s="199"/>
    </row>
    <row r="2033" spans="1:21" x14ac:dyDescent="0.25">
      <c r="A2033" t="s">
        <v>996</v>
      </c>
      <c r="B2033" t="s">
        <v>997</v>
      </c>
      <c r="C2033" t="s">
        <v>1005</v>
      </c>
      <c r="D2033">
        <v>7370</v>
      </c>
      <c r="E2033">
        <v>221</v>
      </c>
      <c r="F2033" t="s">
        <v>1328</v>
      </c>
      <c r="G2033" t="s">
        <v>1329</v>
      </c>
      <c r="H2033" s="315" t="s">
        <v>30</v>
      </c>
      <c r="I2033" s="315" t="s">
        <v>1327</v>
      </c>
      <c r="J2033" s="315" t="str">
        <f t="shared" si="171"/>
        <v>Used VehicleOther Semi-Fixed expenses per retail</v>
      </c>
      <c r="K2033" s="315" t="str">
        <f t="shared" si="172"/>
        <v>221Toyota UV Other Semi-Fixed expenses</v>
      </c>
      <c r="L2033" s="311">
        <f>+SUMIF('TUNZ Extracted TB'!M:M,$P2033,'TUNZ Extracted TB'!G:G)</f>
        <v>0</v>
      </c>
      <c r="M2033" s="311"/>
      <c r="N2033" s="311">
        <f>+SUMIF('Input Sheet'!$AE:$AE,P2033,'Input Sheet'!$X:$X)</f>
        <v>0</v>
      </c>
      <c r="O2033" s="311"/>
      <c r="P2033" t="str">
        <f t="shared" si="173"/>
        <v>221-7370</v>
      </c>
      <c r="Q2033" s="315" t="str">
        <f t="shared" si="174"/>
        <v>Used Vehicle</v>
      </c>
      <c r="R2033" s="315" t="str">
        <f t="shared" si="175"/>
        <v>Used VehicleOther Semi-Fixed expenses per retail</v>
      </c>
      <c r="S2033" s="199"/>
      <c r="T2033" s="199"/>
      <c r="U2033" s="199"/>
    </row>
    <row r="2034" spans="1:21" x14ac:dyDescent="0.25">
      <c r="A2034" t="s">
        <v>996</v>
      </c>
      <c r="B2034" t="s">
        <v>997</v>
      </c>
      <c r="C2034" t="s">
        <v>1012</v>
      </c>
      <c r="D2034">
        <v>7370</v>
      </c>
      <c r="E2034">
        <v>410</v>
      </c>
      <c r="F2034" t="s">
        <v>1328</v>
      </c>
      <c r="G2034" t="s">
        <v>1329</v>
      </c>
      <c r="H2034" s="315" t="s">
        <v>30</v>
      </c>
      <c r="I2034" s="315" t="s">
        <v>1327</v>
      </c>
      <c r="J2034" s="315" t="str">
        <f t="shared" si="171"/>
        <v>Used VehicleOther Semi-Fixed expenses per retail</v>
      </c>
      <c r="K2034" s="315" t="str">
        <f t="shared" si="172"/>
        <v>410Toyota UV Other Semi-Fixed expenses</v>
      </c>
      <c r="L2034" s="311">
        <f>+SUMIF('TUNZ Extracted TB'!M:M,$P2034,'TUNZ Extracted TB'!G:G)</f>
        <v>0</v>
      </c>
      <c r="M2034" s="311"/>
      <c r="N2034" s="311">
        <f>+SUMIF('Input Sheet'!$AE:$AE,P2034,'Input Sheet'!$X:$X)</f>
        <v>0</v>
      </c>
      <c r="O2034" s="311"/>
      <c r="P2034" t="str">
        <f t="shared" si="173"/>
        <v>410-7370</v>
      </c>
      <c r="Q2034" s="315" t="str">
        <f t="shared" si="174"/>
        <v>Used Vehicle</v>
      </c>
      <c r="R2034" s="315" t="str">
        <f t="shared" si="175"/>
        <v>Used VehicleOther Semi-Fixed expenses per retail</v>
      </c>
      <c r="S2034" s="199"/>
      <c r="T2034" s="199"/>
      <c r="U2034" s="199"/>
    </row>
    <row r="2035" spans="1:21" x14ac:dyDescent="0.25">
      <c r="A2035" t="s">
        <v>996</v>
      </c>
      <c r="B2035" t="s">
        <v>997</v>
      </c>
      <c r="C2035" t="s">
        <v>1012</v>
      </c>
      <c r="D2035">
        <v>7370</v>
      </c>
      <c r="E2035">
        <v>420</v>
      </c>
      <c r="F2035" t="s">
        <v>1328</v>
      </c>
      <c r="G2035" t="s">
        <v>1329</v>
      </c>
      <c r="H2035" s="315" t="s">
        <v>30</v>
      </c>
      <c r="I2035" s="315" t="s">
        <v>1327</v>
      </c>
      <c r="J2035" s="315" t="str">
        <f t="shared" si="171"/>
        <v>Used VehicleOther Semi-Fixed expenses per retail</v>
      </c>
      <c r="K2035" s="315" t="str">
        <f t="shared" si="172"/>
        <v>420Toyota UV Other Semi-Fixed expenses</v>
      </c>
      <c r="L2035" s="311">
        <f>+SUMIF('TUNZ Extracted TB'!M:M,$P2035,'TUNZ Extracted TB'!G:G)</f>
        <v>0</v>
      </c>
      <c r="M2035" s="311"/>
      <c r="N2035" s="311">
        <f>+SUMIF('Input Sheet'!$AE:$AE,P2035,'Input Sheet'!$X:$X)</f>
        <v>0</v>
      </c>
      <c r="O2035" s="311"/>
      <c r="P2035" t="str">
        <f t="shared" si="173"/>
        <v>420-7370</v>
      </c>
      <c r="Q2035" s="315" t="str">
        <f t="shared" si="174"/>
        <v>Used Vehicle</v>
      </c>
      <c r="R2035" s="315" t="str">
        <f t="shared" si="175"/>
        <v>Used VehicleOther Semi-Fixed expenses per retail</v>
      </c>
      <c r="S2035" s="199"/>
      <c r="T2035" s="199"/>
      <c r="U2035" s="199"/>
    </row>
    <row r="2036" spans="1:21" x14ac:dyDescent="0.25">
      <c r="A2036" t="s">
        <v>996</v>
      </c>
      <c r="B2036" t="s">
        <v>997</v>
      </c>
      <c r="C2036" t="s">
        <v>1012</v>
      </c>
      <c r="D2036">
        <v>7370</v>
      </c>
      <c r="E2036">
        <v>421</v>
      </c>
      <c r="F2036" t="s">
        <v>1328</v>
      </c>
      <c r="G2036" t="s">
        <v>1329</v>
      </c>
      <c r="H2036" s="315" t="s">
        <v>30</v>
      </c>
      <c r="I2036" s="315" t="s">
        <v>1327</v>
      </c>
      <c r="J2036" s="315" t="str">
        <f t="shared" si="171"/>
        <v>Used VehicleOther Semi-Fixed expenses per retail</v>
      </c>
      <c r="K2036" s="315" t="str">
        <f t="shared" si="172"/>
        <v>421Toyota UV Other Semi-Fixed expenses</v>
      </c>
      <c r="L2036" s="311">
        <f>+SUMIF('TUNZ Extracted TB'!M:M,$P2036,'TUNZ Extracted TB'!G:G)</f>
        <v>0</v>
      </c>
      <c r="M2036" s="311"/>
      <c r="N2036" s="311">
        <f>+SUMIF('Input Sheet'!$AE:$AE,P2036,'Input Sheet'!$X:$X)</f>
        <v>0</v>
      </c>
      <c r="O2036" s="311"/>
      <c r="P2036" t="str">
        <f t="shared" si="173"/>
        <v>421-7370</v>
      </c>
      <c r="Q2036" s="315" t="str">
        <f t="shared" si="174"/>
        <v>Used Vehicle</v>
      </c>
      <c r="R2036" s="315" t="str">
        <f t="shared" si="175"/>
        <v>Used VehicleOther Semi-Fixed expenses per retail</v>
      </c>
      <c r="S2036" s="199"/>
      <c r="T2036" s="199"/>
      <c r="U2036" s="199"/>
    </row>
    <row r="2037" spans="1:21" x14ac:dyDescent="0.25">
      <c r="A2037" t="s">
        <v>996</v>
      </c>
      <c r="B2037" t="s">
        <v>997</v>
      </c>
      <c r="C2037" t="s">
        <v>1013</v>
      </c>
      <c r="D2037">
        <v>7370</v>
      </c>
      <c r="E2037">
        <v>310</v>
      </c>
      <c r="F2037" t="s">
        <v>1328</v>
      </c>
      <c r="G2037" t="s">
        <v>1329</v>
      </c>
      <c r="H2037" s="315" t="s">
        <v>30</v>
      </c>
      <c r="I2037" s="315" t="s">
        <v>1327</v>
      </c>
      <c r="J2037" s="315" t="str">
        <f t="shared" si="171"/>
        <v>Used VehicleOther Semi-Fixed expenses per retail</v>
      </c>
      <c r="K2037" s="315" t="str">
        <f t="shared" si="172"/>
        <v>310Toyota UV Other Semi-Fixed expenses</v>
      </c>
      <c r="L2037" s="311">
        <f>+SUMIF('TUNZ Extracted TB'!M:M,$P2037,'TUNZ Extracted TB'!G:G)</f>
        <v>0</v>
      </c>
      <c r="M2037" s="311"/>
      <c r="N2037" s="311">
        <f>+SUMIF('Input Sheet'!$AE:$AE,P2037,'Input Sheet'!$X:$X)</f>
        <v>0</v>
      </c>
      <c r="O2037" s="311"/>
      <c r="P2037" t="str">
        <f t="shared" si="173"/>
        <v>310-7370</v>
      </c>
      <c r="Q2037" s="315" t="str">
        <f t="shared" si="174"/>
        <v>Used Vehicle</v>
      </c>
      <c r="R2037" s="315" t="str">
        <f t="shared" si="175"/>
        <v>Used VehicleOther Semi-Fixed expenses per retail</v>
      </c>
      <c r="S2037" s="199"/>
      <c r="T2037" s="199"/>
      <c r="U2037" s="199"/>
    </row>
    <row r="2038" spans="1:21" x14ac:dyDescent="0.25">
      <c r="A2038" t="s">
        <v>996</v>
      </c>
      <c r="B2038" t="s">
        <v>997</v>
      </c>
      <c r="C2038" t="s">
        <v>1013</v>
      </c>
      <c r="D2038">
        <v>7370</v>
      </c>
      <c r="E2038">
        <v>321</v>
      </c>
      <c r="F2038" t="s">
        <v>1328</v>
      </c>
      <c r="G2038" t="s">
        <v>1329</v>
      </c>
      <c r="H2038" s="315" t="s">
        <v>30</v>
      </c>
      <c r="I2038" s="315" t="s">
        <v>1327</v>
      </c>
      <c r="J2038" s="315" t="str">
        <f t="shared" si="171"/>
        <v>Used VehicleOther Semi-Fixed expenses per retail</v>
      </c>
      <c r="K2038" s="315" t="str">
        <f t="shared" si="172"/>
        <v>321Toyota UV Other Semi-Fixed expenses</v>
      </c>
      <c r="L2038" s="311">
        <f>+SUMIF('TUNZ Extracted TB'!M:M,$P2038,'TUNZ Extracted TB'!G:G)</f>
        <v>0</v>
      </c>
      <c r="M2038" s="311"/>
      <c r="N2038" s="311">
        <f>+SUMIF('Input Sheet'!$AE:$AE,P2038,'Input Sheet'!$X:$X)</f>
        <v>0</v>
      </c>
      <c r="O2038" s="311"/>
      <c r="P2038" t="str">
        <f t="shared" si="173"/>
        <v>321-7370</v>
      </c>
      <c r="Q2038" s="315" t="str">
        <f t="shared" si="174"/>
        <v>Used Vehicle</v>
      </c>
      <c r="R2038" s="315" t="str">
        <f t="shared" si="175"/>
        <v>Used VehicleOther Semi-Fixed expenses per retail</v>
      </c>
      <c r="S2038" s="199"/>
      <c r="T2038" s="199"/>
      <c r="U2038" s="199"/>
    </row>
    <row r="2039" spans="1:21" x14ac:dyDescent="0.25">
      <c r="A2039" t="s">
        <v>996</v>
      </c>
      <c r="B2039" t="s">
        <v>997</v>
      </c>
      <c r="C2039" t="s">
        <v>997</v>
      </c>
      <c r="D2039">
        <v>7370</v>
      </c>
      <c r="E2039">
        <v>120</v>
      </c>
      <c r="F2039" t="s">
        <v>1328</v>
      </c>
      <c r="G2039" t="s">
        <v>1329</v>
      </c>
      <c r="H2039" s="315" t="s">
        <v>30</v>
      </c>
      <c r="I2039" s="315" t="s">
        <v>1327</v>
      </c>
      <c r="J2039" s="315" t="str">
        <f t="shared" si="171"/>
        <v>Used VehicleOther Semi-Fixed expenses per retail</v>
      </c>
      <c r="K2039" s="315" t="str">
        <f t="shared" si="172"/>
        <v>120Toyota UV Other Semi-Fixed expenses</v>
      </c>
      <c r="L2039" s="311">
        <f>+SUMIF('TUNZ Extracted TB'!M:M,$P2039,'TUNZ Extracted TB'!G:G)</f>
        <v>0</v>
      </c>
      <c r="M2039" s="311"/>
      <c r="N2039" s="311">
        <f>+SUMIF('Input Sheet'!$AE:$AE,P2039,'Input Sheet'!$X:$X)</f>
        <v>0</v>
      </c>
      <c r="O2039" s="311"/>
      <c r="P2039" t="str">
        <f t="shared" si="173"/>
        <v>120-7370</v>
      </c>
      <c r="Q2039" s="315" t="str">
        <f t="shared" si="174"/>
        <v>Used Vehicle</v>
      </c>
      <c r="R2039" s="315" t="str">
        <f t="shared" si="175"/>
        <v>Used VehicleOther Semi-Fixed expenses per retail</v>
      </c>
      <c r="S2039" s="199"/>
      <c r="T2039" s="199"/>
      <c r="U2039" s="199"/>
    </row>
    <row r="2040" spans="1:21" x14ac:dyDescent="0.25">
      <c r="A2040" t="s">
        <v>996</v>
      </c>
      <c r="B2040" t="s">
        <v>997</v>
      </c>
      <c r="C2040" t="s">
        <v>997</v>
      </c>
      <c r="D2040">
        <v>7370</v>
      </c>
      <c r="E2040">
        <v>121</v>
      </c>
      <c r="F2040" t="s">
        <v>1328</v>
      </c>
      <c r="G2040" t="s">
        <v>1329</v>
      </c>
      <c r="H2040" s="315" t="s">
        <v>30</v>
      </c>
      <c r="I2040" s="315" t="s">
        <v>1327</v>
      </c>
      <c r="J2040" s="315" t="str">
        <f t="shared" si="171"/>
        <v>Used VehicleOther Semi-Fixed expenses per retail</v>
      </c>
      <c r="K2040" s="315" t="str">
        <f t="shared" si="172"/>
        <v>121Toyota UV Other Semi-Fixed expenses</v>
      </c>
      <c r="L2040" s="311">
        <f>+SUMIF('TUNZ Extracted TB'!M:M,$P2040,'TUNZ Extracted TB'!G:G)</f>
        <v>0</v>
      </c>
      <c r="M2040" s="311"/>
      <c r="N2040" s="311">
        <f>+SUMIF('Input Sheet'!$AE:$AE,P2040,'Input Sheet'!$X:$X)</f>
        <v>0</v>
      </c>
      <c r="O2040" s="311"/>
      <c r="P2040" t="str">
        <f t="shared" si="173"/>
        <v>121-7370</v>
      </c>
      <c r="Q2040" s="315" t="str">
        <f t="shared" si="174"/>
        <v>Used Vehicle</v>
      </c>
      <c r="R2040" s="315" t="str">
        <f t="shared" si="175"/>
        <v>Used VehicleOther Semi-Fixed expenses per retail</v>
      </c>
      <c r="S2040" s="199"/>
      <c r="T2040" s="199"/>
      <c r="U2040" s="199"/>
    </row>
    <row r="2041" spans="1:21" x14ac:dyDescent="0.25">
      <c r="A2041" t="s">
        <v>996</v>
      </c>
      <c r="B2041" t="s">
        <v>997</v>
      </c>
      <c r="C2041" t="s">
        <v>997</v>
      </c>
      <c r="D2041">
        <v>7371</v>
      </c>
      <c r="E2041">
        <v>140</v>
      </c>
      <c r="F2041" t="s">
        <v>1289</v>
      </c>
      <c r="G2041" t="s">
        <v>1290</v>
      </c>
      <c r="H2041" s="315" t="s">
        <v>17</v>
      </c>
      <c r="I2041" s="315" t="s">
        <v>1286</v>
      </c>
      <c r="J2041" s="315" t="str">
        <f t="shared" si="171"/>
        <v>ServiceOther Expenses as % of Sales</v>
      </c>
      <c r="K2041" s="315" t="str">
        <f t="shared" si="172"/>
        <v>140Service Other expenses - Toyota</v>
      </c>
      <c r="L2041" s="311">
        <f>+SUMIF('TUNZ Extracted TB'!M:M,$P2041,'TUNZ Extracted TB'!G:G)</f>
        <v>0</v>
      </c>
      <c r="M2041" s="311"/>
      <c r="N2041" s="311">
        <f>+SUMIF('Input Sheet'!$AE:$AE,P2041,'Input Sheet'!$X:$X)</f>
        <v>0</v>
      </c>
      <c r="O2041" s="311"/>
      <c r="P2041" t="str">
        <f t="shared" si="173"/>
        <v>140-7371</v>
      </c>
      <c r="Q2041" s="315" t="str">
        <f t="shared" si="174"/>
        <v>Service</v>
      </c>
      <c r="R2041" s="315" t="str">
        <f t="shared" si="175"/>
        <v>ServiceOther Expenses as % of Sales</v>
      </c>
      <c r="S2041" s="199"/>
      <c r="T2041" s="199"/>
      <c r="U2041" s="199"/>
    </row>
    <row r="2042" spans="1:21" x14ac:dyDescent="0.25">
      <c r="A2042" t="s">
        <v>996</v>
      </c>
      <c r="B2042" t="s">
        <v>997</v>
      </c>
      <c r="C2042" t="s">
        <v>997</v>
      </c>
      <c r="D2042">
        <v>7371</v>
      </c>
      <c r="E2042">
        <v>142</v>
      </c>
      <c r="F2042" t="s">
        <v>1284</v>
      </c>
      <c r="G2042" t="s">
        <v>1285</v>
      </c>
      <c r="H2042" s="315" t="s">
        <v>1022</v>
      </c>
      <c r="I2042" s="315" t="s">
        <v>1286</v>
      </c>
      <c r="J2042" s="315" t="str">
        <f t="shared" si="171"/>
        <v>Lex ServiceOther Expenses as % of Sales</v>
      </c>
      <c r="K2042" s="315" t="str">
        <f t="shared" si="172"/>
        <v>142Service Other expenses - Lexus</v>
      </c>
      <c r="L2042" s="311">
        <f>+SUMIF('TUNZ Extracted TB'!M:M,$P2042,'TUNZ Extracted TB'!G:G)</f>
        <v>0</v>
      </c>
      <c r="M2042" s="311"/>
      <c r="N2042" s="311">
        <f>+SUMIF('Input Sheet'!$AE:$AE,P2042,'Input Sheet'!$X:$X)</f>
        <v>0</v>
      </c>
      <c r="O2042" s="311"/>
      <c r="P2042" t="str">
        <f t="shared" si="173"/>
        <v>142-7371</v>
      </c>
      <c r="Q2042" s="315" t="str">
        <f t="shared" si="174"/>
        <v>Lex Service</v>
      </c>
      <c r="R2042" s="315" t="str">
        <f t="shared" si="175"/>
        <v>Lex ServiceOther Expenses as % of Sales</v>
      </c>
      <c r="S2042" s="199"/>
      <c r="T2042" s="199"/>
      <c r="U2042" s="199"/>
    </row>
    <row r="2043" spans="1:21" x14ac:dyDescent="0.25">
      <c r="A2043" t="s">
        <v>996</v>
      </c>
      <c r="B2043" t="s">
        <v>997</v>
      </c>
      <c r="C2043" t="s">
        <v>997</v>
      </c>
      <c r="D2043">
        <v>7371</v>
      </c>
      <c r="E2043">
        <v>132</v>
      </c>
      <c r="F2043" t="s">
        <v>1321</v>
      </c>
      <c r="G2043" t="s">
        <v>1322</v>
      </c>
      <c r="H2043" s="315" t="s">
        <v>143</v>
      </c>
      <c r="I2043" s="315" t="s">
        <v>1286</v>
      </c>
      <c r="J2043" s="315" t="str">
        <f t="shared" si="171"/>
        <v>LEX PartsOther Expenses as % of Sales</v>
      </c>
      <c r="K2043" s="315" t="str">
        <f t="shared" si="172"/>
        <v>132Parts Other Expenses - Lexus</v>
      </c>
      <c r="L2043" s="311">
        <f>+SUMIF('TUNZ Extracted TB'!M:M,$P2043,'TUNZ Extracted TB'!G:G)</f>
        <v>0</v>
      </c>
      <c r="M2043" s="311"/>
      <c r="N2043" s="311">
        <f>+SUMIF('Input Sheet'!$AE:$AE,P2043,'Input Sheet'!$X:$X)</f>
        <v>0</v>
      </c>
      <c r="O2043" s="311"/>
      <c r="P2043" t="str">
        <f t="shared" si="173"/>
        <v>132-7371</v>
      </c>
      <c r="Q2043" s="315" t="str">
        <f t="shared" si="174"/>
        <v>LEX Parts</v>
      </c>
      <c r="R2043" s="315" t="str">
        <f t="shared" si="175"/>
        <v>LEX PartsOther Expenses as % of Sales</v>
      </c>
      <c r="S2043" s="199"/>
      <c r="T2043" s="199"/>
      <c r="U2043" s="199"/>
    </row>
    <row r="2044" spans="1:21" x14ac:dyDescent="0.25">
      <c r="A2044" t="s">
        <v>996</v>
      </c>
      <c r="B2044" t="s">
        <v>997</v>
      </c>
      <c r="C2044" t="s">
        <v>997</v>
      </c>
      <c r="D2044">
        <v>7371</v>
      </c>
      <c r="E2044">
        <v>130</v>
      </c>
      <c r="F2044" t="s">
        <v>1291</v>
      </c>
      <c r="G2044" t="s">
        <v>1292</v>
      </c>
      <c r="H2044" s="315" t="s">
        <v>5</v>
      </c>
      <c r="I2044" s="315" t="s">
        <v>1286</v>
      </c>
      <c r="J2044" s="315" t="str">
        <f t="shared" si="171"/>
        <v>PartsOther Expenses as % of Sales</v>
      </c>
      <c r="K2044" s="315" t="str">
        <f t="shared" si="172"/>
        <v>130Parts Other Expenses - Toyota</v>
      </c>
      <c r="L2044" s="311">
        <f>+SUMIF('TUNZ Extracted TB'!M:M,$P2044,'TUNZ Extracted TB'!G:G)</f>
        <v>0</v>
      </c>
      <c r="M2044" s="311"/>
      <c r="N2044" s="311">
        <f>+SUMIF('Input Sheet'!$AE:$AE,P2044,'Input Sheet'!$X:$X)</f>
        <v>0</v>
      </c>
      <c r="O2044" s="311"/>
      <c r="P2044" t="str">
        <f t="shared" si="173"/>
        <v>130-7371</v>
      </c>
      <c r="Q2044" s="315" t="str">
        <f t="shared" si="174"/>
        <v>Parts</v>
      </c>
      <c r="R2044" s="315" t="str">
        <f t="shared" si="175"/>
        <v>PartsOther Expenses as % of Sales</v>
      </c>
      <c r="S2044" s="199"/>
      <c r="T2044" s="199"/>
      <c r="U2044" s="199"/>
    </row>
    <row r="2045" spans="1:21" x14ac:dyDescent="0.25">
      <c r="A2045" t="s">
        <v>996</v>
      </c>
      <c r="B2045" t="s">
        <v>997</v>
      </c>
      <c r="C2045" t="s">
        <v>1005</v>
      </c>
      <c r="D2045">
        <v>7385</v>
      </c>
      <c r="E2045">
        <v>210</v>
      </c>
      <c r="F2045" t="s">
        <v>1296</v>
      </c>
      <c r="G2045" t="s">
        <v>1297</v>
      </c>
      <c r="H2045" s="315" t="s">
        <v>29</v>
      </c>
      <c r="I2045" s="315" t="s">
        <v>1298</v>
      </c>
      <c r="J2045" s="315" t="str">
        <f t="shared" si="171"/>
        <v>New VehicleAdvertising p.u.</v>
      </c>
      <c r="K2045" s="315" t="str">
        <f t="shared" si="172"/>
        <v>210NV Advertising &amp; Promotion - Toyota</v>
      </c>
      <c r="L2045" s="311">
        <f>+SUMIF('TUNZ Extracted TB'!M:M,$P2045,'TUNZ Extracted TB'!G:G)</f>
        <v>0</v>
      </c>
      <c r="M2045" s="311"/>
      <c r="N2045" s="311">
        <f>+SUMIF('Input Sheet'!$AE:$AE,P2045,'Input Sheet'!$X:$X)</f>
        <v>0</v>
      </c>
      <c r="O2045" s="311"/>
      <c r="P2045" t="str">
        <f t="shared" si="173"/>
        <v>210-7385</v>
      </c>
      <c r="Q2045" s="315" t="str">
        <f t="shared" si="174"/>
        <v>New Vehicle</v>
      </c>
      <c r="R2045" s="315" t="str">
        <f t="shared" si="175"/>
        <v>New VehicleAdvertising p.u.</v>
      </c>
      <c r="S2045" s="199"/>
      <c r="T2045" s="199"/>
      <c r="U2045" s="199"/>
    </row>
    <row r="2046" spans="1:21" x14ac:dyDescent="0.25">
      <c r="A2046" t="s">
        <v>996</v>
      </c>
      <c r="B2046" t="s">
        <v>997</v>
      </c>
      <c r="C2046" t="s">
        <v>997</v>
      </c>
      <c r="D2046">
        <v>7385</v>
      </c>
      <c r="E2046">
        <v>100</v>
      </c>
      <c r="F2046" t="s">
        <v>1296</v>
      </c>
      <c r="G2046" t="s">
        <v>1297</v>
      </c>
      <c r="H2046" s="315" t="s">
        <v>29</v>
      </c>
      <c r="I2046" s="315" t="s">
        <v>1298</v>
      </c>
      <c r="J2046" s="315" t="str">
        <f t="shared" si="171"/>
        <v>New VehicleAdvertising p.u.</v>
      </c>
      <c r="K2046" s="315" t="str">
        <f t="shared" si="172"/>
        <v>100NV Advertising &amp; Promotion - Toyota</v>
      </c>
      <c r="L2046" s="311">
        <f>+SUMIF('TUNZ Extracted TB'!M:M,$P2046,'TUNZ Extracted TB'!G:G)</f>
        <v>0</v>
      </c>
      <c r="M2046" s="311"/>
      <c r="N2046" s="311">
        <f>+SUMIF('Input Sheet'!$AE:$AE,P2046,'Input Sheet'!$X:$X)</f>
        <v>0</v>
      </c>
      <c r="O2046" s="311"/>
      <c r="P2046" t="str">
        <f t="shared" si="173"/>
        <v>100-7385</v>
      </c>
      <c r="Q2046" s="315" t="str">
        <f t="shared" si="174"/>
        <v>New Vehicle</v>
      </c>
      <c r="R2046" s="315" t="str">
        <f t="shared" si="175"/>
        <v>New VehicleAdvertising p.u.</v>
      </c>
      <c r="S2046" s="199"/>
      <c r="T2046" s="199"/>
      <c r="U2046" s="199"/>
    </row>
    <row r="2047" spans="1:21" x14ac:dyDescent="0.25">
      <c r="A2047" t="s">
        <v>996</v>
      </c>
      <c r="B2047" t="s">
        <v>997</v>
      </c>
      <c r="C2047" t="s">
        <v>997</v>
      </c>
      <c r="D2047">
        <v>7371</v>
      </c>
      <c r="E2047">
        <v>110</v>
      </c>
      <c r="F2047" t="s">
        <v>1328</v>
      </c>
      <c r="G2047" t="s">
        <v>1329</v>
      </c>
      <c r="H2047" s="315" t="s">
        <v>30</v>
      </c>
      <c r="I2047" s="315" t="s">
        <v>1327</v>
      </c>
      <c r="J2047" s="315" t="str">
        <f t="shared" si="171"/>
        <v>Used VehicleOther Semi-Fixed expenses per retail</v>
      </c>
      <c r="K2047" s="315" t="str">
        <f t="shared" si="172"/>
        <v>110Toyota UV Other Semi-Fixed expenses</v>
      </c>
      <c r="L2047" s="311">
        <f>+SUMIF('TUNZ Extracted TB'!M:M,$P2047,'TUNZ Extracted TB'!G:G)</f>
        <v>0</v>
      </c>
      <c r="M2047" s="311"/>
      <c r="N2047" s="311">
        <f>+SUMIF('Input Sheet'!$AE:$AE,P2047,'Input Sheet'!$X:$X)</f>
        <v>0</v>
      </c>
      <c r="O2047" s="311"/>
      <c r="P2047" t="str">
        <f t="shared" si="173"/>
        <v>110-7371</v>
      </c>
      <c r="Q2047" s="315" t="str">
        <f t="shared" si="174"/>
        <v>Used Vehicle</v>
      </c>
      <c r="R2047" s="315" t="str">
        <f t="shared" si="175"/>
        <v>Used VehicleOther Semi-Fixed expenses per retail</v>
      </c>
      <c r="S2047" s="199"/>
      <c r="T2047" s="199"/>
      <c r="U2047" s="199"/>
    </row>
    <row r="2048" spans="1:21" x14ac:dyDescent="0.25">
      <c r="A2048" t="s">
        <v>996</v>
      </c>
      <c r="B2048" t="s">
        <v>997</v>
      </c>
      <c r="C2048" t="s">
        <v>997</v>
      </c>
      <c r="D2048">
        <v>7371</v>
      </c>
      <c r="E2048">
        <v>162</v>
      </c>
      <c r="F2048" t="s">
        <v>1323</v>
      </c>
      <c r="G2048" t="s">
        <v>1324</v>
      </c>
      <c r="H2048" s="315" t="s">
        <v>142</v>
      </c>
      <c r="I2048" s="315" t="s">
        <v>1295</v>
      </c>
      <c r="J2048" s="315" t="str">
        <f t="shared" si="171"/>
        <v>LEX F&amp;IOther Expenses per vehicle retailed</v>
      </c>
      <c r="K2048" s="315" t="str">
        <f t="shared" si="172"/>
        <v>162F&amp;I Other expenses - Lexus</v>
      </c>
      <c r="L2048" s="311">
        <f>+SUMIF('TUNZ Extracted TB'!M:M,$P2048,'TUNZ Extracted TB'!G:G)</f>
        <v>0</v>
      </c>
      <c r="M2048" s="311"/>
      <c r="N2048" s="311">
        <f>+SUMIF('Input Sheet'!$AE:$AE,P2048,'Input Sheet'!$X:$X)</f>
        <v>0</v>
      </c>
      <c r="O2048" s="311"/>
      <c r="P2048" t="str">
        <f t="shared" si="173"/>
        <v>162-7371</v>
      </c>
      <c r="Q2048" s="315" t="str">
        <f t="shared" si="174"/>
        <v>LEX F&amp;I</v>
      </c>
      <c r="R2048" s="315" t="str">
        <f t="shared" si="175"/>
        <v>LEX F&amp;IOther Expenses per vehicle retailed</v>
      </c>
      <c r="S2048" s="199"/>
      <c r="T2048" s="199"/>
      <c r="U2048" s="199"/>
    </row>
    <row r="2049" spans="1:21" x14ac:dyDescent="0.25">
      <c r="A2049" t="s">
        <v>996</v>
      </c>
      <c r="B2049" t="s">
        <v>997</v>
      </c>
      <c r="C2049" t="s">
        <v>1005</v>
      </c>
      <c r="D2049">
        <v>7371</v>
      </c>
      <c r="E2049">
        <v>260</v>
      </c>
      <c r="F2049" t="s">
        <v>1293</v>
      </c>
      <c r="G2049" t="s">
        <v>1294</v>
      </c>
      <c r="H2049" s="315" t="s">
        <v>16</v>
      </c>
      <c r="I2049" s="315" t="s">
        <v>1295</v>
      </c>
      <c r="J2049" s="315" t="str">
        <f t="shared" si="171"/>
        <v>F&amp;IOther Expenses per vehicle retailed</v>
      </c>
      <c r="K2049" s="315" t="str">
        <f t="shared" si="172"/>
        <v>260F&amp;I Other expenses - Toyota</v>
      </c>
      <c r="L2049" s="311">
        <f>+SUMIF('TUNZ Extracted TB'!M:M,$P2049,'TUNZ Extracted TB'!G:G)</f>
        <v>0</v>
      </c>
      <c r="M2049" s="311"/>
      <c r="N2049" s="311">
        <f>+SUMIF('Input Sheet'!$AE:$AE,P2049,'Input Sheet'!$X:$X)</f>
        <v>0</v>
      </c>
      <c r="O2049" s="311"/>
      <c r="P2049" t="str">
        <f t="shared" si="173"/>
        <v>260-7371</v>
      </c>
      <c r="Q2049" s="315" t="str">
        <f t="shared" si="174"/>
        <v>F&amp;I</v>
      </c>
      <c r="R2049" s="315" t="str">
        <f t="shared" si="175"/>
        <v>F&amp;IOther Expenses per vehicle retailed</v>
      </c>
      <c r="S2049" s="199"/>
      <c r="T2049" s="199"/>
      <c r="U2049" s="199"/>
    </row>
    <row r="2050" spans="1:21" x14ac:dyDescent="0.25">
      <c r="A2050" t="s">
        <v>996</v>
      </c>
      <c r="B2050" t="s">
        <v>997</v>
      </c>
      <c r="C2050" t="s">
        <v>1012</v>
      </c>
      <c r="D2050">
        <v>7371</v>
      </c>
      <c r="E2050">
        <v>460</v>
      </c>
      <c r="F2050" t="s">
        <v>1293</v>
      </c>
      <c r="G2050" t="s">
        <v>1294</v>
      </c>
      <c r="H2050" s="315" t="s">
        <v>16</v>
      </c>
      <c r="I2050" s="315" t="s">
        <v>1295</v>
      </c>
      <c r="J2050" s="315" t="str">
        <f t="shared" si="171"/>
        <v>F&amp;IOther Expenses per vehicle retailed</v>
      </c>
      <c r="K2050" s="315" t="str">
        <f t="shared" si="172"/>
        <v>460F&amp;I Other expenses - Toyota</v>
      </c>
      <c r="L2050" s="311">
        <f>+SUMIF('TUNZ Extracted TB'!M:M,$P2050,'TUNZ Extracted TB'!G:G)</f>
        <v>0</v>
      </c>
      <c r="M2050" s="311"/>
      <c r="N2050" s="311">
        <f>+SUMIF('Input Sheet'!$AE:$AE,P2050,'Input Sheet'!$X:$X)</f>
        <v>0</v>
      </c>
      <c r="O2050" s="311"/>
      <c r="P2050" t="str">
        <f t="shared" si="173"/>
        <v>460-7371</v>
      </c>
      <c r="Q2050" s="315" t="str">
        <f t="shared" si="174"/>
        <v>F&amp;I</v>
      </c>
      <c r="R2050" s="315" t="str">
        <f t="shared" si="175"/>
        <v>F&amp;IOther Expenses per vehicle retailed</v>
      </c>
      <c r="S2050" s="199"/>
      <c r="T2050" s="199"/>
      <c r="U2050" s="199"/>
    </row>
    <row r="2051" spans="1:21" x14ac:dyDescent="0.25">
      <c r="A2051" t="s">
        <v>996</v>
      </c>
      <c r="B2051" t="s">
        <v>997</v>
      </c>
      <c r="C2051" t="s">
        <v>1013</v>
      </c>
      <c r="D2051">
        <v>7371</v>
      </c>
      <c r="E2051">
        <v>360</v>
      </c>
      <c r="F2051" t="s">
        <v>1293</v>
      </c>
      <c r="G2051" t="s">
        <v>1294</v>
      </c>
      <c r="H2051" s="315" t="s">
        <v>16</v>
      </c>
      <c r="I2051" s="315" t="s">
        <v>1295</v>
      </c>
      <c r="J2051" s="315" t="str">
        <f t="shared" ref="J2051:J2114" si="176">+H2051&amp;I2051</f>
        <v>F&amp;IOther Expenses per vehicle retailed</v>
      </c>
      <c r="K2051" s="315" t="str">
        <f t="shared" ref="K2051:K2114" si="177">+E2051&amp;G2051</f>
        <v>360F&amp;I Other expenses - Toyota</v>
      </c>
      <c r="L2051" s="311">
        <f>+SUMIF('TUNZ Extracted TB'!M:M,$P2051,'TUNZ Extracted TB'!G:G)</f>
        <v>0</v>
      </c>
      <c r="M2051" s="311"/>
      <c r="N2051" s="311">
        <f>+SUMIF('Input Sheet'!$AE:$AE,P2051,'Input Sheet'!$X:$X)</f>
        <v>0</v>
      </c>
      <c r="O2051" s="311"/>
      <c r="P2051" t="str">
        <f t="shared" ref="P2051:P2114" si="178">+E2051&amp;"-"&amp;D2051</f>
        <v>360-7371</v>
      </c>
      <c r="Q2051" s="315" t="str">
        <f t="shared" ref="Q2051:Q2114" si="179">H2051</f>
        <v>F&amp;I</v>
      </c>
      <c r="R2051" s="315" t="str">
        <f t="shared" ref="R2051:R2114" si="180">J2051</f>
        <v>F&amp;IOther Expenses per vehicle retailed</v>
      </c>
      <c r="S2051" s="199"/>
      <c r="T2051" s="199"/>
      <c r="U2051" s="199"/>
    </row>
    <row r="2052" spans="1:21" x14ac:dyDescent="0.25">
      <c r="A2052" t="s">
        <v>996</v>
      </c>
      <c r="B2052" t="s">
        <v>997</v>
      </c>
      <c r="C2052" t="s">
        <v>997</v>
      </c>
      <c r="D2052">
        <v>7371</v>
      </c>
      <c r="E2052">
        <v>160</v>
      </c>
      <c r="F2052" t="s">
        <v>1293</v>
      </c>
      <c r="G2052" t="s">
        <v>1294</v>
      </c>
      <c r="H2052" s="315" t="s">
        <v>16</v>
      </c>
      <c r="I2052" s="315" t="s">
        <v>1295</v>
      </c>
      <c r="J2052" s="315" t="str">
        <f t="shared" si="176"/>
        <v>F&amp;IOther Expenses per vehicle retailed</v>
      </c>
      <c r="K2052" s="315" t="str">
        <f t="shared" si="177"/>
        <v>160F&amp;I Other expenses - Toyota</v>
      </c>
      <c r="L2052" s="311">
        <f>+SUMIF('TUNZ Extracted TB'!M:M,$P2052,'TUNZ Extracted TB'!G:G)</f>
        <v>0</v>
      </c>
      <c r="M2052" s="311"/>
      <c r="N2052" s="311">
        <f>+SUMIF('Input Sheet'!$AE:$AE,P2052,'Input Sheet'!$X:$X)</f>
        <v>0</v>
      </c>
      <c r="O2052" s="311"/>
      <c r="P2052" t="str">
        <f t="shared" si="178"/>
        <v>160-7371</v>
      </c>
      <c r="Q2052" s="315" t="str">
        <f t="shared" si="179"/>
        <v>F&amp;I</v>
      </c>
      <c r="R2052" s="315" t="str">
        <f t="shared" si="180"/>
        <v>F&amp;IOther Expenses per vehicle retailed</v>
      </c>
      <c r="S2052" s="199"/>
      <c r="T2052" s="199"/>
      <c r="U2052" s="199"/>
    </row>
    <row r="2053" spans="1:21" x14ac:dyDescent="0.25">
      <c r="A2053" t="s">
        <v>996</v>
      </c>
      <c r="B2053" t="s">
        <v>997</v>
      </c>
      <c r="C2053" t="s">
        <v>997</v>
      </c>
      <c r="D2053">
        <v>7371</v>
      </c>
      <c r="E2053">
        <v>122</v>
      </c>
      <c r="F2053" t="s">
        <v>1325</v>
      </c>
      <c r="G2053" t="s">
        <v>1326</v>
      </c>
      <c r="H2053" s="315" t="s">
        <v>1041</v>
      </c>
      <c r="I2053" s="315" t="s">
        <v>1327</v>
      </c>
      <c r="J2053" s="315" t="str">
        <f t="shared" si="176"/>
        <v>LEX Used VehicleOther Semi-Fixed expenses per retail</v>
      </c>
      <c r="K2053" s="315" t="str">
        <f t="shared" si="177"/>
        <v>122Lexus UV Other Semi-Fixed expenses</v>
      </c>
      <c r="L2053" s="311">
        <f>+SUMIF('TUNZ Extracted TB'!M:M,$P2053,'TUNZ Extracted TB'!G:G)</f>
        <v>0</v>
      </c>
      <c r="M2053" s="311"/>
      <c r="N2053" s="311">
        <f>+SUMIF('Input Sheet'!$AE:$AE,P2053,'Input Sheet'!$X:$X)</f>
        <v>0</v>
      </c>
      <c r="O2053" s="311"/>
      <c r="P2053" t="str">
        <f t="shared" si="178"/>
        <v>122-7371</v>
      </c>
      <c r="Q2053" s="315" t="str">
        <f t="shared" si="179"/>
        <v>LEX Used Vehicle</v>
      </c>
      <c r="R2053" s="315" t="str">
        <f t="shared" si="180"/>
        <v>LEX Used VehicleOther Semi-Fixed expenses per retail</v>
      </c>
      <c r="S2053" s="199"/>
      <c r="T2053" s="199"/>
      <c r="U2053" s="199"/>
    </row>
    <row r="2054" spans="1:21" x14ac:dyDescent="0.25">
      <c r="A2054" t="s">
        <v>996</v>
      </c>
      <c r="B2054" t="s">
        <v>997</v>
      </c>
      <c r="C2054" t="s">
        <v>997</v>
      </c>
      <c r="D2054">
        <v>7371</v>
      </c>
      <c r="E2054">
        <v>170</v>
      </c>
      <c r="F2054" t="s">
        <v>998</v>
      </c>
      <c r="G2054" t="s">
        <v>999</v>
      </c>
      <c r="H2054" s="315" t="s">
        <v>1000</v>
      </c>
      <c r="I2054" s="315" t="s">
        <v>1001</v>
      </c>
      <c r="J2054" s="315" t="str">
        <f t="shared" si="176"/>
        <v>Admin &amp; OtherOther Overheads as % of Total Gross Profit</v>
      </c>
      <c r="K2054" s="315" t="str">
        <f t="shared" si="177"/>
        <v>170Miscellaneous expenses - Toyota</v>
      </c>
      <c r="L2054" s="311">
        <f>+SUMIF('TUNZ Extracted TB'!M:M,$P2054,'TUNZ Extracted TB'!G:G)</f>
        <v>0</v>
      </c>
      <c r="M2054" s="311"/>
      <c r="N2054" s="311">
        <f>+SUMIF('Input Sheet'!$AE:$AE,P2054,'Input Sheet'!$X:$X)</f>
        <v>0</v>
      </c>
      <c r="O2054" s="311"/>
      <c r="P2054" t="str">
        <f t="shared" si="178"/>
        <v>170-7371</v>
      </c>
      <c r="Q2054" s="315" t="str">
        <f t="shared" si="179"/>
        <v>Admin &amp; Other</v>
      </c>
      <c r="R2054" s="315" t="str">
        <f t="shared" si="180"/>
        <v>Admin &amp; OtherOther Overheads as % of Total Gross Profit</v>
      </c>
      <c r="S2054" s="199"/>
      <c r="T2054" s="199"/>
      <c r="U2054" s="199"/>
    </row>
    <row r="2055" spans="1:21" x14ac:dyDescent="0.25">
      <c r="A2055" t="s">
        <v>996</v>
      </c>
      <c r="B2055" t="s">
        <v>997</v>
      </c>
      <c r="C2055" t="s">
        <v>997</v>
      </c>
      <c r="D2055">
        <v>7385</v>
      </c>
      <c r="E2055">
        <v>112</v>
      </c>
      <c r="F2055" t="s">
        <v>1302</v>
      </c>
      <c r="G2055" t="s">
        <v>1303</v>
      </c>
      <c r="H2055" s="315" t="s">
        <v>1011</v>
      </c>
      <c r="I2055" s="315" t="s">
        <v>1298</v>
      </c>
      <c r="J2055" s="315" t="str">
        <f t="shared" si="176"/>
        <v>LEX New VehicleAdvertising p.u.</v>
      </c>
      <c r="K2055" s="315" t="str">
        <f t="shared" si="177"/>
        <v>112NV Advertising &amp; Promotion - Lexus</v>
      </c>
      <c r="L2055" s="311">
        <f>+SUMIF('TUNZ Extracted TB'!M:M,$P2055,'TUNZ Extracted TB'!G:G)</f>
        <v>3195</v>
      </c>
      <c r="M2055" s="311"/>
      <c r="N2055" s="311">
        <f>+SUMIF('Input Sheet'!$AE:$AE,P2055,'Input Sheet'!$X:$X)</f>
        <v>0</v>
      </c>
      <c r="O2055" s="311"/>
      <c r="P2055" t="str">
        <f t="shared" si="178"/>
        <v>112-7385</v>
      </c>
      <c r="Q2055" s="315" t="str">
        <f t="shared" si="179"/>
        <v>LEX New Vehicle</v>
      </c>
      <c r="R2055" s="315" t="str">
        <f t="shared" si="180"/>
        <v>LEX New VehicleAdvertising p.u.</v>
      </c>
      <c r="S2055" s="199"/>
      <c r="T2055" s="199"/>
      <c r="U2055" s="199"/>
    </row>
    <row r="2056" spans="1:21" x14ac:dyDescent="0.25">
      <c r="A2056" t="s">
        <v>996</v>
      </c>
      <c r="B2056" t="s">
        <v>997</v>
      </c>
      <c r="C2056" t="s">
        <v>1005</v>
      </c>
      <c r="D2056">
        <v>7390</v>
      </c>
      <c r="E2056">
        <v>210</v>
      </c>
      <c r="F2056" t="s">
        <v>1296</v>
      </c>
      <c r="G2056" t="s">
        <v>1297</v>
      </c>
      <c r="H2056" s="315" t="s">
        <v>29</v>
      </c>
      <c r="I2056" s="315" t="s">
        <v>1298</v>
      </c>
      <c r="J2056" s="315" t="str">
        <f t="shared" si="176"/>
        <v>New VehicleAdvertising p.u.</v>
      </c>
      <c r="K2056" s="315" t="str">
        <f t="shared" si="177"/>
        <v>210NV Advertising &amp; Promotion - Toyota</v>
      </c>
      <c r="L2056" s="311">
        <f>+SUMIF('TUNZ Extracted TB'!M:M,$P2056,'TUNZ Extracted TB'!G:G)</f>
        <v>7393.67</v>
      </c>
      <c r="M2056" s="311"/>
      <c r="N2056" s="311">
        <f>+SUMIF('Input Sheet'!$AE:$AE,P2056,'Input Sheet'!$X:$X)</f>
        <v>0</v>
      </c>
      <c r="O2056" s="311"/>
      <c r="P2056" t="str">
        <f t="shared" si="178"/>
        <v>210-7390</v>
      </c>
      <c r="Q2056" s="315" t="str">
        <f t="shared" si="179"/>
        <v>New Vehicle</v>
      </c>
      <c r="R2056" s="315" t="str">
        <f t="shared" si="180"/>
        <v>New VehicleAdvertising p.u.</v>
      </c>
      <c r="S2056" s="199"/>
      <c r="T2056" s="199"/>
      <c r="U2056" s="199"/>
    </row>
    <row r="2057" spans="1:21" x14ac:dyDescent="0.25">
      <c r="A2057" t="s">
        <v>996</v>
      </c>
      <c r="B2057" t="s">
        <v>997</v>
      </c>
      <c r="C2057" t="s">
        <v>997</v>
      </c>
      <c r="D2057">
        <v>7371</v>
      </c>
      <c r="E2057">
        <v>936</v>
      </c>
      <c r="F2057" t="s">
        <v>1175</v>
      </c>
      <c r="G2057" t="s">
        <v>1176</v>
      </c>
      <c r="H2057" s="315" t="s">
        <v>58</v>
      </c>
      <c r="I2057" s="315" t="s">
        <v>1286</v>
      </c>
      <c r="J2057" s="315" t="str">
        <f t="shared" si="176"/>
        <v>BridgestoneOther Expenses as % of Sales</v>
      </c>
      <c r="K2057" s="315" t="str">
        <f t="shared" si="177"/>
        <v>936Other franchise/business expense</v>
      </c>
      <c r="L2057" s="311">
        <f>+SUMIF('TUNZ Extracted TB'!M:M,$P2057,'TUNZ Extracted TB'!G:G)</f>
        <v>0</v>
      </c>
      <c r="M2057" s="311"/>
      <c r="N2057" s="311">
        <f>+SUMIF('Input Sheet'!$AE:$AE,P2057,'Input Sheet'!$X:$X)</f>
        <v>0</v>
      </c>
      <c r="O2057" s="311"/>
      <c r="P2057" t="str">
        <f t="shared" si="178"/>
        <v>936-7371</v>
      </c>
      <c r="Q2057" s="315" t="str">
        <f t="shared" si="179"/>
        <v>Bridgestone</v>
      </c>
      <c r="R2057" s="315" t="str">
        <f t="shared" si="180"/>
        <v>BridgestoneOther Expenses as % of Sales</v>
      </c>
      <c r="S2057" s="199"/>
      <c r="T2057" s="199"/>
      <c r="U2057" s="199"/>
    </row>
    <row r="2058" spans="1:21" x14ac:dyDescent="0.25">
      <c r="A2058" t="s">
        <v>996</v>
      </c>
      <c r="B2058" t="s">
        <v>997</v>
      </c>
      <c r="C2058" t="s">
        <v>997</v>
      </c>
      <c r="D2058">
        <v>7371</v>
      </c>
      <c r="E2058">
        <v>935</v>
      </c>
      <c r="F2058" t="s">
        <v>1175</v>
      </c>
      <c r="G2058" t="s">
        <v>1176</v>
      </c>
      <c r="H2058" s="315" t="s">
        <v>58</v>
      </c>
      <c r="I2058" s="315" t="s">
        <v>1286</v>
      </c>
      <c r="J2058" s="315" t="str">
        <f t="shared" si="176"/>
        <v>BridgestoneOther Expenses as % of Sales</v>
      </c>
      <c r="K2058" s="315" t="str">
        <f t="shared" si="177"/>
        <v>935Other franchise/business expense</v>
      </c>
      <c r="L2058" s="311">
        <f>+SUMIF('TUNZ Extracted TB'!M:M,$P2058,'TUNZ Extracted TB'!G:G)</f>
        <v>0</v>
      </c>
      <c r="M2058" s="311"/>
      <c r="N2058" s="311">
        <f>+SUMIF('Input Sheet'!$AE:$AE,P2058,'Input Sheet'!$X:$X)</f>
        <v>0</v>
      </c>
      <c r="O2058" s="311"/>
      <c r="P2058" t="str">
        <f t="shared" si="178"/>
        <v>935-7371</v>
      </c>
      <c r="Q2058" s="315" t="str">
        <f t="shared" si="179"/>
        <v>Bridgestone</v>
      </c>
      <c r="R2058" s="315" t="str">
        <f t="shared" si="180"/>
        <v>BridgestoneOther Expenses as % of Sales</v>
      </c>
      <c r="S2058" s="199"/>
      <c r="T2058" s="199"/>
      <c r="U2058" s="199"/>
    </row>
    <row r="2059" spans="1:21" x14ac:dyDescent="0.25">
      <c r="A2059" t="s">
        <v>996</v>
      </c>
      <c r="B2059" t="s">
        <v>997</v>
      </c>
      <c r="C2059" t="s">
        <v>1005</v>
      </c>
      <c r="D2059">
        <v>7371</v>
      </c>
      <c r="E2059">
        <v>230</v>
      </c>
      <c r="F2059" t="s">
        <v>1291</v>
      </c>
      <c r="G2059" t="s">
        <v>1292</v>
      </c>
      <c r="H2059" s="315" t="s">
        <v>5</v>
      </c>
      <c r="I2059" s="315" t="s">
        <v>1286</v>
      </c>
      <c r="J2059" s="315" t="str">
        <f t="shared" si="176"/>
        <v>PartsOther Expenses as % of Sales</v>
      </c>
      <c r="K2059" s="315" t="str">
        <f t="shared" si="177"/>
        <v>230Parts Other Expenses - Toyota</v>
      </c>
      <c r="L2059" s="311">
        <f>+SUMIF('TUNZ Extracted TB'!M:M,$P2059,'TUNZ Extracted TB'!G:G)</f>
        <v>0</v>
      </c>
      <c r="M2059" s="311"/>
      <c r="N2059" s="311">
        <f>+SUMIF('Input Sheet'!$AE:$AE,P2059,'Input Sheet'!$X:$X)</f>
        <v>0</v>
      </c>
      <c r="O2059" s="311"/>
      <c r="P2059" t="str">
        <f t="shared" si="178"/>
        <v>230-7371</v>
      </c>
      <c r="Q2059" s="315" t="str">
        <f t="shared" si="179"/>
        <v>Parts</v>
      </c>
      <c r="R2059" s="315" t="str">
        <f t="shared" si="180"/>
        <v>PartsOther Expenses as % of Sales</v>
      </c>
      <c r="S2059" s="199"/>
      <c r="T2059" s="199"/>
      <c r="U2059" s="199"/>
    </row>
    <row r="2060" spans="1:21" x14ac:dyDescent="0.25">
      <c r="A2060" t="s">
        <v>996</v>
      </c>
      <c r="B2060" t="s">
        <v>997</v>
      </c>
      <c r="C2060" t="s">
        <v>1012</v>
      </c>
      <c r="D2060">
        <v>7371</v>
      </c>
      <c r="E2060">
        <v>430</v>
      </c>
      <c r="F2060" t="s">
        <v>1291</v>
      </c>
      <c r="G2060" t="s">
        <v>1292</v>
      </c>
      <c r="H2060" s="315" t="s">
        <v>5</v>
      </c>
      <c r="I2060" s="315" t="s">
        <v>1286</v>
      </c>
      <c r="J2060" s="315" t="str">
        <f t="shared" si="176"/>
        <v>PartsOther Expenses as % of Sales</v>
      </c>
      <c r="K2060" s="315" t="str">
        <f t="shared" si="177"/>
        <v>430Parts Other Expenses - Toyota</v>
      </c>
      <c r="L2060" s="311">
        <f>+SUMIF('TUNZ Extracted TB'!M:M,$P2060,'TUNZ Extracted TB'!G:G)</f>
        <v>0</v>
      </c>
      <c r="M2060" s="311"/>
      <c r="N2060" s="311">
        <f>+SUMIF('Input Sheet'!$AE:$AE,P2060,'Input Sheet'!$X:$X)</f>
        <v>0</v>
      </c>
      <c r="O2060" s="311"/>
      <c r="P2060" t="str">
        <f t="shared" si="178"/>
        <v>430-7371</v>
      </c>
      <c r="Q2060" s="315" t="str">
        <f t="shared" si="179"/>
        <v>Parts</v>
      </c>
      <c r="R2060" s="315" t="str">
        <f t="shared" si="180"/>
        <v>PartsOther Expenses as % of Sales</v>
      </c>
      <c r="S2060" s="199"/>
      <c r="T2060" s="199"/>
      <c r="U2060" s="199"/>
    </row>
    <row r="2061" spans="1:21" x14ac:dyDescent="0.25">
      <c r="A2061" t="s">
        <v>996</v>
      </c>
      <c r="B2061" t="s">
        <v>997</v>
      </c>
      <c r="C2061" t="s">
        <v>1013</v>
      </c>
      <c r="D2061">
        <v>7371</v>
      </c>
      <c r="E2061">
        <v>330</v>
      </c>
      <c r="F2061" t="s">
        <v>1291</v>
      </c>
      <c r="G2061" t="s">
        <v>1292</v>
      </c>
      <c r="H2061" s="315" t="s">
        <v>5</v>
      </c>
      <c r="I2061" s="315" t="s">
        <v>1286</v>
      </c>
      <c r="J2061" s="315" t="str">
        <f t="shared" si="176"/>
        <v>PartsOther Expenses as % of Sales</v>
      </c>
      <c r="K2061" s="315" t="str">
        <f t="shared" si="177"/>
        <v>330Parts Other Expenses - Toyota</v>
      </c>
      <c r="L2061" s="311">
        <f>+SUMIF('TUNZ Extracted TB'!M:M,$P2061,'TUNZ Extracted TB'!G:G)</f>
        <v>0</v>
      </c>
      <c r="M2061" s="311"/>
      <c r="N2061" s="311">
        <f>+SUMIF('Input Sheet'!$AE:$AE,P2061,'Input Sheet'!$X:$X)</f>
        <v>0</v>
      </c>
      <c r="O2061" s="311"/>
      <c r="P2061" t="str">
        <f t="shared" si="178"/>
        <v>330-7371</v>
      </c>
      <c r="Q2061" s="315" t="str">
        <f t="shared" si="179"/>
        <v>Parts</v>
      </c>
      <c r="R2061" s="315" t="str">
        <f t="shared" si="180"/>
        <v>PartsOther Expenses as % of Sales</v>
      </c>
      <c r="S2061" s="199"/>
      <c r="T2061" s="199"/>
      <c r="U2061" s="199"/>
    </row>
    <row r="2062" spans="1:21" x14ac:dyDescent="0.25">
      <c r="A2062" t="s">
        <v>996</v>
      </c>
      <c r="B2062" t="s">
        <v>997</v>
      </c>
      <c r="C2062" t="s">
        <v>1005</v>
      </c>
      <c r="D2062">
        <v>7371</v>
      </c>
      <c r="E2062">
        <v>240</v>
      </c>
      <c r="F2062" t="s">
        <v>1289</v>
      </c>
      <c r="G2062" t="s">
        <v>1290</v>
      </c>
      <c r="H2062" s="315" t="s">
        <v>17</v>
      </c>
      <c r="I2062" s="315" t="s">
        <v>1286</v>
      </c>
      <c r="J2062" s="315" t="str">
        <f t="shared" si="176"/>
        <v>ServiceOther Expenses as % of Sales</v>
      </c>
      <c r="K2062" s="315" t="str">
        <f t="shared" si="177"/>
        <v>240Service Other expenses - Toyota</v>
      </c>
      <c r="L2062" s="311">
        <f>+SUMIF('TUNZ Extracted TB'!M:M,$P2062,'TUNZ Extracted TB'!G:G)</f>
        <v>0</v>
      </c>
      <c r="M2062" s="311"/>
      <c r="N2062" s="311">
        <f>+SUMIF('Input Sheet'!$AE:$AE,P2062,'Input Sheet'!$X:$X)</f>
        <v>0</v>
      </c>
      <c r="O2062" s="311"/>
      <c r="P2062" t="str">
        <f t="shared" si="178"/>
        <v>240-7371</v>
      </c>
      <c r="Q2062" s="315" t="str">
        <f t="shared" si="179"/>
        <v>Service</v>
      </c>
      <c r="R2062" s="315" t="str">
        <f t="shared" si="180"/>
        <v>ServiceOther Expenses as % of Sales</v>
      </c>
      <c r="S2062" s="199"/>
      <c r="T2062" s="199"/>
      <c r="U2062" s="199"/>
    </row>
    <row r="2063" spans="1:21" x14ac:dyDescent="0.25">
      <c r="A2063" t="s">
        <v>996</v>
      </c>
      <c r="B2063" t="s">
        <v>997</v>
      </c>
      <c r="C2063" t="s">
        <v>1012</v>
      </c>
      <c r="D2063">
        <v>7371</v>
      </c>
      <c r="E2063">
        <v>440</v>
      </c>
      <c r="F2063" t="s">
        <v>1289</v>
      </c>
      <c r="G2063" t="s">
        <v>1290</v>
      </c>
      <c r="H2063" s="315" t="s">
        <v>17</v>
      </c>
      <c r="I2063" s="315" t="s">
        <v>1286</v>
      </c>
      <c r="J2063" s="315" t="str">
        <f t="shared" si="176"/>
        <v>ServiceOther Expenses as % of Sales</v>
      </c>
      <c r="K2063" s="315" t="str">
        <f t="shared" si="177"/>
        <v>440Service Other expenses - Toyota</v>
      </c>
      <c r="L2063" s="311">
        <f>+SUMIF('TUNZ Extracted TB'!M:M,$P2063,'TUNZ Extracted TB'!G:G)</f>
        <v>0</v>
      </c>
      <c r="M2063" s="311"/>
      <c r="N2063" s="311">
        <f>+SUMIF('Input Sheet'!$AE:$AE,P2063,'Input Sheet'!$X:$X)</f>
        <v>0</v>
      </c>
      <c r="O2063" s="311"/>
      <c r="P2063" t="str">
        <f t="shared" si="178"/>
        <v>440-7371</v>
      </c>
      <c r="Q2063" s="315" t="str">
        <f t="shared" si="179"/>
        <v>Service</v>
      </c>
      <c r="R2063" s="315" t="str">
        <f t="shared" si="180"/>
        <v>ServiceOther Expenses as % of Sales</v>
      </c>
      <c r="S2063" s="199"/>
      <c r="T2063" s="199"/>
      <c r="U2063" s="199"/>
    </row>
    <row r="2064" spans="1:21" x14ac:dyDescent="0.25">
      <c r="A2064" t="s">
        <v>996</v>
      </c>
      <c r="B2064" t="s">
        <v>997</v>
      </c>
      <c r="C2064" t="s">
        <v>1013</v>
      </c>
      <c r="D2064">
        <v>7371</v>
      </c>
      <c r="E2064">
        <v>340</v>
      </c>
      <c r="F2064" t="s">
        <v>1289</v>
      </c>
      <c r="G2064" t="s">
        <v>1290</v>
      </c>
      <c r="H2064" s="315" t="s">
        <v>17</v>
      </c>
      <c r="I2064" s="315" t="s">
        <v>1286</v>
      </c>
      <c r="J2064" s="315" t="str">
        <f t="shared" si="176"/>
        <v>ServiceOther Expenses as % of Sales</v>
      </c>
      <c r="K2064" s="315" t="str">
        <f t="shared" si="177"/>
        <v>340Service Other expenses - Toyota</v>
      </c>
      <c r="L2064" s="311">
        <f>+SUMIF('TUNZ Extracted TB'!M:M,$P2064,'TUNZ Extracted TB'!G:G)</f>
        <v>0</v>
      </c>
      <c r="M2064" s="311"/>
      <c r="N2064" s="311">
        <f>+SUMIF('Input Sheet'!$AE:$AE,P2064,'Input Sheet'!$X:$X)</f>
        <v>0</v>
      </c>
      <c r="O2064" s="311"/>
      <c r="P2064" t="str">
        <f t="shared" si="178"/>
        <v>340-7371</v>
      </c>
      <c r="Q2064" s="315" t="str">
        <f t="shared" si="179"/>
        <v>Service</v>
      </c>
      <c r="R2064" s="315" t="str">
        <f t="shared" si="180"/>
        <v>ServiceOther Expenses as % of Sales</v>
      </c>
      <c r="S2064" s="199"/>
      <c r="T2064" s="199"/>
      <c r="U2064" s="199"/>
    </row>
    <row r="2065" spans="1:21" x14ac:dyDescent="0.25">
      <c r="A2065" t="s">
        <v>996</v>
      </c>
      <c r="B2065" t="s">
        <v>997</v>
      </c>
      <c r="C2065" t="s">
        <v>997</v>
      </c>
      <c r="D2065">
        <v>7371</v>
      </c>
      <c r="E2065">
        <v>147</v>
      </c>
      <c r="F2065" t="s">
        <v>1289</v>
      </c>
      <c r="G2065" t="s">
        <v>1290</v>
      </c>
      <c r="H2065" s="315" t="s">
        <v>17</v>
      </c>
      <c r="I2065" s="315" t="s">
        <v>1286</v>
      </c>
      <c r="J2065" s="315" t="str">
        <f t="shared" si="176"/>
        <v>ServiceOther Expenses as % of Sales</v>
      </c>
      <c r="K2065" s="315" t="str">
        <f t="shared" si="177"/>
        <v>147Service Other expenses - Toyota</v>
      </c>
      <c r="L2065" s="311">
        <f>+SUMIF('TUNZ Extracted TB'!M:M,$P2065,'TUNZ Extracted TB'!G:G)</f>
        <v>0</v>
      </c>
      <c r="M2065" s="311"/>
      <c r="N2065" s="311">
        <f>+SUMIF('Input Sheet'!$AE:$AE,P2065,'Input Sheet'!$X:$X)</f>
        <v>0</v>
      </c>
      <c r="O2065" s="311"/>
      <c r="P2065" t="str">
        <f t="shared" si="178"/>
        <v>147-7371</v>
      </c>
      <c r="Q2065" s="315" t="str">
        <f t="shared" si="179"/>
        <v>Service</v>
      </c>
      <c r="R2065" s="315" t="str">
        <f t="shared" si="180"/>
        <v>ServiceOther Expenses as % of Sales</v>
      </c>
      <c r="S2065" s="199"/>
      <c r="T2065" s="199"/>
      <c r="U2065" s="199"/>
    </row>
    <row r="2066" spans="1:21" x14ac:dyDescent="0.25">
      <c r="A2066" t="s">
        <v>996</v>
      </c>
      <c r="B2066" t="s">
        <v>997</v>
      </c>
      <c r="C2066" t="s">
        <v>1005</v>
      </c>
      <c r="D2066">
        <v>7371</v>
      </c>
      <c r="E2066">
        <v>210</v>
      </c>
      <c r="F2066" t="s">
        <v>1328</v>
      </c>
      <c r="G2066" t="s">
        <v>1329</v>
      </c>
      <c r="H2066" s="315" t="s">
        <v>30</v>
      </c>
      <c r="I2066" s="315" t="s">
        <v>1327</v>
      </c>
      <c r="J2066" s="315" t="str">
        <f t="shared" si="176"/>
        <v>Used VehicleOther Semi-Fixed expenses per retail</v>
      </c>
      <c r="K2066" s="315" t="str">
        <f t="shared" si="177"/>
        <v>210Toyota UV Other Semi-Fixed expenses</v>
      </c>
      <c r="L2066" s="311">
        <f>+SUMIF('TUNZ Extracted TB'!M:M,$P2066,'TUNZ Extracted TB'!G:G)</f>
        <v>0</v>
      </c>
      <c r="M2066" s="311"/>
      <c r="N2066" s="311">
        <f>+SUMIF('Input Sheet'!$AE:$AE,P2066,'Input Sheet'!$X:$X)</f>
        <v>0</v>
      </c>
      <c r="O2066" s="311"/>
      <c r="P2066" t="str">
        <f t="shared" si="178"/>
        <v>210-7371</v>
      </c>
      <c r="Q2066" s="315" t="str">
        <f t="shared" si="179"/>
        <v>Used Vehicle</v>
      </c>
      <c r="R2066" s="315" t="str">
        <f t="shared" si="180"/>
        <v>Used VehicleOther Semi-Fixed expenses per retail</v>
      </c>
      <c r="S2066" s="199"/>
      <c r="T2066" s="199"/>
      <c r="U2066" s="199"/>
    </row>
    <row r="2067" spans="1:21" x14ac:dyDescent="0.25">
      <c r="A2067" t="s">
        <v>996</v>
      </c>
      <c r="B2067" t="s">
        <v>997</v>
      </c>
      <c r="C2067" t="s">
        <v>1005</v>
      </c>
      <c r="D2067">
        <v>7371</v>
      </c>
      <c r="E2067">
        <v>220</v>
      </c>
      <c r="F2067" t="s">
        <v>1328</v>
      </c>
      <c r="G2067" t="s">
        <v>1329</v>
      </c>
      <c r="H2067" s="315" t="s">
        <v>30</v>
      </c>
      <c r="I2067" s="315" t="s">
        <v>1327</v>
      </c>
      <c r="J2067" s="315" t="str">
        <f t="shared" si="176"/>
        <v>Used VehicleOther Semi-Fixed expenses per retail</v>
      </c>
      <c r="K2067" s="315" t="str">
        <f t="shared" si="177"/>
        <v>220Toyota UV Other Semi-Fixed expenses</v>
      </c>
      <c r="L2067" s="311">
        <f>+SUMIF('TUNZ Extracted TB'!M:M,$P2067,'TUNZ Extracted TB'!G:G)</f>
        <v>0</v>
      </c>
      <c r="M2067" s="311"/>
      <c r="N2067" s="311">
        <f>+SUMIF('Input Sheet'!$AE:$AE,P2067,'Input Sheet'!$X:$X)</f>
        <v>0</v>
      </c>
      <c r="O2067" s="311"/>
      <c r="P2067" t="str">
        <f t="shared" si="178"/>
        <v>220-7371</v>
      </c>
      <c r="Q2067" s="315" t="str">
        <f t="shared" si="179"/>
        <v>Used Vehicle</v>
      </c>
      <c r="R2067" s="315" t="str">
        <f t="shared" si="180"/>
        <v>Used VehicleOther Semi-Fixed expenses per retail</v>
      </c>
      <c r="S2067" s="199"/>
      <c r="T2067" s="199"/>
      <c r="U2067" s="199"/>
    </row>
    <row r="2068" spans="1:21" x14ac:dyDescent="0.25">
      <c r="A2068" t="s">
        <v>996</v>
      </c>
      <c r="B2068" t="s">
        <v>997</v>
      </c>
      <c r="C2068" t="s">
        <v>1005</v>
      </c>
      <c r="D2068">
        <v>7371</v>
      </c>
      <c r="E2068">
        <v>221</v>
      </c>
      <c r="F2068" t="s">
        <v>1328</v>
      </c>
      <c r="G2068" t="s">
        <v>1329</v>
      </c>
      <c r="H2068" s="315" t="s">
        <v>30</v>
      </c>
      <c r="I2068" s="315" t="s">
        <v>1327</v>
      </c>
      <c r="J2068" s="315" t="str">
        <f t="shared" si="176"/>
        <v>Used VehicleOther Semi-Fixed expenses per retail</v>
      </c>
      <c r="K2068" s="315" t="str">
        <f t="shared" si="177"/>
        <v>221Toyota UV Other Semi-Fixed expenses</v>
      </c>
      <c r="L2068" s="311">
        <f>+SUMIF('TUNZ Extracted TB'!M:M,$P2068,'TUNZ Extracted TB'!G:G)</f>
        <v>0</v>
      </c>
      <c r="M2068" s="311"/>
      <c r="N2068" s="311">
        <f>+SUMIF('Input Sheet'!$AE:$AE,P2068,'Input Sheet'!$X:$X)</f>
        <v>0</v>
      </c>
      <c r="O2068" s="311"/>
      <c r="P2068" t="str">
        <f t="shared" si="178"/>
        <v>221-7371</v>
      </c>
      <c r="Q2068" s="315" t="str">
        <f t="shared" si="179"/>
        <v>Used Vehicle</v>
      </c>
      <c r="R2068" s="315" t="str">
        <f t="shared" si="180"/>
        <v>Used VehicleOther Semi-Fixed expenses per retail</v>
      </c>
      <c r="S2068" s="199"/>
      <c r="T2068" s="199"/>
      <c r="U2068" s="199"/>
    </row>
    <row r="2069" spans="1:21" x14ac:dyDescent="0.25">
      <c r="A2069" t="s">
        <v>996</v>
      </c>
      <c r="B2069" t="s">
        <v>997</v>
      </c>
      <c r="C2069" t="s">
        <v>1012</v>
      </c>
      <c r="D2069">
        <v>7371</v>
      </c>
      <c r="E2069">
        <v>420</v>
      </c>
      <c r="F2069" t="s">
        <v>1328</v>
      </c>
      <c r="G2069" t="s">
        <v>1329</v>
      </c>
      <c r="H2069" s="315" t="s">
        <v>30</v>
      </c>
      <c r="I2069" s="315" t="s">
        <v>1327</v>
      </c>
      <c r="J2069" s="315" t="str">
        <f t="shared" si="176"/>
        <v>Used VehicleOther Semi-Fixed expenses per retail</v>
      </c>
      <c r="K2069" s="315" t="str">
        <f t="shared" si="177"/>
        <v>420Toyota UV Other Semi-Fixed expenses</v>
      </c>
      <c r="L2069" s="311">
        <f>+SUMIF('TUNZ Extracted TB'!M:M,$P2069,'TUNZ Extracted TB'!G:G)</f>
        <v>0</v>
      </c>
      <c r="M2069" s="311"/>
      <c r="N2069" s="311">
        <f>+SUMIF('Input Sheet'!$AE:$AE,P2069,'Input Sheet'!$X:$X)</f>
        <v>0</v>
      </c>
      <c r="O2069" s="311"/>
      <c r="P2069" t="str">
        <f t="shared" si="178"/>
        <v>420-7371</v>
      </c>
      <c r="Q2069" s="315" t="str">
        <f t="shared" si="179"/>
        <v>Used Vehicle</v>
      </c>
      <c r="R2069" s="315" t="str">
        <f t="shared" si="180"/>
        <v>Used VehicleOther Semi-Fixed expenses per retail</v>
      </c>
      <c r="S2069" s="199"/>
      <c r="T2069" s="199"/>
      <c r="U2069" s="199"/>
    </row>
    <row r="2070" spans="1:21" x14ac:dyDescent="0.25">
      <c r="A2070" t="s">
        <v>996</v>
      </c>
      <c r="B2070" t="s">
        <v>997</v>
      </c>
      <c r="C2070" t="s">
        <v>1012</v>
      </c>
      <c r="D2070">
        <v>7371</v>
      </c>
      <c r="E2070">
        <v>421</v>
      </c>
      <c r="F2070" t="s">
        <v>1328</v>
      </c>
      <c r="G2070" t="s">
        <v>1329</v>
      </c>
      <c r="H2070" s="315" t="s">
        <v>30</v>
      </c>
      <c r="I2070" s="315" t="s">
        <v>1327</v>
      </c>
      <c r="J2070" s="315" t="str">
        <f t="shared" si="176"/>
        <v>Used VehicleOther Semi-Fixed expenses per retail</v>
      </c>
      <c r="K2070" s="315" t="str">
        <f t="shared" si="177"/>
        <v>421Toyota UV Other Semi-Fixed expenses</v>
      </c>
      <c r="L2070" s="311">
        <f>+SUMIF('TUNZ Extracted TB'!M:M,$P2070,'TUNZ Extracted TB'!G:G)</f>
        <v>0</v>
      </c>
      <c r="M2070" s="311"/>
      <c r="N2070" s="311">
        <f>+SUMIF('Input Sheet'!$AE:$AE,P2070,'Input Sheet'!$X:$X)</f>
        <v>0</v>
      </c>
      <c r="O2070" s="311"/>
      <c r="P2070" t="str">
        <f t="shared" si="178"/>
        <v>421-7371</v>
      </c>
      <c r="Q2070" s="315" t="str">
        <f t="shared" si="179"/>
        <v>Used Vehicle</v>
      </c>
      <c r="R2070" s="315" t="str">
        <f t="shared" si="180"/>
        <v>Used VehicleOther Semi-Fixed expenses per retail</v>
      </c>
      <c r="S2070" s="199"/>
      <c r="T2070" s="199"/>
      <c r="U2070" s="199"/>
    </row>
    <row r="2071" spans="1:21" x14ac:dyDescent="0.25">
      <c r="A2071" t="s">
        <v>996</v>
      </c>
      <c r="B2071" t="s">
        <v>997</v>
      </c>
      <c r="C2071" t="s">
        <v>1013</v>
      </c>
      <c r="D2071">
        <v>7371</v>
      </c>
      <c r="E2071">
        <v>310</v>
      </c>
      <c r="F2071" t="s">
        <v>1328</v>
      </c>
      <c r="G2071" t="s">
        <v>1329</v>
      </c>
      <c r="H2071" s="315" t="s">
        <v>30</v>
      </c>
      <c r="I2071" s="315" t="s">
        <v>1327</v>
      </c>
      <c r="J2071" s="315" t="str">
        <f t="shared" si="176"/>
        <v>Used VehicleOther Semi-Fixed expenses per retail</v>
      </c>
      <c r="K2071" s="315" t="str">
        <f t="shared" si="177"/>
        <v>310Toyota UV Other Semi-Fixed expenses</v>
      </c>
      <c r="L2071" s="311">
        <f>+SUMIF('TUNZ Extracted TB'!M:M,$P2071,'TUNZ Extracted TB'!G:G)</f>
        <v>0</v>
      </c>
      <c r="M2071" s="311"/>
      <c r="N2071" s="311">
        <f>+SUMIF('Input Sheet'!$AE:$AE,P2071,'Input Sheet'!$X:$X)</f>
        <v>0</v>
      </c>
      <c r="O2071" s="311"/>
      <c r="P2071" t="str">
        <f t="shared" si="178"/>
        <v>310-7371</v>
      </c>
      <c r="Q2071" s="315" t="str">
        <f t="shared" si="179"/>
        <v>Used Vehicle</v>
      </c>
      <c r="R2071" s="315" t="str">
        <f t="shared" si="180"/>
        <v>Used VehicleOther Semi-Fixed expenses per retail</v>
      </c>
      <c r="S2071" s="199"/>
      <c r="T2071" s="199"/>
      <c r="U2071" s="199"/>
    </row>
    <row r="2072" spans="1:21" x14ac:dyDescent="0.25">
      <c r="A2072" t="s">
        <v>996</v>
      </c>
      <c r="B2072" t="s">
        <v>997</v>
      </c>
      <c r="C2072" t="s">
        <v>1013</v>
      </c>
      <c r="D2072">
        <v>7371</v>
      </c>
      <c r="E2072">
        <v>321</v>
      </c>
      <c r="F2072" t="s">
        <v>1328</v>
      </c>
      <c r="G2072" t="s">
        <v>1329</v>
      </c>
      <c r="H2072" s="315" t="s">
        <v>30</v>
      </c>
      <c r="I2072" s="315" t="s">
        <v>1327</v>
      </c>
      <c r="J2072" s="315" t="str">
        <f t="shared" si="176"/>
        <v>Used VehicleOther Semi-Fixed expenses per retail</v>
      </c>
      <c r="K2072" s="315" t="str">
        <f t="shared" si="177"/>
        <v>321Toyota UV Other Semi-Fixed expenses</v>
      </c>
      <c r="L2072" s="311">
        <f>+SUMIF('TUNZ Extracted TB'!M:M,$P2072,'TUNZ Extracted TB'!G:G)</f>
        <v>0</v>
      </c>
      <c r="M2072" s="311"/>
      <c r="N2072" s="311">
        <f>+SUMIF('Input Sheet'!$AE:$AE,P2072,'Input Sheet'!$X:$X)</f>
        <v>0</v>
      </c>
      <c r="O2072" s="311"/>
      <c r="P2072" t="str">
        <f t="shared" si="178"/>
        <v>321-7371</v>
      </c>
      <c r="Q2072" s="315" t="str">
        <f t="shared" si="179"/>
        <v>Used Vehicle</v>
      </c>
      <c r="R2072" s="315" t="str">
        <f t="shared" si="180"/>
        <v>Used VehicleOther Semi-Fixed expenses per retail</v>
      </c>
      <c r="S2072" s="199"/>
      <c r="T2072" s="199"/>
      <c r="U2072" s="199"/>
    </row>
    <row r="2073" spans="1:21" x14ac:dyDescent="0.25">
      <c r="A2073" t="s">
        <v>996</v>
      </c>
      <c r="B2073" t="s">
        <v>997</v>
      </c>
      <c r="C2073" t="s">
        <v>997</v>
      </c>
      <c r="D2073">
        <v>7371</v>
      </c>
      <c r="E2073">
        <v>121</v>
      </c>
      <c r="F2073" t="s">
        <v>1328</v>
      </c>
      <c r="G2073" t="s">
        <v>1329</v>
      </c>
      <c r="H2073" s="315" t="s">
        <v>30</v>
      </c>
      <c r="I2073" s="315" t="s">
        <v>1327</v>
      </c>
      <c r="J2073" s="315" t="str">
        <f t="shared" si="176"/>
        <v>Used VehicleOther Semi-Fixed expenses per retail</v>
      </c>
      <c r="K2073" s="315" t="str">
        <f t="shared" si="177"/>
        <v>121Toyota UV Other Semi-Fixed expenses</v>
      </c>
      <c r="L2073" s="311">
        <f>+SUMIF('TUNZ Extracted TB'!M:M,$P2073,'TUNZ Extracted TB'!G:G)</f>
        <v>0</v>
      </c>
      <c r="M2073" s="311"/>
      <c r="N2073" s="311">
        <f>+SUMIF('Input Sheet'!$AE:$AE,P2073,'Input Sheet'!$X:$X)</f>
        <v>0</v>
      </c>
      <c r="O2073" s="311"/>
      <c r="P2073" t="str">
        <f t="shared" si="178"/>
        <v>121-7371</v>
      </c>
      <c r="Q2073" s="315" t="str">
        <f t="shared" si="179"/>
        <v>Used Vehicle</v>
      </c>
      <c r="R2073" s="315" t="str">
        <f t="shared" si="180"/>
        <v>Used VehicleOther Semi-Fixed expenses per retail</v>
      </c>
      <c r="S2073" s="199"/>
      <c r="T2073" s="199"/>
      <c r="U2073" s="199"/>
    </row>
    <row r="2074" spans="1:21" x14ac:dyDescent="0.25">
      <c r="A2074" t="s">
        <v>996</v>
      </c>
      <c r="B2074" t="s">
        <v>997</v>
      </c>
      <c r="C2074" t="s">
        <v>997</v>
      </c>
      <c r="D2074">
        <v>7380</v>
      </c>
      <c r="E2074">
        <v>140</v>
      </c>
      <c r="F2074" t="s">
        <v>1375</v>
      </c>
      <c r="G2074" t="s">
        <v>1376</v>
      </c>
      <c r="H2074" s="315" t="s">
        <v>1000</v>
      </c>
      <c r="I2074" s="315" t="s">
        <v>1001</v>
      </c>
      <c r="J2074" s="315" t="str">
        <f t="shared" si="176"/>
        <v>Admin &amp; OtherOther Overheads as % of Total Gross Profit</v>
      </c>
      <c r="K2074" s="315" t="str">
        <f t="shared" si="177"/>
        <v>140Uniforms - Toyota</v>
      </c>
      <c r="L2074" s="311">
        <f>+SUMIF('TUNZ Extracted TB'!M:M,$P2074,'TUNZ Extracted TB'!G:G)</f>
        <v>0</v>
      </c>
      <c r="M2074" s="311"/>
      <c r="N2074" s="311">
        <f>+SUMIF('Input Sheet'!$AE:$AE,P2074,'Input Sheet'!$X:$X)</f>
        <v>0</v>
      </c>
      <c r="O2074" s="311"/>
      <c r="P2074" t="str">
        <f t="shared" si="178"/>
        <v>140-7380</v>
      </c>
      <c r="Q2074" s="315" t="str">
        <f t="shared" si="179"/>
        <v>Admin &amp; Other</v>
      </c>
      <c r="R2074" s="315" t="str">
        <f t="shared" si="180"/>
        <v>Admin &amp; OtherOther Overheads as % of Total Gross Profit</v>
      </c>
      <c r="S2074" s="199"/>
      <c r="T2074" s="199"/>
      <c r="U2074" s="199"/>
    </row>
    <row r="2075" spans="1:21" x14ac:dyDescent="0.25">
      <c r="A2075" t="s">
        <v>996</v>
      </c>
      <c r="B2075" t="s">
        <v>997</v>
      </c>
      <c r="C2075" t="s">
        <v>997</v>
      </c>
      <c r="D2075">
        <v>7380</v>
      </c>
      <c r="E2075">
        <v>142</v>
      </c>
      <c r="F2075" t="s">
        <v>1377</v>
      </c>
      <c r="G2075" t="s">
        <v>1378</v>
      </c>
      <c r="H2075" s="315" t="s">
        <v>1023</v>
      </c>
      <c r="I2075" s="315" t="s">
        <v>1001</v>
      </c>
      <c r="J2075" s="315" t="str">
        <f t="shared" si="176"/>
        <v>LEX Admin &amp; OtherOther Overheads as % of Total Gross Profit</v>
      </c>
      <c r="K2075" s="315" t="str">
        <f t="shared" si="177"/>
        <v>142Uniforms - Lexus</v>
      </c>
      <c r="L2075" s="311">
        <f>+SUMIF('TUNZ Extracted TB'!M:M,$P2075,'TUNZ Extracted TB'!G:G)</f>
        <v>0</v>
      </c>
      <c r="M2075" s="311"/>
      <c r="N2075" s="311">
        <f>+SUMIF('Input Sheet'!$AE:$AE,P2075,'Input Sheet'!$X:$X)</f>
        <v>0</v>
      </c>
      <c r="O2075" s="311"/>
      <c r="P2075" t="str">
        <f t="shared" si="178"/>
        <v>142-7380</v>
      </c>
      <c r="Q2075" s="315" t="str">
        <f t="shared" si="179"/>
        <v>LEX Admin &amp; Other</v>
      </c>
      <c r="R2075" s="315" t="str">
        <f t="shared" si="180"/>
        <v>LEX Admin &amp; OtherOther Overheads as % of Total Gross Profit</v>
      </c>
      <c r="S2075" s="199"/>
      <c r="T2075" s="199"/>
      <c r="U2075" s="199"/>
    </row>
    <row r="2076" spans="1:21" x14ac:dyDescent="0.25">
      <c r="A2076" t="s">
        <v>996</v>
      </c>
      <c r="B2076" t="s">
        <v>997</v>
      </c>
      <c r="C2076" t="s">
        <v>997</v>
      </c>
      <c r="D2076">
        <v>7380</v>
      </c>
      <c r="E2076">
        <v>132</v>
      </c>
      <c r="F2076" t="s">
        <v>1377</v>
      </c>
      <c r="G2076" t="s">
        <v>1378</v>
      </c>
      <c r="H2076" s="315" t="s">
        <v>1023</v>
      </c>
      <c r="I2076" s="315" t="s">
        <v>1001</v>
      </c>
      <c r="J2076" s="315" t="str">
        <f t="shared" si="176"/>
        <v>LEX Admin &amp; OtherOther Overheads as % of Total Gross Profit</v>
      </c>
      <c r="K2076" s="315" t="str">
        <f t="shared" si="177"/>
        <v>132Uniforms - Lexus</v>
      </c>
      <c r="L2076" s="311">
        <f>+SUMIF('TUNZ Extracted TB'!M:M,$P2076,'TUNZ Extracted TB'!G:G)</f>
        <v>0</v>
      </c>
      <c r="M2076" s="311"/>
      <c r="N2076" s="311">
        <f>+SUMIF('Input Sheet'!$AE:$AE,P2076,'Input Sheet'!$X:$X)</f>
        <v>0</v>
      </c>
      <c r="O2076" s="311"/>
      <c r="P2076" t="str">
        <f t="shared" si="178"/>
        <v>132-7380</v>
      </c>
      <c r="Q2076" s="315" t="str">
        <f t="shared" si="179"/>
        <v>LEX Admin &amp; Other</v>
      </c>
      <c r="R2076" s="315" t="str">
        <f t="shared" si="180"/>
        <v>LEX Admin &amp; OtherOther Overheads as % of Total Gross Profit</v>
      </c>
      <c r="S2076" s="199"/>
      <c r="T2076" s="199"/>
      <c r="U2076" s="199"/>
    </row>
    <row r="2077" spans="1:21" x14ac:dyDescent="0.25">
      <c r="A2077" t="s">
        <v>996</v>
      </c>
      <c r="B2077" t="s">
        <v>997</v>
      </c>
      <c r="C2077" t="s">
        <v>997</v>
      </c>
      <c r="D2077">
        <v>7380</v>
      </c>
      <c r="E2077">
        <v>130</v>
      </c>
      <c r="F2077" t="s">
        <v>1375</v>
      </c>
      <c r="G2077" t="s">
        <v>1376</v>
      </c>
      <c r="H2077" s="315" t="s">
        <v>1000</v>
      </c>
      <c r="I2077" s="315" t="s">
        <v>1001</v>
      </c>
      <c r="J2077" s="315" t="str">
        <f t="shared" si="176"/>
        <v>Admin &amp; OtherOther Overheads as % of Total Gross Profit</v>
      </c>
      <c r="K2077" s="315" t="str">
        <f t="shared" si="177"/>
        <v>130Uniforms - Toyota</v>
      </c>
      <c r="L2077" s="311">
        <f>+SUMIF('TUNZ Extracted TB'!M:M,$P2077,'TUNZ Extracted TB'!G:G)</f>
        <v>0</v>
      </c>
      <c r="M2077" s="311"/>
      <c r="N2077" s="311">
        <f>+SUMIF('Input Sheet'!$AE:$AE,P2077,'Input Sheet'!$X:$X)</f>
        <v>0</v>
      </c>
      <c r="O2077" s="311"/>
      <c r="P2077" t="str">
        <f t="shared" si="178"/>
        <v>130-7380</v>
      </c>
      <c r="Q2077" s="315" t="str">
        <f t="shared" si="179"/>
        <v>Admin &amp; Other</v>
      </c>
      <c r="R2077" s="315" t="str">
        <f t="shared" si="180"/>
        <v>Admin &amp; OtherOther Overheads as % of Total Gross Profit</v>
      </c>
      <c r="S2077" s="199"/>
      <c r="T2077" s="199"/>
      <c r="U2077" s="199"/>
    </row>
    <row r="2078" spans="1:21" x14ac:dyDescent="0.25">
      <c r="A2078" t="s">
        <v>996</v>
      </c>
      <c r="B2078" t="s">
        <v>997</v>
      </c>
      <c r="C2078" t="s">
        <v>997</v>
      </c>
      <c r="D2078">
        <v>7380</v>
      </c>
      <c r="E2078">
        <v>112</v>
      </c>
      <c r="F2078" t="s">
        <v>1377</v>
      </c>
      <c r="G2078" t="s">
        <v>1378</v>
      </c>
      <c r="H2078" s="315" t="s">
        <v>1023</v>
      </c>
      <c r="I2078" s="315" t="s">
        <v>1001</v>
      </c>
      <c r="J2078" s="315" t="str">
        <f t="shared" si="176"/>
        <v>LEX Admin &amp; OtherOther Overheads as % of Total Gross Profit</v>
      </c>
      <c r="K2078" s="315" t="str">
        <f t="shared" si="177"/>
        <v>112Uniforms - Lexus</v>
      </c>
      <c r="L2078" s="311">
        <f>+SUMIF('TUNZ Extracted TB'!M:M,$P2078,'TUNZ Extracted TB'!G:G)</f>
        <v>0</v>
      </c>
      <c r="M2078" s="311"/>
      <c r="N2078" s="311">
        <f>+SUMIF('Input Sheet'!$AE:$AE,P2078,'Input Sheet'!$X:$X)</f>
        <v>0</v>
      </c>
      <c r="O2078" s="311"/>
      <c r="P2078" t="str">
        <f t="shared" si="178"/>
        <v>112-7380</v>
      </c>
      <c r="Q2078" s="315" t="str">
        <f t="shared" si="179"/>
        <v>LEX Admin &amp; Other</v>
      </c>
      <c r="R2078" s="315" t="str">
        <f t="shared" si="180"/>
        <v>LEX Admin &amp; OtherOther Overheads as % of Total Gross Profit</v>
      </c>
      <c r="S2078" s="199"/>
      <c r="T2078" s="199"/>
      <c r="U2078" s="199"/>
    </row>
    <row r="2079" spans="1:21" x14ac:dyDescent="0.25">
      <c r="A2079" t="s">
        <v>996</v>
      </c>
      <c r="B2079" t="s">
        <v>997</v>
      </c>
      <c r="C2079" t="s">
        <v>997</v>
      </c>
      <c r="D2079">
        <v>7380</v>
      </c>
      <c r="E2079">
        <v>100</v>
      </c>
      <c r="F2079" t="s">
        <v>1375</v>
      </c>
      <c r="G2079" t="s">
        <v>1376</v>
      </c>
      <c r="H2079" s="315" t="s">
        <v>1000</v>
      </c>
      <c r="I2079" s="315" t="s">
        <v>1001</v>
      </c>
      <c r="J2079" s="315" t="str">
        <f t="shared" si="176"/>
        <v>Admin &amp; OtherOther Overheads as % of Total Gross Profit</v>
      </c>
      <c r="K2079" s="315" t="str">
        <f t="shared" si="177"/>
        <v>100Uniforms - Toyota</v>
      </c>
      <c r="L2079" s="311">
        <f>+SUMIF('TUNZ Extracted TB'!M:M,$P2079,'TUNZ Extracted TB'!G:G)</f>
        <v>0</v>
      </c>
      <c r="M2079" s="311"/>
      <c r="N2079" s="311">
        <f>+SUMIF('Input Sheet'!$AE:$AE,P2079,'Input Sheet'!$X:$X)</f>
        <v>0</v>
      </c>
      <c r="O2079" s="311"/>
      <c r="P2079" t="str">
        <f t="shared" si="178"/>
        <v>100-7380</v>
      </c>
      <c r="Q2079" s="315" t="str">
        <f t="shared" si="179"/>
        <v>Admin &amp; Other</v>
      </c>
      <c r="R2079" s="315" t="str">
        <f t="shared" si="180"/>
        <v>Admin &amp; OtherOther Overheads as % of Total Gross Profit</v>
      </c>
      <c r="S2079" s="199"/>
      <c r="T2079" s="199"/>
      <c r="U2079" s="199"/>
    </row>
    <row r="2080" spans="1:21" x14ac:dyDescent="0.25">
      <c r="A2080" t="s">
        <v>996</v>
      </c>
      <c r="B2080" t="s">
        <v>997</v>
      </c>
      <c r="C2080" t="s">
        <v>997</v>
      </c>
      <c r="D2080">
        <v>7380</v>
      </c>
      <c r="E2080">
        <v>110</v>
      </c>
      <c r="F2080" t="s">
        <v>1375</v>
      </c>
      <c r="G2080" t="s">
        <v>1376</v>
      </c>
      <c r="H2080" s="315" t="s">
        <v>1000</v>
      </c>
      <c r="I2080" s="315" t="s">
        <v>1001</v>
      </c>
      <c r="J2080" s="315" t="str">
        <f t="shared" si="176"/>
        <v>Admin &amp; OtherOther Overheads as % of Total Gross Profit</v>
      </c>
      <c r="K2080" s="315" t="str">
        <f t="shared" si="177"/>
        <v>110Uniforms - Toyota</v>
      </c>
      <c r="L2080" s="311">
        <f>+SUMIF('TUNZ Extracted TB'!M:M,$P2080,'TUNZ Extracted TB'!G:G)</f>
        <v>0</v>
      </c>
      <c r="M2080" s="311"/>
      <c r="N2080" s="311">
        <f>+SUMIF('Input Sheet'!$AE:$AE,P2080,'Input Sheet'!$X:$X)</f>
        <v>0</v>
      </c>
      <c r="O2080" s="311"/>
      <c r="P2080" t="str">
        <f t="shared" si="178"/>
        <v>110-7380</v>
      </c>
      <c r="Q2080" s="315" t="str">
        <f t="shared" si="179"/>
        <v>Admin &amp; Other</v>
      </c>
      <c r="R2080" s="315" t="str">
        <f t="shared" si="180"/>
        <v>Admin &amp; OtherOther Overheads as % of Total Gross Profit</v>
      </c>
      <c r="S2080" s="199"/>
      <c r="T2080" s="199"/>
      <c r="U2080" s="199"/>
    </row>
    <row r="2081" spans="1:21" x14ac:dyDescent="0.25">
      <c r="A2081" t="s">
        <v>996</v>
      </c>
      <c r="B2081" t="s">
        <v>997</v>
      </c>
      <c r="C2081" t="s">
        <v>997</v>
      </c>
      <c r="D2081">
        <v>7380</v>
      </c>
      <c r="E2081">
        <v>936</v>
      </c>
      <c r="F2081" t="s">
        <v>1175</v>
      </c>
      <c r="G2081" t="s">
        <v>1176</v>
      </c>
      <c r="H2081" s="315" t="s">
        <v>1023</v>
      </c>
      <c r="I2081" s="315" t="s">
        <v>1001</v>
      </c>
      <c r="J2081" s="315" t="str">
        <f t="shared" si="176"/>
        <v>LEX Admin &amp; OtherOther Overheads as % of Total Gross Profit</v>
      </c>
      <c r="K2081" s="315" t="str">
        <f t="shared" si="177"/>
        <v>936Other franchise/business expense</v>
      </c>
      <c r="L2081" s="311">
        <f>+SUMIF('TUNZ Extracted TB'!M:M,$P2081,'TUNZ Extracted TB'!G:G)</f>
        <v>0</v>
      </c>
      <c r="M2081" s="311"/>
      <c r="N2081" s="311">
        <f>+SUMIF('Input Sheet'!$AE:$AE,P2081,'Input Sheet'!$X:$X)</f>
        <v>0</v>
      </c>
      <c r="O2081" s="311"/>
      <c r="P2081" t="str">
        <f t="shared" si="178"/>
        <v>936-7380</v>
      </c>
      <c r="Q2081" s="315" t="str">
        <f t="shared" si="179"/>
        <v>LEX Admin &amp; Other</v>
      </c>
      <c r="R2081" s="315" t="str">
        <f t="shared" si="180"/>
        <v>LEX Admin &amp; OtherOther Overheads as % of Total Gross Profit</v>
      </c>
      <c r="S2081" s="199"/>
      <c r="T2081" s="199"/>
      <c r="U2081" s="199"/>
    </row>
    <row r="2082" spans="1:21" x14ac:dyDescent="0.25">
      <c r="A2082" t="s">
        <v>996</v>
      </c>
      <c r="B2082" t="s">
        <v>997</v>
      </c>
      <c r="C2082" t="s">
        <v>997</v>
      </c>
      <c r="D2082">
        <v>7380</v>
      </c>
      <c r="E2082">
        <v>935</v>
      </c>
      <c r="F2082" t="s">
        <v>1175</v>
      </c>
      <c r="G2082" t="s">
        <v>1176</v>
      </c>
      <c r="H2082" s="315" t="s">
        <v>1023</v>
      </c>
      <c r="I2082" s="315" t="s">
        <v>1001</v>
      </c>
      <c r="J2082" s="315" t="str">
        <f t="shared" si="176"/>
        <v>LEX Admin &amp; OtherOther Overheads as % of Total Gross Profit</v>
      </c>
      <c r="K2082" s="315" t="str">
        <f t="shared" si="177"/>
        <v>935Other franchise/business expense</v>
      </c>
      <c r="L2082" s="311">
        <f>+SUMIF('TUNZ Extracted TB'!M:M,$P2082,'TUNZ Extracted TB'!G:G)</f>
        <v>0</v>
      </c>
      <c r="M2082" s="311"/>
      <c r="N2082" s="311">
        <f>+SUMIF('Input Sheet'!$AE:$AE,P2082,'Input Sheet'!$X:$X)</f>
        <v>0</v>
      </c>
      <c r="O2082" s="311"/>
      <c r="P2082" t="str">
        <f t="shared" si="178"/>
        <v>935-7380</v>
      </c>
      <c r="Q2082" s="315" t="str">
        <f t="shared" si="179"/>
        <v>LEX Admin &amp; Other</v>
      </c>
      <c r="R2082" s="315" t="str">
        <f t="shared" si="180"/>
        <v>LEX Admin &amp; OtherOther Overheads as % of Total Gross Profit</v>
      </c>
      <c r="S2082" s="199"/>
      <c r="T2082" s="199"/>
      <c r="U2082" s="199"/>
    </row>
    <row r="2083" spans="1:21" x14ac:dyDescent="0.25">
      <c r="A2083" t="s">
        <v>996</v>
      </c>
      <c r="B2083" t="s">
        <v>997</v>
      </c>
      <c r="C2083" t="s">
        <v>997</v>
      </c>
      <c r="D2083">
        <v>7380</v>
      </c>
      <c r="E2083">
        <v>122</v>
      </c>
      <c r="F2083" t="s">
        <v>1377</v>
      </c>
      <c r="G2083" t="s">
        <v>1378</v>
      </c>
      <c r="H2083" s="315" t="s">
        <v>1023</v>
      </c>
      <c r="I2083" s="315" t="s">
        <v>1001</v>
      </c>
      <c r="J2083" s="315" t="str">
        <f t="shared" si="176"/>
        <v>LEX Admin &amp; OtherOther Overheads as % of Total Gross Profit</v>
      </c>
      <c r="K2083" s="315" t="str">
        <f t="shared" si="177"/>
        <v>122Uniforms - Lexus</v>
      </c>
      <c r="L2083" s="311">
        <f>+SUMIF('TUNZ Extracted TB'!M:M,$P2083,'TUNZ Extracted TB'!G:G)</f>
        <v>0</v>
      </c>
      <c r="M2083" s="311"/>
      <c r="N2083" s="311">
        <f>+SUMIF('Input Sheet'!$AE:$AE,P2083,'Input Sheet'!$X:$X)</f>
        <v>0</v>
      </c>
      <c r="O2083" s="311"/>
      <c r="P2083" t="str">
        <f t="shared" si="178"/>
        <v>122-7380</v>
      </c>
      <c r="Q2083" s="315" t="str">
        <f t="shared" si="179"/>
        <v>LEX Admin &amp; Other</v>
      </c>
      <c r="R2083" s="315" t="str">
        <f t="shared" si="180"/>
        <v>LEX Admin &amp; OtherOther Overheads as % of Total Gross Profit</v>
      </c>
      <c r="S2083" s="199"/>
      <c r="T2083" s="199"/>
      <c r="U2083" s="199"/>
    </row>
    <row r="2084" spans="1:21" x14ac:dyDescent="0.25">
      <c r="A2084" t="s">
        <v>996</v>
      </c>
      <c r="B2084" t="s">
        <v>997</v>
      </c>
      <c r="C2084" t="s">
        <v>1005</v>
      </c>
      <c r="D2084">
        <v>7380</v>
      </c>
      <c r="E2084">
        <v>230</v>
      </c>
      <c r="F2084" t="s">
        <v>1375</v>
      </c>
      <c r="G2084" t="s">
        <v>1376</v>
      </c>
      <c r="H2084" s="315" t="s">
        <v>1000</v>
      </c>
      <c r="I2084" s="315" t="s">
        <v>1001</v>
      </c>
      <c r="J2084" s="315" t="str">
        <f t="shared" si="176"/>
        <v>Admin &amp; OtherOther Overheads as % of Total Gross Profit</v>
      </c>
      <c r="K2084" s="315" t="str">
        <f t="shared" si="177"/>
        <v>230Uniforms - Toyota</v>
      </c>
      <c r="L2084" s="311">
        <f>+SUMIF('TUNZ Extracted TB'!M:M,$P2084,'TUNZ Extracted TB'!G:G)</f>
        <v>0</v>
      </c>
      <c r="M2084" s="311"/>
      <c r="N2084" s="311">
        <f>+SUMIF('Input Sheet'!$AE:$AE,P2084,'Input Sheet'!$X:$X)</f>
        <v>0</v>
      </c>
      <c r="O2084" s="311"/>
      <c r="P2084" t="str">
        <f t="shared" si="178"/>
        <v>230-7380</v>
      </c>
      <c r="Q2084" s="315" t="str">
        <f t="shared" si="179"/>
        <v>Admin &amp; Other</v>
      </c>
      <c r="R2084" s="315" t="str">
        <f t="shared" si="180"/>
        <v>Admin &amp; OtherOther Overheads as % of Total Gross Profit</v>
      </c>
      <c r="S2084" s="199"/>
      <c r="T2084" s="199"/>
      <c r="U2084" s="199"/>
    </row>
    <row r="2085" spans="1:21" x14ac:dyDescent="0.25">
      <c r="A2085" t="s">
        <v>996</v>
      </c>
      <c r="B2085" t="s">
        <v>997</v>
      </c>
      <c r="C2085" t="s">
        <v>1005</v>
      </c>
      <c r="D2085">
        <v>7380</v>
      </c>
      <c r="E2085">
        <v>240</v>
      </c>
      <c r="F2085" t="s">
        <v>1375</v>
      </c>
      <c r="G2085" t="s">
        <v>1376</v>
      </c>
      <c r="H2085" s="315" t="s">
        <v>1000</v>
      </c>
      <c r="I2085" s="315" t="s">
        <v>1001</v>
      </c>
      <c r="J2085" s="315" t="str">
        <f t="shared" si="176"/>
        <v>Admin &amp; OtherOther Overheads as % of Total Gross Profit</v>
      </c>
      <c r="K2085" s="315" t="str">
        <f t="shared" si="177"/>
        <v>240Uniforms - Toyota</v>
      </c>
      <c r="L2085" s="311">
        <f>+SUMIF('TUNZ Extracted TB'!M:M,$P2085,'TUNZ Extracted TB'!G:G)</f>
        <v>0</v>
      </c>
      <c r="M2085" s="311"/>
      <c r="N2085" s="311">
        <f>+SUMIF('Input Sheet'!$AE:$AE,P2085,'Input Sheet'!$X:$X)</f>
        <v>0</v>
      </c>
      <c r="O2085" s="311"/>
      <c r="P2085" t="str">
        <f t="shared" si="178"/>
        <v>240-7380</v>
      </c>
      <c r="Q2085" s="315" t="str">
        <f t="shared" si="179"/>
        <v>Admin &amp; Other</v>
      </c>
      <c r="R2085" s="315" t="str">
        <f t="shared" si="180"/>
        <v>Admin &amp; OtherOther Overheads as % of Total Gross Profit</v>
      </c>
      <c r="S2085" s="199"/>
      <c r="T2085" s="199"/>
      <c r="U2085" s="199"/>
    </row>
    <row r="2086" spans="1:21" x14ac:dyDescent="0.25">
      <c r="A2086" t="s">
        <v>996</v>
      </c>
      <c r="B2086" t="s">
        <v>997</v>
      </c>
      <c r="C2086" t="s">
        <v>1012</v>
      </c>
      <c r="D2086">
        <v>7380</v>
      </c>
      <c r="E2086">
        <v>430</v>
      </c>
      <c r="F2086" t="s">
        <v>1375</v>
      </c>
      <c r="G2086" t="s">
        <v>1376</v>
      </c>
      <c r="H2086" s="315" t="s">
        <v>1000</v>
      </c>
      <c r="I2086" s="315" t="s">
        <v>1001</v>
      </c>
      <c r="J2086" s="315" t="str">
        <f t="shared" si="176"/>
        <v>Admin &amp; OtherOther Overheads as % of Total Gross Profit</v>
      </c>
      <c r="K2086" s="315" t="str">
        <f t="shared" si="177"/>
        <v>430Uniforms - Toyota</v>
      </c>
      <c r="L2086" s="311">
        <f>+SUMIF('TUNZ Extracted TB'!M:M,$P2086,'TUNZ Extracted TB'!G:G)</f>
        <v>0</v>
      </c>
      <c r="M2086" s="311"/>
      <c r="N2086" s="311">
        <f>+SUMIF('Input Sheet'!$AE:$AE,P2086,'Input Sheet'!$X:$X)</f>
        <v>0</v>
      </c>
      <c r="O2086" s="311"/>
      <c r="P2086" t="str">
        <f t="shared" si="178"/>
        <v>430-7380</v>
      </c>
      <c r="Q2086" s="315" t="str">
        <f t="shared" si="179"/>
        <v>Admin &amp; Other</v>
      </c>
      <c r="R2086" s="315" t="str">
        <f t="shared" si="180"/>
        <v>Admin &amp; OtherOther Overheads as % of Total Gross Profit</v>
      </c>
      <c r="S2086" s="199"/>
      <c r="T2086" s="199"/>
      <c r="U2086" s="199"/>
    </row>
    <row r="2087" spans="1:21" x14ac:dyDescent="0.25">
      <c r="A2087" t="s">
        <v>996</v>
      </c>
      <c r="B2087" t="s">
        <v>997</v>
      </c>
      <c r="C2087" t="s">
        <v>1012</v>
      </c>
      <c r="D2087">
        <v>7380</v>
      </c>
      <c r="E2087">
        <v>440</v>
      </c>
      <c r="F2087" t="s">
        <v>1375</v>
      </c>
      <c r="G2087" t="s">
        <v>1376</v>
      </c>
      <c r="H2087" s="315" t="s">
        <v>1000</v>
      </c>
      <c r="I2087" s="315" t="s">
        <v>1001</v>
      </c>
      <c r="J2087" s="315" t="str">
        <f t="shared" si="176"/>
        <v>Admin &amp; OtherOther Overheads as % of Total Gross Profit</v>
      </c>
      <c r="K2087" s="315" t="str">
        <f t="shared" si="177"/>
        <v>440Uniforms - Toyota</v>
      </c>
      <c r="L2087" s="311">
        <f>+SUMIF('TUNZ Extracted TB'!M:M,$P2087,'TUNZ Extracted TB'!G:G)</f>
        <v>0</v>
      </c>
      <c r="M2087" s="311"/>
      <c r="N2087" s="311">
        <f>+SUMIF('Input Sheet'!$AE:$AE,P2087,'Input Sheet'!$X:$X)</f>
        <v>0</v>
      </c>
      <c r="O2087" s="311"/>
      <c r="P2087" t="str">
        <f t="shared" si="178"/>
        <v>440-7380</v>
      </c>
      <c r="Q2087" s="315" t="str">
        <f t="shared" si="179"/>
        <v>Admin &amp; Other</v>
      </c>
      <c r="R2087" s="315" t="str">
        <f t="shared" si="180"/>
        <v>Admin &amp; OtherOther Overheads as % of Total Gross Profit</v>
      </c>
      <c r="S2087" s="199"/>
      <c r="T2087" s="199"/>
      <c r="U2087" s="199"/>
    </row>
    <row r="2088" spans="1:21" x14ac:dyDescent="0.25">
      <c r="A2088" t="s">
        <v>996</v>
      </c>
      <c r="B2088" t="s">
        <v>997</v>
      </c>
      <c r="C2088" t="s">
        <v>1012</v>
      </c>
      <c r="D2088">
        <v>7380</v>
      </c>
      <c r="E2088">
        <v>460</v>
      </c>
      <c r="F2088" t="s">
        <v>1375</v>
      </c>
      <c r="G2088" t="s">
        <v>1376</v>
      </c>
      <c r="H2088" s="315" t="s">
        <v>1000</v>
      </c>
      <c r="I2088" s="315" t="s">
        <v>1001</v>
      </c>
      <c r="J2088" s="315" t="str">
        <f t="shared" si="176"/>
        <v>Admin &amp; OtherOther Overheads as % of Total Gross Profit</v>
      </c>
      <c r="K2088" s="315" t="str">
        <f t="shared" si="177"/>
        <v>460Uniforms - Toyota</v>
      </c>
      <c r="L2088" s="311">
        <f>+SUMIF('TUNZ Extracted TB'!M:M,$P2088,'TUNZ Extracted TB'!G:G)</f>
        <v>0</v>
      </c>
      <c r="M2088" s="311"/>
      <c r="N2088" s="311">
        <f>+SUMIF('Input Sheet'!$AE:$AE,P2088,'Input Sheet'!$X:$X)</f>
        <v>0</v>
      </c>
      <c r="O2088" s="311"/>
      <c r="P2088" t="str">
        <f t="shared" si="178"/>
        <v>460-7380</v>
      </c>
      <c r="Q2088" s="315" t="str">
        <f t="shared" si="179"/>
        <v>Admin &amp; Other</v>
      </c>
      <c r="R2088" s="315" t="str">
        <f t="shared" si="180"/>
        <v>Admin &amp; OtherOther Overheads as % of Total Gross Profit</v>
      </c>
      <c r="S2088" s="199"/>
      <c r="T2088" s="199"/>
      <c r="U2088" s="199"/>
    </row>
    <row r="2089" spans="1:21" x14ac:dyDescent="0.25">
      <c r="A2089" t="s">
        <v>996</v>
      </c>
      <c r="B2089" t="s">
        <v>997</v>
      </c>
      <c r="C2089" t="s">
        <v>1013</v>
      </c>
      <c r="D2089">
        <v>7380</v>
      </c>
      <c r="E2089">
        <v>330</v>
      </c>
      <c r="F2089" t="s">
        <v>1375</v>
      </c>
      <c r="G2089" t="s">
        <v>1376</v>
      </c>
      <c r="H2089" s="315" t="s">
        <v>1000</v>
      </c>
      <c r="I2089" s="315" t="s">
        <v>1001</v>
      </c>
      <c r="J2089" s="315" t="str">
        <f t="shared" si="176"/>
        <v>Admin &amp; OtherOther Overheads as % of Total Gross Profit</v>
      </c>
      <c r="K2089" s="315" t="str">
        <f t="shared" si="177"/>
        <v>330Uniforms - Toyota</v>
      </c>
      <c r="L2089" s="311">
        <f>+SUMIF('TUNZ Extracted TB'!M:M,$P2089,'TUNZ Extracted TB'!G:G)</f>
        <v>0</v>
      </c>
      <c r="M2089" s="311"/>
      <c r="N2089" s="311">
        <f>+SUMIF('Input Sheet'!$AE:$AE,P2089,'Input Sheet'!$X:$X)</f>
        <v>0</v>
      </c>
      <c r="O2089" s="311"/>
      <c r="P2089" t="str">
        <f t="shared" si="178"/>
        <v>330-7380</v>
      </c>
      <c r="Q2089" s="315" t="str">
        <f t="shared" si="179"/>
        <v>Admin &amp; Other</v>
      </c>
      <c r="R2089" s="315" t="str">
        <f t="shared" si="180"/>
        <v>Admin &amp; OtherOther Overheads as % of Total Gross Profit</v>
      </c>
      <c r="S2089" s="199"/>
      <c r="T2089" s="199"/>
      <c r="U2089" s="199"/>
    </row>
    <row r="2090" spans="1:21" x14ac:dyDescent="0.25">
      <c r="A2090" t="s">
        <v>996</v>
      </c>
      <c r="B2090" t="s">
        <v>997</v>
      </c>
      <c r="C2090" t="s">
        <v>1013</v>
      </c>
      <c r="D2090">
        <v>7380</v>
      </c>
      <c r="E2090">
        <v>340</v>
      </c>
      <c r="F2090" t="s">
        <v>1375</v>
      </c>
      <c r="G2090" t="s">
        <v>1376</v>
      </c>
      <c r="H2090" s="315" t="s">
        <v>1000</v>
      </c>
      <c r="I2090" s="315" t="s">
        <v>1001</v>
      </c>
      <c r="J2090" s="315" t="str">
        <f t="shared" si="176"/>
        <v>Admin &amp; OtherOther Overheads as % of Total Gross Profit</v>
      </c>
      <c r="K2090" s="315" t="str">
        <f t="shared" si="177"/>
        <v>340Uniforms - Toyota</v>
      </c>
      <c r="L2090" s="311">
        <f>+SUMIF('TUNZ Extracted TB'!M:M,$P2090,'TUNZ Extracted TB'!G:G)</f>
        <v>0</v>
      </c>
      <c r="M2090" s="311"/>
      <c r="N2090" s="311">
        <f>+SUMIF('Input Sheet'!$AE:$AE,P2090,'Input Sheet'!$X:$X)</f>
        <v>0</v>
      </c>
      <c r="O2090" s="311"/>
      <c r="P2090" t="str">
        <f t="shared" si="178"/>
        <v>340-7380</v>
      </c>
      <c r="Q2090" s="315" t="str">
        <f t="shared" si="179"/>
        <v>Admin &amp; Other</v>
      </c>
      <c r="R2090" s="315" t="str">
        <f t="shared" si="180"/>
        <v>Admin &amp; OtherOther Overheads as % of Total Gross Profit</v>
      </c>
      <c r="S2090" s="199"/>
      <c r="T2090" s="199"/>
      <c r="U2090" s="199"/>
    </row>
    <row r="2091" spans="1:21" x14ac:dyDescent="0.25">
      <c r="A2091" t="s">
        <v>996</v>
      </c>
      <c r="B2091" t="s">
        <v>997</v>
      </c>
      <c r="C2091" t="s">
        <v>997</v>
      </c>
      <c r="D2091">
        <v>7380</v>
      </c>
      <c r="E2091">
        <v>120</v>
      </c>
      <c r="F2091" t="s">
        <v>1375</v>
      </c>
      <c r="G2091" t="s">
        <v>1376</v>
      </c>
      <c r="H2091" s="315" t="s">
        <v>1000</v>
      </c>
      <c r="I2091" s="315" t="s">
        <v>1001</v>
      </c>
      <c r="J2091" s="315" t="str">
        <f t="shared" si="176"/>
        <v>Admin &amp; OtherOther Overheads as % of Total Gross Profit</v>
      </c>
      <c r="K2091" s="315" t="str">
        <f t="shared" si="177"/>
        <v>120Uniforms - Toyota</v>
      </c>
      <c r="L2091" s="311">
        <f>+SUMIF('TUNZ Extracted TB'!M:M,$P2091,'TUNZ Extracted TB'!G:G)</f>
        <v>0</v>
      </c>
      <c r="M2091" s="311"/>
      <c r="N2091" s="311">
        <f>+SUMIF('Input Sheet'!$AE:$AE,P2091,'Input Sheet'!$X:$X)</f>
        <v>0</v>
      </c>
      <c r="O2091" s="311"/>
      <c r="P2091" t="str">
        <f t="shared" si="178"/>
        <v>120-7380</v>
      </c>
      <c r="Q2091" s="315" t="str">
        <f t="shared" si="179"/>
        <v>Admin &amp; Other</v>
      </c>
      <c r="R2091" s="315" t="str">
        <f t="shared" si="180"/>
        <v>Admin &amp; OtherOther Overheads as % of Total Gross Profit</v>
      </c>
      <c r="S2091" s="199"/>
      <c r="T2091" s="199"/>
      <c r="U2091" s="199"/>
    </row>
    <row r="2092" spans="1:21" x14ac:dyDescent="0.25">
      <c r="A2092" t="s">
        <v>996</v>
      </c>
      <c r="B2092" t="s">
        <v>997</v>
      </c>
      <c r="C2092" t="s">
        <v>997</v>
      </c>
      <c r="D2092">
        <v>7380</v>
      </c>
      <c r="E2092">
        <v>121</v>
      </c>
      <c r="F2092" t="s">
        <v>1375</v>
      </c>
      <c r="G2092" t="s">
        <v>1376</v>
      </c>
      <c r="H2092" s="315" t="s">
        <v>1000</v>
      </c>
      <c r="I2092" s="315" t="s">
        <v>1001</v>
      </c>
      <c r="J2092" s="315" t="str">
        <f t="shared" si="176"/>
        <v>Admin &amp; OtherOther Overheads as % of Total Gross Profit</v>
      </c>
      <c r="K2092" s="315" t="str">
        <f t="shared" si="177"/>
        <v>121Uniforms - Toyota</v>
      </c>
      <c r="L2092" s="311">
        <f>+SUMIF('TUNZ Extracted TB'!M:M,$P2092,'TUNZ Extracted TB'!G:G)</f>
        <v>0</v>
      </c>
      <c r="M2092" s="311"/>
      <c r="N2092" s="311">
        <f>+SUMIF('Input Sheet'!$AE:$AE,P2092,'Input Sheet'!$X:$X)</f>
        <v>0</v>
      </c>
      <c r="O2092" s="311"/>
      <c r="P2092" t="str">
        <f t="shared" si="178"/>
        <v>121-7380</v>
      </c>
      <c r="Q2092" s="315" t="str">
        <f t="shared" si="179"/>
        <v>Admin &amp; Other</v>
      </c>
      <c r="R2092" s="315" t="str">
        <f t="shared" si="180"/>
        <v>Admin &amp; OtherOther Overheads as % of Total Gross Profit</v>
      </c>
      <c r="S2092" s="199"/>
      <c r="T2092" s="199"/>
      <c r="U2092" s="199"/>
    </row>
    <row r="2093" spans="1:21" x14ac:dyDescent="0.25">
      <c r="A2093" t="s">
        <v>996</v>
      </c>
      <c r="B2093" t="s">
        <v>997</v>
      </c>
      <c r="C2093" t="s">
        <v>997</v>
      </c>
      <c r="D2093">
        <v>7380</v>
      </c>
      <c r="E2093">
        <v>147</v>
      </c>
      <c r="F2093" t="s">
        <v>1375</v>
      </c>
      <c r="G2093" t="s">
        <v>1376</v>
      </c>
      <c r="H2093" s="315" t="s">
        <v>1000</v>
      </c>
      <c r="I2093" s="315" t="s">
        <v>1001</v>
      </c>
      <c r="J2093" s="315" t="str">
        <f t="shared" si="176"/>
        <v>Admin &amp; OtherOther Overheads as % of Total Gross Profit</v>
      </c>
      <c r="K2093" s="315" t="str">
        <f t="shared" si="177"/>
        <v>147Uniforms - Toyota</v>
      </c>
      <c r="L2093" s="311">
        <f>+SUMIF('TUNZ Extracted TB'!M:M,$P2093,'TUNZ Extracted TB'!G:G)</f>
        <v>0</v>
      </c>
      <c r="M2093" s="311"/>
      <c r="N2093" s="311">
        <f>+SUMIF('Input Sheet'!$AE:$AE,P2093,'Input Sheet'!$X:$X)</f>
        <v>0</v>
      </c>
      <c r="O2093" s="311"/>
      <c r="P2093" t="str">
        <f t="shared" si="178"/>
        <v>147-7380</v>
      </c>
      <c r="Q2093" s="315" t="str">
        <f t="shared" si="179"/>
        <v>Admin &amp; Other</v>
      </c>
      <c r="R2093" s="315" t="str">
        <f t="shared" si="180"/>
        <v>Admin &amp; OtherOther Overheads as % of Total Gross Profit</v>
      </c>
      <c r="S2093" s="199"/>
      <c r="T2093" s="199"/>
      <c r="U2093" s="199"/>
    </row>
    <row r="2094" spans="1:21" x14ac:dyDescent="0.25">
      <c r="A2094" t="s">
        <v>996</v>
      </c>
      <c r="B2094" t="s">
        <v>997</v>
      </c>
      <c r="C2094" t="s">
        <v>997</v>
      </c>
      <c r="D2094">
        <v>7390</v>
      </c>
      <c r="E2094">
        <v>110</v>
      </c>
      <c r="F2094" t="s">
        <v>1296</v>
      </c>
      <c r="G2094" t="s">
        <v>1297</v>
      </c>
      <c r="H2094" s="315" t="s">
        <v>29</v>
      </c>
      <c r="I2094" s="315" t="s">
        <v>1298</v>
      </c>
      <c r="J2094" s="315" t="str">
        <f t="shared" si="176"/>
        <v>New VehicleAdvertising p.u.</v>
      </c>
      <c r="K2094" s="315" t="str">
        <f t="shared" si="177"/>
        <v>110NV Advertising &amp; Promotion - Toyota</v>
      </c>
      <c r="L2094" s="311">
        <f>+SUMIF('TUNZ Extracted TB'!M:M,$P2094,'TUNZ Extracted TB'!G:G)</f>
        <v>8831.84</v>
      </c>
      <c r="M2094" s="311"/>
      <c r="N2094" s="311">
        <f>+SUMIF('Input Sheet'!$AE:$AE,P2094,'Input Sheet'!$X:$X)</f>
        <v>0</v>
      </c>
      <c r="O2094" s="311"/>
      <c r="P2094" t="str">
        <f t="shared" si="178"/>
        <v>110-7390</v>
      </c>
      <c r="Q2094" s="315" t="str">
        <f t="shared" si="179"/>
        <v>New Vehicle</v>
      </c>
      <c r="R2094" s="315" t="str">
        <f t="shared" si="180"/>
        <v>New VehicleAdvertising p.u.</v>
      </c>
      <c r="S2094" s="199"/>
      <c r="T2094" s="199"/>
      <c r="U2094" s="199"/>
    </row>
    <row r="2095" spans="1:21" x14ac:dyDescent="0.25">
      <c r="A2095" t="s">
        <v>996</v>
      </c>
      <c r="B2095" t="s">
        <v>997</v>
      </c>
      <c r="C2095" t="s">
        <v>1005</v>
      </c>
      <c r="D2095">
        <v>7385</v>
      </c>
      <c r="E2095">
        <v>220</v>
      </c>
      <c r="F2095" t="s">
        <v>1299</v>
      </c>
      <c r="G2095" t="s">
        <v>1300</v>
      </c>
      <c r="H2095" s="315" t="s">
        <v>30</v>
      </c>
      <c r="I2095" s="315" t="s">
        <v>1301</v>
      </c>
      <c r="J2095" s="315" t="str">
        <f t="shared" si="176"/>
        <v>Used VehicleAdvertising per retail</v>
      </c>
      <c r="K2095" s="315" t="str">
        <f t="shared" si="177"/>
        <v>220Toyota UV Advertising &amp; Promotion</v>
      </c>
      <c r="L2095" s="311">
        <f>+SUMIF('TUNZ Extracted TB'!M:M,$P2095,'TUNZ Extracted TB'!G:G)</f>
        <v>0</v>
      </c>
      <c r="M2095" s="311"/>
      <c r="N2095" s="311">
        <f>+SUMIF('Input Sheet'!$AE:$AE,P2095,'Input Sheet'!$X:$X)</f>
        <v>0</v>
      </c>
      <c r="O2095" s="311"/>
      <c r="P2095" t="str">
        <f t="shared" si="178"/>
        <v>220-7385</v>
      </c>
      <c r="Q2095" s="315" t="str">
        <f t="shared" si="179"/>
        <v>Used Vehicle</v>
      </c>
      <c r="R2095" s="315" t="str">
        <f t="shared" si="180"/>
        <v>Used VehicleAdvertising per retail</v>
      </c>
      <c r="S2095" s="199"/>
      <c r="T2095" s="199"/>
      <c r="U2095" s="199"/>
    </row>
    <row r="2096" spans="1:21" x14ac:dyDescent="0.25">
      <c r="A2096" t="s">
        <v>996</v>
      </c>
      <c r="B2096" t="s">
        <v>997</v>
      </c>
      <c r="C2096" t="s">
        <v>997</v>
      </c>
      <c r="D2096">
        <v>7385</v>
      </c>
      <c r="E2096">
        <v>120</v>
      </c>
      <c r="F2096" t="s">
        <v>1299</v>
      </c>
      <c r="G2096" t="s">
        <v>1300</v>
      </c>
      <c r="H2096" s="315" t="s">
        <v>30</v>
      </c>
      <c r="I2096" s="315" t="s">
        <v>1301</v>
      </c>
      <c r="J2096" s="315" t="str">
        <f t="shared" si="176"/>
        <v>Used VehicleAdvertising per retail</v>
      </c>
      <c r="K2096" s="315" t="str">
        <f t="shared" si="177"/>
        <v>120Toyota UV Advertising &amp; Promotion</v>
      </c>
      <c r="L2096" s="311">
        <f>+SUMIF('TUNZ Extracted TB'!M:M,$P2096,'TUNZ Extracted TB'!G:G)</f>
        <v>0</v>
      </c>
      <c r="M2096" s="311"/>
      <c r="N2096" s="311">
        <f>+SUMIF('Input Sheet'!$AE:$AE,P2096,'Input Sheet'!$X:$X)</f>
        <v>0</v>
      </c>
      <c r="O2096" s="311"/>
      <c r="P2096" t="str">
        <f t="shared" si="178"/>
        <v>120-7385</v>
      </c>
      <c r="Q2096" s="315" t="str">
        <f t="shared" si="179"/>
        <v>Used Vehicle</v>
      </c>
      <c r="R2096" s="315" t="str">
        <f t="shared" si="180"/>
        <v>Used VehicleAdvertising per retail</v>
      </c>
      <c r="S2096" s="199"/>
      <c r="T2096" s="199"/>
      <c r="U2096" s="199"/>
    </row>
    <row r="2097" spans="1:21" x14ac:dyDescent="0.25">
      <c r="A2097" t="s">
        <v>996</v>
      </c>
      <c r="B2097" t="s">
        <v>997</v>
      </c>
      <c r="C2097" t="s">
        <v>997</v>
      </c>
      <c r="D2097">
        <v>7385</v>
      </c>
      <c r="E2097">
        <v>160</v>
      </c>
      <c r="F2097" t="s">
        <v>1317</v>
      </c>
      <c r="G2097" t="s">
        <v>1318</v>
      </c>
      <c r="H2097" s="315" t="s">
        <v>16</v>
      </c>
      <c r="I2097" s="315" t="s">
        <v>1295</v>
      </c>
      <c r="J2097" s="315" t="str">
        <f t="shared" si="176"/>
        <v>F&amp;IOther Expenses per vehicle retailed</v>
      </c>
      <c r="K2097" s="315" t="str">
        <f t="shared" si="177"/>
        <v>160F&amp;I Advertising &amp; Promotion - Toyota</v>
      </c>
      <c r="L2097" s="311">
        <f>+SUMIF('TUNZ Extracted TB'!M:M,$P2097,'TUNZ Extracted TB'!G:G)</f>
        <v>0</v>
      </c>
      <c r="M2097" s="311"/>
      <c r="N2097" s="311">
        <f>+SUMIF('Input Sheet'!$AE:$AE,P2097,'Input Sheet'!$X:$X)</f>
        <v>0</v>
      </c>
      <c r="O2097" s="311"/>
      <c r="P2097" t="str">
        <f t="shared" si="178"/>
        <v>160-7385</v>
      </c>
      <c r="Q2097" s="315" t="str">
        <f t="shared" si="179"/>
        <v>F&amp;I</v>
      </c>
      <c r="R2097" s="315" t="str">
        <f t="shared" si="180"/>
        <v>F&amp;IOther Expenses per vehicle retailed</v>
      </c>
      <c r="S2097" s="199"/>
      <c r="T2097" s="199"/>
      <c r="U2097" s="199"/>
    </row>
    <row r="2098" spans="1:21" x14ac:dyDescent="0.25">
      <c r="A2098" t="s">
        <v>996</v>
      </c>
      <c r="B2098" t="s">
        <v>997</v>
      </c>
      <c r="C2098" t="s">
        <v>997</v>
      </c>
      <c r="D2098">
        <v>7385</v>
      </c>
      <c r="E2098">
        <v>935</v>
      </c>
      <c r="F2098" t="s">
        <v>1175</v>
      </c>
      <c r="G2098" t="s">
        <v>1176</v>
      </c>
      <c r="H2098" s="315" t="s">
        <v>58</v>
      </c>
      <c r="I2098" s="315" t="s">
        <v>1286</v>
      </c>
      <c r="J2098" s="315" t="str">
        <f t="shared" si="176"/>
        <v>BridgestoneOther Expenses as % of Sales</v>
      </c>
      <c r="K2098" s="315" t="str">
        <f t="shared" si="177"/>
        <v>935Other franchise/business expense</v>
      </c>
      <c r="L2098" s="311">
        <f>+SUMIF('TUNZ Extracted TB'!M:M,$P2098,'TUNZ Extracted TB'!G:G)</f>
        <v>0</v>
      </c>
      <c r="M2098" s="311"/>
      <c r="N2098" s="311">
        <f>+SUMIF('Input Sheet'!$AE:$AE,P2098,'Input Sheet'!$X:$X)</f>
        <v>0</v>
      </c>
      <c r="O2098" s="311"/>
      <c r="P2098" t="str">
        <f t="shared" si="178"/>
        <v>935-7385</v>
      </c>
      <c r="Q2098" s="315" t="str">
        <f t="shared" si="179"/>
        <v>Bridgestone</v>
      </c>
      <c r="R2098" s="315" t="str">
        <f t="shared" si="180"/>
        <v>BridgestoneOther Expenses as % of Sales</v>
      </c>
      <c r="S2098" s="199"/>
      <c r="T2098" s="199"/>
      <c r="U2098" s="199"/>
    </row>
    <row r="2099" spans="1:21" x14ac:dyDescent="0.25">
      <c r="A2099" t="s">
        <v>996</v>
      </c>
      <c r="B2099" t="s">
        <v>997</v>
      </c>
      <c r="C2099" t="s">
        <v>997</v>
      </c>
      <c r="D2099">
        <v>7385</v>
      </c>
      <c r="E2099">
        <v>140</v>
      </c>
      <c r="F2099" t="s">
        <v>1306</v>
      </c>
      <c r="G2099" t="s">
        <v>1307</v>
      </c>
      <c r="H2099" s="315" t="s">
        <v>17</v>
      </c>
      <c r="I2099" s="315" t="s">
        <v>1286</v>
      </c>
      <c r="J2099" s="315" t="str">
        <f t="shared" si="176"/>
        <v>ServiceOther Expenses as % of Sales</v>
      </c>
      <c r="K2099" s="315" t="str">
        <f t="shared" si="177"/>
        <v>140Service Advertising &amp; Promotion - Toyota</v>
      </c>
      <c r="L2099" s="311">
        <f>+SUMIF('TUNZ Extracted TB'!M:M,$P2099,'TUNZ Extracted TB'!G:G)</f>
        <v>0</v>
      </c>
      <c r="M2099" s="311"/>
      <c r="N2099" s="311">
        <f>+SUMIF('Input Sheet'!$AE:$AE,P2099,'Input Sheet'!$X:$X)</f>
        <v>0</v>
      </c>
      <c r="O2099" s="311"/>
      <c r="P2099" t="str">
        <f t="shared" si="178"/>
        <v>140-7385</v>
      </c>
      <c r="Q2099" s="315" t="str">
        <f t="shared" si="179"/>
        <v>Service</v>
      </c>
      <c r="R2099" s="315" t="str">
        <f t="shared" si="180"/>
        <v>ServiceOther Expenses as % of Sales</v>
      </c>
      <c r="S2099" s="199"/>
      <c r="T2099" s="199"/>
      <c r="U2099" s="199"/>
    </row>
    <row r="2100" spans="1:21" x14ac:dyDescent="0.25">
      <c r="A2100" t="s">
        <v>996</v>
      </c>
      <c r="B2100" t="s">
        <v>997</v>
      </c>
      <c r="C2100" t="s">
        <v>997</v>
      </c>
      <c r="D2100">
        <v>7385</v>
      </c>
      <c r="E2100">
        <v>142</v>
      </c>
      <c r="F2100" t="s">
        <v>1308</v>
      </c>
      <c r="G2100" t="s">
        <v>1309</v>
      </c>
      <c r="H2100" s="315" t="s">
        <v>1022</v>
      </c>
      <c r="I2100" s="315" t="s">
        <v>1286</v>
      </c>
      <c r="J2100" s="315" t="str">
        <f t="shared" si="176"/>
        <v>Lex ServiceOther Expenses as % of Sales</v>
      </c>
      <c r="K2100" s="315" t="str">
        <f t="shared" si="177"/>
        <v>142Service Advertising &amp; Promotion - Lexus</v>
      </c>
      <c r="L2100" s="311">
        <f>+SUMIF('TUNZ Extracted TB'!M:M,$P2100,'TUNZ Extracted TB'!G:G)</f>
        <v>0</v>
      </c>
      <c r="M2100" s="311"/>
      <c r="N2100" s="311">
        <f>+SUMIF('Input Sheet'!$AE:$AE,P2100,'Input Sheet'!$X:$X)</f>
        <v>0</v>
      </c>
      <c r="O2100" s="311"/>
      <c r="P2100" t="str">
        <f t="shared" si="178"/>
        <v>142-7385</v>
      </c>
      <c r="Q2100" s="315" t="str">
        <f t="shared" si="179"/>
        <v>Lex Service</v>
      </c>
      <c r="R2100" s="315" t="str">
        <f t="shared" si="180"/>
        <v>Lex ServiceOther Expenses as % of Sales</v>
      </c>
      <c r="S2100" s="199"/>
      <c r="T2100" s="199"/>
      <c r="U2100" s="199"/>
    </row>
    <row r="2101" spans="1:21" x14ac:dyDescent="0.25">
      <c r="A2101" t="s">
        <v>996</v>
      </c>
      <c r="B2101" t="s">
        <v>997</v>
      </c>
      <c r="C2101" t="s">
        <v>997</v>
      </c>
      <c r="D2101">
        <v>7385</v>
      </c>
      <c r="E2101">
        <v>130</v>
      </c>
      <c r="F2101" t="s">
        <v>1310</v>
      </c>
      <c r="G2101" t="s">
        <v>1311</v>
      </c>
      <c r="H2101" s="315" t="s">
        <v>5</v>
      </c>
      <c r="I2101" s="315" t="s">
        <v>1286</v>
      </c>
      <c r="J2101" s="315" t="str">
        <f t="shared" si="176"/>
        <v>PartsOther Expenses as % of Sales</v>
      </c>
      <c r="K2101" s="315" t="str">
        <f t="shared" si="177"/>
        <v>130Parts Advertising &amp; Promotion - Toyota</v>
      </c>
      <c r="L2101" s="311">
        <f>+SUMIF('TUNZ Extracted TB'!M:M,$P2101,'TUNZ Extracted TB'!G:G)</f>
        <v>0</v>
      </c>
      <c r="M2101" s="311"/>
      <c r="N2101" s="311">
        <f>+SUMIF('Input Sheet'!$AE:$AE,P2101,'Input Sheet'!$X:$X)</f>
        <v>0</v>
      </c>
      <c r="O2101" s="311"/>
      <c r="P2101" t="str">
        <f t="shared" si="178"/>
        <v>130-7385</v>
      </c>
      <c r="Q2101" s="315" t="str">
        <f t="shared" si="179"/>
        <v>Parts</v>
      </c>
      <c r="R2101" s="315" t="str">
        <f t="shared" si="180"/>
        <v>PartsOther Expenses as % of Sales</v>
      </c>
      <c r="S2101" s="199"/>
      <c r="T2101" s="199"/>
      <c r="U2101" s="199"/>
    </row>
    <row r="2102" spans="1:21" x14ac:dyDescent="0.25">
      <c r="A2102" t="s">
        <v>996</v>
      </c>
      <c r="B2102" t="s">
        <v>997</v>
      </c>
      <c r="C2102" t="s">
        <v>997</v>
      </c>
      <c r="D2102">
        <v>7385</v>
      </c>
      <c r="E2102">
        <v>110</v>
      </c>
      <c r="F2102" t="s">
        <v>1299</v>
      </c>
      <c r="G2102" t="s">
        <v>1300</v>
      </c>
      <c r="H2102" s="315" t="s">
        <v>30</v>
      </c>
      <c r="I2102" s="315" t="s">
        <v>1301</v>
      </c>
      <c r="J2102" s="315" t="str">
        <f t="shared" si="176"/>
        <v>Used VehicleAdvertising per retail</v>
      </c>
      <c r="K2102" s="315" t="str">
        <f t="shared" si="177"/>
        <v>110Toyota UV Advertising &amp; Promotion</v>
      </c>
      <c r="L2102" s="311">
        <f>+SUMIF('TUNZ Extracted TB'!M:M,$P2102,'TUNZ Extracted TB'!G:G)</f>
        <v>0</v>
      </c>
      <c r="M2102" s="311"/>
      <c r="N2102" s="311">
        <f>+SUMIF('Input Sheet'!$AE:$AE,P2102,'Input Sheet'!$X:$X)</f>
        <v>0</v>
      </c>
      <c r="O2102" s="311"/>
      <c r="P2102" t="str">
        <f t="shared" si="178"/>
        <v>110-7385</v>
      </c>
      <c r="Q2102" s="315" t="str">
        <f t="shared" si="179"/>
        <v>Used Vehicle</v>
      </c>
      <c r="R2102" s="315" t="str">
        <f t="shared" si="180"/>
        <v>Used VehicleAdvertising per retail</v>
      </c>
      <c r="S2102" s="199"/>
      <c r="T2102" s="199"/>
      <c r="U2102" s="199"/>
    </row>
    <row r="2103" spans="1:21" x14ac:dyDescent="0.25">
      <c r="A2103" t="s">
        <v>996</v>
      </c>
      <c r="B2103" t="s">
        <v>997</v>
      </c>
      <c r="C2103" t="s">
        <v>997</v>
      </c>
      <c r="D2103">
        <v>7390</v>
      </c>
      <c r="E2103">
        <v>112</v>
      </c>
      <c r="F2103" t="s">
        <v>1302</v>
      </c>
      <c r="G2103" t="s">
        <v>1303</v>
      </c>
      <c r="H2103" s="315" t="s">
        <v>1011</v>
      </c>
      <c r="I2103" s="315" t="s">
        <v>1298</v>
      </c>
      <c r="J2103" s="315" t="str">
        <f t="shared" si="176"/>
        <v>LEX New VehicleAdvertising p.u.</v>
      </c>
      <c r="K2103" s="315" t="str">
        <f t="shared" si="177"/>
        <v>112NV Advertising &amp; Promotion - Lexus</v>
      </c>
      <c r="L2103" s="311">
        <f>+SUMIF('TUNZ Extracted TB'!M:M,$P2103,'TUNZ Extracted TB'!G:G)</f>
        <v>7917.74</v>
      </c>
      <c r="M2103" s="311"/>
      <c r="N2103" s="311">
        <f>+SUMIF('Input Sheet'!$AE:$AE,P2103,'Input Sheet'!$X:$X)</f>
        <v>0</v>
      </c>
      <c r="O2103" s="311"/>
      <c r="P2103" t="str">
        <f t="shared" si="178"/>
        <v>112-7390</v>
      </c>
      <c r="Q2103" s="315" t="str">
        <f t="shared" si="179"/>
        <v>LEX New Vehicle</v>
      </c>
      <c r="R2103" s="315" t="str">
        <f t="shared" si="180"/>
        <v>LEX New VehicleAdvertising p.u.</v>
      </c>
      <c r="S2103" s="199"/>
      <c r="T2103" s="199"/>
      <c r="U2103" s="199"/>
    </row>
    <row r="2104" spans="1:21" x14ac:dyDescent="0.25">
      <c r="A2104" t="s">
        <v>996</v>
      </c>
      <c r="B2104" t="s">
        <v>997</v>
      </c>
      <c r="C2104" t="s">
        <v>997</v>
      </c>
      <c r="D2104">
        <v>7390</v>
      </c>
      <c r="E2104">
        <v>100</v>
      </c>
      <c r="F2104" t="s">
        <v>1296</v>
      </c>
      <c r="G2104" t="s">
        <v>1297</v>
      </c>
      <c r="H2104" s="315" t="s">
        <v>29</v>
      </c>
      <c r="I2104" s="315" t="s">
        <v>1298</v>
      </c>
      <c r="J2104" s="315" t="str">
        <f t="shared" si="176"/>
        <v>New VehicleAdvertising p.u.</v>
      </c>
      <c r="K2104" s="315" t="str">
        <f t="shared" si="177"/>
        <v>100NV Advertising &amp; Promotion - Toyota</v>
      </c>
      <c r="L2104" s="311">
        <f>+SUMIF('TUNZ Extracted TB'!M:M,$P2104,'TUNZ Extracted TB'!G:G)</f>
        <v>0</v>
      </c>
      <c r="M2104" s="311"/>
      <c r="N2104" s="311">
        <f>+SUMIF('Input Sheet'!$AE:$AE,P2104,'Input Sheet'!$X:$X)</f>
        <v>0</v>
      </c>
      <c r="O2104" s="311"/>
      <c r="P2104" t="str">
        <f t="shared" si="178"/>
        <v>100-7390</v>
      </c>
      <c r="Q2104" s="315" t="str">
        <f t="shared" si="179"/>
        <v>New Vehicle</v>
      </c>
      <c r="R2104" s="315" t="str">
        <f t="shared" si="180"/>
        <v>New VehicleAdvertising p.u.</v>
      </c>
      <c r="S2104" s="199"/>
      <c r="T2104" s="199"/>
      <c r="U2104" s="199"/>
    </row>
    <row r="2105" spans="1:21" x14ac:dyDescent="0.25">
      <c r="A2105" t="s">
        <v>996</v>
      </c>
      <c r="B2105" t="s">
        <v>997</v>
      </c>
      <c r="C2105" t="s">
        <v>997</v>
      </c>
      <c r="D2105">
        <v>7385</v>
      </c>
      <c r="E2105">
        <v>170</v>
      </c>
      <c r="F2105" t="s">
        <v>1379</v>
      </c>
      <c r="G2105" t="s">
        <v>1380</v>
      </c>
      <c r="H2105" s="315" t="s">
        <v>1000</v>
      </c>
      <c r="I2105" s="315" t="s">
        <v>1001</v>
      </c>
      <c r="J2105" s="315" t="str">
        <f t="shared" si="176"/>
        <v>Admin &amp; OtherOther Overheads as % of Total Gross Profit</v>
      </c>
      <c r="K2105" s="315" t="str">
        <f t="shared" si="177"/>
        <v>170General Advertising &amp; Promotion - Toyota</v>
      </c>
      <c r="L2105" s="311">
        <f>+SUMIF('TUNZ Extracted TB'!M:M,$P2105,'TUNZ Extracted TB'!G:G)</f>
        <v>0</v>
      </c>
      <c r="M2105" s="311"/>
      <c r="N2105" s="311">
        <f>+SUMIF('Input Sheet'!$AE:$AE,P2105,'Input Sheet'!$X:$X)</f>
        <v>0</v>
      </c>
      <c r="O2105" s="311"/>
      <c r="P2105" t="str">
        <f t="shared" si="178"/>
        <v>170-7385</v>
      </c>
      <c r="Q2105" s="315" t="str">
        <f t="shared" si="179"/>
        <v>Admin &amp; Other</v>
      </c>
      <c r="R2105" s="315" t="str">
        <f t="shared" si="180"/>
        <v>Admin &amp; OtherOther Overheads as % of Total Gross Profit</v>
      </c>
      <c r="S2105" s="199"/>
      <c r="T2105" s="199"/>
      <c r="U2105" s="199"/>
    </row>
    <row r="2106" spans="1:21" x14ac:dyDescent="0.25">
      <c r="A2106" t="s">
        <v>996</v>
      </c>
      <c r="B2106" t="s">
        <v>997</v>
      </c>
      <c r="C2106" t="s">
        <v>997</v>
      </c>
      <c r="D2106">
        <v>7385</v>
      </c>
      <c r="E2106">
        <v>122</v>
      </c>
      <c r="F2106" t="s">
        <v>1304</v>
      </c>
      <c r="G2106" t="s">
        <v>1305</v>
      </c>
      <c r="H2106" s="315" t="s">
        <v>1041</v>
      </c>
      <c r="I2106" s="315" t="s">
        <v>1301</v>
      </c>
      <c r="J2106" s="315" t="str">
        <f t="shared" si="176"/>
        <v>LEX Used VehicleAdvertising per retail</v>
      </c>
      <c r="K2106" s="315" t="str">
        <f t="shared" si="177"/>
        <v>122Lexus UV Advertising &amp; Promotion</v>
      </c>
      <c r="L2106" s="311">
        <f>+SUMIF('TUNZ Extracted TB'!M:M,$P2106,'TUNZ Extracted TB'!G:G)</f>
        <v>0</v>
      </c>
      <c r="M2106" s="311"/>
      <c r="N2106" s="311">
        <f>+SUMIF('Input Sheet'!$AE:$AE,P2106,'Input Sheet'!$X:$X)</f>
        <v>0</v>
      </c>
      <c r="O2106" s="311"/>
      <c r="P2106" t="str">
        <f t="shared" si="178"/>
        <v>122-7385</v>
      </c>
      <c r="Q2106" s="315" t="str">
        <f t="shared" si="179"/>
        <v>LEX Used Vehicle</v>
      </c>
      <c r="R2106" s="315" t="str">
        <f t="shared" si="180"/>
        <v>LEX Used VehicleAdvertising per retail</v>
      </c>
      <c r="S2106" s="199"/>
      <c r="T2106" s="199"/>
      <c r="U2106" s="199"/>
    </row>
    <row r="2107" spans="1:21" x14ac:dyDescent="0.25">
      <c r="A2107" t="s">
        <v>996</v>
      </c>
      <c r="B2107" t="s">
        <v>997</v>
      </c>
      <c r="C2107" t="s">
        <v>997</v>
      </c>
      <c r="D2107">
        <v>7385</v>
      </c>
      <c r="E2107">
        <v>936</v>
      </c>
      <c r="F2107" t="s">
        <v>1175</v>
      </c>
      <c r="G2107" t="s">
        <v>1176</v>
      </c>
      <c r="H2107" s="315" t="s">
        <v>58</v>
      </c>
      <c r="I2107" s="315" t="s">
        <v>1286</v>
      </c>
      <c r="J2107" s="315" t="str">
        <f t="shared" si="176"/>
        <v>BridgestoneOther Expenses as % of Sales</v>
      </c>
      <c r="K2107" s="315" t="str">
        <f t="shared" si="177"/>
        <v>936Other franchise/business expense</v>
      </c>
      <c r="L2107" s="311">
        <f>+SUMIF('TUNZ Extracted TB'!M:M,$P2107,'TUNZ Extracted TB'!G:G)</f>
        <v>0</v>
      </c>
      <c r="M2107" s="311"/>
      <c r="N2107" s="311">
        <f>+SUMIF('Input Sheet'!$AE:$AE,P2107,'Input Sheet'!$X:$X)</f>
        <v>0</v>
      </c>
      <c r="O2107" s="311"/>
      <c r="P2107" t="str">
        <f t="shared" si="178"/>
        <v>936-7385</v>
      </c>
      <c r="Q2107" s="315" t="str">
        <f t="shared" si="179"/>
        <v>Bridgestone</v>
      </c>
      <c r="R2107" s="315" t="str">
        <f t="shared" si="180"/>
        <v>BridgestoneOther Expenses as % of Sales</v>
      </c>
      <c r="S2107" s="199"/>
      <c r="T2107" s="199"/>
      <c r="U2107" s="199"/>
    </row>
    <row r="2108" spans="1:21" x14ac:dyDescent="0.25">
      <c r="A2108" t="s">
        <v>996</v>
      </c>
      <c r="B2108" t="s">
        <v>997</v>
      </c>
      <c r="C2108" t="s">
        <v>1005</v>
      </c>
      <c r="D2108">
        <v>7385</v>
      </c>
      <c r="E2108">
        <v>230</v>
      </c>
      <c r="F2108" t="s">
        <v>1310</v>
      </c>
      <c r="G2108" t="s">
        <v>1311</v>
      </c>
      <c r="H2108" s="315" t="s">
        <v>5</v>
      </c>
      <c r="I2108" s="315" t="s">
        <v>1286</v>
      </c>
      <c r="J2108" s="315" t="str">
        <f t="shared" si="176"/>
        <v>PartsOther Expenses as % of Sales</v>
      </c>
      <c r="K2108" s="315" t="str">
        <f t="shared" si="177"/>
        <v>230Parts Advertising &amp; Promotion - Toyota</v>
      </c>
      <c r="L2108" s="311">
        <f>+SUMIF('TUNZ Extracted TB'!M:M,$P2108,'TUNZ Extracted TB'!G:G)</f>
        <v>0</v>
      </c>
      <c r="M2108" s="311"/>
      <c r="N2108" s="311">
        <f>+SUMIF('Input Sheet'!$AE:$AE,P2108,'Input Sheet'!$X:$X)</f>
        <v>0</v>
      </c>
      <c r="O2108" s="311"/>
      <c r="P2108" t="str">
        <f t="shared" si="178"/>
        <v>230-7385</v>
      </c>
      <c r="Q2108" s="315" t="str">
        <f t="shared" si="179"/>
        <v>Parts</v>
      </c>
      <c r="R2108" s="315" t="str">
        <f t="shared" si="180"/>
        <v>PartsOther Expenses as % of Sales</v>
      </c>
      <c r="S2108" s="199"/>
      <c r="T2108" s="199"/>
      <c r="U2108" s="199"/>
    </row>
    <row r="2109" spans="1:21" x14ac:dyDescent="0.25">
      <c r="A2109" t="s">
        <v>996</v>
      </c>
      <c r="B2109" t="s">
        <v>997</v>
      </c>
      <c r="C2109" t="s">
        <v>1005</v>
      </c>
      <c r="D2109">
        <v>7385</v>
      </c>
      <c r="E2109">
        <v>240</v>
      </c>
      <c r="F2109" t="s">
        <v>1306</v>
      </c>
      <c r="G2109" t="s">
        <v>1307</v>
      </c>
      <c r="H2109" s="315" t="s">
        <v>17</v>
      </c>
      <c r="I2109" s="315" t="s">
        <v>1286</v>
      </c>
      <c r="J2109" s="315" t="str">
        <f t="shared" si="176"/>
        <v>ServiceOther Expenses as % of Sales</v>
      </c>
      <c r="K2109" s="315" t="str">
        <f t="shared" si="177"/>
        <v>240Service Advertising &amp; Promotion - Toyota</v>
      </c>
      <c r="L2109" s="311">
        <f>+SUMIF('TUNZ Extracted TB'!M:M,$P2109,'TUNZ Extracted TB'!G:G)</f>
        <v>0</v>
      </c>
      <c r="M2109" s="311"/>
      <c r="N2109" s="311">
        <f>+SUMIF('Input Sheet'!$AE:$AE,P2109,'Input Sheet'!$X:$X)</f>
        <v>0</v>
      </c>
      <c r="O2109" s="311"/>
      <c r="P2109" t="str">
        <f t="shared" si="178"/>
        <v>240-7385</v>
      </c>
      <c r="Q2109" s="315" t="str">
        <f t="shared" si="179"/>
        <v>Service</v>
      </c>
      <c r="R2109" s="315" t="str">
        <f t="shared" si="180"/>
        <v>ServiceOther Expenses as % of Sales</v>
      </c>
      <c r="S2109" s="199"/>
      <c r="T2109" s="199"/>
      <c r="U2109" s="199"/>
    </row>
    <row r="2110" spans="1:21" x14ac:dyDescent="0.25">
      <c r="A2110" t="s">
        <v>996</v>
      </c>
      <c r="B2110" t="s">
        <v>997</v>
      </c>
      <c r="C2110" t="s">
        <v>1013</v>
      </c>
      <c r="D2110">
        <v>7385</v>
      </c>
      <c r="E2110">
        <v>340</v>
      </c>
      <c r="F2110" t="s">
        <v>1306</v>
      </c>
      <c r="G2110" t="s">
        <v>1307</v>
      </c>
      <c r="H2110" s="315" t="s">
        <v>17</v>
      </c>
      <c r="I2110" s="315" t="s">
        <v>1286</v>
      </c>
      <c r="J2110" s="315" t="str">
        <f t="shared" si="176"/>
        <v>ServiceOther Expenses as % of Sales</v>
      </c>
      <c r="K2110" s="315" t="str">
        <f t="shared" si="177"/>
        <v>340Service Advertising &amp; Promotion - Toyota</v>
      </c>
      <c r="L2110" s="311">
        <f>+SUMIF('TUNZ Extracted TB'!M:M,$P2110,'TUNZ Extracted TB'!G:G)</f>
        <v>0</v>
      </c>
      <c r="M2110" s="311"/>
      <c r="N2110" s="311">
        <f>+SUMIF('Input Sheet'!$AE:$AE,P2110,'Input Sheet'!$X:$X)</f>
        <v>0</v>
      </c>
      <c r="O2110" s="311"/>
      <c r="P2110" t="str">
        <f t="shared" si="178"/>
        <v>340-7385</v>
      </c>
      <c r="Q2110" s="315" t="str">
        <f t="shared" si="179"/>
        <v>Service</v>
      </c>
      <c r="R2110" s="315" t="str">
        <f t="shared" si="180"/>
        <v>ServiceOther Expenses as % of Sales</v>
      </c>
      <c r="S2110" s="199"/>
      <c r="T2110" s="199"/>
      <c r="U2110" s="199"/>
    </row>
    <row r="2111" spans="1:21" x14ac:dyDescent="0.25">
      <c r="A2111" t="s">
        <v>996</v>
      </c>
      <c r="B2111" t="s">
        <v>997</v>
      </c>
      <c r="C2111" t="s">
        <v>1012</v>
      </c>
      <c r="D2111">
        <v>7385</v>
      </c>
      <c r="E2111">
        <v>440</v>
      </c>
      <c r="F2111" t="s">
        <v>1306</v>
      </c>
      <c r="G2111" t="s">
        <v>1307</v>
      </c>
      <c r="H2111" s="315" t="s">
        <v>17</v>
      </c>
      <c r="I2111" s="315" t="s">
        <v>1286</v>
      </c>
      <c r="J2111" s="315" t="str">
        <f t="shared" si="176"/>
        <v>ServiceOther Expenses as % of Sales</v>
      </c>
      <c r="K2111" s="315" t="str">
        <f t="shared" si="177"/>
        <v>440Service Advertising &amp; Promotion - Toyota</v>
      </c>
      <c r="L2111" s="311">
        <f>+SUMIF('TUNZ Extracted TB'!M:M,$P2111,'TUNZ Extracted TB'!G:G)</f>
        <v>0</v>
      </c>
      <c r="M2111" s="311"/>
      <c r="N2111" s="311">
        <f>+SUMIF('Input Sheet'!$AE:$AE,P2111,'Input Sheet'!$X:$X)</f>
        <v>0</v>
      </c>
      <c r="O2111" s="311"/>
      <c r="P2111" t="str">
        <f t="shared" si="178"/>
        <v>440-7385</v>
      </c>
      <c r="Q2111" s="315" t="str">
        <f t="shared" si="179"/>
        <v>Service</v>
      </c>
      <c r="R2111" s="315" t="str">
        <f t="shared" si="180"/>
        <v>ServiceOther Expenses as % of Sales</v>
      </c>
      <c r="S2111" s="199"/>
      <c r="T2111" s="199"/>
      <c r="U2111" s="199"/>
    </row>
    <row r="2112" spans="1:21" x14ac:dyDescent="0.25">
      <c r="A2112" t="s">
        <v>996</v>
      </c>
      <c r="B2112" t="s">
        <v>997</v>
      </c>
      <c r="C2112" t="s">
        <v>997</v>
      </c>
      <c r="D2112">
        <v>7385</v>
      </c>
      <c r="E2112">
        <v>147</v>
      </c>
      <c r="F2112" t="s">
        <v>1306</v>
      </c>
      <c r="G2112" t="s">
        <v>1307</v>
      </c>
      <c r="H2112" s="315" t="s">
        <v>17</v>
      </c>
      <c r="I2112" s="315" t="s">
        <v>1286</v>
      </c>
      <c r="J2112" s="315" t="str">
        <f t="shared" si="176"/>
        <v>ServiceOther Expenses as % of Sales</v>
      </c>
      <c r="K2112" s="315" t="str">
        <f t="shared" si="177"/>
        <v>147Service Advertising &amp; Promotion - Toyota</v>
      </c>
      <c r="L2112" s="311">
        <f>+SUMIF('TUNZ Extracted TB'!M:M,$P2112,'TUNZ Extracted TB'!G:G)</f>
        <v>0</v>
      </c>
      <c r="M2112" s="311"/>
      <c r="N2112" s="311">
        <f>+SUMIF('Input Sheet'!$AE:$AE,P2112,'Input Sheet'!$X:$X)</f>
        <v>0</v>
      </c>
      <c r="O2112" s="311"/>
      <c r="P2112" t="str">
        <f t="shared" si="178"/>
        <v>147-7385</v>
      </c>
      <c r="Q2112" s="315" t="str">
        <f t="shared" si="179"/>
        <v>Service</v>
      </c>
      <c r="R2112" s="315" t="str">
        <f t="shared" si="180"/>
        <v>ServiceOther Expenses as % of Sales</v>
      </c>
      <c r="S2112" s="199"/>
      <c r="T2112" s="199"/>
      <c r="U2112" s="199"/>
    </row>
    <row r="2113" spans="1:21" x14ac:dyDescent="0.25">
      <c r="A2113" t="s">
        <v>996</v>
      </c>
      <c r="B2113" t="s">
        <v>997</v>
      </c>
      <c r="C2113" t="s">
        <v>997</v>
      </c>
      <c r="D2113">
        <v>7385</v>
      </c>
      <c r="E2113">
        <v>121</v>
      </c>
      <c r="F2113" t="s">
        <v>1299</v>
      </c>
      <c r="G2113" t="s">
        <v>1300</v>
      </c>
      <c r="H2113" s="315" t="s">
        <v>30</v>
      </c>
      <c r="I2113" s="315" t="s">
        <v>1301</v>
      </c>
      <c r="J2113" s="315" t="str">
        <f t="shared" si="176"/>
        <v>Used VehicleAdvertising per retail</v>
      </c>
      <c r="K2113" s="315" t="str">
        <f t="shared" si="177"/>
        <v>121Toyota UV Advertising &amp; Promotion</v>
      </c>
      <c r="L2113" s="311">
        <f>+SUMIF('TUNZ Extracted TB'!M:M,$P2113,'TUNZ Extracted TB'!G:G)</f>
        <v>0</v>
      </c>
      <c r="M2113" s="311"/>
      <c r="N2113" s="311">
        <f>+SUMIF('Input Sheet'!$AE:$AE,P2113,'Input Sheet'!$X:$X)</f>
        <v>0</v>
      </c>
      <c r="O2113" s="311"/>
      <c r="P2113" t="str">
        <f t="shared" si="178"/>
        <v>121-7385</v>
      </c>
      <c r="Q2113" s="315" t="str">
        <f t="shared" si="179"/>
        <v>Used Vehicle</v>
      </c>
      <c r="R2113" s="315" t="str">
        <f t="shared" si="180"/>
        <v>Used VehicleAdvertising per retail</v>
      </c>
      <c r="S2113" s="199"/>
      <c r="T2113" s="199"/>
      <c r="U2113" s="199"/>
    </row>
    <row r="2114" spans="1:21" x14ac:dyDescent="0.25">
      <c r="A2114" t="s">
        <v>996</v>
      </c>
      <c r="B2114" t="s">
        <v>997</v>
      </c>
      <c r="C2114" t="s">
        <v>997</v>
      </c>
      <c r="D2114">
        <v>7390</v>
      </c>
      <c r="E2114">
        <v>120</v>
      </c>
      <c r="F2114" t="s">
        <v>1299</v>
      </c>
      <c r="G2114" t="s">
        <v>1300</v>
      </c>
      <c r="H2114" s="315" t="s">
        <v>30</v>
      </c>
      <c r="I2114" s="315" t="s">
        <v>1301</v>
      </c>
      <c r="J2114" s="315" t="str">
        <f t="shared" si="176"/>
        <v>Used VehicleAdvertising per retail</v>
      </c>
      <c r="K2114" s="315" t="str">
        <f t="shared" si="177"/>
        <v>120Toyota UV Advertising &amp; Promotion</v>
      </c>
      <c r="L2114" s="311">
        <f>+SUMIF('TUNZ Extracted TB'!M:M,$P2114,'TUNZ Extracted TB'!G:G)</f>
        <v>6849.6</v>
      </c>
      <c r="M2114" s="311"/>
      <c r="N2114" s="311">
        <f>+SUMIF('Input Sheet'!$AE:$AE,P2114,'Input Sheet'!$X:$X)</f>
        <v>0</v>
      </c>
      <c r="O2114" s="311"/>
      <c r="P2114" t="str">
        <f t="shared" si="178"/>
        <v>120-7390</v>
      </c>
      <c r="Q2114" s="315" t="str">
        <f t="shared" si="179"/>
        <v>Used Vehicle</v>
      </c>
      <c r="R2114" s="315" t="str">
        <f t="shared" si="180"/>
        <v>Used VehicleAdvertising per retail</v>
      </c>
      <c r="S2114" s="199"/>
      <c r="T2114" s="199"/>
      <c r="U2114" s="199"/>
    </row>
    <row r="2115" spans="1:21" x14ac:dyDescent="0.25">
      <c r="A2115" t="s">
        <v>996</v>
      </c>
      <c r="B2115" t="s">
        <v>997</v>
      </c>
      <c r="C2115" t="s">
        <v>1005</v>
      </c>
      <c r="D2115">
        <v>7390</v>
      </c>
      <c r="E2115">
        <v>220</v>
      </c>
      <c r="F2115" t="s">
        <v>1299</v>
      </c>
      <c r="G2115" t="s">
        <v>1300</v>
      </c>
      <c r="H2115" s="315" t="s">
        <v>30</v>
      </c>
      <c r="I2115" s="315" t="s">
        <v>1301</v>
      </c>
      <c r="J2115" s="315" t="str">
        <f t="shared" ref="J2115:J2178" si="181">+H2115&amp;I2115</f>
        <v>Used VehicleAdvertising per retail</v>
      </c>
      <c r="K2115" s="315" t="str">
        <f t="shared" ref="K2115:K2178" si="182">+E2115&amp;G2115</f>
        <v>220Toyota UV Advertising &amp; Promotion</v>
      </c>
      <c r="L2115" s="311">
        <f>+SUMIF('TUNZ Extracted TB'!M:M,$P2115,'TUNZ Extracted TB'!G:G)</f>
        <v>7033.67</v>
      </c>
      <c r="M2115" s="311"/>
      <c r="N2115" s="311">
        <f>+SUMIF('Input Sheet'!$AE:$AE,P2115,'Input Sheet'!$X:$X)</f>
        <v>0</v>
      </c>
      <c r="O2115" s="311"/>
      <c r="P2115" t="str">
        <f t="shared" ref="P2115:P2178" si="183">+E2115&amp;"-"&amp;D2115</f>
        <v>220-7390</v>
      </c>
      <c r="Q2115" s="315" t="str">
        <f t="shared" ref="Q2115:Q2178" si="184">H2115</f>
        <v>Used Vehicle</v>
      </c>
      <c r="R2115" s="315" t="str">
        <f t="shared" ref="R2115:R2178" si="185">J2115</f>
        <v>Used VehicleAdvertising per retail</v>
      </c>
      <c r="S2115" s="199"/>
      <c r="T2115" s="199"/>
      <c r="U2115" s="199"/>
    </row>
    <row r="2116" spans="1:21" x14ac:dyDescent="0.25">
      <c r="A2116" t="s">
        <v>996</v>
      </c>
      <c r="B2116" t="s">
        <v>997</v>
      </c>
      <c r="C2116" t="s">
        <v>1005</v>
      </c>
      <c r="D2116">
        <v>7390</v>
      </c>
      <c r="E2116">
        <v>200</v>
      </c>
      <c r="F2116" t="s">
        <v>1296</v>
      </c>
      <c r="G2116" t="s">
        <v>1297</v>
      </c>
      <c r="H2116" s="315" t="s">
        <v>29</v>
      </c>
      <c r="I2116" s="315" t="s">
        <v>1298</v>
      </c>
      <c r="J2116" s="315" t="str">
        <f t="shared" si="181"/>
        <v>New VehicleAdvertising p.u.</v>
      </c>
      <c r="K2116" s="315" t="str">
        <f t="shared" si="182"/>
        <v>200NV Advertising &amp; Promotion - Toyota</v>
      </c>
      <c r="L2116" s="311">
        <f>+SUMIF('TUNZ Extracted TB'!M:M,$P2116,'TUNZ Extracted TB'!G:G)</f>
        <v>0</v>
      </c>
      <c r="M2116" s="311"/>
      <c r="N2116" s="311">
        <f>+SUMIF('Input Sheet'!$AE:$AE,P2116,'Input Sheet'!$X:$X)</f>
        <v>0</v>
      </c>
      <c r="O2116" s="311"/>
      <c r="P2116" t="str">
        <f t="shared" si="183"/>
        <v>200-7390</v>
      </c>
      <c r="Q2116" s="315" t="str">
        <f t="shared" si="184"/>
        <v>New Vehicle</v>
      </c>
      <c r="R2116" s="315" t="str">
        <f t="shared" si="185"/>
        <v>New VehicleAdvertising p.u.</v>
      </c>
      <c r="S2116" s="199"/>
      <c r="T2116" s="199"/>
      <c r="U2116" s="199"/>
    </row>
    <row r="2117" spans="1:21" x14ac:dyDescent="0.25">
      <c r="A2117" t="s">
        <v>996</v>
      </c>
      <c r="B2117" t="s">
        <v>997</v>
      </c>
      <c r="C2117" t="s">
        <v>1013</v>
      </c>
      <c r="D2117">
        <v>7390</v>
      </c>
      <c r="E2117">
        <v>340</v>
      </c>
      <c r="F2117" t="s">
        <v>1306</v>
      </c>
      <c r="G2117" t="s">
        <v>1307</v>
      </c>
      <c r="H2117" s="315" t="s">
        <v>17</v>
      </c>
      <c r="I2117" s="315" t="s">
        <v>1286</v>
      </c>
      <c r="J2117" s="315" t="str">
        <f t="shared" si="181"/>
        <v>ServiceOther Expenses as % of Sales</v>
      </c>
      <c r="K2117" s="315" t="str">
        <f t="shared" si="182"/>
        <v>340Service Advertising &amp; Promotion - Toyota</v>
      </c>
      <c r="L2117" s="311">
        <f>+SUMIF('TUNZ Extracted TB'!M:M,$P2117,'TUNZ Extracted TB'!G:G)</f>
        <v>313.17</v>
      </c>
      <c r="M2117" s="311"/>
      <c r="N2117" s="311">
        <f>+SUMIF('Input Sheet'!$AE:$AE,P2117,'Input Sheet'!$X:$X)</f>
        <v>0</v>
      </c>
      <c r="O2117" s="311"/>
      <c r="P2117" t="str">
        <f t="shared" si="183"/>
        <v>340-7390</v>
      </c>
      <c r="Q2117" s="315" t="str">
        <f t="shared" si="184"/>
        <v>Service</v>
      </c>
      <c r="R2117" s="315" t="str">
        <f t="shared" si="185"/>
        <v>ServiceOther Expenses as % of Sales</v>
      </c>
      <c r="S2117" s="199"/>
      <c r="T2117" s="199"/>
      <c r="U2117" s="199"/>
    </row>
    <row r="2118" spans="1:21" x14ac:dyDescent="0.25">
      <c r="A2118" t="s">
        <v>996</v>
      </c>
      <c r="B2118" t="s">
        <v>997</v>
      </c>
      <c r="C2118" t="s">
        <v>1005</v>
      </c>
      <c r="D2118">
        <v>7390</v>
      </c>
      <c r="E2118">
        <v>230</v>
      </c>
      <c r="F2118" t="s">
        <v>1310</v>
      </c>
      <c r="G2118" t="s">
        <v>1311</v>
      </c>
      <c r="H2118" s="315" t="s">
        <v>5</v>
      </c>
      <c r="I2118" s="315" t="s">
        <v>1286</v>
      </c>
      <c r="J2118" s="315" t="str">
        <f t="shared" si="181"/>
        <v>PartsOther Expenses as % of Sales</v>
      </c>
      <c r="K2118" s="315" t="str">
        <f t="shared" si="182"/>
        <v>230Parts Advertising &amp; Promotion - Toyota</v>
      </c>
      <c r="L2118" s="311">
        <f>+SUMIF('TUNZ Extracted TB'!M:M,$P2118,'TUNZ Extracted TB'!G:G)</f>
        <v>645.33000000000004</v>
      </c>
      <c r="M2118" s="311"/>
      <c r="N2118" s="311">
        <f>+SUMIF('Input Sheet'!$AE:$AE,P2118,'Input Sheet'!$X:$X)</f>
        <v>0</v>
      </c>
      <c r="O2118" s="311"/>
      <c r="P2118" t="str">
        <f t="shared" si="183"/>
        <v>230-7390</v>
      </c>
      <c r="Q2118" s="315" t="str">
        <f t="shared" si="184"/>
        <v>Parts</v>
      </c>
      <c r="R2118" s="315" t="str">
        <f t="shared" si="185"/>
        <v>PartsOther Expenses as % of Sales</v>
      </c>
      <c r="S2118" s="199"/>
      <c r="T2118" s="199"/>
      <c r="U2118" s="199"/>
    </row>
    <row r="2119" spans="1:21" x14ac:dyDescent="0.25">
      <c r="A2119" t="s">
        <v>996</v>
      </c>
      <c r="B2119" t="s">
        <v>997</v>
      </c>
      <c r="C2119" t="s">
        <v>1005</v>
      </c>
      <c r="D2119">
        <v>7390</v>
      </c>
      <c r="E2119">
        <v>240</v>
      </c>
      <c r="F2119" t="s">
        <v>1306</v>
      </c>
      <c r="G2119" t="s">
        <v>1307</v>
      </c>
      <c r="H2119" s="315" t="s">
        <v>17</v>
      </c>
      <c r="I2119" s="315" t="s">
        <v>1286</v>
      </c>
      <c r="J2119" s="315" t="str">
        <f t="shared" si="181"/>
        <v>ServiceOther Expenses as % of Sales</v>
      </c>
      <c r="K2119" s="315" t="str">
        <f t="shared" si="182"/>
        <v>240Service Advertising &amp; Promotion - Toyota</v>
      </c>
      <c r="L2119" s="311">
        <f>+SUMIF('TUNZ Extracted TB'!M:M,$P2119,'TUNZ Extracted TB'!G:G)</f>
        <v>645.33000000000004</v>
      </c>
      <c r="M2119" s="311"/>
      <c r="N2119" s="311">
        <f>+SUMIF('Input Sheet'!$AE:$AE,P2119,'Input Sheet'!$X:$X)</f>
        <v>0</v>
      </c>
      <c r="O2119" s="311"/>
      <c r="P2119" t="str">
        <f t="shared" si="183"/>
        <v>240-7390</v>
      </c>
      <c r="Q2119" s="315" t="str">
        <f t="shared" si="184"/>
        <v>Service</v>
      </c>
      <c r="R2119" s="315" t="str">
        <f t="shared" si="185"/>
        <v>ServiceOther Expenses as % of Sales</v>
      </c>
      <c r="S2119" s="199"/>
      <c r="T2119" s="199"/>
      <c r="U2119" s="199"/>
    </row>
    <row r="2120" spans="1:21" x14ac:dyDescent="0.25">
      <c r="A2120" t="s">
        <v>996</v>
      </c>
      <c r="B2120" t="s">
        <v>997</v>
      </c>
      <c r="C2120" t="s">
        <v>1012</v>
      </c>
      <c r="D2120">
        <v>7390</v>
      </c>
      <c r="E2120">
        <v>430</v>
      </c>
      <c r="F2120" t="s">
        <v>1310</v>
      </c>
      <c r="G2120" t="s">
        <v>1311</v>
      </c>
      <c r="H2120" s="315" t="s">
        <v>5</v>
      </c>
      <c r="I2120" s="315" t="s">
        <v>1286</v>
      </c>
      <c r="J2120" s="315" t="str">
        <f t="shared" si="181"/>
        <v>PartsOther Expenses as % of Sales</v>
      </c>
      <c r="K2120" s="315" t="str">
        <f t="shared" si="182"/>
        <v>430Parts Advertising &amp; Promotion - Toyota</v>
      </c>
      <c r="L2120" s="311">
        <f>+SUMIF('TUNZ Extracted TB'!M:M,$P2120,'TUNZ Extracted TB'!G:G)</f>
        <v>1159.72</v>
      </c>
      <c r="M2120" s="311"/>
      <c r="N2120" s="311">
        <f>+SUMIF('Input Sheet'!$AE:$AE,P2120,'Input Sheet'!$X:$X)</f>
        <v>0</v>
      </c>
      <c r="O2120" s="311"/>
      <c r="P2120" t="str">
        <f t="shared" si="183"/>
        <v>430-7390</v>
      </c>
      <c r="Q2120" s="315" t="str">
        <f t="shared" si="184"/>
        <v>Parts</v>
      </c>
      <c r="R2120" s="315" t="str">
        <f t="shared" si="185"/>
        <v>PartsOther Expenses as % of Sales</v>
      </c>
      <c r="S2120" s="199"/>
      <c r="T2120" s="199"/>
      <c r="U2120" s="199"/>
    </row>
    <row r="2121" spans="1:21" x14ac:dyDescent="0.25">
      <c r="A2121" t="s">
        <v>996</v>
      </c>
      <c r="B2121" t="s">
        <v>997</v>
      </c>
      <c r="C2121" t="s">
        <v>1012</v>
      </c>
      <c r="D2121">
        <v>7390</v>
      </c>
      <c r="E2121">
        <v>440</v>
      </c>
      <c r="F2121" t="s">
        <v>1306</v>
      </c>
      <c r="G2121" t="s">
        <v>1307</v>
      </c>
      <c r="H2121" s="315" t="s">
        <v>17</v>
      </c>
      <c r="I2121" s="315" t="s">
        <v>1286</v>
      </c>
      <c r="J2121" s="315" t="str">
        <f t="shared" si="181"/>
        <v>ServiceOther Expenses as % of Sales</v>
      </c>
      <c r="K2121" s="315" t="str">
        <f t="shared" si="182"/>
        <v>440Service Advertising &amp; Promotion - Toyota</v>
      </c>
      <c r="L2121" s="311">
        <f>+SUMIF('TUNZ Extracted TB'!M:M,$P2121,'TUNZ Extracted TB'!G:G)</f>
        <v>1359.71</v>
      </c>
      <c r="M2121" s="311"/>
      <c r="N2121" s="311">
        <f>+SUMIF('Input Sheet'!$AE:$AE,P2121,'Input Sheet'!$X:$X)</f>
        <v>0</v>
      </c>
      <c r="O2121" s="311"/>
      <c r="P2121" t="str">
        <f t="shared" si="183"/>
        <v>440-7390</v>
      </c>
      <c r="Q2121" s="315" t="str">
        <f t="shared" si="184"/>
        <v>Service</v>
      </c>
      <c r="R2121" s="315" t="str">
        <f t="shared" si="185"/>
        <v>ServiceOther Expenses as % of Sales</v>
      </c>
      <c r="S2121" s="199"/>
      <c r="T2121" s="199"/>
      <c r="U2121" s="199"/>
    </row>
    <row r="2122" spans="1:21" x14ac:dyDescent="0.25">
      <c r="A2122" t="s">
        <v>996</v>
      </c>
      <c r="B2122" t="s">
        <v>997</v>
      </c>
      <c r="C2122" t="s">
        <v>997</v>
      </c>
      <c r="D2122">
        <v>7390</v>
      </c>
      <c r="E2122">
        <v>936</v>
      </c>
      <c r="F2122" t="s">
        <v>1175</v>
      </c>
      <c r="G2122" t="s">
        <v>1176</v>
      </c>
      <c r="H2122" s="315" t="s">
        <v>58</v>
      </c>
      <c r="I2122" s="315" t="s">
        <v>1286</v>
      </c>
      <c r="J2122" s="315" t="str">
        <f t="shared" si="181"/>
        <v>BridgestoneOther Expenses as % of Sales</v>
      </c>
      <c r="K2122" s="315" t="str">
        <f t="shared" si="182"/>
        <v>936Other franchise/business expense</v>
      </c>
      <c r="L2122" s="311">
        <f>+SUMIF('TUNZ Extracted TB'!M:M,$P2122,'TUNZ Extracted TB'!G:G)</f>
        <v>104.5</v>
      </c>
      <c r="M2122" s="311"/>
      <c r="N2122" s="311">
        <f>+SUMIF('Input Sheet'!$AE:$AE,P2122,'Input Sheet'!$X:$X)</f>
        <v>0</v>
      </c>
      <c r="O2122" s="311"/>
      <c r="P2122" t="str">
        <f t="shared" si="183"/>
        <v>936-7390</v>
      </c>
      <c r="Q2122" s="315" t="str">
        <f t="shared" si="184"/>
        <v>Bridgestone</v>
      </c>
      <c r="R2122" s="315" t="str">
        <f t="shared" si="185"/>
        <v>BridgestoneOther Expenses as % of Sales</v>
      </c>
      <c r="S2122" s="199"/>
      <c r="T2122" s="199"/>
      <c r="U2122" s="199"/>
    </row>
    <row r="2123" spans="1:21" x14ac:dyDescent="0.25">
      <c r="A2123" t="s">
        <v>996</v>
      </c>
      <c r="B2123" t="s">
        <v>997</v>
      </c>
      <c r="C2123" t="s">
        <v>997</v>
      </c>
      <c r="D2123">
        <v>7390</v>
      </c>
      <c r="E2123">
        <v>935</v>
      </c>
      <c r="F2123" t="s">
        <v>1175</v>
      </c>
      <c r="G2123" t="s">
        <v>1176</v>
      </c>
      <c r="H2123" s="315" t="s">
        <v>58</v>
      </c>
      <c r="I2123" s="315" t="s">
        <v>1286</v>
      </c>
      <c r="J2123" s="315" t="str">
        <f t="shared" si="181"/>
        <v>BridgestoneOther Expenses as % of Sales</v>
      </c>
      <c r="K2123" s="315" t="str">
        <f t="shared" si="182"/>
        <v>935Other franchise/business expense</v>
      </c>
      <c r="L2123" s="311">
        <f>+SUMIF('TUNZ Extracted TB'!M:M,$P2123,'TUNZ Extracted TB'!G:G)</f>
        <v>75</v>
      </c>
      <c r="M2123" s="311"/>
      <c r="N2123" s="311">
        <f>+SUMIF('Input Sheet'!$AE:$AE,P2123,'Input Sheet'!$X:$X)</f>
        <v>0</v>
      </c>
      <c r="O2123" s="311"/>
      <c r="P2123" t="str">
        <f t="shared" si="183"/>
        <v>935-7390</v>
      </c>
      <c r="Q2123" s="315" t="str">
        <f t="shared" si="184"/>
        <v>Bridgestone</v>
      </c>
      <c r="R2123" s="315" t="str">
        <f t="shared" si="185"/>
        <v>BridgestoneOther Expenses as % of Sales</v>
      </c>
      <c r="S2123" s="199"/>
      <c r="T2123" s="199"/>
      <c r="U2123" s="199"/>
    </row>
    <row r="2124" spans="1:21" x14ac:dyDescent="0.25">
      <c r="A2124" t="s">
        <v>996</v>
      </c>
      <c r="B2124" t="s">
        <v>997</v>
      </c>
      <c r="C2124" t="s">
        <v>997</v>
      </c>
      <c r="D2124">
        <v>7390</v>
      </c>
      <c r="E2124">
        <v>160</v>
      </c>
      <c r="F2124" t="s">
        <v>1317</v>
      </c>
      <c r="G2124" t="s">
        <v>1318</v>
      </c>
      <c r="H2124" s="315" t="s">
        <v>16</v>
      </c>
      <c r="I2124" s="315" t="s">
        <v>1295</v>
      </c>
      <c r="J2124" s="315" t="str">
        <f t="shared" si="181"/>
        <v>F&amp;IOther Expenses per vehicle retailed</v>
      </c>
      <c r="K2124" s="315" t="str">
        <f t="shared" si="182"/>
        <v>160F&amp;I Advertising &amp; Promotion - Toyota</v>
      </c>
      <c r="L2124" s="311">
        <f>+SUMIF('TUNZ Extracted TB'!M:M,$P2124,'TUNZ Extracted TB'!G:G)</f>
        <v>57</v>
      </c>
      <c r="M2124" s="311"/>
      <c r="N2124" s="311">
        <f>+SUMIF('Input Sheet'!$AE:$AE,P2124,'Input Sheet'!$X:$X)</f>
        <v>0</v>
      </c>
      <c r="O2124" s="311"/>
      <c r="P2124" t="str">
        <f t="shared" si="183"/>
        <v>160-7390</v>
      </c>
      <c r="Q2124" s="315" t="str">
        <f t="shared" si="184"/>
        <v>F&amp;I</v>
      </c>
      <c r="R2124" s="315" t="str">
        <f t="shared" si="185"/>
        <v>F&amp;IOther Expenses per vehicle retailed</v>
      </c>
      <c r="S2124" s="199"/>
      <c r="T2124" s="199"/>
      <c r="U2124" s="199"/>
    </row>
    <row r="2125" spans="1:21" x14ac:dyDescent="0.25">
      <c r="A2125" t="s">
        <v>996</v>
      </c>
      <c r="B2125" t="s">
        <v>997</v>
      </c>
      <c r="C2125" t="s">
        <v>997</v>
      </c>
      <c r="D2125">
        <v>7390</v>
      </c>
      <c r="E2125">
        <v>140</v>
      </c>
      <c r="F2125" t="s">
        <v>1306</v>
      </c>
      <c r="G2125" t="s">
        <v>1307</v>
      </c>
      <c r="H2125" s="315" t="s">
        <v>17</v>
      </c>
      <c r="I2125" s="315" t="s">
        <v>1286</v>
      </c>
      <c r="J2125" s="315" t="str">
        <f t="shared" si="181"/>
        <v>ServiceOther Expenses as % of Sales</v>
      </c>
      <c r="K2125" s="315" t="str">
        <f t="shared" si="182"/>
        <v>140Service Advertising &amp; Promotion - Toyota</v>
      </c>
      <c r="L2125" s="311">
        <f>+SUMIF('TUNZ Extracted TB'!M:M,$P2125,'TUNZ Extracted TB'!G:G)</f>
        <v>613.16999999999996</v>
      </c>
      <c r="M2125" s="311"/>
      <c r="N2125" s="311">
        <f>+SUMIF('Input Sheet'!$AE:$AE,P2125,'Input Sheet'!$X:$X)</f>
        <v>0</v>
      </c>
      <c r="O2125" s="311"/>
      <c r="P2125" t="str">
        <f t="shared" si="183"/>
        <v>140-7390</v>
      </c>
      <c r="Q2125" s="315" t="str">
        <f t="shared" si="184"/>
        <v>Service</v>
      </c>
      <c r="R2125" s="315" t="str">
        <f t="shared" si="185"/>
        <v>ServiceOther Expenses as % of Sales</v>
      </c>
      <c r="S2125" s="199"/>
      <c r="T2125" s="199"/>
      <c r="U2125" s="199"/>
    </row>
    <row r="2126" spans="1:21" x14ac:dyDescent="0.25">
      <c r="A2126" t="s">
        <v>996</v>
      </c>
      <c r="B2126" t="s">
        <v>997</v>
      </c>
      <c r="C2126" t="s">
        <v>997</v>
      </c>
      <c r="D2126">
        <v>7390</v>
      </c>
      <c r="E2126">
        <v>142</v>
      </c>
      <c r="F2126" t="s">
        <v>1308</v>
      </c>
      <c r="G2126" t="s">
        <v>1309</v>
      </c>
      <c r="H2126" s="315" t="s">
        <v>1022</v>
      </c>
      <c r="I2126" s="315" t="s">
        <v>1286</v>
      </c>
      <c r="J2126" s="315" t="str">
        <f t="shared" si="181"/>
        <v>Lex ServiceOther Expenses as % of Sales</v>
      </c>
      <c r="K2126" s="315" t="str">
        <f t="shared" si="182"/>
        <v>142Service Advertising &amp; Promotion - Lexus</v>
      </c>
      <c r="L2126" s="311">
        <f>+SUMIF('TUNZ Extracted TB'!M:M,$P2126,'TUNZ Extracted TB'!G:G)</f>
        <v>0</v>
      </c>
      <c r="M2126" s="311"/>
      <c r="N2126" s="311">
        <f>+SUMIF('Input Sheet'!$AE:$AE,P2126,'Input Sheet'!$X:$X)</f>
        <v>0</v>
      </c>
      <c r="O2126" s="311"/>
      <c r="P2126" t="str">
        <f t="shared" si="183"/>
        <v>142-7390</v>
      </c>
      <c r="Q2126" s="315" t="str">
        <f t="shared" si="184"/>
        <v>Lex Service</v>
      </c>
      <c r="R2126" s="315" t="str">
        <f t="shared" si="185"/>
        <v>Lex ServiceOther Expenses as % of Sales</v>
      </c>
      <c r="S2126" s="199"/>
      <c r="T2126" s="199"/>
      <c r="U2126" s="199"/>
    </row>
    <row r="2127" spans="1:21" x14ac:dyDescent="0.25">
      <c r="A2127" t="s">
        <v>996</v>
      </c>
      <c r="B2127" t="s">
        <v>997</v>
      </c>
      <c r="C2127" t="s">
        <v>997</v>
      </c>
      <c r="D2127">
        <v>7390</v>
      </c>
      <c r="E2127">
        <v>130</v>
      </c>
      <c r="F2127" t="s">
        <v>1310</v>
      </c>
      <c r="G2127" t="s">
        <v>1311</v>
      </c>
      <c r="H2127" s="315" t="s">
        <v>5</v>
      </c>
      <c r="I2127" s="315" t="s">
        <v>1286</v>
      </c>
      <c r="J2127" s="315" t="str">
        <f t="shared" si="181"/>
        <v>PartsOther Expenses as % of Sales</v>
      </c>
      <c r="K2127" s="315" t="str">
        <f t="shared" si="182"/>
        <v>130Parts Advertising &amp; Promotion - Toyota</v>
      </c>
      <c r="L2127" s="311">
        <f>+SUMIF('TUNZ Extracted TB'!M:M,$P2127,'TUNZ Extracted TB'!G:G)</f>
        <v>2541.3000000000002</v>
      </c>
      <c r="M2127" s="311"/>
      <c r="N2127" s="311">
        <f>+SUMIF('Input Sheet'!$AE:$AE,P2127,'Input Sheet'!$X:$X)</f>
        <v>0</v>
      </c>
      <c r="O2127" s="311"/>
      <c r="P2127" t="str">
        <f t="shared" si="183"/>
        <v>130-7390</v>
      </c>
      <c r="Q2127" s="315" t="str">
        <f t="shared" si="184"/>
        <v>Parts</v>
      </c>
      <c r="R2127" s="315" t="str">
        <f t="shared" si="185"/>
        <v>PartsOther Expenses as % of Sales</v>
      </c>
      <c r="S2127" s="199"/>
      <c r="T2127" s="199"/>
      <c r="U2127" s="199"/>
    </row>
    <row r="2128" spans="1:21" x14ac:dyDescent="0.25">
      <c r="A2128" t="s">
        <v>996</v>
      </c>
      <c r="B2128" t="s">
        <v>997</v>
      </c>
      <c r="C2128" t="s">
        <v>997</v>
      </c>
      <c r="D2128">
        <v>7390</v>
      </c>
      <c r="E2128">
        <v>132</v>
      </c>
      <c r="F2128" t="s">
        <v>1381</v>
      </c>
      <c r="G2128" t="s">
        <v>1382</v>
      </c>
      <c r="H2128" s="315" t="s">
        <v>143</v>
      </c>
      <c r="I2128" s="315" t="s">
        <v>1286</v>
      </c>
      <c r="J2128" s="315" t="str">
        <f t="shared" si="181"/>
        <v>LEX PartsOther Expenses as % of Sales</v>
      </c>
      <c r="K2128" s="315" t="str">
        <f t="shared" si="182"/>
        <v>132Parts Advertising &amp; Promotion - Lexus</v>
      </c>
      <c r="L2128" s="311">
        <f>+SUMIF('TUNZ Extracted TB'!M:M,$P2128,'TUNZ Extracted TB'!G:G)</f>
        <v>0</v>
      </c>
      <c r="M2128" s="311"/>
      <c r="N2128" s="311">
        <f>+SUMIF('Input Sheet'!$AE:$AE,P2128,'Input Sheet'!$X:$X)</f>
        <v>0</v>
      </c>
      <c r="O2128" s="311"/>
      <c r="P2128" t="str">
        <f t="shared" si="183"/>
        <v>132-7390</v>
      </c>
      <c r="Q2128" s="315" t="str">
        <f t="shared" si="184"/>
        <v>LEX Parts</v>
      </c>
      <c r="R2128" s="315" t="str">
        <f t="shared" si="185"/>
        <v>LEX PartsOther Expenses as % of Sales</v>
      </c>
      <c r="S2128" s="199"/>
      <c r="T2128" s="199"/>
      <c r="U2128" s="199"/>
    </row>
    <row r="2129" spans="1:21" x14ac:dyDescent="0.25">
      <c r="A2129" t="s">
        <v>996</v>
      </c>
      <c r="B2129" t="s">
        <v>997</v>
      </c>
      <c r="C2129" t="s">
        <v>1005</v>
      </c>
      <c r="D2129">
        <v>7457</v>
      </c>
      <c r="E2129">
        <v>200</v>
      </c>
      <c r="F2129" t="s">
        <v>1360</v>
      </c>
      <c r="G2129" t="s">
        <v>1361</v>
      </c>
      <c r="H2129" s="315" t="s">
        <v>29</v>
      </c>
      <c r="I2129" s="315" t="s">
        <v>1359</v>
      </c>
      <c r="J2129" s="315" t="str">
        <f t="shared" si="181"/>
        <v>New VehicleOther Semi-Fixed Expenses p.u</v>
      </c>
      <c r="K2129" s="315" t="str">
        <f t="shared" si="182"/>
        <v>200NV Other Semi-Fixed expenses - Toyota</v>
      </c>
      <c r="L2129" s="311">
        <f>+SUMIF('TUNZ Extracted TB'!M:M,$P2129,'TUNZ Extracted TB'!G:G)</f>
        <v>0</v>
      </c>
      <c r="M2129" s="311"/>
      <c r="N2129" s="311">
        <f>+SUMIF('Input Sheet'!$AE:$AE,P2129,'Input Sheet'!$X:$X)</f>
        <v>0</v>
      </c>
      <c r="O2129" s="311"/>
      <c r="P2129" t="str">
        <f t="shared" si="183"/>
        <v>200-7457</v>
      </c>
      <c r="Q2129" s="315" t="str">
        <f t="shared" si="184"/>
        <v>New Vehicle</v>
      </c>
      <c r="R2129" s="315" t="str">
        <f t="shared" si="185"/>
        <v>New VehicleOther Semi-Fixed Expenses p.u</v>
      </c>
      <c r="S2129" s="199"/>
      <c r="T2129" s="199"/>
      <c r="U2129" s="199"/>
    </row>
    <row r="2130" spans="1:21" x14ac:dyDescent="0.25">
      <c r="A2130" t="s">
        <v>996</v>
      </c>
      <c r="B2130" t="s">
        <v>997</v>
      </c>
      <c r="C2130" t="s">
        <v>1012</v>
      </c>
      <c r="D2130">
        <v>7457</v>
      </c>
      <c r="E2130">
        <v>400</v>
      </c>
      <c r="F2130" t="s">
        <v>1360</v>
      </c>
      <c r="G2130" t="s">
        <v>1361</v>
      </c>
      <c r="H2130" s="315" t="s">
        <v>29</v>
      </c>
      <c r="I2130" s="315" t="s">
        <v>1359</v>
      </c>
      <c r="J2130" s="315" t="str">
        <f t="shared" si="181"/>
        <v>New VehicleOther Semi-Fixed Expenses p.u</v>
      </c>
      <c r="K2130" s="315" t="str">
        <f t="shared" si="182"/>
        <v>400NV Other Semi-Fixed expenses - Toyota</v>
      </c>
      <c r="L2130" s="311">
        <f>+SUMIF('TUNZ Extracted TB'!M:M,$P2130,'TUNZ Extracted TB'!G:G)</f>
        <v>0</v>
      </c>
      <c r="M2130" s="311"/>
      <c r="N2130" s="311">
        <f>+SUMIF('Input Sheet'!$AE:$AE,P2130,'Input Sheet'!$X:$X)</f>
        <v>0</v>
      </c>
      <c r="O2130" s="311"/>
      <c r="P2130" t="str">
        <f t="shared" si="183"/>
        <v>400-7457</v>
      </c>
      <c r="Q2130" s="315" t="str">
        <f t="shared" si="184"/>
        <v>New Vehicle</v>
      </c>
      <c r="R2130" s="315" t="str">
        <f t="shared" si="185"/>
        <v>New VehicleOther Semi-Fixed Expenses p.u</v>
      </c>
      <c r="S2130" s="199"/>
      <c r="T2130" s="199"/>
      <c r="U2130" s="199"/>
    </row>
    <row r="2131" spans="1:21" x14ac:dyDescent="0.25">
      <c r="A2131" t="s">
        <v>996</v>
      </c>
      <c r="B2131" t="s">
        <v>997</v>
      </c>
      <c r="C2131" t="s">
        <v>1013</v>
      </c>
      <c r="D2131">
        <v>7457</v>
      </c>
      <c r="E2131">
        <v>300</v>
      </c>
      <c r="F2131" t="s">
        <v>1360</v>
      </c>
      <c r="G2131" t="s">
        <v>1361</v>
      </c>
      <c r="H2131" s="315" t="s">
        <v>29</v>
      </c>
      <c r="I2131" s="315" t="s">
        <v>1359</v>
      </c>
      <c r="J2131" s="315" t="str">
        <f t="shared" si="181"/>
        <v>New VehicleOther Semi-Fixed Expenses p.u</v>
      </c>
      <c r="K2131" s="315" t="str">
        <f t="shared" si="182"/>
        <v>300NV Other Semi-Fixed expenses - Toyota</v>
      </c>
      <c r="L2131" s="311">
        <f>+SUMIF('TUNZ Extracted TB'!M:M,$P2131,'TUNZ Extracted TB'!G:G)</f>
        <v>0</v>
      </c>
      <c r="M2131" s="311"/>
      <c r="N2131" s="311">
        <f>+SUMIF('Input Sheet'!$AE:$AE,P2131,'Input Sheet'!$X:$X)</f>
        <v>0</v>
      </c>
      <c r="O2131" s="311"/>
      <c r="P2131" t="str">
        <f t="shared" si="183"/>
        <v>300-7457</v>
      </c>
      <c r="Q2131" s="315" t="str">
        <f t="shared" si="184"/>
        <v>New Vehicle</v>
      </c>
      <c r="R2131" s="315" t="str">
        <f t="shared" si="185"/>
        <v>New VehicleOther Semi-Fixed Expenses p.u</v>
      </c>
      <c r="S2131" s="199"/>
      <c r="T2131" s="199"/>
      <c r="U2131" s="199"/>
    </row>
    <row r="2132" spans="1:21" x14ac:dyDescent="0.25">
      <c r="A2132" t="s">
        <v>996</v>
      </c>
      <c r="B2132" t="s">
        <v>997</v>
      </c>
      <c r="C2132" t="s">
        <v>1005</v>
      </c>
      <c r="D2132">
        <v>7390</v>
      </c>
      <c r="E2132">
        <v>260</v>
      </c>
      <c r="F2132" t="s">
        <v>1317</v>
      </c>
      <c r="G2132" t="s">
        <v>1318</v>
      </c>
      <c r="H2132" s="315" t="s">
        <v>16</v>
      </c>
      <c r="I2132" s="315" t="s">
        <v>1295</v>
      </c>
      <c r="J2132" s="315" t="str">
        <f t="shared" si="181"/>
        <v>F&amp;IOther Expenses per vehicle retailed</v>
      </c>
      <c r="K2132" s="315" t="str">
        <f t="shared" si="182"/>
        <v>260F&amp;I Advertising &amp; Promotion - Toyota</v>
      </c>
      <c r="L2132" s="311">
        <f>+SUMIF('TUNZ Extracted TB'!M:M,$P2132,'TUNZ Extracted TB'!G:G)</f>
        <v>0</v>
      </c>
      <c r="M2132" s="311"/>
      <c r="N2132" s="311">
        <f>+SUMIF('Input Sheet'!$AE:$AE,P2132,'Input Sheet'!$X:$X)</f>
        <v>0</v>
      </c>
      <c r="O2132" s="311"/>
      <c r="P2132" t="str">
        <f t="shared" si="183"/>
        <v>260-7390</v>
      </c>
      <c r="Q2132" s="315" t="str">
        <f t="shared" si="184"/>
        <v>F&amp;I</v>
      </c>
      <c r="R2132" s="315" t="str">
        <f t="shared" si="185"/>
        <v>F&amp;IOther Expenses per vehicle retailed</v>
      </c>
      <c r="S2132" s="199"/>
      <c r="T2132" s="199"/>
      <c r="U2132" s="199"/>
    </row>
    <row r="2133" spans="1:21" x14ac:dyDescent="0.25">
      <c r="A2133" t="s">
        <v>996</v>
      </c>
      <c r="B2133" t="s">
        <v>997</v>
      </c>
      <c r="C2133" t="s">
        <v>1012</v>
      </c>
      <c r="D2133">
        <v>7390</v>
      </c>
      <c r="E2133">
        <v>460</v>
      </c>
      <c r="F2133" t="s">
        <v>1317</v>
      </c>
      <c r="G2133" t="s">
        <v>1318</v>
      </c>
      <c r="H2133" s="315" t="s">
        <v>16</v>
      </c>
      <c r="I2133" s="315" t="s">
        <v>1295</v>
      </c>
      <c r="J2133" s="315" t="str">
        <f t="shared" si="181"/>
        <v>F&amp;IOther Expenses per vehicle retailed</v>
      </c>
      <c r="K2133" s="315" t="str">
        <f t="shared" si="182"/>
        <v>460F&amp;I Advertising &amp; Promotion - Toyota</v>
      </c>
      <c r="L2133" s="311">
        <f>+SUMIF('TUNZ Extracted TB'!M:M,$P2133,'TUNZ Extracted TB'!G:G)</f>
        <v>0</v>
      </c>
      <c r="M2133" s="311"/>
      <c r="N2133" s="311">
        <f>+SUMIF('Input Sheet'!$AE:$AE,P2133,'Input Sheet'!$X:$X)</f>
        <v>0</v>
      </c>
      <c r="O2133" s="311"/>
      <c r="P2133" t="str">
        <f t="shared" si="183"/>
        <v>460-7390</v>
      </c>
      <c r="Q2133" s="315" t="str">
        <f t="shared" si="184"/>
        <v>F&amp;I</v>
      </c>
      <c r="R2133" s="315" t="str">
        <f t="shared" si="185"/>
        <v>F&amp;IOther Expenses per vehicle retailed</v>
      </c>
      <c r="S2133" s="199"/>
      <c r="T2133" s="199"/>
      <c r="U2133" s="199"/>
    </row>
    <row r="2134" spans="1:21" x14ac:dyDescent="0.25">
      <c r="A2134" t="s">
        <v>996</v>
      </c>
      <c r="B2134" t="s">
        <v>997</v>
      </c>
      <c r="C2134" t="s">
        <v>997</v>
      </c>
      <c r="D2134">
        <v>7457</v>
      </c>
      <c r="E2134">
        <v>110</v>
      </c>
      <c r="F2134" t="s">
        <v>1360</v>
      </c>
      <c r="G2134" t="s">
        <v>1361</v>
      </c>
      <c r="H2134" s="315" t="s">
        <v>29</v>
      </c>
      <c r="I2134" s="315" t="s">
        <v>1359</v>
      </c>
      <c r="J2134" s="315" t="str">
        <f t="shared" si="181"/>
        <v>New VehicleOther Semi-Fixed Expenses p.u</v>
      </c>
      <c r="K2134" s="315" t="str">
        <f t="shared" si="182"/>
        <v>110NV Other Semi-Fixed expenses - Toyota</v>
      </c>
      <c r="L2134" s="311">
        <f>+SUMIF('TUNZ Extracted TB'!M:M,$P2134,'TUNZ Extracted TB'!G:G)</f>
        <v>1289.43</v>
      </c>
      <c r="M2134" s="311"/>
      <c r="N2134" s="311">
        <f>+SUMIF('Input Sheet'!$AE:$AE,P2134,'Input Sheet'!$X:$X)</f>
        <v>0</v>
      </c>
      <c r="O2134" s="311"/>
      <c r="P2134" t="str">
        <f t="shared" si="183"/>
        <v>110-7457</v>
      </c>
      <c r="Q2134" s="315" t="str">
        <f t="shared" si="184"/>
        <v>New Vehicle</v>
      </c>
      <c r="R2134" s="315" t="str">
        <f t="shared" si="185"/>
        <v>New VehicleOther Semi-Fixed Expenses p.u</v>
      </c>
      <c r="S2134" s="199"/>
      <c r="T2134" s="199"/>
      <c r="U2134" s="199"/>
    </row>
    <row r="2135" spans="1:21" x14ac:dyDescent="0.25">
      <c r="A2135" t="s">
        <v>996</v>
      </c>
      <c r="B2135" t="s">
        <v>997</v>
      </c>
      <c r="C2135" t="s">
        <v>997</v>
      </c>
      <c r="D2135">
        <v>7390</v>
      </c>
      <c r="E2135">
        <v>147</v>
      </c>
      <c r="F2135" t="s">
        <v>1306</v>
      </c>
      <c r="G2135" t="s">
        <v>1307</v>
      </c>
      <c r="H2135" s="315" t="s">
        <v>17</v>
      </c>
      <c r="I2135" s="315" t="s">
        <v>1286</v>
      </c>
      <c r="J2135" s="315" t="str">
        <f t="shared" si="181"/>
        <v>ServiceOther Expenses as % of Sales</v>
      </c>
      <c r="K2135" s="315" t="str">
        <f t="shared" si="182"/>
        <v>147Service Advertising &amp; Promotion - Toyota</v>
      </c>
      <c r="L2135" s="311">
        <f>+SUMIF('TUNZ Extracted TB'!M:M,$P2135,'TUNZ Extracted TB'!G:G)</f>
        <v>0</v>
      </c>
      <c r="M2135" s="311"/>
      <c r="N2135" s="311">
        <f>+SUMIF('Input Sheet'!$AE:$AE,P2135,'Input Sheet'!$X:$X)</f>
        <v>0</v>
      </c>
      <c r="O2135" s="311"/>
      <c r="P2135" t="str">
        <f t="shared" si="183"/>
        <v>147-7390</v>
      </c>
      <c r="Q2135" s="315" t="str">
        <f t="shared" si="184"/>
        <v>Service</v>
      </c>
      <c r="R2135" s="315" t="str">
        <f t="shared" si="185"/>
        <v>ServiceOther Expenses as % of Sales</v>
      </c>
      <c r="S2135" s="199"/>
      <c r="T2135" s="199"/>
      <c r="U2135" s="199"/>
    </row>
    <row r="2136" spans="1:21" x14ac:dyDescent="0.25">
      <c r="A2136" t="s">
        <v>996</v>
      </c>
      <c r="B2136" t="s">
        <v>997</v>
      </c>
      <c r="C2136" t="s">
        <v>997</v>
      </c>
      <c r="D2136">
        <v>7390</v>
      </c>
      <c r="E2136">
        <v>121</v>
      </c>
      <c r="F2136" t="s">
        <v>1299</v>
      </c>
      <c r="G2136" t="s">
        <v>1300</v>
      </c>
      <c r="H2136" s="315" t="s">
        <v>30</v>
      </c>
      <c r="I2136" s="315" t="s">
        <v>1301</v>
      </c>
      <c r="J2136" s="315" t="str">
        <f t="shared" si="181"/>
        <v>Used VehicleAdvertising per retail</v>
      </c>
      <c r="K2136" s="315" t="str">
        <f t="shared" si="182"/>
        <v>121Toyota UV Advertising &amp; Promotion</v>
      </c>
      <c r="L2136" s="311">
        <f>+SUMIF('TUNZ Extracted TB'!M:M,$P2136,'TUNZ Extracted TB'!G:G)</f>
        <v>0</v>
      </c>
      <c r="M2136" s="311"/>
      <c r="N2136" s="311">
        <f>+SUMIF('Input Sheet'!$AE:$AE,P2136,'Input Sheet'!$X:$X)</f>
        <v>0</v>
      </c>
      <c r="O2136" s="311"/>
      <c r="P2136" t="str">
        <f t="shared" si="183"/>
        <v>121-7390</v>
      </c>
      <c r="Q2136" s="315" t="str">
        <f t="shared" si="184"/>
        <v>Used Vehicle</v>
      </c>
      <c r="R2136" s="315" t="str">
        <f t="shared" si="185"/>
        <v>Used VehicleAdvertising per retail</v>
      </c>
      <c r="S2136" s="199"/>
      <c r="T2136" s="199"/>
      <c r="U2136" s="199"/>
    </row>
    <row r="2137" spans="1:21" x14ac:dyDescent="0.25">
      <c r="A2137" t="s">
        <v>996</v>
      </c>
      <c r="B2137" t="s">
        <v>997</v>
      </c>
      <c r="C2137" t="s">
        <v>1005</v>
      </c>
      <c r="D2137">
        <v>7410</v>
      </c>
      <c r="E2137">
        <v>240</v>
      </c>
      <c r="F2137" t="s">
        <v>1289</v>
      </c>
      <c r="G2137" t="s">
        <v>1290</v>
      </c>
      <c r="H2137" s="315" t="s">
        <v>17</v>
      </c>
      <c r="I2137" s="315" t="s">
        <v>1286</v>
      </c>
      <c r="J2137" s="315" t="str">
        <f t="shared" si="181"/>
        <v>ServiceOther Expenses as % of Sales</v>
      </c>
      <c r="K2137" s="315" t="str">
        <f t="shared" si="182"/>
        <v>240Service Other expenses - Toyota</v>
      </c>
      <c r="L2137" s="311">
        <f>+SUMIF('TUNZ Extracted TB'!M:M,$P2137,'TUNZ Extracted TB'!G:G)</f>
        <v>533.6</v>
      </c>
      <c r="M2137" s="311"/>
      <c r="N2137" s="311">
        <f>+SUMIF('Input Sheet'!$AE:$AE,P2137,'Input Sheet'!$X:$X)</f>
        <v>0</v>
      </c>
      <c r="O2137" s="311"/>
      <c r="P2137" t="str">
        <f t="shared" si="183"/>
        <v>240-7410</v>
      </c>
      <c r="Q2137" s="315" t="str">
        <f t="shared" si="184"/>
        <v>Service</v>
      </c>
      <c r="R2137" s="315" t="str">
        <f t="shared" si="185"/>
        <v>ServiceOther Expenses as % of Sales</v>
      </c>
      <c r="S2137" s="199"/>
      <c r="T2137" s="199"/>
      <c r="U2137" s="199"/>
    </row>
    <row r="2138" spans="1:21" x14ac:dyDescent="0.25">
      <c r="A2138" t="s">
        <v>996</v>
      </c>
      <c r="B2138" t="s">
        <v>997</v>
      </c>
      <c r="C2138" t="s">
        <v>1012</v>
      </c>
      <c r="D2138">
        <v>7410</v>
      </c>
      <c r="E2138">
        <v>440</v>
      </c>
      <c r="F2138" t="s">
        <v>1289</v>
      </c>
      <c r="G2138" t="s">
        <v>1290</v>
      </c>
      <c r="H2138" s="315" t="s">
        <v>17</v>
      </c>
      <c r="I2138" s="315" t="s">
        <v>1286</v>
      </c>
      <c r="J2138" s="315" t="str">
        <f t="shared" si="181"/>
        <v>ServiceOther Expenses as % of Sales</v>
      </c>
      <c r="K2138" s="315" t="str">
        <f t="shared" si="182"/>
        <v>440Service Other expenses - Toyota</v>
      </c>
      <c r="L2138" s="311">
        <f>+SUMIF('TUNZ Extracted TB'!M:M,$P2138,'TUNZ Extracted TB'!G:G)</f>
        <v>552.41</v>
      </c>
      <c r="M2138" s="311"/>
      <c r="N2138" s="311">
        <f>+SUMIF('Input Sheet'!$AE:$AE,P2138,'Input Sheet'!$X:$X)</f>
        <v>0</v>
      </c>
      <c r="O2138" s="311"/>
      <c r="P2138" t="str">
        <f t="shared" si="183"/>
        <v>440-7410</v>
      </c>
      <c r="Q2138" s="315" t="str">
        <f t="shared" si="184"/>
        <v>Service</v>
      </c>
      <c r="R2138" s="315" t="str">
        <f t="shared" si="185"/>
        <v>ServiceOther Expenses as % of Sales</v>
      </c>
      <c r="S2138" s="199"/>
      <c r="T2138" s="199"/>
      <c r="U2138" s="199"/>
    </row>
    <row r="2139" spans="1:21" x14ac:dyDescent="0.25">
      <c r="A2139" t="s">
        <v>996</v>
      </c>
      <c r="B2139" t="s">
        <v>997</v>
      </c>
      <c r="C2139" t="s">
        <v>1013</v>
      </c>
      <c r="D2139">
        <v>7410</v>
      </c>
      <c r="E2139">
        <v>340</v>
      </c>
      <c r="F2139" t="s">
        <v>1289</v>
      </c>
      <c r="G2139" t="s">
        <v>1290</v>
      </c>
      <c r="H2139" s="315" t="s">
        <v>17</v>
      </c>
      <c r="I2139" s="315" t="s">
        <v>1286</v>
      </c>
      <c r="J2139" s="315" t="str">
        <f t="shared" si="181"/>
        <v>ServiceOther Expenses as % of Sales</v>
      </c>
      <c r="K2139" s="315" t="str">
        <f t="shared" si="182"/>
        <v>340Service Other expenses - Toyota</v>
      </c>
      <c r="L2139" s="311">
        <f>+SUMIF('TUNZ Extracted TB'!M:M,$P2139,'TUNZ Extracted TB'!G:G)</f>
        <v>168</v>
      </c>
      <c r="M2139" s="311"/>
      <c r="N2139" s="311">
        <f>+SUMIF('Input Sheet'!$AE:$AE,P2139,'Input Sheet'!$X:$X)</f>
        <v>0</v>
      </c>
      <c r="O2139" s="311"/>
      <c r="P2139" t="str">
        <f t="shared" si="183"/>
        <v>340-7410</v>
      </c>
      <c r="Q2139" s="315" t="str">
        <f t="shared" si="184"/>
        <v>Service</v>
      </c>
      <c r="R2139" s="315" t="str">
        <f t="shared" si="185"/>
        <v>ServiceOther Expenses as % of Sales</v>
      </c>
      <c r="S2139" s="199"/>
      <c r="T2139" s="199"/>
      <c r="U2139" s="199"/>
    </row>
    <row r="2140" spans="1:21" x14ac:dyDescent="0.25">
      <c r="A2140" t="s">
        <v>996</v>
      </c>
      <c r="B2140" t="s">
        <v>997</v>
      </c>
      <c r="C2140" t="s">
        <v>1005</v>
      </c>
      <c r="D2140">
        <v>7410</v>
      </c>
      <c r="E2140">
        <v>230</v>
      </c>
      <c r="F2140" t="s">
        <v>1291</v>
      </c>
      <c r="G2140" t="s">
        <v>1292</v>
      </c>
      <c r="H2140" s="315" t="s">
        <v>5</v>
      </c>
      <c r="I2140" s="315" t="s">
        <v>1286</v>
      </c>
      <c r="J2140" s="315" t="str">
        <f t="shared" si="181"/>
        <v>PartsOther Expenses as % of Sales</v>
      </c>
      <c r="K2140" s="315" t="str">
        <f t="shared" si="182"/>
        <v>230Parts Other Expenses - Toyota</v>
      </c>
      <c r="L2140" s="311">
        <f>+SUMIF('TUNZ Extracted TB'!M:M,$P2140,'TUNZ Extracted TB'!G:G)</f>
        <v>167.63</v>
      </c>
      <c r="M2140" s="311"/>
      <c r="N2140" s="311">
        <f>+SUMIF('Input Sheet'!$AE:$AE,P2140,'Input Sheet'!$X:$X)</f>
        <v>0</v>
      </c>
      <c r="O2140" s="311"/>
      <c r="P2140" t="str">
        <f t="shared" si="183"/>
        <v>230-7410</v>
      </c>
      <c r="Q2140" s="315" t="str">
        <f t="shared" si="184"/>
        <v>Parts</v>
      </c>
      <c r="R2140" s="315" t="str">
        <f t="shared" si="185"/>
        <v>PartsOther Expenses as % of Sales</v>
      </c>
      <c r="S2140" s="199"/>
      <c r="T2140" s="199"/>
      <c r="U2140" s="199"/>
    </row>
    <row r="2141" spans="1:21" x14ac:dyDescent="0.25">
      <c r="A2141" t="s">
        <v>996</v>
      </c>
      <c r="B2141" t="s">
        <v>997</v>
      </c>
      <c r="C2141" t="s">
        <v>997</v>
      </c>
      <c r="D2141">
        <v>7410</v>
      </c>
      <c r="E2141">
        <v>140</v>
      </c>
      <c r="F2141" t="s">
        <v>1289</v>
      </c>
      <c r="G2141" t="s">
        <v>1290</v>
      </c>
      <c r="H2141" s="315" t="s">
        <v>17</v>
      </c>
      <c r="I2141" s="315" t="s">
        <v>1286</v>
      </c>
      <c r="J2141" s="315" t="str">
        <f t="shared" si="181"/>
        <v>ServiceOther Expenses as % of Sales</v>
      </c>
      <c r="K2141" s="315" t="str">
        <f t="shared" si="182"/>
        <v>140Service Other expenses - Toyota</v>
      </c>
      <c r="L2141" s="311">
        <f>+SUMIF('TUNZ Extracted TB'!M:M,$P2141,'TUNZ Extracted TB'!G:G)</f>
        <v>1317.12</v>
      </c>
      <c r="M2141" s="311"/>
      <c r="N2141" s="311">
        <f>+SUMIF('Input Sheet'!$AE:$AE,P2141,'Input Sheet'!$X:$X)</f>
        <v>0</v>
      </c>
      <c r="O2141" s="311"/>
      <c r="P2141" t="str">
        <f t="shared" si="183"/>
        <v>140-7410</v>
      </c>
      <c r="Q2141" s="315" t="str">
        <f t="shared" si="184"/>
        <v>Service</v>
      </c>
      <c r="R2141" s="315" t="str">
        <f t="shared" si="185"/>
        <v>ServiceOther Expenses as % of Sales</v>
      </c>
      <c r="S2141" s="199"/>
      <c r="T2141" s="199"/>
      <c r="U2141" s="199"/>
    </row>
    <row r="2142" spans="1:21" x14ac:dyDescent="0.25">
      <c r="A2142" t="s">
        <v>996</v>
      </c>
      <c r="B2142" t="s">
        <v>997</v>
      </c>
      <c r="C2142" t="s">
        <v>997</v>
      </c>
      <c r="D2142">
        <v>7410</v>
      </c>
      <c r="E2142">
        <v>142</v>
      </c>
      <c r="F2142" t="s">
        <v>1284</v>
      </c>
      <c r="G2142" t="s">
        <v>1285</v>
      </c>
      <c r="H2142" s="315" t="s">
        <v>1022</v>
      </c>
      <c r="I2142" s="315" t="s">
        <v>1286</v>
      </c>
      <c r="J2142" s="315" t="str">
        <f t="shared" si="181"/>
        <v>Lex ServiceOther Expenses as % of Sales</v>
      </c>
      <c r="K2142" s="315" t="str">
        <f t="shared" si="182"/>
        <v>142Service Other expenses - Lexus</v>
      </c>
      <c r="L2142" s="311">
        <f>+SUMIF('TUNZ Extracted TB'!M:M,$P2142,'TUNZ Extracted TB'!G:G)</f>
        <v>0</v>
      </c>
      <c r="M2142" s="311"/>
      <c r="N2142" s="311">
        <f>+SUMIF('Input Sheet'!$AE:$AE,P2142,'Input Sheet'!$X:$X)</f>
        <v>0</v>
      </c>
      <c r="O2142" s="311"/>
      <c r="P2142" t="str">
        <f t="shared" si="183"/>
        <v>142-7410</v>
      </c>
      <c r="Q2142" s="315" t="str">
        <f t="shared" si="184"/>
        <v>Lex Service</v>
      </c>
      <c r="R2142" s="315" t="str">
        <f t="shared" si="185"/>
        <v>Lex ServiceOther Expenses as % of Sales</v>
      </c>
      <c r="S2142" s="199"/>
      <c r="T2142" s="199"/>
      <c r="U2142" s="199"/>
    </row>
    <row r="2143" spans="1:21" x14ac:dyDescent="0.25">
      <c r="A2143" t="s">
        <v>996</v>
      </c>
      <c r="B2143" t="s">
        <v>997</v>
      </c>
      <c r="C2143" t="s">
        <v>997</v>
      </c>
      <c r="D2143">
        <v>7410</v>
      </c>
      <c r="E2143">
        <v>130</v>
      </c>
      <c r="F2143" t="s">
        <v>1291</v>
      </c>
      <c r="G2143" t="s">
        <v>1292</v>
      </c>
      <c r="H2143" s="315" t="s">
        <v>5</v>
      </c>
      <c r="I2143" s="315" t="s">
        <v>1286</v>
      </c>
      <c r="J2143" s="315" t="str">
        <f t="shared" si="181"/>
        <v>PartsOther Expenses as % of Sales</v>
      </c>
      <c r="K2143" s="315" t="str">
        <f t="shared" si="182"/>
        <v>130Parts Other Expenses - Toyota</v>
      </c>
      <c r="L2143" s="311">
        <f>+SUMIF('TUNZ Extracted TB'!M:M,$P2143,'TUNZ Extracted TB'!G:G)</f>
        <v>10.050000000000001</v>
      </c>
      <c r="M2143" s="311"/>
      <c r="N2143" s="311">
        <f>+SUMIF('Input Sheet'!$AE:$AE,P2143,'Input Sheet'!$X:$X)</f>
        <v>0</v>
      </c>
      <c r="O2143" s="311"/>
      <c r="P2143" t="str">
        <f t="shared" si="183"/>
        <v>130-7410</v>
      </c>
      <c r="Q2143" s="315" t="str">
        <f t="shared" si="184"/>
        <v>Parts</v>
      </c>
      <c r="R2143" s="315" t="str">
        <f t="shared" si="185"/>
        <v>PartsOther Expenses as % of Sales</v>
      </c>
      <c r="S2143" s="199"/>
      <c r="T2143" s="199"/>
      <c r="U2143" s="199"/>
    </row>
    <row r="2144" spans="1:21" x14ac:dyDescent="0.25">
      <c r="A2144" t="s">
        <v>996</v>
      </c>
      <c r="B2144" t="s">
        <v>997</v>
      </c>
      <c r="C2144" t="s">
        <v>997</v>
      </c>
      <c r="D2144">
        <v>7410</v>
      </c>
      <c r="E2144">
        <v>132</v>
      </c>
      <c r="F2144" t="s">
        <v>1321</v>
      </c>
      <c r="G2144" t="s">
        <v>1322</v>
      </c>
      <c r="H2144" s="315" t="s">
        <v>143</v>
      </c>
      <c r="I2144" s="315" t="s">
        <v>1286</v>
      </c>
      <c r="J2144" s="315" t="str">
        <f t="shared" si="181"/>
        <v>LEX PartsOther Expenses as % of Sales</v>
      </c>
      <c r="K2144" s="315" t="str">
        <f t="shared" si="182"/>
        <v>132Parts Other Expenses - Lexus</v>
      </c>
      <c r="L2144" s="311">
        <f>+SUMIF('TUNZ Extracted TB'!M:M,$P2144,'TUNZ Extracted TB'!G:G)</f>
        <v>0</v>
      </c>
      <c r="M2144" s="311"/>
      <c r="N2144" s="311">
        <f>+SUMIF('Input Sheet'!$AE:$AE,P2144,'Input Sheet'!$X:$X)</f>
        <v>0</v>
      </c>
      <c r="O2144" s="311"/>
      <c r="P2144" t="str">
        <f t="shared" si="183"/>
        <v>132-7410</v>
      </c>
      <c r="Q2144" s="315" t="str">
        <f t="shared" si="184"/>
        <v>LEX Parts</v>
      </c>
      <c r="R2144" s="315" t="str">
        <f t="shared" si="185"/>
        <v>LEX PartsOther Expenses as % of Sales</v>
      </c>
      <c r="S2144" s="199"/>
      <c r="T2144" s="199"/>
      <c r="U2144" s="199"/>
    </row>
    <row r="2145" spans="1:21" x14ac:dyDescent="0.25">
      <c r="A2145" t="s">
        <v>996</v>
      </c>
      <c r="B2145" t="s">
        <v>997</v>
      </c>
      <c r="C2145" t="s">
        <v>1012</v>
      </c>
      <c r="D2145">
        <v>7410</v>
      </c>
      <c r="E2145">
        <v>460</v>
      </c>
      <c r="F2145" t="s">
        <v>1293</v>
      </c>
      <c r="G2145" t="s">
        <v>1294</v>
      </c>
      <c r="H2145" s="315" t="s">
        <v>16</v>
      </c>
      <c r="I2145" s="315" t="s">
        <v>1295</v>
      </c>
      <c r="J2145" s="315" t="str">
        <f t="shared" si="181"/>
        <v>F&amp;IOther Expenses per vehicle retailed</v>
      </c>
      <c r="K2145" s="315" t="str">
        <f t="shared" si="182"/>
        <v>460F&amp;I Other expenses - Toyota</v>
      </c>
      <c r="L2145" s="311">
        <f>+SUMIF('TUNZ Extracted TB'!M:M,$P2145,'TUNZ Extracted TB'!G:G)</f>
        <v>0</v>
      </c>
      <c r="M2145" s="311"/>
      <c r="N2145" s="311">
        <f>+SUMIF('Input Sheet'!$AE:$AE,P2145,'Input Sheet'!$X:$X)</f>
        <v>0</v>
      </c>
      <c r="O2145" s="311"/>
      <c r="P2145" t="str">
        <f t="shared" si="183"/>
        <v>460-7410</v>
      </c>
      <c r="Q2145" s="315" t="str">
        <f t="shared" si="184"/>
        <v>F&amp;I</v>
      </c>
      <c r="R2145" s="315" t="str">
        <f t="shared" si="185"/>
        <v>F&amp;IOther Expenses per vehicle retailed</v>
      </c>
      <c r="S2145" s="199"/>
      <c r="T2145" s="199"/>
      <c r="U2145" s="199"/>
    </row>
    <row r="2146" spans="1:21" x14ac:dyDescent="0.25">
      <c r="A2146" t="s">
        <v>996</v>
      </c>
      <c r="B2146" t="s">
        <v>997</v>
      </c>
      <c r="C2146" t="s">
        <v>997</v>
      </c>
      <c r="D2146">
        <v>7410</v>
      </c>
      <c r="E2146">
        <v>936</v>
      </c>
      <c r="F2146" t="s">
        <v>1175</v>
      </c>
      <c r="G2146" t="s">
        <v>1176</v>
      </c>
      <c r="H2146" s="315" t="s">
        <v>58</v>
      </c>
      <c r="I2146" s="315" t="s">
        <v>1286</v>
      </c>
      <c r="J2146" s="315" t="str">
        <f t="shared" si="181"/>
        <v>BridgestoneOther Expenses as % of Sales</v>
      </c>
      <c r="K2146" s="315" t="str">
        <f t="shared" si="182"/>
        <v>936Other franchise/business expense</v>
      </c>
      <c r="L2146" s="311">
        <f>+SUMIF('TUNZ Extracted TB'!M:M,$P2146,'TUNZ Extracted TB'!G:G)</f>
        <v>0</v>
      </c>
      <c r="M2146" s="311"/>
      <c r="N2146" s="311">
        <f>+SUMIF('Input Sheet'!$AE:$AE,P2146,'Input Sheet'!$X:$X)</f>
        <v>0</v>
      </c>
      <c r="O2146" s="311"/>
      <c r="P2146" t="str">
        <f t="shared" si="183"/>
        <v>936-7410</v>
      </c>
      <c r="Q2146" s="315" t="str">
        <f t="shared" si="184"/>
        <v>Bridgestone</v>
      </c>
      <c r="R2146" s="315" t="str">
        <f t="shared" si="185"/>
        <v>BridgestoneOther Expenses as % of Sales</v>
      </c>
      <c r="S2146" s="199"/>
      <c r="T2146" s="199"/>
      <c r="U2146" s="199"/>
    </row>
    <row r="2147" spans="1:21" x14ac:dyDescent="0.25">
      <c r="A2147" t="s">
        <v>996</v>
      </c>
      <c r="B2147" t="s">
        <v>997</v>
      </c>
      <c r="C2147" t="s">
        <v>997</v>
      </c>
      <c r="D2147">
        <v>7410</v>
      </c>
      <c r="E2147">
        <v>935</v>
      </c>
      <c r="F2147" t="s">
        <v>1175</v>
      </c>
      <c r="G2147" t="s">
        <v>1176</v>
      </c>
      <c r="H2147" s="315" t="s">
        <v>58</v>
      </c>
      <c r="I2147" s="315" t="s">
        <v>1286</v>
      </c>
      <c r="J2147" s="315" t="str">
        <f t="shared" si="181"/>
        <v>BridgestoneOther Expenses as % of Sales</v>
      </c>
      <c r="K2147" s="315" t="str">
        <f t="shared" si="182"/>
        <v>935Other franchise/business expense</v>
      </c>
      <c r="L2147" s="311">
        <f>+SUMIF('TUNZ Extracted TB'!M:M,$P2147,'TUNZ Extracted TB'!G:G)</f>
        <v>0</v>
      </c>
      <c r="M2147" s="311"/>
      <c r="N2147" s="311">
        <f>+SUMIF('Input Sheet'!$AE:$AE,P2147,'Input Sheet'!$X:$X)</f>
        <v>0</v>
      </c>
      <c r="O2147" s="311"/>
      <c r="P2147" t="str">
        <f t="shared" si="183"/>
        <v>935-7410</v>
      </c>
      <c r="Q2147" s="315" t="str">
        <f t="shared" si="184"/>
        <v>Bridgestone</v>
      </c>
      <c r="R2147" s="315" t="str">
        <f t="shared" si="185"/>
        <v>BridgestoneOther Expenses as % of Sales</v>
      </c>
      <c r="S2147" s="199"/>
      <c r="T2147" s="199"/>
      <c r="U2147" s="199"/>
    </row>
    <row r="2148" spans="1:21" x14ac:dyDescent="0.25">
      <c r="A2148" t="s">
        <v>996</v>
      </c>
      <c r="B2148" t="s">
        <v>997</v>
      </c>
      <c r="C2148" t="s">
        <v>1012</v>
      </c>
      <c r="D2148">
        <v>7410</v>
      </c>
      <c r="E2148">
        <v>430</v>
      </c>
      <c r="F2148" t="s">
        <v>1291</v>
      </c>
      <c r="G2148" t="s">
        <v>1292</v>
      </c>
      <c r="H2148" s="315" t="s">
        <v>5</v>
      </c>
      <c r="I2148" s="315" t="s">
        <v>1286</v>
      </c>
      <c r="J2148" s="315" t="str">
        <f t="shared" si="181"/>
        <v>PartsOther Expenses as % of Sales</v>
      </c>
      <c r="K2148" s="315" t="str">
        <f t="shared" si="182"/>
        <v>430Parts Other Expenses - Toyota</v>
      </c>
      <c r="L2148" s="311">
        <f>+SUMIF('TUNZ Extracted TB'!M:M,$P2148,'TUNZ Extracted TB'!G:G)</f>
        <v>0</v>
      </c>
      <c r="M2148" s="311"/>
      <c r="N2148" s="311">
        <f>+SUMIF('Input Sheet'!$AE:$AE,P2148,'Input Sheet'!$X:$X)</f>
        <v>0</v>
      </c>
      <c r="O2148" s="311"/>
      <c r="P2148" t="str">
        <f t="shared" si="183"/>
        <v>430-7410</v>
      </c>
      <c r="Q2148" s="315" t="str">
        <f t="shared" si="184"/>
        <v>Parts</v>
      </c>
      <c r="R2148" s="315" t="str">
        <f t="shared" si="185"/>
        <v>PartsOther Expenses as % of Sales</v>
      </c>
      <c r="S2148" s="199"/>
      <c r="T2148" s="199"/>
      <c r="U2148" s="199"/>
    </row>
    <row r="2149" spans="1:21" x14ac:dyDescent="0.25">
      <c r="A2149" t="s">
        <v>996</v>
      </c>
      <c r="B2149" t="s">
        <v>997</v>
      </c>
      <c r="C2149" t="s">
        <v>1013</v>
      </c>
      <c r="D2149">
        <v>7410</v>
      </c>
      <c r="E2149">
        <v>330</v>
      </c>
      <c r="F2149" t="s">
        <v>1291</v>
      </c>
      <c r="G2149" t="s">
        <v>1292</v>
      </c>
      <c r="H2149" s="315" t="s">
        <v>5</v>
      </c>
      <c r="I2149" s="315" t="s">
        <v>1286</v>
      </c>
      <c r="J2149" s="315" t="str">
        <f t="shared" si="181"/>
        <v>PartsOther Expenses as % of Sales</v>
      </c>
      <c r="K2149" s="315" t="str">
        <f t="shared" si="182"/>
        <v>330Parts Other Expenses - Toyota</v>
      </c>
      <c r="L2149" s="311">
        <f>+SUMIF('TUNZ Extracted TB'!M:M,$P2149,'TUNZ Extracted TB'!G:G)</f>
        <v>0</v>
      </c>
      <c r="M2149" s="311"/>
      <c r="N2149" s="311">
        <f>+SUMIF('Input Sheet'!$AE:$AE,P2149,'Input Sheet'!$X:$X)</f>
        <v>0</v>
      </c>
      <c r="O2149" s="311"/>
      <c r="P2149" t="str">
        <f t="shared" si="183"/>
        <v>330-7410</v>
      </c>
      <c r="Q2149" s="315" t="str">
        <f t="shared" si="184"/>
        <v>Parts</v>
      </c>
      <c r="R2149" s="315" t="str">
        <f t="shared" si="185"/>
        <v>PartsOther Expenses as % of Sales</v>
      </c>
      <c r="S2149" s="199"/>
      <c r="T2149" s="199"/>
      <c r="U2149" s="199"/>
    </row>
    <row r="2150" spans="1:21" x14ac:dyDescent="0.25">
      <c r="A2150" t="s">
        <v>996</v>
      </c>
      <c r="B2150" t="s">
        <v>997</v>
      </c>
      <c r="C2150" t="s">
        <v>997</v>
      </c>
      <c r="D2150">
        <v>7410</v>
      </c>
      <c r="E2150">
        <v>147</v>
      </c>
      <c r="F2150" t="s">
        <v>1289</v>
      </c>
      <c r="G2150" t="s">
        <v>1290</v>
      </c>
      <c r="H2150" s="315" t="s">
        <v>17</v>
      </c>
      <c r="I2150" s="315" t="s">
        <v>1286</v>
      </c>
      <c r="J2150" s="315" t="str">
        <f t="shared" si="181"/>
        <v>ServiceOther Expenses as % of Sales</v>
      </c>
      <c r="K2150" s="315" t="str">
        <f t="shared" si="182"/>
        <v>147Service Other expenses - Toyota</v>
      </c>
      <c r="L2150" s="311">
        <f>+SUMIF('TUNZ Extracted TB'!M:M,$P2150,'TUNZ Extracted TB'!G:G)</f>
        <v>0</v>
      </c>
      <c r="M2150" s="311"/>
      <c r="N2150" s="311">
        <f>+SUMIF('Input Sheet'!$AE:$AE,P2150,'Input Sheet'!$X:$X)</f>
        <v>0</v>
      </c>
      <c r="O2150" s="311"/>
      <c r="P2150" t="str">
        <f t="shared" si="183"/>
        <v>147-7410</v>
      </c>
      <c r="Q2150" s="315" t="str">
        <f t="shared" si="184"/>
        <v>Service</v>
      </c>
      <c r="R2150" s="315" t="str">
        <f t="shared" si="185"/>
        <v>ServiceOther Expenses as % of Sales</v>
      </c>
      <c r="S2150" s="199"/>
      <c r="T2150" s="199"/>
      <c r="U2150" s="199"/>
    </row>
    <row r="2151" spans="1:21" x14ac:dyDescent="0.25">
      <c r="A2151" t="s">
        <v>996</v>
      </c>
      <c r="B2151" t="s">
        <v>997</v>
      </c>
      <c r="C2151" t="s">
        <v>997</v>
      </c>
      <c r="D2151">
        <v>7430</v>
      </c>
      <c r="E2151">
        <v>120</v>
      </c>
      <c r="F2151" t="s">
        <v>1383</v>
      </c>
      <c r="G2151" t="s">
        <v>1384</v>
      </c>
      <c r="H2151" s="315" t="s">
        <v>1000</v>
      </c>
      <c r="I2151" s="315" t="s">
        <v>1385</v>
      </c>
      <c r="J2151" s="315" t="str">
        <f t="shared" si="181"/>
        <v>Admin &amp; OtherData Processing as % of Total Gross Profit</v>
      </c>
      <c r="K2151" s="315" t="str">
        <f t="shared" si="182"/>
        <v>120Data Processing - Toyota</v>
      </c>
      <c r="L2151" s="311">
        <f>+SUMIF('TUNZ Extracted TB'!M:M,$P2151,'TUNZ Extracted TB'!G:G)</f>
        <v>7653.01</v>
      </c>
      <c r="M2151" s="311"/>
      <c r="N2151" s="311">
        <f>+SUMIF('Input Sheet'!$AE:$AE,P2151,'Input Sheet'!$X:$X)</f>
        <v>0</v>
      </c>
      <c r="O2151" s="311"/>
      <c r="P2151" t="str">
        <f t="shared" si="183"/>
        <v>120-7430</v>
      </c>
      <c r="Q2151" s="315" t="str">
        <f t="shared" si="184"/>
        <v>Admin &amp; Other</v>
      </c>
      <c r="R2151" s="315" t="str">
        <f t="shared" si="185"/>
        <v>Admin &amp; OtherData Processing as % of Total Gross Profit</v>
      </c>
      <c r="S2151" s="199"/>
      <c r="T2151" s="199"/>
      <c r="U2151" s="199"/>
    </row>
    <row r="2152" spans="1:21" x14ac:dyDescent="0.25">
      <c r="A2152" t="s">
        <v>996</v>
      </c>
      <c r="B2152" t="s">
        <v>997</v>
      </c>
      <c r="C2152" t="s">
        <v>997</v>
      </c>
      <c r="D2152">
        <v>7430</v>
      </c>
      <c r="E2152">
        <v>162</v>
      </c>
      <c r="F2152" t="s">
        <v>1386</v>
      </c>
      <c r="G2152" t="s">
        <v>1387</v>
      </c>
      <c r="H2152" s="315" t="s">
        <v>1023</v>
      </c>
      <c r="I2152" s="315" t="s">
        <v>1385</v>
      </c>
      <c r="J2152" s="315" t="str">
        <f t="shared" si="181"/>
        <v>LEX Admin &amp; OtherData Processing as % of Total Gross Profit</v>
      </c>
      <c r="K2152" s="315" t="str">
        <f t="shared" si="182"/>
        <v>162Data Processing - Lexus</v>
      </c>
      <c r="L2152" s="311">
        <f>+SUMIF('TUNZ Extracted TB'!M:M,$P2152,'TUNZ Extracted TB'!G:G)</f>
        <v>1304.55</v>
      </c>
      <c r="M2152" s="311"/>
      <c r="N2152" s="311">
        <f>+SUMIF('Input Sheet'!$AE:$AE,P2152,'Input Sheet'!$X:$X)</f>
        <v>0</v>
      </c>
      <c r="O2152" s="311"/>
      <c r="P2152" t="str">
        <f t="shared" si="183"/>
        <v>162-7430</v>
      </c>
      <c r="Q2152" s="315" t="str">
        <f t="shared" si="184"/>
        <v>LEX Admin &amp; Other</v>
      </c>
      <c r="R2152" s="315" t="str">
        <f t="shared" si="185"/>
        <v>LEX Admin &amp; OtherData Processing as % of Total Gross Profit</v>
      </c>
      <c r="S2152" s="199"/>
      <c r="T2152" s="199"/>
      <c r="U2152" s="199"/>
    </row>
    <row r="2153" spans="1:21" x14ac:dyDescent="0.25">
      <c r="A2153" t="s">
        <v>996</v>
      </c>
      <c r="B2153" t="s">
        <v>997</v>
      </c>
      <c r="C2153" t="s">
        <v>997</v>
      </c>
      <c r="D2153">
        <v>7430</v>
      </c>
      <c r="E2153">
        <v>935</v>
      </c>
      <c r="F2153" t="s">
        <v>1175</v>
      </c>
      <c r="G2153" t="s">
        <v>1176</v>
      </c>
      <c r="H2153" s="315" t="s">
        <v>1023</v>
      </c>
      <c r="I2153" s="315" t="s">
        <v>1385</v>
      </c>
      <c r="J2153" s="315" t="str">
        <f t="shared" si="181"/>
        <v>LEX Admin &amp; OtherData Processing as % of Total Gross Profit</v>
      </c>
      <c r="K2153" s="315" t="str">
        <f t="shared" si="182"/>
        <v>935Other franchise/business expense</v>
      </c>
      <c r="L2153" s="311">
        <f>+SUMIF('TUNZ Extracted TB'!M:M,$P2153,'TUNZ Extracted TB'!G:G)</f>
        <v>1576.42</v>
      </c>
      <c r="M2153" s="311"/>
      <c r="N2153" s="311">
        <f>+SUMIF('Input Sheet'!$AE:$AE,P2153,'Input Sheet'!$X:$X)</f>
        <v>0</v>
      </c>
      <c r="O2153" s="311"/>
      <c r="P2153" t="str">
        <f t="shared" si="183"/>
        <v>935-7430</v>
      </c>
      <c r="Q2153" s="315" t="str">
        <f t="shared" si="184"/>
        <v>LEX Admin &amp; Other</v>
      </c>
      <c r="R2153" s="315" t="str">
        <f t="shared" si="185"/>
        <v>LEX Admin &amp; OtherData Processing as % of Total Gross Profit</v>
      </c>
      <c r="S2153" s="199"/>
      <c r="T2153" s="199"/>
      <c r="U2153" s="199"/>
    </row>
    <row r="2154" spans="1:21" x14ac:dyDescent="0.25">
      <c r="A2154" t="s">
        <v>996</v>
      </c>
      <c r="B2154" t="s">
        <v>997</v>
      </c>
      <c r="C2154" t="s">
        <v>1005</v>
      </c>
      <c r="D2154">
        <v>7430</v>
      </c>
      <c r="E2154">
        <v>210</v>
      </c>
      <c r="F2154" t="s">
        <v>1383</v>
      </c>
      <c r="G2154" t="s">
        <v>1384</v>
      </c>
      <c r="H2154" s="315" t="s">
        <v>1000</v>
      </c>
      <c r="I2154" s="315" t="s">
        <v>1385</v>
      </c>
      <c r="J2154" s="315" t="str">
        <f t="shared" si="181"/>
        <v>Admin &amp; OtherData Processing as % of Total Gross Profit</v>
      </c>
      <c r="K2154" s="315" t="str">
        <f t="shared" si="182"/>
        <v>210Data Processing - Toyota</v>
      </c>
      <c r="L2154" s="311">
        <f>+SUMIF('TUNZ Extracted TB'!M:M,$P2154,'TUNZ Extracted TB'!G:G)</f>
        <v>1984.94</v>
      </c>
      <c r="M2154" s="311"/>
      <c r="N2154" s="311">
        <f>+SUMIF('Input Sheet'!$AE:$AE,P2154,'Input Sheet'!$X:$X)</f>
        <v>0</v>
      </c>
      <c r="O2154" s="311"/>
      <c r="P2154" t="str">
        <f t="shared" si="183"/>
        <v>210-7430</v>
      </c>
      <c r="Q2154" s="315" t="str">
        <f t="shared" si="184"/>
        <v>Admin &amp; Other</v>
      </c>
      <c r="R2154" s="315" t="str">
        <f t="shared" si="185"/>
        <v>Admin &amp; OtherData Processing as % of Total Gross Profit</v>
      </c>
      <c r="S2154" s="199"/>
      <c r="T2154" s="199"/>
      <c r="U2154" s="199"/>
    </row>
    <row r="2155" spans="1:21" x14ac:dyDescent="0.25">
      <c r="A2155" t="s">
        <v>996</v>
      </c>
      <c r="B2155" t="s">
        <v>997</v>
      </c>
      <c r="C2155" t="s">
        <v>1005</v>
      </c>
      <c r="D2155">
        <v>7430</v>
      </c>
      <c r="E2155">
        <v>220</v>
      </c>
      <c r="F2155" t="s">
        <v>1383</v>
      </c>
      <c r="G2155" t="s">
        <v>1384</v>
      </c>
      <c r="H2155" s="315" t="s">
        <v>1000</v>
      </c>
      <c r="I2155" s="315" t="s">
        <v>1385</v>
      </c>
      <c r="J2155" s="315" t="str">
        <f t="shared" si="181"/>
        <v>Admin &amp; OtherData Processing as % of Total Gross Profit</v>
      </c>
      <c r="K2155" s="315" t="str">
        <f t="shared" si="182"/>
        <v>220Data Processing - Toyota</v>
      </c>
      <c r="L2155" s="311">
        <f>+SUMIF('TUNZ Extracted TB'!M:M,$P2155,'TUNZ Extracted TB'!G:G)</f>
        <v>1619.43</v>
      </c>
      <c r="M2155" s="311"/>
      <c r="N2155" s="311">
        <f>+SUMIF('Input Sheet'!$AE:$AE,P2155,'Input Sheet'!$X:$X)</f>
        <v>0</v>
      </c>
      <c r="O2155" s="311"/>
      <c r="P2155" t="str">
        <f t="shared" si="183"/>
        <v>220-7430</v>
      </c>
      <c r="Q2155" s="315" t="str">
        <f t="shared" si="184"/>
        <v>Admin &amp; Other</v>
      </c>
      <c r="R2155" s="315" t="str">
        <f t="shared" si="185"/>
        <v>Admin &amp; OtherData Processing as % of Total Gross Profit</v>
      </c>
      <c r="S2155" s="199"/>
      <c r="T2155" s="199"/>
      <c r="U2155" s="199"/>
    </row>
    <row r="2156" spans="1:21" x14ac:dyDescent="0.25">
      <c r="A2156" t="s">
        <v>996</v>
      </c>
      <c r="B2156" t="s">
        <v>997</v>
      </c>
      <c r="C2156" t="s">
        <v>1013</v>
      </c>
      <c r="D2156">
        <v>7430</v>
      </c>
      <c r="E2156">
        <v>340</v>
      </c>
      <c r="F2156" t="s">
        <v>1383</v>
      </c>
      <c r="G2156" t="s">
        <v>1384</v>
      </c>
      <c r="H2156" s="315" t="s">
        <v>1000</v>
      </c>
      <c r="I2156" s="315" t="s">
        <v>1385</v>
      </c>
      <c r="J2156" s="315" t="str">
        <f t="shared" si="181"/>
        <v>Admin &amp; OtherData Processing as % of Total Gross Profit</v>
      </c>
      <c r="K2156" s="315" t="str">
        <f t="shared" si="182"/>
        <v>340Data Processing - Toyota</v>
      </c>
      <c r="L2156" s="311">
        <f>+SUMIF('TUNZ Extracted TB'!M:M,$P2156,'TUNZ Extracted TB'!G:G)</f>
        <v>573.91</v>
      </c>
      <c r="M2156" s="311"/>
      <c r="N2156" s="311">
        <f>+SUMIF('Input Sheet'!$AE:$AE,P2156,'Input Sheet'!$X:$X)</f>
        <v>0</v>
      </c>
      <c r="O2156" s="311"/>
      <c r="P2156" t="str">
        <f t="shared" si="183"/>
        <v>340-7430</v>
      </c>
      <c r="Q2156" s="315" t="str">
        <f t="shared" si="184"/>
        <v>Admin &amp; Other</v>
      </c>
      <c r="R2156" s="315" t="str">
        <f t="shared" si="185"/>
        <v>Admin &amp; OtherData Processing as % of Total Gross Profit</v>
      </c>
      <c r="S2156" s="199"/>
      <c r="T2156" s="199"/>
      <c r="U2156" s="199"/>
    </row>
    <row r="2157" spans="1:21" x14ac:dyDescent="0.25">
      <c r="A2157" t="s">
        <v>996</v>
      </c>
      <c r="B2157" t="s">
        <v>997</v>
      </c>
      <c r="C2157" t="s">
        <v>1005</v>
      </c>
      <c r="D2157">
        <v>7430</v>
      </c>
      <c r="E2157">
        <v>260</v>
      </c>
      <c r="F2157" t="s">
        <v>1383</v>
      </c>
      <c r="G2157" t="s">
        <v>1384</v>
      </c>
      <c r="H2157" s="315" t="s">
        <v>1000</v>
      </c>
      <c r="I2157" s="315" t="s">
        <v>1385</v>
      </c>
      <c r="J2157" s="315" t="str">
        <f t="shared" si="181"/>
        <v>Admin &amp; OtherData Processing as % of Total Gross Profit</v>
      </c>
      <c r="K2157" s="315" t="str">
        <f t="shared" si="182"/>
        <v>260Data Processing - Toyota</v>
      </c>
      <c r="L2157" s="311">
        <f>+SUMIF('TUNZ Extracted TB'!M:M,$P2157,'TUNZ Extracted TB'!G:G)</f>
        <v>17.82</v>
      </c>
      <c r="M2157" s="311"/>
      <c r="N2157" s="311">
        <f>+SUMIF('Input Sheet'!$AE:$AE,P2157,'Input Sheet'!$X:$X)</f>
        <v>0</v>
      </c>
      <c r="O2157" s="311"/>
      <c r="P2157" t="str">
        <f t="shared" si="183"/>
        <v>260-7430</v>
      </c>
      <c r="Q2157" s="315" t="str">
        <f t="shared" si="184"/>
        <v>Admin &amp; Other</v>
      </c>
      <c r="R2157" s="315" t="str">
        <f t="shared" si="185"/>
        <v>Admin &amp; OtherData Processing as % of Total Gross Profit</v>
      </c>
      <c r="S2157" s="199"/>
      <c r="T2157" s="199"/>
      <c r="U2157" s="199"/>
    </row>
    <row r="2158" spans="1:21" x14ac:dyDescent="0.25">
      <c r="A2158" t="s">
        <v>996</v>
      </c>
      <c r="B2158" t="s">
        <v>997</v>
      </c>
      <c r="C2158" t="s">
        <v>1005</v>
      </c>
      <c r="D2158">
        <v>7430</v>
      </c>
      <c r="E2158">
        <v>240</v>
      </c>
      <c r="F2158" t="s">
        <v>1383</v>
      </c>
      <c r="G2158" t="s">
        <v>1384</v>
      </c>
      <c r="H2158" s="315" t="s">
        <v>1000</v>
      </c>
      <c r="I2158" s="315" t="s">
        <v>1385</v>
      </c>
      <c r="J2158" s="315" t="str">
        <f t="shared" si="181"/>
        <v>Admin &amp; OtherData Processing as % of Total Gross Profit</v>
      </c>
      <c r="K2158" s="315" t="str">
        <f t="shared" si="182"/>
        <v>240Data Processing - Toyota</v>
      </c>
      <c r="L2158" s="311">
        <f>+SUMIF('TUNZ Extracted TB'!M:M,$P2158,'TUNZ Extracted TB'!G:G)</f>
        <v>1237.9100000000001</v>
      </c>
      <c r="M2158" s="311"/>
      <c r="N2158" s="311">
        <f>+SUMIF('Input Sheet'!$AE:$AE,P2158,'Input Sheet'!$X:$X)</f>
        <v>0</v>
      </c>
      <c r="O2158" s="311"/>
      <c r="P2158" t="str">
        <f t="shared" si="183"/>
        <v>240-7430</v>
      </c>
      <c r="Q2158" s="315" t="str">
        <f t="shared" si="184"/>
        <v>Admin &amp; Other</v>
      </c>
      <c r="R2158" s="315" t="str">
        <f t="shared" si="185"/>
        <v>Admin &amp; OtherData Processing as % of Total Gross Profit</v>
      </c>
      <c r="S2158" s="199"/>
      <c r="T2158" s="199"/>
      <c r="U2158" s="199"/>
    </row>
    <row r="2159" spans="1:21" x14ac:dyDescent="0.25">
      <c r="A2159" t="s">
        <v>996</v>
      </c>
      <c r="B2159" t="s">
        <v>997</v>
      </c>
      <c r="C2159" t="s">
        <v>1005</v>
      </c>
      <c r="D2159">
        <v>7430</v>
      </c>
      <c r="E2159">
        <v>230</v>
      </c>
      <c r="F2159" t="s">
        <v>1383</v>
      </c>
      <c r="G2159" t="s">
        <v>1384</v>
      </c>
      <c r="H2159" s="315" t="s">
        <v>1000</v>
      </c>
      <c r="I2159" s="315" t="s">
        <v>1385</v>
      </c>
      <c r="J2159" s="315" t="str">
        <f t="shared" si="181"/>
        <v>Admin &amp; OtherData Processing as % of Total Gross Profit</v>
      </c>
      <c r="K2159" s="315" t="str">
        <f t="shared" si="182"/>
        <v>230Data Processing - Toyota</v>
      </c>
      <c r="L2159" s="311">
        <f>+SUMIF('TUNZ Extracted TB'!M:M,$P2159,'TUNZ Extracted TB'!G:G)</f>
        <v>837.91</v>
      </c>
      <c r="M2159" s="311"/>
      <c r="N2159" s="311">
        <f>+SUMIF('Input Sheet'!$AE:$AE,P2159,'Input Sheet'!$X:$X)</f>
        <v>0</v>
      </c>
      <c r="O2159" s="311"/>
      <c r="P2159" t="str">
        <f t="shared" si="183"/>
        <v>230-7430</v>
      </c>
      <c r="Q2159" s="315" t="str">
        <f t="shared" si="184"/>
        <v>Admin &amp; Other</v>
      </c>
      <c r="R2159" s="315" t="str">
        <f t="shared" si="185"/>
        <v>Admin &amp; OtherData Processing as % of Total Gross Profit</v>
      </c>
      <c r="S2159" s="199"/>
      <c r="T2159" s="199"/>
      <c r="U2159" s="199"/>
    </row>
    <row r="2160" spans="1:21" x14ac:dyDescent="0.25">
      <c r="A2160" t="s">
        <v>996</v>
      </c>
      <c r="B2160" t="s">
        <v>997</v>
      </c>
      <c r="C2160" t="s">
        <v>997</v>
      </c>
      <c r="D2160">
        <v>7430</v>
      </c>
      <c r="E2160">
        <v>160</v>
      </c>
      <c r="F2160" t="s">
        <v>1383</v>
      </c>
      <c r="G2160" t="s">
        <v>1384</v>
      </c>
      <c r="H2160" s="315" t="s">
        <v>1000</v>
      </c>
      <c r="I2160" s="315" t="s">
        <v>1385</v>
      </c>
      <c r="J2160" s="315" t="str">
        <f t="shared" si="181"/>
        <v>Admin &amp; OtherData Processing as % of Total Gross Profit</v>
      </c>
      <c r="K2160" s="315" t="str">
        <f t="shared" si="182"/>
        <v>160Data Processing - Toyota</v>
      </c>
      <c r="L2160" s="311">
        <f>+SUMIF('TUNZ Extracted TB'!M:M,$P2160,'TUNZ Extracted TB'!G:G)</f>
        <v>1715.08</v>
      </c>
      <c r="M2160" s="311"/>
      <c r="N2160" s="311">
        <f>+SUMIF('Input Sheet'!$AE:$AE,P2160,'Input Sheet'!$X:$X)</f>
        <v>0</v>
      </c>
      <c r="O2160" s="311"/>
      <c r="P2160" t="str">
        <f t="shared" si="183"/>
        <v>160-7430</v>
      </c>
      <c r="Q2160" s="315" t="str">
        <f t="shared" si="184"/>
        <v>Admin &amp; Other</v>
      </c>
      <c r="R2160" s="315" t="str">
        <f t="shared" si="185"/>
        <v>Admin &amp; OtherData Processing as % of Total Gross Profit</v>
      </c>
      <c r="S2160" s="199"/>
      <c r="T2160" s="199"/>
      <c r="U2160" s="199"/>
    </row>
    <row r="2161" spans="1:21" x14ac:dyDescent="0.25">
      <c r="A2161" t="s">
        <v>996</v>
      </c>
      <c r="B2161" t="s">
        <v>997</v>
      </c>
      <c r="C2161" t="s">
        <v>1012</v>
      </c>
      <c r="D2161">
        <v>7430</v>
      </c>
      <c r="E2161">
        <v>440</v>
      </c>
      <c r="F2161" t="s">
        <v>1383</v>
      </c>
      <c r="G2161" t="s">
        <v>1384</v>
      </c>
      <c r="H2161" s="315" t="s">
        <v>1000</v>
      </c>
      <c r="I2161" s="315" t="s">
        <v>1385</v>
      </c>
      <c r="J2161" s="315" t="str">
        <f t="shared" si="181"/>
        <v>Admin &amp; OtherData Processing as % of Total Gross Profit</v>
      </c>
      <c r="K2161" s="315" t="str">
        <f t="shared" si="182"/>
        <v>440Data Processing - Toyota</v>
      </c>
      <c r="L2161" s="311">
        <f>+SUMIF('TUNZ Extracted TB'!M:M,$P2161,'TUNZ Extracted TB'!G:G)</f>
        <v>619.77</v>
      </c>
      <c r="M2161" s="311"/>
      <c r="N2161" s="311">
        <f>+SUMIF('Input Sheet'!$AE:$AE,P2161,'Input Sheet'!$X:$X)</f>
        <v>0</v>
      </c>
      <c r="O2161" s="311"/>
      <c r="P2161" t="str">
        <f t="shared" si="183"/>
        <v>440-7430</v>
      </c>
      <c r="Q2161" s="315" t="str">
        <f t="shared" si="184"/>
        <v>Admin &amp; Other</v>
      </c>
      <c r="R2161" s="315" t="str">
        <f t="shared" si="185"/>
        <v>Admin &amp; OtherData Processing as % of Total Gross Profit</v>
      </c>
      <c r="S2161" s="199"/>
      <c r="T2161" s="199"/>
      <c r="U2161" s="199"/>
    </row>
    <row r="2162" spans="1:21" x14ac:dyDescent="0.25">
      <c r="A2162" s="316">
        <v>44866</v>
      </c>
      <c r="B2162" t="s">
        <v>997</v>
      </c>
      <c r="C2162" t="s">
        <v>997</v>
      </c>
      <c r="D2162">
        <v>7430</v>
      </c>
      <c r="E2162">
        <v>190</v>
      </c>
      <c r="G2162" t="s">
        <v>130</v>
      </c>
      <c r="H2162" s="315" t="s">
        <v>1000</v>
      </c>
      <c r="I2162" s="315" t="s">
        <v>1385</v>
      </c>
      <c r="J2162" s="315" t="str">
        <f t="shared" si="181"/>
        <v>Admin &amp; OtherData Processing as % of Total Gross Profit</v>
      </c>
      <c r="K2162" s="315" t="str">
        <f t="shared" si="182"/>
        <v>190Data Processing</v>
      </c>
      <c r="L2162" s="311">
        <f>+SUMIF('TUNZ Extracted TB'!M:M,$P2162,'TUNZ Extracted TB'!G:G)</f>
        <v>1045</v>
      </c>
      <c r="M2162" s="311"/>
      <c r="N2162" s="311">
        <f>+SUMIF('Input Sheet'!$AE:$AE,P2162,'Input Sheet'!$X:$X)</f>
        <v>0</v>
      </c>
      <c r="O2162" s="311"/>
      <c r="P2162" t="str">
        <f t="shared" si="183"/>
        <v>190-7430</v>
      </c>
      <c r="Q2162" s="315" t="str">
        <f t="shared" si="184"/>
        <v>Admin &amp; Other</v>
      </c>
      <c r="R2162" s="315" t="str">
        <f t="shared" si="185"/>
        <v>Admin &amp; OtherData Processing as % of Total Gross Profit</v>
      </c>
      <c r="S2162" s="199"/>
      <c r="T2162" s="199"/>
      <c r="U2162" s="199"/>
    </row>
    <row r="2163" spans="1:21" x14ac:dyDescent="0.25">
      <c r="A2163" t="s">
        <v>996</v>
      </c>
      <c r="B2163" t="s">
        <v>997</v>
      </c>
      <c r="C2163" t="s">
        <v>997</v>
      </c>
      <c r="D2163">
        <v>7430</v>
      </c>
      <c r="E2163">
        <v>936</v>
      </c>
      <c r="F2163" t="s">
        <v>1175</v>
      </c>
      <c r="G2163" t="s">
        <v>1176</v>
      </c>
      <c r="H2163" s="315" t="s">
        <v>1023</v>
      </c>
      <c r="I2163" s="315" t="s">
        <v>1385</v>
      </c>
      <c r="J2163" s="315" t="str">
        <f t="shared" si="181"/>
        <v>LEX Admin &amp; OtherData Processing as % of Total Gross Profit</v>
      </c>
      <c r="K2163" s="315" t="str">
        <f t="shared" si="182"/>
        <v>936Other franchise/business expense</v>
      </c>
      <c r="L2163" s="311">
        <f>+SUMIF('TUNZ Extracted TB'!M:M,$P2163,'TUNZ Extracted TB'!G:G)</f>
        <v>475.12</v>
      </c>
      <c r="M2163" s="311"/>
      <c r="N2163" s="311">
        <f>+SUMIF('Input Sheet'!$AE:$AE,P2163,'Input Sheet'!$X:$X)</f>
        <v>0</v>
      </c>
      <c r="O2163" s="311"/>
      <c r="P2163" t="str">
        <f t="shared" si="183"/>
        <v>936-7430</v>
      </c>
      <c r="Q2163" s="315" t="str">
        <f t="shared" si="184"/>
        <v>LEX Admin &amp; Other</v>
      </c>
      <c r="R2163" s="315" t="str">
        <f t="shared" si="185"/>
        <v>LEX Admin &amp; OtherData Processing as % of Total Gross Profit</v>
      </c>
      <c r="S2163" s="199"/>
      <c r="T2163" s="199"/>
      <c r="U2163" s="199"/>
    </row>
    <row r="2164" spans="1:21" x14ac:dyDescent="0.25">
      <c r="A2164" t="s">
        <v>996</v>
      </c>
      <c r="B2164" t="s">
        <v>997</v>
      </c>
      <c r="C2164" t="s">
        <v>1012</v>
      </c>
      <c r="D2164">
        <v>7430</v>
      </c>
      <c r="E2164">
        <v>430</v>
      </c>
      <c r="F2164" t="s">
        <v>1383</v>
      </c>
      <c r="G2164" t="s">
        <v>1384</v>
      </c>
      <c r="H2164" s="315" t="s">
        <v>1000</v>
      </c>
      <c r="I2164" s="315" t="s">
        <v>1385</v>
      </c>
      <c r="J2164" s="315" t="str">
        <f t="shared" si="181"/>
        <v>Admin &amp; OtherData Processing as % of Total Gross Profit</v>
      </c>
      <c r="K2164" s="315" t="str">
        <f t="shared" si="182"/>
        <v>430Data Processing - Toyota</v>
      </c>
      <c r="L2164" s="311">
        <f>+SUMIF('TUNZ Extracted TB'!M:M,$P2164,'TUNZ Extracted TB'!G:G)</f>
        <v>541.24</v>
      </c>
      <c r="M2164" s="311"/>
      <c r="N2164" s="311">
        <f>+SUMIF('Input Sheet'!$AE:$AE,P2164,'Input Sheet'!$X:$X)</f>
        <v>0</v>
      </c>
      <c r="O2164" s="311"/>
      <c r="P2164" t="str">
        <f t="shared" si="183"/>
        <v>430-7430</v>
      </c>
      <c r="Q2164" s="315" t="str">
        <f t="shared" si="184"/>
        <v>Admin &amp; Other</v>
      </c>
      <c r="R2164" s="315" t="str">
        <f t="shared" si="185"/>
        <v>Admin &amp; OtherData Processing as % of Total Gross Profit</v>
      </c>
      <c r="S2164" s="199"/>
      <c r="T2164" s="199"/>
      <c r="U2164" s="199"/>
    </row>
    <row r="2165" spans="1:21" x14ac:dyDescent="0.25">
      <c r="A2165" s="316">
        <v>45200</v>
      </c>
      <c r="B2165" t="s">
        <v>997</v>
      </c>
      <c r="C2165" t="s">
        <v>997</v>
      </c>
      <c r="D2165">
        <v>7430</v>
      </c>
      <c r="E2165">
        <v>150</v>
      </c>
      <c r="G2165" t="s">
        <v>130</v>
      </c>
      <c r="H2165" s="315" t="s">
        <v>1023</v>
      </c>
      <c r="I2165" s="315" t="s">
        <v>1385</v>
      </c>
      <c r="J2165" s="315" t="str">
        <f t="shared" si="181"/>
        <v>LEX Admin &amp; OtherData Processing as % of Total Gross Profit</v>
      </c>
      <c r="K2165" s="315" t="str">
        <f t="shared" si="182"/>
        <v>150Data Processing</v>
      </c>
      <c r="L2165" s="311">
        <f>+SUMIF('TUNZ Extracted TB'!M:M,$P2165,'TUNZ Extracted TB'!G:G)</f>
        <v>71.3</v>
      </c>
      <c r="M2165" s="311"/>
      <c r="N2165" s="311">
        <f>+SUMIF('Input Sheet'!$AE:$AE,P2165,'Input Sheet'!$X:$X)</f>
        <v>0</v>
      </c>
      <c r="O2165" s="311"/>
      <c r="P2165" t="str">
        <f t="shared" si="183"/>
        <v>150-7430</v>
      </c>
      <c r="Q2165" s="315" t="str">
        <f t="shared" si="184"/>
        <v>LEX Admin &amp; Other</v>
      </c>
      <c r="R2165" s="315" t="str">
        <f t="shared" si="185"/>
        <v>LEX Admin &amp; OtherData Processing as % of Total Gross Profit</v>
      </c>
      <c r="S2165" s="199"/>
      <c r="T2165" s="199"/>
      <c r="U2165" s="199"/>
    </row>
    <row r="2166" spans="1:21" x14ac:dyDescent="0.25">
      <c r="A2166" t="s">
        <v>996</v>
      </c>
      <c r="B2166" t="s">
        <v>997</v>
      </c>
      <c r="C2166" t="s">
        <v>997</v>
      </c>
      <c r="D2166">
        <v>7430</v>
      </c>
      <c r="E2166">
        <v>121</v>
      </c>
      <c r="F2166" t="s">
        <v>1383</v>
      </c>
      <c r="G2166" t="s">
        <v>1384</v>
      </c>
      <c r="H2166" s="315" t="s">
        <v>1000</v>
      </c>
      <c r="I2166" s="315" t="s">
        <v>1385</v>
      </c>
      <c r="J2166" s="315" t="str">
        <f t="shared" si="181"/>
        <v>Admin &amp; OtherData Processing as % of Total Gross Profit</v>
      </c>
      <c r="K2166" s="315" t="str">
        <f t="shared" si="182"/>
        <v>121Data Processing - Toyota</v>
      </c>
      <c r="L2166" s="311">
        <f>+SUMIF('TUNZ Extracted TB'!M:M,$P2166,'TUNZ Extracted TB'!G:G)</f>
        <v>17.82</v>
      </c>
      <c r="M2166" s="311"/>
      <c r="N2166" s="311">
        <f>+SUMIF('Input Sheet'!$AE:$AE,P2166,'Input Sheet'!$X:$X)</f>
        <v>0</v>
      </c>
      <c r="O2166" s="311"/>
      <c r="P2166" t="str">
        <f t="shared" si="183"/>
        <v>121-7430</v>
      </c>
      <c r="Q2166" s="315" t="str">
        <f t="shared" si="184"/>
        <v>Admin &amp; Other</v>
      </c>
      <c r="R2166" s="315" t="str">
        <f t="shared" si="185"/>
        <v>Admin &amp; OtherData Processing as % of Total Gross Profit</v>
      </c>
      <c r="S2166" s="199"/>
      <c r="T2166" s="199"/>
      <c r="U2166" s="199"/>
    </row>
    <row r="2167" spans="1:21" x14ac:dyDescent="0.25">
      <c r="A2167" t="s">
        <v>996</v>
      </c>
      <c r="B2167" t="s">
        <v>997</v>
      </c>
      <c r="C2167" t="s">
        <v>1013</v>
      </c>
      <c r="D2167">
        <v>7430</v>
      </c>
      <c r="E2167">
        <v>330</v>
      </c>
      <c r="F2167" t="s">
        <v>1383</v>
      </c>
      <c r="G2167" t="s">
        <v>1384</v>
      </c>
      <c r="H2167" s="315" t="s">
        <v>1000</v>
      </c>
      <c r="I2167" s="315" t="s">
        <v>1385</v>
      </c>
      <c r="J2167" s="315" t="str">
        <f t="shared" si="181"/>
        <v>Admin &amp; OtherData Processing as % of Total Gross Profit</v>
      </c>
      <c r="K2167" s="315" t="str">
        <f t="shared" si="182"/>
        <v>330Data Processing - Toyota</v>
      </c>
      <c r="L2167" s="311">
        <f>+SUMIF('TUNZ Extracted TB'!M:M,$P2167,'TUNZ Extracted TB'!G:G)</f>
        <v>8.91</v>
      </c>
      <c r="M2167" s="311"/>
      <c r="N2167" s="311">
        <f>+SUMIF('Input Sheet'!$AE:$AE,P2167,'Input Sheet'!$X:$X)</f>
        <v>0</v>
      </c>
      <c r="O2167" s="311"/>
      <c r="P2167" t="str">
        <f t="shared" si="183"/>
        <v>330-7430</v>
      </c>
      <c r="Q2167" s="315" t="str">
        <f t="shared" si="184"/>
        <v>Admin &amp; Other</v>
      </c>
      <c r="R2167" s="315" t="str">
        <f t="shared" si="185"/>
        <v>Admin &amp; OtherData Processing as % of Total Gross Profit</v>
      </c>
      <c r="S2167" s="199"/>
      <c r="T2167" s="199"/>
      <c r="U2167" s="199"/>
    </row>
    <row r="2168" spans="1:21" x14ac:dyDescent="0.25">
      <c r="A2168" t="s">
        <v>996</v>
      </c>
      <c r="B2168" t="s">
        <v>997</v>
      </c>
      <c r="C2168" t="s">
        <v>997</v>
      </c>
      <c r="D2168">
        <v>7430</v>
      </c>
      <c r="E2168">
        <v>140</v>
      </c>
      <c r="F2168" t="s">
        <v>1383</v>
      </c>
      <c r="G2168" t="s">
        <v>1384</v>
      </c>
      <c r="H2168" s="315" t="s">
        <v>1000</v>
      </c>
      <c r="I2168" s="315" t="s">
        <v>1385</v>
      </c>
      <c r="J2168" s="315" t="str">
        <f t="shared" si="181"/>
        <v>Admin &amp; OtherData Processing as % of Total Gross Profit</v>
      </c>
      <c r="K2168" s="315" t="str">
        <f t="shared" si="182"/>
        <v>140Data Processing - Toyota</v>
      </c>
      <c r="L2168" s="311">
        <f>+SUMIF('TUNZ Extracted TB'!M:M,$P2168,'TUNZ Extracted TB'!G:G)</f>
        <v>6027.06</v>
      </c>
      <c r="M2168" s="311"/>
      <c r="N2168" s="311">
        <f>+SUMIF('Input Sheet'!$AE:$AE,P2168,'Input Sheet'!$X:$X)</f>
        <v>0</v>
      </c>
      <c r="O2168" s="311"/>
      <c r="P2168" t="str">
        <f t="shared" si="183"/>
        <v>140-7430</v>
      </c>
      <c r="Q2168" s="315" t="str">
        <f t="shared" si="184"/>
        <v>Admin &amp; Other</v>
      </c>
      <c r="R2168" s="315" t="str">
        <f t="shared" si="185"/>
        <v>Admin &amp; OtherData Processing as % of Total Gross Profit</v>
      </c>
      <c r="S2168" s="199"/>
      <c r="T2168" s="199"/>
      <c r="U2168" s="199"/>
    </row>
    <row r="2169" spans="1:21" x14ac:dyDescent="0.25">
      <c r="A2169" t="s">
        <v>996</v>
      </c>
      <c r="B2169" t="s">
        <v>997</v>
      </c>
      <c r="C2169" t="s">
        <v>997</v>
      </c>
      <c r="D2169">
        <v>7430</v>
      </c>
      <c r="E2169">
        <v>142</v>
      </c>
      <c r="F2169" t="s">
        <v>1386</v>
      </c>
      <c r="G2169" t="s">
        <v>1387</v>
      </c>
      <c r="H2169" s="315" t="s">
        <v>1023</v>
      </c>
      <c r="I2169" s="315" t="s">
        <v>1385</v>
      </c>
      <c r="J2169" s="315" t="str">
        <f t="shared" si="181"/>
        <v>LEX Admin &amp; OtherData Processing as % of Total Gross Profit</v>
      </c>
      <c r="K2169" s="315" t="str">
        <f t="shared" si="182"/>
        <v>142Data Processing - Lexus</v>
      </c>
      <c r="L2169" s="311">
        <f>+SUMIF('TUNZ Extracted TB'!M:M,$P2169,'TUNZ Extracted TB'!G:G)</f>
        <v>133.68</v>
      </c>
      <c r="M2169" s="311"/>
      <c r="N2169" s="311">
        <f>+SUMIF('Input Sheet'!$AE:$AE,P2169,'Input Sheet'!$X:$X)</f>
        <v>0</v>
      </c>
      <c r="O2169" s="311"/>
      <c r="P2169" t="str">
        <f t="shared" si="183"/>
        <v>142-7430</v>
      </c>
      <c r="Q2169" s="315" t="str">
        <f t="shared" si="184"/>
        <v>LEX Admin &amp; Other</v>
      </c>
      <c r="R2169" s="315" t="str">
        <f t="shared" si="185"/>
        <v>LEX Admin &amp; OtherData Processing as % of Total Gross Profit</v>
      </c>
      <c r="S2169" s="199"/>
      <c r="T2169" s="199"/>
      <c r="U2169" s="199"/>
    </row>
    <row r="2170" spans="1:21" x14ac:dyDescent="0.25">
      <c r="A2170" t="s">
        <v>996</v>
      </c>
      <c r="B2170" t="s">
        <v>997</v>
      </c>
      <c r="C2170" t="s">
        <v>997</v>
      </c>
      <c r="D2170">
        <v>7430</v>
      </c>
      <c r="E2170">
        <v>130</v>
      </c>
      <c r="F2170" t="s">
        <v>1383</v>
      </c>
      <c r="G2170" t="s">
        <v>1384</v>
      </c>
      <c r="H2170" s="315" t="s">
        <v>1000</v>
      </c>
      <c r="I2170" s="315" t="s">
        <v>1385</v>
      </c>
      <c r="J2170" s="315" t="str">
        <f t="shared" si="181"/>
        <v>Admin &amp; OtherData Processing as % of Total Gross Profit</v>
      </c>
      <c r="K2170" s="315" t="str">
        <f t="shared" si="182"/>
        <v>130Data Processing - Toyota</v>
      </c>
      <c r="L2170" s="311">
        <f>+SUMIF('TUNZ Extracted TB'!M:M,$P2170,'TUNZ Extracted TB'!G:G)</f>
        <v>5864.44</v>
      </c>
      <c r="M2170" s="311"/>
      <c r="N2170" s="311">
        <f>+SUMIF('Input Sheet'!$AE:$AE,P2170,'Input Sheet'!$X:$X)</f>
        <v>0</v>
      </c>
      <c r="O2170" s="311"/>
      <c r="P2170" t="str">
        <f t="shared" si="183"/>
        <v>130-7430</v>
      </c>
      <c r="Q2170" s="315" t="str">
        <f t="shared" si="184"/>
        <v>Admin &amp; Other</v>
      </c>
      <c r="R2170" s="315" t="str">
        <f t="shared" si="185"/>
        <v>Admin &amp; OtherData Processing as % of Total Gross Profit</v>
      </c>
      <c r="S2170" s="199"/>
      <c r="T2170" s="199"/>
      <c r="U2170" s="199"/>
    </row>
    <row r="2171" spans="1:21" x14ac:dyDescent="0.25">
      <c r="A2171" t="s">
        <v>996</v>
      </c>
      <c r="B2171" t="s">
        <v>997</v>
      </c>
      <c r="C2171" t="s">
        <v>997</v>
      </c>
      <c r="D2171">
        <v>7430</v>
      </c>
      <c r="E2171">
        <v>132</v>
      </c>
      <c r="F2171" t="s">
        <v>1386</v>
      </c>
      <c r="G2171" t="s">
        <v>1387</v>
      </c>
      <c r="H2171" s="315" t="s">
        <v>1023</v>
      </c>
      <c r="I2171" s="315" t="s">
        <v>1385</v>
      </c>
      <c r="J2171" s="315" t="str">
        <f t="shared" si="181"/>
        <v>LEX Admin &amp; OtherData Processing as % of Total Gross Profit</v>
      </c>
      <c r="K2171" s="315" t="str">
        <f t="shared" si="182"/>
        <v>132Data Processing - Lexus</v>
      </c>
      <c r="L2171" s="311">
        <f>+SUMIF('TUNZ Extracted TB'!M:M,$P2171,'TUNZ Extracted TB'!G:G)</f>
        <v>0</v>
      </c>
      <c r="M2171" s="311"/>
      <c r="N2171" s="311">
        <f>+SUMIF('Input Sheet'!$AE:$AE,P2171,'Input Sheet'!$X:$X)</f>
        <v>0</v>
      </c>
      <c r="O2171" s="311"/>
      <c r="P2171" t="str">
        <f t="shared" si="183"/>
        <v>132-7430</v>
      </c>
      <c r="Q2171" s="315" t="str">
        <f t="shared" si="184"/>
        <v>LEX Admin &amp; Other</v>
      </c>
      <c r="R2171" s="315" t="str">
        <f t="shared" si="185"/>
        <v>LEX Admin &amp; OtherData Processing as % of Total Gross Profit</v>
      </c>
      <c r="S2171" s="199"/>
      <c r="T2171" s="199"/>
      <c r="U2171" s="199"/>
    </row>
    <row r="2172" spans="1:21" x14ac:dyDescent="0.25">
      <c r="A2172" t="s">
        <v>996</v>
      </c>
      <c r="B2172" t="s">
        <v>997</v>
      </c>
      <c r="C2172" t="s">
        <v>997</v>
      </c>
      <c r="D2172">
        <v>7430</v>
      </c>
      <c r="E2172">
        <v>110</v>
      </c>
      <c r="F2172" t="s">
        <v>1383</v>
      </c>
      <c r="G2172" t="s">
        <v>1384</v>
      </c>
      <c r="H2172" s="315" t="s">
        <v>1000</v>
      </c>
      <c r="I2172" s="315" t="s">
        <v>1385</v>
      </c>
      <c r="J2172" s="315" t="str">
        <f t="shared" si="181"/>
        <v>Admin &amp; OtherData Processing as % of Total Gross Profit</v>
      </c>
      <c r="K2172" s="315" t="str">
        <f t="shared" si="182"/>
        <v>110Data Processing - Toyota</v>
      </c>
      <c r="L2172" s="311">
        <f>+SUMIF('TUNZ Extracted TB'!M:M,$P2172,'TUNZ Extracted TB'!G:G)</f>
        <v>7845.22</v>
      </c>
      <c r="M2172" s="311"/>
      <c r="N2172" s="311">
        <f>+SUMIF('Input Sheet'!$AE:$AE,P2172,'Input Sheet'!$X:$X)</f>
        <v>4263.7196616543033</v>
      </c>
      <c r="O2172" s="311"/>
      <c r="P2172" t="str">
        <f t="shared" si="183"/>
        <v>110-7430</v>
      </c>
      <c r="Q2172" s="315" t="str">
        <f t="shared" si="184"/>
        <v>Admin &amp; Other</v>
      </c>
      <c r="R2172" s="315" t="str">
        <f t="shared" si="185"/>
        <v>Admin &amp; OtherData Processing as % of Total Gross Profit</v>
      </c>
      <c r="S2172" s="199"/>
      <c r="T2172" s="199"/>
      <c r="U2172" s="199"/>
    </row>
    <row r="2173" spans="1:21" x14ac:dyDescent="0.25">
      <c r="A2173" t="s">
        <v>996</v>
      </c>
      <c r="B2173" t="s">
        <v>997</v>
      </c>
      <c r="C2173" t="s">
        <v>997</v>
      </c>
      <c r="D2173">
        <v>7430</v>
      </c>
      <c r="E2173">
        <v>112</v>
      </c>
      <c r="F2173" t="s">
        <v>1386</v>
      </c>
      <c r="G2173" t="s">
        <v>1387</v>
      </c>
      <c r="H2173" s="315" t="s">
        <v>1023</v>
      </c>
      <c r="I2173" s="315" t="s">
        <v>1385</v>
      </c>
      <c r="J2173" s="315" t="str">
        <f t="shared" si="181"/>
        <v>LEX Admin &amp; OtherData Processing as % of Total Gross Profit</v>
      </c>
      <c r="K2173" s="315" t="str">
        <f t="shared" si="182"/>
        <v>112Data Processing - Lexus</v>
      </c>
      <c r="L2173" s="311">
        <f>+SUMIF('TUNZ Extracted TB'!M:M,$P2173,'TUNZ Extracted TB'!G:G)</f>
        <v>5762.62</v>
      </c>
      <c r="M2173" s="311"/>
      <c r="N2173" s="311">
        <f>+SUMIF('Input Sheet'!$AE:$AE,P2173,'Input Sheet'!$X:$X)</f>
        <v>572.92548586907026</v>
      </c>
      <c r="O2173" s="311"/>
      <c r="P2173" t="str">
        <f t="shared" si="183"/>
        <v>112-7430</v>
      </c>
      <c r="Q2173" s="315" t="str">
        <f t="shared" si="184"/>
        <v>LEX Admin &amp; Other</v>
      </c>
      <c r="R2173" s="315" t="str">
        <f t="shared" si="185"/>
        <v>LEX Admin &amp; OtherData Processing as % of Total Gross Profit</v>
      </c>
      <c r="S2173" s="199"/>
      <c r="T2173" s="199"/>
      <c r="U2173" s="199"/>
    </row>
    <row r="2174" spans="1:21" x14ac:dyDescent="0.25">
      <c r="A2174" t="s">
        <v>996</v>
      </c>
      <c r="B2174" t="s">
        <v>997</v>
      </c>
      <c r="C2174" t="s">
        <v>997</v>
      </c>
      <c r="D2174">
        <v>7430</v>
      </c>
      <c r="E2174">
        <v>100</v>
      </c>
      <c r="F2174" t="s">
        <v>1383</v>
      </c>
      <c r="G2174" t="s">
        <v>1384</v>
      </c>
      <c r="H2174" s="315" t="s">
        <v>1000</v>
      </c>
      <c r="I2174" s="315" t="s">
        <v>1385</v>
      </c>
      <c r="J2174" s="315" t="str">
        <f t="shared" si="181"/>
        <v>Admin &amp; OtherData Processing as % of Total Gross Profit</v>
      </c>
      <c r="K2174" s="315" t="str">
        <f t="shared" si="182"/>
        <v>100Data Processing - Toyota</v>
      </c>
      <c r="L2174" s="311">
        <f>+SUMIF('TUNZ Extracted TB'!M:M,$P2174,'TUNZ Extracted TB'!G:G)</f>
        <v>0</v>
      </c>
      <c r="M2174" s="311"/>
      <c r="N2174" s="311">
        <f>+SUMIF('Input Sheet'!$AE:$AE,P2174,'Input Sheet'!$X:$X)</f>
        <v>0</v>
      </c>
      <c r="O2174" s="311"/>
      <c r="P2174" t="str">
        <f t="shared" si="183"/>
        <v>100-7430</v>
      </c>
      <c r="Q2174" s="315" t="str">
        <f t="shared" si="184"/>
        <v>Admin &amp; Other</v>
      </c>
      <c r="R2174" s="315" t="str">
        <f t="shared" si="185"/>
        <v>Admin &amp; OtherData Processing as % of Total Gross Profit</v>
      </c>
      <c r="S2174" s="199"/>
      <c r="T2174" s="199"/>
      <c r="U2174" s="199"/>
    </row>
    <row r="2175" spans="1:21" x14ac:dyDescent="0.25">
      <c r="A2175" t="s">
        <v>996</v>
      </c>
      <c r="B2175" t="s">
        <v>997</v>
      </c>
      <c r="C2175" t="s">
        <v>997</v>
      </c>
      <c r="D2175">
        <v>7430</v>
      </c>
      <c r="E2175">
        <v>122</v>
      </c>
      <c r="F2175" t="s">
        <v>1386</v>
      </c>
      <c r="G2175" t="s">
        <v>1387</v>
      </c>
      <c r="H2175" s="315" t="s">
        <v>1023</v>
      </c>
      <c r="I2175" s="315" t="s">
        <v>1385</v>
      </c>
      <c r="J2175" s="315" t="str">
        <f t="shared" si="181"/>
        <v>LEX Admin &amp; OtherData Processing as % of Total Gross Profit</v>
      </c>
      <c r="K2175" s="315" t="str">
        <f t="shared" si="182"/>
        <v>122Data Processing - Lexus</v>
      </c>
      <c r="L2175" s="311">
        <f>+SUMIF('TUNZ Extracted TB'!M:M,$P2175,'TUNZ Extracted TB'!G:G)</f>
        <v>0</v>
      </c>
      <c r="M2175" s="311"/>
      <c r="N2175" s="311">
        <f>+SUMIF('Input Sheet'!$AE:$AE,P2175,'Input Sheet'!$X:$X)</f>
        <v>0</v>
      </c>
      <c r="O2175" s="311"/>
      <c r="P2175" t="str">
        <f t="shared" si="183"/>
        <v>122-7430</v>
      </c>
      <c r="Q2175" s="315" t="str">
        <f t="shared" si="184"/>
        <v>LEX Admin &amp; Other</v>
      </c>
      <c r="R2175" s="315" t="str">
        <f t="shared" si="185"/>
        <v>LEX Admin &amp; OtherData Processing as % of Total Gross Profit</v>
      </c>
      <c r="S2175" s="199"/>
      <c r="T2175" s="199"/>
      <c r="U2175" s="199"/>
    </row>
    <row r="2176" spans="1:21" x14ac:dyDescent="0.25">
      <c r="A2176" t="s">
        <v>996</v>
      </c>
      <c r="B2176" t="s">
        <v>997</v>
      </c>
      <c r="C2176" t="s">
        <v>997</v>
      </c>
      <c r="D2176">
        <v>7430</v>
      </c>
      <c r="E2176">
        <v>147</v>
      </c>
      <c r="F2176" t="s">
        <v>1383</v>
      </c>
      <c r="G2176" t="s">
        <v>1384</v>
      </c>
      <c r="H2176" s="315" t="s">
        <v>1000</v>
      </c>
      <c r="I2176" s="315" t="s">
        <v>1385</v>
      </c>
      <c r="J2176" s="315" t="str">
        <f t="shared" si="181"/>
        <v>Admin &amp; OtherData Processing as % of Total Gross Profit</v>
      </c>
      <c r="K2176" s="315" t="str">
        <f t="shared" si="182"/>
        <v>147Data Processing - Toyota</v>
      </c>
      <c r="L2176" s="311">
        <f>+SUMIF('TUNZ Extracted TB'!M:M,$P2176,'TUNZ Extracted TB'!G:G)</f>
        <v>0</v>
      </c>
      <c r="M2176" s="311"/>
      <c r="N2176" s="311">
        <f>+SUMIF('Input Sheet'!$AE:$AE,P2176,'Input Sheet'!$X:$X)</f>
        <v>0</v>
      </c>
      <c r="O2176" s="311"/>
      <c r="P2176" t="str">
        <f t="shared" si="183"/>
        <v>147-7430</v>
      </c>
      <c r="Q2176" s="315" t="str">
        <f t="shared" si="184"/>
        <v>Admin &amp; Other</v>
      </c>
      <c r="R2176" s="315" t="str">
        <f t="shared" si="185"/>
        <v>Admin &amp; OtherData Processing as % of Total Gross Profit</v>
      </c>
      <c r="S2176" s="199"/>
      <c r="T2176" s="199"/>
      <c r="U2176" s="199"/>
    </row>
    <row r="2177" spans="1:21" x14ac:dyDescent="0.25">
      <c r="A2177" t="s">
        <v>996</v>
      </c>
      <c r="B2177" t="s">
        <v>997</v>
      </c>
      <c r="C2177" t="s">
        <v>1005</v>
      </c>
      <c r="D2177">
        <v>7430</v>
      </c>
      <c r="E2177">
        <v>200</v>
      </c>
      <c r="F2177" t="s">
        <v>1383</v>
      </c>
      <c r="G2177" t="s">
        <v>1384</v>
      </c>
      <c r="H2177" s="315" t="s">
        <v>1000</v>
      </c>
      <c r="I2177" s="315" t="s">
        <v>1385</v>
      </c>
      <c r="J2177" s="315" t="str">
        <f t="shared" si="181"/>
        <v>Admin &amp; OtherData Processing as % of Total Gross Profit</v>
      </c>
      <c r="K2177" s="315" t="str">
        <f t="shared" si="182"/>
        <v>200Data Processing - Toyota</v>
      </c>
      <c r="L2177" s="311">
        <f>+SUMIF('TUNZ Extracted TB'!M:M,$P2177,'TUNZ Extracted TB'!G:G)</f>
        <v>0</v>
      </c>
      <c r="M2177" s="311"/>
      <c r="N2177" s="311">
        <f>+SUMIF('Input Sheet'!$AE:$AE,P2177,'Input Sheet'!$X:$X)</f>
        <v>0</v>
      </c>
      <c r="O2177" s="311"/>
      <c r="P2177" t="str">
        <f t="shared" si="183"/>
        <v>200-7430</v>
      </c>
      <c r="Q2177" s="315" t="str">
        <f t="shared" si="184"/>
        <v>Admin &amp; Other</v>
      </c>
      <c r="R2177" s="315" t="str">
        <f t="shared" si="185"/>
        <v>Admin &amp; OtherData Processing as % of Total Gross Profit</v>
      </c>
      <c r="S2177" s="199"/>
      <c r="T2177" s="199"/>
      <c r="U2177" s="199"/>
    </row>
    <row r="2178" spans="1:21" x14ac:dyDescent="0.25">
      <c r="A2178" t="s">
        <v>996</v>
      </c>
      <c r="B2178" t="s">
        <v>997</v>
      </c>
      <c r="C2178" t="s">
        <v>1005</v>
      </c>
      <c r="D2178">
        <v>7430</v>
      </c>
      <c r="E2178">
        <v>221</v>
      </c>
      <c r="F2178" t="s">
        <v>1383</v>
      </c>
      <c r="G2178" t="s">
        <v>1384</v>
      </c>
      <c r="H2178" s="315" t="s">
        <v>1000</v>
      </c>
      <c r="I2178" s="315" t="s">
        <v>1385</v>
      </c>
      <c r="J2178" s="315" t="str">
        <f t="shared" si="181"/>
        <v>Admin &amp; OtherData Processing as % of Total Gross Profit</v>
      </c>
      <c r="K2178" s="315" t="str">
        <f t="shared" si="182"/>
        <v>221Data Processing - Toyota</v>
      </c>
      <c r="L2178" s="311">
        <f>+SUMIF('TUNZ Extracted TB'!M:M,$P2178,'TUNZ Extracted TB'!G:G)</f>
        <v>0</v>
      </c>
      <c r="M2178" s="311"/>
      <c r="N2178" s="311">
        <f>+SUMIF('Input Sheet'!$AE:$AE,P2178,'Input Sheet'!$X:$X)</f>
        <v>0</v>
      </c>
      <c r="O2178" s="311"/>
      <c r="P2178" t="str">
        <f t="shared" si="183"/>
        <v>221-7430</v>
      </c>
      <c r="Q2178" s="315" t="str">
        <f t="shared" si="184"/>
        <v>Admin &amp; Other</v>
      </c>
      <c r="R2178" s="315" t="str">
        <f t="shared" si="185"/>
        <v>Admin &amp; OtherData Processing as % of Total Gross Profit</v>
      </c>
      <c r="S2178" s="199"/>
      <c r="T2178" s="199"/>
      <c r="U2178" s="199"/>
    </row>
    <row r="2179" spans="1:21" x14ac:dyDescent="0.25">
      <c r="A2179" t="s">
        <v>996</v>
      </c>
      <c r="B2179" t="s">
        <v>997</v>
      </c>
      <c r="C2179" t="s">
        <v>1012</v>
      </c>
      <c r="D2179">
        <v>7430</v>
      </c>
      <c r="E2179">
        <v>400</v>
      </c>
      <c r="F2179" t="s">
        <v>1383</v>
      </c>
      <c r="G2179" t="s">
        <v>1384</v>
      </c>
      <c r="H2179" s="315" t="s">
        <v>1000</v>
      </c>
      <c r="I2179" s="315" t="s">
        <v>1385</v>
      </c>
      <c r="J2179" s="315" t="str">
        <f t="shared" ref="J2179:J2242" si="186">+H2179&amp;I2179</f>
        <v>Admin &amp; OtherData Processing as % of Total Gross Profit</v>
      </c>
      <c r="K2179" s="315" t="str">
        <f t="shared" ref="K2179:K2242" si="187">+E2179&amp;G2179</f>
        <v>400Data Processing - Toyota</v>
      </c>
      <c r="L2179" s="311">
        <f>+SUMIF('TUNZ Extracted TB'!M:M,$P2179,'TUNZ Extracted TB'!G:G)</f>
        <v>0</v>
      </c>
      <c r="M2179" s="311"/>
      <c r="N2179" s="311">
        <f>+SUMIF('Input Sheet'!$AE:$AE,P2179,'Input Sheet'!$X:$X)</f>
        <v>0</v>
      </c>
      <c r="O2179" s="311"/>
      <c r="P2179" t="str">
        <f t="shared" ref="P2179:P2242" si="188">+E2179&amp;"-"&amp;D2179</f>
        <v>400-7430</v>
      </c>
      <c r="Q2179" s="315" t="str">
        <f t="shared" ref="Q2179:Q2242" si="189">H2179</f>
        <v>Admin &amp; Other</v>
      </c>
      <c r="R2179" s="315" t="str">
        <f t="shared" ref="R2179:R2242" si="190">J2179</f>
        <v>Admin &amp; OtherData Processing as % of Total Gross Profit</v>
      </c>
      <c r="S2179" s="199"/>
      <c r="T2179" s="199"/>
      <c r="U2179" s="199"/>
    </row>
    <row r="2180" spans="1:21" x14ac:dyDescent="0.25">
      <c r="A2180" t="s">
        <v>996</v>
      </c>
      <c r="B2180" t="s">
        <v>997</v>
      </c>
      <c r="C2180" t="s">
        <v>1012</v>
      </c>
      <c r="D2180">
        <v>7430</v>
      </c>
      <c r="E2180">
        <v>410</v>
      </c>
      <c r="F2180" t="s">
        <v>1383</v>
      </c>
      <c r="G2180" t="s">
        <v>1384</v>
      </c>
      <c r="H2180" s="315" t="s">
        <v>1000</v>
      </c>
      <c r="I2180" s="315" t="s">
        <v>1385</v>
      </c>
      <c r="J2180" s="315" t="str">
        <f t="shared" si="186"/>
        <v>Admin &amp; OtherData Processing as % of Total Gross Profit</v>
      </c>
      <c r="K2180" s="315" t="str">
        <f t="shared" si="187"/>
        <v>410Data Processing - Toyota</v>
      </c>
      <c r="L2180" s="311">
        <f>+SUMIF('TUNZ Extracted TB'!M:M,$P2180,'TUNZ Extracted TB'!G:G)</f>
        <v>0</v>
      </c>
      <c r="M2180" s="311"/>
      <c r="N2180" s="311">
        <f>+SUMIF('Input Sheet'!$AE:$AE,P2180,'Input Sheet'!$X:$X)</f>
        <v>0</v>
      </c>
      <c r="O2180" s="311"/>
      <c r="P2180" t="str">
        <f t="shared" si="188"/>
        <v>410-7430</v>
      </c>
      <c r="Q2180" s="315" t="str">
        <f t="shared" si="189"/>
        <v>Admin &amp; Other</v>
      </c>
      <c r="R2180" s="315" t="str">
        <f t="shared" si="190"/>
        <v>Admin &amp; OtherData Processing as % of Total Gross Profit</v>
      </c>
      <c r="S2180" s="199"/>
      <c r="T2180" s="199"/>
      <c r="U2180" s="199"/>
    </row>
    <row r="2181" spans="1:21" x14ac:dyDescent="0.25">
      <c r="A2181" t="s">
        <v>996</v>
      </c>
      <c r="B2181" t="s">
        <v>997</v>
      </c>
      <c r="C2181" t="s">
        <v>1012</v>
      </c>
      <c r="D2181">
        <v>7430</v>
      </c>
      <c r="E2181">
        <v>420</v>
      </c>
      <c r="F2181" t="s">
        <v>1383</v>
      </c>
      <c r="G2181" t="s">
        <v>1384</v>
      </c>
      <c r="H2181" s="315" t="s">
        <v>1000</v>
      </c>
      <c r="I2181" s="315" t="s">
        <v>1385</v>
      </c>
      <c r="J2181" s="315" t="str">
        <f t="shared" si="186"/>
        <v>Admin &amp; OtherData Processing as % of Total Gross Profit</v>
      </c>
      <c r="K2181" s="315" t="str">
        <f t="shared" si="187"/>
        <v>420Data Processing - Toyota</v>
      </c>
      <c r="L2181" s="311">
        <f>+SUMIF('TUNZ Extracted TB'!M:M,$P2181,'TUNZ Extracted TB'!G:G)</f>
        <v>0</v>
      </c>
      <c r="M2181" s="311"/>
      <c r="N2181" s="311">
        <f>+SUMIF('Input Sheet'!$AE:$AE,P2181,'Input Sheet'!$X:$X)</f>
        <v>0</v>
      </c>
      <c r="O2181" s="311"/>
      <c r="P2181" t="str">
        <f t="shared" si="188"/>
        <v>420-7430</v>
      </c>
      <c r="Q2181" s="315" t="str">
        <f t="shared" si="189"/>
        <v>Admin &amp; Other</v>
      </c>
      <c r="R2181" s="315" t="str">
        <f t="shared" si="190"/>
        <v>Admin &amp; OtherData Processing as % of Total Gross Profit</v>
      </c>
      <c r="S2181" s="199"/>
      <c r="T2181" s="199"/>
      <c r="U2181" s="199"/>
    </row>
    <row r="2182" spans="1:21" x14ac:dyDescent="0.25">
      <c r="A2182" t="s">
        <v>996</v>
      </c>
      <c r="B2182" t="s">
        <v>997</v>
      </c>
      <c r="C2182" t="s">
        <v>1012</v>
      </c>
      <c r="D2182">
        <v>7430</v>
      </c>
      <c r="E2182">
        <v>421</v>
      </c>
      <c r="F2182" t="s">
        <v>1383</v>
      </c>
      <c r="G2182" t="s">
        <v>1384</v>
      </c>
      <c r="H2182" s="315" t="s">
        <v>1000</v>
      </c>
      <c r="I2182" s="315" t="s">
        <v>1385</v>
      </c>
      <c r="J2182" s="315" t="str">
        <f t="shared" si="186"/>
        <v>Admin &amp; OtherData Processing as % of Total Gross Profit</v>
      </c>
      <c r="K2182" s="315" t="str">
        <f t="shared" si="187"/>
        <v>421Data Processing - Toyota</v>
      </c>
      <c r="L2182" s="311">
        <f>+SUMIF('TUNZ Extracted TB'!M:M,$P2182,'TUNZ Extracted TB'!G:G)</f>
        <v>0</v>
      </c>
      <c r="M2182" s="311"/>
      <c r="N2182" s="311">
        <f>+SUMIF('Input Sheet'!$AE:$AE,P2182,'Input Sheet'!$X:$X)</f>
        <v>0</v>
      </c>
      <c r="O2182" s="311"/>
      <c r="P2182" t="str">
        <f t="shared" si="188"/>
        <v>421-7430</v>
      </c>
      <c r="Q2182" s="315" t="str">
        <f t="shared" si="189"/>
        <v>Admin &amp; Other</v>
      </c>
      <c r="R2182" s="315" t="str">
        <f t="shared" si="190"/>
        <v>Admin &amp; OtherData Processing as % of Total Gross Profit</v>
      </c>
      <c r="S2182" s="199"/>
      <c r="T2182" s="199"/>
      <c r="U2182" s="199"/>
    </row>
    <row r="2183" spans="1:21" x14ac:dyDescent="0.25">
      <c r="A2183" t="s">
        <v>996</v>
      </c>
      <c r="B2183" t="s">
        <v>997</v>
      </c>
      <c r="C2183" t="s">
        <v>1012</v>
      </c>
      <c r="D2183">
        <v>7430</v>
      </c>
      <c r="E2183">
        <v>460</v>
      </c>
      <c r="F2183" t="s">
        <v>1383</v>
      </c>
      <c r="G2183" t="s">
        <v>1384</v>
      </c>
      <c r="H2183" s="315" t="s">
        <v>1000</v>
      </c>
      <c r="I2183" s="315" t="s">
        <v>1385</v>
      </c>
      <c r="J2183" s="315" t="str">
        <f t="shared" si="186"/>
        <v>Admin &amp; OtherData Processing as % of Total Gross Profit</v>
      </c>
      <c r="K2183" s="315" t="str">
        <f t="shared" si="187"/>
        <v>460Data Processing - Toyota</v>
      </c>
      <c r="L2183" s="311">
        <f>+SUMIF('TUNZ Extracted TB'!M:M,$P2183,'TUNZ Extracted TB'!G:G)</f>
        <v>0</v>
      </c>
      <c r="M2183" s="311"/>
      <c r="N2183" s="311">
        <f>+SUMIF('Input Sheet'!$AE:$AE,P2183,'Input Sheet'!$X:$X)</f>
        <v>0</v>
      </c>
      <c r="O2183" s="311"/>
      <c r="P2183" t="str">
        <f t="shared" si="188"/>
        <v>460-7430</v>
      </c>
      <c r="Q2183" s="315" t="str">
        <f t="shared" si="189"/>
        <v>Admin &amp; Other</v>
      </c>
      <c r="R2183" s="315" t="str">
        <f t="shared" si="190"/>
        <v>Admin &amp; OtherData Processing as % of Total Gross Profit</v>
      </c>
      <c r="S2183" s="199"/>
      <c r="T2183" s="199"/>
      <c r="U2183" s="199"/>
    </row>
    <row r="2184" spans="1:21" x14ac:dyDescent="0.25">
      <c r="A2184" t="s">
        <v>996</v>
      </c>
      <c r="B2184" t="s">
        <v>997</v>
      </c>
      <c r="C2184" t="s">
        <v>1013</v>
      </c>
      <c r="D2184">
        <v>7430</v>
      </c>
      <c r="E2184">
        <v>300</v>
      </c>
      <c r="F2184" t="s">
        <v>1383</v>
      </c>
      <c r="G2184" t="s">
        <v>1384</v>
      </c>
      <c r="H2184" s="315" t="s">
        <v>1000</v>
      </c>
      <c r="I2184" s="315" t="s">
        <v>1385</v>
      </c>
      <c r="J2184" s="315" t="str">
        <f t="shared" si="186"/>
        <v>Admin &amp; OtherData Processing as % of Total Gross Profit</v>
      </c>
      <c r="K2184" s="315" t="str">
        <f t="shared" si="187"/>
        <v>300Data Processing - Toyota</v>
      </c>
      <c r="L2184" s="311">
        <f>+SUMIF('TUNZ Extracted TB'!M:M,$P2184,'TUNZ Extracted TB'!G:G)</f>
        <v>0</v>
      </c>
      <c r="M2184" s="311"/>
      <c r="N2184" s="311">
        <f>+SUMIF('Input Sheet'!$AE:$AE,P2184,'Input Sheet'!$X:$X)</f>
        <v>0</v>
      </c>
      <c r="O2184" s="311"/>
      <c r="P2184" t="str">
        <f t="shared" si="188"/>
        <v>300-7430</v>
      </c>
      <c r="Q2184" s="315" t="str">
        <f t="shared" si="189"/>
        <v>Admin &amp; Other</v>
      </c>
      <c r="R2184" s="315" t="str">
        <f t="shared" si="190"/>
        <v>Admin &amp; OtherData Processing as % of Total Gross Profit</v>
      </c>
      <c r="S2184" s="199"/>
      <c r="T2184" s="199"/>
      <c r="U2184" s="199"/>
    </row>
    <row r="2185" spans="1:21" x14ac:dyDescent="0.25">
      <c r="A2185" t="s">
        <v>996</v>
      </c>
      <c r="B2185" t="s">
        <v>997</v>
      </c>
      <c r="C2185" t="s">
        <v>1013</v>
      </c>
      <c r="D2185">
        <v>7430</v>
      </c>
      <c r="E2185">
        <v>310</v>
      </c>
      <c r="F2185" t="s">
        <v>1383</v>
      </c>
      <c r="G2185" t="s">
        <v>1384</v>
      </c>
      <c r="H2185" s="315" t="s">
        <v>1000</v>
      </c>
      <c r="I2185" s="315" t="s">
        <v>1385</v>
      </c>
      <c r="J2185" s="315" t="str">
        <f t="shared" si="186"/>
        <v>Admin &amp; OtherData Processing as % of Total Gross Profit</v>
      </c>
      <c r="K2185" s="315" t="str">
        <f t="shared" si="187"/>
        <v>310Data Processing - Toyota</v>
      </c>
      <c r="L2185" s="311">
        <f>+SUMIF('TUNZ Extracted TB'!M:M,$P2185,'TUNZ Extracted TB'!G:G)</f>
        <v>0</v>
      </c>
      <c r="M2185" s="311"/>
      <c r="N2185" s="311">
        <f>+SUMIF('Input Sheet'!$AE:$AE,P2185,'Input Sheet'!$X:$X)</f>
        <v>0</v>
      </c>
      <c r="O2185" s="311"/>
      <c r="P2185" t="str">
        <f t="shared" si="188"/>
        <v>310-7430</v>
      </c>
      <c r="Q2185" s="315" t="str">
        <f t="shared" si="189"/>
        <v>Admin &amp; Other</v>
      </c>
      <c r="R2185" s="315" t="str">
        <f t="shared" si="190"/>
        <v>Admin &amp; OtherData Processing as % of Total Gross Profit</v>
      </c>
      <c r="S2185" s="199"/>
      <c r="T2185" s="199"/>
      <c r="U2185" s="199"/>
    </row>
    <row r="2186" spans="1:21" x14ac:dyDescent="0.25">
      <c r="A2186" t="s">
        <v>996</v>
      </c>
      <c r="B2186" t="s">
        <v>997</v>
      </c>
      <c r="C2186" t="s">
        <v>1013</v>
      </c>
      <c r="D2186">
        <v>7430</v>
      </c>
      <c r="E2186">
        <v>321</v>
      </c>
      <c r="F2186" t="s">
        <v>1383</v>
      </c>
      <c r="G2186" t="s">
        <v>1384</v>
      </c>
      <c r="H2186" s="315" t="s">
        <v>1000</v>
      </c>
      <c r="I2186" s="315" t="s">
        <v>1385</v>
      </c>
      <c r="J2186" s="315" t="str">
        <f t="shared" si="186"/>
        <v>Admin &amp; OtherData Processing as % of Total Gross Profit</v>
      </c>
      <c r="K2186" s="315" t="str">
        <f t="shared" si="187"/>
        <v>321Data Processing - Toyota</v>
      </c>
      <c r="L2186" s="311">
        <f>+SUMIF('TUNZ Extracted TB'!M:M,$P2186,'TUNZ Extracted TB'!G:G)</f>
        <v>0</v>
      </c>
      <c r="M2186" s="311"/>
      <c r="N2186" s="311">
        <f>+SUMIF('Input Sheet'!$AE:$AE,P2186,'Input Sheet'!$X:$X)</f>
        <v>0</v>
      </c>
      <c r="O2186" s="311"/>
      <c r="P2186" t="str">
        <f t="shared" si="188"/>
        <v>321-7430</v>
      </c>
      <c r="Q2186" s="315" t="str">
        <f t="shared" si="189"/>
        <v>Admin &amp; Other</v>
      </c>
      <c r="R2186" s="315" t="str">
        <f t="shared" si="190"/>
        <v>Admin &amp; OtherData Processing as % of Total Gross Profit</v>
      </c>
      <c r="S2186" s="199"/>
      <c r="T2186" s="199"/>
      <c r="U2186" s="199"/>
    </row>
    <row r="2187" spans="1:21" x14ac:dyDescent="0.25">
      <c r="A2187" t="s">
        <v>996</v>
      </c>
      <c r="B2187" t="s">
        <v>997</v>
      </c>
      <c r="C2187" t="s">
        <v>1013</v>
      </c>
      <c r="D2187">
        <v>7430</v>
      </c>
      <c r="E2187">
        <v>360</v>
      </c>
      <c r="F2187" t="s">
        <v>1383</v>
      </c>
      <c r="G2187" t="s">
        <v>1384</v>
      </c>
      <c r="H2187" s="315" t="s">
        <v>1000</v>
      </c>
      <c r="I2187" s="315" t="s">
        <v>1385</v>
      </c>
      <c r="J2187" s="315" t="str">
        <f t="shared" si="186"/>
        <v>Admin &amp; OtherData Processing as % of Total Gross Profit</v>
      </c>
      <c r="K2187" s="315" t="str">
        <f t="shared" si="187"/>
        <v>360Data Processing - Toyota</v>
      </c>
      <c r="L2187" s="311">
        <f>+SUMIF('TUNZ Extracted TB'!M:M,$P2187,'TUNZ Extracted TB'!G:G)</f>
        <v>0</v>
      </c>
      <c r="M2187" s="311"/>
      <c r="N2187" s="311">
        <f>+SUMIF('Input Sheet'!$AE:$AE,P2187,'Input Sheet'!$X:$X)</f>
        <v>0</v>
      </c>
      <c r="O2187" s="311"/>
      <c r="P2187" t="str">
        <f t="shared" si="188"/>
        <v>360-7430</v>
      </c>
      <c r="Q2187" s="315" t="str">
        <f t="shared" si="189"/>
        <v>Admin &amp; Other</v>
      </c>
      <c r="R2187" s="315" t="str">
        <f t="shared" si="190"/>
        <v>Admin &amp; OtherData Processing as % of Total Gross Profit</v>
      </c>
      <c r="S2187" s="199"/>
      <c r="T2187" s="199"/>
      <c r="U2187" s="199"/>
    </row>
    <row r="2188" spans="1:21" x14ac:dyDescent="0.25">
      <c r="A2188" t="s">
        <v>996</v>
      </c>
      <c r="B2188" t="s">
        <v>997</v>
      </c>
      <c r="C2188" t="s">
        <v>997</v>
      </c>
      <c r="D2188">
        <v>7450</v>
      </c>
      <c r="E2188">
        <v>140</v>
      </c>
      <c r="F2188" t="s">
        <v>1383</v>
      </c>
      <c r="G2188" t="s">
        <v>1384</v>
      </c>
      <c r="H2188" s="315" t="s">
        <v>1000</v>
      </c>
      <c r="I2188" s="315" t="s">
        <v>1385</v>
      </c>
      <c r="J2188" s="315" t="str">
        <f t="shared" si="186"/>
        <v>Admin &amp; OtherData Processing as % of Total Gross Profit</v>
      </c>
      <c r="K2188" s="315" t="str">
        <f t="shared" si="187"/>
        <v>140Data Processing - Toyota</v>
      </c>
      <c r="L2188" s="311">
        <f>+SUMIF('TUNZ Extracted TB'!M:M,$P2188,'TUNZ Extracted TB'!G:G)</f>
        <v>0</v>
      </c>
      <c r="M2188" s="311"/>
      <c r="N2188" s="311">
        <f>+SUMIF('Input Sheet'!$AE:$AE,P2188,'Input Sheet'!$X:$X)</f>
        <v>0</v>
      </c>
      <c r="O2188" s="311"/>
      <c r="P2188" t="str">
        <f t="shared" si="188"/>
        <v>140-7450</v>
      </c>
      <c r="Q2188" s="315" t="str">
        <f t="shared" si="189"/>
        <v>Admin &amp; Other</v>
      </c>
      <c r="R2188" s="315" t="str">
        <f t="shared" si="190"/>
        <v>Admin &amp; OtherData Processing as % of Total Gross Profit</v>
      </c>
      <c r="S2188" s="199"/>
      <c r="T2188" s="199"/>
      <c r="U2188" s="199"/>
    </row>
    <row r="2189" spans="1:21" x14ac:dyDescent="0.25">
      <c r="A2189" t="s">
        <v>996</v>
      </c>
      <c r="B2189" t="s">
        <v>997</v>
      </c>
      <c r="C2189" t="s">
        <v>997</v>
      </c>
      <c r="D2189">
        <v>7450</v>
      </c>
      <c r="E2189">
        <v>142</v>
      </c>
      <c r="F2189" t="s">
        <v>1386</v>
      </c>
      <c r="G2189" t="s">
        <v>1387</v>
      </c>
      <c r="H2189" s="315" t="s">
        <v>1023</v>
      </c>
      <c r="I2189" s="315" t="s">
        <v>1385</v>
      </c>
      <c r="J2189" s="315" t="str">
        <f t="shared" si="186"/>
        <v>LEX Admin &amp; OtherData Processing as % of Total Gross Profit</v>
      </c>
      <c r="K2189" s="315" t="str">
        <f t="shared" si="187"/>
        <v>142Data Processing - Lexus</v>
      </c>
      <c r="L2189" s="311">
        <f>+SUMIF('TUNZ Extracted TB'!M:M,$P2189,'TUNZ Extracted TB'!G:G)</f>
        <v>0</v>
      </c>
      <c r="M2189" s="311"/>
      <c r="N2189" s="311">
        <f>+SUMIF('Input Sheet'!$AE:$AE,P2189,'Input Sheet'!$X:$X)</f>
        <v>0</v>
      </c>
      <c r="O2189" s="311"/>
      <c r="P2189" t="str">
        <f t="shared" si="188"/>
        <v>142-7450</v>
      </c>
      <c r="Q2189" s="315" t="str">
        <f t="shared" si="189"/>
        <v>LEX Admin &amp; Other</v>
      </c>
      <c r="R2189" s="315" t="str">
        <f t="shared" si="190"/>
        <v>LEX Admin &amp; OtherData Processing as % of Total Gross Profit</v>
      </c>
      <c r="S2189" s="199"/>
      <c r="T2189" s="199"/>
      <c r="U2189" s="199"/>
    </row>
    <row r="2190" spans="1:21" x14ac:dyDescent="0.25">
      <c r="A2190" t="s">
        <v>996</v>
      </c>
      <c r="B2190" t="s">
        <v>997</v>
      </c>
      <c r="C2190" t="s">
        <v>997</v>
      </c>
      <c r="D2190">
        <v>7450</v>
      </c>
      <c r="E2190">
        <v>132</v>
      </c>
      <c r="F2190" t="s">
        <v>1386</v>
      </c>
      <c r="G2190" t="s">
        <v>1387</v>
      </c>
      <c r="H2190" s="315" t="s">
        <v>1023</v>
      </c>
      <c r="I2190" s="315" t="s">
        <v>1385</v>
      </c>
      <c r="J2190" s="315" t="str">
        <f t="shared" si="186"/>
        <v>LEX Admin &amp; OtherData Processing as % of Total Gross Profit</v>
      </c>
      <c r="K2190" s="315" t="str">
        <f t="shared" si="187"/>
        <v>132Data Processing - Lexus</v>
      </c>
      <c r="L2190" s="311">
        <f>+SUMIF('TUNZ Extracted TB'!M:M,$P2190,'TUNZ Extracted TB'!G:G)</f>
        <v>0</v>
      </c>
      <c r="M2190" s="311"/>
      <c r="N2190" s="311">
        <f>+SUMIF('Input Sheet'!$AE:$AE,P2190,'Input Sheet'!$X:$X)</f>
        <v>0</v>
      </c>
      <c r="O2190" s="311"/>
      <c r="P2190" t="str">
        <f t="shared" si="188"/>
        <v>132-7450</v>
      </c>
      <c r="Q2190" s="315" t="str">
        <f t="shared" si="189"/>
        <v>LEX Admin &amp; Other</v>
      </c>
      <c r="R2190" s="315" t="str">
        <f t="shared" si="190"/>
        <v>LEX Admin &amp; OtherData Processing as % of Total Gross Profit</v>
      </c>
      <c r="S2190" s="199"/>
      <c r="T2190" s="199"/>
      <c r="U2190" s="199"/>
    </row>
    <row r="2191" spans="1:21" x14ac:dyDescent="0.25">
      <c r="A2191" t="s">
        <v>996</v>
      </c>
      <c r="B2191" t="s">
        <v>997</v>
      </c>
      <c r="C2191" t="s">
        <v>997</v>
      </c>
      <c r="D2191">
        <v>7450</v>
      </c>
      <c r="E2191">
        <v>130</v>
      </c>
      <c r="F2191" t="s">
        <v>1383</v>
      </c>
      <c r="G2191" t="s">
        <v>1384</v>
      </c>
      <c r="H2191" s="315" t="s">
        <v>1000</v>
      </c>
      <c r="I2191" s="315" t="s">
        <v>1385</v>
      </c>
      <c r="J2191" s="315" t="str">
        <f t="shared" si="186"/>
        <v>Admin &amp; OtherData Processing as % of Total Gross Profit</v>
      </c>
      <c r="K2191" s="315" t="str">
        <f t="shared" si="187"/>
        <v>130Data Processing - Toyota</v>
      </c>
      <c r="L2191" s="311">
        <f>+SUMIF('TUNZ Extracted TB'!M:M,$P2191,'TUNZ Extracted TB'!G:G)</f>
        <v>0</v>
      </c>
      <c r="M2191" s="311"/>
      <c r="N2191" s="311">
        <f>+SUMIF('Input Sheet'!$AE:$AE,P2191,'Input Sheet'!$X:$X)</f>
        <v>0</v>
      </c>
      <c r="O2191" s="311"/>
      <c r="P2191" t="str">
        <f t="shared" si="188"/>
        <v>130-7450</v>
      </c>
      <c r="Q2191" s="315" t="str">
        <f t="shared" si="189"/>
        <v>Admin &amp; Other</v>
      </c>
      <c r="R2191" s="315" t="str">
        <f t="shared" si="190"/>
        <v>Admin &amp; OtherData Processing as % of Total Gross Profit</v>
      </c>
      <c r="S2191" s="199"/>
      <c r="T2191" s="199"/>
      <c r="U2191" s="199"/>
    </row>
    <row r="2192" spans="1:21" x14ac:dyDescent="0.25">
      <c r="A2192" t="s">
        <v>996</v>
      </c>
      <c r="B2192" t="s">
        <v>997</v>
      </c>
      <c r="C2192" t="s">
        <v>997</v>
      </c>
      <c r="D2192">
        <v>7450</v>
      </c>
      <c r="E2192">
        <v>112</v>
      </c>
      <c r="F2192" t="s">
        <v>1386</v>
      </c>
      <c r="G2192" t="s">
        <v>1387</v>
      </c>
      <c r="H2192" s="315" t="s">
        <v>1023</v>
      </c>
      <c r="I2192" s="315" t="s">
        <v>1385</v>
      </c>
      <c r="J2192" s="315" t="str">
        <f t="shared" si="186"/>
        <v>LEX Admin &amp; OtherData Processing as % of Total Gross Profit</v>
      </c>
      <c r="K2192" s="315" t="str">
        <f t="shared" si="187"/>
        <v>112Data Processing - Lexus</v>
      </c>
      <c r="L2192" s="311">
        <f>+SUMIF('TUNZ Extracted TB'!M:M,$P2192,'TUNZ Extracted TB'!G:G)</f>
        <v>0</v>
      </c>
      <c r="M2192" s="311"/>
      <c r="N2192" s="311">
        <f>+SUMIF('Input Sheet'!$AE:$AE,P2192,'Input Sheet'!$X:$X)</f>
        <v>0</v>
      </c>
      <c r="O2192" s="311"/>
      <c r="P2192" t="str">
        <f t="shared" si="188"/>
        <v>112-7450</v>
      </c>
      <c r="Q2192" s="315" t="str">
        <f t="shared" si="189"/>
        <v>LEX Admin &amp; Other</v>
      </c>
      <c r="R2192" s="315" t="str">
        <f t="shared" si="190"/>
        <v>LEX Admin &amp; OtherData Processing as % of Total Gross Profit</v>
      </c>
      <c r="S2192" s="199"/>
      <c r="T2192" s="199"/>
      <c r="U2192" s="199"/>
    </row>
    <row r="2193" spans="1:21" x14ac:dyDescent="0.25">
      <c r="A2193" t="s">
        <v>996</v>
      </c>
      <c r="B2193" t="s">
        <v>997</v>
      </c>
      <c r="C2193" t="s">
        <v>997</v>
      </c>
      <c r="D2193">
        <v>7450</v>
      </c>
      <c r="E2193">
        <v>100</v>
      </c>
      <c r="F2193" t="s">
        <v>1383</v>
      </c>
      <c r="G2193" t="s">
        <v>1384</v>
      </c>
      <c r="H2193" s="315" t="s">
        <v>1000</v>
      </c>
      <c r="I2193" s="315" t="s">
        <v>1385</v>
      </c>
      <c r="J2193" s="315" t="str">
        <f t="shared" si="186"/>
        <v>Admin &amp; OtherData Processing as % of Total Gross Profit</v>
      </c>
      <c r="K2193" s="315" t="str">
        <f t="shared" si="187"/>
        <v>100Data Processing - Toyota</v>
      </c>
      <c r="L2193" s="311">
        <f>+SUMIF('TUNZ Extracted TB'!M:M,$P2193,'TUNZ Extracted TB'!G:G)</f>
        <v>0</v>
      </c>
      <c r="M2193" s="311"/>
      <c r="N2193" s="311">
        <f>+SUMIF('Input Sheet'!$AE:$AE,P2193,'Input Sheet'!$X:$X)</f>
        <v>0</v>
      </c>
      <c r="O2193" s="311"/>
      <c r="P2193" t="str">
        <f t="shared" si="188"/>
        <v>100-7450</v>
      </c>
      <c r="Q2193" s="315" t="str">
        <f t="shared" si="189"/>
        <v>Admin &amp; Other</v>
      </c>
      <c r="R2193" s="315" t="str">
        <f t="shared" si="190"/>
        <v>Admin &amp; OtherData Processing as % of Total Gross Profit</v>
      </c>
      <c r="S2193" s="199"/>
      <c r="T2193" s="199"/>
      <c r="U2193" s="199"/>
    </row>
    <row r="2194" spans="1:21" x14ac:dyDescent="0.25">
      <c r="A2194" t="s">
        <v>996</v>
      </c>
      <c r="B2194" t="s">
        <v>997</v>
      </c>
      <c r="C2194" t="s">
        <v>997</v>
      </c>
      <c r="D2194">
        <v>7450</v>
      </c>
      <c r="E2194">
        <v>122</v>
      </c>
      <c r="F2194" t="s">
        <v>1386</v>
      </c>
      <c r="G2194" t="s">
        <v>1387</v>
      </c>
      <c r="H2194" s="315" t="s">
        <v>1023</v>
      </c>
      <c r="I2194" s="315" t="s">
        <v>1385</v>
      </c>
      <c r="J2194" s="315" t="str">
        <f t="shared" si="186"/>
        <v>LEX Admin &amp; OtherData Processing as % of Total Gross Profit</v>
      </c>
      <c r="K2194" s="315" t="str">
        <f t="shared" si="187"/>
        <v>122Data Processing - Lexus</v>
      </c>
      <c r="L2194" s="311">
        <f>+SUMIF('TUNZ Extracted TB'!M:M,$P2194,'TUNZ Extracted TB'!G:G)</f>
        <v>0</v>
      </c>
      <c r="M2194" s="311"/>
      <c r="N2194" s="311">
        <f>+SUMIF('Input Sheet'!$AE:$AE,P2194,'Input Sheet'!$X:$X)</f>
        <v>0</v>
      </c>
      <c r="O2194" s="311"/>
      <c r="P2194" t="str">
        <f t="shared" si="188"/>
        <v>122-7450</v>
      </c>
      <c r="Q2194" s="315" t="str">
        <f t="shared" si="189"/>
        <v>LEX Admin &amp; Other</v>
      </c>
      <c r="R2194" s="315" t="str">
        <f t="shared" si="190"/>
        <v>LEX Admin &amp; OtherData Processing as % of Total Gross Profit</v>
      </c>
      <c r="S2194" s="199"/>
      <c r="T2194" s="199"/>
      <c r="U2194" s="199"/>
    </row>
    <row r="2195" spans="1:21" x14ac:dyDescent="0.25">
      <c r="A2195" t="s">
        <v>996</v>
      </c>
      <c r="B2195" t="s">
        <v>997</v>
      </c>
      <c r="C2195" t="s">
        <v>997</v>
      </c>
      <c r="D2195">
        <v>7450</v>
      </c>
      <c r="E2195">
        <v>162</v>
      </c>
      <c r="F2195" t="s">
        <v>1386</v>
      </c>
      <c r="G2195" t="s">
        <v>1387</v>
      </c>
      <c r="H2195" s="315" t="s">
        <v>1023</v>
      </c>
      <c r="I2195" s="315" t="s">
        <v>1385</v>
      </c>
      <c r="J2195" s="315" t="str">
        <f t="shared" si="186"/>
        <v>LEX Admin &amp; OtherData Processing as % of Total Gross Profit</v>
      </c>
      <c r="K2195" s="315" t="str">
        <f t="shared" si="187"/>
        <v>162Data Processing - Lexus</v>
      </c>
      <c r="L2195" s="311">
        <f>+SUMIF('TUNZ Extracted TB'!M:M,$P2195,'TUNZ Extracted TB'!G:G)</f>
        <v>0</v>
      </c>
      <c r="M2195" s="311"/>
      <c r="N2195" s="311">
        <f>+SUMIF('Input Sheet'!$AE:$AE,P2195,'Input Sheet'!$X:$X)</f>
        <v>0</v>
      </c>
      <c r="O2195" s="311"/>
      <c r="P2195" t="str">
        <f t="shared" si="188"/>
        <v>162-7450</v>
      </c>
      <c r="Q2195" s="315" t="str">
        <f t="shared" si="189"/>
        <v>LEX Admin &amp; Other</v>
      </c>
      <c r="R2195" s="315" t="str">
        <f t="shared" si="190"/>
        <v>LEX Admin &amp; OtherData Processing as % of Total Gross Profit</v>
      </c>
      <c r="S2195" s="199"/>
      <c r="T2195" s="199"/>
      <c r="U2195" s="199"/>
    </row>
    <row r="2196" spans="1:21" x14ac:dyDescent="0.25">
      <c r="A2196" t="s">
        <v>996</v>
      </c>
      <c r="B2196" t="s">
        <v>997</v>
      </c>
      <c r="C2196" t="s">
        <v>1005</v>
      </c>
      <c r="D2196">
        <v>7450</v>
      </c>
      <c r="E2196">
        <v>200</v>
      </c>
      <c r="F2196" t="s">
        <v>1383</v>
      </c>
      <c r="G2196" t="s">
        <v>1384</v>
      </c>
      <c r="H2196" s="315" t="s">
        <v>1000</v>
      </c>
      <c r="I2196" s="315" t="s">
        <v>1385</v>
      </c>
      <c r="J2196" s="315" t="str">
        <f t="shared" si="186"/>
        <v>Admin &amp; OtherData Processing as % of Total Gross Profit</v>
      </c>
      <c r="K2196" s="315" t="str">
        <f t="shared" si="187"/>
        <v>200Data Processing - Toyota</v>
      </c>
      <c r="L2196" s="311">
        <f>+SUMIF('TUNZ Extracted TB'!M:M,$P2196,'TUNZ Extracted TB'!G:G)</f>
        <v>0</v>
      </c>
      <c r="M2196" s="311"/>
      <c r="N2196" s="311">
        <f>+SUMIF('Input Sheet'!$AE:$AE,P2196,'Input Sheet'!$X:$X)</f>
        <v>0</v>
      </c>
      <c r="O2196" s="311"/>
      <c r="P2196" t="str">
        <f t="shared" si="188"/>
        <v>200-7450</v>
      </c>
      <c r="Q2196" s="315" t="str">
        <f t="shared" si="189"/>
        <v>Admin &amp; Other</v>
      </c>
      <c r="R2196" s="315" t="str">
        <f t="shared" si="190"/>
        <v>Admin &amp; OtherData Processing as % of Total Gross Profit</v>
      </c>
      <c r="S2196" s="199"/>
      <c r="T2196" s="199"/>
      <c r="U2196" s="199"/>
    </row>
    <row r="2197" spans="1:21" x14ac:dyDescent="0.25">
      <c r="A2197" t="s">
        <v>996</v>
      </c>
      <c r="B2197" t="s">
        <v>997</v>
      </c>
      <c r="C2197" t="s">
        <v>1005</v>
      </c>
      <c r="D2197">
        <v>7450</v>
      </c>
      <c r="E2197">
        <v>210</v>
      </c>
      <c r="F2197" t="s">
        <v>1383</v>
      </c>
      <c r="G2197" t="s">
        <v>1384</v>
      </c>
      <c r="H2197" s="315" t="s">
        <v>1000</v>
      </c>
      <c r="I2197" s="315" t="s">
        <v>1385</v>
      </c>
      <c r="J2197" s="315" t="str">
        <f t="shared" si="186"/>
        <v>Admin &amp; OtherData Processing as % of Total Gross Profit</v>
      </c>
      <c r="K2197" s="315" t="str">
        <f t="shared" si="187"/>
        <v>210Data Processing - Toyota</v>
      </c>
      <c r="L2197" s="311">
        <f>+SUMIF('TUNZ Extracted TB'!M:M,$P2197,'TUNZ Extracted TB'!G:G)</f>
        <v>0</v>
      </c>
      <c r="M2197" s="311"/>
      <c r="N2197" s="311">
        <f>+SUMIF('Input Sheet'!$AE:$AE,P2197,'Input Sheet'!$X:$X)</f>
        <v>0</v>
      </c>
      <c r="O2197" s="311"/>
      <c r="P2197" t="str">
        <f t="shared" si="188"/>
        <v>210-7450</v>
      </c>
      <c r="Q2197" s="315" t="str">
        <f t="shared" si="189"/>
        <v>Admin &amp; Other</v>
      </c>
      <c r="R2197" s="315" t="str">
        <f t="shared" si="190"/>
        <v>Admin &amp; OtherData Processing as % of Total Gross Profit</v>
      </c>
      <c r="S2197" s="199"/>
      <c r="T2197" s="199"/>
      <c r="U2197" s="199"/>
    </row>
    <row r="2198" spans="1:21" x14ac:dyDescent="0.25">
      <c r="A2198" t="s">
        <v>996</v>
      </c>
      <c r="B2198" t="s">
        <v>997</v>
      </c>
      <c r="C2198" t="s">
        <v>1005</v>
      </c>
      <c r="D2198">
        <v>7450</v>
      </c>
      <c r="E2198">
        <v>220</v>
      </c>
      <c r="F2198" t="s">
        <v>1383</v>
      </c>
      <c r="G2198" t="s">
        <v>1384</v>
      </c>
      <c r="H2198" s="315" t="s">
        <v>1000</v>
      </c>
      <c r="I2198" s="315" t="s">
        <v>1385</v>
      </c>
      <c r="J2198" s="315" t="str">
        <f t="shared" si="186"/>
        <v>Admin &amp; OtherData Processing as % of Total Gross Profit</v>
      </c>
      <c r="K2198" s="315" t="str">
        <f t="shared" si="187"/>
        <v>220Data Processing - Toyota</v>
      </c>
      <c r="L2198" s="311">
        <f>+SUMIF('TUNZ Extracted TB'!M:M,$P2198,'TUNZ Extracted TB'!G:G)</f>
        <v>0</v>
      </c>
      <c r="M2198" s="311"/>
      <c r="N2198" s="311">
        <f>+SUMIF('Input Sheet'!$AE:$AE,P2198,'Input Sheet'!$X:$X)</f>
        <v>0</v>
      </c>
      <c r="O2198" s="311"/>
      <c r="P2198" t="str">
        <f t="shared" si="188"/>
        <v>220-7450</v>
      </c>
      <c r="Q2198" s="315" t="str">
        <f t="shared" si="189"/>
        <v>Admin &amp; Other</v>
      </c>
      <c r="R2198" s="315" t="str">
        <f t="shared" si="190"/>
        <v>Admin &amp; OtherData Processing as % of Total Gross Profit</v>
      </c>
      <c r="S2198" s="199"/>
      <c r="T2198" s="199"/>
      <c r="U2198" s="199"/>
    </row>
    <row r="2199" spans="1:21" x14ac:dyDescent="0.25">
      <c r="A2199" t="s">
        <v>996</v>
      </c>
      <c r="B2199" t="s">
        <v>997</v>
      </c>
      <c r="C2199" t="s">
        <v>1005</v>
      </c>
      <c r="D2199">
        <v>7450</v>
      </c>
      <c r="E2199">
        <v>221</v>
      </c>
      <c r="F2199" t="s">
        <v>1383</v>
      </c>
      <c r="G2199" t="s">
        <v>1384</v>
      </c>
      <c r="H2199" s="315" t="s">
        <v>1000</v>
      </c>
      <c r="I2199" s="315" t="s">
        <v>1385</v>
      </c>
      <c r="J2199" s="315" t="str">
        <f t="shared" si="186"/>
        <v>Admin &amp; OtherData Processing as % of Total Gross Profit</v>
      </c>
      <c r="K2199" s="315" t="str">
        <f t="shared" si="187"/>
        <v>221Data Processing - Toyota</v>
      </c>
      <c r="L2199" s="311">
        <f>+SUMIF('TUNZ Extracted TB'!M:M,$P2199,'TUNZ Extracted TB'!G:G)</f>
        <v>0</v>
      </c>
      <c r="M2199" s="311"/>
      <c r="N2199" s="311">
        <f>+SUMIF('Input Sheet'!$AE:$AE,P2199,'Input Sheet'!$X:$X)</f>
        <v>0</v>
      </c>
      <c r="O2199" s="311"/>
      <c r="P2199" t="str">
        <f t="shared" si="188"/>
        <v>221-7450</v>
      </c>
      <c r="Q2199" s="315" t="str">
        <f t="shared" si="189"/>
        <v>Admin &amp; Other</v>
      </c>
      <c r="R2199" s="315" t="str">
        <f t="shared" si="190"/>
        <v>Admin &amp; OtherData Processing as % of Total Gross Profit</v>
      </c>
      <c r="S2199" s="199"/>
      <c r="T2199" s="199"/>
      <c r="U2199" s="199"/>
    </row>
    <row r="2200" spans="1:21" x14ac:dyDescent="0.25">
      <c r="A2200" t="s">
        <v>996</v>
      </c>
      <c r="B2200" t="s">
        <v>997</v>
      </c>
      <c r="C2200" t="s">
        <v>1005</v>
      </c>
      <c r="D2200">
        <v>7450</v>
      </c>
      <c r="E2200">
        <v>230</v>
      </c>
      <c r="F2200" t="s">
        <v>1383</v>
      </c>
      <c r="G2200" t="s">
        <v>1384</v>
      </c>
      <c r="H2200" s="315" t="s">
        <v>1000</v>
      </c>
      <c r="I2200" s="315" t="s">
        <v>1385</v>
      </c>
      <c r="J2200" s="315" t="str">
        <f t="shared" si="186"/>
        <v>Admin &amp; OtherData Processing as % of Total Gross Profit</v>
      </c>
      <c r="K2200" s="315" t="str">
        <f t="shared" si="187"/>
        <v>230Data Processing - Toyota</v>
      </c>
      <c r="L2200" s="311">
        <f>+SUMIF('TUNZ Extracted TB'!M:M,$P2200,'TUNZ Extracted TB'!G:G)</f>
        <v>0</v>
      </c>
      <c r="M2200" s="311"/>
      <c r="N2200" s="311">
        <f>+SUMIF('Input Sheet'!$AE:$AE,P2200,'Input Sheet'!$X:$X)</f>
        <v>0</v>
      </c>
      <c r="O2200" s="311"/>
      <c r="P2200" t="str">
        <f t="shared" si="188"/>
        <v>230-7450</v>
      </c>
      <c r="Q2200" s="315" t="str">
        <f t="shared" si="189"/>
        <v>Admin &amp; Other</v>
      </c>
      <c r="R2200" s="315" t="str">
        <f t="shared" si="190"/>
        <v>Admin &amp; OtherData Processing as % of Total Gross Profit</v>
      </c>
      <c r="S2200" s="199"/>
      <c r="T2200" s="199"/>
      <c r="U2200" s="199"/>
    </row>
    <row r="2201" spans="1:21" x14ac:dyDescent="0.25">
      <c r="A2201" t="s">
        <v>996</v>
      </c>
      <c r="B2201" t="s">
        <v>997</v>
      </c>
      <c r="C2201" t="s">
        <v>1005</v>
      </c>
      <c r="D2201">
        <v>7450</v>
      </c>
      <c r="E2201">
        <v>240</v>
      </c>
      <c r="F2201" t="s">
        <v>1383</v>
      </c>
      <c r="G2201" t="s">
        <v>1384</v>
      </c>
      <c r="H2201" s="315" t="s">
        <v>1000</v>
      </c>
      <c r="I2201" s="315" t="s">
        <v>1385</v>
      </c>
      <c r="J2201" s="315" t="str">
        <f t="shared" si="186"/>
        <v>Admin &amp; OtherData Processing as % of Total Gross Profit</v>
      </c>
      <c r="K2201" s="315" t="str">
        <f t="shared" si="187"/>
        <v>240Data Processing - Toyota</v>
      </c>
      <c r="L2201" s="311">
        <f>+SUMIF('TUNZ Extracted TB'!M:M,$P2201,'TUNZ Extracted TB'!G:G)</f>
        <v>0</v>
      </c>
      <c r="M2201" s="311"/>
      <c r="N2201" s="311">
        <f>+SUMIF('Input Sheet'!$AE:$AE,P2201,'Input Sheet'!$X:$X)</f>
        <v>0</v>
      </c>
      <c r="O2201" s="311"/>
      <c r="P2201" t="str">
        <f t="shared" si="188"/>
        <v>240-7450</v>
      </c>
      <c r="Q2201" s="315" t="str">
        <f t="shared" si="189"/>
        <v>Admin &amp; Other</v>
      </c>
      <c r="R2201" s="315" t="str">
        <f t="shared" si="190"/>
        <v>Admin &amp; OtherData Processing as % of Total Gross Profit</v>
      </c>
      <c r="S2201" s="199"/>
      <c r="T2201" s="199"/>
      <c r="U2201" s="199"/>
    </row>
    <row r="2202" spans="1:21" x14ac:dyDescent="0.25">
      <c r="A2202" t="s">
        <v>996</v>
      </c>
      <c r="B2202" t="s">
        <v>997</v>
      </c>
      <c r="C2202" t="s">
        <v>1005</v>
      </c>
      <c r="D2202">
        <v>7450</v>
      </c>
      <c r="E2202">
        <v>260</v>
      </c>
      <c r="F2202" t="s">
        <v>1383</v>
      </c>
      <c r="G2202" t="s">
        <v>1384</v>
      </c>
      <c r="H2202" s="315" t="s">
        <v>1000</v>
      </c>
      <c r="I2202" s="315" t="s">
        <v>1385</v>
      </c>
      <c r="J2202" s="315" t="str">
        <f t="shared" si="186"/>
        <v>Admin &amp; OtherData Processing as % of Total Gross Profit</v>
      </c>
      <c r="K2202" s="315" t="str">
        <f t="shared" si="187"/>
        <v>260Data Processing - Toyota</v>
      </c>
      <c r="L2202" s="311">
        <f>+SUMIF('TUNZ Extracted TB'!M:M,$P2202,'TUNZ Extracted TB'!G:G)</f>
        <v>0</v>
      </c>
      <c r="M2202" s="311"/>
      <c r="N2202" s="311">
        <f>+SUMIF('Input Sheet'!$AE:$AE,P2202,'Input Sheet'!$X:$X)</f>
        <v>0</v>
      </c>
      <c r="O2202" s="311"/>
      <c r="P2202" t="str">
        <f t="shared" si="188"/>
        <v>260-7450</v>
      </c>
      <c r="Q2202" s="315" t="str">
        <f t="shared" si="189"/>
        <v>Admin &amp; Other</v>
      </c>
      <c r="R2202" s="315" t="str">
        <f t="shared" si="190"/>
        <v>Admin &amp; OtherData Processing as % of Total Gross Profit</v>
      </c>
      <c r="S2202" s="199"/>
      <c r="T2202" s="199"/>
      <c r="U2202" s="199"/>
    </row>
    <row r="2203" spans="1:21" x14ac:dyDescent="0.25">
      <c r="A2203" t="s">
        <v>996</v>
      </c>
      <c r="B2203" t="s">
        <v>997</v>
      </c>
      <c r="C2203" t="s">
        <v>1012</v>
      </c>
      <c r="D2203">
        <v>7450</v>
      </c>
      <c r="E2203">
        <v>400</v>
      </c>
      <c r="F2203" t="s">
        <v>1383</v>
      </c>
      <c r="G2203" t="s">
        <v>1384</v>
      </c>
      <c r="H2203" s="315" t="s">
        <v>1000</v>
      </c>
      <c r="I2203" s="315" t="s">
        <v>1385</v>
      </c>
      <c r="J2203" s="315" t="str">
        <f t="shared" si="186"/>
        <v>Admin &amp; OtherData Processing as % of Total Gross Profit</v>
      </c>
      <c r="K2203" s="315" t="str">
        <f t="shared" si="187"/>
        <v>400Data Processing - Toyota</v>
      </c>
      <c r="L2203" s="311">
        <f>+SUMIF('TUNZ Extracted TB'!M:M,$P2203,'TUNZ Extracted TB'!G:G)</f>
        <v>0</v>
      </c>
      <c r="M2203" s="311"/>
      <c r="N2203" s="311">
        <f>+SUMIF('Input Sheet'!$AE:$AE,P2203,'Input Sheet'!$X:$X)</f>
        <v>0</v>
      </c>
      <c r="O2203" s="311"/>
      <c r="P2203" t="str">
        <f t="shared" si="188"/>
        <v>400-7450</v>
      </c>
      <c r="Q2203" s="315" t="str">
        <f t="shared" si="189"/>
        <v>Admin &amp; Other</v>
      </c>
      <c r="R2203" s="315" t="str">
        <f t="shared" si="190"/>
        <v>Admin &amp; OtherData Processing as % of Total Gross Profit</v>
      </c>
      <c r="S2203" s="199"/>
      <c r="T2203" s="199"/>
      <c r="U2203" s="199"/>
    </row>
    <row r="2204" spans="1:21" x14ac:dyDescent="0.25">
      <c r="A2204" t="s">
        <v>996</v>
      </c>
      <c r="B2204" t="s">
        <v>997</v>
      </c>
      <c r="C2204" t="s">
        <v>1012</v>
      </c>
      <c r="D2204">
        <v>7450</v>
      </c>
      <c r="E2204">
        <v>410</v>
      </c>
      <c r="F2204" t="s">
        <v>1383</v>
      </c>
      <c r="G2204" t="s">
        <v>1384</v>
      </c>
      <c r="H2204" s="315" t="s">
        <v>1000</v>
      </c>
      <c r="I2204" s="315" t="s">
        <v>1385</v>
      </c>
      <c r="J2204" s="315" t="str">
        <f t="shared" si="186"/>
        <v>Admin &amp; OtherData Processing as % of Total Gross Profit</v>
      </c>
      <c r="K2204" s="315" t="str">
        <f t="shared" si="187"/>
        <v>410Data Processing - Toyota</v>
      </c>
      <c r="L2204" s="311">
        <f>+SUMIF('TUNZ Extracted TB'!M:M,$P2204,'TUNZ Extracted TB'!G:G)</f>
        <v>0</v>
      </c>
      <c r="M2204" s="311"/>
      <c r="N2204" s="311">
        <f>+SUMIF('Input Sheet'!$AE:$AE,P2204,'Input Sheet'!$X:$X)</f>
        <v>0</v>
      </c>
      <c r="O2204" s="311"/>
      <c r="P2204" t="str">
        <f t="shared" si="188"/>
        <v>410-7450</v>
      </c>
      <c r="Q2204" s="315" t="str">
        <f t="shared" si="189"/>
        <v>Admin &amp; Other</v>
      </c>
      <c r="R2204" s="315" t="str">
        <f t="shared" si="190"/>
        <v>Admin &amp; OtherData Processing as % of Total Gross Profit</v>
      </c>
      <c r="S2204" s="199"/>
      <c r="T2204" s="199"/>
      <c r="U2204" s="199"/>
    </row>
    <row r="2205" spans="1:21" x14ac:dyDescent="0.25">
      <c r="A2205" t="s">
        <v>996</v>
      </c>
      <c r="B2205" t="s">
        <v>997</v>
      </c>
      <c r="C2205" t="s">
        <v>1012</v>
      </c>
      <c r="D2205">
        <v>7450</v>
      </c>
      <c r="E2205">
        <v>420</v>
      </c>
      <c r="F2205" t="s">
        <v>1383</v>
      </c>
      <c r="G2205" t="s">
        <v>1384</v>
      </c>
      <c r="H2205" s="315" t="s">
        <v>1000</v>
      </c>
      <c r="I2205" s="315" t="s">
        <v>1385</v>
      </c>
      <c r="J2205" s="315" t="str">
        <f t="shared" si="186"/>
        <v>Admin &amp; OtherData Processing as % of Total Gross Profit</v>
      </c>
      <c r="K2205" s="315" t="str">
        <f t="shared" si="187"/>
        <v>420Data Processing - Toyota</v>
      </c>
      <c r="L2205" s="311">
        <f>+SUMIF('TUNZ Extracted TB'!M:M,$P2205,'TUNZ Extracted TB'!G:G)</f>
        <v>0</v>
      </c>
      <c r="M2205" s="311"/>
      <c r="N2205" s="311">
        <f>+SUMIF('Input Sheet'!$AE:$AE,P2205,'Input Sheet'!$X:$X)</f>
        <v>0</v>
      </c>
      <c r="O2205" s="311"/>
      <c r="P2205" t="str">
        <f t="shared" si="188"/>
        <v>420-7450</v>
      </c>
      <c r="Q2205" s="315" t="str">
        <f t="shared" si="189"/>
        <v>Admin &amp; Other</v>
      </c>
      <c r="R2205" s="315" t="str">
        <f t="shared" si="190"/>
        <v>Admin &amp; OtherData Processing as % of Total Gross Profit</v>
      </c>
      <c r="S2205" s="199"/>
      <c r="T2205" s="199"/>
      <c r="U2205" s="199"/>
    </row>
    <row r="2206" spans="1:21" x14ac:dyDescent="0.25">
      <c r="A2206" t="s">
        <v>996</v>
      </c>
      <c r="B2206" t="s">
        <v>997</v>
      </c>
      <c r="C2206" t="s">
        <v>1012</v>
      </c>
      <c r="D2206">
        <v>7450</v>
      </c>
      <c r="E2206">
        <v>421</v>
      </c>
      <c r="F2206" t="s">
        <v>1383</v>
      </c>
      <c r="G2206" t="s">
        <v>1384</v>
      </c>
      <c r="H2206" s="315" t="s">
        <v>1000</v>
      </c>
      <c r="I2206" s="315" t="s">
        <v>1385</v>
      </c>
      <c r="J2206" s="315" t="str">
        <f t="shared" si="186"/>
        <v>Admin &amp; OtherData Processing as % of Total Gross Profit</v>
      </c>
      <c r="K2206" s="315" t="str">
        <f t="shared" si="187"/>
        <v>421Data Processing - Toyota</v>
      </c>
      <c r="L2206" s="311">
        <f>+SUMIF('TUNZ Extracted TB'!M:M,$P2206,'TUNZ Extracted TB'!G:G)</f>
        <v>0</v>
      </c>
      <c r="M2206" s="311"/>
      <c r="N2206" s="311">
        <f>+SUMIF('Input Sheet'!$AE:$AE,P2206,'Input Sheet'!$X:$X)</f>
        <v>0</v>
      </c>
      <c r="O2206" s="311"/>
      <c r="P2206" t="str">
        <f t="shared" si="188"/>
        <v>421-7450</v>
      </c>
      <c r="Q2206" s="315" t="str">
        <f t="shared" si="189"/>
        <v>Admin &amp; Other</v>
      </c>
      <c r="R2206" s="315" t="str">
        <f t="shared" si="190"/>
        <v>Admin &amp; OtherData Processing as % of Total Gross Profit</v>
      </c>
      <c r="S2206" s="199"/>
      <c r="T2206" s="199"/>
      <c r="U2206" s="199"/>
    </row>
    <row r="2207" spans="1:21" x14ac:dyDescent="0.25">
      <c r="A2207" t="s">
        <v>996</v>
      </c>
      <c r="B2207" t="s">
        <v>997</v>
      </c>
      <c r="C2207" t="s">
        <v>1012</v>
      </c>
      <c r="D2207">
        <v>7450</v>
      </c>
      <c r="E2207">
        <v>430</v>
      </c>
      <c r="F2207" t="s">
        <v>1383</v>
      </c>
      <c r="G2207" t="s">
        <v>1384</v>
      </c>
      <c r="H2207" s="315" t="s">
        <v>1000</v>
      </c>
      <c r="I2207" s="315" t="s">
        <v>1385</v>
      </c>
      <c r="J2207" s="315" t="str">
        <f t="shared" si="186"/>
        <v>Admin &amp; OtherData Processing as % of Total Gross Profit</v>
      </c>
      <c r="K2207" s="315" t="str">
        <f t="shared" si="187"/>
        <v>430Data Processing - Toyota</v>
      </c>
      <c r="L2207" s="311">
        <f>+SUMIF('TUNZ Extracted TB'!M:M,$P2207,'TUNZ Extracted TB'!G:G)</f>
        <v>0</v>
      </c>
      <c r="M2207" s="311"/>
      <c r="N2207" s="311">
        <f>+SUMIF('Input Sheet'!$AE:$AE,P2207,'Input Sheet'!$X:$X)</f>
        <v>0</v>
      </c>
      <c r="O2207" s="311"/>
      <c r="P2207" t="str">
        <f t="shared" si="188"/>
        <v>430-7450</v>
      </c>
      <c r="Q2207" s="315" t="str">
        <f t="shared" si="189"/>
        <v>Admin &amp; Other</v>
      </c>
      <c r="R2207" s="315" t="str">
        <f t="shared" si="190"/>
        <v>Admin &amp; OtherData Processing as % of Total Gross Profit</v>
      </c>
      <c r="S2207" s="199"/>
      <c r="T2207" s="199"/>
      <c r="U2207" s="199"/>
    </row>
    <row r="2208" spans="1:21" x14ac:dyDescent="0.25">
      <c r="A2208" t="s">
        <v>996</v>
      </c>
      <c r="B2208" t="s">
        <v>997</v>
      </c>
      <c r="C2208" t="s">
        <v>1012</v>
      </c>
      <c r="D2208">
        <v>7450</v>
      </c>
      <c r="E2208">
        <v>440</v>
      </c>
      <c r="F2208" t="s">
        <v>1383</v>
      </c>
      <c r="G2208" t="s">
        <v>1384</v>
      </c>
      <c r="H2208" s="315" t="s">
        <v>1000</v>
      </c>
      <c r="I2208" s="315" t="s">
        <v>1385</v>
      </c>
      <c r="J2208" s="315" t="str">
        <f t="shared" si="186"/>
        <v>Admin &amp; OtherData Processing as % of Total Gross Profit</v>
      </c>
      <c r="K2208" s="315" t="str">
        <f t="shared" si="187"/>
        <v>440Data Processing - Toyota</v>
      </c>
      <c r="L2208" s="311">
        <f>+SUMIF('TUNZ Extracted TB'!M:M,$P2208,'TUNZ Extracted TB'!G:G)</f>
        <v>0</v>
      </c>
      <c r="M2208" s="311"/>
      <c r="N2208" s="311">
        <f>+SUMIF('Input Sheet'!$AE:$AE,P2208,'Input Sheet'!$X:$X)</f>
        <v>0</v>
      </c>
      <c r="O2208" s="311"/>
      <c r="P2208" t="str">
        <f t="shared" si="188"/>
        <v>440-7450</v>
      </c>
      <c r="Q2208" s="315" t="str">
        <f t="shared" si="189"/>
        <v>Admin &amp; Other</v>
      </c>
      <c r="R2208" s="315" t="str">
        <f t="shared" si="190"/>
        <v>Admin &amp; OtherData Processing as % of Total Gross Profit</v>
      </c>
      <c r="S2208" s="199"/>
      <c r="T2208" s="199"/>
      <c r="U2208" s="199"/>
    </row>
    <row r="2209" spans="1:21" x14ac:dyDescent="0.25">
      <c r="A2209" t="s">
        <v>996</v>
      </c>
      <c r="B2209" t="s">
        <v>997</v>
      </c>
      <c r="C2209" t="s">
        <v>1012</v>
      </c>
      <c r="D2209">
        <v>7450</v>
      </c>
      <c r="E2209">
        <v>460</v>
      </c>
      <c r="F2209" t="s">
        <v>1383</v>
      </c>
      <c r="G2209" t="s">
        <v>1384</v>
      </c>
      <c r="H2209" s="315" t="s">
        <v>1000</v>
      </c>
      <c r="I2209" s="315" t="s">
        <v>1385</v>
      </c>
      <c r="J2209" s="315" t="str">
        <f t="shared" si="186"/>
        <v>Admin &amp; OtherData Processing as % of Total Gross Profit</v>
      </c>
      <c r="K2209" s="315" t="str">
        <f t="shared" si="187"/>
        <v>460Data Processing - Toyota</v>
      </c>
      <c r="L2209" s="311">
        <f>+SUMIF('TUNZ Extracted TB'!M:M,$P2209,'TUNZ Extracted TB'!G:G)</f>
        <v>0</v>
      </c>
      <c r="M2209" s="311"/>
      <c r="N2209" s="311">
        <f>+SUMIF('Input Sheet'!$AE:$AE,P2209,'Input Sheet'!$X:$X)</f>
        <v>0</v>
      </c>
      <c r="O2209" s="311"/>
      <c r="P2209" t="str">
        <f t="shared" si="188"/>
        <v>460-7450</v>
      </c>
      <c r="Q2209" s="315" t="str">
        <f t="shared" si="189"/>
        <v>Admin &amp; Other</v>
      </c>
      <c r="R2209" s="315" t="str">
        <f t="shared" si="190"/>
        <v>Admin &amp; OtherData Processing as % of Total Gross Profit</v>
      </c>
      <c r="S2209" s="199"/>
      <c r="T2209" s="199"/>
      <c r="U2209" s="199"/>
    </row>
    <row r="2210" spans="1:21" x14ac:dyDescent="0.25">
      <c r="A2210" t="s">
        <v>996</v>
      </c>
      <c r="B2210" t="s">
        <v>997</v>
      </c>
      <c r="C2210" t="s">
        <v>1013</v>
      </c>
      <c r="D2210">
        <v>7450</v>
      </c>
      <c r="E2210">
        <v>300</v>
      </c>
      <c r="F2210" t="s">
        <v>1383</v>
      </c>
      <c r="G2210" t="s">
        <v>1384</v>
      </c>
      <c r="H2210" s="315" t="s">
        <v>1000</v>
      </c>
      <c r="I2210" s="315" t="s">
        <v>1385</v>
      </c>
      <c r="J2210" s="315" t="str">
        <f t="shared" si="186"/>
        <v>Admin &amp; OtherData Processing as % of Total Gross Profit</v>
      </c>
      <c r="K2210" s="315" t="str">
        <f t="shared" si="187"/>
        <v>300Data Processing - Toyota</v>
      </c>
      <c r="L2210" s="311">
        <f>+SUMIF('TUNZ Extracted TB'!M:M,$P2210,'TUNZ Extracted TB'!G:G)</f>
        <v>0</v>
      </c>
      <c r="M2210" s="311"/>
      <c r="N2210" s="311">
        <f>+SUMIF('Input Sheet'!$AE:$AE,P2210,'Input Sheet'!$X:$X)</f>
        <v>0</v>
      </c>
      <c r="O2210" s="311"/>
      <c r="P2210" t="str">
        <f t="shared" si="188"/>
        <v>300-7450</v>
      </c>
      <c r="Q2210" s="315" t="str">
        <f t="shared" si="189"/>
        <v>Admin &amp; Other</v>
      </c>
      <c r="R2210" s="315" t="str">
        <f t="shared" si="190"/>
        <v>Admin &amp; OtherData Processing as % of Total Gross Profit</v>
      </c>
      <c r="S2210" s="199"/>
      <c r="T2210" s="199"/>
      <c r="U2210" s="199"/>
    </row>
    <row r="2211" spans="1:21" x14ac:dyDescent="0.25">
      <c r="A2211" t="s">
        <v>996</v>
      </c>
      <c r="B2211" t="s">
        <v>997</v>
      </c>
      <c r="C2211" t="s">
        <v>1013</v>
      </c>
      <c r="D2211">
        <v>7450</v>
      </c>
      <c r="E2211">
        <v>310</v>
      </c>
      <c r="F2211" t="s">
        <v>1383</v>
      </c>
      <c r="G2211" t="s">
        <v>1384</v>
      </c>
      <c r="H2211" s="315" t="s">
        <v>1000</v>
      </c>
      <c r="I2211" s="315" t="s">
        <v>1385</v>
      </c>
      <c r="J2211" s="315" t="str">
        <f t="shared" si="186"/>
        <v>Admin &amp; OtherData Processing as % of Total Gross Profit</v>
      </c>
      <c r="K2211" s="315" t="str">
        <f t="shared" si="187"/>
        <v>310Data Processing - Toyota</v>
      </c>
      <c r="L2211" s="311">
        <f>+SUMIF('TUNZ Extracted TB'!M:M,$P2211,'TUNZ Extracted TB'!G:G)</f>
        <v>0</v>
      </c>
      <c r="M2211" s="311"/>
      <c r="N2211" s="311">
        <f>+SUMIF('Input Sheet'!$AE:$AE,P2211,'Input Sheet'!$X:$X)</f>
        <v>0</v>
      </c>
      <c r="O2211" s="311"/>
      <c r="P2211" t="str">
        <f t="shared" si="188"/>
        <v>310-7450</v>
      </c>
      <c r="Q2211" s="315" t="str">
        <f t="shared" si="189"/>
        <v>Admin &amp; Other</v>
      </c>
      <c r="R2211" s="315" t="str">
        <f t="shared" si="190"/>
        <v>Admin &amp; OtherData Processing as % of Total Gross Profit</v>
      </c>
      <c r="S2211" s="199"/>
      <c r="T2211" s="199"/>
      <c r="U2211" s="199"/>
    </row>
    <row r="2212" spans="1:21" x14ac:dyDescent="0.25">
      <c r="A2212" t="s">
        <v>996</v>
      </c>
      <c r="B2212" t="s">
        <v>997</v>
      </c>
      <c r="C2212" t="s">
        <v>1013</v>
      </c>
      <c r="D2212">
        <v>7450</v>
      </c>
      <c r="E2212">
        <v>321</v>
      </c>
      <c r="F2212" t="s">
        <v>1383</v>
      </c>
      <c r="G2212" t="s">
        <v>1384</v>
      </c>
      <c r="H2212" s="315" t="s">
        <v>1000</v>
      </c>
      <c r="I2212" s="315" t="s">
        <v>1385</v>
      </c>
      <c r="J2212" s="315" t="str">
        <f t="shared" si="186"/>
        <v>Admin &amp; OtherData Processing as % of Total Gross Profit</v>
      </c>
      <c r="K2212" s="315" t="str">
        <f t="shared" si="187"/>
        <v>321Data Processing - Toyota</v>
      </c>
      <c r="L2212" s="311">
        <f>+SUMIF('TUNZ Extracted TB'!M:M,$P2212,'TUNZ Extracted TB'!G:G)</f>
        <v>0</v>
      </c>
      <c r="M2212" s="311"/>
      <c r="N2212" s="311">
        <f>+SUMIF('Input Sheet'!$AE:$AE,P2212,'Input Sheet'!$X:$X)</f>
        <v>0</v>
      </c>
      <c r="O2212" s="311"/>
      <c r="P2212" t="str">
        <f t="shared" si="188"/>
        <v>321-7450</v>
      </c>
      <c r="Q2212" s="315" t="str">
        <f t="shared" si="189"/>
        <v>Admin &amp; Other</v>
      </c>
      <c r="R2212" s="315" t="str">
        <f t="shared" si="190"/>
        <v>Admin &amp; OtherData Processing as % of Total Gross Profit</v>
      </c>
      <c r="S2212" s="199"/>
      <c r="T2212" s="199"/>
      <c r="U2212" s="199"/>
    </row>
    <row r="2213" spans="1:21" x14ac:dyDescent="0.25">
      <c r="A2213" t="s">
        <v>996</v>
      </c>
      <c r="B2213" t="s">
        <v>997</v>
      </c>
      <c r="C2213" t="s">
        <v>1013</v>
      </c>
      <c r="D2213">
        <v>7450</v>
      </c>
      <c r="E2213">
        <v>330</v>
      </c>
      <c r="F2213" t="s">
        <v>1383</v>
      </c>
      <c r="G2213" t="s">
        <v>1384</v>
      </c>
      <c r="H2213" s="315" t="s">
        <v>1000</v>
      </c>
      <c r="I2213" s="315" t="s">
        <v>1385</v>
      </c>
      <c r="J2213" s="315" t="str">
        <f t="shared" si="186"/>
        <v>Admin &amp; OtherData Processing as % of Total Gross Profit</v>
      </c>
      <c r="K2213" s="315" t="str">
        <f t="shared" si="187"/>
        <v>330Data Processing - Toyota</v>
      </c>
      <c r="L2213" s="311">
        <f>+SUMIF('TUNZ Extracted TB'!M:M,$P2213,'TUNZ Extracted TB'!G:G)</f>
        <v>0</v>
      </c>
      <c r="M2213" s="311"/>
      <c r="N2213" s="311">
        <f>+SUMIF('Input Sheet'!$AE:$AE,P2213,'Input Sheet'!$X:$X)</f>
        <v>0</v>
      </c>
      <c r="O2213" s="311"/>
      <c r="P2213" t="str">
        <f t="shared" si="188"/>
        <v>330-7450</v>
      </c>
      <c r="Q2213" s="315" t="str">
        <f t="shared" si="189"/>
        <v>Admin &amp; Other</v>
      </c>
      <c r="R2213" s="315" t="str">
        <f t="shared" si="190"/>
        <v>Admin &amp; OtherData Processing as % of Total Gross Profit</v>
      </c>
      <c r="S2213" s="199"/>
      <c r="T2213" s="199"/>
      <c r="U2213" s="199"/>
    </row>
    <row r="2214" spans="1:21" x14ac:dyDescent="0.25">
      <c r="A2214" t="s">
        <v>996</v>
      </c>
      <c r="B2214" t="s">
        <v>997</v>
      </c>
      <c r="C2214" t="s">
        <v>1013</v>
      </c>
      <c r="D2214">
        <v>7450</v>
      </c>
      <c r="E2214">
        <v>340</v>
      </c>
      <c r="F2214" t="s">
        <v>1383</v>
      </c>
      <c r="G2214" t="s">
        <v>1384</v>
      </c>
      <c r="H2214" s="315" t="s">
        <v>1000</v>
      </c>
      <c r="I2214" s="315" t="s">
        <v>1385</v>
      </c>
      <c r="J2214" s="315" t="str">
        <f t="shared" si="186"/>
        <v>Admin &amp; OtherData Processing as % of Total Gross Profit</v>
      </c>
      <c r="K2214" s="315" t="str">
        <f t="shared" si="187"/>
        <v>340Data Processing - Toyota</v>
      </c>
      <c r="L2214" s="311">
        <f>+SUMIF('TUNZ Extracted TB'!M:M,$P2214,'TUNZ Extracted TB'!G:G)</f>
        <v>0</v>
      </c>
      <c r="M2214" s="311"/>
      <c r="N2214" s="311">
        <f>+SUMIF('Input Sheet'!$AE:$AE,P2214,'Input Sheet'!$X:$X)</f>
        <v>0</v>
      </c>
      <c r="O2214" s="311"/>
      <c r="P2214" t="str">
        <f t="shared" si="188"/>
        <v>340-7450</v>
      </c>
      <c r="Q2214" s="315" t="str">
        <f t="shared" si="189"/>
        <v>Admin &amp; Other</v>
      </c>
      <c r="R2214" s="315" t="str">
        <f t="shared" si="190"/>
        <v>Admin &amp; OtherData Processing as % of Total Gross Profit</v>
      </c>
      <c r="S2214" s="199"/>
      <c r="T2214" s="199"/>
      <c r="U2214" s="199"/>
    </row>
    <row r="2215" spans="1:21" x14ac:dyDescent="0.25">
      <c r="A2215" t="s">
        <v>996</v>
      </c>
      <c r="B2215" t="s">
        <v>997</v>
      </c>
      <c r="C2215" t="s">
        <v>1013</v>
      </c>
      <c r="D2215">
        <v>7450</v>
      </c>
      <c r="E2215">
        <v>360</v>
      </c>
      <c r="F2215" t="s">
        <v>1383</v>
      </c>
      <c r="G2215" t="s">
        <v>1384</v>
      </c>
      <c r="H2215" s="315" t="s">
        <v>1000</v>
      </c>
      <c r="I2215" s="315" t="s">
        <v>1385</v>
      </c>
      <c r="J2215" s="315" t="str">
        <f t="shared" si="186"/>
        <v>Admin &amp; OtherData Processing as % of Total Gross Profit</v>
      </c>
      <c r="K2215" s="315" t="str">
        <f t="shared" si="187"/>
        <v>360Data Processing - Toyota</v>
      </c>
      <c r="L2215" s="311">
        <f>+SUMIF('TUNZ Extracted TB'!M:M,$P2215,'TUNZ Extracted TB'!G:G)</f>
        <v>0</v>
      </c>
      <c r="M2215" s="311"/>
      <c r="N2215" s="311">
        <f>+SUMIF('Input Sheet'!$AE:$AE,P2215,'Input Sheet'!$X:$X)</f>
        <v>0</v>
      </c>
      <c r="O2215" s="311"/>
      <c r="P2215" t="str">
        <f t="shared" si="188"/>
        <v>360-7450</v>
      </c>
      <c r="Q2215" s="315" t="str">
        <f t="shared" si="189"/>
        <v>Admin &amp; Other</v>
      </c>
      <c r="R2215" s="315" t="str">
        <f t="shared" si="190"/>
        <v>Admin &amp; OtherData Processing as % of Total Gross Profit</v>
      </c>
      <c r="S2215" s="199"/>
      <c r="T2215" s="199"/>
      <c r="U2215" s="199"/>
    </row>
    <row r="2216" spans="1:21" x14ac:dyDescent="0.25">
      <c r="A2216" t="s">
        <v>996</v>
      </c>
      <c r="B2216" t="s">
        <v>997</v>
      </c>
      <c r="C2216" t="s">
        <v>997</v>
      </c>
      <c r="D2216">
        <v>7450</v>
      </c>
      <c r="E2216">
        <v>110</v>
      </c>
      <c r="F2216" t="s">
        <v>1383</v>
      </c>
      <c r="G2216" t="s">
        <v>1384</v>
      </c>
      <c r="H2216" s="315" t="s">
        <v>1000</v>
      </c>
      <c r="I2216" s="315" t="s">
        <v>1385</v>
      </c>
      <c r="J2216" s="315" t="str">
        <f t="shared" si="186"/>
        <v>Admin &amp; OtherData Processing as % of Total Gross Profit</v>
      </c>
      <c r="K2216" s="315" t="str">
        <f t="shared" si="187"/>
        <v>110Data Processing - Toyota</v>
      </c>
      <c r="L2216" s="311">
        <f>+SUMIF('TUNZ Extracted TB'!M:M,$P2216,'TUNZ Extracted TB'!G:G)</f>
        <v>0</v>
      </c>
      <c r="M2216" s="311"/>
      <c r="N2216" s="311">
        <f>+SUMIF('Input Sheet'!$AE:$AE,P2216,'Input Sheet'!$X:$X)</f>
        <v>0</v>
      </c>
      <c r="O2216" s="311"/>
      <c r="P2216" t="str">
        <f t="shared" si="188"/>
        <v>110-7450</v>
      </c>
      <c r="Q2216" s="315" t="str">
        <f t="shared" si="189"/>
        <v>Admin &amp; Other</v>
      </c>
      <c r="R2216" s="315" t="str">
        <f t="shared" si="190"/>
        <v>Admin &amp; OtherData Processing as % of Total Gross Profit</v>
      </c>
      <c r="S2216" s="199"/>
      <c r="T2216" s="199"/>
      <c r="U2216" s="199"/>
    </row>
    <row r="2217" spans="1:21" x14ac:dyDescent="0.25">
      <c r="A2217" t="s">
        <v>996</v>
      </c>
      <c r="B2217" t="s">
        <v>997</v>
      </c>
      <c r="C2217" t="s">
        <v>997</v>
      </c>
      <c r="D2217">
        <v>7450</v>
      </c>
      <c r="E2217">
        <v>120</v>
      </c>
      <c r="F2217" t="s">
        <v>1383</v>
      </c>
      <c r="G2217" t="s">
        <v>1384</v>
      </c>
      <c r="H2217" s="315" t="s">
        <v>1000</v>
      </c>
      <c r="I2217" s="315" t="s">
        <v>1385</v>
      </c>
      <c r="J2217" s="315" t="str">
        <f t="shared" si="186"/>
        <v>Admin &amp; OtherData Processing as % of Total Gross Profit</v>
      </c>
      <c r="K2217" s="315" t="str">
        <f t="shared" si="187"/>
        <v>120Data Processing - Toyota</v>
      </c>
      <c r="L2217" s="311">
        <f>+SUMIF('TUNZ Extracted TB'!M:M,$P2217,'TUNZ Extracted TB'!G:G)</f>
        <v>0</v>
      </c>
      <c r="M2217" s="311"/>
      <c r="N2217" s="311">
        <f>+SUMIF('Input Sheet'!$AE:$AE,P2217,'Input Sheet'!$X:$X)</f>
        <v>0</v>
      </c>
      <c r="O2217" s="311"/>
      <c r="P2217" t="str">
        <f t="shared" si="188"/>
        <v>120-7450</v>
      </c>
      <c r="Q2217" s="315" t="str">
        <f t="shared" si="189"/>
        <v>Admin &amp; Other</v>
      </c>
      <c r="R2217" s="315" t="str">
        <f t="shared" si="190"/>
        <v>Admin &amp; OtherData Processing as % of Total Gross Profit</v>
      </c>
      <c r="S2217" s="199"/>
      <c r="T2217" s="199"/>
      <c r="U2217" s="199"/>
    </row>
    <row r="2218" spans="1:21" x14ac:dyDescent="0.25">
      <c r="A2218" t="s">
        <v>996</v>
      </c>
      <c r="B2218" t="s">
        <v>997</v>
      </c>
      <c r="C2218" t="s">
        <v>997</v>
      </c>
      <c r="D2218">
        <v>7450</v>
      </c>
      <c r="E2218">
        <v>121</v>
      </c>
      <c r="F2218" t="s">
        <v>1383</v>
      </c>
      <c r="G2218" t="s">
        <v>1384</v>
      </c>
      <c r="H2218" s="315" t="s">
        <v>1000</v>
      </c>
      <c r="I2218" s="315" t="s">
        <v>1385</v>
      </c>
      <c r="J2218" s="315" t="str">
        <f t="shared" si="186"/>
        <v>Admin &amp; OtherData Processing as % of Total Gross Profit</v>
      </c>
      <c r="K2218" s="315" t="str">
        <f t="shared" si="187"/>
        <v>121Data Processing - Toyota</v>
      </c>
      <c r="L2218" s="311">
        <f>+SUMIF('TUNZ Extracted TB'!M:M,$P2218,'TUNZ Extracted TB'!G:G)</f>
        <v>0</v>
      </c>
      <c r="M2218" s="311"/>
      <c r="N2218" s="311">
        <f>+SUMIF('Input Sheet'!$AE:$AE,P2218,'Input Sheet'!$X:$X)</f>
        <v>0</v>
      </c>
      <c r="O2218" s="311"/>
      <c r="P2218" t="str">
        <f t="shared" si="188"/>
        <v>121-7450</v>
      </c>
      <c r="Q2218" s="315" t="str">
        <f t="shared" si="189"/>
        <v>Admin &amp; Other</v>
      </c>
      <c r="R2218" s="315" t="str">
        <f t="shared" si="190"/>
        <v>Admin &amp; OtherData Processing as % of Total Gross Profit</v>
      </c>
      <c r="S2218" s="199"/>
      <c r="T2218" s="199"/>
      <c r="U2218" s="199"/>
    </row>
    <row r="2219" spans="1:21" x14ac:dyDescent="0.25">
      <c r="A2219" t="s">
        <v>996</v>
      </c>
      <c r="B2219" t="s">
        <v>997</v>
      </c>
      <c r="C2219" t="s">
        <v>997</v>
      </c>
      <c r="D2219">
        <v>7450</v>
      </c>
      <c r="E2219">
        <v>147</v>
      </c>
      <c r="F2219" t="s">
        <v>1383</v>
      </c>
      <c r="G2219" t="s">
        <v>1384</v>
      </c>
      <c r="H2219" s="315" t="s">
        <v>1000</v>
      </c>
      <c r="I2219" s="315" t="s">
        <v>1385</v>
      </c>
      <c r="J2219" s="315" t="str">
        <f t="shared" si="186"/>
        <v>Admin &amp; OtherData Processing as % of Total Gross Profit</v>
      </c>
      <c r="K2219" s="315" t="str">
        <f t="shared" si="187"/>
        <v>147Data Processing - Toyota</v>
      </c>
      <c r="L2219" s="311">
        <f>+SUMIF('TUNZ Extracted TB'!M:M,$P2219,'TUNZ Extracted TB'!G:G)</f>
        <v>0</v>
      </c>
      <c r="M2219" s="311"/>
      <c r="N2219" s="311">
        <f>+SUMIF('Input Sheet'!$AE:$AE,P2219,'Input Sheet'!$X:$X)</f>
        <v>0</v>
      </c>
      <c r="O2219" s="311"/>
      <c r="P2219" t="str">
        <f t="shared" si="188"/>
        <v>147-7450</v>
      </c>
      <c r="Q2219" s="315" t="str">
        <f t="shared" si="189"/>
        <v>Admin &amp; Other</v>
      </c>
      <c r="R2219" s="315" t="str">
        <f t="shared" si="190"/>
        <v>Admin &amp; OtherData Processing as % of Total Gross Profit</v>
      </c>
      <c r="S2219" s="199"/>
      <c r="T2219" s="199"/>
      <c r="U2219" s="199"/>
    </row>
    <row r="2220" spans="1:21" x14ac:dyDescent="0.25">
      <c r="A2220" t="s">
        <v>996</v>
      </c>
      <c r="B2220" t="s">
        <v>997</v>
      </c>
      <c r="C2220" t="s">
        <v>997</v>
      </c>
      <c r="D2220">
        <v>7450</v>
      </c>
      <c r="E2220">
        <v>160</v>
      </c>
      <c r="F2220" t="s">
        <v>1383</v>
      </c>
      <c r="G2220" t="s">
        <v>1384</v>
      </c>
      <c r="H2220" s="315" t="s">
        <v>1000</v>
      </c>
      <c r="I2220" s="315" t="s">
        <v>1385</v>
      </c>
      <c r="J2220" s="315" t="str">
        <f t="shared" si="186"/>
        <v>Admin &amp; OtherData Processing as % of Total Gross Profit</v>
      </c>
      <c r="K2220" s="315" t="str">
        <f t="shared" si="187"/>
        <v>160Data Processing - Toyota</v>
      </c>
      <c r="L2220" s="311">
        <f>+SUMIF('TUNZ Extracted TB'!M:M,$P2220,'TUNZ Extracted TB'!G:G)</f>
        <v>0</v>
      </c>
      <c r="M2220" s="311"/>
      <c r="N2220" s="311">
        <f>+SUMIF('Input Sheet'!$AE:$AE,P2220,'Input Sheet'!$X:$X)</f>
        <v>0</v>
      </c>
      <c r="O2220" s="311"/>
      <c r="P2220" t="str">
        <f t="shared" si="188"/>
        <v>160-7450</v>
      </c>
      <c r="Q2220" s="315" t="str">
        <f t="shared" si="189"/>
        <v>Admin &amp; Other</v>
      </c>
      <c r="R2220" s="315" t="str">
        <f t="shared" si="190"/>
        <v>Admin &amp; OtherData Processing as % of Total Gross Profit</v>
      </c>
      <c r="S2220" s="199"/>
      <c r="T2220" s="199"/>
      <c r="U2220" s="199"/>
    </row>
    <row r="2221" spans="1:21" x14ac:dyDescent="0.25">
      <c r="A2221" t="s">
        <v>996</v>
      </c>
      <c r="B2221" t="s">
        <v>997</v>
      </c>
      <c r="C2221" t="s">
        <v>997</v>
      </c>
      <c r="D2221">
        <v>7450</v>
      </c>
      <c r="E2221">
        <v>936</v>
      </c>
      <c r="F2221" t="s">
        <v>1175</v>
      </c>
      <c r="G2221" t="s">
        <v>1176</v>
      </c>
      <c r="H2221" s="315" t="s">
        <v>1023</v>
      </c>
      <c r="I2221" s="315" t="s">
        <v>1385</v>
      </c>
      <c r="J2221" s="315" t="str">
        <f t="shared" si="186"/>
        <v>LEX Admin &amp; OtherData Processing as % of Total Gross Profit</v>
      </c>
      <c r="K2221" s="315" t="str">
        <f t="shared" si="187"/>
        <v>936Other franchise/business expense</v>
      </c>
      <c r="L2221" s="311">
        <f>+SUMIF('TUNZ Extracted TB'!M:M,$P2221,'TUNZ Extracted TB'!G:G)</f>
        <v>0</v>
      </c>
      <c r="M2221" s="311"/>
      <c r="N2221" s="311">
        <f>+SUMIF('Input Sheet'!$AE:$AE,P2221,'Input Sheet'!$X:$X)</f>
        <v>0</v>
      </c>
      <c r="O2221" s="311"/>
      <c r="P2221" t="str">
        <f t="shared" si="188"/>
        <v>936-7450</v>
      </c>
      <c r="Q2221" s="315" t="str">
        <f t="shared" si="189"/>
        <v>LEX Admin &amp; Other</v>
      </c>
      <c r="R2221" s="315" t="str">
        <f t="shared" si="190"/>
        <v>LEX Admin &amp; OtherData Processing as % of Total Gross Profit</v>
      </c>
      <c r="S2221" s="199"/>
      <c r="T2221" s="199"/>
      <c r="U2221" s="199"/>
    </row>
    <row r="2222" spans="1:21" x14ac:dyDescent="0.25">
      <c r="A2222" t="s">
        <v>996</v>
      </c>
      <c r="B2222" t="s">
        <v>997</v>
      </c>
      <c r="C2222" t="s">
        <v>997</v>
      </c>
      <c r="D2222">
        <v>7450</v>
      </c>
      <c r="E2222">
        <v>935</v>
      </c>
      <c r="F2222" t="s">
        <v>1175</v>
      </c>
      <c r="G2222" t="s">
        <v>1176</v>
      </c>
      <c r="H2222" s="315" t="s">
        <v>1023</v>
      </c>
      <c r="I2222" s="315" t="s">
        <v>1385</v>
      </c>
      <c r="J2222" s="315" t="str">
        <f t="shared" si="186"/>
        <v>LEX Admin &amp; OtherData Processing as % of Total Gross Profit</v>
      </c>
      <c r="K2222" s="315" t="str">
        <f t="shared" si="187"/>
        <v>935Other franchise/business expense</v>
      </c>
      <c r="L2222" s="311">
        <f>+SUMIF('TUNZ Extracted TB'!M:M,$P2222,'TUNZ Extracted TB'!G:G)</f>
        <v>0</v>
      </c>
      <c r="M2222" s="311"/>
      <c r="N2222" s="311">
        <f>+SUMIF('Input Sheet'!$AE:$AE,P2222,'Input Sheet'!$X:$X)</f>
        <v>0</v>
      </c>
      <c r="O2222" s="311"/>
      <c r="P2222" t="str">
        <f t="shared" si="188"/>
        <v>935-7450</v>
      </c>
      <c r="Q2222" s="315" t="str">
        <f t="shared" si="189"/>
        <v>LEX Admin &amp; Other</v>
      </c>
      <c r="R2222" s="315" t="str">
        <f t="shared" si="190"/>
        <v>LEX Admin &amp; OtherData Processing as % of Total Gross Profit</v>
      </c>
      <c r="S2222" s="199"/>
      <c r="T2222" s="199"/>
      <c r="U2222" s="199"/>
    </row>
    <row r="2223" spans="1:21" x14ac:dyDescent="0.25">
      <c r="A2223" t="s">
        <v>996</v>
      </c>
      <c r="B2223" t="s">
        <v>997</v>
      </c>
      <c r="C2223" t="s">
        <v>997</v>
      </c>
      <c r="D2223">
        <v>7451</v>
      </c>
      <c r="E2223">
        <v>140</v>
      </c>
      <c r="F2223" t="s">
        <v>1170</v>
      </c>
      <c r="G2223" t="s">
        <v>1171</v>
      </c>
      <c r="H2223" s="315" t="s">
        <v>17</v>
      </c>
      <c r="I2223" s="315" t="s">
        <v>1172</v>
      </c>
      <c r="J2223" s="315" t="str">
        <f t="shared" si="186"/>
        <v>ServiceRetail Gross Profit % of  Sales</v>
      </c>
      <c r="K2223" s="315" t="str">
        <f t="shared" si="187"/>
        <v>140Service Retail labour COS - Toyota</v>
      </c>
      <c r="L2223" s="311">
        <f>+SUMIF('TUNZ Extracted TB'!M:M,$P2223,'TUNZ Extracted TB'!G:G)</f>
        <v>0</v>
      </c>
      <c r="M2223" s="311"/>
      <c r="N2223" s="311">
        <f>+SUMIF('Input Sheet'!$AE:$AE,P2223,'Input Sheet'!$X:$X)</f>
        <v>0</v>
      </c>
      <c r="O2223" s="311"/>
      <c r="P2223" t="str">
        <f t="shared" si="188"/>
        <v>140-7451</v>
      </c>
      <c r="Q2223" s="315" t="str">
        <f t="shared" si="189"/>
        <v>Service</v>
      </c>
      <c r="R2223" s="315" t="str">
        <f t="shared" si="190"/>
        <v>ServiceRetail Gross Profit % of  Sales</v>
      </c>
      <c r="S2223" s="199"/>
      <c r="T2223" s="199"/>
      <c r="U2223" s="199"/>
    </row>
    <row r="2224" spans="1:21" x14ac:dyDescent="0.25">
      <c r="A2224" t="s">
        <v>996</v>
      </c>
      <c r="B2224" t="s">
        <v>997</v>
      </c>
      <c r="C2224" t="s">
        <v>997</v>
      </c>
      <c r="D2224">
        <v>7451</v>
      </c>
      <c r="E2224">
        <v>170</v>
      </c>
      <c r="F2224" t="s">
        <v>1098</v>
      </c>
      <c r="G2224" t="s">
        <v>1099</v>
      </c>
      <c r="H2224" s="315" t="s">
        <v>1000</v>
      </c>
      <c r="I2224" s="315" t="s">
        <v>1001</v>
      </c>
      <c r="J2224" s="315" t="str">
        <f t="shared" si="186"/>
        <v>Admin &amp; OtherOther Overheads as % of Total Gross Profit</v>
      </c>
      <c r="K2224" s="315" t="str">
        <f t="shared" si="187"/>
        <v>170Other Income - Toyota</v>
      </c>
      <c r="L2224" s="311">
        <f>+SUMIF('TUNZ Extracted TB'!M:M,$P2224,'TUNZ Extracted TB'!G:G)</f>
        <v>0</v>
      </c>
      <c r="M2224" s="311"/>
      <c r="N2224" s="311">
        <f>+SUMIF('Input Sheet'!$AE:$AE,P2224,'Input Sheet'!$X:$X)</f>
        <v>0</v>
      </c>
      <c r="O2224" s="311"/>
      <c r="P2224" t="str">
        <f t="shared" si="188"/>
        <v>170-7451</v>
      </c>
      <c r="Q2224" s="315" t="str">
        <f t="shared" si="189"/>
        <v>Admin &amp; Other</v>
      </c>
      <c r="R2224" s="315" t="str">
        <f t="shared" si="190"/>
        <v>Admin &amp; OtherOther Overheads as % of Total Gross Profit</v>
      </c>
      <c r="S2224" s="199"/>
      <c r="T2224" s="199"/>
      <c r="U2224" s="199"/>
    </row>
    <row r="2225" spans="1:21" x14ac:dyDescent="0.25">
      <c r="A2225" t="s">
        <v>996</v>
      </c>
      <c r="B2225" t="s">
        <v>997</v>
      </c>
      <c r="C2225" t="s">
        <v>997</v>
      </c>
      <c r="D2225">
        <v>7451</v>
      </c>
      <c r="E2225">
        <v>147</v>
      </c>
      <c r="F2225" t="s">
        <v>1170</v>
      </c>
      <c r="G2225" t="s">
        <v>1171</v>
      </c>
      <c r="H2225" s="315" t="s">
        <v>17</v>
      </c>
      <c r="I2225" s="315" t="s">
        <v>1172</v>
      </c>
      <c r="J2225" s="315" t="str">
        <f t="shared" ref="J2225" si="191">+H2225&amp;I2225</f>
        <v>ServiceRetail Gross Profit % of  Sales</v>
      </c>
      <c r="K2225" s="315" t="str">
        <f t="shared" ref="K2225" si="192">+E2225&amp;G2225</f>
        <v>147Service Retail labour COS - Toyota</v>
      </c>
      <c r="L2225" s="311">
        <f>+SUMIF('TUNZ Extracted TB'!M:M,$P2225,'TUNZ Extracted TB'!G:G)</f>
        <v>0</v>
      </c>
      <c r="M2225" s="311"/>
      <c r="N2225" s="311">
        <f>+SUMIF('Input Sheet'!$AE:$AE,P2225,'Input Sheet'!$X:$X)</f>
        <v>0</v>
      </c>
      <c r="O2225" s="311"/>
      <c r="P2225" t="str">
        <f t="shared" ref="P2225" si="193">+E2225&amp;"-"&amp;D2225</f>
        <v>147-7451</v>
      </c>
      <c r="Q2225" s="315" t="str">
        <f t="shared" ref="Q2225" si="194">H2225</f>
        <v>Service</v>
      </c>
      <c r="R2225" s="315" t="str">
        <f t="shared" ref="R2225" si="195">J2225</f>
        <v>ServiceRetail Gross Profit % of  Sales</v>
      </c>
      <c r="S2225" s="199"/>
      <c r="T2225" s="199"/>
      <c r="U2225" s="199"/>
    </row>
    <row r="2226" spans="1:21" x14ac:dyDescent="0.25">
      <c r="A2226" t="s">
        <v>996</v>
      </c>
      <c r="B2226" t="s">
        <v>997</v>
      </c>
      <c r="C2226" t="s">
        <v>997</v>
      </c>
      <c r="D2226">
        <v>7452</v>
      </c>
      <c r="E2226">
        <v>120</v>
      </c>
      <c r="F2226" t="s">
        <v>1388</v>
      </c>
      <c r="G2226" t="s">
        <v>1389</v>
      </c>
      <c r="H2226" s="315" t="s">
        <v>1000</v>
      </c>
      <c r="I2226" s="315" t="s">
        <v>1390</v>
      </c>
      <c r="J2226" s="315" t="str">
        <f t="shared" si="186"/>
        <v>Admin &amp; OtherProfessional Fees as % of Total Gross Profit</v>
      </c>
      <c r="K2226" s="315" t="str">
        <f t="shared" si="187"/>
        <v>120Professional Fees - Toyota</v>
      </c>
      <c r="L2226" s="311">
        <f>+SUMIF('TUNZ Extracted TB'!M:M,$P2226,'TUNZ Extracted TB'!G:G)</f>
        <v>958.13</v>
      </c>
      <c r="M2226" s="311"/>
      <c r="N2226" s="311">
        <f>+SUMIF('Input Sheet'!$AE:$AE,P2226,'Input Sheet'!$X:$X)</f>
        <v>0</v>
      </c>
      <c r="O2226" s="311"/>
      <c r="P2226" t="str">
        <f t="shared" si="188"/>
        <v>120-7452</v>
      </c>
      <c r="Q2226" s="315" t="str">
        <f t="shared" si="189"/>
        <v>Admin &amp; Other</v>
      </c>
      <c r="R2226" s="315" t="str">
        <f t="shared" si="190"/>
        <v>Admin &amp; OtherProfessional Fees as % of Total Gross Profit</v>
      </c>
      <c r="S2226" s="199"/>
      <c r="T2226" s="199"/>
      <c r="U2226" s="199"/>
    </row>
    <row r="2227" spans="1:21" x14ac:dyDescent="0.25">
      <c r="A2227" s="316">
        <v>44866</v>
      </c>
      <c r="B2227" t="s">
        <v>997</v>
      </c>
      <c r="C2227" t="s">
        <v>997</v>
      </c>
      <c r="D2227">
        <v>7452</v>
      </c>
      <c r="E2227">
        <v>190</v>
      </c>
      <c r="G2227" t="s">
        <v>132</v>
      </c>
      <c r="H2227" s="315" t="s">
        <v>1000</v>
      </c>
      <c r="I2227" s="315" t="s">
        <v>1390</v>
      </c>
      <c r="J2227" s="315" t="str">
        <f t="shared" si="186"/>
        <v>Admin &amp; OtherProfessional Fees as % of Total Gross Profit</v>
      </c>
      <c r="K2227" s="315" t="str">
        <f t="shared" si="187"/>
        <v>190Consultancy Fees</v>
      </c>
      <c r="L2227" s="311">
        <f>+SUMIF('TUNZ Extracted TB'!M:M,$P2227,'TUNZ Extracted TB'!G:G)</f>
        <v>0</v>
      </c>
      <c r="M2227" s="311"/>
      <c r="N2227" s="311">
        <f>+SUMIF('Input Sheet'!$AE:$AE,P2227,'Input Sheet'!$X:$X)</f>
        <v>0</v>
      </c>
      <c r="O2227" s="311"/>
      <c r="P2227" t="str">
        <f t="shared" si="188"/>
        <v>190-7452</v>
      </c>
      <c r="Q2227" s="315" t="str">
        <f t="shared" si="189"/>
        <v>Admin &amp; Other</v>
      </c>
      <c r="R2227" s="315" t="str">
        <f t="shared" si="190"/>
        <v>Admin &amp; OtherProfessional Fees as % of Total Gross Profit</v>
      </c>
      <c r="S2227" s="199"/>
      <c r="T2227" s="199"/>
      <c r="U2227" s="199"/>
    </row>
    <row r="2228" spans="1:21" x14ac:dyDescent="0.25">
      <c r="A2228" t="s">
        <v>996</v>
      </c>
      <c r="B2228" t="s">
        <v>997</v>
      </c>
      <c r="C2228" t="s">
        <v>1005</v>
      </c>
      <c r="D2228">
        <v>7452</v>
      </c>
      <c r="E2228">
        <v>230</v>
      </c>
      <c r="F2228" t="s">
        <v>1388</v>
      </c>
      <c r="G2228" t="s">
        <v>1389</v>
      </c>
      <c r="H2228" s="315" t="s">
        <v>1000</v>
      </c>
      <c r="I2228" s="315" t="s">
        <v>1390</v>
      </c>
      <c r="J2228" s="315" t="str">
        <f t="shared" si="186"/>
        <v>Admin &amp; OtherProfessional Fees as % of Total Gross Profit</v>
      </c>
      <c r="K2228" s="315" t="str">
        <f t="shared" si="187"/>
        <v>230Professional Fees - Toyota</v>
      </c>
      <c r="L2228" s="311">
        <f>+SUMIF('TUNZ Extracted TB'!M:M,$P2228,'TUNZ Extracted TB'!G:G)</f>
        <v>359.3</v>
      </c>
      <c r="M2228" s="311"/>
      <c r="N2228" s="311">
        <f>+SUMIF('Input Sheet'!$AE:$AE,P2228,'Input Sheet'!$X:$X)</f>
        <v>0</v>
      </c>
      <c r="O2228" s="311"/>
      <c r="P2228" t="str">
        <f t="shared" si="188"/>
        <v>230-7452</v>
      </c>
      <c r="Q2228" s="315" t="str">
        <f t="shared" si="189"/>
        <v>Admin &amp; Other</v>
      </c>
      <c r="R2228" s="315" t="str">
        <f t="shared" si="190"/>
        <v>Admin &amp; OtherProfessional Fees as % of Total Gross Profit</v>
      </c>
      <c r="S2228" s="199"/>
      <c r="T2228" s="199"/>
      <c r="U2228" s="199"/>
    </row>
    <row r="2229" spans="1:21" x14ac:dyDescent="0.25">
      <c r="A2229" t="s">
        <v>996</v>
      </c>
      <c r="B2229" t="s">
        <v>997</v>
      </c>
      <c r="C2229" t="s">
        <v>1005</v>
      </c>
      <c r="D2229">
        <v>7452</v>
      </c>
      <c r="E2229">
        <v>210</v>
      </c>
      <c r="F2229" t="s">
        <v>1388</v>
      </c>
      <c r="G2229" t="s">
        <v>1389</v>
      </c>
      <c r="H2229" s="315" t="s">
        <v>1000</v>
      </c>
      <c r="I2229" s="315" t="s">
        <v>1390</v>
      </c>
      <c r="J2229" s="315" t="str">
        <f t="shared" si="186"/>
        <v>Admin &amp; OtherProfessional Fees as % of Total Gross Profit</v>
      </c>
      <c r="K2229" s="315" t="str">
        <f t="shared" si="187"/>
        <v>210Professional Fees - Toyota</v>
      </c>
      <c r="L2229" s="311">
        <f>+SUMIF('TUNZ Extracted TB'!M:M,$P2229,'TUNZ Extracted TB'!G:G)</f>
        <v>355.05</v>
      </c>
      <c r="M2229" s="311"/>
      <c r="N2229" s="311">
        <f>+SUMIF('Input Sheet'!$AE:$AE,P2229,'Input Sheet'!$X:$X)</f>
        <v>0</v>
      </c>
      <c r="O2229" s="311"/>
      <c r="P2229" t="str">
        <f t="shared" si="188"/>
        <v>210-7452</v>
      </c>
      <c r="Q2229" s="315" t="str">
        <f t="shared" si="189"/>
        <v>Admin &amp; Other</v>
      </c>
      <c r="R2229" s="315" t="str">
        <f t="shared" si="190"/>
        <v>Admin &amp; OtherProfessional Fees as % of Total Gross Profit</v>
      </c>
      <c r="S2229" s="199"/>
      <c r="T2229" s="199"/>
      <c r="U2229" s="199"/>
    </row>
    <row r="2230" spans="1:21" x14ac:dyDescent="0.25">
      <c r="A2230" t="s">
        <v>996</v>
      </c>
      <c r="B2230" t="s">
        <v>997</v>
      </c>
      <c r="C2230" t="s">
        <v>997</v>
      </c>
      <c r="D2230">
        <v>7452</v>
      </c>
      <c r="E2230">
        <v>160</v>
      </c>
      <c r="F2230" t="s">
        <v>1388</v>
      </c>
      <c r="G2230" t="s">
        <v>1389</v>
      </c>
      <c r="H2230" s="315" t="s">
        <v>1000</v>
      </c>
      <c r="I2230" s="315" t="s">
        <v>1390</v>
      </c>
      <c r="J2230" s="315" t="str">
        <f t="shared" si="186"/>
        <v>Admin &amp; OtherProfessional Fees as % of Total Gross Profit</v>
      </c>
      <c r="K2230" s="315" t="str">
        <f t="shared" si="187"/>
        <v>160Professional Fees - Toyota</v>
      </c>
      <c r="L2230" s="311">
        <f>+SUMIF('TUNZ Extracted TB'!M:M,$P2230,'TUNZ Extracted TB'!G:G)</f>
        <v>319.38</v>
      </c>
      <c r="M2230" s="311"/>
      <c r="N2230" s="311">
        <f>+SUMIF('Input Sheet'!$AE:$AE,P2230,'Input Sheet'!$X:$X)</f>
        <v>0</v>
      </c>
      <c r="O2230" s="311"/>
      <c r="P2230" t="str">
        <f t="shared" si="188"/>
        <v>160-7452</v>
      </c>
      <c r="Q2230" s="315" t="str">
        <f t="shared" si="189"/>
        <v>Admin &amp; Other</v>
      </c>
      <c r="R2230" s="315" t="str">
        <f t="shared" si="190"/>
        <v>Admin &amp; OtherProfessional Fees as % of Total Gross Profit</v>
      </c>
      <c r="S2230" s="199"/>
      <c r="T2230" s="199"/>
      <c r="U2230" s="199"/>
    </row>
    <row r="2231" spans="1:21" x14ac:dyDescent="0.25">
      <c r="A2231" t="s">
        <v>996</v>
      </c>
      <c r="B2231" t="s">
        <v>997</v>
      </c>
      <c r="C2231" t="s">
        <v>1005</v>
      </c>
      <c r="D2231">
        <v>7452</v>
      </c>
      <c r="E2231">
        <v>240</v>
      </c>
      <c r="F2231" t="s">
        <v>1170</v>
      </c>
      <c r="G2231" t="s">
        <v>1171</v>
      </c>
      <c r="H2231" s="315" t="s">
        <v>1000</v>
      </c>
      <c r="I2231" s="315" t="s">
        <v>1390</v>
      </c>
      <c r="J2231" s="315" t="str">
        <f t="shared" si="186"/>
        <v>Admin &amp; OtherProfessional Fees as % of Total Gross Profit</v>
      </c>
      <c r="K2231" s="315" t="str">
        <f t="shared" si="187"/>
        <v>240Service Retail labour COS - Toyota</v>
      </c>
      <c r="L2231" s="311">
        <f>+SUMIF('TUNZ Extracted TB'!M:M,$P2231,'TUNZ Extracted TB'!G:G)</f>
        <v>283.70999999999998</v>
      </c>
      <c r="M2231" s="311"/>
      <c r="N2231" s="311">
        <f>+SUMIF('Input Sheet'!$AE:$AE,P2231,'Input Sheet'!$X:$X)</f>
        <v>0</v>
      </c>
      <c r="O2231" s="311"/>
      <c r="P2231" t="str">
        <f t="shared" si="188"/>
        <v>240-7452</v>
      </c>
      <c r="Q2231" s="315" t="str">
        <f t="shared" si="189"/>
        <v>Admin &amp; Other</v>
      </c>
      <c r="R2231" s="315" t="str">
        <f t="shared" si="190"/>
        <v>Admin &amp; OtherProfessional Fees as % of Total Gross Profit</v>
      </c>
      <c r="S2231" s="199"/>
      <c r="T2231" s="199"/>
      <c r="U2231" s="199"/>
    </row>
    <row r="2232" spans="1:21" x14ac:dyDescent="0.25">
      <c r="A2232" t="s">
        <v>996</v>
      </c>
      <c r="B2232" t="s">
        <v>997</v>
      </c>
      <c r="C2232" t="s">
        <v>1005</v>
      </c>
      <c r="D2232">
        <v>7452</v>
      </c>
      <c r="E2232">
        <v>220</v>
      </c>
      <c r="F2232" t="s">
        <v>1388</v>
      </c>
      <c r="G2232" t="s">
        <v>1389</v>
      </c>
      <c r="H2232" s="315" t="s">
        <v>1000</v>
      </c>
      <c r="I2232" s="315" t="s">
        <v>1390</v>
      </c>
      <c r="J2232" s="315" t="str">
        <f t="shared" si="186"/>
        <v>Admin &amp; OtherProfessional Fees as % of Total Gross Profit</v>
      </c>
      <c r="K2232" s="315" t="str">
        <f t="shared" si="187"/>
        <v>220Professional Fees - Toyota</v>
      </c>
      <c r="L2232" s="311">
        <f>+SUMIF('TUNZ Extracted TB'!M:M,$P2232,'TUNZ Extracted TB'!G:G)</f>
        <v>212.92</v>
      </c>
      <c r="M2232" s="311"/>
      <c r="N2232" s="311">
        <f>+SUMIF('Input Sheet'!$AE:$AE,P2232,'Input Sheet'!$X:$X)</f>
        <v>0</v>
      </c>
      <c r="O2232" s="311"/>
      <c r="P2232" t="str">
        <f t="shared" si="188"/>
        <v>220-7452</v>
      </c>
      <c r="Q2232" s="315" t="str">
        <f t="shared" si="189"/>
        <v>Admin &amp; Other</v>
      </c>
      <c r="R2232" s="315" t="str">
        <f t="shared" si="190"/>
        <v>Admin &amp; OtherProfessional Fees as % of Total Gross Profit</v>
      </c>
      <c r="S2232" s="199"/>
      <c r="T2232" s="199"/>
      <c r="U2232" s="199"/>
    </row>
    <row r="2233" spans="1:21" x14ac:dyDescent="0.25">
      <c r="A2233" t="s">
        <v>996</v>
      </c>
      <c r="B2233" t="s">
        <v>997</v>
      </c>
      <c r="C2233" t="s">
        <v>1013</v>
      </c>
      <c r="D2233">
        <v>7452</v>
      </c>
      <c r="E2233">
        <v>340</v>
      </c>
      <c r="F2233" t="s">
        <v>1170</v>
      </c>
      <c r="G2233" t="s">
        <v>1171</v>
      </c>
      <c r="H2233" s="315" t="s">
        <v>1000</v>
      </c>
      <c r="I2233" s="315" t="s">
        <v>1390</v>
      </c>
      <c r="J2233" s="315" t="str">
        <f t="shared" si="186"/>
        <v>Admin &amp; OtherProfessional Fees as % of Total Gross Profit</v>
      </c>
      <c r="K2233" s="315" t="str">
        <f t="shared" si="187"/>
        <v>340Service Retail labour COS - Toyota</v>
      </c>
      <c r="L2233" s="311">
        <f>+SUMIF('TUNZ Extracted TB'!M:M,$P2233,'TUNZ Extracted TB'!G:G)</f>
        <v>144.79</v>
      </c>
      <c r="M2233" s="311"/>
      <c r="N2233" s="311">
        <f>+SUMIF('Input Sheet'!$AE:$AE,P2233,'Input Sheet'!$X:$X)</f>
        <v>0</v>
      </c>
      <c r="O2233" s="311"/>
      <c r="P2233" t="str">
        <f t="shared" si="188"/>
        <v>340-7452</v>
      </c>
      <c r="Q2233" s="315" t="str">
        <f t="shared" si="189"/>
        <v>Admin &amp; Other</v>
      </c>
      <c r="R2233" s="315" t="str">
        <f t="shared" si="190"/>
        <v>Admin &amp; OtherProfessional Fees as % of Total Gross Profit</v>
      </c>
      <c r="S2233" s="199"/>
      <c r="T2233" s="199"/>
      <c r="U2233" s="199"/>
    </row>
    <row r="2234" spans="1:21" x14ac:dyDescent="0.25">
      <c r="A2234" t="s">
        <v>996</v>
      </c>
      <c r="B2234" t="s">
        <v>997</v>
      </c>
      <c r="C2234" t="s">
        <v>997</v>
      </c>
      <c r="D2234">
        <v>7452</v>
      </c>
      <c r="E2234">
        <v>936</v>
      </c>
      <c r="F2234" t="s">
        <v>1175</v>
      </c>
      <c r="G2234" t="s">
        <v>1176</v>
      </c>
      <c r="H2234" s="315" t="s">
        <v>1023</v>
      </c>
      <c r="I2234" s="315" t="s">
        <v>1390</v>
      </c>
      <c r="J2234" s="315" t="str">
        <f t="shared" si="186"/>
        <v>LEX Admin &amp; OtherProfessional Fees as % of Total Gross Profit</v>
      </c>
      <c r="K2234" s="315" t="str">
        <f t="shared" si="187"/>
        <v>936Other franchise/business expense</v>
      </c>
      <c r="L2234" s="311">
        <f>+SUMIF('TUNZ Extracted TB'!M:M,$P2234,'TUNZ Extracted TB'!G:G)</f>
        <v>133.08000000000001</v>
      </c>
      <c r="M2234" s="311"/>
      <c r="N2234" s="311">
        <f>+SUMIF('Input Sheet'!$AE:$AE,P2234,'Input Sheet'!$X:$X)</f>
        <v>0</v>
      </c>
      <c r="O2234" s="311"/>
      <c r="P2234" t="str">
        <f t="shared" si="188"/>
        <v>936-7452</v>
      </c>
      <c r="Q2234" s="315" t="str">
        <f t="shared" si="189"/>
        <v>LEX Admin &amp; Other</v>
      </c>
      <c r="R2234" s="315" t="str">
        <f t="shared" si="190"/>
        <v>LEX Admin &amp; OtherProfessional Fees as % of Total Gross Profit</v>
      </c>
      <c r="S2234" s="199"/>
      <c r="T2234" s="199"/>
      <c r="U2234" s="199"/>
    </row>
    <row r="2235" spans="1:21" x14ac:dyDescent="0.25">
      <c r="A2235" t="s">
        <v>996</v>
      </c>
      <c r="B2235" t="s">
        <v>997</v>
      </c>
      <c r="C2235" t="s">
        <v>997</v>
      </c>
      <c r="D2235">
        <v>7452</v>
      </c>
      <c r="E2235">
        <v>935</v>
      </c>
      <c r="F2235" t="s">
        <v>1175</v>
      </c>
      <c r="G2235" t="s">
        <v>1176</v>
      </c>
      <c r="H2235" s="315" t="s">
        <v>1023</v>
      </c>
      <c r="I2235" s="315" t="s">
        <v>1390</v>
      </c>
      <c r="J2235" s="315" t="str">
        <f t="shared" si="186"/>
        <v>LEX Admin &amp; OtherProfessional Fees as % of Total Gross Profit</v>
      </c>
      <c r="K2235" s="315" t="str">
        <f t="shared" si="187"/>
        <v>935Other franchise/business expense</v>
      </c>
      <c r="L2235" s="311">
        <f>+SUMIF('TUNZ Extracted TB'!M:M,$P2235,'TUNZ Extracted TB'!G:G)</f>
        <v>133.08000000000001</v>
      </c>
      <c r="M2235" s="311"/>
      <c r="N2235" s="311">
        <f>+SUMIF('Input Sheet'!$AE:$AE,P2235,'Input Sheet'!$X:$X)</f>
        <v>0</v>
      </c>
      <c r="O2235" s="311"/>
      <c r="P2235" t="str">
        <f t="shared" si="188"/>
        <v>935-7452</v>
      </c>
      <c r="Q2235" s="315" t="str">
        <f t="shared" si="189"/>
        <v>LEX Admin &amp; Other</v>
      </c>
      <c r="R2235" s="315" t="str">
        <f t="shared" si="190"/>
        <v>LEX Admin &amp; OtherProfessional Fees as % of Total Gross Profit</v>
      </c>
      <c r="S2235" s="199"/>
      <c r="T2235" s="199"/>
      <c r="U2235" s="199"/>
    </row>
    <row r="2236" spans="1:21" x14ac:dyDescent="0.25">
      <c r="A2236" t="s">
        <v>996</v>
      </c>
      <c r="B2236" t="s">
        <v>997</v>
      </c>
      <c r="C2236" t="s">
        <v>997</v>
      </c>
      <c r="D2236">
        <v>7452</v>
      </c>
      <c r="E2236">
        <v>140</v>
      </c>
      <c r="F2236" t="s">
        <v>1170</v>
      </c>
      <c r="G2236" t="s">
        <v>1171</v>
      </c>
      <c r="H2236" s="315" t="s">
        <v>1000</v>
      </c>
      <c r="I2236" s="315" t="s">
        <v>1390</v>
      </c>
      <c r="J2236" s="315" t="str">
        <f t="shared" si="186"/>
        <v>Admin &amp; OtherProfessional Fees as % of Total Gross Profit</v>
      </c>
      <c r="K2236" s="315" t="str">
        <f t="shared" si="187"/>
        <v>140Service Retail labour COS - Toyota</v>
      </c>
      <c r="L2236" s="311">
        <f>+SUMIF('TUNZ Extracted TB'!M:M,$P2236,'TUNZ Extracted TB'!G:G)</f>
        <v>638.76</v>
      </c>
      <c r="M2236" s="311"/>
      <c r="N2236" s="311">
        <f>+SUMIF('Input Sheet'!$AE:$AE,P2236,'Input Sheet'!$X:$X)</f>
        <v>0</v>
      </c>
      <c r="O2236" s="311"/>
      <c r="P2236" t="str">
        <f t="shared" si="188"/>
        <v>140-7452</v>
      </c>
      <c r="Q2236" s="315" t="str">
        <f t="shared" si="189"/>
        <v>Admin &amp; Other</v>
      </c>
      <c r="R2236" s="315" t="str">
        <f t="shared" si="190"/>
        <v>Admin &amp; OtherProfessional Fees as % of Total Gross Profit</v>
      </c>
      <c r="S2236" s="199"/>
      <c r="T2236" s="199"/>
      <c r="U2236" s="199"/>
    </row>
    <row r="2237" spans="1:21" x14ac:dyDescent="0.25">
      <c r="A2237" t="s">
        <v>996</v>
      </c>
      <c r="B2237" t="s">
        <v>997</v>
      </c>
      <c r="C2237" t="s">
        <v>997</v>
      </c>
      <c r="D2237">
        <v>7452</v>
      </c>
      <c r="E2237">
        <v>142</v>
      </c>
      <c r="F2237" t="s">
        <v>1173</v>
      </c>
      <c r="G2237" t="s">
        <v>1174</v>
      </c>
      <c r="H2237" s="315" t="s">
        <v>1023</v>
      </c>
      <c r="I2237" s="315" t="s">
        <v>1390</v>
      </c>
      <c r="J2237" s="315" t="str">
        <f t="shared" si="186"/>
        <v>LEX Admin &amp; OtherProfessional Fees as % of Total Gross Profit</v>
      </c>
      <c r="K2237" s="315" t="str">
        <f t="shared" si="187"/>
        <v>142Service Retail labour COS - Lexus</v>
      </c>
      <c r="L2237" s="311">
        <f>+SUMIF('TUNZ Extracted TB'!M:M,$P2237,'TUNZ Extracted TB'!G:G)</f>
        <v>0</v>
      </c>
      <c r="M2237" s="311"/>
      <c r="N2237" s="311">
        <f>+SUMIF('Input Sheet'!$AE:$AE,P2237,'Input Sheet'!$X:$X)</f>
        <v>0</v>
      </c>
      <c r="O2237" s="311"/>
      <c r="P2237" t="str">
        <f t="shared" si="188"/>
        <v>142-7452</v>
      </c>
      <c r="Q2237" s="315" t="str">
        <f t="shared" si="189"/>
        <v>LEX Admin &amp; Other</v>
      </c>
      <c r="R2237" s="315" t="str">
        <f t="shared" si="190"/>
        <v>LEX Admin &amp; OtherProfessional Fees as % of Total Gross Profit</v>
      </c>
      <c r="S2237" s="199"/>
      <c r="T2237" s="199"/>
      <c r="U2237" s="199"/>
    </row>
    <row r="2238" spans="1:21" x14ac:dyDescent="0.25">
      <c r="A2238" t="s">
        <v>996</v>
      </c>
      <c r="B2238" t="s">
        <v>997</v>
      </c>
      <c r="C2238" t="s">
        <v>997</v>
      </c>
      <c r="D2238">
        <v>7452</v>
      </c>
      <c r="E2238">
        <v>130</v>
      </c>
      <c r="F2238" t="s">
        <v>1388</v>
      </c>
      <c r="G2238" t="s">
        <v>1389</v>
      </c>
      <c r="H2238" s="315" t="s">
        <v>1000</v>
      </c>
      <c r="I2238" s="315" t="s">
        <v>1390</v>
      </c>
      <c r="J2238" s="315" t="str">
        <f t="shared" si="186"/>
        <v>Admin &amp; OtherProfessional Fees as % of Total Gross Profit</v>
      </c>
      <c r="K2238" s="315" t="str">
        <f t="shared" si="187"/>
        <v>130Professional Fees - Toyota</v>
      </c>
      <c r="L2238" s="311">
        <f>+SUMIF('TUNZ Extracted TB'!M:M,$P2238,'TUNZ Extracted TB'!G:G)</f>
        <v>542.94000000000005</v>
      </c>
      <c r="M2238" s="311"/>
      <c r="N2238" s="311">
        <f>+SUMIF('Input Sheet'!$AE:$AE,P2238,'Input Sheet'!$X:$X)</f>
        <v>0</v>
      </c>
      <c r="O2238" s="311"/>
      <c r="P2238" t="str">
        <f t="shared" si="188"/>
        <v>130-7452</v>
      </c>
      <c r="Q2238" s="315" t="str">
        <f t="shared" si="189"/>
        <v>Admin &amp; Other</v>
      </c>
      <c r="R2238" s="315" t="str">
        <f t="shared" si="190"/>
        <v>Admin &amp; OtherProfessional Fees as % of Total Gross Profit</v>
      </c>
      <c r="S2238" s="199"/>
      <c r="T2238" s="199"/>
      <c r="U2238" s="199"/>
    </row>
    <row r="2239" spans="1:21" x14ac:dyDescent="0.25">
      <c r="A2239" t="s">
        <v>996</v>
      </c>
      <c r="B2239" t="s">
        <v>997</v>
      </c>
      <c r="C2239" t="s">
        <v>997</v>
      </c>
      <c r="D2239">
        <v>7452</v>
      </c>
      <c r="E2239">
        <v>132</v>
      </c>
      <c r="F2239" t="s">
        <v>1218</v>
      </c>
      <c r="G2239" t="s">
        <v>1219</v>
      </c>
      <c r="H2239" s="315" t="s">
        <v>1023</v>
      </c>
      <c r="I2239" s="315" t="s">
        <v>1390</v>
      </c>
      <c r="J2239" s="315" t="str">
        <f t="shared" si="186"/>
        <v>LEX Admin &amp; OtherProfessional Fees as % of Total Gross Profit</v>
      </c>
      <c r="K2239" s="315" t="str">
        <f t="shared" si="187"/>
        <v>132Parts Workshop Retail COS - Lexus</v>
      </c>
      <c r="L2239" s="311">
        <f>+SUMIF('TUNZ Extracted TB'!M:M,$P2239,'TUNZ Extracted TB'!G:G)</f>
        <v>0</v>
      </c>
      <c r="M2239" s="311"/>
      <c r="N2239" s="311">
        <f>+SUMIF('Input Sheet'!$AE:$AE,P2239,'Input Sheet'!$X:$X)</f>
        <v>0</v>
      </c>
      <c r="O2239" s="311"/>
      <c r="P2239" t="str">
        <f t="shared" si="188"/>
        <v>132-7452</v>
      </c>
      <c r="Q2239" s="315" t="str">
        <f t="shared" si="189"/>
        <v>LEX Admin &amp; Other</v>
      </c>
      <c r="R2239" s="315" t="str">
        <f t="shared" si="190"/>
        <v>LEX Admin &amp; OtherProfessional Fees as % of Total Gross Profit</v>
      </c>
      <c r="S2239" s="199"/>
      <c r="T2239" s="199"/>
      <c r="U2239" s="199"/>
    </row>
    <row r="2240" spans="1:21" x14ac:dyDescent="0.25">
      <c r="A2240" t="s">
        <v>996</v>
      </c>
      <c r="B2240" t="s">
        <v>997</v>
      </c>
      <c r="C2240" t="s">
        <v>997</v>
      </c>
      <c r="D2240">
        <v>7452</v>
      </c>
      <c r="E2240">
        <v>110</v>
      </c>
      <c r="F2240" t="s">
        <v>1388</v>
      </c>
      <c r="G2240" t="s">
        <v>1389</v>
      </c>
      <c r="H2240" s="315" t="s">
        <v>1000</v>
      </c>
      <c r="I2240" s="315" t="s">
        <v>1390</v>
      </c>
      <c r="J2240" s="315" t="str">
        <f t="shared" si="186"/>
        <v>Admin &amp; OtherProfessional Fees as % of Total Gross Profit</v>
      </c>
      <c r="K2240" s="315" t="str">
        <f t="shared" si="187"/>
        <v>110Professional Fees - Toyota</v>
      </c>
      <c r="L2240" s="311">
        <f>+SUMIF('TUNZ Extracted TB'!M:M,$P2240,'TUNZ Extracted TB'!G:G)</f>
        <v>709.55</v>
      </c>
      <c r="M2240" s="311"/>
      <c r="N2240" s="311">
        <f>+SUMIF('Input Sheet'!$AE:$AE,P2240,'Input Sheet'!$X:$X)</f>
        <v>95324.697038595084</v>
      </c>
      <c r="O2240" s="311"/>
      <c r="P2240" t="str">
        <f t="shared" si="188"/>
        <v>110-7452</v>
      </c>
      <c r="Q2240" s="315" t="str">
        <f t="shared" si="189"/>
        <v>Admin &amp; Other</v>
      </c>
      <c r="R2240" s="315" t="str">
        <f t="shared" si="190"/>
        <v>Admin &amp; OtherProfessional Fees as % of Total Gross Profit</v>
      </c>
      <c r="S2240" s="199"/>
      <c r="T2240" s="199"/>
      <c r="U2240" s="199"/>
    </row>
    <row r="2241" spans="1:21" x14ac:dyDescent="0.25">
      <c r="A2241" t="s">
        <v>996</v>
      </c>
      <c r="B2241" t="s">
        <v>997</v>
      </c>
      <c r="C2241" t="s">
        <v>997</v>
      </c>
      <c r="D2241">
        <v>7452</v>
      </c>
      <c r="E2241">
        <v>162</v>
      </c>
      <c r="F2241" t="s">
        <v>1323</v>
      </c>
      <c r="G2241" t="s">
        <v>1324</v>
      </c>
      <c r="H2241" s="315" t="s">
        <v>1023</v>
      </c>
      <c r="I2241" s="315" t="s">
        <v>1390</v>
      </c>
      <c r="J2241" s="315" t="str">
        <f t="shared" si="186"/>
        <v>LEX Admin &amp; OtherProfessional Fees as % of Total Gross Profit</v>
      </c>
      <c r="K2241" s="315" t="str">
        <f t="shared" si="187"/>
        <v>162F&amp;I Other expenses - Lexus</v>
      </c>
      <c r="L2241" s="311">
        <f>+SUMIF('TUNZ Extracted TB'!M:M,$P2241,'TUNZ Extracted TB'!G:G)</f>
        <v>0</v>
      </c>
      <c r="M2241" s="311"/>
      <c r="N2241" s="311">
        <f>+SUMIF('Input Sheet'!$AE:$AE,P2241,'Input Sheet'!$X:$X)</f>
        <v>0</v>
      </c>
      <c r="O2241" s="311"/>
      <c r="P2241" t="str">
        <f t="shared" si="188"/>
        <v>162-7452</v>
      </c>
      <c r="Q2241" s="315" t="str">
        <f t="shared" si="189"/>
        <v>LEX Admin &amp; Other</v>
      </c>
      <c r="R2241" s="315" t="str">
        <f t="shared" si="190"/>
        <v>LEX Admin &amp; OtherProfessional Fees as % of Total Gross Profit</v>
      </c>
      <c r="S2241" s="199"/>
      <c r="T2241" s="199"/>
      <c r="U2241" s="199"/>
    </row>
    <row r="2242" spans="1:21" x14ac:dyDescent="0.25">
      <c r="A2242" t="s">
        <v>996</v>
      </c>
      <c r="B2242" t="s">
        <v>997</v>
      </c>
      <c r="C2242" t="s">
        <v>997</v>
      </c>
      <c r="D2242">
        <v>7452</v>
      </c>
      <c r="E2242">
        <v>122</v>
      </c>
      <c r="F2242" t="s">
        <v>1071</v>
      </c>
      <c r="G2242" t="s">
        <v>1072</v>
      </c>
      <c r="H2242" s="315" t="s">
        <v>1023</v>
      </c>
      <c r="I2242" s="315" t="s">
        <v>1390</v>
      </c>
      <c r="J2242" s="315" t="str">
        <f t="shared" si="186"/>
        <v>LEX Admin &amp; OtherProfessional Fees as % of Total Gross Profit</v>
      </c>
      <c r="K2242" s="315" t="str">
        <f t="shared" si="187"/>
        <v>122Lexus UV Cost of Sales</v>
      </c>
      <c r="L2242" s="311">
        <f>+SUMIF('TUNZ Extracted TB'!M:M,$P2242,'TUNZ Extracted TB'!G:G)</f>
        <v>0</v>
      </c>
      <c r="M2242" s="311"/>
      <c r="N2242" s="311">
        <f>+SUMIF('Input Sheet'!$AE:$AE,P2242,'Input Sheet'!$X:$X)</f>
        <v>0</v>
      </c>
      <c r="O2242" s="311"/>
      <c r="P2242" t="str">
        <f t="shared" si="188"/>
        <v>122-7452</v>
      </c>
      <c r="Q2242" s="315" t="str">
        <f t="shared" si="189"/>
        <v>LEX Admin &amp; Other</v>
      </c>
      <c r="R2242" s="315" t="str">
        <f t="shared" si="190"/>
        <v>LEX Admin &amp; OtherProfessional Fees as % of Total Gross Profit</v>
      </c>
      <c r="S2242" s="199"/>
      <c r="T2242" s="199"/>
      <c r="U2242" s="199"/>
    </row>
    <row r="2243" spans="1:21" x14ac:dyDescent="0.25">
      <c r="A2243" t="s">
        <v>996</v>
      </c>
      <c r="B2243" t="s">
        <v>997</v>
      </c>
      <c r="C2243" t="s">
        <v>1005</v>
      </c>
      <c r="D2243">
        <v>7452</v>
      </c>
      <c r="E2243">
        <v>260</v>
      </c>
      <c r="F2243" t="s">
        <v>1388</v>
      </c>
      <c r="G2243" t="s">
        <v>1389</v>
      </c>
      <c r="H2243" s="315" t="s">
        <v>1000</v>
      </c>
      <c r="I2243" s="315" t="s">
        <v>1390</v>
      </c>
      <c r="J2243" s="315" t="str">
        <f t="shared" ref="J2243:J2306" si="196">+H2243&amp;I2243</f>
        <v>Admin &amp; OtherProfessional Fees as % of Total Gross Profit</v>
      </c>
      <c r="K2243" s="315" t="str">
        <f t="shared" ref="K2243:K2306" si="197">+E2243&amp;G2243</f>
        <v>260Professional Fees - Toyota</v>
      </c>
      <c r="L2243" s="311">
        <f>+SUMIF('TUNZ Extracted TB'!M:M,$P2243,'TUNZ Extracted TB'!G:G)</f>
        <v>0</v>
      </c>
      <c r="M2243" s="311"/>
      <c r="N2243" s="311">
        <f>+SUMIF('Input Sheet'!$AE:$AE,P2243,'Input Sheet'!$X:$X)</f>
        <v>0</v>
      </c>
      <c r="O2243" s="311"/>
      <c r="P2243" t="str">
        <f t="shared" ref="P2243:P2306" si="198">+E2243&amp;"-"&amp;D2243</f>
        <v>260-7452</v>
      </c>
      <c r="Q2243" s="315" t="str">
        <f t="shared" ref="Q2243:Q2306" si="199">H2243</f>
        <v>Admin &amp; Other</v>
      </c>
      <c r="R2243" s="315" t="str">
        <f t="shared" ref="R2243:R2306" si="200">J2243</f>
        <v>Admin &amp; OtherProfessional Fees as % of Total Gross Profit</v>
      </c>
      <c r="S2243" s="199"/>
      <c r="T2243" s="199"/>
      <c r="U2243" s="199"/>
    </row>
    <row r="2244" spans="1:21" x14ac:dyDescent="0.25">
      <c r="A2244" t="s">
        <v>996</v>
      </c>
      <c r="B2244" t="s">
        <v>997</v>
      </c>
      <c r="C2244" t="s">
        <v>997</v>
      </c>
      <c r="D2244">
        <v>7452</v>
      </c>
      <c r="E2244">
        <v>121</v>
      </c>
      <c r="F2244" t="s">
        <v>1388</v>
      </c>
      <c r="G2244" t="s">
        <v>1389</v>
      </c>
      <c r="H2244" s="315" t="s">
        <v>1000</v>
      </c>
      <c r="I2244" s="315" t="s">
        <v>1390</v>
      </c>
      <c r="J2244" s="315" t="str">
        <f t="shared" si="196"/>
        <v>Admin &amp; OtherProfessional Fees as % of Total Gross Profit</v>
      </c>
      <c r="K2244" s="315" t="str">
        <f t="shared" si="197"/>
        <v>121Professional Fees - Toyota</v>
      </c>
      <c r="L2244" s="311">
        <f>+SUMIF('TUNZ Extracted TB'!M:M,$P2244,'TUNZ Extracted TB'!G:G)</f>
        <v>0</v>
      </c>
      <c r="M2244" s="311"/>
      <c r="N2244" s="311">
        <f>+SUMIF('Input Sheet'!$AE:$AE,P2244,'Input Sheet'!$X:$X)</f>
        <v>0</v>
      </c>
      <c r="O2244" s="311"/>
      <c r="P2244" t="str">
        <f t="shared" si="198"/>
        <v>121-7452</v>
      </c>
      <c r="Q2244" s="315" t="str">
        <f t="shared" si="199"/>
        <v>Admin &amp; Other</v>
      </c>
      <c r="R2244" s="315" t="str">
        <f t="shared" si="200"/>
        <v>Admin &amp; OtherProfessional Fees as % of Total Gross Profit</v>
      </c>
      <c r="S2244" s="199"/>
      <c r="T2244" s="199"/>
      <c r="U2244" s="199"/>
    </row>
    <row r="2245" spans="1:21" x14ac:dyDescent="0.25">
      <c r="A2245" t="s">
        <v>996</v>
      </c>
      <c r="B2245" t="s">
        <v>997</v>
      </c>
      <c r="C2245" t="s">
        <v>1005</v>
      </c>
      <c r="D2245">
        <v>7452</v>
      </c>
      <c r="E2245">
        <v>200</v>
      </c>
      <c r="F2245" t="s">
        <v>1388</v>
      </c>
      <c r="G2245" t="s">
        <v>1389</v>
      </c>
      <c r="H2245" s="315" t="s">
        <v>1000</v>
      </c>
      <c r="I2245" s="315" t="s">
        <v>1390</v>
      </c>
      <c r="J2245" s="315" t="str">
        <f t="shared" si="196"/>
        <v>Admin &amp; OtherProfessional Fees as % of Total Gross Profit</v>
      </c>
      <c r="K2245" s="315" t="str">
        <f t="shared" si="197"/>
        <v>200Professional Fees - Toyota</v>
      </c>
      <c r="L2245" s="311">
        <f>+SUMIF('TUNZ Extracted TB'!M:M,$P2245,'TUNZ Extracted TB'!G:G)</f>
        <v>0</v>
      </c>
      <c r="M2245" s="311"/>
      <c r="N2245" s="311">
        <f>+SUMIF('Input Sheet'!$AE:$AE,P2245,'Input Sheet'!$X:$X)</f>
        <v>0</v>
      </c>
      <c r="O2245" s="311"/>
      <c r="P2245" t="str">
        <f t="shared" si="198"/>
        <v>200-7452</v>
      </c>
      <c r="Q2245" s="315" t="str">
        <f t="shared" si="199"/>
        <v>Admin &amp; Other</v>
      </c>
      <c r="R2245" s="315" t="str">
        <f t="shared" si="200"/>
        <v>Admin &amp; OtherProfessional Fees as % of Total Gross Profit</v>
      </c>
      <c r="S2245" s="199"/>
      <c r="T2245" s="199"/>
      <c r="U2245" s="199"/>
    </row>
    <row r="2246" spans="1:21" x14ac:dyDescent="0.25">
      <c r="A2246" t="s">
        <v>996</v>
      </c>
      <c r="B2246" t="s">
        <v>997</v>
      </c>
      <c r="C2246" t="s">
        <v>1005</v>
      </c>
      <c r="D2246">
        <v>7452</v>
      </c>
      <c r="E2246">
        <v>221</v>
      </c>
      <c r="F2246" t="s">
        <v>1388</v>
      </c>
      <c r="G2246" t="s">
        <v>1389</v>
      </c>
      <c r="H2246" s="315" t="s">
        <v>1000</v>
      </c>
      <c r="I2246" s="315" t="s">
        <v>1390</v>
      </c>
      <c r="J2246" s="315" t="str">
        <f t="shared" si="196"/>
        <v>Admin &amp; OtherProfessional Fees as % of Total Gross Profit</v>
      </c>
      <c r="K2246" s="315" t="str">
        <f t="shared" si="197"/>
        <v>221Professional Fees - Toyota</v>
      </c>
      <c r="L2246" s="311">
        <f>+SUMIF('TUNZ Extracted TB'!M:M,$P2246,'TUNZ Extracted TB'!G:G)</f>
        <v>0</v>
      </c>
      <c r="M2246" s="311"/>
      <c r="N2246" s="311">
        <f>+SUMIF('Input Sheet'!$AE:$AE,P2246,'Input Sheet'!$X:$X)</f>
        <v>0</v>
      </c>
      <c r="O2246" s="311"/>
      <c r="P2246" t="str">
        <f t="shared" si="198"/>
        <v>221-7452</v>
      </c>
      <c r="Q2246" s="315" t="str">
        <f t="shared" si="199"/>
        <v>Admin &amp; Other</v>
      </c>
      <c r="R2246" s="315" t="str">
        <f t="shared" si="200"/>
        <v>Admin &amp; OtherProfessional Fees as % of Total Gross Profit</v>
      </c>
      <c r="S2246" s="199"/>
      <c r="T2246" s="199"/>
      <c r="U2246" s="199"/>
    </row>
    <row r="2247" spans="1:21" x14ac:dyDescent="0.25">
      <c r="A2247" t="s">
        <v>996</v>
      </c>
      <c r="B2247" t="s">
        <v>997</v>
      </c>
      <c r="C2247" t="s">
        <v>1012</v>
      </c>
      <c r="D2247">
        <v>7452</v>
      </c>
      <c r="E2247">
        <v>400</v>
      </c>
      <c r="F2247" t="s">
        <v>1388</v>
      </c>
      <c r="G2247" t="s">
        <v>1389</v>
      </c>
      <c r="H2247" s="315" t="s">
        <v>1000</v>
      </c>
      <c r="I2247" s="315" t="s">
        <v>1390</v>
      </c>
      <c r="J2247" s="315" t="str">
        <f t="shared" si="196"/>
        <v>Admin &amp; OtherProfessional Fees as % of Total Gross Profit</v>
      </c>
      <c r="K2247" s="315" t="str">
        <f t="shared" si="197"/>
        <v>400Professional Fees - Toyota</v>
      </c>
      <c r="L2247" s="311">
        <f>+SUMIF('TUNZ Extracted TB'!M:M,$P2247,'TUNZ Extracted TB'!G:G)</f>
        <v>0</v>
      </c>
      <c r="M2247" s="311"/>
      <c r="N2247" s="311">
        <f>+SUMIF('Input Sheet'!$AE:$AE,P2247,'Input Sheet'!$X:$X)</f>
        <v>0</v>
      </c>
      <c r="O2247" s="311"/>
      <c r="P2247" t="str">
        <f t="shared" si="198"/>
        <v>400-7452</v>
      </c>
      <c r="Q2247" s="315" t="str">
        <f t="shared" si="199"/>
        <v>Admin &amp; Other</v>
      </c>
      <c r="R2247" s="315" t="str">
        <f t="shared" si="200"/>
        <v>Admin &amp; OtherProfessional Fees as % of Total Gross Profit</v>
      </c>
      <c r="S2247" s="199"/>
      <c r="T2247" s="199"/>
      <c r="U2247" s="199"/>
    </row>
    <row r="2248" spans="1:21" x14ac:dyDescent="0.25">
      <c r="A2248" t="s">
        <v>996</v>
      </c>
      <c r="B2248" t="s">
        <v>997</v>
      </c>
      <c r="C2248" t="s">
        <v>1012</v>
      </c>
      <c r="D2248">
        <v>7452</v>
      </c>
      <c r="E2248">
        <v>410</v>
      </c>
      <c r="F2248" t="s">
        <v>1388</v>
      </c>
      <c r="G2248" t="s">
        <v>1389</v>
      </c>
      <c r="H2248" s="315" t="s">
        <v>1000</v>
      </c>
      <c r="I2248" s="315" t="s">
        <v>1390</v>
      </c>
      <c r="J2248" s="315" t="str">
        <f t="shared" si="196"/>
        <v>Admin &amp; OtherProfessional Fees as % of Total Gross Profit</v>
      </c>
      <c r="K2248" s="315" t="str">
        <f t="shared" si="197"/>
        <v>410Professional Fees - Toyota</v>
      </c>
      <c r="L2248" s="311">
        <f>+SUMIF('TUNZ Extracted TB'!M:M,$P2248,'TUNZ Extracted TB'!G:G)</f>
        <v>0</v>
      </c>
      <c r="M2248" s="311"/>
      <c r="N2248" s="311">
        <f>+SUMIF('Input Sheet'!$AE:$AE,P2248,'Input Sheet'!$X:$X)</f>
        <v>0</v>
      </c>
      <c r="O2248" s="311"/>
      <c r="P2248" t="str">
        <f t="shared" si="198"/>
        <v>410-7452</v>
      </c>
      <c r="Q2248" s="315" t="str">
        <f t="shared" si="199"/>
        <v>Admin &amp; Other</v>
      </c>
      <c r="R2248" s="315" t="str">
        <f t="shared" si="200"/>
        <v>Admin &amp; OtherProfessional Fees as % of Total Gross Profit</v>
      </c>
      <c r="S2248" s="199"/>
      <c r="T2248" s="199"/>
      <c r="U2248" s="199"/>
    </row>
    <row r="2249" spans="1:21" x14ac:dyDescent="0.25">
      <c r="A2249" t="s">
        <v>996</v>
      </c>
      <c r="B2249" t="s">
        <v>997</v>
      </c>
      <c r="C2249" t="s">
        <v>1012</v>
      </c>
      <c r="D2249">
        <v>7452</v>
      </c>
      <c r="E2249">
        <v>420</v>
      </c>
      <c r="F2249" t="s">
        <v>1388</v>
      </c>
      <c r="G2249" t="s">
        <v>1389</v>
      </c>
      <c r="H2249" s="315" t="s">
        <v>1000</v>
      </c>
      <c r="I2249" s="315" t="s">
        <v>1390</v>
      </c>
      <c r="J2249" s="315" t="str">
        <f t="shared" si="196"/>
        <v>Admin &amp; OtherProfessional Fees as % of Total Gross Profit</v>
      </c>
      <c r="K2249" s="315" t="str">
        <f t="shared" si="197"/>
        <v>420Professional Fees - Toyota</v>
      </c>
      <c r="L2249" s="311">
        <f>+SUMIF('TUNZ Extracted TB'!M:M,$P2249,'TUNZ Extracted TB'!G:G)</f>
        <v>0</v>
      </c>
      <c r="M2249" s="311"/>
      <c r="N2249" s="311">
        <f>+SUMIF('Input Sheet'!$AE:$AE,P2249,'Input Sheet'!$X:$X)</f>
        <v>0</v>
      </c>
      <c r="O2249" s="311"/>
      <c r="P2249" t="str">
        <f t="shared" si="198"/>
        <v>420-7452</v>
      </c>
      <c r="Q2249" s="315" t="str">
        <f t="shared" si="199"/>
        <v>Admin &amp; Other</v>
      </c>
      <c r="R2249" s="315" t="str">
        <f t="shared" si="200"/>
        <v>Admin &amp; OtherProfessional Fees as % of Total Gross Profit</v>
      </c>
      <c r="S2249" s="199"/>
      <c r="T2249" s="199"/>
      <c r="U2249" s="199"/>
    </row>
    <row r="2250" spans="1:21" x14ac:dyDescent="0.25">
      <c r="A2250" t="s">
        <v>996</v>
      </c>
      <c r="B2250" t="s">
        <v>997</v>
      </c>
      <c r="C2250" t="s">
        <v>1012</v>
      </c>
      <c r="D2250">
        <v>7452</v>
      </c>
      <c r="E2250">
        <v>421</v>
      </c>
      <c r="F2250" t="s">
        <v>1388</v>
      </c>
      <c r="G2250" t="s">
        <v>1389</v>
      </c>
      <c r="H2250" s="315" t="s">
        <v>1000</v>
      </c>
      <c r="I2250" s="315" t="s">
        <v>1390</v>
      </c>
      <c r="J2250" s="315" t="str">
        <f t="shared" si="196"/>
        <v>Admin &amp; OtherProfessional Fees as % of Total Gross Profit</v>
      </c>
      <c r="K2250" s="315" t="str">
        <f t="shared" si="197"/>
        <v>421Professional Fees - Toyota</v>
      </c>
      <c r="L2250" s="311">
        <f>+SUMIF('TUNZ Extracted TB'!M:M,$P2250,'TUNZ Extracted TB'!G:G)</f>
        <v>0</v>
      </c>
      <c r="M2250" s="311"/>
      <c r="N2250" s="311">
        <f>+SUMIF('Input Sheet'!$AE:$AE,P2250,'Input Sheet'!$X:$X)</f>
        <v>0</v>
      </c>
      <c r="O2250" s="311"/>
      <c r="P2250" t="str">
        <f t="shared" si="198"/>
        <v>421-7452</v>
      </c>
      <c r="Q2250" s="315" t="str">
        <f t="shared" si="199"/>
        <v>Admin &amp; Other</v>
      </c>
      <c r="R2250" s="315" t="str">
        <f t="shared" si="200"/>
        <v>Admin &amp; OtherProfessional Fees as % of Total Gross Profit</v>
      </c>
      <c r="S2250" s="199"/>
      <c r="T2250" s="199"/>
      <c r="U2250" s="199"/>
    </row>
    <row r="2251" spans="1:21" x14ac:dyDescent="0.25">
      <c r="A2251" t="s">
        <v>996</v>
      </c>
      <c r="B2251" t="s">
        <v>997</v>
      </c>
      <c r="C2251" t="s">
        <v>1012</v>
      </c>
      <c r="D2251">
        <v>7452</v>
      </c>
      <c r="E2251">
        <v>430</v>
      </c>
      <c r="F2251" t="s">
        <v>1388</v>
      </c>
      <c r="G2251" t="s">
        <v>1389</v>
      </c>
      <c r="H2251" s="315" t="s">
        <v>1000</v>
      </c>
      <c r="I2251" s="315" t="s">
        <v>1390</v>
      </c>
      <c r="J2251" s="315" t="str">
        <f t="shared" si="196"/>
        <v>Admin &amp; OtherProfessional Fees as % of Total Gross Profit</v>
      </c>
      <c r="K2251" s="315" t="str">
        <f t="shared" si="197"/>
        <v>430Professional Fees - Toyota</v>
      </c>
      <c r="L2251" s="311">
        <f>+SUMIF('TUNZ Extracted TB'!M:M,$P2251,'TUNZ Extracted TB'!G:G)</f>
        <v>0</v>
      </c>
      <c r="M2251" s="311"/>
      <c r="N2251" s="311">
        <f>+SUMIF('Input Sheet'!$AE:$AE,P2251,'Input Sheet'!$X:$X)</f>
        <v>0</v>
      </c>
      <c r="O2251" s="311"/>
      <c r="P2251" t="str">
        <f t="shared" si="198"/>
        <v>430-7452</v>
      </c>
      <c r="Q2251" s="315" t="str">
        <f t="shared" si="199"/>
        <v>Admin &amp; Other</v>
      </c>
      <c r="R2251" s="315" t="str">
        <f t="shared" si="200"/>
        <v>Admin &amp; OtherProfessional Fees as % of Total Gross Profit</v>
      </c>
      <c r="S2251" s="199"/>
      <c r="T2251" s="199"/>
      <c r="U2251" s="199"/>
    </row>
    <row r="2252" spans="1:21" x14ac:dyDescent="0.25">
      <c r="A2252" t="s">
        <v>996</v>
      </c>
      <c r="B2252" t="s">
        <v>997</v>
      </c>
      <c r="C2252" t="s">
        <v>1012</v>
      </c>
      <c r="D2252">
        <v>7452</v>
      </c>
      <c r="E2252">
        <v>460</v>
      </c>
      <c r="F2252" t="s">
        <v>1388</v>
      </c>
      <c r="G2252" t="s">
        <v>1389</v>
      </c>
      <c r="H2252" s="315" t="s">
        <v>1000</v>
      </c>
      <c r="I2252" s="315" t="s">
        <v>1390</v>
      </c>
      <c r="J2252" s="315" t="str">
        <f t="shared" si="196"/>
        <v>Admin &amp; OtherProfessional Fees as % of Total Gross Profit</v>
      </c>
      <c r="K2252" s="315" t="str">
        <f t="shared" si="197"/>
        <v>460Professional Fees - Toyota</v>
      </c>
      <c r="L2252" s="311">
        <f>+SUMIF('TUNZ Extracted TB'!M:M,$P2252,'TUNZ Extracted TB'!G:G)</f>
        <v>0</v>
      </c>
      <c r="M2252" s="311"/>
      <c r="N2252" s="311">
        <f>+SUMIF('Input Sheet'!$AE:$AE,P2252,'Input Sheet'!$X:$X)</f>
        <v>0</v>
      </c>
      <c r="O2252" s="311"/>
      <c r="P2252" t="str">
        <f t="shared" si="198"/>
        <v>460-7452</v>
      </c>
      <c r="Q2252" s="315" t="str">
        <f t="shared" si="199"/>
        <v>Admin &amp; Other</v>
      </c>
      <c r="R2252" s="315" t="str">
        <f t="shared" si="200"/>
        <v>Admin &amp; OtherProfessional Fees as % of Total Gross Profit</v>
      </c>
      <c r="S2252" s="199"/>
      <c r="T2252" s="199"/>
      <c r="U2252" s="199"/>
    </row>
    <row r="2253" spans="1:21" x14ac:dyDescent="0.25">
      <c r="A2253" t="s">
        <v>996</v>
      </c>
      <c r="B2253" t="s">
        <v>997</v>
      </c>
      <c r="C2253" t="s">
        <v>1013</v>
      </c>
      <c r="D2253">
        <v>7452</v>
      </c>
      <c r="E2253">
        <v>300</v>
      </c>
      <c r="F2253" t="s">
        <v>1388</v>
      </c>
      <c r="G2253" t="s">
        <v>1389</v>
      </c>
      <c r="H2253" s="315" t="s">
        <v>1000</v>
      </c>
      <c r="I2253" s="315" t="s">
        <v>1390</v>
      </c>
      <c r="J2253" s="315" t="str">
        <f t="shared" si="196"/>
        <v>Admin &amp; OtherProfessional Fees as % of Total Gross Profit</v>
      </c>
      <c r="K2253" s="315" t="str">
        <f t="shared" si="197"/>
        <v>300Professional Fees - Toyota</v>
      </c>
      <c r="L2253" s="311">
        <f>+SUMIF('TUNZ Extracted TB'!M:M,$P2253,'TUNZ Extracted TB'!G:G)</f>
        <v>0</v>
      </c>
      <c r="M2253" s="311"/>
      <c r="N2253" s="311">
        <f>+SUMIF('Input Sheet'!$AE:$AE,P2253,'Input Sheet'!$X:$X)</f>
        <v>0</v>
      </c>
      <c r="O2253" s="311"/>
      <c r="P2253" t="str">
        <f t="shared" si="198"/>
        <v>300-7452</v>
      </c>
      <c r="Q2253" s="315" t="str">
        <f t="shared" si="199"/>
        <v>Admin &amp; Other</v>
      </c>
      <c r="R2253" s="315" t="str">
        <f t="shared" si="200"/>
        <v>Admin &amp; OtherProfessional Fees as % of Total Gross Profit</v>
      </c>
      <c r="S2253" s="199"/>
      <c r="T2253" s="199"/>
      <c r="U2253" s="199"/>
    </row>
    <row r="2254" spans="1:21" x14ac:dyDescent="0.25">
      <c r="A2254" t="s">
        <v>996</v>
      </c>
      <c r="B2254" t="s">
        <v>997</v>
      </c>
      <c r="C2254" t="s">
        <v>1013</v>
      </c>
      <c r="D2254">
        <v>7452</v>
      </c>
      <c r="E2254">
        <v>310</v>
      </c>
      <c r="F2254" t="s">
        <v>1388</v>
      </c>
      <c r="G2254" t="s">
        <v>1389</v>
      </c>
      <c r="H2254" s="315" t="s">
        <v>1000</v>
      </c>
      <c r="I2254" s="315" t="s">
        <v>1390</v>
      </c>
      <c r="J2254" s="315" t="str">
        <f t="shared" si="196"/>
        <v>Admin &amp; OtherProfessional Fees as % of Total Gross Profit</v>
      </c>
      <c r="K2254" s="315" t="str">
        <f t="shared" si="197"/>
        <v>310Professional Fees - Toyota</v>
      </c>
      <c r="L2254" s="311">
        <f>+SUMIF('TUNZ Extracted TB'!M:M,$P2254,'TUNZ Extracted TB'!G:G)</f>
        <v>0</v>
      </c>
      <c r="M2254" s="311"/>
      <c r="N2254" s="311">
        <f>+SUMIF('Input Sheet'!$AE:$AE,P2254,'Input Sheet'!$X:$X)</f>
        <v>0</v>
      </c>
      <c r="O2254" s="311"/>
      <c r="P2254" t="str">
        <f t="shared" si="198"/>
        <v>310-7452</v>
      </c>
      <c r="Q2254" s="315" t="str">
        <f t="shared" si="199"/>
        <v>Admin &amp; Other</v>
      </c>
      <c r="R2254" s="315" t="str">
        <f t="shared" si="200"/>
        <v>Admin &amp; OtherProfessional Fees as % of Total Gross Profit</v>
      </c>
      <c r="S2254" s="199"/>
      <c r="T2254" s="199"/>
      <c r="U2254" s="199"/>
    </row>
    <row r="2255" spans="1:21" x14ac:dyDescent="0.25">
      <c r="A2255" t="s">
        <v>996</v>
      </c>
      <c r="B2255" t="s">
        <v>997</v>
      </c>
      <c r="C2255" t="s">
        <v>1013</v>
      </c>
      <c r="D2255">
        <v>7452</v>
      </c>
      <c r="E2255">
        <v>321</v>
      </c>
      <c r="F2255" t="s">
        <v>1388</v>
      </c>
      <c r="G2255" t="s">
        <v>1389</v>
      </c>
      <c r="H2255" s="315" t="s">
        <v>1000</v>
      </c>
      <c r="I2255" s="315" t="s">
        <v>1390</v>
      </c>
      <c r="J2255" s="315" t="str">
        <f t="shared" si="196"/>
        <v>Admin &amp; OtherProfessional Fees as % of Total Gross Profit</v>
      </c>
      <c r="K2255" s="315" t="str">
        <f t="shared" si="197"/>
        <v>321Professional Fees - Toyota</v>
      </c>
      <c r="L2255" s="311">
        <f>+SUMIF('TUNZ Extracted TB'!M:M,$P2255,'TUNZ Extracted TB'!G:G)</f>
        <v>0</v>
      </c>
      <c r="M2255" s="311"/>
      <c r="N2255" s="311">
        <f>+SUMIF('Input Sheet'!$AE:$AE,P2255,'Input Sheet'!$X:$X)</f>
        <v>0</v>
      </c>
      <c r="O2255" s="311"/>
      <c r="P2255" t="str">
        <f t="shared" si="198"/>
        <v>321-7452</v>
      </c>
      <c r="Q2255" s="315" t="str">
        <f t="shared" si="199"/>
        <v>Admin &amp; Other</v>
      </c>
      <c r="R2255" s="315" t="str">
        <f t="shared" si="200"/>
        <v>Admin &amp; OtherProfessional Fees as % of Total Gross Profit</v>
      </c>
      <c r="S2255" s="199"/>
      <c r="T2255" s="199"/>
      <c r="U2255" s="199"/>
    </row>
    <row r="2256" spans="1:21" x14ac:dyDescent="0.25">
      <c r="A2256" t="s">
        <v>996</v>
      </c>
      <c r="B2256" t="s">
        <v>997</v>
      </c>
      <c r="C2256" t="s">
        <v>1013</v>
      </c>
      <c r="D2256">
        <v>7452</v>
      </c>
      <c r="E2256">
        <v>330</v>
      </c>
      <c r="F2256" t="s">
        <v>1388</v>
      </c>
      <c r="G2256" t="s">
        <v>1389</v>
      </c>
      <c r="H2256" s="315" t="s">
        <v>1000</v>
      </c>
      <c r="I2256" s="315" t="s">
        <v>1390</v>
      </c>
      <c r="J2256" s="315" t="str">
        <f t="shared" si="196"/>
        <v>Admin &amp; OtherProfessional Fees as % of Total Gross Profit</v>
      </c>
      <c r="K2256" s="315" t="str">
        <f t="shared" si="197"/>
        <v>330Professional Fees - Toyota</v>
      </c>
      <c r="L2256" s="311">
        <f>+SUMIF('TUNZ Extracted TB'!M:M,$P2256,'TUNZ Extracted TB'!G:G)</f>
        <v>0</v>
      </c>
      <c r="M2256" s="311"/>
      <c r="N2256" s="311">
        <f>+SUMIF('Input Sheet'!$AE:$AE,P2256,'Input Sheet'!$X:$X)</f>
        <v>0</v>
      </c>
      <c r="O2256" s="311"/>
      <c r="P2256" t="str">
        <f t="shared" si="198"/>
        <v>330-7452</v>
      </c>
      <c r="Q2256" s="315" t="str">
        <f t="shared" si="199"/>
        <v>Admin &amp; Other</v>
      </c>
      <c r="R2256" s="315" t="str">
        <f t="shared" si="200"/>
        <v>Admin &amp; OtherProfessional Fees as % of Total Gross Profit</v>
      </c>
      <c r="S2256" s="199"/>
      <c r="T2256" s="199"/>
      <c r="U2256" s="199"/>
    </row>
    <row r="2257" spans="1:21" x14ac:dyDescent="0.25">
      <c r="A2257" t="s">
        <v>996</v>
      </c>
      <c r="B2257" t="s">
        <v>997</v>
      </c>
      <c r="C2257" t="s">
        <v>1013</v>
      </c>
      <c r="D2257">
        <v>7452</v>
      </c>
      <c r="E2257">
        <v>360</v>
      </c>
      <c r="F2257" t="s">
        <v>1388</v>
      </c>
      <c r="G2257" t="s">
        <v>1389</v>
      </c>
      <c r="H2257" s="315" t="s">
        <v>1000</v>
      </c>
      <c r="I2257" s="315" t="s">
        <v>1390</v>
      </c>
      <c r="J2257" s="315" t="str">
        <f t="shared" si="196"/>
        <v>Admin &amp; OtherProfessional Fees as % of Total Gross Profit</v>
      </c>
      <c r="K2257" s="315" t="str">
        <f t="shared" si="197"/>
        <v>360Professional Fees - Toyota</v>
      </c>
      <c r="L2257" s="311">
        <f>+SUMIF('TUNZ Extracted TB'!M:M,$P2257,'TUNZ Extracted TB'!G:G)</f>
        <v>0</v>
      </c>
      <c r="M2257" s="311"/>
      <c r="N2257" s="311">
        <f>+SUMIF('Input Sheet'!$AE:$AE,P2257,'Input Sheet'!$X:$X)</f>
        <v>0</v>
      </c>
      <c r="O2257" s="311"/>
      <c r="P2257" t="str">
        <f t="shared" si="198"/>
        <v>360-7452</v>
      </c>
      <c r="Q2257" s="315" t="str">
        <f t="shared" si="199"/>
        <v>Admin &amp; Other</v>
      </c>
      <c r="R2257" s="315" t="str">
        <f t="shared" si="200"/>
        <v>Admin &amp; OtherProfessional Fees as % of Total Gross Profit</v>
      </c>
      <c r="S2257" s="199"/>
      <c r="T2257" s="199"/>
      <c r="U2257" s="199"/>
    </row>
    <row r="2258" spans="1:21" x14ac:dyDescent="0.25">
      <c r="A2258" t="s">
        <v>996</v>
      </c>
      <c r="B2258" t="s">
        <v>997</v>
      </c>
      <c r="C2258" t="s">
        <v>997</v>
      </c>
      <c r="D2258">
        <v>7452</v>
      </c>
      <c r="E2258">
        <v>112</v>
      </c>
      <c r="F2258" t="s">
        <v>1391</v>
      </c>
      <c r="G2258" t="s">
        <v>1392</v>
      </c>
      <c r="H2258" s="315" t="s">
        <v>1023</v>
      </c>
      <c r="I2258" s="315" t="s">
        <v>1390</v>
      </c>
      <c r="J2258" s="315" t="str">
        <f t="shared" si="196"/>
        <v>LEX Admin &amp; OtherProfessional Fees as % of Total Gross Profit</v>
      </c>
      <c r="K2258" s="315" t="str">
        <f t="shared" si="197"/>
        <v>112Professional Fees - Lexus</v>
      </c>
      <c r="L2258" s="311">
        <f>+SUMIF('TUNZ Extracted TB'!M:M,$P2258,'TUNZ Extracted TB'!G:G)</f>
        <v>532.29999999999995</v>
      </c>
      <c r="M2258" s="311"/>
      <c r="N2258" s="311">
        <f>+SUMIF('Input Sheet'!$AE:$AE,P2258,'Input Sheet'!$X:$X)</f>
        <v>12808.991373736106</v>
      </c>
      <c r="O2258" s="311"/>
      <c r="P2258" t="str">
        <f t="shared" si="198"/>
        <v>112-7452</v>
      </c>
      <c r="Q2258" s="315" t="str">
        <f t="shared" si="199"/>
        <v>LEX Admin &amp; Other</v>
      </c>
      <c r="R2258" s="315" t="str">
        <f t="shared" si="200"/>
        <v>LEX Admin &amp; OtherProfessional Fees as % of Total Gross Profit</v>
      </c>
      <c r="S2258" s="199"/>
      <c r="T2258" s="199"/>
      <c r="U2258" s="199"/>
    </row>
    <row r="2259" spans="1:21" x14ac:dyDescent="0.25">
      <c r="A2259" t="s">
        <v>996</v>
      </c>
      <c r="B2259" t="s">
        <v>997</v>
      </c>
      <c r="C2259" t="s">
        <v>997</v>
      </c>
      <c r="D2259">
        <v>7452</v>
      </c>
      <c r="E2259">
        <v>170</v>
      </c>
      <c r="F2259" t="s">
        <v>1388</v>
      </c>
      <c r="G2259" t="s">
        <v>1389</v>
      </c>
      <c r="H2259" s="315" t="s">
        <v>1000</v>
      </c>
      <c r="I2259" s="315" t="s">
        <v>1390</v>
      </c>
      <c r="J2259" s="315" t="str">
        <f t="shared" si="196"/>
        <v>Admin &amp; OtherProfessional Fees as % of Total Gross Profit</v>
      </c>
      <c r="K2259" s="315" t="str">
        <f t="shared" si="197"/>
        <v>170Professional Fees - Toyota</v>
      </c>
      <c r="L2259" s="311">
        <f>+SUMIF('TUNZ Extracted TB'!M:M,$P2259,'TUNZ Extracted TB'!G:G)</f>
        <v>0</v>
      </c>
      <c r="M2259" s="311"/>
      <c r="N2259" s="311">
        <f>+SUMIF('Input Sheet'!$AE:$AE,P2259,'Input Sheet'!$X:$X)</f>
        <v>0</v>
      </c>
      <c r="O2259" s="311"/>
      <c r="P2259" t="str">
        <f t="shared" si="198"/>
        <v>170-7452</v>
      </c>
      <c r="Q2259" s="315" t="str">
        <f t="shared" si="199"/>
        <v>Admin &amp; Other</v>
      </c>
      <c r="R2259" s="315" t="str">
        <f t="shared" si="200"/>
        <v>Admin &amp; OtherProfessional Fees as % of Total Gross Profit</v>
      </c>
      <c r="S2259" s="199"/>
      <c r="T2259" s="199"/>
      <c r="U2259" s="199"/>
    </row>
    <row r="2260" spans="1:21" x14ac:dyDescent="0.25">
      <c r="A2260" t="s">
        <v>996</v>
      </c>
      <c r="B2260" t="s">
        <v>997</v>
      </c>
      <c r="C2260" t="s">
        <v>1012</v>
      </c>
      <c r="D2260">
        <v>7452</v>
      </c>
      <c r="E2260">
        <v>440</v>
      </c>
      <c r="F2260" t="s">
        <v>1170</v>
      </c>
      <c r="G2260" t="s">
        <v>1171</v>
      </c>
      <c r="H2260" s="315" t="s">
        <v>1000</v>
      </c>
      <c r="I2260" s="315" t="s">
        <v>1390</v>
      </c>
      <c r="J2260" s="315" t="str">
        <f t="shared" si="196"/>
        <v>Admin &amp; OtherProfessional Fees as % of Total Gross Profit</v>
      </c>
      <c r="K2260" s="315" t="str">
        <f t="shared" si="197"/>
        <v>440Service Retail labour COS - Toyota</v>
      </c>
      <c r="L2260" s="311">
        <f>+SUMIF('TUNZ Extracted TB'!M:M,$P2260,'TUNZ Extracted TB'!G:G)</f>
        <v>0</v>
      </c>
      <c r="M2260" s="311"/>
      <c r="N2260" s="311">
        <f>+SUMIF('Input Sheet'!$AE:$AE,P2260,'Input Sheet'!$X:$X)</f>
        <v>0</v>
      </c>
      <c r="O2260" s="311"/>
      <c r="P2260" t="str">
        <f t="shared" si="198"/>
        <v>440-7452</v>
      </c>
      <c r="Q2260" s="315" t="str">
        <f t="shared" si="199"/>
        <v>Admin &amp; Other</v>
      </c>
      <c r="R2260" s="315" t="str">
        <f t="shared" si="200"/>
        <v>Admin &amp; OtherProfessional Fees as % of Total Gross Profit</v>
      </c>
      <c r="S2260" s="199"/>
      <c r="T2260" s="199"/>
      <c r="U2260" s="199"/>
    </row>
    <row r="2261" spans="1:21" x14ac:dyDescent="0.25">
      <c r="A2261" t="s">
        <v>996</v>
      </c>
      <c r="B2261" t="s">
        <v>997</v>
      </c>
      <c r="C2261" t="s">
        <v>997</v>
      </c>
      <c r="D2261">
        <v>7452</v>
      </c>
      <c r="E2261">
        <v>147</v>
      </c>
      <c r="F2261" t="s">
        <v>1170</v>
      </c>
      <c r="G2261" t="s">
        <v>1171</v>
      </c>
      <c r="H2261" s="315" t="s">
        <v>1000</v>
      </c>
      <c r="I2261" s="315" t="s">
        <v>1390</v>
      </c>
      <c r="J2261" s="315" t="str">
        <f t="shared" si="196"/>
        <v>Admin &amp; OtherProfessional Fees as % of Total Gross Profit</v>
      </c>
      <c r="K2261" s="315" t="str">
        <f t="shared" si="197"/>
        <v>147Service Retail labour COS - Toyota</v>
      </c>
      <c r="L2261" s="311">
        <f>+SUMIF('TUNZ Extracted TB'!M:M,$P2261,'TUNZ Extracted TB'!G:G)</f>
        <v>0</v>
      </c>
      <c r="M2261" s="311"/>
      <c r="N2261" s="311">
        <f>+SUMIF('Input Sheet'!$AE:$AE,P2261,'Input Sheet'!$X:$X)</f>
        <v>0</v>
      </c>
      <c r="O2261" s="311"/>
      <c r="P2261" t="str">
        <f t="shared" si="198"/>
        <v>147-7452</v>
      </c>
      <c r="Q2261" s="315" t="str">
        <f t="shared" si="199"/>
        <v>Admin &amp; Other</v>
      </c>
      <c r="R2261" s="315" t="str">
        <f t="shared" si="200"/>
        <v>Admin &amp; OtherProfessional Fees as % of Total Gross Profit</v>
      </c>
      <c r="S2261" s="199"/>
      <c r="T2261" s="199"/>
      <c r="U2261" s="199"/>
    </row>
    <row r="2262" spans="1:21" x14ac:dyDescent="0.25">
      <c r="A2262" t="s">
        <v>996</v>
      </c>
      <c r="B2262" t="s">
        <v>997</v>
      </c>
      <c r="C2262" t="s">
        <v>997</v>
      </c>
      <c r="D2262">
        <v>7452</v>
      </c>
      <c r="E2262">
        <v>100</v>
      </c>
      <c r="F2262" t="s">
        <v>1388</v>
      </c>
      <c r="G2262" t="s">
        <v>1389</v>
      </c>
      <c r="H2262" s="315" t="s">
        <v>1000</v>
      </c>
      <c r="I2262" s="315" t="s">
        <v>1390</v>
      </c>
      <c r="J2262" s="315" t="str">
        <f t="shared" si="196"/>
        <v>Admin &amp; OtherProfessional Fees as % of Total Gross Profit</v>
      </c>
      <c r="K2262" s="315" t="str">
        <f t="shared" si="197"/>
        <v>100Professional Fees - Toyota</v>
      </c>
      <c r="L2262" s="311">
        <f>+SUMIF('TUNZ Extracted TB'!M:M,$P2262,'TUNZ Extracted TB'!G:G)</f>
        <v>0</v>
      </c>
      <c r="M2262" s="311"/>
      <c r="N2262" s="311">
        <f>+SUMIF('Input Sheet'!$AE:$AE,P2262,'Input Sheet'!$X:$X)</f>
        <v>0</v>
      </c>
      <c r="O2262" s="311"/>
      <c r="P2262" t="str">
        <f t="shared" si="198"/>
        <v>100-7452</v>
      </c>
      <c r="Q2262" s="315" t="str">
        <f t="shared" si="199"/>
        <v>Admin &amp; Other</v>
      </c>
      <c r="R2262" s="315" t="str">
        <f t="shared" si="200"/>
        <v>Admin &amp; OtherProfessional Fees as % of Total Gross Profit</v>
      </c>
      <c r="S2262" s="199"/>
      <c r="T2262" s="199"/>
      <c r="U2262" s="199"/>
    </row>
    <row r="2263" spans="1:21" x14ac:dyDescent="0.25">
      <c r="A2263" t="s">
        <v>996</v>
      </c>
      <c r="B2263" t="s">
        <v>997</v>
      </c>
      <c r="C2263" t="s">
        <v>1005</v>
      </c>
      <c r="D2263">
        <v>7453</v>
      </c>
      <c r="E2263">
        <v>240</v>
      </c>
      <c r="F2263" t="s">
        <v>1393</v>
      </c>
      <c r="G2263" t="s">
        <v>1394</v>
      </c>
      <c r="H2263" s="315" t="s">
        <v>1000</v>
      </c>
      <c r="I2263" s="315" t="s">
        <v>1001</v>
      </c>
      <c r="J2263" s="315" t="str">
        <f t="shared" si="196"/>
        <v>Admin &amp; OtherOther Overheads as % of Total Gross Profit</v>
      </c>
      <c r="K2263" s="315" t="str">
        <f t="shared" si="197"/>
        <v>240Environmental &amp; Health &amp; Safety expenses - Toyota</v>
      </c>
      <c r="L2263" s="311">
        <f>+SUMIF('TUNZ Extracted TB'!M:M,$P2263,'TUNZ Extracted TB'!G:G)</f>
        <v>25.63</v>
      </c>
      <c r="M2263" s="311"/>
      <c r="N2263" s="311">
        <f>+SUMIF('Input Sheet'!$AE:$AE,P2263,'Input Sheet'!$X:$X)</f>
        <v>0</v>
      </c>
      <c r="O2263" s="311"/>
      <c r="P2263" t="str">
        <f t="shared" si="198"/>
        <v>240-7453</v>
      </c>
      <c r="Q2263" s="315" t="str">
        <f t="shared" si="199"/>
        <v>Admin &amp; Other</v>
      </c>
      <c r="R2263" s="315" t="str">
        <f t="shared" si="200"/>
        <v>Admin &amp; OtherOther Overheads as % of Total Gross Profit</v>
      </c>
      <c r="S2263" s="199"/>
      <c r="T2263" s="199"/>
      <c r="U2263" s="199"/>
    </row>
    <row r="2264" spans="1:21" x14ac:dyDescent="0.25">
      <c r="A2264" s="316">
        <v>44866</v>
      </c>
      <c r="B2264" t="s">
        <v>997</v>
      </c>
      <c r="C2264" t="s">
        <v>997</v>
      </c>
      <c r="D2264">
        <v>7453</v>
      </c>
      <c r="E2264">
        <v>190</v>
      </c>
      <c r="G2264" t="s">
        <v>933</v>
      </c>
      <c r="H2264" s="315" t="s">
        <v>1000</v>
      </c>
      <c r="I2264" s="315" t="s">
        <v>1001</v>
      </c>
      <c r="J2264" s="315" t="str">
        <f t="shared" si="196"/>
        <v>Admin &amp; OtherOther Overheads as % of Total Gross Profit</v>
      </c>
      <c r="K2264" s="315" t="str">
        <f t="shared" si="197"/>
        <v>190Health &amp; Safety,Clothing</v>
      </c>
      <c r="L2264" s="311">
        <f>+SUMIF('TUNZ Extracted TB'!M:M,$P2264,'TUNZ Extracted TB'!G:G)</f>
        <v>224.73</v>
      </c>
      <c r="M2264" s="311"/>
      <c r="N2264" s="311">
        <f>+SUMIF('Input Sheet'!$AE:$AE,P2264,'Input Sheet'!$X:$X)</f>
        <v>0</v>
      </c>
      <c r="O2264" s="311"/>
      <c r="P2264" t="str">
        <f t="shared" si="198"/>
        <v>190-7453</v>
      </c>
      <c r="Q2264" s="315" t="str">
        <f t="shared" si="199"/>
        <v>Admin &amp; Other</v>
      </c>
      <c r="R2264" s="315" t="str">
        <f t="shared" si="200"/>
        <v>Admin &amp; OtherOther Overheads as % of Total Gross Profit</v>
      </c>
      <c r="S2264" s="199"/>
      <c r="T2264" s="199"/>
      <c r="U2264" s="199"/>
    </row>
    <row r="2265" spans="1:21" x14ac:dyDescent="0.25">
      <c r="A2265" t="s">
        <v>996</v>
      </c>
      <c r="B2265" t="s">
        <v>997</v>
      </c>
      <c r="C2265" t="s">
        <v>997</v>
      </c>
      <c r="D2265">
        <v>7453</v>
      </c>
      <c r="E2265">
        <v>935</v>
      </c>
      <c r="F2265" t="s">
        <v>1393</v>
      </c>
      <c r="G2265" t="s">
        <v>1394</v>
      </c>
      <c r="H2265" s="315" t="s">
        <v>1023</v>
      </c>
      <c r="I2265" s="315" t="s">
        <v>1001</v>
      </c>
      <c r="J2265" s="315" t="str">
        <f t="shared" si="196"/>
        <v>LEX Admin &amp; OtherOther Overheads as % of Total Gross Profit</v>
      </c>
      <c r="K2265" s="315" t="str">
        <f t="shared" si="197"/>
        <v>935Environmental &amp; Health &amp; Safety expenses - Toyota</v>
      </c>
      <c r="L2265" s="311">
        <f>+SUMIF('TUNZ Extracted TB'!M:M,$P2265,'TUNZ Extracted TB'!G:G)</f>
        <v>10.050000000000001</v>
      </c>
      <c r="M2265" s="311"/>
      <c r="N2265" s="311">
        <f>+SUMIF('Input Sheet'!$AE:$AE,P2265,'Input Sheet'!$X:$X)</f>
        <v>0</v>
      </c>
      <c r="O2265" s="311"/>
      <c r="P2265" t="str">
        <f t="shared" si="198"/>
        <v>935-7453</v>
      </c>
      <c r="Q2265" s="315" t="str">
        <f t="shared" si="199"/>
        <v>LEX Admin &amp; Other</v>
      </c>
      <c r="R2265" s="315" t="str">
        <f t="shared" si="200"/>
        <v>LEX Admin &amp; OtherOther Overheads as % of Total Gross Profit</v>
      </c>
      <c r="S2265" s="199"/>
      <c r="T2265" s="199"/>
      <c r="U2265" s="199"/>
    </row>
    <row r="2266" spans="1:21" x14ac:dyDescent="0.25">
      <c r="A2266" t="s">
        <v>996</v>
      </c>
      <c r="B2266" t="s">
        <v>997</v>
      </c>
      <c r="C2266" t="s">
        <v>1012</v>
      </c>
      <c r="D2266">
        <v>7453</v>
      </c>
      <c r="E2266">
        <v>440</v>
      </c>
      <c r="F2266" t="s">
        <v>1393</v>
      </c>
      <c r="G2266" t="s">
        <v>1394</v>
      </c>
      <c r="H2266" s="315" t="s">
        <v>1000</v>
      </c>
      <c r="I2266" s="315" t="s">
        <v>1001</v>
      </c>
      <c r="J2266" s="315" t="str">
        <f t="shared" si="196"/>
        <v>Admin &amp; OtherOther Overheads as % of Total Gross Profit</v>
      </c>
      <c r="K2266" s="315" t="str">
        <f t="shared" si="197"/>
        <v>440Environmental &amp; Health &amp; Safety expenses - Toyota</v>
      </c>
      <c r="L2266" s="311">
        <f>+SUMIF('TUNZ Extracted TB'!M:M,$P2266,'TUNZ Extracted TB'!G:G)</f>
        <v>37.39</v>
      </c>
      <c r="M2266" s="311"/>
      <c r="N2266" s="311">
        <f>+SUMIF('Input Sheet'!$AE:$AE,P2266,'Input Sheet'!$X:$X)</f>
        <v>0</v>
      </c>
      <c r="O2266" s="311"/>
      <c r="P2266" t="str">
        <f t="shared" si="198"/>
        <v>440-7453</v>
      </c>
      <c r="Q2266" s="315" t="str">
        <f t="shared" si="199"/>
        <v>Admin &amp; Other</v>
      </c>
      <c r="R2266" s="315" t="str">
        <f t="shared" si="200"/>
        <v>Admin &amp; OtherOther Overheads as % of Total Gross Profit</v>
      </c>
      <c r="S2266" s="199"/>
      <c r="T2266" s="199"/>
      <c r="U2266" s="199"/>
    </row>
    <row r="2267" spans="1:21" x14ac:dyDescent="0.25">
      <c r="A2267" s="316">
        <v>44866</v>
      </c>
      <c r="B2267" t="s">
        <v>997</v>
      </c>
      <c r="C2267" t="s">
        <v>997</v>
      </c>
      <c r="D2267">
        <v>7453</v>
      </c>
      <c r="E2267">
        <v>150</v>
      </c>
      <c r="G2267" t="s">
        <v>1395</v>
      </c>
      <c r="H2267" s="315" t="s">
        <v>1023</v>
      </c>
      <c r="I2267" s="315" t="s">
        <v>1001</v>
      </c>
      <c r="J2267" s="315" t="str">
        <f t="shared" si="196"/>
        <v>LEX Admin &amp; OtherOther Overheads as % of Total Gross Profit</v>
      </c>
      <c r="K2267" s="315" t="str">
        <f t="shared" si="197"/>
        <v>150Health &amp; Safety, Clothing</v>
      </c>
      <c r="L2267" s="311">
        <f>+SUMIF('TUNZ Extracted TB'!M:M,$P2267,'TUNZ Extracted TB'!G:G)</f>
        <v>325.87</v>
      </c>
      <c r="M2267" s="199"/>
      <c r="N2267" s="311">
        <f>+SUMIF('Input Sheet'!$AE:$AE,P2267,'Input Sheet'!$X:$X)</f>
        <v>0</v>
      </c>
      <c r="O2267" s="199"/>
      <c r="P2267" t="str">
        <f t="shared" si="198"/>
        <v>150-7453</v>
      </c>
      <c r="Q2267" s="315" t="str">
        <f t="shared" si="199"/>
        <v>LEX Admin &amp; Other</v>
      </c>
      <c r="R2267" s="315" t="str">
        <f t="shared" si="200"/>
        <v>LEX Admin &amp; OtherOther Overheads as % of Total Gross Profit</v>
      </c>
      <c r="S2267" s="199"/>
      <c r="T2267" s="199"/>
      <c r="U2267" s="199"/>
    </row>
    <row r="2268" spans="1:21" x14ac:dyDescent="0.25">
      <c r="A2268" t="s">
        <v>996</v>
      </c>
      <c r="B2268" t="s">
        <v>997</v>
      </c>
      <c r="C2268" t="s">
        <v>997</v>
      </c>
      <c r="D2268">
        <v>7453</v>
      </c>
      <c r="E2268">
        <v>120</v>
      </c>
      <c r="F2268" t="s">
        <v>1393</v>
      </c>
      <c r="G2268" t="s">
        <v>1394</v>
      </c>
      <c r="H2268" s="315" t="s">
        <v>1000</v>
      </c>
      <c r="I2268" s="315" t="s">
        <v>1001</v>
      </c>
      <c r="J2268" s="315" t="str">
        <f t="shared" si="196"/>
        <v>Admin &amp; OtherOther Overheads as % of Total Gross Profit</v>
      </c>
      <c r="K2268" s="315" t="str">
        <f t="shared" si="197"/>
        <v>120Environmental &amp; Health &amp; Safety expenses - Toyota</v>
      </c>
      <c r="L2268" s="311">
        <f>+SUMIF('TUNZ Extracted TB'!M:M,$P2268,'TUNZ Extracted TB'!G:G)</f>
        <v>47.8</v>
      </c>
      <c r="M2268" s="311"/>
      <c r="N2268" s="311">
        <f>+SUMIF('Input Sheet'!$AE:$AE,P2268,'Input Sheet'!$X:$X)</f>
        <v>0</v>
      </c>
      <c r="O2268" s="311"/>
      <c r="P2268" t="str">
        <f t="shared" si="198"/>
        <v>120-7453</v>
      </c>
      <c r="Q2268" s="315" t="str">
        <f t="shared" si="199"/>
        <v>Admin &amp; Other</v>
      </c>
      <c r="R2268" s="315" t="str">
        <f t="shared" si="200"/>
        <v>Admin &amp; OtherOther Overheads as % of Total Gross Profit</v>
      </c>
      <c r="S2268" s="199"/>
      <c r="T2268" s="199"/>
      <c r="U2268" s="199"/>
    </row>
    <row r="2269" spans="1:21" x14ac:dyDescent="0.25">
      <c r="A2269" t="s">
        <v>996</v>
      </c>
      <c r="B2269" t="s">
        <v>997</v>
      </c>
      <c r="C2269" t="s">
        <v>1005</v>
      </c>
      <c r="D2269">
        <v>7453</v>
      </c>
      <c r="E2269">
        <v>220</v>
      </c>
      <c r="F2269" t="s">
        <v>1393</v>
      </c>
      <c r="G2269" t="s">
        <v>1394</v>
      </c>
      <c r="H2269" s="315" t="s">
        <v>1000</v>
      </c>
      <c r="I2269" s="315" t="s">
        <v>1001</v>
      </c>
      <c r="J2269" s="315" t="str">
        <f t="shared" si="196"/>
        <v>Admin &amp; OtherOther Overheads as % of Total Gross Profit</v>
      </c>
      <c r="K2269" s="315" t="str">
        <f t="shared" si="197"/>
        <v>220Environmental &amp; Health &amp; Safety expenses - Toyota</v>
      </c>
      <c r="L2269" s="311">
        <f>+SUMIF('TUNZ Extracted TB'!M:M,$P2269,'TUNZ Extracted TB'!G:G)</f>
        <v>625.34</v>
      </c>
      <c r="M2269" s="311"/>
      <c r="N2269" s="311">
        <f>+SUMIF('Input Sheet'!$AE:$AE,P2269,'Input Sheet'!$X:$X)</f>
        <v>0</v>
      </c>
      <c r="O2269" s="311"/>
      <c r="P2269" t="str">
        <f t="shared" si="198"/>
        <v>220-7453</v>
      </c>
      <c r="Q2269" s="315" t="str">
        <f t="shared" si="199"/>
        <v>Admin &amp; Other</v>
      </c>
      <c r="R2269" s="315" t="str">
        <f t="shared" si="200"/>
        <v>Admin &amp; OtherOther Overheads as % of Total Gross Profit</v>
      </c>
      <c r="S2269" s="199"/>
      <c r="T2269" s="199"/>
      <c r="U2269" s="199"/>
    </row>
    <row r="2270" spans="1:21" x14ac:dyDescent="0.25">
      <c r="A2270" t="s">
        <v>996</v>
      </c>
      <c r="B2270" t="s">
        <v>997</v>
      </c>
      <c r="C2270" t="s">
        <v>1005</v>
      </c>
      <c r="D2270">
        <v>7453</v>
      </c>
      <c r="E2270">
        <v>210</v>
      </c>
      <c r="F2270" t="s">
        <v>1393</v>
      </c>
      <c r="G2270" t="s">
        <v>1394</v>
      </c>
      <c r="H2270" s="315" t="s">
        <v>1000</v>
      </c>
      <c r="I2270" s="315" t="s">
        <v>1001</v>
      </c>
      <c r="J2270" s="315" t="str">
        <f t="shared" si="196"/>
        <v>Admin &amp; OtherOther Overheads as % of Total Gross Profit</v>
      </c>
      <c r="K2270" s="315" t="str">
        <f t="shared" si="197"/>
        <v>210Environmental &amp; Health &amp; Safety expenses - Toyota</v>
      </c>
      <c r="L2270" s="311">
        <f>+SUMIF('TUNZ Extracted TB'!M:M,$P2270,'TUNZ Extracted TB'!G:G)</f>
        <v>662.75</v>
      </c>
      <c r="M2270" s="311"/>
      <c r="N2270" s="311">
        <f>+SUMIF('Input Sheet'!$AE:$AE,P2270,'Input Sheet'!$X:$X)</f>
        <v>0</v>
      </c>
      <c r="O2270" s="311"/>
      <c r="P2270" t="str">
        <f t="shared" si="198"/>
        <v>210-7453</v>
      </c>
      <c r="Q2270" s="315" t="str">
        <f t="shared" si="199"/>
        <v>Admin &amp; Other</v>
      </c>
      <c r="R2270" s="315" t="str">
        <f t="shared" si="200"/>
        <v>Admin &amp; OtherOther Overheads as % of Total Gross Profit</v>
      </c>
      <c r="S2270" s="199"/>
      <c r="T2270" s="199"/>
      <c r="U2270" s="199"/>
    </row>
    <row r="2271" spans="1:21" x14ac:dyDescent="0.25">
      <c r="A2271" t="s">
        <v>996</v>
      </c>
      <c r="B2271" t="s">
        <v>997</v>
      </c>
      <c r="C2271" t="s">
        <v>1012</v>
      </c>
      <c r="D2271">
        <v>7453</v>
      </c>
      <c r="E2271">
        <v>430</v>
      </c>
      <c r="F2271" t="s">
        <v>1393</v>
      </c>
      <c r="G2271" t="s">
        <v>1394</v>
      </c>
      <c r="H2271" s="315" t="s">
        <v>1000</v>
      </c>
      <c r="I2271" s="315" t="s">
        <v>1001</v>
      </c>
      <c r="J2271" s="315" t="str">
        <f t="shared" si="196"/>
        <v>Admin &amp; OtherOther Overheads as % of Total Gross Profit</v>
      </c>
      <c r="K2271" s="315" t="str">
        <f t="shared" si="197"/>
        <v>430Environmental &amp; Health &amp; Safety expenses - Toyota</v>
      </c>
      <c r="L2271" s="311">
        <f>+SUMIF('TUNZ Extracted TB'!M:M,$P2271,'TUNZ Extracted TB'!G:G)</f>
        <v>38.21</v>
      </c>
      <c r="M2271" s="311"/>
      <c r="N2271" s="311">
        <f>+SUMIF('Input Sheet'!$AE:$AE,P2271,'Input Sheet'!$X:$X)</f>
        <v>0</v>
      </c>
      <c r="O2271" s="311"/>
      <c r="P2271" t="str">
        <f t="shared" si="198"/>
        <v>430-7453</v>
      </c>
      <c r="Q2271" s="315" t="str">
        <f t="shared" si="199"/>
        <v>Admin &amp; Other</v>
      </c>
      <c r="R2271" s="315" t="str">
        <f t="shared" si="200"/>
        <v>Admin &amp; OtherOther Overheads as % of Total Gross Profit</v>
      </c>
      <c r="S2271" s="199"/>
      <c r="T2271" s="199"/>
      <c r="U2271" s="199"/>
    </row>
    <row r="2272" spans="1:21" x14ac:dyDescent="0.25">
      <c r="A2272" t="s">
        <v>996</v>
      </c>
      <c r="B2272" t="s">
        <v>997</v>
      </c>
      <c r="C2272" t="s">
        <v>1013</v>
      </c>
      <c r="D2272">
        <v>7453</v>
      </c>
      <c r="E2272">
        <v>340</v>
      </c>
      <c r="F2272" t="s">
        <v>1393</v>
      </c>
      <c r="G2272" t="s">
        <v>1394</v>
      </c>
      <c r="H2272" s="315" t="s">
        <v>1000</v>
      </c>
      <c r="I2272" s="315" t="s">
        <v>1001</v>
      </c>
      <c r="J2272" s="315" t="str">
        <f t="shared" si="196"/>
        <v>Admin &amp; OtherOther Overheads as % of Total Gross Profit</v>
      </c>
      <c r="K2272" s="315" t="str">
        <f t="shared" si="197"/>
        <v>340Environmental &amp; Health &amp; Safety expenses - Toyota</v>
      </c>
      <c r="L2272" s="311">
        <f>+SUMIF('TUNZ Extracted TB'!M:M,$P2272,'TUNZ Extracted TB'!G:G)</f>
        <v>36.159999999999997</v>
      </c>
      <c r="M2272" s="311"/>
      <c r="N2272" s="311">
        <f>+SUMIF('Input Sheet'!$AE:$AE,P2272,'Input Sheet'!$X:$X)</f>
        <v>0</v>
      </c>
      <c r="O2272" s="311"/>
      <c r="P2272" t="str">
        <f t="shared" si="198"/>
        <v>340-7453</v>
      </c>
      <c r="Q2272" s="315" t="str">
        <f t="shared" si="199"/>
        <v>Admin &amp; Other</v>
      </c>
      <c r="R2272" s="315" t="str">
        <f t="shared" si="200"/>
        <v>Admin &amp; OtherOther Overheads as % of Total Gross Profit</v>
      </c>
      <c r="S2272" s="199"/>
      <c r="T2272" s="199"/>
      <c r="U2272" s="199"/>
    </row>
    <row r="2273" spans="1:21" x14ac:dyDescent="0.25">
      <c r="A2273" t="s">
        <v>996</v>
      </c>
      <c r="B2273" t="s">
        <v>997</v>
      </c>
      <c r="C2273" t="s">
        <v>1013</v>
      </c>
      <c r="D2273">
        <v>7453</v>
      </c>
      <c r="E2273">
        <v>330</v>
      </c>
      <c r="F2273" t="s">
        <v>1393</v>
      </c>
      <c r="G2273" t="s">
        <v>1394</v>
      </c>
      <c r="H2273" s="315" t="s">
        <v>1000</v>
      </c>
      <c r="I2273" s="315" t="s">
        <v>1001</v>
      </c>
      <c r="J2273" s="315" t="str">
        <f t="shared" si="196"/>
        <v>Admin &amp; OtherOther Overheads as % of Total Gross Profit</v>
      </c>
      <c r="K2273" s="315" t="str">
        <f t="shared" si="197"/>
        <v>330Environmental &amp; Health &amp; Safety expenses - Toyota</v>
      </c>
      <c r="L2273" s="311">
        <f>+SUMIF('TUNZ Extracted TB'!M:M,$P2273,'TUNZ Extracted TB'!G:G)</f>
        <v>26.09</v>
      </c>
      <c r="M2273" s="311"/>
      <c r="N2273" s="311">
        <f>+SUMIF('Input Sheet'!$AE:$AE,P2273,'Input Sheet'!$X:$X)</f>
        <v>0</v>
      </c>
      <c r="O2273" s="311"/>
      <c r="P2273" t="str">
        <f t="shared" si="198"/>
        <v>330-7453</v>
      </c>
      <c r="Q2273" s="315" t="str">
        <f t="shared" si="199"/>
        <v>Admin &amp; Other</v>
      </c>
      <c r="R2273" s="315" t="str">
        <f t="shared" si="200"/>
        <v>Admin &amp; OtherOther Overheads as % of Total Gross Profit</v>
      </c>
      <c r="S2273" s="199"/>
      <c r="T2273" s="199"/>
      <c r="U2273" s="199"/>
    </row>
    <row r="2274" spans="1:21" x14ac:dyDescent="0.25">
      <c r="A2274" t="s">
        <v>996</v>
      </c>
      <c r="B2274" t="s">
        <v>997</v>
      </c>
      <c r="C2274" t="s">
        <v>1005</v>
      </c>
      <c r="D2274">
        <v>7453</v>
      </c>
      <c r="E2274">
        <v>230</v>
      </c>
      <c r="F2274" t="s">
        <v>1393</v>
      </c>
      <c r="G2274" t="s">
        <v>1394</v>
      </c>
      <c r="H2274" s="315" t="s">
        <v>1000</v>
      </c>
      <c r="I2274" s="315" t="s">
        <v>1001</v>
      </c>
      <c r="J2274" s="315" t="str">
        <f t="shared" si="196"/>
        <v>Admin &amp; OtherOther Overheads as % of Total Gross Profit</v>
      </c>
      <c r="K2274" s="315" t="str">
        <f t="shared" si="197"/>
        <v>230Environmental &amp; Health &amp; Safety expenses - Toyota</v>
      </c>
      <c r="L2274" s="311">
        <f>+SUMIF('TUNZ Extracted TB'!M:M,$P2274,'TUNZ Extracted TB'!G:G)</f>
        <v>119.51</v>
      </c>
      <c r="M2274" s="311"/>
      <c r="N2274" s="311">
        <f>+SUMIF('Input Sheet'!$AE:$AE,P2274,'Input Sheet'!$X:$X)</f>
        <v>0</v>
      </c>
      <c r="O2274" s="311"/>
      <c r="P2274" t="str">
        <f t="shared" si="198"/>
        <v>230-7453</v>
      </c>
      <c r="Q2274" s="315" t="str">
        <f t="shared" si="199"/>
        <v>Admin &amp; Other</v>
      </c>
      <c r="R2274" s="315" t="str">
        <f t="shared" si="200"/>
        <v>Admin &amp; OtherOther Overheads as % of Total Gross Profit</v>
      </c>
      <c r="S2274" s="199"/>
      <c r="T2274" s="199"/>
      <c r="U2274" s="199"/>
    </row>
    <row r="2275" spans="1:21" x14ac:dyDescent="0.25">
      <c r="A2275" t="s">
        <v>996</v>
      </c>
      <c r="B2275" t="s">
        <v>997</v>
      </c>
      <c r="C2275" t="s">
        <v>997</v>
      </c>
      <c r="D2275">
        <v>7453</v>
      </c>
      <c r="E2275">
        <v>160</v>
      </c>
      <c r="F2275" t="s">
        <v>1393</v>
      </c>
      <c r="G2275" t="s">
        <v>1394</v>
      </c>
      <c r="H2275" s="315" t="s">
        <v>1000</v>
      </c>
      <c r="I2275" s="315" t="s">
        <v>1001</v>
      </c>
      <c r="J2275" s="315" t="str">
        <f t="shared" si="196"/>
        <v>Admin &amp; OtherOther Overheads as % of Total Gross Profit</v>
      </c>
      <c r="K2275" s="315" t="str">
        <f t="shared" si="197"/>
        <v>160Environmental &amp; Health &amp; Safety expenses - Toyota</v>
      </c>
      <c r="L2275" s="311">
        <f>+SUMIF('TUNZ Extracted TB'!M:M,$P2275,'TUNZ Extracted TB'!G:G)</f>
        <v>13.6</v>
      </c>
      <c r="M2275" s="311"/>
      <c r="N2275" s="311">
        <f>+SUMIF('Input Sheet'!$AE:$AE,P2275,'Input Sheet'!$X:$X)</f>
        <v>0</v>
      </c>
      <c r="O2275" s="311"/>
      <c r="P2275" t="str">
        <f t="shared" si="198"/>
        <v>160-7453</v>
      </c>
      <c r="Q2275" s="315" t="str">
        <f t="shared" si="199"/>
        <v>Admin &amp; Other</v>
      </c>
      <c r="R2275" s="315" t="str">
        <f t="shared" si="200"/>
        <v>Admin &amp; OtherOther Overheads as % of Total Gross Profit</v>
      </c>
      <c r="S2275" s="199"/>
      <c r="T2275" s="199"/>
      <c r="U2275" s="199"/>
    </row>
    <row r="2276" spans="1:21" x14ac:dyDescent="0.25">
      <c r="A2276" t="s">
        <v>996</v>
      </c>
      <c r="B2276" t="s">
        <v>997</v>
      </c>
      <c r="C2276" t="s">
        <v>997</v>
      </c>
      <c r="D2276">
        <v>7453</v>
      </c>
      <c r="E2276">
        <v>140</v>
      </c>
      <c r="F2276" t="s">
        <v>1393</v>
      </c>
      <c r="G2276" t="s">
        <v>1394</v>
      </c>
      <c r="H2276" s="315" t="s">
        <v>1000</v>
      </c>
      <c r="I2276" s="315" t="s">
        <v>1001</v>
      </c>
      <c r="J2276" s="315" t="str">
        <f t="shared" si="196"/>
        <v>Admin &amp; OtherOther Overheads as % of Total Gross Profit</v>
      </c>
      <c r="K2276" s="315" t="str">
        <f t="shared" si="197"/>
        <v>140Environmental &amp; Health &amp; Safety expenses - Toyota</v>
      </c>
      <c r="L2276" s="311">
        <f>+SUMIF('TUNZ Extracted TB'!M:M,$P2276,'TUNZ Extracted TB'!G:G)</f>
        <v>1253.04</v>
      </c>
      <c r="M2276" s="311"/>
      <c r="N2276" s="311">
        <f>+SUMIF('Input Sheet'!$AE:$AE,P2276,'Input Sheet'!$X:$X)</f>
        <v>0</v>
      </c>
      <c r="O2276" s="311"/>
      <c r="P2276" t="str">
        <f t="shared" si="198"/>
        <v>140-7453</v>
      </c>
      <c r="Q2276" s="315" t="str">
        <f t="shared" si="199"/>
        <v>Admin &amp; Other</v>
      </c>
      <c r="R2276" s="315" t="str">
        <f t="shared" si="200"/>
        <v>Admin &amp; OtherOther Overheads as % of Total Gross Profit</v>
      </c>
      <c r="S2276" s="199"/>
      <c r="T2276" s="199"/>
      <c r="U2276" s="199"/>
    </row>
    <row r="2277" spans="1:21" x14ac:dyDescent="0.25">
      <c r="A2277" t="s">
        <v>996</v>
      </c>
      <c r="B2277" t="s">
        <v>997</v>
      </c>
      <c r="C2277" t="s">
        <v>997</v>
      </c>
      <c r="D2277">
        <v>7453</v>
      </c>
      <c r="E2277">
        <v>142</v>
      </c>
      <c r="F2277" t="s">
        <v>1396</v>
      </c>
      <c r="G2277" t="s">
        <v>1397</v>
      </c>
      <c r="H2277" s="315" t="s">
        <v>1023</v>
      </c>
      <c r="I2277" s="315" t="s">
        <v>1001</v>
      </c>
      <c r="J2277" s="315" t="str">
        <f t="shared" si="196"/>
        <v>LEX Admin &amp; OtherOther Overheads as % of Total Gross Profit</v>
      </c>
      <c r="K2277" s="315" t="str">
        <f t="shared" si="197"/>
        <v>142Environmental &amp; Health &amp; Safety expenses - Lexus</v>
      </c>
      <c r="L2277" s="311">
        <f>+SUMIF('TUNZ Extracted TB'!M:M,$P2277,'TUNZ Extracted TB'!G:G)</f>
        <v>168</v>
      </c>
      <c r="M2277" s="311"/>
      <c r="N2277" s="311">
        <f>+SUMIF('Input Sheet'!$AE:$AE,P2277,'Input Sheet'!$X:$X)</f>
        <v>0</v>
      </c>
      <c r="O2277" s="311"/>
      <c r="P2277" t="str">
        <f t="shared" si="198"/>
        <v>142-7453</v>
      </c>
      <c r="Q2277" s="315" t="str">
        <f t="shared" si="199"/>
        <v>LEX Admin &amp; Other</v>
      </c>
      <c r="R2277" s="315" t="str">
        <f t="shared" si="200"/>
        <v>LEX Admin &amp; OtherOther Overheads as % of Total Gross Profit</v>
      </c>
      <c r="S2277" s="199"/>
      <c r="T2277" s="199"/>
      <c r="U2277" s="199"/>
    </row>
    <row r="2278" spans="1:21" x14ac:dyDescent="0.25">
      <c r="A2278" t="s">
        <v>996</v>
      </c>
      <c r="B2278" t="s">
        <v>997</v>
      </c>
      <c r="C2278" t="s">
        <v>997</v>
      </c>
      <c r="D2278">
        <v>7453</v>
      </c>
      <c r="E2278">
        <v>130</v>
      </c>
      <c r="F2278" t="s">
        <v>1393</v>
      </c>
      <c r="G2278" t="s">
        <v>1394</v>
      </c>
      <c r="H2278" s="315" t="s">
        <v>1000</v>
      </c>
      <c r="I2278" s="315" t="s">
        <v>1001</v>
      </c>
      <c r="J2278" s="315" t="str">
        <f t="shared" si="196"/>
        <v>Admin &amp; OtherOther Overheads as % of Total Gross Profit</v>
      </c>
      <c r="K2278" s="315" t="str">
        <f t="shared" si="197"/>
        <v>130Environmental &amp; Health &amp; Safety expenses - Toyota</v>
      </c>
      <c r="L2278" s="311">
        <f>+SUMIF('TUNZ Extracted TB'!M:M,$P2278,'TUNZ Extracted TB'!G:G)</f>
        <v>417</v>
      </c>
      <c r="M2278" s="311"/>
      <c r="N2278" s="311">
        <f>+SUMIF('Input Sheet'!$AE:$AE,P2278,'Input Sheet'!$X:$X)</f>
        <v>0</v>
      </c>
      <c r="O2278" s="311"/>
      <c r="P2278" t="str">
        <f t="shared" si="198"/>
        <v>130-7453</v>
      </c>
      <c r="Q2278" s="315" t="str">
        <f t="shared" si="199"/>
        <v>Admin &amp; Other</v>
      </c>
      <c r="R2278" s="315" t="str">
        <f t="shared" si="200"/>
        <v>Admin &amp; OtherOther Overheads as % of Total Gross Profit</v>
      </c>
      <c r="S2278" s="199"/>
      <c r="T2278" s="199"/>
      <c r="U2278" s="199"/>
    </row>
    <row r="2279" spans="1:21" x14ac:dyDescent="0.25">
      <c r="A2279" t="s">
        <v>996</v>
      </c>
      <c r="B2279" t="s">
        <v>997</v>
      </c>
      <c r="C2279" t="s">
        <v>997</v>
      </c>
      <c r="D2279">
        <v>7453</v>
      </c>
      <c r="E2279">
        <v>132</v>
      </c>
      <c r="F2279" t="s">
        <v>1396</v>
      </c>
      <c r="G2279" t="s">
        <v>1397</v>
      </c>
      <c r="H2279" s="315" t="s">
        <v>1023</v>
      </c>
      <c r="I2279" s="315" t="s">
        <v>1001</v>
      </c>
      <c r="J2279" s="315" t="str">
        <f t="shared" si="196"/>
        <v>LEX Admin &amp; OtherOther Overheads as % of Total Gross Profit</v>
      </c>
      <c r="K2279" s="315" t="str">
        <f t="shared" si="197"/>
        <v>132Environmental &amp; Health &amp; Safety expenses - Lexus</v>
      </c>
      <c r="L2279" s="311">
        <f>+SUMIF('TUNZ Extracted TB'!M:M,$P2279,'TUNZ Extracted TB'!G:G)</f>
        <v>0</v>
      </c>
      <c r="M2279" s="311"/>
      <c r="N2279" s="311">
        <f>+SUMIF('Input Sheet'!$AE:$AE,P2279,'Input Sheet'!$X:$X)</f>
        <v>0</v>
      </c>
      <c r="O2279" s="311"/>
      <c r="P2279" t="str">
        <f t="shared" si="198"/>
        <v>132-7453</v>
      </c>
      <c r="Q2279" s="315" t="str">
        <f t="shared" si="199"/>
        <v>LEX Admin &amp; Other</v>
      </c>
      <c r="R2279" s="315" t="str">
        <f t="shared" si="200"/>
        <v>LEX Admin &amp; OtherOther Overheads as % of Total Gross Profit</v>
      </c>
      <c r="S2279" s="199"/>
      <c r="T2279" s="199"/>
      <c r="U2279" s="199"/>
    </row>
    <row r="2280" spans="1:21" x14ac:dyDescent="0.25">
      <c r="A2280" t="s">
        <v>996</v>
      </c>
      <c r="B2280" t="s">
        <v>997</v>
      </c>
      <c r="C2280" t="s">
        <v>997</v>
      </c>
      <c r="D2280">
        <v>7453</v>
      </c>
      <c r="E2280">
        <v>162</v>
      </c>
      <c r="F2280" t="s">
        <v>1396</v>
      </c>
      <c r="G2280" t="s">
        <v>1397</v>
      </c>
      <c r="H2280" s="315" t="s">
        <v>1023</v>
      </c>
      <c r="I2280" s="315" t="s">
        <v>1001</v>
      </c>
      <c r="J2280" s="315" t="str">
        <f t="shared" si="196"/>
        <v>LEX Admin &amp; OtherOther Overheads as % of Total Gross Profit</v>
      </c>
      <c r="K2280" s="315" t="str">
        <f t="shared" si="197"/>
        <v>162Environmental &amp; Health &amp; Safety expenses - Lexus</v>
      </c>
      <c r="L2280" s="311">
        <f>+SUMIF('TUNZ Extracted TB'!M:M,$P2280,'TUNZ Extracted TB'!G:G)</f>
        <v>0</v>
      </c>
      <c r="M2280" s="311"/>
      <c r="N2280" s="311">
        <f>+SUMIF('Input Sheet'!$AE:$AE,P2280,'Input Sheet'!$X:$X)</f>
        <v>0</v>
      </c>
      <c r="O2280" s="311"/>
      <c r="P2280" t="str">
        <f t="shared" si="198"/>
        <v>162-7453</v>
      </c>
      <c r="Q2280" s="315" t="str">
        <f t="shared" si="199"/>
        <v>LEX Admin &amp; Other</v>
      </c>
      <c r="R2280" s="315" t="str">
        <f t="shared" si="200"/>
        <v>LEX Admin &amp; OtherOther Overheads as % of Total Gross Profit</v>
      </c>
      <c r="S2280" s="199"/>
      <c r="T2280" s="199"/>
      <c r="U2280" s="199"/>
    </row>
    <row r="2281" spans="1:21" x14ac:dyDescent="0.25">
      <c r="A2281" t="s">
        <v>996</v>
      </c>
      <c r="B2281" t="s">
        <v>997</v>
      </c>
      <c r="C2281" t="s">
        <v>997</v>
      </c>
      <c r="D2281">
        <v>7453</v>
      </c>
      <c r="E2281">
        <v>122</v>
      </c>
      <c r="F2281" t="s">
        <v>1396</v>
      </c>
      <c r="G2281" t="s">
        <v>1397</v>
      </c>
      <c r="H2281" s="315" t="s">
        <v>1023</v>
      </c>
      <c r="I2281" s="315" t="s">
        <v>1001</v>
      </c>
      <c r="J2281" s="315" t="str">
        <f t="shared" si="196"/>
        <v>LEX Admin &amp; OtherOther Overheads as % of Total Gross Profit</v>
      </c>
      <c r="K2281" s="315" t="str">
        <f t="shared" si="197"/>
        <v>122Environmental &amp; Health &amp; Safety expenses - Lexus</v>
      </c>
      <c r="L2281" s="311">
        <f>+SUMIF('TUNZ Extracted TB'!M:M,$P2281,'TUNZ Extracted TB'!G:G)</f>
        <v>0</v>
      </c>
      <c r="M2281" s="311"/>
      <c r="N2281" s="311">
        <f>+SUMIF('Input Sheet'!$AE:$AE,P2281,'Input Sheet'!$X:$X)</f>
        <v>0</v>
      </c>
      <c r="O2281" s="311"/>
      <c r="P2281" t="str">
        <f t="shared" si="198"/>
        <v>122-7453</v>
      </c>
      <c r="Q2281" s="315" t="str">
        <f t="shared" si="199"/>
        <v>LEX Admin &amp; Other</v>
      </c>
      <c r="R2281" s="315" t="str">
        <f t="shared" si="200"/>
        <v>LEX Admin &amp; OtherOther Overheads as % of Total Gross Profit</v>
      </c>
      <c r="S2281" s="199"/>
      <c r="T2281" s="199"/>
      <c r="U2281" s="199"/>
    </row>
    <row r="2282" spans="1:21" x14ac:dyDescent="0.25">
      <c r="A2282" t="s">
        <v>996</v>
      </c>
      <c r="B2282" t="s">
        <v>997</v>
      </c>
      <c r="C2282" t="s">
        <v>997</v>
      </c>
      <c r="D2282">
        <v>7453</v>
      </c>
      <c r="E2282">
        <v>147</v>
      </c>
      <c r="F2282" t="s">
        <v>1393</v>
      </c>
      <c r="G2282" t="s">
        <v>1394</v>
      </c>
      <c r="H2282" s="315" t="s">
        <v>1000</v>
      </c>
      <c r="I2282" s="315" t="s">
        <v>1001</v>
      </c>
      <c r="J2282" s="315" t="str">
        <f t="shared" si="196"/>
        <v>Admin &amp; OtherOther Overheads as % of Total Gross Profit</v>
      </c>
      <c r="K2282" s="315" t="str">
        <f t="shared" si="197"/>
        <v>147Environmental &amp; Health &amp; Safety expenses - Toyota</v>
      </c>
      <c r="L2282" s="311">
        <f>+SUMIF('TUNZ Extracted TB'!M:M,$P2282,'TUNZ Extracted TB'!G:G)</f>
        <v>0</v>
      </c>
      <c r="M2282" s="311"/>
      <c r="N2282" s="311">
        <f>+SUMIF('Input Sheet'!$AE:$AE,P2282,'Input Sheet'!$X:$X)</f>
        <v>0</v>
      </c>
      <c r="O2282" s="311"/>
      <c r="P2282" t="str">
        <f t="shared" si="198"/>
        <v>147-7453</v>
      </c>
      <c r="Q2282" s="315" t="str">
        <f t="shared" si="199"/>
        <v>Admin &amp; Other</v>
      </c>
      <c r="R2282" s="315" t="str">
        <f t="shared" si="200"/>
        <v>Admin &amp; OtherOther Overheads as % of Total Gross Profit</v>
      </c>
      <c r="S2282" s="199"/>
      <c r="T2282" s="199"/>
      <c r="U2282" s="199"/>
    </row>
    <row r="2283" spans="1:21" x14ac:dyDescent="0.25">
      <c r="A2283" t="s">
        <v>996</v>
      </c>
      <c r="B2283" t="s">
        <v>997</v>
      </c>
      <c r="C2283" t="s">
        <v>997</v>
      </c>
      <c r="D2283">
        <v>7453</v>
      </c>
      <c r="E2283">
        <v>121</v>
      </c>
      <c r="F2283" t="s">
        <v>1393</v>
      </c>
      <c r="G2283" t="s">
        <v>1394</v>
      </c>
      <c r="H2283" s="315" t="s">
        <v>1000</v>
      </c>
      <c r="I2283" s="315" t="s">
        <v>1001</v>
      </c>
      <c r="J2283" s="315" t="str">
        <f t="shared" si="196"/>
        <v>Admin &amp; OtherOther Overheads as % of Total Gross Profit</v>
      </c>
      <c r="K2283" s="315" t="str">
        <f t="shared" si="197"/>
        <v>121Environmental &amp; Health &amp; Safety expenses - Toyota</v>
      </c>
      <c r="L2283" s="311">
        <f>+SUMIF('TUNZ Extracted TB'!M:M,$P2283,'TUNZ Extracted TB'!G:G)</f>
        <v>0</v>
      </c>
      <c r="M2283" s="311"/>
      <c r="N2283" s="311">
        <f>+SUMIF('Input Sheet'!$AE:$AE,P2283,'Input Sheet'!$X:$X)</f>
        <v>0</v>
      </c>
      <c r="O2283" s="311"/>
      <c r="P2283" t="str">
        <f t="shared" si="198"/>
        <v>121-7453</v>
      </c>
      <c r="Q2283" s="315" t="str">
        <f t="shared" si="199"/>
        <v>Admin &amp; Other</v>
      </c>
      <c r="R2283" s="315" t="str">
        <f t="shared" si="200"/>
        <v>Admin &amp; OtherOther Overheads as % of Total Gross Profit</v>
      </c>
      <c r="S2283" s="199"/>
      <c r="T2283" s="199"/>
      <c r="U2283" s="199"/>
    </row>
    <row r="2284" spans="1:21" x14ac:dyDescent="0.25">
      <c r="A2284" t="s">
        <v>996</v>
      </c>
      <c r="B2284" t="s">
        <v>997</v>
      </c>
      <c r="C2284" t="s">
        <v>1005</v>
      </c>
      <c r="D2284">
        <v>7453</v>
      </c>
      <c r="E2284">
        <v>260</v>
      </c>
      <c r="F2284" t="s">
        <v>1393</v>
      </c>
      <c r="G2284" t="s">
        <v>1394</v>
      </c>
      <c r="H2284" s="315" t="s">
        <v>1000</v>
      </c>
      <c r="I2284" s="315" t="s">
        <v>1001</v>
      </c>
      <c r="J2284" s="315" t="str">
        <f t="shared" si="196"/>
        <v>Admin &amp; OtherOther Overheads as % of Total Gross Profit</v>
      </c>
      <c r="K2284" s="315" t="str">
        <f t="shared" si="197"/>
        <v>260Environmental &amp; Health &amp; Safety expenses - Toyota</v>
      </c>
      <c r="L2284" s="311">
        <f>+SUMIF('TUNZ Extracted TB'!M:M,$P2284,'TUNZ Extracted TB'!G:G)</f>
        <v>0</v>
      </c>
      <c r="M2284" s="311"/>
      <c r="N2284" s="311">
        <f>+SUMIF('Input Sheet'!$AE:$AE,P2284,'Input Sheet'!$X:$X)</f>
        <v>0</v>
      </c>
      <c r="O2284" s="311"/>
      <c r="P2284" t="str">
        <f t="shared" si="198"/>
        <v>260-7453</v>
      </c>
      <c r="Q2284" s="315" t="str">
        <f t="shared" si="199"/>
        <v>Admin &amp; Other</v>
      </c>
      <c r="R2284" s="315" t="str">
        <f t="shared" si="200"/>
        <v>Admin &amp; OtherOther Overheads as % of Total Gross Profit</v>
      </c>
      <c r="S2284" s="199"/>
      <c r="T2284" s="199"/>
      <c r="U2284" s="199"/>
    </row>
    <row r="2285" spans="1:21" x14ac:dyDescent="0.25">
      <c r="A2285" t="s">
        <v>996</v>
      </c>
      <c r="B2285" t="s">
        <v>997</v>
      </c>
      <c r="C2285" t="s">
        <v>1005</v>
      </c>
      <c r="D2285">
        <v>7453</v>
      </c>
      <c r="E2285">
        <v>200</v>
      </c>
      <c r="F2285" t="s">
        <v>1393</v>
      </c>
      <c r="G2285" t="s">
        <v>1394</v>
      </c>
      <c r="H2285" s="315" t="s">
        <v>1000</v>
      </c>
      <c r="I2285" s="315" t="s">
        <v>1001</v>
      </c>
      <c r="J2285" s="315" t="str">
        <f t="shared" si="196"/>
        <v>Admin &amp; OtherOther Overheads as % of Total Gross Profit</v>
      </c>
      <c r="K2285" s="315" t="str">
        <f t="shared" si="197"/>
        <v>200Environmental &amp; Health &amp; Safety expenses - Toyota</v>
      </c>
      <c r="L2285" s="311">
        <f>+SUMIF('TUNZ Extracted TB'!M:M,$P2285,'TUNZ Extracted TB'!G:G)</f>
        <v>0</v>
      </c>
      <c r="M2285" s="311"/>
      <c r="N2285" s="311">
        <f>+SUMIF('Input Sheet'!$AE:$AE,P2285,'Input Sheet'!$X:$X)</f>
        <v>0</v>
      </c>
      <c r="O2285" s="311"/>
      <c r="P2285" t="str">
        <f t="shared" si="198"/>
        <v>200-7453</v>
      </c>
      <c r="Q2285" s="315" t="str">
        <f t="shared" si="199"/>
        <v>Admin &amp; Other</v>
      </c>
      <c r="R2285" s="315" t="str">
        <f t="shared" si="200"/>
        <v>Admin &amp; OtherOther Overheads as % of Total Gross Profit</v>
      </c>
      <c r="S2285" s="199"/>
      <c r="T2285" s="199"/>
      <c r="U2285" s="199"/>
    </row>
    <row r="2286" spans="1:21" x14ac:dyDescent="0.25">
      <c r="A2286" t="s">
        <v>996</v>
      </c>
      <c r="B2286" t="s">
        <v>997</v>
      </c>
      <c r="C2286" t="s">
        <v>1005</v>
      </c>
      <c r="D2286">
        <v>7453</v>
      </c>
      <c r="E2286">
        <v>221</v>
      </c>
      <c r="F2286" t="s">
        <v>1393</v>
      </c>
      <c r="G2286" t="s">
        <v>1394</v>
      </c>
      <c r="H2286" s="315" t="s">
        <v>1000</v>
      </c>
      <c r="I2286" s="315" t="s">
        <v>1001</v>
      </c>
      <c r="J2286" s="315" t="str">
        <f t="shared" si="196"/>
        <v>Admin &amp; OtherOther Overheads as % of Total Gross Profit</v>
      </c>
      <c r="K2286" s="315" t="str">
        <f t="shared" si="197"/>
        <v>221Environmental &amp; Health &amp; Safety expenses - Toyota</v>
      </c>
      <c r="L2286" s="311">
        <f>+SUMIF('TUNZ Extracted TB'!M:M,$P2286,'TUNZ Extracted TB'!G:G)</f>
        <v>0</v>
      </c>
      <c r="M2286" s="311"/>
      <c r="N2286" s="311">
        <f>+SUMIF('Input Sheet'!$AE:$AE,P2286,'Input Sheet'!$X:$X)</f>
        <v>0</v>
      </c>
      <c r="O2286" s="311"/>
      <c r="P2286" t="str">
        <f t="shared" si="198"/>
        <v>221-7453</v>
      </c>
      <c r="Q2286" s="315" t="str">
        <f t="shared" si="199"/>
        <v>Admin &amp; Other</v>
      </c>
      <c r="R2286" s="315" t="str">
        <f t="shared" si="200"/>
        <v>Admin &amp; OtherOther Overheads as % of Total Gross Profit</v>
      </c>
      <c r="S2286" s="199"/>
      <c r="T2286" s="199"/>
      <c r="U2286" s="199"/>
    </row>
    <row r="2287" spans="1:21" x14ac:dyDescent="0.25">
      <c r="A2287" t="s">
        <v>996</v>
      </c>
      <c r="B2287" t="s">
        <v>997</v>
      </c>
      <c r="C2287" t="s">
        <v>1012</v>
      </c>
      <c r="D2287">
        <v>7453</v>
      </c>
      <c r="E2287">
        <v>400</v>
      </c>
      <c r="F2287" t="s">
        <v>1393</v>
      </c>
      <c r="G2287" t="s">
        <v>1394</v>
      </c>
      <c r="H2287" s="315" t="s">
        <v>1000</v>
      </c>
      <c r="I2287" s="315" t="s">
        <v>1001</v>
      </c>
      <c r="J2287" s="315" t="str">
        <f t="shared" si="196"/>
        <v>Admin &amp; OtherOther Overheads as % of Total Gross Profit</v>
      </c>
      <c r="K2287" s="315" t="str">
        <f t="shared" si="197"/>
        <v>400Environmental &amp; Health &amp; Safety expenses - Toyota</v>
      </c>
      <c r="L2287" s="311">
        <f>+SUMIF('TUNZ Extracted TB'!M:M,$P2287,'TUNZ Extracted TB'!G:G)</f>
        <v>0</v>
      </c>
      <c r="M2287" s="311"/>
      <c r="N2287" s="311">
        <f>+SUMIF('Input Sheet'!$AE:$AE,P2287,'Input Sheet'!$X:$X)</f>
        <v>0</v>
      </c>
      <c r="O2287" s="311"/>
      <c r="P2287" t="str">
        <f t="shared" si="198"/>
        <v>400-7453</v>
      </c>
      <c r="Q2287" s="315" t="str">
        <f t="shared" si="199"/>
        <v>Admin &amp; Other</v>
      </c>
      <c r="R2287" s="315" t="str">
        <f t="shared" si="200"/>
        <v>Admin &amp; OtherOther Overheads as % of Total Gross Profit</v>
      </c>
      <c r="S2287" s="199"/>
      <c r="T2287" s="199"/>
      <c r="U2287" s="199"/>
    </row>
    <row r="2288" spans="1:21" x14ac:dyDescent="0.25">
      <c r="A2288" t="s">
        <v>996</v>
      </c>
      <c r="B2288" t="s">
        <v>997</v>
      </c>
      <c r="C2288" t="s">
        <v>1012</v>
      </c>
      <c r="D2288">
        <v>7453</v>
      </c>
      <c r="E2288">
        <v>410</v>
      </c>
      <c r="F2288" t="s">
        <v>1393</v>
      </c>
      <c r="G2288" t="s">
        <v>1394</v>
      </c>
      <c r="H2288" s="315" t="s">
        <v>1000</v>
      </c>
      <c r="I2288" s="315" t="s">
        <v>1001</v>
      </c>
      <c r="J2288" s="315" t="str">
        <f t="shared" si="196"/>
        <v>Admin &amp; OtherOther Overheads as % of Total Gross Profit</v>
      </c>
      <c r="K2288" s="315" t="str">
        <f t="shared" si="197"/>
        <v>410Environmental &amp; Health &amp; Safety expenses - Toyota</v>
      </c>
      <c r="L2288" s="311">
        <f>+SUMIF('TUNZ Extracted TB'!M:M,$P2288,'TUNZ Extracted TB'!G:G)</f>
        <v>0</v>
      </c>
      <c r="M2288" s="311"/>
      <c r="N2288" s="311">
        <f>+SUMIF('Input Sheet'!$AE:$AE,P2288,'Input Sheet'!$X:$X)</f>
        <v>0</v>
      </c>
      <c r="O2288" s="311"/>
      <c r="P2288" t="str">
        <f t="shared" si="198"/>
        <v>410-7453</v>
      </c>
      <c r="Q2288" s="315" t="str">
        <f t="shared" si="199"/>
        <v>Admin &amp; Other</v>
      </c>
      <c r="R2288" s="315" t="str">
        <f t="shared" si="200"/>
        <v>Admin &amp; OtherOther Overheads as % of Total Gross Profit</v>
      </c>
      <c r="S2288" s="199"/>
      <c r="T2288" s="199"/>
      <c r="U2288" s="199"/>
    </row>
    <row r="2289" spans="1:21" x14ac:dyDescent="0.25">
      <c r="A2289" t="s">
        <v>996</v>
      </c>
      <c r="B2289" t="s">
        <v>997</v>
      </c>
      <c r="C2289" t="s">
        <v>1012</v>
      </c>
      <c r="D2289">
        <v>7453</v>
      </c>
      <c r="E2289">
        <v>420</v>
      </c>
      <c r="F2289" t="s">
        <v>1393</v>
      </c>
      <c r="G2289" t="s">
        <v>1394</v>
      </c>
      <c r="H2289" s="315" t="s">
        <v>1000</v>
      </c>
      <c r="I2289" s="315" t="s">
        <v>1001</v>
      </c>
      <c r="J2289" s="315" t="str">
        <f t="shared" si="196"/>
        <v>Admin &amp; OtherOther Overheads as % of Total Gross Profit</v>
      </c>
      <c r="K2289" s="315" t="str">
        <f t="shared" si="197"/>
        <v>420Environmental &amp; Health &amp; Safety expenses - Toyota</v>
      </c>
      <c r="L2289" s="311">
        <f>+SUMIF('TUNZ Extracted TB'!M:M,$P2289,'TUNZ Extracted TB'!G:G)</f>
        <v>0</v>
      </c>
      <c r="M2289" s="311"/>
      <c r="N2289" s="311">
        <f>+SUMIF('Input Sheet'!$AE:$AE,P2289,'Input Sheet'!$X:$X)</f>
        <v>0</v>
      </c>
      <c r="O2289" s="311"/>
      <c r="P2289" t="str">
        <f t="shared" si="198"/>
        <v>420-7453</v>
      </c>
      <c r="Q2289" s="315" t="str">
        <f t="shared" si="199"/>
        <v>Admin &amp; Other</v>
      </c>
      <c r="R2289" s="315" t="str">
        <f t="shared" si="200"/>
        <v>Admin &amp; OtherOther Overheads as % of Total Gross Profit</v>
      </c>
      <c r="S2289" s="199"/>
      <c r="T2289" s="199"/>
      <c r="U2289" s="199"/>
    </row>
    <row r="2290" spans="1:21" x14ac:dyDescent="0.25">
      <c r="A2290" t="s">
        <v>996</v>
      </c>
      <c r="B2290" t="s">
        <v>997</v>
      </c>
      <c r="C2290" t="s">
        <v>1012</v>
      </c>
      <c r="D2290">
        <v>7453</v>
      </c>
      <c r="E2290">
        <v>421</v>
      </c>
      <c r="F2290" t="s">
        <v>1393</v>
      </c>
      <c r="G2290" t="s">
        <v>1394</v>
      </c>
      <c r="H2290" s="315" t="s">
        <v>1000</v>
      </c>
      <c r="I2290" s="315" t="s">
        <v>1001</v>
      </c>
      <c r="J2290" s="315" t="str">
        <f t="shared" si="196"/>
        <v>Admin &amp; OtherOther Overheads as % of Total Gross Profit</v>
      </c>
      <c r="K2290" s="315" t="str">
        <f t="shared" si="197"/>
        <v>421Environmental &amp; Health &amp; Safety expenses - Toyota</v>
      </c>
      <c r="L2290" s="311">
        <f>+SUMIF('TUNZ Extracted TB'!M:M,$P2290,'TUNZ Extracted TB'!G:G)</f>
        <v>0</v>
      </c>
      <c r="M2290" s="311"/>
      <c r="N2290" s="311">
        <f>+SUMIF('Input Sheet'!$AE:$AE,P2290,'Input Sheet'!$X:$X)</f>
        <v>0</v>
      </c>
      <c r="O2290" s="311"/>
      <c r="P2290" t="str">
        <f t="shared" si="198"/>
        <v>421-7453</v>
      </c>
      <c r="Q2290" s="315" t="str">
        <f t="shared" si="199"/>
        <v>Admin &amp; Other</v>
      </c>
      <c r="R2290" s="315" t="str">
        <f t="shared" si="200"/>
        <v>Admin &amp; OtherOther Overheads as % of Total Gross Profit</v>
      </c>
      <c r="S2290" s="199"/>
      <c r="T2290" s="199"/>
      <c r="U2290" s="199"/>
    </row>
    <row r="2291" spans="1:21" x14ac:dyDescent="0.25">
      <c r="A2291" t="s">
        <v>996</v>
      </c>
      <c r="B2291" t="s">
        <v>997</v>
      </c>
      <c r="C2291" t="s">
        <v>1012</v>
      </c>
      <c r="D2291">
        <v>7453</v>
      </c>
      <c r="E2291">
        <v>460</v>
      </c>
      <c r="F2291" t="s">
        <v>1393</v>
      </c>
      <c r="G2291" t="s">
        <v>1394</v>
      </c>
      <c r="H2291" s="315" t="s">
        <v>1000</v>
      </c>
      <c r="I2291" s="315" t="s">
        <v>1001</v>
      </c>
      <c r="J2291" s="315" t="str">
        <f t="shared" si="196"/>
        <v>Admin &amp; OtherOther Overheads as % of Total Gross Profit</v>
      </c>
      <c r="K2291" s="315" t="str">
        <f t="shared" si="197"/>
        <v>460Environmental &amp; Health &amp; Safety expenses - Toyota</v>
      </c>
      <c r="L2291" s="311">
        <f>+SUMIF('TUNZ Extracted TB'!M:M,$P2291,'TUNZ Extracted TB'!G:G)</f>
        <v>0</v>
      </c>
      <c r="M2291" s="311"/>
      <c r="N2291" s="311">
        <f>+SUMIF('Input Sheet'!$AE:$AE,P2291,'Input Sheet'!$X:$X)</f>
        <v>0</v>
      </c>
      <c r="O2291" s="311"/>
      <c r="P2291" t="str">
        <f t="shared" si="198"/>
        <v>460-7453</v>
      </c>
      <c r="Q2291" s="315" t="str">
        <f t="shared" si="199"/>
        <v>Admin &amp; Other</v>
      </c>
      <c r="R2291" s="315" t="str">
        <f t="shared" si="200"/>
        <v>Admin &amp; OtherOther Overheads as % of Total Gross Profit</v>
      </c>
      <c r="S2291" s="199"/>
      <c r="T2291" s="199"/>
      <c r="U2291" s="199"/>
    </row>
    <row r="2292" spans="1:21" x14ac:dyDescent="0.25">
      <c r="A2292" t="s">
        <v>996</v>
      </c>
      <c r="B2292" t="s">
        <v>997</v>
      </c>
      <c r="C2292" t="s">
        <v>1013</v>
      </c>
      <c r="D2292">
        <v>7453</v>
      </c>
      <c r="E2292">
        <v>300</v>
      </c>
      <c r="F2292" t="s">
        <v>1393</v>
      </c>
      <c r="G2292" t="s">
        <v>1394</v>
      </c>
      <c r="H2292" s="315" t="s">
        <v>1000</v>
      </c>
      <c r="I2292" s="315" t="s">
        <v>1001</v>
      </c>
      <c r="J2292" s="315" t="str">
        <f t="shared" si="196"/>
        <v>Admin &amp; OtherOther Overheads as % of Total Gross Profit</v>
      </c>
      <c r="K2292" s="315" t="str">
        <f t="shared" si="197"/>
        <v>300Environmental &amp; Health &amp; Safety expenses - Toyota</v>
      </c>
      <c r="L2292" s="311">
        <f>+SUMIF('TUNZ Extracted TB'!M:M,$P2292,'TUNZ Extracted TB'!G:G)</f>
        <v>0</v>
      </c>
      <c r="M2292" s="311"/>
      <c r="N2292" s="311">
        <f>+SUMIF('Input Sheet'!$AE:$AE,P2292,'Input Sheet'!$X:$X)</f>
        <v>0</v>
      </c>
      <c r="O2292" s="311"/>
      <c r="P2292" t="str">
        <f t="shared" si="198"/>
        <v>300-7453</v>
      </c>
      <c r="Q2292" s="315" t="str">
        <f t="shared" si="199"/>
        <v>Admin &amp; Other</v>
      </c>
      <c r="R2292" s="315" t="str">
        <f t="shared" si="200"/>
        <v>Admin &amp; OtherOther Overheads as % of Total Gross Profit</v>
      </c>
      <c r="S2292" s="199"/>
      <c r="T2292" s="199"/>
      <c r="U2292" s="199"/>
    </row>
    <row r="2293" spans="1:21" x14ac:dyDescent="0.25">
      <c r="A2293" t="s">
        <v>996</v>
      </c>
      <c r="B2293" t="s">
        <v>997</v>
      </c>
      <c r="C2293" t="s">
        <v>1013</v>
      </c>
      <c r="D2293">
        <v>7453</v>
      </c>
      <c r="E2293">
        <v>310</v>
      </c>
      <c r="F2293" t="s">
        <v>1393</v>
      </c>
      <c r="G2293" t="s">
        <v>1394</v>
      </c>
      <c r="H2293" s="315" t="s">
        <v>1000</v>
      </c>
      <c r="I2293" s="315" t="s">
        <v>1001</v>
      </c>
      <c r="J2293" s="315" t="str">
        <f t="shared" si="196"/>
        <v>Admin &amp; OtherOther Overheads as % of Total Gross Profit</v>
      </c>
      <c r="K2293" s="315" t="str">
        <f t="shared" si="197"/>
        <v>310Environmental &amp; Health &amp; Safety expenses - Toyota</v>
      </c>
      <c r="L2293" s="311">
        <f>+SUMIF('TUNZ Extracted TB'!M:M,$P2293,'TUNZ Extracted TB'!G:G)</f>
        <v>0</v>
      </c>
      <c r="M2293" s="311"/>
      <c r="N2293" s="311">
        <f>+SUMIF('Input Sheet'!$AE:$AE,P2293,'Input Sheet'!$X:$X)</f>
        <v>0</v>
      </c>
      <c r="O2293" s="311"/>
      <c r="P2293" t="str">
        <f t="shared" si="198"/>
        <v>310-7453</v>
      </c>
      <c r="Q2293" s="315" t="str">
        <f t="shared" si="199"/>
        <v>Admin &amp; Other</v>
      </c>
      <c r="R2293" s="315" t="str">
        <f t="shared" si="200"/>
        <v>Admin &amp; OtherOther Overheads as % of Total Gross Profit</v>
      </c>
      <c r="S2293" s="199"/>
      <c r="T2293" s="199"/>
      <c r="U2293" s="199"/>
    </row>
    <row r="2294" spans="1:21" x14ac:dyDescent="0.25">
      <c r="A2294" t="s">
        <v>996</v>
      </c>
      <c r="B2294" t="s">
        <v>997</v>
      </c>
      <c r="C2294" t="s">
        <v>1013</v>
      </c>
      <c r="D2294">
        <v>7453</v>
      </c>
      <c r="E2294">
        <v>321</v>
      </c>
      <c r="F2294" t="s">
        <v>1393</v>
      </c>
      <c r="G2294" t="s">
        <v>1394</v>
      </c>
      <c r="H2294" s="315" t="s">
        <v>1000</v>
      </c>
      <c r="I2294" s="315" t="s">
        <v>1001</v>
      </c>
      <c r="J2294" s="315" t="str">
        <f t="shared" si="196"/>
        <v>Admin &amp; OtherOther Overheads as % of Total Gross Profit</v>
      </c>
      <c r="K2294" s="315" t="str">
        <f t="shared" si="197"/>
        <v>321Environmental &amp; Health &amp; Safety expenses - Toyota</v>
      </c>
      <c r="L2294" s="311">
        <f>+SUMIF('TUNZ Extracted TB'!M:M,$P2294,'TUNZ Extracted TB'!G:G)</f>
        <v>0</v>
      </c>
      <c r="M2294" s="311"/>
      <c r="N2294" s="311">
        <f>+SUMIF('Input Sheet'!$AE:$AE,P2294,'Input Sheet'!$X:$X)</f>
        <v>0</v>
      </c>
      <c r="O2294" s="311"/>
      <c r="P2294" t="str">
        <f t="shared" si="198"/>
        <v>321-7453</v>
      </c>
      <c r="Q2294" s="315" t="str">
        <f t="shared" si="199"/>
        <v>Admin &amp; Other</v>
      </c>
      <c r="R2294" s="315" t="str">
        <f t="shared" si="200"/>
        <v>Admin &amp; OtherOther Overheads as % of Total Gross Profit</v>
      </c>
      <c r="S2294" s="199"/>
      <c r="T2294" s="199"/>
      <c r="U2294" s="199"/>
    </row>
    <row r="2295" spans="1:21" x14ac:dyDescent="0.25">
      <c r="A2295" t="s">
        <v>996</v>
      </c>
      <c r="B2295" t="s">
        <v>997</v>
      </c>
      <c r="C2295" t="s">
        <v>1013</v>
      </c>
      <c r="D2295">
        <v>7453</v>
      </c>
      <c r="E2295">
        <v>360</v>
      </c>
      <c r="F2295" t="s">
        <v>1393</v>
      </c>
      <c r="G2295" t="s">
        <v>1394</v>
      </c>
      <c r="H2295" s="315" t="s">
        <v>1000</v>
      </c>
      <c r="I2295" s="315" t="s">
        <v>1001</v>
      </c>
      <c r="J2295" s="315" t="str">
        <f t="shared" si="196"/>
        <v>Admin &amp; OtherOther Overheads as % of Total Gross Profit</v>
      </c>
      <c r="K2295" s="315" t="str">
        <f t="shared" si="197"/>
        <v>360Environmental &amp; Health &amp; Safety expenses - Toyota</v>
      </c>
      <c r="L2295" s="311">
        <f>+SUMIF('TUNZ Extracted TB'!M:M,$P2295,'TUNZ Extracted TB'!G:G)</f>
        <v>0</v>
      </c>
      <c r="M2295" s="311"/>
      <c r="N2295" s="311">
        <f>+SUMIF('Input Sheet'!$AE:$AE,P2295,'Input Sheet'!$X:$X)</f>
        <v>0</v>
      </c>
      <c r="O2295" s="311"/>
      <c r="P2295" t="str">
        <f t="shared" si="198"/>
        <v>360-7453</v>
      </c>
      <c r="Q2295" s="315" t="str">
        <f t="shared" si="199"/>
        <v>Admin &amp; Other</v>
      </c>
      <c r="R2295" s="315" t="str">
        <f t="shared" si="200"/>
        <v>Admin &amp; OtherOther Overheads as % of Total Gross Profit</v>
      </c>
      <c r="S2295" s="199"/>
      <c r="T2295" s="199"/>
      <c r="U2295" s="199"/>
    </row>
    <row r="2296" spans="1:21" x14ac:dyDescent="0.25">
      <c r="A2296" t="s">
        <v>996</v>
      </c>
      <c r="B2296" t="s">
        <v>997</v>
      </c>
      <c r="C2296" t="s">
        <v>997</v>
      </c>
      <c r="D2296">
        <v>7453</v>
      </c>
      <c r="E2296">
        <v>936</v>
      </c>
      <c r="F2296" t="s">
        <v>1393</v>
      </c>
      <c r="G2296" t="s">
        <v>1394</v>
      </c>
      <c r="H2296" s="315" t="s">
        <v>1023</v>
      </c>
      <c r="I2296" s="315" t="s">
        <v>1001</v>
      </c>
      <c r="J2296" s="315" t="str">
        <f t="shared" si="196"/>
        <v>LEX Admin &amp; OtherOther Overheads as % of Total Gross Profit</v>
      </c>
      <c r="K2296" s="315" t="str">
        <f t="shared" si="197"/>
        <v>936Environmental &amp; Health &amp; Safety expenses - Toyota</v>
      </c>
      <c r="L2296" s="311">
        <f>+SUMIF('TUNZ Extracted TB'!M:M,$P2296,'TUNZ Extracted TB'!G:G)</f>
        <v>1.28</v>
      </c>
      <c r="M2296" s="311"/>
      <c r="N2296" s="311">
        <f>+SUMIF('Input Sheet'!$AE:$AE,P2296,'Input Sheet'!$X:$X)</f>
        <v>0</v>
      </c>
      <c r="O2296" s="311"/>
      <c r="P2296" t="str">
        <f t="shared" si="198"/>
        <v>936-7453</v>
      </c>
      <c r="Q2296" s="315" t="str">
        <f t="shared" si="199"/>
        <v>LEX Admin &amp; Other</v>
      </c>
      <c r="R2296" s="315" t="str">
        <f t="shared" si="200"/>
        <v>LEX Admin &amp; OtherOther Overheads as % of Total Gross Profit</v>
      </c>
      <c r="S2296" s="199"/>
      <c r="T2296" s="199"/>
      <c r="U2296" s="199"/>
    </row>
    <row r="2297" spans="1:21" x14ac:dyDescent="0.25">
      <c r="A2297" t="s">
        <v>996</v>
      </c>
      <c r="B2297" t="s">
        <v>997</v>
      </c>
      <c r="C2297" t="s">
        <v>997</v>
      </c>
      <c r="D2297">
        <v>7453</v>
      </c>
      <c r="E2297">
        <v>170</v>
      </c>
      <c r="F2297" t="s">
        <v>1375</v>
      </c>
      <c r="G2297" t="s">
        <v>1376</v>
      </c>
      <c r="H2297" s="315" t="s">
        <v>1000</v>
      </c>
      <c r="I2297" s="315" t="s">
        <v>1001</v>
      </c>
      <c r="J2297" s="315" t="str">
        <f t="shared" si="196"/>
        <v>Admin &amp; OtherOther Overheads as % of Total Gross Profit</v>
      </c>
      <c r="K2297" s="315" t="str">
        <f t="shared" si="197"/>
        <v>170Uniforms - Toyota</v>
      </c>
      <c r="L2297" s="311">
        <f>+SUMIF('TUNZ Extracted TB'!M:M,$P2297,'TUNZ Extracted TB'!G:G)</f>
        <v>0</v>
      </c>
      <c r="M2297" s="311"/>
      <c r="N2297" s="311">
        <f>+SUMIF('Input Sheet'!$AE:$AE,P2297,'Input Sheet'!$X:$X)</f>
        <v>0</v>
      </c>
      <c r="O2297" s="311"/>
      <c r="P2297" t="str">
        <f t="shared" si="198"/>
        <v>170-7453</v>
      </c>
      <c r="Q2297" s="315" t="str">
        <f t="shared" si="199"/>
        <v>Admin &amp; Other</v>
      </c>
      <c r="R2297" s="315" t="str">
        <f t="shared" si="200"/>
        <v>Admin &amp; OtherOther Overheads as % of Total Gross Profit</v>
      </c>
      <c r="S2297" s="199"/>
      <c r="T2297" s="199"/>
      <c r="U2297" s="199"/>
    </row>
    <row r="2298" spans="1:21" x14ac:dyDescent="0.25">
      <c r="A2298" t="s">
        <v>996</v>
      </c>
      <c r="B2298" t="s">
        <v>997</v>
      </c>
      <c r="C2298" t="s">
        <v>997</v>
      </c>
      <c r="D2298">
        <v>7453</v>
      </c>
      <c r="E2298">
        <v>110</v>
      </c>
      <c r="F2298" t="s">
        <v>1393</v>
      </c>
      <c r="G2298" t="s">
        <v>1394</v>
      </c>
      <c r="H2298" s="315" t="s">
        <v>1000</v>
      </c>
      <c r="I2298" s="315" t="s">
        <v>1001</v>
      </c>
      <c r="J2298" s="315" t="str">
        <f t="shared" si="196"/>
        <v>Admin &amp; OtherOther Overheads as % of Total Gross Profit</v>
      </c>
      <c r="K2298" s="315" t="str">
        <f t="shared" si="197"/>
        <v>110Environmental &amp; Health &amp; Safety expenses - Toyota</v>
      </c>
      <c r="L2298" s="311">
        <f>+SUMIF('TUNZ Extracted TB'!M:M,$P2298,'TUNZ Extracted TB'!G:G)</f>
        <v>147.66999999999999</v>
      </c>
      <c r="M2298" s="311"/>
      <c r="N2298" s="311">
        <f>+SUMIF('Input Sheet'!$AE:$AE,P2298,'Input Sheet'!$X:$X)</f>
        <v>0</v>
      </c>
      <c r="O2298" s="311"/>
      <c r="P2298" t="str">
        <f t="shared" si="198"/>
        <v>110-7453</v>
      </c>
      <c r="Q2298" s="315" t="str">
        <f t="shared" si="199"/>
        <v>Admin &amp; Other</v>
      </c>
      <c r="R2298" s="315" t="str">
        <f t="shared" si="200"/>
        <v>Admin &amp; OtherOther Overheads as % of Total Gross Profit</v>
      </c>
      <c r="S2298" s="199"/>
      <c r="T2298" s="199"/>
      <c r="U2298" s="199"/>
    </row>
    <row r="2299" spans="1:21" x14ac:dyDescent="0.25">
      <c r="A2299" t="s">
        <v>996</v>
      </c>
      <c r="B2299" t="s">
        <v>997</v>
      </c>
      <c r="C2299" t="s">
        <v>997</v>
      </c>
      <c r="D2299">
        <v>7453</v>
      </c>
      <c r="E2299">
        <v>112</v>
      </c>
      <c r="F2299" t="s">
        <v>1396</v>
      </c>
      <c r="G2299" t="s">
        <v>1397</v>
      </c>
      <c r="H2299" s="315" t="s">
        <v>1023</v>
      </c>
      <c r="I2299" s="315" t="s">
        <v>1001</v>
      </c>
      <c r="J2299" s="315" t="str">
        <f t="shared" si="196"/>
        <v>LEX Admin &amp; OtherOther Overheads as % of Total Gross Profit</v>
      </c>
      <c r="K2299" s="315" t="str">
        <f t="shared" si="197"/>
        <v>112Environmental &amp; Health &amp; Safety expenses - Lexus</v>
      </c>
      <c r="L2299" s="311">
        <f>+SUMIF('TUNZ Extracted TB'!M:M,$P2299,'TUNZ Extracted TB'!G:G)</f>
        <v>182.66</v>
      </c>
      <c r="M2299" s="311"/>
      <c r="N2299" s="311">
        <f>+SUMIF('Input Sheet'!$AE:$AE,P2299,'Input Sheet'!$X:$X)</f>
        <v>0</v>
      </c>
      <c r="O2299" s="311"/>
      <c r="P2299" t="str">
        <f t="shared" si="198"/>
        <v>112-7453</v>
      </c>
      <c r="Q2299" s="315" t="str">
        <f t="shared" si="199"/>
        <v>LEX Admin &amp; Other</v>
      </c>
      <c r="R2299" s="315" t="str">
        <f t="shared" si="200"/>
        <v>LEX Admin &amp; OtherOther Overheads as % of Total Gross Profit</v>
      </c>
      <c r="S2299" s="199"/>
      <c r="T2299" s="199"/>
      <c r="U2299" s="199"/>
    </row>
    <row r="2300" spans="1:21" x14ac:dyDescent="0.25">
      <c r="A2300" t="s">
        <v>996</v>
      </c>
      <c r="B2300" t="s">
        <v>997</v>
      </c>
      <c r="C2300" t="s">
        <v>997</v>
      </c>
      <c r="D2300">
        <v>7453</v>
      </c>
      <c r="E2300">
        <v>100</v>
      </c>
      <c r="F2300" t="s">
        <v>1393</v>
      </c>
      <c r="G2300" t="s">
        <v>1394</v>
      </c>
      <c r="H2300" s="315" t="s">
        <v>1000</v>
      </c>
      <c r="I2300" s="315" t="s">
        <v>1001</v>
      </c>
      <c r="J2300" s="315" t="str">
        <f t="shared" si="196"/>
        <v>Admin &amp; OtherOther Overheads as % of Total Gross Profit</v>
      </c>
      <c r="K2300" s="315" t="str">
        <f t="shared" si="197"/>
        <v>100Environmental &amp; Health &amp; Safety expenses - Toyota</v>
      </c>
      <c r="L2300" s="311">
        <f>+SUMIF('TUNZ Extracted TB'!M:M,$P2300,'TUNZ Extracted TB'!G:G)</f>
        <v>0</v>
      </c>
      <c r="M2300" s="311"/>
      <c r="N2300" s="311">
        <f>+SUMIF('Input Sheet'!$AE:$AE,P2300,'Input Sheet'!$X:$X)</f>
        <v>0</v>
      </c>
      <c r="O2300" s="311"/>
      <c r="P2300" t="str">
        <f t="shared" si="198"/>
        <v>100-7453</v>
      </c>
      <c r="Q2300" s="315" t="str">
        <f t="shared" si="199"/>
        <v>Admin &amp; Other</v>
      </c>
      <c r="R2300" s="315" t="str">
        <f t="shared" si="200"/>
        <v>Admin &amp; OtherOther Overheads as % of Total Gross Profit</v>
      </c>
      <c r="S2300" s="199"/>
      <c r="T2300" s="199"/>
      <c r="U2300" s="199"/>
    </row>
    <row r="2301" spans="1:21" x14ac:dyDescent="0.25">
      <c r="A2301" s="316">
        <v>44866</v>
      </c>
      <c r="B2301" t="s">
        <v>997</v>
      </c>
      <c r="C2301" t="s">
        <v>997</v>
      </c>
      <c r="D2301">
        <v>7454</v>
      </c>
      <c r="E2301">
        <v>190</v>
      </c>
      <c r="G2301" t="s">
        <v>934</v>
      </c>
      <c r="H2301" s="315" t="s">
        <v>1000</v>
      </c>
      <c r="I2301" s="315" t="s">
        <v>1001</v>
      </c>
      <c r="J2301" s="315" t="str">
        <f t="shared" si="196"/>
        <v>Admin &amp; OtherOther Overheads as % of Total Gross Profit</v>
      </c>
      <c r="K2301" s="315" t="str">
        <f t="shared" si="197"/>
        <v>190Recruitment</v>
      </c>
      <c r="L2301" s="311">
        <f>+SUMIF('TUNZ Extracted TB'!M:M,$P2301,'TUNZ Extracted TB'!G:G)</f>
        <v>0</v>
      </c>
      <c r="M2301" s="311"/>
      <c r="N2301" s="311">
        <f>+SUMIF('Input Sheet'!$AE:$AE,P2301,'Input Sheet'!$X:$X)</f>
        <v>0</v>
      </c>
      <c r="O2301" s="311"/>
      <c r="P2301" t="str">
        <f t="shared" si="198"/>
        <v>190-7454</v>
      </c>
      <c r="Q2301" s="315" t="str">
        <f t="shared" si="199"/>
        <v>Admin &amp; Other</v>
      </c>
      <c r="R2301" s="315" t="str">
        <f t="shared" si="200"/>
        <v>Admin &amp; OtherOther Overheads as % of Total Gross Profit</v>
      </c>
      <c r="S2301" s="199"/>
      <c r="T2301" s="199"/>
      <c r="U2301" s="199"/>
    </row>
    <row r="2302" spans="1:21" x14ac:dyDescent="0.25">
      <c r="A2302" t="s">
        <v>996</v>
      </c>
      <c r="B2302" t="s">
        <v>997</v>
      </c>
      <c r="C2302" t="s">
        <v>997</v>
      </c>
      <c r="D2302">
        <v>7454</v>
      </c>
      <c r="E2302">
        <v>120</v>
      </c>
      <c r="F2302" t="s">
        <v>998</v>
      </c>
      <c r="G2302" t="s">
        <v>999</v>
      </c>
      <c r="H2302" s="315" t="s">
        <v>1000</v>
      </c>
      <c r="I2302" s="315" t="s">
        <v>1001</v>
      </c>
      <c r="J2302" s="315" t="str">
        <f t="shared" si="196"/>
        <v>Admin &amp; OtherOther Overheads as % of Total Gross Profit</v>
      </c>
      <c r="K2302" s="315" t="str">
        <f t="shared" si="197"/>
        <v>120Miscellaneous expenses - Toyota</v>
      </c>
      <c r="L2302" s="311">
        <f>+SUMIF('TUNZ Extracted TB'!M:M,$P2302,'TUNZ Extracted TB'!G:G)</f>
        <v>0</v>
      </c>
      <c r="M2302" s="311"/>
      <c r="N2302" s="311">
        <f>+SUMIF('Input Sheet'!$AE:$AE,P2302,'Input Sheet'!$X:$X)</f>
        <v>0</v>
      </c>
      <c r="O2302" s="311"/>
      <c r="P2302" t="str">
        <f t="shared" si="198"/>
        <v>120-7454</v>
      </c>
      <c r="Q2302" s="315" t="str">
        <f t="shared" si="199"/>
        <v>Admin &amp; Other</v>
      </c>
      <c r="R2302" s="315" t="str">
        <f t="shared" si="200"/>
        <v>Admin &amp; OtherOther Overheads as % of Total Gross Profit</v>
      </c>
      <c r="S2302" s="199"/>
      <c r="T2302" s="199"/>
      <c r="U2302" s="199"/>
    </row>
    <row r="2303" spans="1:21" x14ac:dyDescent="0.25">
      <c r="A2303" t="s">
        <v>996</v>
      </c>
      <c r="B2303" t="s">
        <v>997</v>
      </c>
      <c r="C2303" t="s">
        <v>1013</v>
      </c>
      <c r="D2303">
        <v>7454</v>
      </c>
      <c r="E2303">
        <v>340</v>
      </c>
      <c r="F2303" t="s">
        <v>998</v>
      </c>
      <c r="G2303" t="s">
        <v>999</v>
      </c>
      <c r="H2303" s="315" t="s">
        <v>1000</v>
      </c>
      <c r="I2303" s="315" t="s">
        <v>1001</v>
      </c>
      <c r="J2303" s="315" t="str">
        <f t="shared" si="196"/>
        <v>Admin &amp; OtherOther Overheads as % of Total Gross Profit</v>
      </c>
      <c r="K2303" s="315" t="str">
        <f t="shared" si="197"/>
        <v>340Miscellaneous expenses - Toyota</v>
      </c>
      <c r="L2303" s="311">
        <f>+SUMIF('TUNZ Extracted TB'!M:M,$P2303,'TUNZ Extracted TB'!G:G)</f>
        <v>0</v>
      </c>
      <c r="M2303" s="311"/>
      <c r="N2303" s="311">
        <f>+SUMIF('Input Sheet'!$AE:$AE,P2303,'Input Sheet'!$X:$X)</f>
        <v>0</v>
      </c>
      <c r="O2303" s="311"/>
      <c r="P2303" t="str">
        <f t="shared" si="198"/>
        <v>340-7454</v>
      </c>
      <c r="Q2303" s="315" t="str">
        <f t="shared" si="199"/>
        <v>Admin &amp; Other</v>
      </c>
      <c r="R2303" s="315" t="str">
        <f t="shared" si="200"/>
        <v>Admin &amp; OtherOther Overheads as % of Total Gross Profit</v>
      </c>
      <c r="S2303" s="199"/>
      <c r="T2303" s="199"/>
      <c r="U2303" s="199"/>
    </row>
    <row r="2304" spans="1:21" x14ac:dyDescent="0.25">
      <c r="A2304" t="s">
        <v>996</v>
      </c>
      <c r="B2304" t="s">
        <v>997</v>
      </c>
      <c r="C2304" t="s">
        <v>997</v>
      </c>
      <c r="D2304">
        <v>7454</v>
      </c>
      <c r="E2304">
        <v>140</v>
      </c>
      <c r="F2304" t="s">
        <v>998</v>
      </c>
      <c r="G2304" t="s">
        <v>999</v>
      </c>
      <c r="H2304" s="315" t="s">
        <v>1000</v>
      </c>
      <c r="I2304" s="315" t="s">
        <v>1001</v>
      </c>
      <c r="J2304" s="315" t="str">
        <f t="shared" si="196"/>
        <v>Admin &amp; OtherOther Overheads as % of Total Gross Profit</v>
      </c>
      <c r="K2304" s="315" t="str">
        <f t="shared" si="197"/>
        <v>140Miscellaneous expenses - Toyota</v>
      </c>
      <c r="L2304" s="311">
        <f>+SUMIF('TUNZ Extracted TB'!M:M,$P2304,'TUNZ Extracted TB'!G:G)</f>
        <v>0</v>
      </c>
      <c r="M2304" s="311"/>
      <c r="N2304" s="311">
        <f>+SUMIF('Input Sheet'!$AE:$AE,P2304,'Input Sheet'!$X:$X)</f>
        <v>0</v>
      </c>
      <c r="O2304" s="311"/>
      <c r="P2304" t="str">
        <f t="shared" si="198"/>
        <v>140-7454</v>
      </c>
      <c r="Q2304" s="315" t="str">
        <f t="shared" si="199"/>
        <v>Admin &amp; Other</v>
      </c>
      <c r="R2304" s="315" t="str">
        <f t="shared" si="200"/>
        <v>Admin &amp; OtherOther Overheads as % of Total Gross Profit</v>
      </c>
      <c r="S2304" s="199"/>
      <c r="T2304" s="199"/>
      <c r="U2304" s="199"/>
    </row>
    <row r="2305" spans="1:21" x14ac:dyDescent="0.25">
      <c r="A2305" t="s">
        <v>996</v>
      </c>
      <c r="B2305" t="s">
        <v>997</v>
      </c>
      <c r="C2305" t="s">
        <v>997</v>
      </c>
      <c r="D2305">
        <v>7454</v>
      </c>
      <c r="E2305">
        <v>142</v>
      </c>
      <c r="F2305" t="s">
        <v>998</v>
      </c>
      <c r="G2305" t="s">
        <v>999</v>
      </c>
      <c r="H2305" s="315" t="s">
        <v>1000</v>
      </c>
      <c r="I2305" s="315" t="s">
        <v>1001</v>
      </c>
      <c r="J2305" s="315" t="str">
        <f t="shared" si="196"/>
        <v>Admin &amp; OtherOther Overheads as % of Total Gross Profit</v>
      </c>
      <c r="K2305" s="315" t="str">
        <f t="shared" si="197"/>
        <v>142Miscellaneous expenses - Toyota</v>
      </c>
      <c r="L2305" s="311">
        <f>+SUMIF('TUNZ Extracted TB'!M:M,$P2305,'TUNZ Extracted TB'!G:G)</f>
        <v>0</v>
      </c>
      <c r="M2305" s="311"/>
      <c r="N2305" s="311">
        <f>+SUMIF('Input Sheet'!$AE:$AE,P2305,'Input Sheet'!$X:$X)</f>
        <v>0</v>
      </c>
      <c r="O2305" s="311"/>
      <c r="P2305" t="str">
        <f t="shared" si="198"/>
        <v>142-7454</v>
      </c>
      <c r="Q2305" s="315" t="str">
        <f t="shared" si="199"/>
        <v>Admin &amp; Other</v>
      </c>
      <c r="R2305" s="315" t="str">
        <f t="shared" si="200"/>
        <v>Admin &amp; OtherOther Overheads as % of Total Gross Profit</v>
      </c>
      <c r="S2305" s="199"/>
      <c r="T2305" s="199"/>
      <c r="U2305" s="199"/>
    </row>
    <row r="2306" spans="1:21" x14ac:dyDescent="0.25">
      <c r="A2306" t="s">
        <v>996</v>
      </c>
      <c r="B2306" t="s">
        <v>997</v>
      </c>
      <c r="C2306" t="s">
        <v>997</v>
      </c>
      <c r="D2306">
        <v>7454</v>
      </c>
      <c r="E2306">
        <v>132</v>
      </c>
      <c r="F2306" t="s">
        <v>1362</v>
      </c>
      <c r="G2306" t="s">
        <v>1363</v>
      </c>
      <c r="H2306" s="315" t="s">
        <v>1023</v>
      </c>
      <c r="I2306" s="315" t="s">
        <v>1001</v>
      </c>
      <c r="J2306" s="315" t="str">
        <f t="shared" si="196"/>
        <v>LEX Admin &amp; OtherOther Overheads as % of Total Gross Profit</v>
      </c>
      <c r="K2306" s="315" t="str">
        <f t="shared" si="197"/>
        <v>132Miscellaneous expenses - Lexus</v>
      </c>
      <c r="L2306" s="311">
        <f>+SUMIF('TUNZ Extracted TB'!M:M,$P2306,'TUNZ Extracted TB'!G:G)</f>
        <v>0</v>
      </c>
      <c r="M2306" s="311"/>
      <c r="N2306" s="311">
        <f>+SUMIF('Input Sheet'!$AE:$AE,P2306,'Input Sheet'!$X:$X)</f>
        <v>0</v>
      </c>
      <c r="O2306" s="311"/>
      <c r="P2306" t="str">
        <f t="shared" si="198"/>
        <v>132-7454</v>
      </c>
      <c r="Q2306" s="315" t="str">
        <f t="shared" si="199"/>
        <v>LEX Admin &amp; Other</v>
      </c>
      <c r="R2306" s="315" t="str">
        <f t="shared" si="200"/>
        <v>LEX Admin &amp; OtherOther Overheads as % of Total Gross Profit</v>
      </c>
      <c r="S2306" s="199"/>
      <c r="T2306" s="199"/>
      <c r="U2306" s="199"/>
    </row>
    <row r="2307" spans="1:21" x14ac:dyDescent="0.25">
      <c r="A2307" t="s">
        <v>996</v>
      </c>
      <c r="B2307" t="s">
        <v>997</v>
      </c>
      <c r="C2307" t="s">
        <v>997</v>
      </c>
      <c r="D2307">
        <v>7454</v>
      </c>
      <c r="E2307">
        <v>130</v>
      </c>
      <c r="F2307" t="s">
        <v>998</v>
      </c>
      <c r="G2307" t="s">
        <v>999</v>
      </c>
      <c r="H2307" s="315" t="s">
        <v>1000</v>
      </c>
      <c r="I2307" s="315" t="s">
        <v>1001</v>
      </c>
      <c r="J2307" s="315" t="str">
        <f t="shared" ref="J2307:J2370" si="201">+H2307&amp;I2307</f>
        <v>Admin &amp; OtherOther Overheads as % of Total Gross Profit</v>
      </c>
      <c r="K2307" s="315" t="str">
        <f t="shared" ref="K2307:K2370" si="202">+E2307&amp;G2307</f>
        <v>130Miscellaneous expenses - Toyota</v>
      </c>
      <c r="L2307" s="311">
        <f>+SUMIF('TUNZ Extracted TB'!M:M,$P2307,'TUNZ Extracted TB'!G:G)</f>
        <v>0</v>
      </c>
      <c r="M2307" s="311"/>
      <c r="N2307" s="311">
        <f>+SUMIF('Input Sheet'!$AE:$AE,P2307,'Input Sheet'!$X:$X)</f>
        <v>0</v>
      </c>
      <c r="O2307" s="311"/>
      <c r="P2307" t="str">
        <f t="shared" ref="P2307:P2370" si="203">+E2307&amp;"-"&amp;D2307</f>
        <v>130-7454</v>
      </c>
      <c r="Q2307" s="315" t="str">
        <f t="shared" ref="Q2307:Q2370" si="204">H2307</f>
        <v>Admin &amp; Other</v>
      </c>
      <c r="R2307" s="315" t="str">
        <f t="shared" ref="R2307:R2370" si="205">J2307</f>
        <v>Admin &amp; OtherOther Overheads as % of Total Gross Profit</v>
      </c>
      <c r="S2307" s="199"/>
      <c r="T2307" s="199"/>
      <c r="U2307" s="199"/>
    </row>
    <row r="2308" spans="1:21" x14ac:dyDescent="0.25">
      <c r="A2308" t="s">
        <v>996</v>
      </c>
      <c r="B2308" t="s">
        <v>997</v>
      </c>
      <c r="C2308" t="s">
        <v>997</v>
      </c>
      <c r="D2308">
        <v>7454</v>
      </c>
      <c r="E2308">
        <v>122</v>
      </c>
      <c r="F2308" t="s">
        <v>1362</v>
      </c>
      <c r="G2308" t="s">
        <v>1363</v>
      </c>
      <c r="H2308" s="315" t="s">
        <v>1023</v>
      </c>
      <c r="I2308" s="315" t="s">
        <v>1001</v>
      </c>
      <c r="J2308" s="315" t="str">
        <f t="shared" si="201"/>
        <v>LEX Admin &amp; OtherOther Overheads as % of Total Gross Profit</v>
      </c>
      <c r="K2308" s="315" t="str">
        <f t="shared" si="202"/>
        <v>122Miscellaneous expenses - Lexus</v>
      </c>
      <c r="L2308" s="311">
        <f>+SUMIF('TUNZ Extracted TB'!M:M,$P2308,'TUNZ Extracted TB'!G:G)</f>
        <v>0</v>
      </c>
      <c r="M2308" s="311"/>
      <c r="N2308" s="311">
        <f>+SUMIF('Input Sheet'!$AE:$AE,P2308,'Input Sheet'!$X:$X)</f>
        <v>0</v>
      </c>
      <c r="O2308" s="311"/>
      <c r="P2308" t="str">
        <f t="shared" si="203"/>
        <v>122-7454</v>
      </c>
      <c r="Q2308" s="315" t="str">
        <f t="shared" si="204"/>
        <v>LEX Admin &amp; Other</v>
      </c>
      <c r="R2308" s="315" t="str">
        <f t="shared" si="205"/>
        <v>LEX Admin &amp; OtherOther Overheads as % of Total Gross Profit</v>
      </c>
      <c r="S2308" s="199"/>
      <c r="T2308" s="199"/>
      <c r="U2308" s="199"/>
    </row>
    <row r="2309" spans="1:21" x14ac:dyDescent="0.25">
      <c r="A2309" t="s">
        <v>996</v>
      </c>
      <c r="B2309" t="s">
        <v>997</v>
      </c>
      <c r="C2309" t="s">
        <v>997</v>
      </c>
      <c r="D2309">
        <v>7454</v>
      </c>
      <c r="E2309">
        <v>162</v>
      </c>
      <c r="F2309" t="s">
        <v>1362</v>
      </c>
      <c r="G2309" t="s">
        <v>1363</v>
      </c>
      <c r="H2309" s="315" t="s">
        <v>1023</v>
      </c>
      <c r="I2309" s="315" t="s">
        <v>1001</v>
      </c>
      <c r="J2309" s="315" t="str">
        <f t="shared" si="201"/>
        <v>LEX Admin &amp; OtherOther Overheads as % of Total Gross Profit</v>
      </c>
      <c r="K2309" s="315" t="str">
        <f t="shared" si="202"/>
        <v>162Miscellaneous expenses - Lexus</v>
      </c>
      <c r="L2309" s="311">
        <f>+SUMIF('TUNZ Extracted TB'!M:M,$P2309,'TUNZ Extracted TB'!G:G)</f>
        <v>0</v>
      </c>
      <c r="M2309" s="311"/>
      <c r="N2309" s="311">
        <f>+SUMIF('Input Sheet'!$AE:$AE,P2309,'Input Sheet'!$X:$X)</f>
        <v>0</v>
      </c>
      <c r="O2309" s="311"/>
      <c r="P2309" t="str">
        <f t="shared" si="203"/>
        <v>162-7454</v>
      </c>
      <c r="Q2309" s="315" t="str">
        <f t="shared" si="204"/>
        <v>LEX Admin &amp; Other</v>
      </c>
      <c r="R2309" s="315" t="str">
        <f t="shared" si="205"/>
        <v>LEX Admin &amp; OtherOther Overheads as % of Total Gross Profit</v>
      </c>
      <c r="S2309" s="199"/>
      <c r="T2309" s="199"/>
      <c r="U2309" s="199"/>
    </row>
    <row r="2310" spans="1:21" x14ac:dyDescent="0.25">
      <c r="A2310" t="s">
        <v>996</v>
      </c>
      <c r="B2310" t="s">
        <v>997</v>
      </c>
      <c r="C2310" t="s">
        <v>997</v>
      </c>
      <c r="D2310">
        <v>7454</v>
      </c>
      <c r="E2310">
        <v>150</v>
      </c>
      <c r="F2310" t="s">
        <v>998</v>
      </c>
      <c r="G2310" t="s">
        <v>999</v>
      </c>
      <c r="H2310" s="315" t="s">
        <v>1023</v>
      </c>
      <c r="I2310" s="315" t="s">
        <v>1001</v>
      </c>
      <c r="J2310" s="315" t="str">
        <f t="shared" si="201"/>
        <v>LEX Admin &amp; OtherOther Overheads as % of Total Gross Profit</v>
      </c>
      <c r="K2310" s="315" t="str">
        <f t="shared" si="202"/>
        <v>150Miscellaneous expenses - Toyota</v>
      </c>
      <c r="L2310" s="311">
        <f>+SUMIF('TUNZ Extracted TB'!M:M,$P2310,'TUNZ Extracted TB'!G:G)</f>
        <v>0</v>
      </c>
      <c r="M2310" s="311"/>
      <c r="N2310" s="311">
        <f>+SUMIF('Input Sheet'!$AE:$AE,P2310,'Input Sheet'!$X:$X)</f>
        <v>0</v>
      </c>
      <c r="O2310" s="311"/>
      <c r="P2310" t="str">
        <f t="shared" si="203"/>
        <v>150-7454</v>
      </c>
      <c r="Q2310" s="315" t="str">
        <f t="shared" si="204"/>
        <v>LEX Admin &amp; Other</v>
      </c>
      <c r="R2310" s="315" t="str">
        <f t="shared" si="205"/>
        <v>LEX Admin &amp; OtherOther Overheads as % of Total Gross Profit</v>
      </c>
      <c r="S2310" s="199"/>
      <c r="T2310" s="199"/>
      <c r="U2310" s="199"/>
    </row>
    <row r="2311" spans="1:21" x14ac:dyDescent="0.25">
      <c r="A2311" t="s">
        <v>996</v>
      </c>
      <c r="B2311" t="s">
        <v>997</v>
      </c>
      <c r="C2311" t="s">
        <v>1005</v>
      </c>
      <c r="D2311">
        <v>7454</v>
      </c>
      <c r="E2311">
        <v>240</v>
      </c>
      <c r="F2311" t="s">
        <v>998</v>
      </c>
      <c r="G2311" t="s">
        <v>999</v>
      </c>
      <c r="H2311" s="315" t="s">
        <v>1000</v>
      </c>
      <c r="I2311" s="315" t="s">
        <v>1001</v>
      </c>
      <c r="J2311" s="315" t="str">
        <f t="shared" si="201"/>
        <v>Admin &amp; OtherOther Overheads as % of Total Gross Profit</v>
      </c>
      <c r="K2311" s="315" t="str">
        <f t="shared" si="202"/>
        <v>240Miscellaneous expenses - Toyota</v>
      </c>
      <c r="L2311" s="311">
        <f>+SUMIF('TUNZ Extracted TB'!M:M,$P2311,'TUNZ Extracted TB'!G:G)</f>
        <v>0</v>
      </c>
      <c r="M2311" s="311"/>
      <c r="N2311" s="311">
        <f>+SUMIF('Input Sheet'!$AE:$AE,P2311,'Input Sheet'!$X:$X)</f>
        <v>0</v>
      </c>
      <c r="O2311" s="311"/>
      <c r="P2311" t="str">
        <f t="shared" si="203"/>
        <v>240-7454</v>
      </c>
      <c r="Q2311" s="315" t="str">
        <f t="shared" si="204"/>
        <v>Admin &amp; Other</v>
      </c>
      <c r="R2311" s="315" t="str">
        <f t="shared" si="205"/>
        <v>Admin &amp; OtherOther Overheads as % of Total Gross Profit</v>
      </c>
      <c r="S2311" s="199"/>
      <c r="T2311" s="199"/>
      <c r="U2311" s="199"/>
    </row>
    <row r="2312" spans="1:21" x14ac:dyDescent="0.25">
      <c r="A2312" t="s">
        <v>996</v>
      </c>
      <c r="B2312" t="s">
        <v>997</v>
      </c>
      <c r="C2312" t="s">
        <v>997</v>
      </c>
      <c r="D2312">
        <v>7454</v>
      </c>
      <c r="E2312">
        <v>147</v>
      </c>
      <c r="F2312" t="s">
        <v>998</v>
      </c>
      <c r="G2312" t="s">
        <v>999</v>
      </c>
      <c r="H2312" s="315" t="s">
        <v>1000</v>
      </c>
      <c r="I2312" s="315" t="s">
        <v>1001</v>
      </c>
      <c r="J2312" s="315" t="str">
        <f t="shared" si="201"/>
        <v>Admin &amp; OtherOther Overheads as % of Total Gross Profit</v>
      </c>
      <c r="K2312" s="315" t="str">
        <f t="shared" si="202"/>
        <v>147Miscellaneous expenses - Toyota</v>
      </c>
      <c r="L2312" s="311">
        <f>+SUMIF('TUNZ Extracted TB'!M:M,$P2312,'TUNZ Extracted TB'!G:G)</f>
        <v>0</v>
      </c>
      <c r="M2312" s="311"/>
      <c r="N2312" s="311">
        <f>+SUMIF('Input Sheet'!$AE:$AE,P2312,'Input Sheet'!$X:$X)</f>
        <v>0</v>
      </c>
      <c r="O2312" s="311"/>
      <c r="P2312" t="str">
        <f t="shared" si="203"/>
        <v>147-7454</v>
      </c>
      <c r="Q2312" s="315" t="str">
        <f t="shared" si="204"/>
        <v>Admin &amp; Other</v>
      </c>
      <c r="R2312" s="315" t="str">
        <f t="shared" si="205"/>
        <v>Admin &amp; OtherOther Overheads as % of Total Gross Profit</v>
      </c>
      <c r="S2312" s="199"/>
      <c r="T2312" s="199"/>
      <c r="U2312" s="199"/>
    </row>
    <row r="2313" spans="1:21" x14ac:dyDescent="0.25">
      <c r="A2313" t="s">
        <v>996</v>
      </c>
      <c r="B2313" t="s">
        <v>997</v>
      </c>
      <c r="C2313" t="s">
        <v>997</v>
      </c>
      <c r="D2313">
        <v>7454</v>
      </c>
      <c r="E2313">
        <v>121</v>
      </c>
      <c r="F2313" t="s">
        <v>998</v>
      </c>
      <c r="G2313" t="s">
        <v>999</v>
      </c>
      <c r="H2313" s="315" t="s">
        <v>1000</v>
      </c>
      <c r="I2313" s="315" t="s">
        <v>1001</v>
      </c>
      <c r="J2313" s="315" t="str">
        <f t="shared" si="201"/>
        <v>Admin &amp; OtherOther Overheads as % of Total Gross Profit</v>
      </c>
      <c r="K2313" s="315" t="str">
        <f t="shared" si="202"/>
        <v>121Miscellaneous expenses - Toyota</v>
      </c>
      <c r="L2313" s="311">
        <f>+SUMIF('TUNZ Extracted TB'!M:M,$P2313,'TUNZ Extracted TB'!G:G)</f>
        <v>0</v>
      </c>
      <c r="M2313" s="311"/>
      <c r="N2313" s="311">
        <f>+SUMIF('Input Sheet'!$AE:$AE,P2313,'Input Sheet'!$X:$X)</f>
        <v>0</v>
      </c>
      <c r="O2313" s="311"/>
      <c r="P2313" t="str">
        <f t="shared" si="203"/>
        <v>121-7454</v>
      </c>
      <c r="Q2313" s="315" t="str">
        <f t="shared" si="204"/>
        <v>Admin &amp; Other</v>
      </c>
      <c r="R2313" s="315" t="str">
        <f t="shared" si="205"/>
        <v>Admin &amp; OtherOther Overheads as % of Total Gross Profit</v>
      </c>
      <c r="S2313" s="199"/>
      <c r="T2313" s="199"/>
      <c r="U2313" s="199"/>
    </row>
    <row r="2314" spans="1:21" x14ac:dyDescent="0.25">
      <c r="A2314" t="s">
        <v>996</v>
      </c>
      <c r="B2314" t="s">
        <v>997</v>
      </c>
      <c r="C2314" t="s">
        <v>997</v>
      </c>
      <c r="D2314">
        <v>7454</v>
      </c>
      <c r="E2314">
        <v>160</v>
      </c>
      <c r="F2314" t="s">
        <v>998</v>
      </c>
      <c r="G2314" t="s">
        <v>999</v>
      </c>
      <c r="H2314" s="315" t="s">
        <v>1000</v>
      </c>
      <c r="I2314" s="315" t="s">
        <v>1001</v>
      </c>
      <c r="J2314" s="315" t="str">
        <f t="shared" si="201"/>
        <v>Admin &amp; OtherOther Overheads as % of Total Gross Profit</v>
      </c>
      <c r="K2314" s="315" t="str">
        <f t="shared" si="202"/>
        <v>160Miscellaneous expenses - Toyota</v>
      </c>
      <c r="L2314" s="311">
        <f>+SUMIF('TUNZ Extracted TB'!M:M,$P2314,'TUNZ Extracted TB'!G:G)</f>
        <v>0</v>
      </c>
      <c r="M2314" s="311"/>
      <c r="N2314" s="311">
        <f>+SUMIF('Input Sheet'!$AE:$AE,P2314,'Input Sheet'!$X:$X)</f>
        <v>0</v>
      </c>
      <c r="O2314" s="311"/>
      <c r="P2314" t="str">
        <f t="shared" si="203"/>
        <v>160-7454</v>
      </c>
      <c r="Q2314" s="315" t="str">
        <f t="shared" si="204"/>
        <v>Admin &amp; Other</v>
      </c>
      <c r="R2314" s="315" t="str">
        <f t="shared" si="205"/>
        <v>Admin &amp; OtherOther Overheads as % of Total Gross Profit</v>
      </c>
      <c r="S2314" s="199"/>
      <c r="T2314" s="199"/>
      <c r="U2314" s="199"/>
    </row>
    <row r="2315" spans="1:21" x14ac:dyDescent="0.25">
      <c r="A2315" t="s">
        <v>996</v>
      </c>
      <c r="B2315" t="s">
        <v>997</v>
      </c>
      <c r="C2315" t="s">
        <v>1005</v>
      </c>
      <c r="D2315">
        <v>7454</v>
      </c>
      <c r="E2315">
        <v>230</v>
      </c>
      <c r="F2315" t="s">
        <v>998</v>
      </c>
      <c r="G2315" t="s">
        <v>999</v>
      </c>
      <c r="H2315" s="315" t="s">
        <v>1000</v>
      </c>
      <c r="I2315" s="315" t="s">
        <v>1001</v>
      </c>
      <c r="J2315" s="315" t="str">
        <f t="shared" si="201"/>
        <v>Admin &amp; OtherOther Overheads as % of Total Gross Profit</v>
      </c>
      <c r="K2315" s="315" t="str">
        <f t="shared" si="202"/>
        <v>230Miscellaneous expenses - Toyota</v>
      </c>
      <c r="L2315" s="311">
        <f>+SUMIF('TUNZ Extracted TB'!M:M,$P2315,'TUNZ Extracted TB'!G:G)</f>
        <v>0</v>
      </c>
      <c r="M2315" s="311"/>
      <c r="N2315" s="311">
        <f>+SUMIF('Input Sheet'!$AE:$AE,P2315,'Input Sheet'!$X:$X)</f>
        <v>0</v>
      </c>
      <c r="O2315" s="311"/>
      <c r="P2315" t="str">
        <f t="shared" si="203"/>
        <v>230-7454</v>
      </c>
      <c r="Q2315" s="315" t="str">
        <f t="shared" si="204"/>
        <v>Admin &amp; Other</v>
      </c>
      <c r="R2315" s="315" t="str">
        <f t="shared" si="205"/>
        <v>Admin &amp; OtherOther Overheads as % of Total Gross Profit</v>
      </c>
      <c r="S2315" s="199"/>
      <c r="T2315" s="199"/>
      <c r="U2315" s="199"/>
    </row>
    <row r="2316" spans="1:21" x14ac:dyDescent="0.25">
      <c r="A2316" t="s">
        <v>996</v>
      </c>
      <c r="B2316" t="s">
        <v>997</v>
      </c>
      <c r="C2316" t="s">
        <v>1005</v>
      </c>
      <c r="D2316">
        <v>7454</v>
      </c>
      <c r="E2316">
        <v>210</v>
      </c>
      <c r="F2316" t="s">
        <v>998</v>
      </c>
      <c r="G2316" t="s">
        <v>999</v>
      </c>
      <c r="H2316" s="315" t="s">
        <v>1000</v>
      </c>
      <c r="I2316" s="315" t="s">
        <v>1001</v>
      </c>
      <c r="J2316" s="315" t="str">
        <f t="shared" si="201"/>
        <v>Admin &amp; OtherOther Overheads as % of Total Gross Profit</v>
      </c>
      <c r="K2316" s="315" t="str">
        <f t="shared" si="202"/>
        <v>210Miscellaneous expenses - Toyota</v>
      </c>
      <c r="L2316" s="311">
        <f>+SUMIF('TUNZ Extracted TB'!M:M,$P2316,'TUNZ Extracted TB'!G:G)</f>
        <v>299.87</v>
      </c>
      <c r="M2316" s="311"/>
      <c r="N2316" s="311">
        <f>+SUMIF('Input Sheet'!$AE:$AE,P2316,'Input Sheet'!$X:$X)</f>
        <v>0</v>
      </c>
      <c r="O2316" s="311"/>
      <c r="P2316" t="str">
        <f t="shared" si="203"/>
        <v>210-7454</v>
      </c>
      <c r="Q2316" s="315" t="str">
        <f t="shared" si="204"/>
        <v>Admin &amp; Other</v>
      </c>
      <c r="R2316" s="315" t="str">
        <f t="shared" si="205"/>
        <v>Admin &amp; OtherOther Overheads as % of Total Gross Profit</v>
      </c>
      <c r="S2316" s="199"/>
      <c r="T2316" s="199"/>
      <c r="U2316" s="199"/>
    </row>
    <row r="2317" spans="1:21" x14ac:dyDescent="0.25">
      <c r="A2317" t="s">
        <v>996</v>
      </c>
      <c r="B2317" t="s">
        <v>997</v>
      </c>
      <c r="C2317" t="s">
        <v>1005</v>
      </c>
      <c r="D2317">
        <v>7454</v>
      </c>
      <c r="E2317">
        <v>220</v>
      </c>
      <c r="F2317" t="s">
        <v>998</v>
      </c>
      <c r="G2317" t="s">
        <v>999</v>
      </c>
      <c r="H2317" s="315" t="s">
        <v>1000</v>
      </c>
      <c r="I2317" s="315" t="s">
        <v>1001</v>
      </c>
      <c r="J2317" s="315" t="str">
        <f t="shared" si="201"/>
        <v>Admin &amp; OtherOther Overheads as % of Total Gross Profit</v>
      </c>
      <c r="K2317" s="315" t="str">
        <f t="shared" si="202"/>
        <v>220Miscellaneous expenses - Toyota</v>
      </c>
      <c r="L2317" s="311">
        <f>+SUMIF('TUNZ Extracted TB'!M:M,$P2317,'TUNZ Extracted TB'!G:G)</f>
        <v>299.13</v>
      </c>
      <c r="M2317" s="311"/>
      <c r="N2317" s="311">
        <f>+SUMIF('Input Sheet'!$AE:$AE,P2317,'Input Sheet'!$X:$X)</f>
        <v>0</v>
      </c>
      <c r="O2317" s="311"/>
      <c r="P2317" t="str">
        <f t="shared" si="203"/>
        <v>220-7454</v>
      </c>
      <c r="Q2317" s="315" t="str">
        <f t="shared" si="204"/>
        <v>Admin &amp; Other</v>
      </c>
      <c r="R2317" s="315" t="str">
        <f t="shared" si="205"/>
        <v>Admin &amp; OtherOther Overheads as % of Total Gross Profit</v>
      </c>
      <c r="S2317" s="199"/>
      <c r="T2317" s="199"/>
      <c r="U2317" s="199"/>
    </row>
    <row r="2318" spans="1:21" x14ac:dyDescent="0.25">
      <c r="A2318" t="s">
        <v>996</v>
      </c>
      <c r="B2318" t="s">
        <v>997</v>
      </c>
      <c r="C2318" t="s">
        <v>1013</v>
      </c>
      <c r="D2318">
        <v>7454</v>
      </c>
      <c r="E2318">
        <v>330</v>
      </c>
      <c r="F2318" t="s">
        <v>998</v>
      </c>
      <c r="G2318" t="s">
        <v>999</v>
      </c>
      <c r="H2318" s="315" t="s">
        <v>1000</v>
      </c>
      <c r="I2318" s="315" t="s">
        <v>1001</v>
      </c>
      <c r="J2318" s="315" t="str">
        <f t="shared" si="201"/>
        <v>Admin &amp; OtherOther Overheads as % of Total Gross Profit</v>
      </c>
      <c r="K2318" s="315" t="str">
        <f t="shared" si="202"/>
        <v>330Miscellaneous expenses - Toyota</v>
      </c>
      <c r="L2318" s="311">
        <f>+SUMIF('TUNZ Extracted TB'!M:M,$P2318,'TUNZ Extracted TB'!G:G)</f>
        <v>0</v>
      </c>
      <c r="M2318" s="311"/>
      <c r="N2318" s="311">
        <f>+SUMIF('Input Sheet'!$AE:$AE,P2318,'Input Sheet'!$X:$X)</f>
        <v>0</v>
      </c>
      <c r="O2318" s="311"/>
      <c r="P2318" t="str">
        <f t="shared" si="203"/>
        <v>330-7454</v>
      </c>
      <c r="Q2318" s="315" t="str">
        <f t="shared" si="204"/>
        <v>Admin &amp; Other</v>
      </c>
      <c r="R2318" s="315" t="str">
        <f t="shared" si="205"/>
        <v>Admin &amp; OtherOther Overheads as % of Total Gross Profit</v>
      </c>
      <c r="S2318" s="199"/>
      <c r="T2318" s="199"/>
      <c r="U2318" s="199"/>
    </row>
    <row r="2319" spans="1:21" x14ac:dyDescent="0.25">
      <c r="A2319" t="s">
        <v>996</v>
      </c>
      <c r="B2319" t="s">
        <v>997</v>
      </c>
      <c r="C2319" t="s">
        <v>1005</v>
      </c>
      <c r="D2319">
        <v>7454</v>
      </c>
      <c r="E2319">
        <v>200</v>
      </c>
      <c r="F2319" t="s">
        <v>998</v>
      </c>
      <c r="G2319" t="s">
        <v>999</v>
      </c>
      <c r="H2319" s="315" t="s">
        <v>1000</v>
      </c>
      <c r="I2319" s="315" t="s">
        <v>1001</v>
      </c>
      <c r="J2319" s="315" t="str">
        <f t="shared" si="201"/>
        <v>Admin &amp; OtherOther Overheads as % of Total Gross Profit</v>
      </c>
      <c r="K2319" s="315" t="str">
        <f t="shared" si="202"/>
        <v>200Miscellaneous expenses - Toyota</v>
      </c>
      <c r="L2319" s="311">
        <f>+SUMIF('TUNZ Extracted TB'!M:M,$P2319,'TUNZ Extracted TB'!G:G)</f>
        <v>0</v>
      </c>
      <c r="M2319" s="311"/>
      <c r="N2319" s="311">
        <f>+SUMIF('Input Sheet'!$AE:$AE,P2319,'Input Sheet'!$X:$X)</f>
        <v>0</v>
      </c>
      <c r="O2319" s="311"/>
      <c r="P2319" t="str">
        <f t="shared" si="203"/>
        <v>200-7454</v>
      </c>
      <c r="Q2319" s="315" t="str">
        <f t="shared" si="204"/>
        <v>Admin &amp; Other</v>
      </c>
      <c r="R2319" s="315" t="str">
        <f t="shared" si="205"/>
        <v>Admin &amp; OtherOther Overheads as % of Total Gross Profit</v>
      </c>
      <c r="S2319" s="199"/>
      <c r="T2319" s="199"/>
      <c r="U2319" s="199"/>
    </row>
    <row r="2320" spans="1:21" x14ac:dyDescent="0.25">
      <c r="A2320" t="s">
        <v>996</v>
      </c>
      <c r="B2320" t="s">
        <v>997</v>
      </c>
      <c r="C2320" t="s">
        <v>1005</v>
      </c>
      <c r="D2320">
        <v>7454</v>
      </c>
      <c r="E2320">
        <v>221</v>
      </c>
      <c r="F2320" t="s">
        <v>998</v>
      </c>
      <c r="G2320" t="s">
        <v>999</v>
      </c>
      <c r="H2320" s="315" t="s">
        <v>1000</v>
      </c>
      <c r="I2320" s="315" t="s">
        <v>1001</v>
      </c>
      <c r="J2320" s="315" t="str">
        <f t="shared" si="201"/>
        <v>Admin &amp; OtherOther Overheads as % of Total Gross Profit</v>
      </c>
      <c r="K2320" s="315" t="str">
        <f t="shared" si="202"/>
        <v>221Miscellaneous expenses - Toyota</v>
      </c>
      <c r="L2320" s="311">
        <f>+SUMIF('TUNZ Extracted TB'!M:M,$P2320,'TUNZ Extracted TB'!G:G)</f>
        <v>0</v>
      </c>
      <c r="M2320" s="311"/>
      <c r="N2320" s="311">
        <f>+SUMIF('Input Sheet'!$AE:$AE,P2320,'Input Sheet'!$X:$X)</f>
        <v>0</v>
      </c>
      <c r="O2320" s="311"/>
      <c r="P2320" t="str">
        <f t="shared" si="203"/>
        <v>221-7454</v>
      </c>
      <c r="Q2320" s="315" t="str">
        <f t="shared" si="204"/>
        <v>Admin &amp; Other</v>
      </c>
      <c r="R2320" s="315" t="str">
        <f t="shared" si="205"/>
        <v>Admin &amp; OtherOther Overheads as % of Total Gross Profit</v>
      </c>
      <c r="S2320" s="199"/>
      <c r="T2320" s="199"/>
      <c r="U2320" s="199"/>
    </row>
    <row r="2321" spans="1:21" x14ac:dyDescent="0.25">
      <c r="A2321" t="s">
        <v>996</v>
      </c>
      <c r="B2321" t="s">
        <v>997</v>
      </c>
      <c r="C2321" t="s">
        <v>1005</v>
      </c>
      <c r="D2321">
        <v>7454</v>
      </c>
      <c r="E2321">
        <v>260</v>
      </c>
      <c r="F2321" t="s">
        <v>998</v>
      </c>
      <c r="G2321" t="s">
        <v>999</v>
      </c>
      <c r="H2321" s="315" t="s">
        <v>1000</v>
      </c>
      <c r="I2321" s="315" t="s">
        <v>1001</v>
      </c>
      <c r="J2321" s="315" t="str">
        <f t="shared" si="201"/>
        <v>Admin &amp; OtherOther Overheads as % of Total Gross Profit</v>
      </c>
      <c r="K2321" s="315" t="str">
        <f t="shared" si="202"/>
        <v>260Miscellaneous expenses - Toyota</v>
      </c>
      <c r="L2321" s="311">
        <f>+SUMIF('TUNZ Extracted TB'!M:M,$P2321,'TUNZ Extracted TB'!G:G)</f>
        <v>0</v>
      </c>
      <c r="M2321" s="311"/>
      <c r="N2321" s="311">
        <f>+SUMIF('Input Sheet'!$AE:$AE,P2321,'Input Sheet'!$X:$X)</f>
        <v>0</v>
      </c>
      <c r="O2321" s="311"/>
      <c r="P2321" t="str">
        <f t="shared" si="203"/>
        <v>260-7454</v>
      </c>
      <c r="Q2321" s="315" t="str">
        <f t="shared" si="204"/>
        <v>Admin &amp; Other</v>
      </c>
      <c r="R2321" s="315" t="str">
        <f t="shared" si="205"/>
        <v>Admin &amp; OtherOther Overheads as % of Total Gross Profit</v>
      </c>
      <c r="S2321" s="199"/>
      <c r="T2321" s="199"/>
      <c r="U2321" s="199"/>
    </row>
    <row r="2322" spans="1:21" x14ac:dyDescent="0.25">
      <c r="A2322" t="s">
        <v>996</v>
      </c>
      <c r="B2322" t="s">
        <v>997</v>
      </c>
      <c r="C2322" t="s">
        <v>1012</v>
      </c>
      <c r="D2322">
        <v>7454</v>
      </c>
      <c r="E2322">
        <v>400</v>
      </c>
      <c r="F2322" t="s">
        <v>998</v>
      </c>
      <c r="G2322" t="s">
        <v>999</v>
      </c>
      <c r="H2322" s="315" t="s">
        <v>1000</v>
      </c>
      <c r="I2322" s="315" t="s">
        <v>1001</v>
      </c>
      <c r="J2322" s="315" t="str">
        <f t="shared" si="201"/>
        <v>Admin &amp; OtherOther Overheads as % of Total Gross Profit</v>
      </c>
      <c r="K2322" s="315" t="str">
        <f t="shared" si="202"/>
        <v>400Miscellaneous expenses - Toyota</v>
      </c>
      <c r="L2322" s="311">
        <f>+SUMIF('TUNZ Extracted TB'!M:M,$P2322,'TUNZ Extracted TB'!G:G)</f>
        <v>0</v>
      </c>
      <c r="M2322" s="311"/>
      <c r="N2322" s="311">
        <f>+SUMIF('Input Sheet'!$AE:$AE,P2322,'Input Sheet'!$X:$X)</f>
        <v>0</v>
      </c>
      <c r="O2322" s="311"/>
      <c r="P2322" t="str">
        <f t="shared" si="203"/>
        <v>400-7454</v>
      </c>
      <c r="Q2322" s="315" t="str">
        <f t="shared" si="204"/>
        <v>Admin &amp; Other</v>
      </c>
      <c r="R2322" s="315" t="str">
        <f t="shared" si="205"/>
        <v>Admin &amp; OtherOther Overheads as % of Total Gross Profit</v>
      </c>
      <c r="S2322" s="199"/>
      <c r="T2322" s="199"/>
      <c r="U2322" s="199"/>
    </row>
    <row r="2323" spans="1:21" x14ac:dyDescent="0.25">
      <c r="A2323" t="s">
        <v>996</v>
      </c>
      <c r="B2323" t="s">
        <v>997</v>
      </c>
      <c r="C2323" t="s">
        <v>1012</v>
      </c>
      <c r="D2323">
        <v>7454</v>
      </c>
      <c r="E2323">
        <v>410</v>
      </c>
      <c r="F2323" t="s">
        <v>998</v>
      </c>
      <c r="G2323" t="s">
        <v>999</v>
      </c>
      <c r="H2323" s="315" t="s">
        <v>1000</v>
      </c>
      <c r="I2323" s="315" t="s">
        <v>1001</v>
      </c>
      <c r="J2323" s="315" t="str">
        <f t="shared" si="201"/>
        <v>Admin &amp; OtherOther Overheads as % of Total Gross Profit</v>
      </c>
      <c r="K2323" s="315" t="str">
        <f t="shared" si="202"/>
        <v>410Miscellaneous expenses - Toyota</v>
      </c>
      <c r="L2323" s="311">
        <f>+SUMIF('TUNZ Extracted TB'!M:M,$P2323,'TUNZ Extracted TB'!G:G)</f>
        <v>0</v>
      </c>
      <c r="M2323" s="311"/>
      <c r="N2323" s="311">
        <f>+SUMIF('Input Sheet'!$AE:$AE,P2323,'Input Sheet'!$X:$X)</f>
        <v>0</v>
      </c>
      <c r="O2323" s="311"/>
      <c r="P2323" t="str">
        <f t="shared" si="203"/>
        <v>410-7454</v>
      </c>
      <c r="Q2323" s="315" t="str">
        <f t="shared" si="204"/>
        <v>Admin &amp; Other</v>
      </c>
      <c r="R2323" s="315" t="str">
        <f t="shared" si="205"/>
        <v>Admin &amp; OtherOther Overheads as % of Total Gross Profit</v>
      </c>
      <c r="S2323" s="199"/>
      <c r="T2323" s="199"/>
      <c r="U2323" s="199"/>
    </row>
    <row r="2324" spans="1:21" x14ac:dyDescent="0.25">
      <c r="A2324" t="s">
        <v>996</v>
      </c>
      <c r="B2324" t="s">
        <v>997</v>
      </c>
      <c r="C2324" t="s">
        <v>1012</v>
      </c>
      <c r="D2324">
        <v>7454</v>
      </c>
      <c r="E2324">
        <v>420</v>
      </c>
      <c r="F2324" t="s">
        <v>998</v>
      </c>
      <c r="G2324" t="s">
        <v>999</v>
      </c>
      <c r="H2324" s="315" t="s">
        <v>1000</v>
      </c>
      <c r="I2324" s="315" t="s">
        <v>1001</v>
      </c>
      <c r="J2324" s="315" t="str">
        <f t="shared" si="201"/>
        <v>Admin &amp; OtherOther Overheads as % of Total Gross Profit</v>
      </c>
      <c r="K2324" s="315" t="str">
        <f t="shared" si="202"/>
        <v>420Miscellaneous expenses - Toyota</v>
      </c>
      <c r="L2324" s="311">
        <f>+SUMIF('TUNZ Extracted TB'!M:M,$P2324,'TUNZ Extracted TB'!G:G)</f>
        <v>0</v>
      </c>
      <c r="M2324" s="311"/>
      <c r="N2324" s="311">
        <f>+SUMIF('Input Sheet'!$AE:$AE,P2324,'Input Sheet'!$X:$X)</f>
        <v>0</v>
      </c>
      <c r="O2324" s="311"/>
      <c r="P2324" t="str">
        <f t="shared" si="203"/>
        <v>420-7454</v>
      </c>
      <c r="Q2324" s="315" t="str">
        <f t="shared" si="204"/>
        <v>Admin &amp; Other</v>
      </c>
      <c r="R2324" s="315" t="str">
        <f t="shared" si="205"/>
        <v>Admin &amp; OtherOther Overheads as % of Total Gross Profit</v>
      </c>
      <c r="S2324" s="199"/>
      <c r="T2324" s="199"/>
      <c r="U2324" s="199"/>
    </row>
    <row r="2325" spans="1:21" x14ac:dyDescent="0.25">
      <c r="A2325" t="s">
        <v>996</v>
      </c>
      <c r="B2325" t="s">
        <v>997</v>
      </c>
      <c r="C2325" t="s">
        <v>1012</v>
      </c>
      <c r="D2325">
        <v>7454</v>
      </c>
      <c r="E2325">
        <v>421</v>
      </c>
      <c r="F2325" t="s">
        <v>998</v>
      </c>
      <c r="G2325" t="s">
        <v>999</v>
      </c>
      <c r="H2325" s="315" t="s">
        <v>1000</v>
      </c>
      <c r="I2325" s="315" t="s">
        <v>1001</v>
      </c>
      <c r="J2325" s="315" t="str">
        <f t="shared" si="201"/>
        <v>Admin &amp; OtherOther Overheads as % of Total Gross Profit</v>
      </c>
      <c r="K2325" s="315" t="str">
        <f t="shared" si="202"/>
        <v>421Miscellaneous expenses - Toyota</v>
      </c>
      <c r="L2325" s="311">
        <f>+SUMIF('TUNZ Extracted TB'!M:M,$P2325,'TUNZ Extracted TB'!G:G)</f>
        <v>0</v>
      </c>
      <c r="M2325" s="311"/>
      <c r="N2325" s="311">
        <f>+SUMIF('Input Sheet'!$AE:$AE,P2325,'Input Sheet'!$X:$X)</f>
        <v>0</v>
      </c>
      <c r="O2325" s="311"/>
      <c r="P2325" t="str">
        <f t="shared" si="203"/>
        <v>421-7454</v>
      </c>
      <c r="Q2325" s="315" t="str">
        <f t="shared" si="204"/>
        <v>Admin &amp; Other</v>
      </c>
      <c r="R2325" s="315" t="str">
        <f t="shared" si="205"/>
        <v>Admin &amp; OtherOther Overheads as % of Total Gross Profit</v>
      </c>
      <c r="S2325" s="199"/>
      <c r="T2325" s="199"/>
      <c r="U2325" s="199"/>
    </row>
    <row r="2326" spans="1:21" x14ac:dyDescent="0.25">
      <c r="A2326" t="s">
        <v>996</v>
      </c>
      <c r="B2326" t="s">
        <v>997</v>
      </c>
      <c r="C2326" t="s">
        <v>1012</v>
      </c>
      <c r="D2326">
        <v>7454</v>
      </c>
      <c r="E2326">
        <v>430</v>
      </c>
      <c r="F2326" t="s">
        <v>998</v>
      </c>
      <c r="G2326" t="s">
        <v>999</v>
      </c>
      <c r="H2326" s="315" t="s">
        <v>1000</v>
      </c>
      <c r="I2326" s="315" t="s">
        <v>1001</v>
      </c>
      <c r="J2326" s="315" t="str">
        <f t="shared" si="201"/>
        <v>Admin &amp; OtherOther Overheads as % of Total Gross Profit</v>
      </c>
      <c r="K2326" s="315" t="str">
        <f t="shared" si="202"/>
        <v>430Miscellaneous expenses - Toyota</v>
      </c>
      <c r="L2326" s="311">
        <f>+SUMIF('TUNZ Extracted TB'!M:M,$P2326,'TUNZ Extracted TB'!G:G)</f>
        <v>0</v>
      </c>
      <c r="M2326" s="311"/>
      <c r="N2326" s="311">
        <f>+SUMIF('Input Sheet'!$AE:$AE,P2326,'Input Sheet'!$X:$X)</f>
        <v>0</v>
      </c>
      <c r="O2326" s="311"/>
      <c r="P2326" t="str">
        <f t="shared" si="203"/>
        <v>430-7454</v>
      </c>
      <c r="Q2326" s="315" t="str">
        <f t="shared" si="204"/>
        <v>Admin &amp; Other</v>
      </c>
      <c r="R2326" s="315" t="str">
        <f t="shared" si="205"/>
        <v>Admin &amp; OtherOther Overheads as % of Total Gross Profit</v>
      </c>
      <c r="S2326" s="199"/>
      <c r="T2326" s="199"/>
      <c r="U2326" s="199"/>
    </row>
    <row r="2327" spans="1:21" x14ac:dyDescent="0.25">
      <c r="A2327" t="s">
        <v>996</v>
      </c>
      <c r="B2327" t="s">
        <v>997</v>
      </c>
      <c r="C2327" t="s">
        <v>1012</v>
      </c>
      <c r="D2327">
        <v>7454</v>
      </c>
      <c r="E2327">
        <v>440</v>
      </c>
      <c r="F2327" t="s">
        <v>998</v>
      </c>
      <c r="G2327" t="s">
        <v>999</v>
      </c>
      <c r="H2327" s="315" t="s">
        <v>1000</v>
      </c>
      <c r="I2327" s="315" t="s">
        <v>1001</v>
      </c>
      <c r="J2327" s="315" t="str">
        <f t="shared" si="201"/>
        <v>Admin &amp; OtherOther Overheads as % of Total Gross Profit</v>
      </c>
      <c r="K2327" s="315" t="str">
        <f t="shared" si="202"/>
        <v>440Miscellaneous expenses - Toyota</v>
      </c>
      <c r="L2327" s="311">
        <f>+SUMIF('TUNZ Extracted TB'!M:M,$P2327,'TUNZ Extracted TB'!G:G)</f>
        <v>0</v>
      </c>
      <c r="M2327" s="311"/>
      <c r="N2327" s="311">
        <f>+SUMIF('Input Sheet'!$AE:$AE,P2327,'Input Sheet'!$X:$X)</f>
        <v>0</v>
      </c>
      <c r="O2327" s="311"/>
      <c r="P2327" t="str">
        <f t="shared" si="203"/>
        <v>440-7454</v>
      </c>
      <c r="Q2327" s="315" t="str">
        <f t="shared" si="204"/>
        <v>Admin &amp; Other</v>
      </c>
      <c r="R2327" s="315" t="str">
        <f t="shared" si="205"/>
        <v>Admin &amp; OtherOther Overheads as % of Total Gross Profit</v>
      </c>
      <c r="S2327" s="199"/>
      <c r="T2327" s="199"/>
      <c r="U2327" s="199"/>
    </row>
    <row r="2328" spans="1:21" x14ac:dyDescent="0.25">
      <c r="A2328" t="s">
        <v>996</v>
      </c>
      <c r="B2328" t="s">
        <v>997</v>
      </c>
      <c r="C2328" t="s">
        <v>1012</v>
      </c>
      <c r="D2328">
        <v>7454</v>
      </c>
      <c r="E2328">
        <v>460</v>
      </c>
      <c r="F2328" t="s">
        <v>998</v>
      </c>
      <c r="G2328" t="s">
        <v>999</v>
      </c>
      <c r="H2328" s="315" t="s">
        <v>1000</v>
      </c>
      <c r="I2328" s="315" t="s">
        <v>1001</v>
      </c>
      <c r="J2328" s="315" t="str">
        <f t="shared" si="201"/>
        <v>Admin &amp; OtherOther Overheads as % of Total Gross Profit</v>
      </c>
      <c r="K2328" s="315" t="str">
        <f t="shared" si="202"/>
        <v>460Miscellaneous expenses - Toyota</v>
      </c>
      <c r="L2328" s="311">
        <f>+SUMIF('TUNZ Extracted TB'!M:M,$P2328,'TUNZ Extracted TB'!G:G)</f>
        <v>0</v>
      </c>
      <c r="M2328" s="311"/>
      <c r="N2328" s="311">
        <f>+SUMIF('Input Sheet'!$AE:$AE,P2328,'Input Sheet'!$X:$X)</f>
        <v>0</v>
      </c>
      <c r="O2328" s="311"/>
      <c r="P2328" t="str">
        <f t="shared" si="203"/>
        <v>460-7454</v>
      </c>
      <c r="Q2328" s="315" t="str">
        <f t="shared" si="204"/>
        <v>Admin &amp; Other</v>
      </c>
      <c r="R2328" s="315" t="str">
        <f t="shared" si="205"/>
        <v>Admin &amp; OtherOther Overheads as % of Total Gross Profit</v>
      </c>
      <c r="S2328" s="199"/>
      <c r="T2328" s="199"/>
      <c r="U2328" s="199"/>
    </row>
    <row r="2329" spans="1:21" x14ac:dyDescent="0.25">
      <c r="A2329" t="s">
        <v>996</v>
      </c>
      <c r="B2329" t="s">
        <v>997</v>
      </c>
      <c r="C2329" t="s">
        <v>1013</v>
      </c>
      <c r="D2329">
        <v>7454</v>
      </c>
      <c r="E2329">
        <v>300</v>
      </c>
      <c r="F2329" t="s">
        <v>998</v>
      </c>
      <c r="G2329" t="s">
        <v>999</v>
      </c>
      <c r="H2329" s="315" t="s">
        <v>1000</v>
      </c>
      <c r="I2329" s="315" t="s">
        <v>1001</v>
      </c>
      <c r="J2329" s="315" t="str">
        <f t="shared" si="201"/>
        <v>Admin &amp; OtherOther Overheads as % of Total Gross Profit</v>
      </c>
      <c r="K2329" s="315" t="str">
        <f t="shared" si="202"/>
        <v>300Miscellaneous expenses - Toyota</v>
      </c>
      <c r="L2329" s="311">
        <f>+SUMIF('TUNZ Extracted TB'!M:M,$P2329,'TUNZ Extracted TB'!G:G)</f>
        <v>0</v>
      </c>
      <c r="M2329" s="311"/>
      <c r="N2329" s="311">
        <f>+SUMIF('Input Sheet'!$AE:$AE,P2329,'Input Sheet'!$X:$X)</f>
        <v>0</v>
      </c>
      <c r="O2329" s="311"/>
      <c r="P2329" t="str">
        <f t="shared" si="203"/>
        <v>300-7454</v>
      </c>
      <c r="Q2329" s="315" t="str">
        <f t="shared" si="204"/>
        <v>Admin &amp; Other</v>
      </c>
      <c r="R2329" s="315" t="str">
        <f t="shared" si="205"/>
        <v>Admin &amp; OtherOther Overheads as % of Total Gross Profit</v>
      </c>
      <c r="S2329" s="199"/>
      <c r="T2329" s="199"/>
      <c r="U2329" s="199"/>
    </row>
    <row r="2330" spans="1:21" x14ac:dyDescent="0.25">
      <c r="A2330" t="s">
        <v>996</v>
      </c>
      <c r="B2330" t="s">
        <v>997</v>
      </c>
      <c r="C2330" t="s">
        <v>1013</v>
      </c>
      <c r="D2330">
        <v>7454</v>
      </c>
      <c r="E2330">
        <v>310</v>
      </c>
      <c r="F2330" t="s">
        <v>998</v>
      </c>
      <c r="G2330" t="s">
        <v>999</v>
      </c>
      <c r="H2330" s="315" t="s">
        <v>1000</v>
      </c>
      <c r="I2330" s="315" t="s">
        <v>1001</v>
      </c>
      <c r="J2330" s="315" t="str">
        <f t="shared" si="201"/>
        <v>Admin &amp; OtherOther Overheads as % of Total Gross Profit</v>
      </c>
      <c r="K2330" s="315" t="str">
        <f t="shared" si="202"/>
        <v>310Miscellaneous expenses - Toyota</v>
      </c>
      <c r="L2330" s="311">
        <f>+SUMIF('TUNZ Extracted TB'!M:M,$P2330,'TUNZ Extracted TB'!G:G)</f>
        <v>0</v>
      </c>
      <c r="M2330" s="311"/>
      <c r="N2330" s="311">
        <f>+SUMIF('Input Sheet'!$AE:$AE,P2330,'Input Sheet'!$X:$X)</f>
        <v>0</v>
      </c>
      <c r="O2330" s="311"/>
      <c r="P2330" t="str">
        <f t="shared" si="203"/>
        <v>310-7454</v>
      </c>
      <c r="Q2330" s="315" t="str">
        <f t="shared" si="204"/>
        <v>Admin &amp; Other</v>
      </c>
      <c r="R2330" s="315" t="str">
        <f t="shared" si="205"/>
        <v>Admin &amp; OtherOther Overheads as % of Total Gross Profit</v>
      </c>
      <c r="S2330" s="199"/>
      <c r="T2330" s="199"/>
      <c r="U2330" s="199"/>
    </row>
    <row r="2331" spans="1:21" x14ac:dyDescent="0.25">
      <c r="A2331" t="s">
        <v>996</v>
      </c>
      <c r="B2331" t="s">
        <v>997</v>
      </c>
      <c r="C2331" t="s">
        <v>1013</v>
      </c>
      <c r="D2331">
        <v>7454</v>
      </c>
      <c r="E2331">
        <v>321</v>
      </c>
      <c r="F2331" t="s">
        <v>998</v>
      </c>
      <c r="G2331" t="s">
        <v>999</v>
      </c>
      <c r="H2331" s="315" t="s">
        <v>1000</v>
      </c>
      <c r="I2331" s="315" t="s">
        <v>1001</v>
      </c>
      <c r="J2331" s="315" t="str">
        <f t="shared" si="201"/>
        <v>Admin &amp; OtherOther Overheads as % of Total Gross Profit</v>
      </c>
      <c r="K2331" s="315" t="str">
        <f t="shared" si="202"/>
        <v>321Miscellaneous expenses - Toyota</v>
      </c>
      <c r="L2331" s="311">
        <f>+SUMIF('TUNZ Extracted TB'!M:M,$P2331,'TUNZ Extracted TB'!G:G)</f>
        <v>0</v>
      </c>
      <c r="M2331" s="311"/>
      <c r="N2331" s="311">
        <f>+SUMIF('Input Sheet'!$AE:$AE,P2331,'Input Sheet'!$X:$X)</f>
        <v>0</v>
      </c>
      <c r="O2331" s="311"/>
      <c r="P2331" t="str">
        <f t="shared" si="203"/>
        <v>321-7454</v>
      </c>
      <c r="Q2331" s="315" t="str">
        <f t="shared" si="204"/>
        <v>Admin &amp; Other</v>
      </c>
      <c r="R2331" s="315" t="str">
        <f t="shared" si="205"/>
        <v>Admin &amp; OtherOther Overheads as % of Total Gross Profit</v>
      </c>
      <c r="S2331" s="199"/>
      <c r="T2331" s="199"/>
      <c r="U2331" s="199"/>
    </row>
    <row r="2332" spans="1:21" x14ac:dyDescent="0.25">
      <c r="A2332" t="s">
        <v>996</v>
      </c>
      <c r="B2332" t="s">
        <v>997</v>
      </c>
      <c r="C2332" t="s">
        <v>1013</v>
      </c>
      <c r="D2332">
        <v>7454</v>
      </c>
      <c r="E2332">
        <v>360</v>
      </c>
      <c r="F2332" t="s">
        <v>998</v>
      </c>
      <c r="G2332" t="s">
        <v>999</v>
      </c>
      <c r="H2332" s="315" t="s">
        <v>1000</v>
      </c>
      <c r="I2332" s="315" t="s">
        <v>1001</v>
      </c>
      <c r="J2332" s="315" t="str">
        <f t="shared" si="201"/>
        <v>Admin &amp; OtherOther Overheads as % of Total Gross Profit</v>
      </c>
      <c r="K2332" s="315" t="str">
        <f t="shared" si="202"/>
        <v>360Miscellaneous expenses - Toyota</v>
      </c>
      <c r="L2332" s="311">
        <f>+SUMIF('TUNZ Extracted TB'!M:M,$P2332,'TUNZ Extracted TB'!G:G)</f>
        <v>0</v>
      </c>
      <c r="M2332" s="311"/>
      <c r="N2332" s="311">
        <f>+SUMIF('Input Sheet'!$AE:$AE,P2332,'Input Sheet'!$X:$X)</f>
        <v>0</v>
      </c>
      <c r="O2332" s="311"/>
      <c r="P2332" t="str">
        <f t="shared" si="203"/>
        <v>360-7454</v>
      </c>
      <c r="Q2332" s="315" t="str">
        <f t="shared" si="204"/>
        <v>Admin &amp; Other</v>
      </c>
      <c r="R2332" s="315" t="str">
        <f t="shared" si="205"/>
        <v>Admin &amp; OtherOther Overheads as % of Total Gross Profit</v>
      </c>
      <c r="S2332" s="199"/>
      <c r="T2332" s="199"/>
      <c r="U2332" s="199"/>
    </row>
    <row r="2333" spans="1:21" x14ac:dyDescent="0.25">
      <c r="A2333" t="s">
        <v>996</v>
      </c>
      <c r="B2333" t="s">
        <v>997</v>
      </c>
      <c r="C2333" t="s">
        <v>997</v>
      </c>
      <c r="D2333">
        <v>7454</v>
      </c>
      <c r="E2333">
        <v>170</v>
      </c>
      <c r="F2333" t="s">
        <v>998</v>
      </c>
      <c r="G2333" t="s">
        <v>999</v>
      </c>
      <c r="H2333" s="315" t="s">
        <v>1000</v>
      </c>
      <c r="I2333" s="315" t="s">
        <v>1001</v>
      </c>
      <c r="J2333" s="315" t="str">
        <f t="shared" si="201"/>
        <v>Admin &amp; OtherOther Overheads as % of Total Gross Profit</v>
      </c>
      <c r="K2333" s="315" t="str">
        <f t="shared" si="202"/>
        <v>170Miscellaneous expenses - Toyota</v>
      </c>
      <c r="L2333" s="311">
        <f>+SUMIF('TUNZ Extracted TB'!M:M,$P2333,'TUNZ Extracted TB'!G:G)</f>
        <v>0</v>
      </c>
      <c r="M2333" s="311"/>
      <c r="N2333" s="311">
        <f>+SUMIF('Input Sheet'!$AE:$AE,P2333,'Input Sheet'!$X:$X)</f>
        <v>0</v>
      </c>
      <c r="O2333" s="311"/>
      <c r="P2333" t="str">
        <f t="shared" si="203"/>
        <v>170-7454</v>
      </c>
      <c r="Q2333" s="315" t="str">
        <f t="shared" si="204"/>
        <v>Admin &amp; Other</v>
      </c>
      <c r="R2333" s="315" t="str">
        <f t="shared" si="205"/>
        <v>Admin &amp; OtherOther Overheads as % of Total Gross Profit</v>
      </c>
      <c r="S2333" s="199"/>
      <c r="T2333" s="199"/>
      <c r="U2333" s="199"/>
    </row>
    <row r="2334" spans="1:21" x14ac:dyDescent="0.25">
      <c r="A2334" t="s">
        <v>996</v>
      </c>
      <c r="B2334" t="s">
        <v>997</v>
      </c>
      <c r="C2334" t="s">
        <v>997</v>
      </c>
      <c r="D2334">
        <v>7454</v>
      </c>
      <c r="E2334">
        <v>936</v>
      </c>
      <c r="F2334" t="s">
        <v>1175</v>
      </c>
      <c r="G2334" t="s">
        <v>1176</v>
      </c>
      <c r="H2334" s="315" t="s">
        <v>1023</v>
      </c>
      <c r="I2334" s="315" t="s">
        <v>1001</v>
      </c>
      <c r="J2334" s="315" t="str">
        <f t="shared" si="201"/>
        <v>LEX Admin &amp; OtherOther Overheads as % of Total Gross Profit</v>
      </c>
      <c r="K2334" s="315" t="str">
        <f t="shared" si="202"/>
        <v>936Other franchise/business expense</v>
      </c>
      <c r="L2334" s="311">
        <f>+SUMIF('TUNZ Extracted TB'!M:M,$P2334,'TUNZ Extracted TB'!G:G)</f>
        <v>0</v>
      </c>
      <c r="M2334" s="311"/>
      <c r="N2334" s="311">
        <f>+SUMIF('Input Sheet'!$AE:$AE,P2334,'Input Sheet'!$X:$X)</f>
        <v>0</v>
      </c>
      <c r="O2334" s="311"/>
      <c r="P2334" t="str">
        <f t="shared" si="203"/>
        <v>936-7454</v>
      </c>
      <c r="Q2334" s="315" t="str">
        <f t="shared" si="204"/>
        <v>LEX Admin &amp; Other</v>
      </c>
      <c r="R2334" s="315" t="str">
        <f t="shared" si="205"/>
        <v>LEX Admin &amp; OtherOther Overheads as % of Total Gross Profit</v>
      </c>
      <c r="S2334" s="199"/>
      <c r="T2334" s="199"/>
      <c r="U2334" s="199"/>
    </row>
    <row r="2335" spans="1:21" x14ac:dyDescent="0.25">
      <c r="A2335" t="s">
        <v>996</v>
      </c>
      <c r="B2335" t="s">
        <v>997</v>
      </c>
      <c r="C2335" t="s">
        <v>997</v>
      </c>
      <c r="D2335">
        <v>7454</v>
      </c>
      <c r="E2335">
        <v>935</v>
      </c>
      <c r="F2335" t="s">
        <v>1175</v>
      </c>
      <c r="G2335" t="s">
        <v>1176</v>
      </c>
      <c r="H2335" s="315" t="s">
        <v>1023</v>
      </c>
      <c r="I2335" s="315" t="s">
        <v>1001</v>
      </c>
      <c r="J2335" s="315" t="str">
        <f t="shared" si="201"/>
        <v>LEX Admin &amp; OtherOther Overheads as % of Total Gross Profit</v>
      </c>
      <c r="K2335" s="315" t="str">
        <f t="shared" si="202"/>
        <v>935Other franchise/business expense</v>
      </c>
      <c r="L2335" s="311">
        <f>+SUMIF('TUNZ Extracted TB'!M:M,$P2335,'TUNZ Extracted TB'!G:G)</f>
        <v>0</v>
      </c>
      <c r="M2335" s="311"/>
      <c r="N2335" s="311">
        <f>+SUMIF('Input Sheet'!$AE:$AE,P2335,'Input Sheet'!$X:$X)</f>
        <v>0</v>
      </c>
      <c r="O2335" s="311"/>
      <c r="P2335" t="str">
        <f t="shared" si="203"/>
        <v>935-7454</v>
      </c>
      <c r="Q2335" s="315" t="str">
        <f t="shared" si="204"/>
        <v>LEX Admin &amp; Other</v>
      </c>
      <c r="R2335" s="315" t="str">
        <f t="shared" si="205"/>
        <v>LEX Admin &amp; OtherOther Overheads as % of Total Gross Profit</v>
      </c>
      <c r="S2335" s="199"/>
      <c r="T2335" s="199"/>
      <c r="U2335" s="199"/>
    </row>
    <row r="2336" spans="1:21" x14ac:dyDescent="0.25">
      <c r="A2336" t="s">
        <v>996</v>
      </c>
      <c r="B2336" t="s">
        <v>997</v>
      </c>
      <c r="C2336" t="s">
        <v>997</v>
      </c>
      <c r="D2336">
        <v>7454</v>
      </c>
      <c r="E2336">
        <v>112</v>
      </c>
      <c r="F2336" t="s">
        <v>1362</v>
      </c>
      <c r="G2336" t="s">
        <v>1363</v>
      </c>
      <c r="H2336" s="315" t="s">
        <v>1023</v>
      </c>
      <c r="I2336" s="315" t="s">
        <v>1001</v>
      </c>
      <c r="J2336" s="315" t="str">
        <f t="shared" si="201"/>
        <v>LEX Admin &amp; OtherOther Overheads as % of Total Gross Profit</v>
      </c>
      <c r="K2336" s="315" t="str">
        <f t="shared" si="202"/>
        <v>112Miscellaneous expenses - Lexus</v>
      </c>
      <c r="L2336" s="311">
        <f>+SUMIF('TUNZ Extracted TB'!M:M,$P2336,'TUNZ Extracted TB'!G:G)</f>
        <v>0</v>
      </c>
      <c r="M2336" s="311"/>
      <c r="N2336" s="311">
        <f>+SUMIF('Input Sheet'!$AE:$AE,P2336,'Input Sheet'!$X:$X)</f>
        <v>0</v>
      </c>
      <c r="O2336" s="311"/>
      <c r="P2336" t="str">
        <f t="shared" si="203"/>
        <v>112-7454</v>
      </c>
      <c r="Q2336" s="315" t="str">
        <f t="shared" si="204"/>
        <v>LEX Admin &amp; Other</v>
      </c>
      <c r="R2336" s="315" t="str">
        <f t="shared" si="205"/>
        <v>LEX Admin &amp; OtherOther Overheads as % of Total Gross Profit</v>
      </c>
      <c r="S2336" s="199"/>
      <c r="T2336" s="199"/>
      <c r="U2336" s="199"/>
    </row>
    <row r="2337" spans="1:21" x14ac:dyDescent="0.25">
      <c r="A2337" t="s">
        <v>996</v>
      </c>
      <c r="B2337" t="s">
        <v>997</v>
      </c>
      <c r="C2337" t="s">
        <v>997</v>
      </c>
      <c r="D2337">
        <v>7454</v>
      </c>
      <c r="E2337">
        <v>110</v>
      </c>
      <c r="F2337" t="s">
        <v>998</v>
      </c>
      <c r="G2337" t="s">
        <v>999</v>
      </c>
      <c r="H2337" s="315" t="s">
        <v>1000</v>
      </c>
      <c r="I2337" s="315" t="s">
        <v>1001</v>
      </c>
      <c r="J2337" s="315" t="str">
        <f t="shared" si="201"/>
        <v>Admin &amp; OtherOther Overheads as % of Total Gross Profit</v>
      </c>
      <c r="K2337" s="315" t="str">
        <f t="shared" si="202"/>
        <v>110Miscellaneous expenses - Toyota</v>
      </c>
      <c r="L2337" s="311">
        <f>+SUMIF('TUNZ Extracted TB'!M:M,$P2337,'TUNZ Extracted TB'!G:G)</f>
        <v>0</v>
      </c>
      <c r="M2337" s="311"/>
      <c r="N2337" s="311">
        <f>+SUMIF('Input Sheet'!$AE:$AE,P2337,'Input Sheet'!$X:$X)</f>
        <v>0</v>
      </c>
      <c r="O2337" s="311"/>
      <c r="P2337" t="str">
        <f t="shared" si="203"/>
        <v>110-7454</v>
      </c>
      <c r="Q2337" s="315" t="str">
        <f t="shared" si="204"/>
        <v>Admin &amp; Other</v>
      </c>
      <c r="R2337" s="315" t="str">
        <f t="shared" si="205"/>
        <v>Admin &amp; OtherOther Overheads as % of Total Gross Profit</v>
      </c>
      <c r="S2337" s="199"/>
      <c r="T2337" s="199"/>
      <c r="U2337" s="199"/>
    </row>
    <row r="2338" spans="1:21" x14ac:dyDescent="0.25">
      <c r="A2338" t="s">
        <v>996</v>
      </c>
      <c r="B2338" t="s">
        <v>997</v>
      </c>
      <c r="C2338" t="s">
        <v>997</v>
      </c>
      <c r="D2338">
        <v>7454</v>
      </c>
      <c r="E2338">
        <v>100</v>
      </c>
      <c r="F2338" t="s">
        <v>998</v>
      </c>
      <c r="G2338" t="s">
        <v>999</v>
      </c>
      <c r="H2338" s="315" t="s">
        <v>1000</v>
      </c>
      <c r="I2338" s="315" t="s">
        <v>1001</v>
      </c>
      <c r="J2338" s="315" t="str">
        <f t="shared" si="201"/>
        <v>Admin &amp; OtherOther Overheads as % of Total Gross Profit</v>
      </c>
      <c r="K2338" s="315" t="str">
        <f t="shared" si="202"/>
        <v>100Miscellaneous expenses - Toyota</v>
      </c>
      <c r="L2338" s="311">
        <f>+SUMIF('TUNZ Extracted TB'!M:M,$P2338,'TUNZ Extracted TB'!G:G)</f>
        <v>0</v>
      </c>
      <c r="M2338" s="311"/>
      <c r="N2338" s="311">
        <f>+SUMIF('Input Sheet'!$AE:$AE,P2338,'Input Sheet'!$X:$X)</f>
        <v>0</v>
      </c>
      <c r="O2338" s="311"/>
      <c r="P2338" t="str">
        <f t="shared" si="203"/>
        <v>100-7454</v>
      </c>
      <c r="Q2338" s="315" t="str">
        <f t="shared" si="204"/>
        <v>Admin &amp; Other</v>
      </c>
      <c r="R2338" s="315" t="str">
        <f t="shared" si="205"/>
        <v>Admin &amp; OtherOther Overheads as % of Total Gross Profit</v>
      </c>
      <c r="S2338" s="199"/>
      <c r="T2338" s="199"/>
      <c r="U2338" s="199"/>
    </row>
    <row r="2339" spans="1:21" x14ac:dyDescent="0.25">
      <c r="A2339" t="s">
        <v>996</v>
      </c>
      <c r="B2339" t="s">
        <v>997</v>
      </c>
      <c r="C2339" t="s">
        <v>997</v>
      </c>
      <c r="D2339">
        <v>7455</v>
      </c>
      <c r="E2339">
        <v>140</v>
      </c>
      <c r="F2339" t="s">
        <v>1364</v>
      </c>
      <c r="G2339" t="s">
        <v>1365</v>
      </c>
      <c r="H2339" s="315" t="s">
        <v>1000</v>
      </c>
      <c r="I2339" s="315" t="s">
        <v>1001</v>
      </c>
      <c r="J2339" s="315" t="str">
        <f t="shared" si="201"/>
        <v>Admin &amp; OtherOther Overheads as % of Total Gross Profit</v>
      </c>
      <c r="K2339" s="315" t="str">
        <f t="shared" si="202"/>
        <v>140Bad Debts - Toyota</v>
      </c>
      <c r="L2339" s="311">
        <f>+SUMIF('TUNZ Extracted TB'!M:M,$P2339,'TUNZ Extracted TB'!G:G)</f>
        <v>0</v>
      </c>
      <c r="M2339" s="311"/>
      <c r="N2339" s="311">
        <f>+SUMIF('Input Sheet'!$AE:$AE,P2339,'Input Sheet'!$X:$X)</f>
        <v>0</v>
      </c>
      <c r="O2339" s="311"/>
      <c r="P2339" t="str">
        <f t="shared" si="203"/>
        <v>140-7455</v>
      </c>
      <c r="Q2339" s="315" t="str">
        <f t="shared" si="204"/>
        <v>Admin &amp; Other</v>
      </c>
      <c r="R2339" s="315" t="str">
        <f t="shared" si="205"/>
        <v>Admin &amp; OtherOther Overheads as % of Total Gross Profit</v>
      </c>
      <c r="S2339" s="199"/>
      <c r="T2339" s="199"/>
      <c r="U2339" s="199"/>
    </row>
    <row r="2340" spans="1:21" x14ac:dyDescent="0.25">
      <c r="A2340" t="s">
        <v>996</v>
      </c>
      <c r="B2340" t="s">
        <v>997</v>
      </c>
      <c r="C2340" t="s">
        <v>997</v>
      </c>
      <c r="D2340">
        <v>7455</v>
      </c>
      <c r="E2340">
        <v>142</v>
      </c>
      <c r="F2340" t="s">
        <v>1366</v>
      </c>
      <c r="G2340" t="s">
        <v>1367</v>
      </c>
      <c r="H2340" s="315" t="s">
        <v>1023</v>
      </c>
      <c r="I2340" s="315" t="s">
        <v>1001</v>
      </c>
      <c r="J2340" s="315" t="str">
        <f t="shared" si="201"/>
        <v>LEX Admin &amp; OtherOther Overheads as % of Total Gross Profit</v>
      </c>
      <c r="K2340" s="315" t="str">
        <f t="shared" si="202"/>
        <v>142Bad Debts - Lexus</v>
      </c>
      <c r="L2340" s="311">
        <f>+SUMIF('TUNZ Extracted TB'!M:M,$P2340,'TUNZ Extracted TB'!G:G)</f>
        <v>0</v>
      </c>
      <c r="M2340" s="311"/>
      <c r="N2340" s="311">
        <f>+SUMIF('Input Sheet'!$AE:$AE,P2340,'Input Sheet'!$X:$X)</f>
        <v>0</v>
      </c>
      <c r="O2340" s="311"/>
      <c r="P2340" t="str">
        <f t="shared" si="203"/>
        <v>142-7455</v>
      </c>
      <c r="Q2340" s="315" t="str">
        <f t="shared" si="204"/>
        <v>LEX Admin &amp; Other</v>
      </c>
      <c r="R2340" s="315" t="str">
        <f t="shared" si="205"/>
        <v>LEX Admin &amp; OtherOther Overheads as % of Total Gross Profit</v>
      </c>
      <c r="S2340" s="199"/>
      <c r="T2340" s="199"/>
      <c r="U2340" s="199"/>
    </row>
    <row r="2341" spans="1:21" x14ac:dyDescent="0.25">
      <c r="A2341" t="s">
        <v>996</v>
      </c>
      <c r="B2341" t="s">
        <v>997</v>
      </c>
      <c r="C2341" t="s">
        <v>997</v>
      </c>
      <c r="D2341">
        <v>7455</v>
      </c>
      <c r="E2341">
        <v>130</v>
      </c>
      <c r="F2341" t="s">
        <v>1364</v>
      </c>
      <c r="G2341" t="s">
        <v>1365</v>
      </c>
      <c r="H2341" s="315" t="s">
        <v>1000</v>
      </c>
      <c r="I2341" s="315" t="s">
        <v>1001</v>
      </c>
      <c r="J2341" s="315" t="str">
        <f t="shared" si="201"/>
        <v>Admin &amp; OtherOther Overheads as % of Total Gross Profit</v>
      </c>
      <c r="K2341" s="315" t="str">
        <f t="shared" si="202"/>
        <v>130Bad Debts - Toyota</v>
      </c>
      <c r="L2341" s="311">
        <f>+SUMIF('TUNZ Extracted TB'!M:M,$P2341,'TUNZ Extracted TB'!G:G)</f>
        <v>0</v>
      </c>
      <c r="M2341" s="311"/>
      <c r="N2341" s="311">
        <f>+SUMIF('Input Sheet'!$AE:$AE,P2341,'Input Sheet'!$X:$X)</f>
        <v>0</v>
      </c>
      <c r="O2341" s="311"/>
      <c r="P2341" t="str">
        <f t="shared" si="203"/>
        <v>130-7455</v>
      </c>
      <c r="Q2341" s="315" t="str">
        <f t="shared" si="204"/>
        <v>Admin &amp; Other</v>
      </c>
      <c r="R2341" s="315" t="str">
        <f t="shared" si="205"/>
        <v>Admin &amp; OtherOther Overheads as % of Total Gross Profit</v>
      </c>
      <c r="S2341" s="199"/>
      <c r="T2341" s="199"/>
      <c r="U2341" s="199"/>
    </row>
    <row r="2342" spans="1:21" x14ac:dyDescent="0.25">
      <c r="A2342" t="s">
        <v>996</v>
      </c>
      <c r="B2342" t="s">
        <v>997</v>
      </c>
      <c r="C2342" t="s">
        <v>997</v>
      </c>
      <c r="D2342">
        <v>7455</v>
      </c>
      <c r="E2342">
        <v>132</v>
      </c>
      <c r="F2342" t="s">
        <v>1366</v>
      </c>
      <c r="G2342" t="s">
        <v>1367</v>
      </c>
      <c r="H2342" s="315" t="s">
        <v>1023</v>
      </c>
      <c r="I2342" s="315" t="s">
        <v>1001</v>
      </c>
      <c r="J2342" s="315" t="str">
        <f t="shared" si="201"/>
        <v>LEX Admin &amp; OtherOther Overheads as % of Total Gross Profit</v>
      </c>
      <c r="K2342" s="315" t="str">
        <f t="shared" si="202"/>
        <v>132Bad Debts - Lexus</v>
      </c>
      <c r="L2342" s="311">
        <f>+SUMIF('TUNZ Extracted TB'!M:M,$P2342,'TUNZ Extracted TB'!G:G)</f>
        <v>0</v>
      </c>
      <c r="M2342" s="311"/>
      <c r="N2342" s="311">
        <f>+SUMIF('Input Sheet'!$AE:$AE,P2342,'Input Sheet'!$X:$X)</f>
        <v>0</v>
      </c>
      <c r="O2342" s="311"/>
      <c r="P2342" t="str">
        <f t="shared" si="203"/>
        <v>132-7455</v>
      </c>
      <c r="Q2342" s="315" t="str">
        <f t="shared" si="204"/>
        <v>LEX Admin &amp; Other</v>
      </c>
      <c r="R2342" s="315" t="str">
        <f t="shared" si="205"/>
        <v>LEX Admin &amp; OtherOther Overheads as % of Total Gross Profit</v>
      </c>
      <c r="S2342" s="199"/>
      <c r="T2342" s="199"/>
      <c r="U2342" s="199"/>
    </row>
    <row r="2343" spans="1:21" x14ac:dyDescent="0.25">
      <c r="A2343" t="s">
        <v>996</v>
      </c>
      <c r="B2343" t="s">
        <v>997</v>
      </c>
      <c r="C2343" t="s">
        <v>997</v>
      </c>
      <c r="D2343">
        <v>7455</v>
      </c>
      <c r="E2343">
        <v>122</v>
      </c>
      <c r="F2343" t="s">
        <v>1366</v>
      </c>
      <c r="G2343" t="s">
        <v>1367</v>
      </c>
      <c r="H2343" s="315" t="s">
        <v>1023</v>
      </c>
      <c r="I2343" s="315" t="s">
        <v>1001</v>
      </c>
      <c r="J2343" s="315" t="str">
        <f t="shared" si="201"/>
        <v>LEX Admin &amp; OtherOther Overheads as % of Total Gross Profit</v>
      </c>
      <c r="K2343" s="315" t="str">
        <f t="shared" si="202"/>
        <v>122Bad Debts - Lexus</v>
      </c>
      <c r="L2343" s="311">
        <f>+SUMIF('TUNZ Extracted TB'!M:M,$P2343,'TUNZ Extracted TB'!G:G)</f>
        <v>0</v>
      </c>
      <c r="M2343" s="311"/>
      <c r="N2343" s="311">
        <f>+SUMIF('Input Sheet'!$AE:$AE,P2343,'Input Sheet'!$X:$X)</f>
        <v>0</v>
      </c>
      <c r="O2343" s="311"/>
      <c r="P2343" t="str">
        <f t="shared" si="203"/>
        <v>122-7455</v>
      </c>
      <c r="Q2343" s="315" t="str">
        <f t="shared" si="204"/>
        <v>LEX Admin &amp; Other</v>
      </c>
      <c r="R2343" s="315" t="str">
        <f t="shared" si="205"/>
        <v>LEX Admin &amp; OtherOther Overheads as % of Total Gross Profit</v>
      </c>
      <c r="S2343" s="199"/>
      <c r="T2343" s="199"/>
      <c r="U2343" s="199"/>
    </row>
    <row r="2344" spans="1:21" x14ac:dyDescent="0.25">
      <c r="A2344" t="s">
        <v>996</v>
      </c>
      <c r="B2344" t="s">
        <v>997</v>
      </c>
      <c r="C2344" t="s">
        <v>997</v>
      </c>
      <c r="D2344">
        <v>7455</v>
      </c>
      <c r="E2344">
        <v>162</v>
      </c>
      <c r="F2344" t="s">
        <v>1366</v>
      </c>
      <c r="G2344" t="s">
        <v>1367</v>
      </c>
      <c r="H2344" s="315" t="s">
        <v>1023</v>
      </c>
      <c r="I2344" s="315" t="s">
        <v>1001</v>
      </c>
      <c r="J2344" s="315" t="str">
        <f t="shared" si="201"/>
        <v>LEX Admin &amp; OtherOther Overheads as % of Total Gross Profit</v>
      </c>
      <c r="K2344" s="315" t="str">
        <f t="shared" si="202"/>
        <v>162Bad Debts - Lexus</v>
      </c>
      <c r="L2344" s="311">
        <f>+SUMIF('TUNZ Extracted TB'!M:M,$P2344,'TUNZ Extracted TB'!G:G)</f>
        <v>0</v>
      </c>
      <c r="M2344" s="311"/>
      <c r="N2344" s="311">
        <f>+SUMIF('Input Sheet'!$AE:$AE,P2344,'Input Sheet'!$X:$X)</f>
        <v>0</v>
      </c>
      <c r="O2344" s="311"/>
      <c r="P2344" t="str">
        <f t="shared" si="203"/>
        <v>162-7455</v>
      </c>
      <c r="Q2344" s="315" t="str">
        <f t="shared" si="204"/>
        <v>LEX Admin &amp; Other</v>
      </c>
      <c r="R2344" s="315" t="str">
        <f t="shared" si="205"/>
        <v>LEX Admin &amp; OtherOther Overheads as % of Total Gross Profit</v>
      </c>
      <c r="S2344" s="199"/>
      <c r="T2344" s="199"/>
      <c r="U2344" s="199"/>
    </row>
    <row r="2345" spans="1:21" x14ac:dyDescent="0.25">
      <c r="A2345" t="s">
        <v>996</v>
      </c>
      <c r="B2345" t="s">
        <v>997</v>
      </c>
      <c r="C2345" t="s">
        <v>1005</v>
      </c>
      <c r="D2345">
        <v>7455</v>
      </c>
      <c r="E2345">
        <v>230</v>
      </c>
      <c r="F2345" t="s">
        <v>1364</v>
      </c>
      <c r="G2345" t="s">
        <v>1365</v>
      </c>
      <c r="H2345" s="315" t="s">
        <v>1000</v>
      </c>
      <c r="I2345" s="315" t="s">
        <v>1001</v>
      </c>
      <c r="J2345" s="315" t="str">
        <f t="shared" si="201"/>
        <v>Admin &amp; OtherOther Overheads as % of Total Gross Profit</v>
      </c>
      <c r="K2345" s="315" t="str">
        <f t="shared" si="202"/>
        <v>230Bad Debts - Toyota</v>
      </c>
      <c r="L2345" s="311">
        <f>+SUMIF('TUNZ Extracted TB'!M:M,$P2345,'TUNZ Extracted TB'!G:G)</f>
        <v>0</v>
      </c>
      <c r="M2345" s="311"/>
      <c r="N2345" s="311">
        <f>+SUMIF('Input Sheet'!$AE:$AE,P2345,'Input Sheet'!$X:$X)</f>
        <v>0</v>
      </c>
      <c r="O2345" s="311"/>
      <c r="P2345" t="str">
        <f t="shared" si="203"/>
        <v>230-7455</v>
      </c>
      <c r="Q2345" s="315" t="str">
        <f t="shared" si="204"/>
        <v>Admin &amp; Other</v>
      </c>
      <c r="R2345" s="315" t="str">
        <f t="shared" si="205"/>
        <v>Admin &amp; OtherOther Overheads as % of Total Gross Profit</v>
      </c>
      <c r="S2345" s="199"/>
      <c r="T2345" s="199"/>
      <c r="U2345" s="199"/>
    </row>
    <row r="2346" spans="1:21" x14ac:dyDescent="0.25">
      <c r="A2346" t="s">
        <v>996</v>
      </c>
      <c r="B2346" t="s">
        <v>997</v>
      </c>
      <c r="C2346" t="s">
        <v>1005</v>
      </c>
      <c r="D2346">
        <v>7455</v>
      </c>
      <c r="E2346">
        <v>200</v>
      </c>
      <c r="F2346" t="s">
        <v>1364</v>
      </c>
      <c r="G2346" t="s">
        <v>1365</v>
      </c>
      <c r="H2346" s="315" t="s">
        <v>1000</v>
      </c>
      <c r="I2346" s="315" t="s">
        <v>1001</v>
      </c>
      <c r="J2346" s="315" t="str">
        <f t="shared" si="201"/>
        <v>Admin &amp; OtherOther Overheads as % of Total Gross Profit</v>
      </c>
      <c r="K2346" s="315" t="str">
        <f t="shared" si="202"/>
        <v>200Bad Debts - Toyota</v>
      </c>
      <c r="L2346" s="311">
        <f>+SUMIF('TUNZ Extracted TB'!M:M,$P2346,'TUNZ Extracted TB'!G:G)</f>
        <v>0</v>
      </c>
      <c r="M2346" s="311"/>
      <c r="N2346" s="311">
        <f>+SUMIF('Input Sheet'!$AE:$AE,P2346,'Input Sheet'!$X:$X)</f>
        <v>0</v>
      </c>
      <c r="O2346" s="311"/>
      <c r="P2346" t="str">
        <f t="shared" si="203"/>
        <v>200-7455</v>
      </c>
      <c r="Q2346" s="315" t="str">
        <f t="shared" si="204"/>
        <v>Admin &amp; Other</v>
      </c>
      <c r="R2346" s="315" t="str">
        <f t="shared" si="205"/>
        <v>Admin &amp; OtherOther Overheads as % of Total Gross Profit</v>
      </c>
      <c r="S2346" s="199"/>
      <c r="T2346" s="199"/>
      <c r="U2346" s="199"/>
    </row>
    <row r="2347" spans="1:21" x14ac:dyDescent="0.25">
      <c r="A2347" t="s">
        <v>996</v>
      </c>
      <c r="B2347" t="s">
        <v>997</v>
      </c>
      <c r="C2347" t="s">
        <v>1005</v>
      </c>
      <c r="D2347">
        <v>7455</v>
      </c>
      <c r="E2347">
        <v>210</v>
      </c>
      <c r="F2347" t="s">
        <v>1364</v>
      </c>
      <c r="G2347" t="s">
        <v>1365</v>
      </c>
      <c r="H2347" s="315" t="s">
        <v>1000</v>
      </c>
      <c r="I2347" s="315" t="s">
        <v>1001</v>
      </c>
      <c r="J2347" s="315" t="str">
        <f t="shared" si="201"/>
        <v>Admin &amp; OtherOther Overheads as % of Total Gross Profit</v>
      </c>
      <c r="K2347" s="315" t="str">
        <f t="shared" si="202"/>
        <v>210Bad Debts - Toyota</v>
      </c>
      <c r="L2347" s="311">
        <f>+SUMIF('TUNZ Extracted TB'!M:M,$P2347,'TUNZ Extracted TB'!G:G)</f>
        <v>0</v>
      </c>
      <c r="M2347" s="311"/>
      <c r="N2347" s="311">
        <f>+SUMIF('Input Sheet'!$AE:$AE,P2347,'Input Sheet'!$X:$X)</f>
        <v>0</v>
      </c>
      <c r="O2347" s="311"/>
      <c r="P2347" t="str">
        <f t="shared" si="203"/>
        <v>210-7455</v>
      </c>
      <c r="Q2347" s="315" t="str">
        <f t="shared" si="204"/>
        <v>Admin &amp; Other</v>
      </c>
      <c r="R2347" s="315" t="str">
        <f t="shared" si="205"/>
        <v>Admin &amp; OtherOther Overheads as % of Total Gross Profit</v>
      </c>
      <c r="S2347" s="199"/>
      <c r="T2347" s="199"/>
      <c r="U2347" s="199"/>
    </row>
    <row r="2348" spans="1:21" x14ac:dyDescent="0.25">
      <c r="A2348" t="s">
        <v>996</v>
      </c>
      <c r="B2348" t="s">
        <v>997</v>
      </c>
      <c r="C2348" t="s">
        <v>1005</v>
      </c>
      <c r="D2348">
        <v>7455</v>
      </c>
      <c r="E2348">
        <v>220</v>
      </c>
      <c r="F2348" t="s">
        <v>1364</v>
      </c>
      <c r="G2348" t="s">
        <v>1365</v>
      </c>
      <c r="H2348" s="315" t="s">
        <v>1000</v>
      </c>
      <c r="I2348" s="315" t="s">
        <v>1001</v>
      </c>
      <c r="J2348" s="315" t="str">
        <f t="shared" si="201"/>
        <v>Admin &amp; OtherOther Overheads as % of Total Gross Profit</v>
      </c>
      <c r="K2348" s="315" t="str">
        <f t="shared" si="202"/>
        <v>220Bad Debts - Toyota</v>
      </c>
      <c r="L2348" s="311">
        <f>+SUMIF('TUNZ Extracted TB'!M:M,$P2348,'TUNZ Extracted TB'!G:G)</f>
        <v>0</v>
      </c>
      <c r="M2348" s="311"/>
      <c r="N2348" s="311">
        <f>+SUMIF('Input Sheet'!$AE:$AE,P2348,'Input Sheet'!$X:$X)</f>
        <v>0</v>
      </c>
      <c r="O2348" s="311"/>
      <c r="P2348" t="str">
        <f t="shared" si="203"/>
        <v>220-7455</v>
      </c>
      <c r="Q2348" s="315" t="str">
        <f t="shared" si="204"/>
        <v>Admin &amp; Other</v>
      </c>
      <c r="R2348" s="315" t="str">
        <f t="shared" si="205"/>
        <v>Admin &amp; OtherOther Overheads as % of Total Gross Profit</v>
      </c>
      <c r="S2348" s="199"/>
      <c r="T2348" s="199"/>
      <c r="U2348" s="199"/>
    </row>
    <row r="2349" spans="1:21" x14ac:dyDescent="0.25">
      <c r="A2349" t="s">
        <v>996</v>
      </c>
      <c r="B2349" t="s">
        <v>997</v>
      </c>
      <c r="C2349" t="s">
        <v>1005</v>
      </c>
      <c r="D2349">
        <v>7455</v>
      </c>
      <c r="E2349">
        <v>221</v>
      </c>
      <c r="F2349" t="s">
        <v>1364</v>
      </c>
      <c r="G2349" t="s">
        <v>1365</v>
      </c>
      <c r="H2349" s="315" t="s">
        <v>1000</v>
      </c>
      <c r="I2349" s="315" t="s">
        <v>1001</v>
      </c>
      <c r="J2349" s="315" t="str">
        <f t="shared" si="201"/>
        <v>Admin &amp; OtherOther Overheads as % of Total Gross Profit</v>
      </c>
      <c r="K2349" s="315" t="str">
        <f t="shared" si="202"/>
        <v>221Bad Debts - Toyota</v>
      </c>
      <c r="L2349" s="311">
        <f>+SUMIF('TUNZ Extracted TB'!M:M,$P2349,'TUNZ Extracted TB'!G:G)</f>
        <v>0</v>
      </c>
      <c r="M2349" s="311"/>
      <c r="N2349" s="311">
        <f>+SUMIF('Input Sheet'!$AE:$AE,P2349,'Input Sheet'!$X:$X)</f>
        <v>0</v>
      </c>
      <c r="O2349" s="311"/>
      <c r="P2349" t="str">
        <f t="shared" si="203"/>
        <v>221-7455</v>
      </c>
      <c r="Q2349" s="315" t="str">
        <f t="shared" si="204"/>
        <v>Admin &amp; Other</v>
      </c>
      <c r="R2349" s="315" t="str">
        <f t="shared" si="205"/>
        <v>Admin &amp; OtherOther Overheads as % of Total Gross Profit</v>
      </c>
      <c r="S2349" s="199"/>
      <c r="T2349" s="199"/>
      <c r="U2349" s="199"/>
    </row>
    <row r="2350" spans="1:21" x14ac:dyDescent="0.25">
      <c r="A2350" t="s">
        <v>996</v>
      </c>
      <c r="B2350" t="s">
        <v>997</v>
      </c>
      <c r="C2350" t="s">
        <v>1005</v>
      </c>
      <c r="D2350">
        <v>7455</v>
      </c>
      <c r="E2350">
        <v>240</v>
      </c>
      <c r="F2350" t="s">
        <v>1364</v>
      </c>
      <c r="G2350" t="s">
        <v>1365</v>
      </c>
      <c r="H2350" s="315" t="s">
        <v>1000</v>
      </c>
      <c r="I2350" s="315" t="s">
        <v>1001</v>
      </c>
      <c r="J2350" s="315" t="str">
        <f t="shared" si="201"/>
        <v>Admin &amp; OtherOther Overheads as % of Total Gross Profit</v>
      </c>
      <c r="K2350" s="315" t="str">
        <f t="shared" si="202"/>
        <v>240Bad Debts - Toyota</v>
      </c>
      <c r="L2350" s="311">
        <f>+SUMIF('TUNZ Extracted TB'!M:M,$P2350,'TUNZ Extracted TB'!G:G)</f>
        <v>0</v>
      </c>
      <c r="M2350" s="311"/>
      <c r="N2350" s="311">
        <f>+SUMIF('Input Sheet'!$AE:$AE,P2350,'Input Sheet'!$X:$X)</f>
        <v>0</v>
      </c>
      <c r="O2350" s="311"/>
      <c r="P2350" t="str">
        <f t="shared" si="203"/>
        <v>240-7455</v>
      </c>
      <c r="Q2350" s="315" t="str">
        <f t="shared" si="204"/>
        <v>Admin &amp; Other</v>
      </c>
      <c r="R2350" s="315" t="str">
        <f t="shared" si="205"/>
        <v>Admin &amp; OtherOther Overheads as % of Total Gross Profit</v>
      </c>
      <c r="S2350" s="199"/>
      <c r="T2350" s="199"/>
      <c r="U2350" s="199"/>
    </row>
    <row r="2351" spans="1:21" x14ac:dyDescent="0.25">
      <c r="A2351" t="s">
        <v>996</v>
      </c>
      <c r="B2351" t="s">
        <v>997</v>
      </c>
      <c r="C2351" t="s">
        <v>1005</v>
      </c>
      <c r="D2351">
        <v>7455</v>
      </c>
      <c r="E2351">
        <v>260</v>
      </c>
      <c r="F2351" t="s">
        <v>1364</v>
      </c>
      <c r="G2351" t="s">
        <v>1365</v>
      </c>
      <c r="H2351" s="315" t="s">
        <v>1000</v>
      </c>
      <c r="I2351" s="315" t="s">
        <v>1001</v>
      </c>
      <c r="J2351" s="315" t="str">
        <f t="shared" si="201"/>
        <v>Admin &amp; OtherOther Overheads as % of Total Gross Profit</v>
      </c>
      <c r="K2351" s="315" t="str">
        <f t="shared" si="202"/>
        <v>260Bad Debts - Toyota</v>
      </c>
      <c r="L2351" s="311">
        <f>+SUMIF('TUNZ Extracted TB'!M:M,$P2351,'TUNZ Extracted TB'!G:G)</f>
        <v>0</v>
      </c>
      <c r="M2351" s="311"/>
      <c r="N2351" s="311">
        <f>+SUMIF('Input Sheet'!$AE:$AE,P2351,'Input Sheet'!$X:$X)</f>
        <v>0</v>
      </c>
      <c r="O2351" s="311"/>
      <c r="P2351" t="str">
        <f t="shared" si="203"/>
        <v>260-7455</v>
      </c>
      <c r="Q2351" s="315" t="str">
        <f t="shared" si="204"/>
        <v>Admin &amp; Other</v>
      </c>
      <c r="R2351" s="315" t="str">
        <f t="shared" si="205"/>
        <v>Admin &amp; OtherOther Overheads as % of Total Gross Profit</v>
      </c>
      <c r="S2351" s="199"/>
      <c r="T2351" s="199"/>
      <c r="U2351" s="199"/>
    </row>
    <row r="2352" spans="1:21" x14ac:dyDescent="0.25">
      <c r="A2352" t="s">
        <v>996</v>
      </c>
      <c r="B2352" t="s">
        <v>997</v>
      </c>
      <c r="C2352" t="s">
        <v>1012</v>
      </c>
      <c r="D2352">
        <v>7455</v>
      </c>
      <c r="E2352">
        <v>400</v>
      </c>
      <c r="F2352" t="s">
        <v>1364</v>
      </c>
      <c r="G2352" t="s">
        <v>1365</v>
      </c>
      <c r="H2352" s="315" t="s">
        <v>1000</v>
      </c>
      <c r="I2352" s="315" t="s">
        <v>1001</v>
      </c>
      <c r="J2352" s="315" t="str">
        <f t="shared" si="201"/>
        <v>Admin &amp; OtherOther Overheads as % of Total Gross Profit</v>
      </c>
      <c r="K2352" s="315" t="str">
        <f t="shared" si="202"/>
        <v>400Bad Debts - Toyota</v>
      </c>
      <c r="L2352" s="311">
        <f>+SUMIF('TUNZ Extracted TB'!M:M,$P2352,'TUNZ Extracted TB'!G:G)</f>
        <v>0</v>
      </c>
      <c r="M2352" s="311"/>
      <c r="N2352" s="311">
        <f>+SUMIF('Input Sheet'!$AE:$AE,P2352,'Input Sheet'!$X:$X)</f>
        <v>0</v>
      </c>
      <c r="O2352" s="311"/>
      <c r="P2352" t="str">
        <f t="shared" si="203"/>
        <v>400-7455</v>
      </c>
      <c r="Q2352" s="315" t="str">
        <f t="shared" si="204"/>
        <v>Admin &amp; Other</v>
      </c>
      <c r="R2352" s="315" t="str">
        <f t="shared" si="205"/>
        <v>Admin &amp; OtherOther Overheads as % of Total Gross Profit</v>
      </c>
      <c r="S2352" s="199"/>
      <c r="T2352" s="199"/>
      <c r="U2352" s="199"/>
    </row>
    <row r="2353" spans="1:21" x14ac:dyDescent="0.25">
      <c r="A2353" t="s">
        <v>996</v>
      </c>
      <c r="B2353" t="s">
        <v>997</v>
      </c>
      <c r="C2353" t="s">
        <v>1012</v>
      </c>
      <c r="D2353">
        <v>7455</v>
      </c>
      <c r="E2353">
        <v>410</v>
      </c>
      <c r="F2353" t="s">
        <v>1364</v>
      </c>
      <c r="G2353" t="s">
        <v>1365</v>
      </c>
      <c r="H2353" s="315" t="s">
        <v>1000</v>
      </c>
      <c r="I2353" s="315" t="s">
        <v>1001</v>
      </c>
      <c r="J2353" s="315" t="str">
        <f t="shared" si="201"/>
        <v>Admin &amp; OtherOther Overheads as % of Total Gross Profit</v>
      </c>
      <c r="K2353" s="315" t="str">
        <f t="shared" si="202"/>
        <v>410Bad Debts - Toyota</v>
      </c>
      <c r="L2353" s="311">
        <f>+SUMIF('TUNZ Extracted TB'!M:M,$P2353,'TUNZ Extracted TB'!G:G)</f>
        <v>0</v>
      </c>
      <c r="M2353" s="311"/>
      <c r="N2353" s="311">
        <f>+SUMIF('Input Sheet'!$AE:$AE,P2353,'Input Sheet'!$X:$X)</f>
        <v>0</v>
      </c>
      <c r="O2353" s="311"/>
      <c r="P2353" t="str">
        <f t="shared" si="203"/>
        <v>410-7455</v>
      </c>
      <c r="Q2353" s="315" t="str">
        <f t="shared" si="204"/>
        <v>Admin &amp; Other</v>
      </c>
      <c r="R2353" s="315" t="str">
        <f t="shared" si="205"/>
        <v>Admin &amp; OtherOther Overheads as % of Total Gross Profit</v>
      </c>
      <c r="S2353" s="199"/>
      <c r="T2353" s="199"/>
      <c r="U2353" s="199"/>
    </row>
    <row r="2354" spans="1:21" x14ac:dyDescent="0.25">
      <c r="A2354" t="s">
        <v>996</v>
      </c>
      <c r="B2354" t="s">
        <v>997</v>
      </c>
      <c r="C2354" t="s">
        <v>1012</v>
      </c>
      <c r="D2354">
        <v>7455</v>
      </c>
      <c r="E2354">
        <v>420</v>
      </c>
      <c r="F2354" t="s">
        <v>1364</v>
      </c>
      <c r="G2354" t="s">
        <v>1365</v>
      </c>
      <c r="H2354" s="315" t="s">
        <v>1000</v>
      </c>
      <c r="I2354" s="315" t="s">
        <v>1001</v>
      </c>
      <c r="J2354" s="315" t="str">
        <f t="shared" si="201"/>
        <v>Admin &amp; OtherOther Overheads as % of Total Gross Profit</v>
      </c>
      <c r="K2354" s="315" t="str">
        <f t="shared" si="202"/>
        <v>420Bad Debts - Toyota</v>
      </c>
      <c r="L2354" s="311">
        <f>+SUMIF('TUNZ Extracted TB'!M:M,$P2354,'TUNZ Extracted TB'!G:G)</f>
        <v>0</v>
      </c>
      <c r="M2354" s="311"/>
      <c r="N2354" s="311">
        <f>+SUMIF('Input Sheet'!$AE:$AE,P2354,'Input Sheet'!$X:$X)</f>
        <v>0</v>
      </c>
      <c r="O2354" s="311"/>
      <c r="P2354" t="str">
        <f t="shared" si="203"/>
        <v>420-7455</v>
      </c>
      <c r="Q2354" s="315" t="str">
        <f t="shared" si="204"/>
        <v>Admin &amp; Other</v>
      </c>
      <c r="R2354" s="315" t="str">
        <f t="shared" si="205"/>
        <v>Admin &amp; OtherOther Overheads as % of Total Gross Profit</v>
      </c>
      <c r="S2354" s="199"/>
      <c r="T2354" s="199"/>
      <c r="U2354" s="199"/>
    </row>
    <row r="2355" spans="1:21" x14ac:dyDescent="0.25">
      <c r="A2355" t="s">
        <v>996</v>
      </c>
      <c r="B2355" t="s">
        <v>997</v>
      </c>
      <c r="C2355" t="s">
        <v>1012</v>
      </c>
      <c r="D2355">
        <v>7455</v>
      </c>
      <c r="E2355">
        <v>421</v>
      </c>
      <c r="F2355" t="s">
        <v>1364</v>
      </c>
      <c r="G2355" t="s">
        <v>1365</v>
      </c>
      <c r="H2355" s="315" t="s">
        <v>1000</v>
      </c>
      <c r="I2355" s="315" t="s">
        <v>1001</v>
      </c>
      <c r="J2355" s="315" t="str">
        <f t="shared" si="201"/>
        <v>Admin &amp; OtherOther Overheads as % of Total Gross Profit</v>
      </c>
      <c r="K2355" s="315" t="str">
        <f t="shared" si="202"/>
        <v>421Bad Debts - Toyota</v>
      </c>
      <c r="L2355" s="311">
        <f>+SUMIF('TUNZ Extracted TB'!M:M,$P2355,'TUNZ Extracted TB'!G:G)</f>
        <v>0</v>
      </c>
      <c r="M2355" s="311"/>
      <c r="N2355" s="311">
        <f>+SUMIF('Input Sheet'!$AE:$AE,P2355,'Input Sheet'!$X:$X)</f>
        <v>0</v>
      </c>
      <c r="O2355" s="311"/>
      <c r="P2355" t="str">
        <f t="shared" si="203"/>
        <v>421-7455</v>
      </c>
      <c r="Q2355" s="315" t="str">
        <f t="shared" si="204"/>
        <v>Admin &amp; Other</v>
      </c>
      <c r="R2355" s="315" t="str">
        <f t="shared" si="205"/>
        <v>Admin &amp; OtherOther Overheads as % of Total Gross Profit</v>
      </c>
      <c r="S2355" s="199"/>
      <c r="T2355" s="199"/>
      <c r="U2355" s="199"/>
    </row>
    <row r="2356" spans="1:21" x14ac:dyDescent="0.25">
      <c r="A2356" t="s">
        <v>996</v>
      </c>
      <c r="B2356" t="s">
        <v>997</v>
      </c>
      <c r="C2356" t="s">
        <v>1012</v>
      </c>
      <c r="D2356">
        <v>7455</v>
      </c>
      <c r="E2356">
        <v>430</v>
      </c>
      <c r="F2356" t="s">
        <v>1364</v>
      </c>
      <c r="G2356" t="s">
        <v>1365</v>
      </c>
      <c r="H2356" s="315" t="s">
        <v>1000</v>
      </c>
      <c r="I2356" s="315" t="s">
        <v>1001</v>
      </c>
      <c r="J2356" s="315" t="str">
        <f t="shared" si="201"/>
        <v>Admin &amp; OtherOther Overheads as % of Total Gross Profit</v>
      </c>
      <c r="K2356" s="315" t="str">
        <f t="shared" si="202"/>
        <v>430Bad Debts - Toyota</v>
      </c>
      <c r="L2356" s="311">
        <f>+SUMIF('TUNZ Extracted TB'!M:M,$P2356,'TUNZ Extracted TB'!G:G)</f>
        <v>0</v>
      </c>
      <c r="M2356" s="311"/>
      <c r="N2356" s="311">
        <f>+SUMIF('Input Sheet'!$AE:$AE,P2356,'Input Sheet'!$X:$X)</f>
        <v>0</v>
      </c>
      <c r="O2356" s="311"/>
      <c r="P2356" t="str">
        <f t="shared" si="203"/>
        <v>430-7455</v>
      </c>
      <c r="Q2356" s="315" t="str">
        <f t="shared" si="204"/>
        <v>Admin &amp; Other</v>
      </c>
      <c r="R2356" s="315" t="str">
        <f t="shared" si="205"/>
        <v>Admin &amp; OtherOther Overheads as % of Total Gross Profit</v>
      </c>
      <c r="S2356" s="199"/>
      <c r="T2356" s="199"/>
      <c r="U2356" s="199"/>
    </row>
    <row r="2357" spans="1:21" x14ac:dyDescent="0.25">
      <c r="A2357" t="s">
        <v>996</v>
      </c>
      <c r="B2357" t="s">
        <v>997</v>
      </c>
      <c r="C2357" t="s">
        <v>1012</v>
      </c>
      <c r="D2357">
        <v>7455</v>
      </c>
      <c r="E2357">
        <v>440</v>
      </c>
      <c r="F2357" t="s">
        <v>1364</v>
      </c>
      <c r="G2357" t="s">
        <v>1365</v>
      </c>
      <c r="H2357" s="315" t="s">
        <v>1000</v>
      </c>
      <c r="I2357" s="315" t="s">
        <v>1001</v>
      </c>
      <c r="J2357" s="315" t="str">
        <f t="shared" si="201"/>
        <v>Admin &amp; OtherOther Overheads as % of Total Gross Profit</v>
      </c>
      <c r="K2357" s="315" t="str">
        <f t="shared" si="202"/>
        <v>440Bad Debts - Toyota</v>
      </c>
      <c r="L2357" s="311">
        <f>+SUMIF('TUNZ Extracted TB'!M:M,$P2357,'TUNZ Extracted TB'!G:G)</f>
        <v>0</v>
      </c>
      <c r="M2357" s="311"/>
      <c r="N2357" s="311">
        <f>+SUMIF('Input Sheet'!$AE:$AE,P2357,'Input Sheet'!$X:$X)</f>
        <v>0</v>
      </c>
      <c r="O2357" s="311"/>
      <c r="P2357" t="str">
        <f t="shared" si="203"/>
        <v>440-7455</v>
      </c>
      <c r="Q2357" s="315" t="str">
        <f t="shared" si="204"/>
        <v>Admin &amp; Other</v>
      </c>
      <c r="R2357" s="315" t="str">
        <f t="shared" si="205"/>
        <v>Admin &amp; OtherOther Overheads as % of Total Gross Profit</v>
      </c>
      <c r="S2357" s="199"/>
      <c r="T2357" s="199"/>
      <c r="U2357" s="199"/>
    </row>
    <row r="2358" spans="1:21" x14ac:dyDescent="0.25">
      <c r="A2358" t="s">
        <v>996</v>
      </c>
      <c r="B2358" t="s">
        <v>997</v>
      </c>
      <c r="C2358" t="s">
        <v>1012</v>
      </c>
      <c r="D2358">
        <v>7455</v>
      </c>
      <c r="E2358">
        <v>460</v>
      </c>
      <c r="F2358" t="s">
        <v>1364</v>
      </c>
      <c r="G2358" t="s">
        <v>1365</v>
      </c>
      <c r="H2358" s="315" t="s">
        <v>1000</v>
      </c>
      <c r="I2358" s="315" t="s">
        <v>1001</v>
      </c>
      <c r="J2358" s="315" t="str">
        <f t="shared" si="201"/>
        <v>Admin &amp; OtherOther Overheads as % of Total Gross Profit</v>
      </c>
      <c r="K2358" s="315" t="str">
        <f t="shared" si="202"/>
        <v>460Bad Debts - Toyota</v>
      </c>
      <c r="L2358" s="311">
        <f>+SUMIF('TUNZ Extracted TB'!M:M,$P2358,'TUNZ Extracted TB'!G:G)</f>
        <v>0</v>
      </c>
      <c r="M2358" s="311"/>
      <c r="N2358" s="311">
        <f>+SUMIF('Input Sheet'!$AE:$AE,P2358,'Input Sheet'!$X:$X)</f>
        <v>0</v>
      </c>
      <c r="O2358" s="311"/>
      <c r="P2358" t="str">
        <f t="shared" si="203"/>
        <v>460-7455</v>
      </c>
      <c r="Q2358" s="315" t="str">
        <f t="shared" si="204"/>
        <v>Admin &amp; Other</v>
      </c>
      <c r="R2358" s="315" t="str">
        <f t="shared" si="205"/>
        <v>Admin &amp; OtherOther Overheads as % of Total Gross Profit</v>
      </c>
      <c r="S2358" s="199"/>
      <c r="T2358" s="199"/>
      <c r="U2358" s="199"/>
    </row>
    <row r="2359" spans="1:21" x14ac:dyDescent="0.25">
      <c r="A2359" t="s">
        <v>996</v>
      </c>
      <c r="B2359" t="s">
        <v>997</v>
      </c>
      <c r="C2359" t="s">
        <v>1013</v>
      </c>
      <c r="D2359">
        <v>7455</v>
      </c>
      <c r="E2359">
        <v>300</v>
      </c>
      <c r="F2359" t="s">
        <v>1364</v>
      </c>
      <c r="G2359" t="s">
        <v>1365</v>
      </c>
      <c r="H2359" s="315" t="s">
        <v>1000</v>
      </c>
      <c r="I2359" s="315" t="s">
        <v>1001</v>
      </c>
      <c r="J2359" s="315" t="str">
        <f t="shared" si="201"/>
        <v>Admin &amp; OtherOther Overheads as % of Total Gross Profit</v>
      </c>
      <c r="K2359" s="315" t="str">
        <f t="shared" si="202"/>
        <v>300Bad Debts - Toyota</v>
      </c>
      <c r="L2359" s="311">
        <f>+SUMIF('TUNZ Extracted TB'!M:M,$P2359,'TUNZ Extracted TB'!G:G)</f>
        <v>0</v>
      </c>
      <c r="M2359" s="311"/>
      <c r="N2359" s="311">
        <f>+SUMIF('Input Sheet'!$AE:$AE,P2359,'Input Sheet'!$X:$X)</f>
        <v>0</v>
      </c>
      <c r="O2359" s="311"/>
      <c r="P2359" t="str">
        <f t="shared" si="203"/>
        <v>300-7455</v>
      </c>
      <c r="Q2359" s="315" t="str">
        <f t="shared" si="204"/>
        <v>Admin &amp; Other</v>
      </c>
      <c r="R2359" s="315" t="str">
        <f t="shared" si="205"/>
        <v>Admin &amp; OtherOther Overheads as % of Total Gross Profit</v>
      </c>
      <c r="S2359" s="199"/>
      <c r="T2359" s="199"/>
      <c r="U2359" s="199"/>
    </row>
    <row r="2360" spans="1:21" x14ac:dyDescent="0.25">
      <c r="A2360" t="s">
        <v>996</v>
      </c>
      <c r="B2360" t="s">
        <v>997</v>
      </c>
      <c r="C2360" t="s">
        <v>1013</v>
      </c>
      <c r="D2360">
        <v>7455</v>
      </c>
      <c r="E2360">
        <v>310</v>
      </c>
      <c r="F2360" t="s">
        <v>1364</v>
      </c>
      <c r="G2360" t="s">
        <v>1365</v>
      </c>
      <c r="H2360" s="315" t="s">
        <v>1000</v>
      </c>
      <c r="I2360" s="315" t="s">
        <v>1001</v>
      </c>
      <c r="J2360" s="315" t="str">
        <f t="shared" si="201"/>
        <v>Admin &amp; OtherOther Overheads as % of Total Gross Profit</v>
      </c>
      <c r="K2360" s="315" t="str">
        <f t="shared" si="202"/>
        <v>310Bad Debts - Toyota</v>
      </c>
      <c r="L2360" s="311">
        <f>+SUMIF('TUNZ Extracted TB'!M:M,$P2360,'TUNZ Extracted TB'!G:G)</f>
        <v>0</v>
      </c>
      <c r="M2360" s="311"/>
      <c r="N2360" s="311">
        <f>+SUMIF('Input Sheet'!$AE:$AE,P2360,'Input Sheet'!$X:$X)</f>
        <v>0</v>
      </c>
      <c r="O2360" s="311"/>
      <c r="P2360" t="str">
        <f t="shared" si="203"/>
        <v>310-7455</v>
      </c>
      <c r="Q2360" s="315" t="str">
        <f t="shared" si="204"/>
        <v>Admin &amp; Other</v>
      </c>
      <c r="R2360" s="315" t="str">
        <f t="shared" si="205"/>
        <v>Admin &amp; OtherOther Overheads as % of Total Gross Profit</v>
      </c>
      <c r="S2360" s="199"/>
      <c r="T2360" s="199"/>
      <c r="U2360" s="199"/>
    </row>
    <row r="2361" spans="1:21" x14ac:dyDescent="0.25">
      <c r="A2361" t="s">
        <v>996</v>
      </c>
      <c r="B2361" t="s">
        <v>997</v>
      </c>
      <c r="C2361" t="s">
        <v>1013</v>
      </c>
      <c r="D2361">
        <v>7455</v>
      </c>
      <c r="E2361">
        <v>321</v>
      </c>
      <c r="F2361" t="s">
        <v>1364</v>
      </c>
      <c r="G2361" t="s">
        <v>1365</v>
      </c>
      <c r="H2361" s="315" t="s">
        <v>1000</v>
      </c>
      <c r="I2361" s="315" t="s">
        <v>1001</v>
      </c>
      <c r="J2361" s="315" t="str">
        <f t="shared" si="201"/>
        <v>Admin &amp; OtherOther Overheads as % of Total Gross Profit</v>
      </c>
      <c r="K2361" s="315" t="str">
        <f t="shared" si="202"/>
        <v>321Bad Debts - Toyota</v>
      </c>
      <c r="L2361" s="311">
        <f>+SUMIF('TUNZ Extracted TB'!M:M,$P2361,'TUNZ Extracted TB'!G:G)</f>
        <v>0</v>
      </c>
      <c r="M2361" s="311"/>
      <c r="N2361" s="311">
        <f>+SUMIF('Input Sheet'!$AE:$AE,P2361,'Input Sheet'!$X:$X)</f>
        <v>0</v>
      </c>
      <c r="O2361" s="311"/>
      <c r="P2361" t="str">
        <f t="shared" si="203"/>
        <v>321-7455</v>
      </c>
      <c r="Q2361" s="315" t="str">
        <f t="shared" si="204"/>
        <v>Admin &amp; Other</v>
      </c>
      <c r="R2361" s="315" t="str">
        <f t="shared" si="205"/>
        <v>Admin &amp; OtherOther Overheads as % of Total Gross Profit</v>
      </c>
      <c r="S2361" s="199"/>
      <c r="T2361" s="199"/>
      <c r="U2361" s="199"/>
    </row>
    <row r="2362" spans="1:21" x14ac:dyDescent="0.25">
      <c r="A2362" t="s">
        <v>996</v>
      </c>
      <c r="B2362" t="s">
        <v>997</v>
      </c>
      <c r="C2362" t="s">
        <v>1013</v>
      </c>
      <c r="D2362">
        <v>7455</v>
      </c>
      <c r="E2362">
        <v>330</v>
      </c>
      <c r="F2362" t="s">
        <v>1364</v>
      </c>
      <c r="G2362" t="s">
        <v>1365</v>
      </c>
      <c r="H2362" s="315" t="s">
        <v>1000</v>
      </c>
      <c r="I2362" s="315" t="s">
        <v>1001</v>
      </c>
      <c r="J2362" s="315" t="str">
        <f t="shared" si="201"/>
        <v>Admin &amp; OtherOther Overheads as % of Total Gross Profit</v>
      </c>
      <c r="K2362" s="315" t="str">
        <f t="shared" si="202"/>
        <v>330Bad Debts - Toyota</v>
      </c>
      <c r="L2362" s="311">
        <f>+SUMIF('TUNZ Extracted TB'!M:M,$P2362,'TUNZ Extracted TB'!G:G)</f>
        <v>0</v>
      </c>
      <c r="M2362" s="311"/>
      <c r="N2362" s="311">
        <f>+SUMIF('Input Sheet'!$AE:$AE,P2362,'Input Sheet'!$X:$X)</f>
        <v>0</v>
      </c>
      <c r="O2362" s="311"/>
      <c r="P2362" t="str">
        <f t="shared" si="203"/>
        <v>330-7455</v>
      </c>
      <c r="Q2362" s="315" t="str">
        <f t="shared" si="204"/>
        <v>Admin &amp; Other</v>
      </c>
      <c r="R2362" s="315" t="str">
        <f t="shared" si="205"/>
        <v>Admin &amp; OtherOther Overheads as % of Total Gross Profit</v>
      </c>
      <c r="S2362" s="199"/>
      <c r="T2362" s="199"/>
      <c r="U2362" s="199"/>
    </row>
    <row r="2363" spans="1:21" x14ac:dyDescent="0.25">
      <c r="A2363" t="s">
        <v>996</v>
      </c>
      <c r="B2363" t="s">
        <v>997</v>
      </c>
      <c r="C2363" t="s">
        <v>1013</v>
      </c>
      <c r="D2363">
        <v>7455</v>
      </c>
      <c r="E2363">
        <v>340</v>
      </c>
      <c r="F2363" t="s">
        <v>1364</v>
      </c>
      <c r="G2363" t="s">
        <v>1365</v>
      </c>
      <c r="H2363" s="315" t="s">
        <v>1000</v>
      </c>
      <c r="I2363" s="315" t="s">
        <v>1001</v>
      </c>
      <c r="J2363" s="315" t="str">
        <f t="shared" si="201"/>
        <v>Admin &amp; OtherOther Overheads as % of Total Gross Profit</v>
      </c>
      <c r="K2363" s="315" t="str">
        <f t="shared" si="202"/>
        <v>340Bad Debts - Toyota</v>
      </c>
      <c r="L2363" s="311">
        <f>+SUMIF('TUNZ Extracted TB'!M:M,$P2363,'TUNZ Extracted TB'!G:G)</f>
        <v>0</v>
      </c>
      <c r="M2363" s="311"/>
      <c r="N2363" s="311">
        <f>+SUMIF('Input Sheet'!$AE:$AE,P2363,'Input Sheet'!$X:$X)</f>
        <v>0</v>
      </c>
      <c r="O2363" s="311"/>
      <c r="P2363" t="str">
        <f t="shared" si="203"/>
        <v>340-7455</v>
      </c>
      <c r="Q2363" s="315" t="str">
        <f t="shared" si="204"/>
        <v>Admin &amp; Other</v>
      </c>
      <c r="R2363" s="315" t="str">
        <f t="shared" si="205"/>
        <v>Admin &amp; OtherOther Overheads as % of Total Gross Profit</v>
      </c>
      <c r="S2363" s="199"/>
      <c r="T2363" s="199"/>
      <c r="U2363" s="199"/>
    </row>
    <row r="2364" spans="1:21" x14ac:dyDescent="0.25">
      <c r="A2364" t="s">
        <v>996</v>
      </c>
      <c r="B2364" t="s">
        <v>997</v>
      </c>
      <c r="C2364" t="s">
        <v>1013</v>
      </c>
      <c r="D2364">
        <v>7455</v>
      </c>
      <c r="E2364">
        <v>360</v>
      </c>
      <c r="F2364" t="s">
        <v>1364</v>
      </c>
      <c r="G2364" t="s">
        <v>1365</v>
      </c>
      <c r="H2364" s="315" t="s">
        <v>1000</v>
      </c>
      <c r="I2364" s="315" t="s">
        <v>1001</v>
      </c>
      <c r="J2364" s="315" t="str">
        <f t="shared" si="201"/>
        <v>Admin &amp; OtherOther Overheads as % of Total Gross Profit</v>
      </c>
      <c r="K2364" s="315" t="str">
        <f t="shared" si="202"/>
        <v>360Bad Debts - Toyota</v>
      </c>
      <c r="L2364" s="311">
        <f>+SUMIF('TUNZ Extracted TB'!M:M,$P2364,'TUNZ Extracted TB'!G:G)</f>
        <v>0</v>
      </c>
      <c r="M2364" s="311"/>
      <c r="N2364" s="311">
        <f>+SUMIF('Input Sheet'!$AE:$AE,P2364,'Input Sheet'!$X:$X)</f>
        <v>0</v>
      </c>
      <c r="O2364" s="311"/>
      <c r="P2364" t="str">
        <f t="shared" si="203"/>
        <v>360-7455</v>
      </c>
      <c r="Q2364" s="315" t="str">
        <f t="shared" si="204"/>
        <v>Admin &amp; Other</v>
      </c>
      <c r="R2364" s="315" t="str">
        <f t="shared" si="205"/>
        <v>Admin &amp; OtherOther Overheads as % of Total Gross Profit</v>
      </c>
      <c r="S2364" s="199"/>
      <c r="T2364" s="199"/>
      <c r="U2364" s="199"/>
    </row>
    <row r="2365" spans="1:21" x14ac:dyDescent="0.25">
      <c r="A2365" t="s">
        <v>996</v>
      </c>
      <c r="B2365" t="s">
        <v>997</v>
      </c>
      <c r="C2365" t="s">
        <v>997</v>
      </c>
      <c r="D2365">
        <v>7455</v>
      </c>
      <c r="E2365">
        <v>120</v>
      </c>
      <c r="F2365" t="s">
        <v>1364</v>
      </c>
      <c r="G2365" t="s">
        <v>1365</v>
      </c>
      <c r="H2365" s="315" t="s">
        <v>1000</v>
      </c>
      <c r="I2365" s="315" t="s">
        <v>1001</v>
      </c>
      <c r="J2365" s="315" t="str">
        <f t="shared" si="201"/>
        <v>Admin &amp; OtherOther Overheads as % of Total Gross Profit</v>
      </c>
      <c r="K2365" s="315" t="str">
        <f t="shared" si="202"/>
        <v>120Bad Debts - Toyota</v>
      </c>
      <c r="L2365" s="311">
        <f>+SUMIF('TUNZ Extracted TB'!M:M,$P2365,'TUNZ Extracted TB'!G:G)</f>
        <v>0</v>
      </c>
      <c r="M2365" s="311"/>
      <c r="N2365" s="311">
        <f>+SUMIF('Input Sheet'!$AE:$AE,P2365,'Input Sheet'!$X:$X)</f>
        <v>0</v>
      </c>
      <c r="O2365" s="311"/>
      <c r="P2365" t="str">
        <f t="shared" si="203"/>
        <v>120-7455</v>
      </c>
      <c r="Q2365" s="315" t="str">
        <f t="shared" si="204"/>
        <v>Admin &amp; Other</v>
      </c>
      <c r="R2365" s="315" t="str">
        <f t="shared" si="205"/>
        <v>Admin &amp; OtherOther Overheads as % of Total Gross Profit</v>
      </c>
      <c r="S2365" s="199"/>
      <c r="T2365" s="199"/>
      <c r="U2365" s="199"/>
    </row>
    <row r="2366" spans="1:21" x14ac:dyDescent="0.25">
      <c r="A2366" t="s">
        <v>996</v>
      </c>
      <c r="B2366" t="s">
        <v>997</v>
      </c>
      <c r="C2366" t="s">
        <v>997</v>
      </c>
      <c r="D2366">
        <v>7455</v>
      </c>
      <c r="E2366">
        <v>121</v>
      </c>
      <c r="F2366" t="s">
        <v>1364</v>
      </c>
      <c r="G2366" t="s">
        <v>1365</v>
      </c>
      <c r="H2366" s="315" t="s">
        <v>1000</v>
      </c>
      <c r="I2366" s="315" t="s">
        <v>1001</v>
      </c>
      <c r="J2366" s="315" t="str">
        <f t="shared" si="201"/>
        <v>Admin &amp; OtherOther Overheads as % of Total Gross Profit</v>
      </c>
      <c r="K2366" s="315" t="str">
        <f t="shared" si="202"/>
        <v>121Bad Debts - Toyota</v>
      </c>
      <c r="L2366" s="311">
        <f>+SUMIF('TUNZ Extracted TB'!M:M,$P2366,'TUNZ Extracted TB'!G:G)</f>
        <v>0</v>
      </c>
      <c r="M2366" s="311"/>
      <c r="N2366" s="311">
        <f>+SUMIF('Input Sheet'!$AE:$AE,P2366,'Input Sheet'!$X:$X)</f>
        <v>0</v>
      </c>
      <c r="O2366" s="311"/>
      <c r="P2366" t="str">
        <f t="shared" si="203"/>
        <v>121-7455</v>
      </c>
      <c r="Q2366" s="315" t="str">
        <f t="shared" si="204"/>
        <v>Admin &amp; Other</v>
      </c>
      <c r="R2366" s="315" t="str">
        <f t="shared" si="205"/>
        <v>Admin &amp; OtherOther Overheads as % of Total Gross Profit</v>
      </c>
      <c r="S2366" s="199"/>
      <c r="T2366" s="199"/>
      <c r="U2366" s="199"/>
    </row>
    <row r="2367" spans="1:21" x14ac:dyDescent="0.25">
      <c r="A2367" t="s">
        <v>996</v>
      </c>
      <c r="B2367" t="s">
        <v>997</v>
      </c>
      <c r="C2367" t="s">
        <v>997</v>
      </c>
      <c r="D2367">
        <v>7455</v>
      </c>
      <c r="E2367">
        <v>147</v>
      </c>
      <c r="F2367" t="s">
        <v>1364</v>
      </c>
      <c r="G2367" t="s">
        <v>1365</v>
      </c>
      <c r="H2367" s="315" t="s">
        <v>1000</v>
      </c>
      <c r="I2367" s="315" t="s">
        <v>1001</v>
      </c>
      <c r="J2367" s="315" t="str">
        <f t="shared" si="201"/>
        <v>Admin &amp; OtherOther Overheads as % of Total Gross Profit</v>
      </c>
      <c r="K2367" s="315" t="str">
        <f t="shared" si="202"/>
        <v>147Bad Debts - Toyota</v>
      </c>
      <c r="L2367" s="311">
        <f>+SUMIF('TUNZ Extracted TB'!M:M,$P2367,'TUNZ Extracted TB'!G:G)</f>
        <v>0</v>
      </c>
      <c r="M2367" s="311"/>
      <c r="N2367" s="311">
        <f>+SUMIF('Input Sheet'!$AE:$AE,P2367,'Input Sheet'!$X:$X)</f>
        <v>0</v>
      </c>
      <c r="O2367" s="311"/>
      <c r="P2367" t="str">
        <f t="shared" si="203"/>
        <v>147-7455</v>
      </c>
      <c r="Q2367" s="315" t="str">
        <f t="shared" si="204"/>
        <v>Admin &amp; Other</v>
      </c>
      <c r="R2367" s="315" t="str">
        <f t="shared" si="205"/>
        <v>Admin &amp; OtherOther Overheads as % of Total Gross Profit</v>
      </c>
      <c r="S2367" s="199"/>
      <c r="T2367" s="199"/>
      <c r="U2367" s="199"/>
    </row>
    <row r="2368" spans="1:21" x14ac:dyDescent="0.25">
      <c r="A2368" t="s">
        <v>996</v>
      </c>
      <c r="B2368" t="s">
        <v>997</v>
      </c>
      <c r="C2368" t="s">
        <v>997</v>
      </c>
      <c r="D2368">
        <v>7455</v>
      </c>
      <c r="E2368">
        <v>160</v>
      </c>
      <c r="F2368" t="s">
        <v>1364</v>
      </c>
      <c r="G2368" t="s">
        <v>1365</v>
      </c>
      <c r="H2368" s="315" t="s">
        <v>1000</v>
      </c>
      <c r="I2368" s="315" t="s">
        <v>1001</v>
      </c>
      <c r="J2368" s="315" t="str">
        <f t="shared" si="201"/>
        <v>Admin &amp; OtherOther Overheads as % of Total Gross Profit</v>
      </c>
      <c r="K2368" s="315" t="str">
        <f t="shared" si="202"/>
        <v>160Bad Debts - Toyota</v>
      </c>
      <c r="L2368" s="311">
        <f>+SUMIF('TUNZ Extracted TB'!M:M,$P2368,'TUNZ Extracted TB'!G:G)</f>
        <v>0</v>
      </c>
      <c r="M2368" s="311"/>
      <c r="N2368" s="311">
        <f>+SUMIF('Input Sheet'!$AE:$AE,P2368,'Input Sheet'!$X:$X)</f>
        <v>0</v>
      </c>
      <c r="O2368" s="311"/>
      <c r="P2368" t="str">
        <f t="shared" si="203"/>
        <v>160-7455</v>
      </c>
      <c r="Q2368" s="315" t="str">
        <f t="shared" si="204"/>
        <v>Admin &amp; Other</v>
      </c>
      <c r="R2368" s="315" t="str">
        <f t="shared" si="205"/>
        <v>Admin &amp; OtherOther Overheads as % of Total Gross Profit</v>
      </c>
      <c r="S2368" s="199"/>
      <c r="T2368" s="199"/>
      <c r="U2368" s="199"/>
    </row>
    <row r="2369" spans="1:21" x14ac:dyDescent="0.25">
      <c r="A2369" t="s">
        <v>996</v>
      </c>
      <c r="B2369" t="s">
        <v>997</v>
      </c>
      <c r="C2369" t="s">
        <v>997</v>
      </c>
      <c r="D2369">
        <v>7455</v>
      </c>
      <c r="E2369">
        <v>170</v>
      </c>
      <c r="F2369" t="s">
        <v>1364</v>
      </c>
      <c r="G2369" t="s">
        <v>1365</v>
      </c>
      <c r="H2369" s="315" t="s">
        <v>1000</v>
      </c>
      <c r="I2369" s="315" t="s">
        <v>1001</v>
      </c>
      <c r="J2369" s="315" t="str">
        <f t="shared" si="201"/>
        <v>Admin &amp; OtherOther Overheads as % of Total Gross Profit</v>
      </c>
      <c r="K2369" s="315" t="str">
        <f t="shared" si="202"/>
        <v>170Bad Debts - Toyota</v>
      </c>
      <c r="L2369" s="311">
        <f>+SUMIF('TUNZ Extracted TB'!M:M,$P2369,'TUNZ Extracted TB'!G:G)</f>
        <v>0</v>
      </c>
      <c r="M2369" s="311"/>
      <c r="N2369" s="311">
        <f>+SUMIF('Input Sheet'!$AE:$AE,P2369,'Input Sheet'!$X:$X)</f>
        <v>0</v>
      </c>
      <c r="O2369" s="311"/>
      <c r="P2369" t="str">
        <f t="shared" si="203"/>
        <v>170-7455</v>
      </c>
      <c r="Q2369" s="315" t="str">
        <f t="shared" si="204"/>
        <v>Admin &amp; Other</v>
      </c>
      <c r="R2369" s="315" t="str">
        <f t="shared" si="205"/>
        <v>Admin &amp; OtherOther Overheads as % of Total Gross Profit</v>
      </c>
      <c r="S2369" s="199"/>
      <c r="T2369" s="199"/>
      <c r="U2369" s="199"/>
    </row>
    <row r="2370" spans="1:21" x14ac:dyDescent="0.25">
      <c r="A2370" t="s">
        <v>996</v>
      </c>
      <c r="B2370" t="s">
        <v>997</v>
      </c>
      <c r="C2370" t="s">
        <v>997</v>
      </c>
      <c r="D2370">
        <v>7455</v>
      </c>
      <c r="E2370">
        <v>936</v>
      </c>
      <c r="F2370" t="s">
        <v>1175</v>
      </c>
      <c r="G2370" t="s">
        <v>1176</v>
      </c>
      <c r="H2370" s="315" t="s">
        <v>1023</v>
      </c>
      <c r="I2370" s="315" t="s">
        <v>1001</v>
      </c>
      <c r="J2370" s="315" t="str">
        <f t="shared" si="201"/>
        <v>LEX Admin &amp; OtherOther Overheads as % of Total Gross Profit</v>
      </c>
      <c r="K2370" s="315" t="str">
        <f t="shared" si="202"/>
        <v>936Other franchise/business expense</v>
      </c>
      <c r="L2370" s="311">
        <f>+SUMIF('TUNZ Extracted TB'!M:M,$P2370,'TUNZ Extracted TB'!G:G)</f>
        <v>0</v>
      </c>
      <c r="M2370" s="311"/>
      <c r="N2370" s="311">
        <f>+SUMIF('Input Sheet'!$AE:$AE,P2370,'Input Sheet'!$X:$X)</f>
        <v>0</v>
      </c>
      <c r="O2370" s="311"/>
      <c r="P2370" t="str">
        <f t="shared" si="203"/>
        <v>936-7455</v>
      </c>
      <c r="Q2370" s="315" t="str">
        <f t="shared" si="204"/>
        <v>LEX Admin &amp; Other</v>
      </c>
      <c r="R2370" s="315" t="str">
        <f t="shared" si="205"/>
        <v>LEX Admin &amp; OtherOther Overheads as % of Total Gross Profit</v>
      </c>
      <c r="S2370" s="199"/>
      <c r="T2370" s="199"/>
      <c r="U2370" s="199"/>
    </row>
    <row r="2371" spans="1:21" x14ac:dyDescent="0.25">
      <c r="A2371" t="s">
        <v>996</v>
      </c>
      <c r="B2371" t="s">
        <v>997</v>
      </c>
      <c r="C2371" t="s">
        <v>997</v>
      </c>
      <c r="D2371">
        <v>7455</v>
      </c>
      <c r="E2371">
        <v>935</v>
      </c>
      <c r="F2371" t="s">
        <v>1175</v>
      </c>
      <c r="G2371" t="s">
        <v>1176</v>
      </c>
      <c r="H2371" s="315" t="s">
        <v>1023</v>
      </c>
      <c r="I2371" s="315" t="s">
        <v>1001</v>
      </c>
      <c r="J2371" s="315" t="str">
        <f t="shared" ref="J2371:J2434" si="206">+H2371&amp;I2371</f>
        <v>LEX Admin &amp; OtherOther Overheads as % of Total Gross Profit</v>
      </c>
      <c r="K2371" s="315" t="str">
        <f t="shared" ref="K2371:K2434" si="207">+E2371&amp;G2371</f>
        <v>935Other franchise/business expense</v>
      </c>
      <c r="L2371" s="311">
        <f>+SUMIF('TUNZ Extracted TB'!M:M,$P2371,'TUNZ Extracted TB'!G:G)</f>
        <v>0</v>
      </c>
      <c r="M2371" s="311"/>
      <c r="N2371" s="311">
        <f>+SUMIF('Input Sheet'!$AE:$AE,P2371,'Input Sheet'!$X:$X)</f>
        <v>0</v>
      </c>
      <c r="O2371" s="311"/>
      <c r="P2371" t="str">
        <f t="shared" ref="P2371:P2434" si="208">+E2371&amp;"-"&amp;D2371</f>
        <v>935-7455</v>
      </c>
      <c r="Q2371" s="315" t="str">
        <f t="shared" ref="Q2371:Q2434" si="209">H2371</f>
        <v>LEX Admin &amp; Other</v>
      </c>
      <c r="R2371" s="315" t="str">
        <f t="shared" ref="R2371:R2434" si="210">J2371</f>
        <v>LEX Admin &amp; OtherOther Overheads as % of Total Gross Profit</v>
      </c>
      <c r="S2371" s="199"/>
      <c r="T2371" s="199"/>
      <c r="U2371" s="199"/>
    </row>
    <row r="2372" spans="1:21" x14ac:dyDescent="0.25">
      <c r="A2372" t="s">
        <v>996</v>
      </c>
      <c r="B2372" t="s">
        <v>997</v>
      </c>
      <c r="C2372" t="s">
        <v>997</v>
      </c>
      <c r="D2372">
        <v>7455</v>
      </c>
      <c r="E2372">
        <v>112</v>
      </c>
      <c r="F2372" t="s">
        <v>1366</v>
      </c>
      <c r="G2372" t="s">
        <v>1367</v>
      </c>
      <c r="H2372" s="315" t="s">
        <v>1023</v>
      </c>
      <c r="I2372" s="315" t="s">
        <v>1001</v>
      </c>
      <c r="J2372" s="315" t="str">
        <f t="shared" si="206"/>
        <v>LEX Admin &amp; OtherOther Overheads as % of Total Gross Profit</v>
      </c>
      <c r="K2372" s="315" t="str">
        <f t="shared" si="207"/>
        <v>112Bad Debts - Lexus</v>
      </c>
      <c r="L2372" s="311">
        <f>+SUMIF('TUNZ Extracted TB'!M:M,$P2372,'TUNZ Extracted TB'!G:G)</f>
        <v>0</v>
      </c>
      <c r="M2372" s="311"/>
      <c r="N2372" s="311">
        <f>+SUMIF('Input Sheet'!$AE:$AE,P2372,'Input Sheet'!$X:$X)</f>
        <v>0</v>
      </c>
      <c r="O2372" s="311"/>
      <c r="P2372" t="str">
        <f t="shared" si="208"/>
        <v>112-7455</v>
      </c>
      <c r="Q2372" s="315" t="str">
        <f t="shared" si="209"/>
        <v>LEX Admin &amp; Other</v>
      </c>
      <c r="R2372" s="315" t="str">
        <f t="shared" si="210"/>
        <v>LEX Admin &amp; OtherOther Overheads as % of Total Gross Profit</v>
      </c>
      <c r="S2372" s="199"/>
      <c r="T2372" s="199"/>
      <c r="U2372" s="199"/>
    </row>
    <row r="2373" spans="1:21" x14ac:dyDescent="0.25">
      <c r="A2373" t="s">
        <v>996</v>
      </c>
      <c r="B2373" t="s">
        <v>997</v>
      </c>
      <c r="C2373" t="s">
        <v>1005</v>
      </c>
      <c r="D2373">
        <v>7456</v>
      </c>
      <c r="E2373">
        <v>240</v>
      </c>
      <c r="F2373" t="s">
        <v>1388</v>
      </c>
      <c r="G2373" t="s">
        <v>1389</v>
      </c>
      <c r="H2373" s="315" t="s">
        <v>1000</v>
      </c>
      <c r="I2373" s="315" t="s">
        <v>1390</v>
      </c>
      <c r="J2373" s="315" t="str">
        <f t="shared" si="206"/>
        <v>Admin &amp; OtherProfessional Fees as % of Total Gross Profit</v>
      </c>
      <c r="K2373" s="315" t="str">
        <f t="shared" si="207"/>
        <v>240Professional Fees - Toyota</v>
      </c>
      <c r="L2373" s="311">
        <f>+SUMIF('TUNZ Extracted TB'!M:M,$P2373,'TUNZ Extracted TB'!G:G)</f>
        <v>118.06</v>
      </c>
      <c r="M2373" s="311"/>
      <c r="N2373" s="311">
        <f>+SUMIF('Input Sheet'!$AE:$AE,P2373,'Input Sheet'!$X:$X)</f>
        <v>0</v>
      </c>
      <c r="O2373" s="311"/>
      <c r="P2373" t="str">
        <f t="shared" si="208"/>
        <v>240-7456</v>
      </c>
      <c r="Q2373" s="315" t="str">
        <f t="shared" si="209"/>
        <v>Admin &amp; Other</v>
      </c>
      <c r="R2373" s="315" t="str">
        <f t="shared" si="210"/>
        <v>Admin &amp; OtherProfessional Fees as % of Total Gross Profit</v>
      </c>
      <c r="S2373" s="199"/>
      <c r="T2373" s="199"/>
      <c r="U2373" s="199"/>
    </row>
    <row r="2374" spans="1:21" x14ac:dyDescent="0.25">
      <c r="A2374" t="s">
        <v>996</v>
      </c>
      <c r="B2374" t="s">
        <v>997</v>
      </c>
      <c r="C2374" t="s">
        <v>1012</v>
      </c>
      <c r="D2374">
        <v>7456</v>
      </c>
      <c r="E2374">
        <v>440</v>
      </c>
      <c r="F2374" t="s">
        <v>1388</v>
      </c>
      <c r="G2374" t="s">
        <v>1389</v>
      </c>
      <c r="H2374" s="315" t="s">
        <v>1000</v>
      </c>
      <c r="I2374" s="315" t="s">
        <v>1390</v>
      </c>
      <c r="J2374" s="315" t="str">
        <f t="shared" si="206"/>
        <v>Admin &amp; OtherProfessional Fees as % of Total Gross Profit</v>
      </c>
      <c r="K2374" s="315" t="str">
        <f t="shared" si="207"/>
        <v>440Professional Fees - Toyota</v>
      </c>
      <c r="L2374" s="311">
        <f>+SUMIF('TUNZ Extracted TB'!M:M,$P2374,'TUNZ Extracted TB'!G:G)</f>
        <v>76.39</v>
      </c>
      <c r="M2374" s="311"/>
      <c r="N2374" s="311">
        <f>+SUMIF('Input Sheet'!$AE:$AE,P2374,'Input Sheet'!$X:$X)</f>
        <v>0</v>
      </c>
      <c r="O2374" s="311"/>
      <c r="P2374" t="str">
        <f t="shared" si="208"/>
        <v>440-7456</v>
      </c>
      <c r="Q2374" s="315" t="str">
        <f t="shared" si="209"/>
        <v>Admin &amp; Other</v>
      </c>
      <c r="R2374" s="315" t="str">
        <f t="shared" si="210"/>
        <v>Admin &amp; OtherProfessional Fees as % of Total Gross Profit</v>
      </c>
      <c r="S2374" s="199"/>
      <c r="T2374" s="199"/>
      <c r="U2374" s="199"/>
    </row>
    <row r="2375" spans="1:21" x14ac:dyDescent="0.25">
      <c r="A2375" t="s">
        <v>996</v>
      </c>
      <c r="B2375" t="s">
        <v>997</v>
      </c>
      <c r="C2375" t="s">
        <v>1013</v>
      </c>
      <c r="D2375">
        <v>7456</v>
      </c>
      <c r="E2375">
        <v>340</v>
      </c>
      <c r="F2375" t="s">
        <v>1388</v>
      </c>
      <c r="G2375" t="s">
        <v>1389</v>
      </c>
      <c r="H2375" s="315" t="s">
        <v>1000</v>
      </c>
      <c r="I2375" s="315" t="s">
        <v>1390</v>
      </c>
      <c r="J2375" s="315" t="str">
        <f t="shared" si="206"/>
        <v>Admin &amp; OtherProfessional Fees as % of Total Gross Profit</v>
      </c>
      <c r="K2375" s="315" t="str">
        <f t="shared" si="207"/>
        <v>340Professional Fees - Toyota</v>
      </c>
      <c r="L2375" s="311">
        <f>+SUMIF('TUNZ Extracted TB'!M:M,$P2375,'TUNZ Extracted TB'!G:G)</f>
        <v>76.39</v>
      </c>
      <c r="M2375" s="311"/>
      <c r="N2375" s="311">
        <f>+SUMIF('Input Sheet'!$AE:$AE,P2375,'Input Sheet'!$X:$X)</f>
        <v>0</v>
      </c>
      <c r="O2375" s="311"/>
      <c r="P2375" t="str">
        <f t="shared" si="208"/>
        <v>340-7456</v>
      </c>
      <c r="Q2375" s="315" t="str">
        <f t="shared" si="209"/>
        <v>Admin &amp; Other</v>
      </c>
      <c r="R2375" s="315" t="str">
        <f t="shared" si="210"/>
        <v>Admin &amp; OtherProfessional Fees as % of Total Gross Profit</v>
      </c>
      <c r="S2375" s="199"/>
      <c r="T2375" s="199"/>
      <c r="U2375" s="199"/>
    </row>
    <row r="2376" spans="1:21" x14ac:dyDescent="0.25">
      <c r="A2376" t="s">
        <v>996</v>
      </c>
      <c r="B2376" t="s">
        <v>997</v>
      </c>
      <c r="C2376" t="s">
        <v>997</v>
      </c>
      <c r="D2376">
        <v>7456</v>
      </c>
      <c r="E2376">
        <v>150</v>
      </c>
      <c r="F2376" t="s">
        <v>1388</v>
      </c>
      <c r="G2376" t="s">
        <v>1389</v>
      </c>
      <c r="H2376" s="315" t="s">
        <v>1023</v>
      </c>
      <c r="I2376" s="315" t="s">
        <v>1390</v>
      </c>
      <c r="J2376" s="315" t="str">
        <f t="shared" si="206"/>
        <v>LEX Admin &amp; OtherProfessional Fees as % of Total Gross Profit</v>
      </c>
      <c r="K2376" s="315" t="str">
        <f t="shared" si="207"/>
        <v>150Professional Fees - Toyota</v>
      </c>
      <c r="L2376" s="311">
        <f>+SUMIF('TUNZ Extracted TB'!M:M,$P2376,'TUNZ Extracted TB'!G:G)</f>
        <v>55.56</v>
      </c>
      <c r="M2376" s="311"/>
      <c r="N2376" s="311">
        <f>+SUMIF('Input Sheet'!$AE:$AE,P2376,'Input Sheet'!$X:$X)</f>
        <v>0</v>
      </c>
      <c r="O2376" s="311"/>
      <c r="P2376" t="str">
        <f t="shared" si="208"/>
        <v>150-7456</v>
      </c>
      <c r="Q2376" s="315" t="str">
        <f t="shared" si="209"/>
        <v>LEX Admin &amp; Other</v>
      </c>
      <c r="R2376" s="315" t="str">
        <f t="shared" si="210"/>
        <v>LEX Admin &amp; OtherProfessional Fees as % of Total Gross Profit</v>
      </c>
      <c r="S2376" s="199"/>
      <c r="T2376" s="199"/>
      <c r="U2376" s="199"/>
    </row>
    <row r="2377" spans="1:21" x14ac:dyDescent="0.25">
      <c r="A2377" t="s">
        <v>996</v>
      </c>
      <c r="B2377" t="s">
        <v>997</v>
      </c>
      <c r="C2377" t="s">
        <v>997</v>
      </c>
      <c r="D2377">
        <v>7456</v>
      </c>
      <c r="E2377">
        <v>935</v>
      </c>
      <c r="F2377" t="s">
        <v>1175</v>
      </c>
      <c r="G2377" t="s">
        <v>1176</v>
      </c>
      <c r="H2377" s="315" t="s">
        <v>1023</v>
      </c>
      <c r="I2377" s="315" t="s">
        <v>1390</v>
      </c>
      <c r="J2377" s="315" t="str">
        <f t="shared" si="206"/>
        <v>LEX Admin &amp; OtherProfessional Fees as % of Total Gross Profit</v>
      </c>
      <c r="K2377" s="315" t="str">
        <f t="shared" si="207"/>
        <v>935Other franchise/business expense</v>
      </c>
      <c r="L2377" s="311">
        <f>+SUMIF('TUNZ Extracted TB'!M:M,$P2377,'TUNZ Extracted TB'!G:G)</f>
        <v>34.72</v>
      </c>
      <c r="M2377" s="311"/>
      <c r="N2377" s="311">
        <f>+SUMIF('Input Sheet'!$AE:$AE,P2377,'Input Sheet'!$X:$X)</f>
        <v>0</v>
      </c>
      <c r="O2377" s="311"/>
      <c r="P2377" t="str">
        <f t="shared" si="208"/>
        <v>935-7456</v>
      </c>
      <c r="Q2377" s="315" t="str">
        <f t="shared" si="209"/>
        <v>LEX Admin &amp; Other</v>
      </c>
      <c r="R2377" s="315" t="str">
        <f t="shared" si="210"/>
        <v>LEX Admin &amp; OtherProfessional Fees as % of Total Gross Profit</v>
      </c>
      <c r="S2377" s="199"/>
      <c r="T2377" s="199"/>
      <c r="U2377" s="199"/>
    </row>
    <row r="2378" spans="1:21" x14ac:dyDescent="0.25">
      <c r="A2378" t="s">
        <v>996</v>
      </c>
      <c r="B2378" t="s">
        <v>997</v>
      </c>
      <c r="C2378" t="s">
        <v>1005</v>
      </c>
      <c r="D2378">
        <v>7456</v>
      </c>
      <c r="E2378">
        <v>210</v>
      </c>
      <c r="F2378" t="s">
        <v>1388</v>
      </c>
      <c r="G2378" t="s">
        <v>1389</v>
      </c>
      <c r="H2378" s="315" t="s">
        <v>1000</v>
      </c>
      <c r="I2378" s="315" t="s">
        <v>1390</v>
      </c>
      <c r="J2378" s="315" t="str">
        <f t="shared" si="206"/>
        <v>Admin &amp; OtherProfessional Fees as % of Total Gross Profit</v>
      </c>
      <c r="K2378" s="315" t="str">
        <f t="shared" si="207"/>
        <v>210Professional Fees - Toyota</v>
      </c>
      <c r="L2378" s="311">
        <f>+SUMIF('TUNZ Extracted TB'!M:M,$P2378,'TUNZ Extracted TB'!G:G)</f>
        <v>27.78</v>
      </c>
      <c r="M2378" s="311"/>
      <c r="N2378" s="311">
        <f>+SUMIF('Input Sheet'!$AE:$AE,P2378,'Input Sheet'!$X:$X)</f>
        <v>0</v>
      </c>
      <c r="O2378" s="311"/>
      <c r="P2378" t="str">
        <f t="shared" si="208"/>
        <v>210-7456</v>
      </c>
      <c r="Q2378" s="315" t="str">
        <f t="shared" si="209"/>
        <v>Admin &amp; Other</v>
      </c>
      <c r="R2378" s="315" t="str">
        <f t="shared" si="210"/>
        <v>Admin &amp; OtherProfessional Fees as % of Total Gross Profit</v>
      </c>
      <c r="S2378" s="199"/>
      <c r="T2378" s="199"/>
      <c r="U2378" s="199"/>
    </row>
    <row r="2379" spans="1:21" x14ac:dyDescent="0.25">
      <c r="A2379" t="s">
        <v>996</v>
      </c>
      <c r="B2379" t="s">
        <v>997</v>
      </c>
      <c r="C2379" t="s">
        <v>1005</v>
      </c>
      <c r="D2379">
        <v>7456</v>
      </c>
      <c r="E2379">
        <v>220</v>
      </c>
      <c r="F2379" t="s">
        <v>1388</v>
      </c>
      <c r="G2379" t="s">
        <v>1389</v>
      </c>
      <c r="H2379" s="315" t="s">
        <v>1000</v>
      </c>
      <c r="I2379" s="315" t="s">
        <v>1390</v>
      </c>
      <c r="J2379" s="315" t="str">
        <f t="shared" si="206"/>
        <v>Admin &amp; OtherProfessional Fees as % of Total Gross Profit</v>
      </c>
      <c r="K2379" s="315" t="str">
        <f t="shared" si="207"/>
        <v>220Professional Fees - Toyota</v>
      </c>
      <c r="L2379" s="311">
        <f>+SUMIF('TUNZ Extracted TB'!M:M,$P2379,'TUNZ Extracted TB'!G:G)</f>
        <v>27.78</v>
      </c>
      <c r="M2379" s="311"/>
      <c r="N2379" s="311">
        <f>+SUMIF('Input Sheet'!$AE:$AE,P2379,'Input Sheet'!$X:$X)</f>
        <v>0</v>
      </c>
      <c r="O2379" s="311"/>
      <c r="P2379" t="str">
        <f t="shared" si="208"/>
        <v>220-7456</v>
      </c>
      <c r="Q2379" s="315" t="str">
        <f t="shared" si="209"/>
        <v>Admin &amp; Other</v>
      </c>
      <c r="R2379" s="315" t="str">
        <f t="shared" si="210"/>
        <v>Admin &amp; OtherProfessional Fees as % of Total Gross Profit</v>
      </c>
      <c r="S2379" s="199"/>
      <c r="T2379" s="199"/>
      <c r="U2379" s="199"/>
    </row>
    <row r="2380" spans="1:21" x14ac:dyDescent="0.25">
      <c r="A2380" t="s">
        <v>996</v>
      </c>
      <c r="B2380" t="s">
        <v>997</v>
      </c>
      <c r="C2380" t="s">
        <v>997</v>
      </c>
      <c r="D2380">
        <v>7456</v>
      </c>
      <c r="E2380">
        <v>120</v>
      </c>
      <c r="F2380" t="s">
        <v>1388</v>
      </c>
      <c r="G2380" t="s">
        <v>1389</v>
      </c>
      <c r="H2380" s="315" t="s">
        <v>1000</v>
      </c>
      <c r="I2380" s="315" t="s">
        <v>1390</v>
      </c>
      <c r="J2380" s="315" t="str">
        <f t="shared" si="206"/>
        <v>Admin &amp; OtherProfessional Fees as % of Total Gross Profit</v>
      </c>
      <c r="K2380" s="315" t="str">
        <f t="shared" si="207"/>
        <v>120Professional Fees - Toyota</v>
      </c>
      <c r="L2380" s="311">
        <f>+SUMIF('TUNZ Extracted TB'!M:M,$P2380,'TUNZ Extracted TB'!G:G)</f>
        <v>20.83</v>
      </c>
      <c r="M2380" s="311"/>
      <c r="N2380" s="311">
        <f>+SUMIF('Input Sheet'!$AE:$AE,P2380,'Input Sheet'!$X:$X)</f>
        <v>0</v>
      </c>
      <c r="O2380" s="311"/>
      <c r="P2380" t="str">
        <f t="shared" si="208"/>
        <v>120-7456</v>
      </c>
      <c r="Q2380" s="315" t="str">
        <f t="shared" si="209"/>
        <v>Admin &amp; Other</v>
      </c>
      <c r="R2380" s="315" t="str">
        <f t="shared" si="210"/>
        <v>Admin &amp; OtherProfessional Fees as % of Total Gross Profit</v>
      </c>
      <c r="S2380" s="199"/>
      <c r="T2380" s="199"/>
      <c r="U2380" s="199"/>
    </row>
    <row r="2381" spans="1:21" x14ac:dyDescent="0.25">
      <c r="A2381" t="s">
        <v>996</v>
      </c>
      <c r="B2381" t="s">
        <v>997</v>
      </c>
      <c r="C2381" t="s">
        <v>1005</v>
      </c>
      <c r="D2381">
        <v>7456</v>
      </c>
      <c r="E2381">
        <v>230</v>
      </c>
      <c r="F2381" t="s">
        <v>1388</v>
      </c>
      <c r="G2381" t="s">
        <v>1389</v>
      </c>
      <c r="H2381" s="315" t="s">
        <v>1000</v>
      </c>
      <c r="I2381" s="315" t="s">
        <v>1390</v>
      </c>
      <c r="J2381" s="315" t="str">
        <f t="shared" si="206"/>
        <v>Admin &amp; OtherProfessional Fees as % of Total Gross Profit</v>
      </c>
      <c r="K2381" s="315" t="str">
        <f t="shared" si="207"/>
        <v>230Professional Fees - Toyota</v>
      </c>
      <c r="L2381" s="311">
        <f>+SUMIF('TUNZ Extracted TB'!M:M,$P2381,'TUNZ Extracted TB'!G:G)</f>
        <v>20.83</v>
      </c>
      <c r="M2381" s="311"/>
      <c r="N2381" s="311">
        <f>+SUMIF('Input Sheet'!$AE:$AE,P2381,'Input Sheet'!$X:$X)</f>
        <v>0</v>
      </c>
      <c r="O2381" s="311"/>
      <c r="P2381" t="str">
        <f t="shared" si="208"/>
        <v>230-7456</v>
      </c>
      <c r="Q2381" s="315" t="str">
        <f t="shared" si="209"/>
        <v>Admin &amp; Other</v>
      </c>
      <c r="R2381" s="315" t="str">
        <f t="shared" si="210"/>
        <v>Admin &amp; OtherProfessional Fees as % of Total Gross Profit</v>
      </c>
      <c r="S2381" s="199"/>
      <c r="T2381" s="199"/>
      <c r="U2381" s="199"/>
    </row>
    <row r="2382" spans="1:21" x14ac:dyDescent="0.25">
      <c r="A2382" t="s">
        <v>996</v>
      </c>
      <c r="B2382" t="s">
        <v>997</v>
      </c>
      <c r="C2382" t="s">
        <v>997</v>
      </c>
      <c r="D2382">
        <v>7456</v>
      </c>
      <c r="E2382">
        <v>160</v>
      </c>
      <c r="F2382" t="s">
        <v>1388</v>
      </c>
      <c r="G2382" t="s">
        <v>1389</v>
      </c>
      <c r="H2382" s="315" t="s">
        <v>1000</v>
      </c>
      <c r="I2382" s="315" t="s">
        <v>1390</v>
      </c>
      <c r="J2382" s="315" t="str">
        <f t="shared" si="206"/>
        <v>Admin &amp; OtherProfessional Fees as % of Total Gross Profit</v>
      </c>
      <c r="K2382" s="315" t="str">
        <f t="shared" si="207"/>
        <v>160Professional Fees - Toyota</v>
      </c>
      <c r="L2382" s="311">
        <f>+SUMIF('TUNZ Extracted TB'!M:M,$P2382,'TUNZ Extracted TB'!G:G)</f>
        <v>20.83</v>
      </c>
      <c r="M2382" s="311"/>
      <c r="N2382" s="311">
        <f>+SUMIF('Input Sheet'!$AE:$AE,P2382,'Input Sheet'!$X:$X)</f>
        <v>0</v>
      </c>
      <c r="O2382" s="311"/>
      <c r="P2382" t="str">
        <f t="shared" si="208"/>
        <v>160-7456</v>
      </c>
      <c r="Q2382" s="315" t="str">
        <f t="shared" si="209"/>
        <v>Admin &amp; Other</v>
      </c>
      <c r="R2382" s="315" t="str">
        <f t="shared" si="210"/>
        <v>Admin &amp; OtherProfessional Fees as % of Total Gross Profit</v>
      </c>
      <c r="S2382" s="199"/>
      <c r="T2382" s="199"/>
      <c r="U2382" s="199"/>
    </row>
    <row r="2383" spans="1:21" x14ac:dyDescent="0.25">
      <c r="A2383" t="s">
        <v>996</v>
      </c>
      <c r="B2383" t="s">
        <v>997</v>
      </c>
      <c r="C2383" t="s">
        <v>1005</v>
      </c>
      <c r="D2383">
        <v>7456</v>
      </c>
      <c r="E2383">
        <v>260</v>
      </c>
      <c r="F2383" t="s">
        <v>1388</v>
      </c>
      <c r="G2383" t="s">
        <v>1389</v>
      </c>
      <c r="H2383" s="315" t="s">
        <v>1000</v>
      </c>
      <c r="I2383" s="315" t="s">
        <v>1390</v>
      </c>
      <c r="J2383" s="315" t="str">
        <f t="shared" si="206"/>
        <v>Admin &amp; OtherProfessional Fees as % of Total Gross Profit</v>
      </c>
      <c r="K2383" s="315" t="str">
        <f t="shared" si="207"/>
        <v>260Professional Fees - Toyota</v>
      </c>
      <c r="L2383" s="311">
        <f>+SUMIF('TUNZ Extracted TB'!M:M,$P2383,'TUNZ Extracted TB'!G:G)</f>
        <v>13.89</v>
      </c>
      <c r="M2383" s="311"/>
      <c r="N2383" s="311">
        <f>+SUMIF('Input Sheet'!$AE:$AE,P2383,'Input Sheet'!$X:$X)</f>
        <v>0</v>
      </c>
      <c r="O2383" s="311"/>
      <c r="P2383" t="str">
        <f t="shared" si="208"/>
        <v>260-7456</v>
      </c>
      <c r="Q2383" s="315" t="str">
        <f t="shared" si="209"/>
        <v>Admin &amp; Other</v>
      </c>
      <c r="R2383" s="315" t="str">
        <f t="shared" si="210"/>
        <v>Admin &amp; OtherProfessional Fees as % of Total Gross Profit</v>
      </c>
      <c r="S2383" s="199"/>
      <c r="T2383" s="199"/>
      <c r="U2383" s="199"/>
    </row>
    <row r="2384" spans="1:21" x14ac:dyDescent="0.25">
      <c r="A2384" t="s">
        <v>996</v>
      </c>
      <c r="B2384" t="s">
        <v>997</v>
      </c>
      <c r="C2384" t="s">
        <v>997</v>
      </c>
      <c r="D2384">
        <v>7456</v>
      </c>
      <c r="E2384">
        <v>121</v>
      </c>
      <c r="F2384" t="s">
        <v>1388</v>
      </c>
      <c r="G2384" t="s">
        <v>1389</v>
      </c>
      <c r="H2384" s="315" t="s">
        <v>1000</v>
      </c>
      <c r="I2384" s="315" t="s">
        <v>1390</v>
      </c>
      <c r="J2384" s="315" t="str">
        <f t="shared" si="206"/>
        <v>Admin &amp; OtherProfessional Fees as % of Total Gross Profit</v>
      </c>
      <c r="K2384" s="315" t="str">
        <f t="shared" si="207"/>
        <v>121Professional Fees - Toyota</v>
      </c>
      <c r="L2384" s="311">
        <f>+SUMIF('TUNZ Extracted TB'!M:M,$P2384,'TUNZ Extracted TB'!G:G)</f>
        <v>13.89</v>
      </c>
      <c r="M2384" s="311"/>
      <c r="N2384" s="311">
        <f>+SUMIF('Input Sheet'!$AE:$AE,P2384,'Input Sheet'!$X:$X)</f>
        <v>0</v>
      </c>
      <c r="O2384" s="311"/>
      <c r="P2384" t="str">
        <f t="shared" si="208"/>
        <v>121-7456</v>
      </c>
      <c r="Q2384" s="315" t="str">
        <f t="shared" si="209"/>
        <v>Admin &amp; Other</v>
      </c>
      <c r="R2384" s="315" t="str">
        <f t="shared" si="210"/>
        <v>Admin &amp; OtherProfessional Fees as % of Total Gross Profit</v>
      </c>
      <c r="S2384" s="199"/>
      <c r="T2384" s="199"/>
      <c r="U2384" s="199"/>
    </row>
    <row r="2385" spans="1:21" x14ac:dyDescent="0.25">
      <c r="A2385" t="s">
        <v>996</v>
      </c>
      <c r="B2385" t="s">
        <v>997</v>
      </c>
      <c r="C2385" t="s">
        <v>997</v>
      </c>
      <c r="D2385">
        <v>7456</v>
      </c>
      <c r="E2385">
        <v>936</v>
      </c>
      <c r="F2385" t="s">
        <v>1175</v>
      </c>
      <c r="G2385" t="s">
        <v>1176</v>
      </c>
      <c r="H2385" s="315" t="s">
        <v>1023</v>
      </c>
      <c r="I2385" s="315" t="s">
        <v>1390</v>
      </c>
      <c r="J2385" s="315" t="str">
        <f t="shared" si="206"/>
        <v>LEX Admin &amp; OtherProfessional Fees as % of Total Gross Profit</v>
      </c>
      <c r="K2385" s="315" t="str">
        <f t="shared" si="207"/>
        <v>936Other franchise/business expense</v>
      </c>
      <c r="L2385" s="311">
        <f>+SUMIF('TUNZ Extracted TB'!M:M,$P2385,'TUNZ Extracted TB'!G:G)</f>
        <v>6.95</v>
      </c>
      <c r="M2385" s="311"/>
      <c r="N2385" s="311">
        <f>+SUMIF('Input Sheet'!$AE:$AE,P2385,'Input Sheet'!$X:$X)</f>
        <v>0</v>
      </c>
      <c r="O2385" s="311"/>
      <c r="P2385" t="str">
        <f t="shared" si="208"/>
        <v>936-7456</v>
      </c>
      <c r="Q2385" s="315" t="str">
        <f t="shared" si="209"/>
        <v>LEX Admin &amp; Other</v>
      </c>
      <c r="R2385" s="315" t="str">
        <f t="shared" si="210"/>
        <v>LEX Admin &amp; OtherProfessional Fees as % of Total Gross Profit</v>
      </c>
      <c r="S2385" s="199"/>
      <c r="T2385" s="199"/>
      <c r="U2385" s="199"/>
    </row>
    <row r="2386" spans="1:21" x14ac:dyDescent="0.25">
      <c r="A2386" t="s">
        <v>996</v>
      </c>
      <c r="B2386" t="s">
        <v>997</v>
      </c>
      <c r="C2386" t="s">
        <v>1013</v>
      </c>
      <c r="D2386">
        <v>7456</v>
      </c>
      <c r="E2386">
        <v>330</v>
      </c>
      <c r="F2386" t="s">
        <v>1388</v>
      </c>
      <c r="G2386" t="s">
        <v>1389</v>
      </c>
      <c r="H2386" s="315" t="s">
        <v>1000</v>
      </c>
      <c r="I2386" s="315" t="s">
        <v>1390</v>
      </c>
      <c r="J2386" s="315" t="str">
        <f t="shared" si="206"/>
        <v>Admin &amp; OtherProfessional Fees as % of Total Gross Profit</v>
      </c>
      <c r="K2386" s="315" t="str">
        <f t="shared" si="207"/>
        <v>330Professional Fees - Toyota</v>
      </c>
      <c r="L2386" s="311">
        <f>+SUMIF('TUNZ Extracted TB'!M:M,$P2386,'TUNZ Extracted TB'!G:G)</f>
        <v>6.94</v>
      </c>
      <c r="M2386" s="311"/>
      <c r="N2386" s="311">
        <f>+SUMIF('Input Sheet'!$AE:$AE,P2386,'Input Sheet'!$X:$X)</f>
        <v>0</v>
      </c>
      <c r="O2386" s="311"/>
      <c r="P2386" t="str">
        <f t="shared" si="208"/>
        <v>330-7456</v>
      </c>
      <c r="Q2386" s="315" t="str">
        <f t="shared" si="209"/>
        <v>Admin &amp; Other</v>
      </c>
      <c r="R2386" s="315" t="str">
        <f t="shared" si="210"/>
        <v>Admin &amp; OtherProfessional Fees as % of Total Gross Profit</v>
      </c>
      <c r="S2386" s="199"/>
      <c r="T2386" s="199"/>
      <c r="U2386" s="199"/>
    </row>
    <row r="2387" spans="1:21" x14ac:dyDescent="0.25">
      <c r="A2387" t="s">
        <v>996</v>
      </c>
      <c r="B2387" t="s">
        <v>997</v>
      </c>
      <c r="C2387" t="s">
        <v>1012</v>
      </c>
      <c r="D2387">
        <v>7456</v>
      </c>
      <c r="E2387">
        <v>430</v>
      </c>
      <c r="F2387" t="s">
        <v>1388</v>
      </c>
      <c r="G2387" t="s">
        <v>1389</v>
      </c>
      <c r="H2387" s="315" t="s">
        <v>1000</v>
      </c>
      <c r="I2387" s="315" t="s">
        <v>1390</v>
      </c>
      <c r="J2387" s="315" t="str">
        <f t="shared" si="206"/>
        <v>Admin &amp; OtherProfessional Fees as % of Total Gross Profit</v>
      </c>
      <c r="K2387" s="315" t="str">
        <f t="shared" si="207"/>
        <v>430Professional Fees - Toyota</v>
      </c>
      <c r="L2387" s="311">
        <f>+SUMIF('TUNZ Extracted TB'!M:M,$P2387,'TUNZ Extracted TB'!G:G)</f>
        <v>6.94</v>
      </c>
      <c r="M2387" s="311"/>
      <c r="N2387" s="311">
        <f>+SUMIF('Input Sheet'!$AE:$AE,P2387,'Input Sheet'!$X:$X)</f>
        <v>0</v>
      </c>
      <c r="O2387" s="311"/>
      <c r="P2387" t="str">
        <f t="shared" si="208"/>
        <v>430-7456</v>
      </c>
      <c r="Q2387" s="315" t="str">
        <f t="shared" si="209"/>
        <v>Admin &amp; Other</v>
      </c>
      <c r="R2387" s="315" t="str">
        <f t="shared" si="210"/>
        <v>Admin &amp; OtherProfessional Fees as % of Total Gross Profit</v>
      </c>
      <c r="S2387" s="199"/>
      <c r="T2387" s="199"/>
      <c r="U2387" s="199"/>
    </row>
    <row r="2388" spans="1:21" x14ac:dyDescent="0.25">
      <c r="A2388" s="316">
        <v>44866</v>
      </c>
      <c r="B2388" t="s">
        <v>997</v>
      </c>
      <c r="C2388" t="s">
        <v>997</v>
      </c>
      <c r="D2388">
        <v>7456</v>
      </c>
      <c r="E2388">
        <v>190</v>
      </c>
      <c r="G2388" t="s">
        <v>972</v>
      </c>
      <c r="H2388" s="315" t="s">
        <v>1000</v>
      </c>
      <c r="I2388" s="315" t="s">
        <v>1390</v>
      </c>
      <c r="J2388" s="315" t="str">
        <f t="shared" si="206"/>
        <v>Admin &amp; OtherProfessional Fees as % of Total Gross Profit</v>
      </c>
      <c r="K2388" s="315" t="str">
        <f t="shared" si="207"/>
        <v>190Accountancy Fees</v>
      </c>
      <c r="L2388" s="311">
        <f>+SUMIF('TUNZ Extracted TB'!M:M,$P2388,'TUNZ Extracted TB'!G:G)</f>
        <v>0</v>
      </c>
      <c r="M2388" s="311"/>
      <c r="N2388" s="311">
        <f>+SUMIF('Input Sheet'!$AE:$AE,P2388,'Input Sheet'!$X:$X)</f>
        <v>0</v>
      </c>
      <c r="O2388" s="311"/>
      <c r="P2388" t="str">
        <f t="shared" si="208"/>
        <v>190-7456</v>
      </c>
      <c r="Q2388" s="315" t="str">
        <f t="shared" si="209"/>
        <v>Admin &amp; Other</v>
      </c>
      <c r="R2388" s="315" t="str">
        <f t="shared" si="210"/>
        <v>Admin &amp; OtherProfessional Fees as % of Total Gross Profit</v>
      </c>
      <c r="S2388" s="199"/>
      <c r="T2388" s="199"/>
      <c r="U2388" s="199"/>
    </row>
    <row r="2389" spans="1:21" x14ac:dyDescent="0.25">
      <c r="A2389" t="s">
        <v>996</v>
      </c>
      <c r="B2389" t="s">
        <v>997</v>
      </c>
      <c r="C2389" t="s">
        <v>997</v>
      </c>
      <c r="D2389">
        <v>7456</v>
      </c>
      <c r="E2389">
        <v>140</v>
      </c>
      <c r="F2389" t="s">
        <v>1388</v>
      </c>
      <c r="G2389" t="s">
        <v>1389</v>
      </c>
      <c r="H2389" s="315" t="s">
        <v>1000</v>
      </c>
      <c r="I2389" s="315" t="s">
        <v>1390</v>
      </c>
      <c r="J2389" s="315" t="str">
        <f t="shared" si="206"/>
        <v>Admin &amp; OtherProfessional Fees as % of Total Gross Profit</v>
      </c>
      <c r="K2389" s="315" t="str">
        <f t="shared" si="207"/>
        <v>140Professional Fees - Toyota</v>
      </c>
      <c r="L2389" s="311">
        <f>+SUMIF('TUNZ Extracted TB'!M:M,$P2389,'TUNZ Extracted TB'!G:G)</f>
        <v>194.44</v>
      </c>
      <c r="M2389" s="311"/>
      <c r="N2389" s="311">
        <f>+SUMIF('Input Sheet'!$AE:$AE,P2389,'Input Sheet'!$X:$X)</f>
        <v>0</v>
      </c>
      <c r="O2389" s="311"/>
      <c r="P2389" t="str">
        <f t="shared" si="208"/>
        <v>140-7456</v>
      </c>
      <c r="Q2389" s="315" t="str">
        <f t="shared" si="209"/>
        <v>Admin &amp; Other</v>
      </c>
      <c r="R2389" s="315" t="str">
        <f t="shared" si="210"/>
        <v>Admin &amp; OtherProfessional Fees as % of Total Gross Profit</v>
      </c>
      <c r="S2389" s="199"/>
      <c r="T2389" s="199"/>
      <c r="U2389" s="199"/>
    </row>
    <row r="2390" spans="1:21" x14ac:dyDescent="0.25">
      <c r="A2390" t="s">
        <v>996</v>
      </c>
      <c r="B2390" t="s">
        <v>997</v>
      </c>
      <c r="C2390" t="s">
        <v>997</v>
      </c>
      <c r="D2390">
        <v>7456</v>
      </c>
      <c r="E2390">
        <v>142</v>
      </c>
      <c r="F2390" t="s">
        <v>1388</v>
      </c>
      <c r="G2390" t="s">
        <v>1389</v>
      </c>
      <c r="H2390" s="315" t="s">
        <v>1023</v>
      </c>
      <c r="I2390" s="315" t="s">
        <v>1390</v>
      </c>
      <c r="J2390" s="315" t="str">
        <f t="shared" si="206"/>
        <v>LEX Admin &amp; OtherProfessional Fees as % of Total Gross Profit</v>
      </c>
      <c r="K2390" s="315" t="str">
        <f t="shared" si="207"/>
        <v>142Professional Fees - Toyota</v>
      </c>
      <c r="L2390" s="311">
        <f>+SUMIF('TUNZ Extracted TB'!M:M,$P2390,'TUNZ Extracted TB'!G:G)</f>
        <v>104.17</v>
      </c>
      <c r="M2390" s="311"/>
      <c r="N2390" s="311">
        <f>+SUMIF('Input Sheet'!$AE:$AE,P2390,'Input Sheet'!$X:$X)</f>
        <v>0</v>
      </c>
      <c r="O2390" s="311"/>
      <c r="P2390" t="str">
        <f t="shared" si="208"/>
        <v>142-7456</v>
      </c>
      <c r="Q2390" s="315" t="str">
        <f t="shared" si="209"/>
        <v>LEX Admin &amp; Other</v>
      </c>
      <c r="R2390" s="315" t="str">
        <f t="shared" si="210"/>
        <v>LEX Admin &amp; OtherProfessional Fees as % of Total Gross Profit</v>
      </c>
      <c r="S2390" s="199"/>
      <c r="T2390" s="199"/>
      <c r="U2390" s="199"/>
    </row>
    <row r="2391" spans="1:21" x14ac:dyDescent="0.25">
      <c r="A2391" t="s">
        <v>996</v>
      </c>
      <c r="B2391" t="s">
        <v>997</v>
      </c>
      <c r="C2391" t="s">
        <v>997</v>
      </c>
      <c r="D2391">
        <v>7456</v>
      </c>
      <c r="E2391">
        <v>130</v>
      </c>
      <c r="F2391" t="s">
        <v>1388</v>
      </c>
      <c r="G2391" t="s">
        <v>1389</v>
      </c>
      <c r="H2391" s="315" t="s">
        <v>1000</v>
      </c>
      <c r="I2391" s="315" t="s">
        <v>1390</v>
      </c>
      <c r="J2391" s="315" t="str">
        <f t="shared" si="206"/>
        <v>Admin &amp; OtherProfessional Fees as % of Total Gross Profit</v>
      </c>
      <c r="K2391" s="315" t="str">
        <f t="shared" si="207"/>
        <v>130Professional Fees - Toyota</v>
      </c>
      <c r="L2391" s="311">
        <f>+SUMIF('TUNZ Extracted TB'!M:M,$P2391,'TUNZ Extracted TB'!G:G)</f>
        <v>76.39</v>
      </c>
      <c r="M2391" s="311"/>
      <c r="N2391" s="311">
        <f>+SUMIF('Input Sheet'!$AE:$AE,P2391,'Input Sheet'!$X:$X)</f>
        <v>0</v>
      </c>
      <c r="O2391" s="311"/>
      <c r="P2391" t="str">
        <f t="shared" si="208"/>
        <v>130-7456</v>
      </c>
      <c r="Q2391" s="315" t="str">
        <f t="shared" si="209"/>
        <v>Admin &amp; Other</v>
      </c>
      <c r="R2391" s="315" t="str">
        <f t="shared" si="210"/>
        <v>Admin &amp; OtherProfessional Fees as % of Total Gross Profit</v>
      </c>
      <c r="S2391" s="199"/>
      <c r="T2391" s="199"/>
      <c r="U2391" s="199"/>
    </row>
    <row r="2392" spans="1:21" x14ac:dyDescent="0.25">
      <c r="A2392" t="s">
        <v>996</v>
      </c>
      <c r="B2392" t="s">
        <v>997</v>
      </c>
      <c r="C2392" t="s">
        <v>997</v>
      </c>
      <c r="D2392">
        <v>7456</v>
      </c>
      <c r="E2392">
        <v>132</v>
      </c>
      <c r="F2392" t="s">
        <v>1391</v>
      </c>
      <c r="G2392" t="s">
        <v>1392</v>
      </c>
      <c r="H2392" s="315" t="s">
        <v>1023</v>
      </c>
      <c r="I2392" s="315" t="s">
        <v>1390</v>
      </c>
      <c r="J2392" s="315" t="str">
        <f t="shared" si="206"/>
        <v>LEX Admin &amp; OtherProfessional Fees as % of Total Gross Profit</v>
      </c>
      <c r="K2392" s="315" t="str">
        <f t="shared" si="207"/>
        <v>132Professional Fees - Lexus</v>
      </c>
      <c r="L2392" s="311">
        <f>+SUMIF('TUNZ Extracted TB'!M:M,$P2392,'TUNZ Extracted TB'!G:G)</f>
        <v>0</v>
      </c>
      <c r="M2392" s="311"/>
      <c r="N2392" s="311">
        <f>+SUMIF('Input Sheet'!$AE:$AE,P2392,'Input Sheet'!$X:$X)</f>
        <v>0</v>
      </c>
      <c r="O2392" s="311"/>
      <c r="P2392" t="str">
        <f t="shared" si="208"/>
        <v>132-7456</v>
      </c>
      <c r="Q2392" s="315" t="str">
        <f t="shared" si="209"/>
        <v>LEX Admin &amp; Other</v>
      </c>
      <c r="R2392" s="315" t="str">
        <f t="shared" si="210"/>
        <v>LEX Admin &amp; OtherProfessional Fees as % of Total Gross Profit</v>
      </c>
      <c r="S2392" s="199"/>
      <c r="T2392" s="199"/>
      <c r="U2392" s="199"/>
    </row>
    <row r="2393" spans="1:21" x14ac:dyDescent="0.25">
      <c r="A2393" t="s">
        <v>996</v>
      </c>
      <c r="B2393" t="s">
        <v>997</v>
      </c>
      <c r="C2393" t="s">
        <v>997</v>
      </c>
      <c r="D2393">
        <v>7456</v>
      </c>
      <c r="E2393">
        <v>122</v>
      </c>
      <c r="F2393" t="s">
        <v>1391</v>
      </c>
      <c r="G2393" t="s">
        <v>1392</v>
      </c>
      <c r="H2393" s="315" t="s">
        <v>1023</v>
      </c>
      <c r="I2393" s="315" t="s">
        <v>1390</v>
      </c>
      <c r="J2393" s="315" t="str">
        <f t="shared" si="206"/>
        <v>LEX Admin &amp; OtherProfessional Fees as % of Total Gross Profit</v>
      </c>
      <c r="K2393" s="315" t="str">
        <f t="shared" si="207"/>
        <v>122Professional Fees - Lexus</v>
      </c>
      <c r="L2393" s="311">
        <f>+SUMIF('TUNZ Extracted TB'!M:M,$P2393,'TUNZ Extracted TB'!G:G)</f>
        <v>0</v>
      </c>
      <c r="M2393" s="311"/>
      <c r="N2393" s="311">
        <f>+SUMIF('Input Sheet'!$AE:$AE,P2393,'Input Sheet'!$X:$X)</f>
        <v>0</v>
      </c>
      <c r="O2393" s="311"/>
      <c r="P2393" t="str">
        <f t="shared" si="208"/>
        <v>122-7456</v>
      </c>
      <c r="Q2393" s="315" t="str">
        <f t="shared" si="209"/>
        <v>LEX Admin &amp; Other</v>
      </c>
      <c r="R2393" s="315" t="str">
        <f t="shared" si="210"/>
        <v>LEX Admin &amp; OtherProfessional Fees as % of Total Gross Profit</v>
      </c>
      <c r="S2393" s="199"/>
      <c r="T2393" s="199"/>
      <c r="U2393" s="199"/>
    </row>
    <row r="2394" spans="1:21" x14ac:dyDescent="0.25">
      <c r="A2394" t="s">
        <v>996</v>
      </c>
      <c r="B2394" t="s">
        <v>997</v>
      </c>
      <c r="C2394" t="s">
        <v>997</v>
      </c>
      <c r="D2394">
        <v>7456</v>
      </c>
      <c r="E2394">
        <v>162</v>
      </c>
      <c r="F2394" t="s">
        <v>1391</v>
      </c>
      <c r="G2394" t="s">
        <v>1392</v>
      </c>
      <c r="H2394" s="315" t="s">
        <v>1023</v>
      </c>
      <c r="I2394" s="315" t="s">
        <v>1390</v>
      </c>
      <c r="J2394" s="315" t="str">
        <f t="shared" si="206"/>
        <v>LEX Admin &amp; OtherProfessional Fees as % of Total Gross Profit</v>
      </c>
      <c r="K2394" s="315" t="str">
        <f t="shared" si="207"/>
        <v>162Professional Fees - Lexus</v>
      </c>
      <c r="L2394" s="311">
        <f>+SUMIF('TUNZ Extracted TB'!M:M,$P2394,'TUNZ Extracted TB'!G:G)</f>
        <v>0</v>
      </c>
      <c r="M2394" s="311"/>
      <c r="N2394" s="311">
        <f>+SUMIF('Input Sheet'!$AE:$AE,P2394,'Input Sheet'!$X:$X)</f>
        <v>0</v>
      </c>
      <c r="O2394" s="311"/>
      <c r="P2394" t="str">
        <f t="shared" si="208"/>
        <v>162-7456</v>
      </c>
      <c r="Q2394" s="315" t="str">
        <f t="shared" si="209"/>
        <v>LEX Admin &amp; Other</v>
      </c>
      <c r="R2394" s="315" t="str">
        <f t="shared" si="210"/>
        <v>LEX Admin &amp; OtherProfessional Fees as % of Total Gross Profit</v>
      </c>
      <c r="S2394" s="199"/>
      <c r="T2394" s="199"/>
      <c r="U2394" s="199"/>
    </row>
    <row r="2395" spans="1:21" x14ac:dyDescent="0.25">
      <c r="A2395" t="s">
        <v>996</v>
      </c>
      <c r="B2395" t="s">
        <v>997</v>
      </c>
      <c r="C2395" t="s">
        <v>997</v>
      </c>
      <c r="D2395">
        <v>7456</v>
      </c>
      <c r="E2395">
        <v>147</v>
      </c>
      <c r="F2395" t="s">
        <v>1388</v>
      </c>
      <c r="G2395" t="s">
        <v>1389</v>
      </c>
      <c r="H2395" s="315" t="s">
        <v>1000</v>
      </c>
      <c r="I2395" s="315" t="s">
        <v>1390</v>
      </c>
      <c r="J2395" s="315" t="str">
        <f t="shared" si="206"/>
        <v>Admin &amp; OtherProfessional Fees as % of Total Gross Profit</v>
      </c>
      <c r="K2395" s="315" t="str">
        <f t="shared" si="207"/>
        <v>147Professional Fees - Toyota</v>
      </c>
      <c r="L2395" s="311">
        <f>+SUMIF('TUNZ Extracted TB'!M:M,$P2395,'TUNZ Extracted TB'!G:G)</f>
        <v>0</v>
      </c>
      <c r="M2395" s="311"/>
      <c r="N2395" s="311">
        <f>+SUMIF('Input Sheet'!$AE:$AE,P2395,'Input Sheet'!$X:$X)</f>
        <v>0</v>
      </c>
      <c r="O2395" s="311"/>
      <c r="P2395" t="str">
        <f t="shared" si="208"/>
        <v>147-7456</v>
      </c>
      <c r="Q2395" s="315" t="str">
        <f t="shared" si="209"/>
        <v>Admin &amp; Other</v>
      </c>
      <c r="R2395" s="315" t="str">
        <f t="shared" si="210"/>
        <v>Admin &amp; OtherProfessional Fees as % of Total Gross Profit</v>
      </c>
      <c r="S2395" s="199"/>
      <c r="T2395" s="199"/>
      <c r="U2395" s="199"/>
    </row>
    <row r="2396" spans="1:21" x14ac:dyDescent="0.25">
      <c r="A2396" t="s">
        <v>996</v>
      </c>
      <c r="B2396" t="s">
        <v>997</v>
      </c>
      <c r="C2396" t="s">
        <v>1005</v>
      </c>
      <c r="D2396">
        <v>7456</v>
      </c>
      <c r="E2396">
        <v>200</v>
      </c>
      <c r="F2396" t="s">
        <v>1388</v>
      </c>
      <c r="G2396" t="s">
        <v>1389</v>
      </c>
      <c r="H2396" s="315" t="s">
        <v>1000</v>
      </c>
      <c r="I2396" s="315" t="s">
        <v>1390</v>
      </c>
      <c r="J2396" s="315" t="str">
        <f t="shared" si="206"/>
        <v>Admin &amp; OtherProfessional Fees as % of Total Gross Profit</v>
      </c>
      <c r="K2396" s="315" t="str">
        <f t="shared" si="207"/>
        <v>200Professional Fees - Toyota</v>
      </c>
      <c r="L2396" s="311">
        <f>+SUMIF('TUNZ Extracted TB'!M:M,$P2396,'TUNZ Extracted TB'!G:G)</f>
        <v>0</v>
      </c>
      <c r="M2396" s="311"/>
      <c r="N2396" s="311">
        <f>+SUMIF('Input Sheet'!$AE:$AE,P2396,'Input Sheet'!$X:$X)</f>
        <v>0</v>
      </c>
      <c r="O2396" s="311"/>
      <c r="P2396" t="str">
        <f t="shared" si="208"/>
        <v>200-7456</v>
      </c>
      <c r="Q2396" s="315" t="str">
        <f t="shared" si="209"/>
        <v>Admin &amp; Other</v>
      </c>
      <c r="R2396" s="315" t="str">
        <f t="shared" si="210"/>
        <v>Admin &amp; OtherProfessional Fees as % of Total Gross Profit</v>
      </c>
      <c r="S2396" s="199"/>
      <c r="T2396" s="199"/>
      <c r="U2396" s="199"/>
    </row>
    <row r="2397" spans="1:21" x14ac:dyDescent="0.25">
      <c r="A2397" t="s">
        <v>996</v>
      </c>
      <c r="B2397" t="s">
        <v>997</v>
      </c>
      <c r="C2397" t="s">
        <v>1005</v>
      </c>
      <c r="D2397">
        <v>7456</v>
      </c>
      <c r="E2397">
        <v>221</v>
      </c>
      <c r="F2397" t="s">
        <v>1388</v>
      </c>
      <c r="G2397" t="s">
        <v>1389</v>
      </c>
      <c r="H2397" s="315" t="s">
        <v>1000</v>
      </c>
      <c r="I2397" s="315" t="s">
        <v>1390</v>
      </c>
      <c r="J2397" s="315" t="str">
        <f t="shared" si="206"/>
        <v>Admin &amp; OtherProfessional Fees as % of Total Gross Profit</v>
      </c>
      <c r="K2397" s="315" t="str">
        <f t="shared" si="207"/>
        <v>221Professional Fees - Toyota</v>
      </c>
      <c r="L2397" s="311">
        <f>+SUMIF('TUNZ Extracted TB'!M:M,$P2397,'TUNZ Extracted TB'!G:G)</f>
        <v>0</v>
      </c>
      <c r="M2397" s="311"/>
      <c r="N2397" s="311">
        <f>+SUMIF('Input Sheet'!$AE:$AE,P2397,'Input Sheet'!$X:$X)</f>
        <v>0</v>
      </c>
      <c r="O2397" s="311"/>
      <c r="P2397" t="str">
        <f t="shared" si="208"/>
        <v>221-7456</v>
      </c>
      <c r="Q2397" s="315" t="str">
        <f t="shared" si="209"/>
        <v>Admin &amp; Other</v>
      </c>
      <c r="R2397" s="315" t="str">
        <f t="shared" si="210"/>
        <v>Admin &amp; OtherProfessional Fees as % of Total Gross Profit</v>
      </c>
      <c r="S2397" s="199"/>
      <c r="T2397" s="199"/>
      <c r="U2397" s="199"/>
    </row>
    <row r="2398" spans="1:21" x14ac:dyDescent="0.25">
      <c r="A2398" t="s">
        <v>996</v>
      </c>
      <c r="B2398" t="s">
        <v>997</v>
      </c>
      <c r="C2398" t="s">
        <v>1012</v>
      </c>
      <c r="D2398">
        <v>7456</v>
      </c>
      <c r="E2398">
        <v>400</v>
      </c>
      <c r="F2398" t="s">
        <v>1388</v>
      </c>
      <c r="G2398" t="s">
        <v>1389</v>
      </c>
      <c r="H2398" s="315" t="s">
        <v>1000</v>
      </c>
      <c r="I2398" s="315" t="s">
        <v>1390</v>
      </c>
      <c r="J2398" s="315" t="str">
        <f t="shared" si="206"/>
        <v>Admin &amp; OtherProfessional Fees as % of Total Gross Profit</v>
      </c>
      <c r="K2398" s="315" t="str">
        <f t="shared" si="207"/>
        <v>400Professional Fees - Toyota</v>
      </c>
      <c r="L2398" s="311">
        <f>+SUMIF('TUNZ Extracted TB'!M:M,$P2398,'TUNZ Extracted TB'!G:G)</f>
        <v>0</v>
      </c>
      <c r="M2398" s="311"/>
      <c r="N2398" s="311">
        <f>+SUMIF('Input Sheet'!$AE:$AE,P2398,'Input Sheet'!$X:$X)</f>
        <v>0</v>
      </c>
      <c r="O2398" s="311"/>
      <c r="P2398" t="str">
        <f t="shared" si="208"/>
        <v>400-7456</v>
      </c>
      <c r="Q2398" s="315" t="str">
        <f t="shared" si="209"/>
        <v>Admin &amp; Other</v>
      </c>
      <c r="R2398" s="315" t="str">
        <f t="shared" si="210"/>
        <v>Admin &amp; OtherProfessional Fees as % of Total Gross Profit</v>
      </c>
      <c r="S2398" s="199"/>
      <c r="T2398" s="199"/>
      <c r="U2398" s="199"/>
    </row>
    <row r="2399" spans="1:21" x14ac:dyDescent="0.25">
      <c r="A2399" t="s">
        <v>996</v>
      </c>
      <c r="B2399" t="s">
        <v>997</v>
      </c>
      <c r="C2399" t="s">
        <v>1012</v>
      </c>
      <c r="D2399">
        <v>7456</v>
      </c>
      <c r="E2399">
        <v>410</v>
      </c>
      <c r="F2399" t="s">
        <v>1388</v>
      </c>
      <c r="G2399" t="s">
        <v>1389</v>
      </c>
      <c r="H2399" s="315" t="s">
        <v>1000</v>
      </c>
      <c r="I2399" s="315" t="s">
        <v>1390</v>
      </c>
      <c r="J2399" s="315" t="str">
        <f t="shared" si="206"/>
        <v>Admin &amp; OtherProfessional Fees as % of Total Gross Profit</v>
      </c>
      <c r="K2399" s="315" t="str">
        <f t="shared" si="207"/>
        <v>410Professional Fees - Toyota</v>
      </c>
      <c r="L2399" s="311">
        <f>+SUMIF('TUNZ Extracted TB'!M:M,$P2399,'TUNZ Extracted TB'!G:G)</f>
        <v>0</v>
      </c>
      <c r="M2399" s="311"/>
      <c r="N2399" s="311">
        <f>+SUMIF('Input Sheet'!$AE:$AE,P2399,'Input Sheet'!$X:$X)</f>
        <v>0</v>
      </c>
      <c r="O2399" s="311"/>
      <c r="P2399" t="str">
        <f t="shared" si="208"/>
        <v>410-7456</v>
      </c>
      <c r="Q2399" s="315" t="str">
        <f t="shared" si="209"/>
        <v>Admin &amp; Other</v>
      </c>
      <c r="R2399" s="315" t="str">
        <f t="shared" si="210"/>
        <v>Admin &amp; OtherProfessional Fees as % of Total Gross Profit</v>
      </c>
      <c r="S2399" s="199"/>
      <c r="T2399" s="199"/>
      <c r="U2399" s="199"/>
    </row>
    <row r="2400" spans="1:21" x14ac:dyDescent="0.25">
      <c r="A2400" t="s">
        <v>996</v>
      </c>
      <c r="B2400" t="s">
        <v>997</v>
      </c>
      <c r="C2400" t="s">
        <v>1012</v>
      </c>
      <c r="D2400">
        <v>7456</v>
      </c>
      <c r="E2400">
        <v>420</v>
      </c>
      <c r="F2400" t="s">
        <v>1388</v>
      </c>
      <c r="G2400" t="s">
        <v>1389</v>
      </c>
      <c r="H2400" s="315" t="s">
        <v>1000</v>
      </c>
      <c r="I2400" s="315" t="s">
        <v>1390</v>
      </c>
      <c r="J2400" s="315" t="str">
        <f t="shared" si="206"/>
        <v>Admin &amp; OtherProfessional Fees as % of Total Gross Profit</v>
      </c>
      <c r="K2400" s="315" t="str">
        <f t="shared" si="207"/>
        <v>420Professional Fees - Toyota</v>
      </c>
      <c r="L2400" s="311">
        <f>+SUMIF('TUNZ Extracted TB'!M:M,$P2400,'TUNZ Extracted TB'!G:G)</f>
        <v>0</v>
      </c>
      <c r="M2400" s="311"/>
      <c r="N2400" s="311">
        <f>+SUMIF('Input Sheet'!$AE:$AE,P2400,'Input Sheet'!$X:$X)</f>
        <v>0</v>
      </c>
      <c r="O2400" s="311"/>
      <c r="P2400" t="str">
        <f t="shared" si="208"/>
        <v>420-7456</v>
      </c>
      <c r="Q2400" s="315" t="str">
        <f t="shared" si="209"/>
        <v>Admin &amp; Other</v>
      </c>
      <c r="R2400" s="315" t="str">
        <f t="shared" si="210"/>
        <v>Admin &amp; OtherProfessional Fees as % of Total Gross Profit</v>
      </c>
      <c r="S2400" s="199"/>
      <c r="T2400" s="199"/>
      <c r="U2400" s="199"/>
    </row>
    <row r="2401" spans="1:21" x14ac:dyDescent="0.25">
      <c r="A2401" t="s">
        <v>996</v>
      </c>
      <c r="B2401" t="s">
        <v>997</v>
      </c>
      <c r="C2401" t="s">
        <v>1012</v>
      </c>
      <c r="D2401">
        <v>7456</v>
      </c>
      <c r="E2401">
        <v>421</v>
      </c>
      <c r="F2401" t="s">
        <v>1388</v>
      </c>
      <c r="G2401" t="s">
        <v>1389</v>
      </c>
      <c r="H2401" s="315" t="s">
        <v>1000</v>
      </c>
      <c r="I2401" s="315" t="s">
        <v>1390</v>
      </c>
      <c r="J2401" s="315" t="str">
        <f t="shared" si="206"/>
        <v>Admin &amp; OtherProfessional Fees as % of Total Gross Profit</v>
      </c>
      <c r="K2401" s="315" t="str">
        <f t="shared" si="207"/>
        <v>421Professional Fees - Toyota</v>
      </c>
      <c r="L2401" s="311">
        <f>+SUMIF('TUNZ Extracted TB'!M:M,$P2401,'TUNZ Extracted TB'!G:G)</f>
        <v>0</v>
      </c>
      <c r="M2401" s="311"/>
      <c r="N2401" s="311">
        <f>+SUMIF('Input Sheet'!$AE:$AE,P2401,'Input Sheet'!$X:$X)</f>
        <v>0</v>
      </c>
      <c r="O2401" s="311"/>
      <c r="P2401" t="str">
        <f t="shared" si="208"/>
        <v>421-7456</v>
      </c>
      <c r="Q2401" s="315" t="str">
        <f t="shared" si="209"/>
        <v>Admin &amp; Other</v>
      </c>
      <c r="R2401" s="315" t="str">
        <f t="shared" si="210"/>
        <v>Admin &amp; OtherProfessional Fees as % of Total Gross Profit</v>
      </c>
      <c r="S2401" s="199"/>
      <c r="T2401" s="199"/>
      <c r="U2401" s="199"/>
    </row>
    <row r="2402" spans="1:21" x14ac:dyDescent="0.25">
      <c r="A2402" t="s">
        <v>996</v>
      </c>
      <c r="B2402" t="s">
        <v>997</v>
      </c>
      <c r="C2402" t="s">
        <v>1012</v>
      </c>
      <c r="D2402">
        <v>7456</v>
      </c>
      <c r="E2402">
        <v>460</v>
      </c>
      <c r="F2402" t="s">
        <v>1388</v>
      </c>
      <c r="G2402" t="s">
        <v>1389</v>
      </c>
      <c r="H2402" s="315" t="s">
        <v>1000</v>
      </c>
      <c r="I2402" s="315" t="s">
        <v>1390</v>
      </c>
      <c r="J2402" s="315" t="str">
        <f t="shared" si="206"/>
        <v>Admin &amp; OtherProfessional Fees as % of Total Gross Profit</v>
      </c>
      <c r="K2402" s="315" t="str">
        <f t="shared" si="207"/>
        <v>460Professional Fees - Toyota</v>
      </c>
      <c r="L2402" s="311">
        <f>+SUMIF('TUNZ Extracted TB'!M:M,$P2402,'TUNZ Extracted TB'!G:G)</f>
        <v>0</v>
      </c>
      <c r="M2402" s="311"/>
      <c r="N2402" s="311">
        <f>+SUMIF('Input Sheet'!$AE:$AE,P2402,'Input Sheet'!$X:$X)</f>
        <v>0</v>
      </c>
      <c r="O2402" s="311"/>
      <c r="P2402" t="str">
        <f t="shared" si="208"/>
        <v>460-7456</v>
      </c>
      <c r="Q2402" s="315" t="str">
        <f t="shared" si="209"/>
        <v>Admin &amp; Other</v>
      </c>
      <c r="R2402" s="315" t="str">
        <f t="shared" si="210"/>
        <v>Admin &amp; OtherProfessional Fees as % of Total Gross Profit</v>
      </c>
      <c r="S2402" s="199"/>
      <c r="T2402" s="199"/>
      <c r="U2402" s="199"/>
    </row>
    <row r="2403" spans="1:21" x14ac:dyDescent="0.25">
      <c r="A2403" t="s">
        <v>996</v>
      </c>
      <c r="B2403" t="s">
        <v>997</v>
      </c>
      <c r="C2403" t="s">
        <v>1013</v>
      </c>
      <c r="D2403">
        <v>7456</v>
      </c>
      <c r="E2403">
        <v>300</v>
      </c>
      <c r="F2403" t="s">
        <v>1388</v>
      </c>
      <c r="G2403" t="s">
        <v>1389</v>
      </c>
      <c r="H2403" s="315" t="s">
        <v>1000</v>
      </c>
      <c r="I2403" s="315" t="s">
        <v>1390</v>
      </c>
      <c r="J2403" s="315" t="str">
        <f t="shared" si="206"/>
        <v>Admin &amp; OtherProfessional Fees as % of Total Gross Profit</v>
      </c>
      <c r="K2403" s="315" t="str">
        <f t="shared" si="207"/>
        <v>300Professional Fees - Toyota</v>
      </c>
      <c r="L2403" s="311">
        <f>+SUMIF('TUNZ Extracted TB'!M:M,$P2403,'TUNZ Extracted TB'!G:G)</f>
        <v>0</v>
      </c>
      <c r="M2403" s="311"/>
      <c r="N2403" s="311">
        <f>+SUMIF('Input Sheet'!$AE:$AE,P2403,'Input Sheet'!$X:$X)</f>
        <v>0</v>
      </c>
      <c r="O2403" s="311"/>
      <c r="P2403" t="str">
        <f t="shared" si="208"/>
        <v>300-7456</v>
      </c>
      <c r="Q2403" s="315" t="str">
        <f t="shared" si="209"/>
        <v>Admin &amp; Other</v>
      </c>
      <c r="R2403" s="315" t="str">
        <f t="shared" si="210"/>
        <v>Admin &amp; OtherProfessional Fees as % of Total Gross Profit</v>
      </c>
      <c r="S2403" s="199"/>
      <c r="T2403" s="199"/>
      <c r="U2403" s="199"/>
    </row>
    <row r="2404" spans="1:21" x14ac:dyDescent="0.25">
      <c r="A2404" t="s">
        <v>996</v>
      </c>
      <c r="B2404" t="s">
        <v>997</v>
      </c>
      <c r="C2404" t="s">
        <v>1013</v>
      </c>
      <c r="D2404">
        <v>7456</v>
      </c>
      <c r="E2404">
        <v>310</v>
      </c>
      <c r="F2404" t="s">
        <v>1388</v>
      </c>
      <c r="G2404" t="s">
        <v>1389</v>
      </c>
      <c r="H2404" s="315" t="s">
        <v>1000</v>
      </c>
      <c r="I2404" s="315" t="s">
        <v>1390</v>
      </c>
      <c r="J2404" s="315" t="str">
        <f t="shared" si="206"/>
        <v>Admin &amp; OtherProfessional Fees as % of Total Gross Profit</v>
      </c>
      <c r="K2404" s="315" t="str">
        <f t="shared" si="207"/>
        <v>310Professional Fees - Toyota</v>
      </c>
      <c r="L2404" s="311">
        <f>+SUMIF('TUNZ Extracted TB'!M:M,$P2404,'TUNZ Extracted TB'!G:G)</f>
        <v>0</v>
      </c>
      <c r="M2404" s="311"/>
      <c r="N2404" s="311">
        <f>+SUMIF('Input Sheet'!$AE:$AE,P2404,'Input Sheet'!$X:$X)</f>
        <v>0</v>
      </c>
      <c r="O2404" s="311"/>
      <c r="P2404" t="str">
        <f t="shared" si="208"/>
        <v>310-7456</v>
      </c>
      <c r="Q2404" s="315" t="str">
        <f t="shared" si="209"/>
        <v>Admin &amp; Other</v>
      </c>
      <c r="R2404" s="315" t="str">
        <f t="shared" si="210"/>
        <v>Admin &amp; OtherProfessional Fees as % of Total Gross Profit</v>
      </c>
      <c r="S2404" s="199"/>
      <c r="T2404" s="199"/>
      <c r="U2404" s="199"/>
    </row>
    <row r="2405" spans="1:21" x14ac:dyDescent="0.25">
      <c r="A2405" t="s">
        <v>996</v>
      </c>
      <c r="B2405" t="s">
        <v>997</v>
      </c>
      <c r="C2405" t="s">
        <v>1013</v>
      </c>
      <c r="D2405">
        <v>7456</v>
      </c>
      <c r="E2405">
        <v>321</v>
      </c>
      <c r="F2405" t="s">
        <v>1388</v>
      </c>
      <c r="G2405" t="s">
        <v>1389</v>
      </c>
      <c r="H2405" s="315" t="s">
        <v>1000</v>
      </c>
      <c r="I2405" s="315" t="s">
        <v>1390</v>
      </c>
      <c r="J2405" s="315" t="str">
        <f t="shared" si="206"/>
        <v>Admin &amp; OtherProfessional Fees as % of Total Gross Profit</v>
      </c>
      <c r="K2405" s="315" t="str">
        <f t="shared" si="207"/>
        <v>321Professional Fees - Toyota</v>
      </c>
      <c r="L2405" s="311">
        <f>+SUMIF('TUNZ Extracted TB'!M:M,$P2405,'TUNZ Extracted TB'!G:G)</f>
        <v>0</v>
      </c>
      <c r="M2405" s="311"/>
      <c r="N2405" s="311">
        <f>+SUMIF('Input Sheet'!$AE:$AE,P2405,'Input Sheet'!$X:$X)</f>
        <v>0</v>
      </c>
      <c r="O2405" s="311"/>
      <c r="P2405" t="str">
        <f t="shared" si="208"/>
        <v>321-7456</v>
      </c>
      <c r="Q2405" s="315" t="str">
        <f t="shared" si="209"/>
        <v>Admin &amp; Other</v>
      </c>
      <c r="R2405" s="315" t="str">
        <f t="shared" si="210"/>
        <v>Admin &amp; OtherProfessional Fees as % of Total Gross Profit</v>
      </c>
      <c r="S2405" s="199"/>
      <c r="T2405" s="199"/>
      <c r="U2405" s="199"/>
    </row>
    <row r="2406" spans="1:21" x14ac:dyDescent="0.25">
      <c r="A2406" t="s">
        <v>996</v>
      </c>
      <c r="B2406" t="s">
        <v>997</v>
      </c>
      <c r="C2406" t="s">
        <v>1013</v>
      </c>
      <c r="D2406">
        <v>7456</v>
      </c>
      <c r="E2406">
        <v>360</v>
      </c>
      <c r="F2406" t="s">
        <v>1388</v>
      </c>
      <c r="G2406" t="s">
        <v>1389</v>
      </c>
      <c r="H2406" s="315" t="s">
        <v>1000</v>
      </c>
      <c r="I2406" s="315" t="s">
        <v>1390</v>
      </c>
      <c r="J2406" s="315" t="str">
        <f t="shared" si="206"/>
        <v>Admin &amp; OtherProfessional Fees as % of Total Gross Profit</v>
      </c>
      <c r="K2406" s="315" t="str">
        <f t="shared" si="207"/>
        <v>360Professional Fees - Toyota</v>
      </c>
      <c r="L2406" s="311">
        <f>+SUMIF('TUNZ Extracted TB'!M:M,$P2406,'TUNZ Extracted TB'!G:G)</f>
        <v>0</v>
      </c>
      <c r="M2406" s="311"/>
      <c r="N2406" s="311">
        <f>+SUMIF('Input Sheet'!$AE:$AE,P2406,'Input Sheet'!$X:$X)</f>
        <v>0</v>
      </c>
      <c r="O2406" s="311"/>
      <c r="P2406" t="str">
        <f t="shared" si="208"/>
        <v>360-7456</v>
      </c>
      <c r="Q2406" s="315" t="str">
        <f t="shared" si="209"/>
        <v>Admin &amp; Other</v>
      </c>
      <c r="R2406" s="315" t="str">
        <f t="shared" si="210"/>
        <v>Admin &amp; OtherProfessional Fees as % of Total Gross Profit</v>
      </c>
      <c r="S2406" s="199"/>
      <c r="T2406" s="199"/>
      <c r="U2406" s="199"/>
    </row>
    <row r="2407" spans="1:21" x14ac:dyDescent="0.25">
      <c r="A2407" t="s">
        <v>996</v>
      </c>
      <c r="B2407" t="s">
        <v>997</v>
      </c>
      <c r="C2407" t="s">
        <v>997</v>
      </c>
      <c r="D2407">
        <v>7456</v>
      </c>
      <c r="E2407">
        <v>170</v>
      </c>
      <c r="F2407" t="s">
        <v>1388</v>
      </c>
      <c r="G2407" t="s">
        <v>1389</v>
      </c>
      <c r="H2407" s="315" t="s">
        <v>1000</v>
      </c>
      <c r="I2407" s="315" t="s">
        <v>1390</v>
      </c>
      <c r="J2407" s="315" t="str">
        <f t="shared" si="206"/>
        <v>Admin &amp; OtherProfessional Fees as % of Total Gross Profit</v>
      </c>
      <c r="K2407" s="315" t="str">
        <f t="shared" si="207"/>
        <v>170Professional Fees - Toyota</v>
      </c>
      <c r="L2407" s="311">
        <f>+SUMIF('TUNZ Extracted TB'!M:M,$P2407,'TUNZ Extracted TB'!G:G)</f>
        <v>0</v>
      </c>
      <c r="M2407" s="311"/>
      <c r="N2407" s="311">
        <f>+SUMIF('Input Sheet'!$AE:$AE,P2407,'Input Sheet'!$X:$X)</f>
        <v>0</v>
      </c>
      <c r="O2407" s="311"/>
      <c r="P2407" t="str">
        <f t="shared" si="208"/>
        <v>170-7456</v>
      </c>
      <c r="Q2407" s="315" t="str">
        <f t="shared" si="209"/>
        <v>Admin &amp; Other</v>
      </c>
      <c r="R2407" s="315" t="str">
        <f t="shared" si="210"/>
        <v>Admin &amp; OtherProfessional Fees as % of Total Gross Profit</v>
      </c>
      <c r="S2407" s="199"/>
      <c r="T2407" s="199"/>
      <c r="U2407" s="199"/>
    </row>
    <row r="2408" spans="1:21" x14ac:dyDescent="0.25">
      <c r="A2408" t="s">
        <v>996</v>
      </c>
      <c r="B2408" t="s">
        <v>997</v>
      </c>
      <c r="C2408" t="s">
        <v>997</v>
      </c>
      <c r="D2408">
        <v>7456</v>
      </c>
      <c r="E2408">
        <v>110</v>
      </c>
      <c r="F2408" t="s">
        <v>1388</v>
      </c>
      <c r="G2408" t="s">
        <v>1389</v>
      </c>
      <c r="H2408" s="315" t="s">
        <v>1000</v>
      </c>
      <c r="I2408" s="315" t="s">
        <v>1390</v>
      </c>
      <c r="J2408" s="315" t="str">
        <f t="shared" si="206"/>
        <v>Admin &amp; OtherProfessional Fees as % of Total Gross Profit</v>
      </c>
      <c r="K2408" s="315" t="str">
        <f t="shared" si="207"/>
        <v>110Professional Fees - Toyota</v>
      </c>
      <c r="L2408" s="311">
        <f>+SUMIF('TUNZ Extracted TB'!M:M,$P2408,'TUNZ Extracted TB'!G:G)</f>
        <v>62.5</v>
      </c>
      <c r="M2408" s="311"/>
      <c r="N2408" s="311">
        <f>+SUMIF('Input Sheet'!$AE:$AE,P2408,'Input Sheet'!$X:$X)</f>
        <v>0</v>
      </c>
      <c r="O2408" s="311"/>
      <c r="P2408" t="str">
        <f t="shared" si="208"/>
        <v>110-7456</v>
      </c>
      <c r="Q2408" s="315" t="str">
        <f t="shared" si="209"/>
        <v>Admin &amp; Other</v>
      </c>
      <c r="R2408" s="315" t="str">
        <f t="shared" si="210"/>
        <v>Admin &amp; OtherProfessional Fees as % of Total Gross Profit</v>
      </c>
      <c r="S2408" s="199"/>
      <c r="T2408" s="199"/>
      <c r="U2408" s="199"/>
    </row>
    <row r="2409" spans="1:21" x14ac:dyDescent="0.25">
      <c r="A2409" t="s">
        <v>996</v>
      </c>
      <c r="B2409" t="s">
        <v>997</v>
      </c>
      <c r="C2409" t="s">
        <v>997</v>
      </c>
      <c r="D2409">
        <v>7456</v>
      </c>
      <c r="E2409">
        <v>112</v>
      </c>
      <c r="F2409" t="s">
        <v>1391</v>
      </c>
      <c r="G2409" t="s">
        <v>1392</v>
      </c>
      <c r="H2409" s="315" t="s">
        <v>1023</v>
      </c>
      <c r="I2409" s="315" t="s">
        <v>1390</v>
      </c>
      <c r="J2409" s="315" t="str">
        <f t="shared" si="206"/>
        <v>LEX Admin &amp; OtherProfessional Fees as % of Total Gross Profit</v>
      </c>
      <c r="K2409" s="315" t="str">
        <f t="shared" si="207"/>
        <v>112Professional Fees - Lexus</v>
      </c>
      <c r="L2409" s="311">
        <f>+SUMIF('TUNZ Extracted TB'!M:M,$P2409,'TUNZ Extracted TB'!G:G)</f>
        <v>34.72</v>
      </c>
      <c r="M2409" s="311"/>
      <c r="N2409" s="311">
        <f>+SUMIF('Input Sheet'!$AE:$AE,P2409,'Input Sheet'!$X:$X)</f>
        <v>0</v>
      </c>
      <c r="O2409" s="311"/>
      <c r="P2409" t="str">
        <f t="shared" si="208"/>
        <v>112-7456</v>
      </c>
      <c r="Q2409" s="315" t="str">
        <f t="shared" si="209"/>
        <v>LEX Admin &amp; Other</v>
      </c>
      <c r="R2409" s="315" t="str">
        <f t="shared" si="210"/>
        <v>LEX Admin &amp; OtherProfessional Fees as % of Total Gross Profit</v>
      </c>
      <c r="S2409" s="199"/>
      <c r="T2409" s="199"/>
      <c r="U2409" s="199"/>
    </row>
    <row r="2410" spans="1:21" x14ac:dyDescent="0.25">
      <c r="A2410" t="s">
        <v>996</v>
      </c>
      <c r="B2410" t="s">
        <v>997</v>
      </c>
      <c r="C2410" t="s">
        <v>997</v>
      </c>
      <c r="D2410">
        <v>7456</v>
      </c>
      <c r="E2410">
        <v>100</v>
      </c>
      <c r="F2410" t="s">
        <v>1388</v>
      </c>
      <c r="G2410" t="s">
        <v>1389</v>
      </c>
      <c r="H2410" s="315" t="s">
        <v>1000</v>
      </c>
      <c r="I2410" s="315" t="s">
        <v>1390</v>
      </c>
      <c r="J2410" s="315" t="str">
        <f t="shared" si="206"/>
        <v>Admin &amp; OtherProfessional Fees as % of Total Gross Profit</v>
      </c>
      <c r="K2410" s="315" t="str">
        <f t="shared" si="207"/>
        <v>100Professional Fees - Toyota</v>
      </c>
      <c r="L2410" s="311">
        <f>+SUMIF('TUNZ Extracted TB'!M:M,$P2410,'TUNZ Extracted TB'!G:G)</f>
        <v>0</v>
      </c>
      <c r="M2410" s="311"/>
      <c r="N2410" s="311">
        <f>+SUMIF('Input Sheet'!$AE:$AE,P2410,'Input Sheet'!$X:$X)</f>
        <v>0</v>
      </c>
      <c r="O2410" s="311"/>
      <c r="P2410" t="str">
        <f t="shared" si="208"/>
        <v>100-7456</v>
      </c>
      <c r="Q2410" s="315" t="str">
        <f t="shared" si="209"/>
        <v>Admin &amp; Other</v>
      </c>
      <c r="R2410" s="315" t="str">
        <f t="shared" si="210"/>
        <v>Admin &amp; OtherProfessional Fees as % of Total Gross Profit</v>
      </c>
      <c r="S2410" s="199"/>
      <c r="T2410" s="199"/>
      <c r="U2410" s="199"/>
    </row>
    <row r="2411" spans="1:21" x14ac:dyDescent="0.25">
      <c r="A2411" s="316">
        <v>45200</v>
      </c>
      <c r="B2411" t="s">
        <v>997</v>
      </c>
      <c r="C2411" t="s">
        <v>997</v>
      </c>
      <c r="D2411">
        <v>7457</v>
      </c>
      <c r="E2411">
        <v>190</v>
      </c>
      <c r="G2411" t="s">
        <v>946</v>
      </c>
      <c r="H2411" s="315" t="s">
        <v>1000</v>
      </c>
      <c r="I2411" s="315" t="s">
        <v>1001</v>
      </c>
      <c r="J2411" s="315" t="str">
        <f t="shared" si="206"/>
        <v>Admin &amp; OtherOther Overheads as % of Total Gross Profit</v>
      </c>
      <c r="K2411" s="315" t="str">
        <f t="shared" si="207"/>
        <v>190General Expenses</v>
      </c>
      <c r="L2411" s="311">
        <f>+SUMIF('TUNZ Extracted TB'!M:M,$P2411,'TUNZ Extracted TB'!G:G)</f>
        <v>380.43</v>
      </c>
      <c r="M2411" s="311"/>
      <c r="N2411" s="311">
        <f>+SUMIF('Input Sheet'!$AE:$AE,P2411,'Input Sheet'!$X:$X)</f>
        <v>0</v>
      </c>
      <c r="O2411" s="311"/>
      <c r="P2411" t="str">
        <f t="shared" si="208"/>
        <v>190-7457</v>
      </c>
      <c r="Q2411" s="315" t="str">
        <f t="shared" si="209"/>
        <v>Admin &amp; Other</v>
      </c>
      <c r="R2411" s="315" t="str">
        <f t="shared" si="210"/>
        <v>Admin &amp; OtherOther Overheads as % of Total Gross Profit</v>
      </c>
      <c r="S2411" s="199"/>
      <c r="T2411" s="199"/>
      <c r="U2411" s="199"/>
    </row>
    <row r="2412" spans="1:21" x14ac:dyDescent="0.25">
      <c r="A2412" t="s">
        <v>996</v>
      </c>
      <c r="B2412" t="s">
        <v>997</v>
      </c>
      <c r="C2412" t="s">
        <v>997</v>
      </c>
      <c r="D2412">
        <v>7457</v>
      </c>
      <c r="E2412">
        <v>120</v>
      </c>
      <c r="F2412" t="s">
        <v>1328</v>
      </c>
      <c r="G2412" t="s">
        <v>1329</v>
      </c>
      <c r="H2412" s="315" t="s">
        <v>30</v>
      </c>
      <c r="I2412" s="315" t="s">
        <v>1327</v>
      </c>
      <c r="J2412" s="315" t="str">
        <f t="shared" si="206"/>
        <v>Used VehicleOther Semi-Fixed expenses per retail</v>
      </c>
      <c r="K2412" s="315" t="str">
        <f t="shared" si="207"/>
        <v>120Toyota UV Other Semi-Fixed expenses</v>
      </c>
      <c r="L2412" s="311">
        <f>+SUMIF('TUNZ Extracted TB'!M:M,$P2412,'TUNZ Extracted TB'!G:G)</f>
        <v>99.48</v>
      </c>
      <c r="M2412" s="311"/>
      <c r="N2412" s="311">
        <f>+SUMIF('Input Sheet'!$AE:$AE,P2412,'Input Sheet'!$X:$X)</f>
        <v>0</v>
      </c>
      <c r="O2412" s="311"/>
      <c r="P2412" t="str">
        <f t="shared" si="208"/>
        <v>120-7457</v>
      </c>
      <c r="Q2412" s="315" t="str">
        <f t="shared" si="209"/>
        <v>Used Vehicle</v>
      </c>
      <c r="R2412" s="315" t="str">
        <f t="shared" si="210"/>
        <v>Used VehicleOther Semi-Fixed expenses per retail</v>
      </c>
      <c r="S2412" s="199"/>
      <c r="T2412" s="199"/>
      <c r="U2412" s="199"/>
    </row>
    <row r="2413" spans="1:21" x14ac:dyDescent="0.25">
      <c r="A2413" t="s">
        <v>996</v>
      </c>
      <c r="B2413" t="s">
        <v>997</v>
      </c>
      <c r="C2413" t="s">
        <v>1005</v>
      </c>
      <c r="D2413">
        <v>7457</v>
      </c>
      <c r="E2413">
        <v>210</v>
      </c>
      <c r="F2413" t="s">
        <v>1328</v>
      </c>
      <c r="G2413" t="s">
        <v>1329</v>
      </c>
      <c r="H2413" s="315" t="s">
        <v>30</v>
      </c>
      <c r="I2413" s="315" t="s">
        <v>1327</v>
      </c>
      <c r="J2413" s="315" t="str">
        <f t="shared" si="206"/>
        <v>Used VehicleOther Semi-Fixed expenses per retail</v>
      </c>
      <c r="K2413" s="315" t="str">
        <f t="shared" si="207"/>
        <v>210Toyota UV Other Semi-Fixed expenses</v>
      </c>
      <c r="L2413" s="311">
        <f>+SUMIF('TUNZ Extracted TB'!M:M,$P2413,'TUNZ Extracted TB'!G:G)</f>
        <v>356.8</v>
      </c>
      <c r="M2413" s="311"/>
      <c r="N2413" s="311">
        <f>+SUMIF('Input Sheet'!$AE:$AE,P2413,'Input Sheet'!$X:$X)</f>
        <v>0</v>
      </c>
      <c r="O2413" s="311"/>
      <c r="P2413" t="str">
        <f t="shared" si="208"/>
        <v>210-7457</v>
      </c>
      <c r="Q2413" s="315" t="str">
        <f t="shared" si="209"/>
        <v>Used Vehicle</v>
      </c>
      <c r="R2413" s="315" t="str">
        <f t="shared" si="210"/>
        <v>Used VehicleOther Semi-Fixed expenses per retail</v>
      </c>
      <c r="S2413" s="199"/>
      <c r="T2413" s="199"/>
      <c r="U2413" s="199"/>
    </row>
    <row r="2414" spans="1:21" x14ac:dyDescent="0.25">
      <c r="A2414" t="s">
        <v>996</v>
      </c>
      <c r="B2414" t="s">
        <v>997</v>
      </c>
      <c r="C2414" t="s">
        <v>1005</v>
      </c>
      <c r="D2414">
        <v>7457</v>
      </c>
      <c r="E2414">
        <v>220</v>
      </c>
      <c r="F2414" t="s">
        <v>1328</v>
      </c>
      <c r="G2414" t="s">
        <v>1329</v>
      </c>
      <c r="H2414" s="315" t="s">
        <v>30</v>
      </c>
      <c r="I2414" s="315" t="s">
        <v>1327</v>
      </c>
      <c r="J2414" s="315" t="str">
        <f t="shared" si="206"/>
        <v>Used VehicleOther Semi-Fixed expenses per retail</v>
      </c>
      <c r="K2414" s="315" t="str">
        <f t="shared" si="207"/>
        <v>220Toyota UV Other Semi-Fixed expenses</v>
      </c>
      <c r="L2414" s="311">
        <f>+SUMIF('TUNZ Extracted TB'!M:M,$P2414,'TUNZ Extracted TB'!G:G)</f>
        <v>356.8</v>
      </c>
      <c r="M2414" s="311"/>
      <c r="N2414" s="311">
        <f>+SUMIF('Input Sheet'!$AE:$AE,P2414,'Input Sheet'!$X:$X)</f>
        <v>0</v>
      </c>
      <c r="O2414" s="311"/>
      <c r="P2414" t="str">
        <f t="shared" si="208"/>
        <v>220-7457</v>
      </c>
      <c r="Q2414" s="315" t="str">
        <f t="shared" si="209"/>
        <v>Used Vehicle</v>
      </c>
      <c r="R2414" s="315" t="str">
        <f t="shared" si="210"/>
        <v>Used VehicleOther Semi-Fixed expenses per retail</v>
      </c>
      <c r="S2414" s="199"/>
      <c r="T2414" s="199"/>
      <c r="U2414" s="199"/>
    </row>
    <row r="2415" spans="1:21" x14ac:dyDescent="0.25">
      <c r="A2415" t="s">
        <v>996</v>
      </c>
      <c r="B2415" t="s">
        <v>997</v>
      </c>
      <c r="C2415" t="s">
        <v>1005</v>
      </c>
      <c r="D2415">
        <v>7457</v>
      </c>
      <c r="E2415">
        <v>240</v>
      </c>
      <c r="F2415" t="s">
        <v>1289</v>
      </c>
      <c r="G2415" t="s">
        <v>1290</v>
      </c>
      <c r="H2415" s="315" t="s">
        <v>17</v>
      </c>
      <c r="I2415" s="315" t="s">
        <v>1286</v>
      </c>
      <c r="J2415" s="315" t="str">
        <f t="shared" si="206"/>
        <v>ServiceOther Expenses as % of Sales</v>
      </c>
      <c r="K2415" s="315" t="str">
        <f t="shared" si="207"/>
        <v>240Service Other expenses - Toyota</v>
      </c>
      <c r="L2415" s="311">
        <f>+SUMIF('TUNZ Extracted TB'!M:M,$P2415,'TUNZ Extracted TB'!G:G)</f>
        <v>364.63</v>
      </c>
      <c r="M2415" s="311"/>
      <c r="N2415" s="311">
        <f>+SUMIF('Input Sheet'!$AE:$AE,P2415,'Input Sheet'!$X:$X)</f>
        <v>0</v>
      </c>
      <c r="O2415" s="311"/>
      <c r="P2415" t="str">
        <f t="shared" si="208"/>
        <v>240-7457</v>
      </c>
      <c r="Q2415" s="315" t="str">
        <f t="shared" si="209"/>
        <v>Service</v>
      </c>
      <c r="R2415" s="315" t="str">
        <f t="shared" si="210"/>
        <v>ServiceOther Expenses as % of Sales</v>
      </c>
      <c r="S2415" s="199"/>
      <c r="T2415" s="199"/>
      <c r="U2415" s="199"/>
    </row>
    <row r="2416" spans="1:21" x14ac:dyDescent="0.25">
      <c r="A2416" t="s">
        <v>996</v>
      </c>
      <c r="B2416" t="s">
        <v>997</v>
      </c>
      <c r="C2416" t="s">
        <v>997</v>
      </c>
      <c r="D2416">
        <v>7457</v>
      </c>
      <c r="E2416">
        <v>160</v>
      </c>
      <c r="F2416" t="s">
        <v>1293</v>
      </c>
      <c r="G2416" t="s">
        <v>1294</v>
      </c>
      <c r="H2416" s="315" t="s">
        <v>16</v>
      </c>
      <c r="I2416" s="315" t="s">
        <v>1295</v>
      </c>
      <c r="J2416" s="315" t="str">
        <f t="shared" si="206"/>
        <v>F&amp;IOther Expenses per vehicle retailed</v>
      </c>
      <c r="K2416" s="315" t="str">
        <f t="shared" si="207"/>
        <v>160F&amp;I Other expenses - Toyota</v>
      </c>
      <c r="L2416" s="311">
        <f>+SUMIF('TUNZ Extracted TB'!M:M,$P2416,'TUNZ Extracted TB'!G:G)</f>
        <v>3.42</v>
      </c>
      <c r="M2416" s="311"/>
      <c r="N2416" s="311">
        <f>+SUMIF('Input Sheet'!$AE:$AE,P2416,'Input Sheet'!$X:$X)</f>
        <v>0</v>
      </c>
      <c r="O2416" s="311"/>
      <c r="P2416" t="str">
        <f t="shared" si="208"/>
        <v>160-7457</v>
      </c>
      <c r="Q2416" s="315" t="str">
        <f t="shared" si="209"/>
        <v>F&amp;I</v>
      </c>
      <c r="R2416" s="315" t="str">
        <f t="shared" si="210"/>
        <v>F&amp;IOther Expenses per vehicle retailed</v>
      </c>
      <c r="S2416" s="199"/>
      <c r="T2416" s="199"/>
      <c r="U2416" s="199"/>
    </row>
    <row r="2417" spans="1:21" x14ac:dyDescent="0.25">
      <c r="A2417" t="s">
        <v>996</v>
      </c>
      <c r="B2417" t="s">
        <v>997</v>
      </c>
      <c r="C2417" t="s">
        <v>1005</v>
      </c>
      <c r="D2417">
        <v>7457</v>
      </c>
      <c r="E2417">
        <v>230</v>
      </c>
      <c r="F2417" t="s">
        <v>1291</v>
      </c>
      <c r="G2417" t="s">
        <v>1292</v>
      </c>
      <c r="H2417" s="315" t="s">
        <v>5</v>
      </c>
      <c r="I2417" s="315" t="s">
        <v>1286</v>
      </c>
      <c r="J2417" s="315" t="str">
        <f t="shared" si="206"/>
        <v>PartsOther Expenses as % of Sales</v>
      </c>
      <c r="K2417" s="315" t="str">
        <f t="shared" si="207"/>
        <v>230Parts Other Expenses - Toyota</v>
      </c>
      <c r="L2417" s="311">
        <f>+SUMIF('TUNZ Extracted TB'!M:M,$P2417,'TUNZ Extracted TB'!G:G)</f>
        <v>356.8</v>
      </c>
      <c r="M2417" s="311"/>
      <c r="N2417" s="311">
        <f>+SUMIF('Input Sheet'!$AE:$AE,P2417,'Input Sheet'!$X:$X)</f>
        <v>0</v>
      </c>
      <c r="O2417" s="311"/>
      <c r="P2417" t="str">
        <f t="shared" si="208"/>
        <v>230-7457</v>
      </c>
      <c r="Q2417" s="315" t="str">
        <f t="shared" si="209"/>
        <v>Parts</v>
      </c>
      <c r="R2417" s="315" t="str">
        <f t="shared" si="210"/>
        <v>PartsOther Expenses as % of Sales</v>
      </c>
      <c r="S2417" s="199"/>
      <c r="T2417" s="199"/>
      <c r="U2417" s="199"/>
    </row>
    <row r="2418" spans="1:21" x14ac:dyDescent="0.25">
      <c r="A2418" t="s">
        <v>996</v>
      </c>
      <c r="B2418" t="s">
        <v>997</v>
      </c>
      <c r="C2418" t="s">
        <v>1012</v>
      </c>
      <c r="D2418">
        <v>7457</v>
      </c>
      <c r="E2418">
        <v>440</v>
      </c>
      <c r="F2418" t="s">
        <v>1289</v>
      </c>
      <c r="G2418" t="s">
        <v>1290</v>
      </c>
      <c r="H2418" s="315" t="s">
        <v>17</v>
      </c>
      <c r="I2418" s="315" t="s">
        <v>1286</v>
      </c>
      <c r="J2418" s="315" t="str">
        <f t="shared" si="206"/>
        <v>ServiceOther Expenses as % of Sales</v>
      </c>
      <c r="K2418" s="315" t="str">
        <f t="shared" si="207"/>
        <v>440Service Other expenses - Toyota</v>
      </c>
      <c r="L2418" s="311">
        <f>+SUMIF('TUNZ Extracted TB'!M:M,$P2418,'TUNZ Extracted TB'!G:G)</f>
        <v>753.48</v>
      </c>
      <c r="M2418" s="311"/>
      <c r="N2418" s="311">
        <f>+SUMIF('Input Sheet'!$AE:$AE,P2418,'Input Sheet'!$X:$X)</f>
        <v>0</v>
      </c>
      <c r="O2418" s="311"/>
      <c r="P2418" t="str">
        <f t="shared" si="208"/>
        <v>440-7457</v>
      </c>
      <c r="Q2418" s="315" t="str">
        <f t="shared" si="209"/>
        <v>Service</v>
      </c>
      <c r="R2418" s="315" t="str">
        <f t="shared" si="210"/>
        <v>ServiceOther Expenses as % of Sales</v>
      </c>
      <c r="S2418" s="199"/>
      <c r="T2418" s="199"/>
      <c r="U2418" s="199"/>
    </row>
    <row r="2419" spans="1:21" x14ac:dyDescent="0.25">
      <c r="A2419" t="s">
        <v>996</v>
      </c>
      <c r="B2419" t="s">
        <v>997</v>
      </c>
      <c r="C2419" t="s">
        <v>997</v>
      </c>
      <c r="D2419">
        <v>7457</v>
      </c>
      <c r="E2419">
        <v>936</v>
      </c>
      <c r="F2419" t="s">
        <v>1175</v>
      </c>
      <c r="G2419" t="s">
        <v>1176</v>
      </c>
      <c r="H2419" s="315" t="s">
        <v>58</v>
      </c>
      <c r="I2419" s="315" t="s">
        <v>1286</v>
      </c>
      <c r="J2419" s="315" t="str">
        <f t="shared" si="206"/>
        <v>BridgestoneOther Expenses as % of Sales</v>
      </c>
      <c r="K2419" s="315" t="str">
        <f t="shared" si="207"/>
        <v>936Other franchise/business expense</v>
      </c>
      <c r="L2419" s="311">
        <f>+SUMIF('TUNZ Extracted TB'!M:M,$P2419,'TUNZ Extracted TB'!G:G)</f>
        <v>148.4</v>
      </c>
      <c r="M2419" s="311"/>
      <c r="N2419" s="311">
        <f>+SUMIF('Input Sheet'!$AE:$AE,P2419,'Input Sheet'!$X:$X)</f>
        <v>0</v>
      </c>
      <c r="O2419" s="311"/>
      <c r="P2419" t="str">
        <f t="shared" si="208"/>
        <v>936-7457</v>
      </c>
      <c r="Q2419" s="315" t="str">
        <f t="shared" si="209"/>
        <v>Bridgestone</v>
      </c>
      <c r="R2419" s="315" t="str">
        <f t="shared" si="210"/>
        <v>BridgestoneOther Expenses as % of Sales</v>
      </c>
      <c r="S2419" s="199"/>
      <c r="T2419" s="199"/>
      <c r="U2419" s="199"/>
    </row>
    <row r="2420" spans="1:21" x14ac:dyDescent="0.25">
      <c r="A2420" t="s">
        <v>996</v>
      </c>
      <c r="B2420" t="s">
        <v>997</v>
      </c>
      <c r="C2420" t="s">
        <v>1013</v>
      </c>
      <c r="D2420">
        <v>7457</v>
      </c>
      <c r="E2420">
        <v>340</v>
      </c>
      <c r="F2420" t="s">
        <v>1289</v>
      </c>
      <c r="G2420" t="s">
        <v>1290</v>
      </c>
      <c r="H2420" s="315" t="s">
        <v>17</v>
      </c>
      <c r="I2420" s="315" t="s">
        <v>1286</v>
      </c>
      <c r="J2420" s="315" t="str">
        <f t="shared" si="206"/>
        <v>ServiceOther Expenses as % of Sales</v>
      </c>
      <c r="K2420" s="315" t="str">
        <f t="shared" si="207"/>
        <v>340Service Other expenses - Toyota</v>
      </c>
      <c r="L2420" s="311">
        <f>+SUMIF('TUNZ Extracted TB'!M:M,$P2420,'TUNZ Extracted TB'!G:G)</f>
        <v>524.44000000000005</v>
      </c>
      <c r="M2420" s="311"/>
      <c r="N2420" s="311">
        <f>+SUMIF('Input Sheet'!$AE:$AE,P2420,'Input Sheet'!$X:$X)</f>
        <v>0</v>
      </c>
      <c r="O2420" s="311"/>
      <c r="P2420" t="str">
        <f t="shared" si="208"/>
        <v>340-7457</v>
      </c>
      <c r="Q2420" s="315" t="str">
        <f t="shared" si="209"/>
        <v>Service</v>
      </c>
      <c r="R2420" s="315" t="str">
        <f t="shared" si="210"/>
        <v>ServiceOther Expenses as % of Sales</v>
      </c>
      <c r="S2420" s="199"/>
      <c r="T2420" s="199"/>
      <c r="U2420" s="199"/>
    </row>
    <row r="2421" spans="1:21" x14ac:dyDescent="0.25">
      <c r="A2421" t="s">
        <v>996</v>
      </c>
      <c r="B2421" t="s">
        <v>997</v>
      </c>
      <c r="C2421" t="s">
        <v>997</v>
      </c>
      <c r="D2421">
        <v>7457</v>
      </c>
      <c r="E2421">
        <v>935</v>
      </c>
      <c r="F2421" t="s">
        <v>1175</v>
      </c>
      <c r="G2421" t="s">
        <v>1176</v>
      </c>
      <c r="H2421" s="315" t="s">
        <v>58</v>
      </c>
      <c r="I2421" s="315" t="s">
        <v>1286</v>
      </c>
      <c r="J2421" s="315" t="str">
        <f t="shared" si="206"/>
        <v>BridgestoneOther Expenses as % of Sales</v>
      </c>
      <c r="K2421" s="315" t="str">
        <f t="shared" si="207"/>
        <v>935Other franchise/business expense</v>
      </c>
      <c r="L2421" s="311">
        <f>+SUMIF('TUNZ Extracted TB'!M:M,$P2421,'TUNZ Extracted TB'!G:G)</f>
        <v>2.84</v>
      </c>
      <c r="M2421" s="311"/>
      <c r="N2421" s="311">
        <f>+SUMIF('Input Sheet'!$AE:$AE,P2421,'Input Sheet'!$X:$X)</f>
        <v>0</v>
      </c>
      <c r="O2421" s="311"/>
      <c r="P2421" t="str">
        <f t="shared" si="208"/>
        <v>935-7457</v>
      </c>
      <c r="Q2421" s="315" t="str">
        <f t="shared" si="209"/>
        <v>Bridgestone</v>
      </c>
      <c r="R2421" s="315" t="str">
        <f t="shared" si="210"/>
        <v>BridgestoneOther Expenses as % of Sales</v>
      </c>
      <c r="S2421" s="199"/>
      <c r="T2421" s="199"/>
      <c r="U2421" s="199"/>
    </row>
    <row r="2422" spans="1:21" x14ac:dyDescent="0.25">
      <c r="A2422" t="s">
        <v>996</v>
      </c>
      <c r="B2422" t="s">
        <v>997</v>
      </c>
      <c r="C2422" t="s">
        <v>1012</v>
      </c>
      <c r="D2422">
        <v>7457</v>
      </c>
      <c r="E2422">
        <v>430</v>
      </c>
      <c r="F2422" t="s">
        <v>1291</v>
      </c>
      <c r="G2422" t="s">
        <v>1292</v>
      </c>
      <c r="H2422" s="315" t="s">
        <v>5</v>
      </c>
      <c r="I2422" s="315" t="s">
        <v>1286</v>
      </c>
      <c r="J2422" s="315" t="str">
        <f t="shared" si="206"/>
        <v>PartsOther Expenses as % of Sales</v>
      </c>
      <c r="K2422" s="315" t="str">
        <f t="shared" si="207"/>
        <v>430Parts Other Expenses - Toyota</v>
      </c>
      <c r="L2422" s="311">
        <f>+SUMIF('TUNZ Extracted TB'!M:M,$P2422,'TUNZ Extracted TB'!G:G)</f>
        <v>286.33999999999997</v>
      </c>
      <c r="M2422" s="311"/>
      <c r="N2422" s="311">
        <f>+SUMIF('Input Sheet'!$AE:$AE,P2422,'Input Sheet'!$X:$X)</f>
        <v>0</v>
      </c>
      <c r="O2422" s="311"/>
      <c r="P2422" t="str">
        <f t="shared" si="208"/>
        <v>430-7457</v>
      </c>
      <c r="Q2422" s="315" t="str">
        <f t="shared" si="209"/>
        <v>Parts</v>
      </c>
      <c r="R2422" s="315" t="str">
        <f t="shared" si="210"/>
        <v>PartsOther Expenses as % of Sales</v>
      </c>
      <c r="S2422" s="199"/>
      <c r="T2422" s="199"/>
      <c r="U2422" s="199"/>
    </row>
    <row r="2423" spans="1:21" x14ac:dyDescent="0.25">
      <c r="A2423" s="316">
        <v>44958</v>
      </c>
      <c r="B2423" t="s">
        <v>997</v>
      </c>
      <c r="C2423" t="s">
        <v>997</v>
      </c>
      <c r="D2423">
        <v>7457</v>
      </c>
      <c r="E2423">
        <v>150</v>
      </c>
      <c r="G2423" t="s">
        <v>946</v>
      </c>
      <c r="H2423" s="315" t="s">
        <v>145</v>
      </c>
      <c r="I2423" s="315" t="s">
        <v>1286</v>
      </c>
      <c r="J2423" s="315" t="str">
        <f t="shared" si="206"/>
        <v>Retail DetailingOther Expenses as % of Sales</v>
      </c>
      <c r="K2423" s="315" t="str">
        <f t="shared" si="207"/>
        <v>150General Expenses</v>
      </c>
      <c r="L2423" s="311">
        <f>+SUMIF('TUNZ Extracted TB'!M:M,$P2423,'TUNZ Extracted TB'!G:G)</f>
        <v>0</v>
      </c>
      <c r="M2423" s="311"/>
      <c r="N2423" s="311">
        <f>+SUMIF('Input Sheet'!$AE:$AE,P2423,'Input Sheet'!$X:$X)</f>
        <v>0</v>
      </c>
      <c r="O2423" s="311"/>
      <c r="P2423" t="str">
        <f t="shared" si="208"/>
        <v>150-7457</v>
      </c>
      <c r="Q2423" s="315" t="str">
        <f t="shared" si="209"/>
        <v>Retail Detailing</v>
      </c>
      <c r="R2423" s="315" t="str">
        <f t="shared" si="210"/>
        <v>Retail DetailingOther Expenses as % of Sales</v>
      </c>
      <c r="S2423" s="199"/>
      <c r="T2423" s="199"/>
      <c r="U2423" s="199"/>
    </row>
    <row r="2424" spans="1:21" x14ac:dyDescent="0.25">
      <c r="A2424" t="s">
        <v>996</v>
      </c>
      <c r="B2424" t="s">
        <v>997</v>
      </c>
      <c r="C2424" t="s">
        <v>997</v>
      </c>
      <c r="D2424">
        <v>7457</v>
      </c>
      <c r="E2424">
        <v>140</v>
      </c>
      <c r="F2424" t="s">
        <v>1289</v>
      </c>
      <c r="G2424" t="s">
        <v>1290</v>
      </c>
      <c r="H2424" s="315" t="s">
        <v>17</v>
      </c>
      <c r="I2424" s="315" t="s">
        <v>1286</v>
      </c>
      <c r="J2424" s="315" t="str">
        <f t="shared" si="206"/>
        <v>ServiceOther Expenses as % of Sales</v>
      </c>
      <c r="K2424" s="315" t="str">
        <f t="shared" si="207"/>
        <v>140Service Other expenses - Toyota</v>
      </c>
      <c r="L2424" s="311">
        <f>+SUMIF('TUNZ Extracted TB'!M:M,$P2424,'TUNZ Extracted TB'!G:G)</f>
        <v>356.65</v>
      </c>
      <c r="M2424" s="311"/>
      <c r="N2424" s="311">
        <f>+SUMIF('Input Sheet'!$AE:$AE,P2424,'Input Sheet'!$X:$X)</f>
        <v>0</v>
      </c>
      <c r="O2424" s="311"/>
      <c r="P2424" t="str">
        <f t="shared" si="208"/>
        <v>140-7457</v>
      </c>
      <c r="Q2424" s="315" t="str">
        <f t="shared" si="209"/>
        <v>Service</v>
      </c>
      <c r="R2424" s="315" t="str">
        <f t="shared" si="210"/>
        <v>ServiceOther Expenses as % of Sales</v>
      </c>
      <c r="S2424" s="199"/>
      <c r="T2424" s="199"/>
      <c r="U2424" s="199"/>
    </row>
    <row r="2425" spans="1:21" x14ac:dyDescent="0.25">
      <c r="A2425" t="s">
        <v>996</v>
      </c>
      <c r="B2425" t="s">
        <v>997</v>
      </c>
      <c r="C2425" t="s">
        <v>997</v>
      </c>
      <c r="D2425">
        <v>7457</v>
      </c>
      <c r="E2425">
        <v>142</v>
      </c>
      <c r="F2425" t="s">
        <v>1362</v>
      </c>
      <c r="G2425" t="s">
        <v>1363</v>
      </c>
      <c r="H2425" s="315" t="s">
        <v>1022</v>
      </c>
      <c r="I2425" s="315" t="s">
        <v>1286</v>
      </c>
      <c r="J2425" s="315" t="str">
        <f t="shared" si="206"/>
        <v>Lex ServiceOther Expenses as % of Sales</v>
      </c>
      <c r="K2425" s="315" t="str">
        <f t="shared" si="207"/>
        <v>142Miscellaneous expenses - Lexus</v>
      </c>
      <c r="L2425" s="311">
        <f>+SUMIF('TUNZ Extracted TB'!M:M,$P2425,'TUNZ Extracted TB'!G:G)</f>
        <v>0</v>
      </c>
      <c r="M2425" s="311"/>
      <c r="N2425" s="311">
        <f>+SUMIF('Input Sheet'!$AE:$AE,P2425,'Input Sheet'!$X:$X)</f>
        <v>0</v>
      </c>
      <c r="O2425" s="311"/>
      <c r="P2425" t="str">
        <f t="shared" si="208"/>
        <v>142-7457</v>
      </c>
      <c r="Q2425" s="315" t="str">
        <f t="shared" si="209"/>
        <v>Lex Service</v>
      </c>
      <c r="R2425" s="315" t="str">
        <f t="shared" si="210"/>
        <v>Lex ServiceOther Expenses as % of Sales</v>
      </c>
      <c r="S2425" s="199"/>
      <c r="T2425" s="199"/>
      <c r="U2425" s="199"/>
    </row>
    <row r="2426" spans="1:21" x14ac:dyDescent="0.25">
      <c r="A2426" t="s">
        <v>996</v>
      </c>
      <c r="B2426" t="s">
        <v>997</v>
      </c>
      <c r="C2426" t="s">
        <v>997</v>
      </c>
      <c r="D2426">
        <v>7457</v>
      </c>
      <c r="E2426">
        <v>130</v>
      </c>
      <c r="F2426" t="s">
        <v>1291</v>
      </c>
      <c r="G2426" t="s">
        <v>1292</v>
      </c>
      <c r="H2426" s="315" t="s">
        <v>5</v>
      </c>
      <c r="I2426" s="315" t="s">
        <v>1286</v>
      </c>
      <c r="J2426" s="315" t="str">
        <f t="shared" si="206"/>
        <v>PartsOther Expenses as % of Sales</v>
      </c>
      <c r="K2426" s="315" t="str">
        <f t="shared" si="207"/>
        <v>130Parts Other Expenses - Toyota</v>
      </c>
      <c r="L2426" s="311">
        <f>+SUMIF('TUNZ Extracted TB'!M:M,$P2426,'TUNZ Extracted TB'!G:G)</f>
        <v>96.64</v>
      </c>
      <c r="M2426" s="311"/>
      <c r="N2426" s="311">
        <f>+SUMIF('Input Sheet'!$AE:$AE,P2426,'Input Sheet'!$X:$X)</f>
        <v>0</v>
      </c>
      <c r="O2426" s="311"/>
      <c r="P2426" t="str">
        <f t="shared" si="208"/>
        <v>130-7457</v>
      </c>
      <c r="Q2426" s="315" t="str">
        <f t="shared" si="209"/>
        <v>Parts</v>
      </c>
      <c r="R2426" s="315" t="str">
        <f t="shared" si="210"/>
        <v>PartsOther Expenses as % of Sales</v>
      </c>
      <c r="S2426" s="199"/>
      <c r="T2426" s="199"/>
      <c r="U2426" s="199"/>
    </row>
    <row r="2427" spans="1:21" x14ac:dyDescent="0.25">
      <c r="A2427" t="s">
        <v>996</v>
      </c>
      <c r="B2427" t="s">
        <v>997</v>
      </c>
      <c r="C2427" t="s">
        <v>997</v>
      </c>
      <c r="D2427">
        <v>7457</v>
      </c>
      <c r="E2427">
        <v>132</v>
      </c>
      <c r="F2427" t="s">
        <v>1321</v>
      </c>
      <c r="G2427" t="s">
        <v>1322</v>
      </c>
      <c r="H2427" s="315" t="s">
        <v>143</v>
      </c>
      <c r="I2427" s="315" t="s">
        <v>1286</v>
      </c>
      <c r="J2427" s="315" t="str">
        <f t="shared" si="206"/>
        <v>LEX PartsOther Expenses as % of Sales</v>
      </c>
      <c r="K2427" s="315" t="str">
        <f t="shared" si="207"/>
        <v>132Parts Other Expenses - Lexus</v>
      </c>
      <c r="L2427" s="311">
        <f>+SUMIF('TUNZ Extracted TB'!M:M,$P2427,'TUNZ Extracted TB'!G:G)</f>
        <v>0</v>
      </c>
      <c r="M2427" s="311"/>
      <c r="N2427" s="311">
        <f>+SUMIF('Input Sheet'!$AE:$AE,P2427,'Input Sheet'!$X:$X)</f>
        <v>0</v>
      </c>
      <c r="O2427" s="311"/>
      <c r="P2427" t="str">
        <f t="shared" si="208"/>
        <v>132-7457</v>
      </c>
      <c r="Q2427" s="315" t="str">
        <f t="shared" si="209"/>
        <v>LEX Parts</v>
      </c>
      <c r="R2427" s="315" t="str">
        <f t="shared" si="210"/>
        <v>LEX PartsOther Expenses as % of Sales</v>
      </c>
      <c r="S2427" s="199"/>
      <c r="T2427" s="199"/>
      <c r="U2427" s="199"/>
    </row>
    <row r="2428" spans="1:21" x14ac:dyDescent="0.25">
      <c r="A2428" t="s">
        <v>996</v>
      </c>
      <c r="B2428" t="s">
        <v>997</v>
      </c>
      <c r="C2428" t="s">
        <v>997</v>
      </c>
      <c r="D2428">
        <v>7457</v>
      </c>
      <c r="E2428">
        <v>162</v>
      </c>
      <c r="F2428" t="s">
        <v>1323</v>
      </c>
      <c r="G2428" t="s">
        <v>1324</v>
      </c>
      <c r="H2428" s="315" t="s">
        <v>142</v>
      </c>
      <c r="I2428" s="315" t="s">
        <v>1295</v>
      </c>
      <c r="J2428" s="315" t="str">
        <f t="shared" si="206"/>
        <v>LEX F&amp;IOther Expenses per vehicle retailed</v>
      </c>
      <c r="K2428" s="315" t="str">
        <f t="shared" si="207"/>
        <v>162F&amp;I Other expenses - Lexus</v>
      </c>
      <c r="L2428" s="311">
        <f>+SUMIF('TUNZ Extracted TB'!M:M,$P2428,'TUNZ Extracted TB'!G:G)</f>
        <v>0</v>
      </c>
      <c r="M2428" s="311"/>
      <c r="N2428" s="311">
        <f>+SUMIF('Input Sheet'!$AE:$AE,P2428,'Input Sheet'!$X:$X)</f>
        <v>0</v>
      </c>
      <c r="O2428" s="311"/>
      <c r="P2428" t="str">
        <f t="shared" si="208"/>
        <v>162-7457</v>
      </c>
      <c r="Q2428" s="315" t="str">
        <f t="shared" si="209"/>
        <v>LEX F&amp;I</v>
      </c>
      <c r="R2428" s="315" t="str">
        <f t="shared" si="210"/>
        <v>LEX F&amp;IOther Expenses per vehicle retailed</v>
      </c>
      <c r="S2428" s="199"/>
      <c r="T2428" s="199"/>
      <c r="U2428" s="199"/>
    </row>
    <row r="2429" spans="1:21" x14ac:dyDescent="0.25">
      <c r="A2429" t="s">
        <v>996</v>
      </c>
      <c r="B2429" t="s">
        <v>997</v>
      </c>
      <c r="C2429" t="s">
        <v>1005</v>
      </c>
      <c r="D2429">
        <v>7457</v>
      </c>
      <c r="E2429">
        <v>260</v>
      </c>
      <c r="F2429" t="s">
        <v>1293</v>
      </c>
      <c r="G2429" t="s">
        <v>1294</v>
      </c>
      <c r="H2429" s="315" t="s">
        <v>16</v>
      </c>
      <c r="I2429" s="315" t="s">
        <v>1295</v>
      </c>
      <c r="J2429" s="315" t="str">
        <f t="shared" si="206"/>
        <v>F&amp;IOther Expenses per vehicle retailed</v>
      </c>
      <c r="K2429" s="315" t="str">
        <f t="shared" si="207"/>
        <v>260F&amp;I Other expenses - Toyota</v>
      </c>
      <c r="L2429" s="311">
        <f>+SUMIF('TUNZ Extracted TB'!M:M,$P2429,'TUNZ Extracted TB'!G:G)</f>
        <v>0</v>
      </c>
      <c r="M2429" s="311"/>
      <c r="N2429" s="311">
        <f>+SUMIF('Input Sheet'!$AE:$AE,P2429,'Input Sheet'!$X:$X)</f>
        <v>0</v>
      </c>
      <c r="O2429" s="311"/>
      <c r="P2429" t="str">
        <f t="shared" si="208"/>
        <v>260-7457</v>
      </c>
      <c r="Q2429" s="315" t="str">
        <f t="shared" si="209"/>
        <v>F&amp;I</v>
      </c>
      <c r="R2429" s="315" t="str">
        <f t="shared" si="210"/>
        <v>F&amp;IOther Expenses per vehicle retailed</v>
      </c>
      <c r="S2429" s="199"/>
      <c r="T2429" s="199"/>
      <c r="U2429" s="199"/>
    </row>
    <row r="2430" spans="1:21" x14ac:dyDescent="0.25">
      <c r="A2430" t="s">
        <v>996</v>
      </c>
      <c r="B2430" t="s">
        <v>997</v>
      </c>
      <c r="C2430" t="s">
        <v>1012</v>
      </c>
      <c r="D2430">
        <v>7457</v>
      </c>
      <c r="E2430">
        <v>460</v>
      </c>
      <c r="F2430" t="s">
        <v>1293</v>
      </c>
      <c r="G2430" t="s">
        <v>1294</v>
      </c>
      <c r="H2430" s="315" t="s">
        <v>16</v>
      </c>
      <c r="I2430" s="315" t="s">
        <v>1295</v>
      </c>
      <c r="J2430" s="315" t="str">
        <f t="shared" si="206"/>
        <v>F&amp;IOther Expenses per vehicle retailed</v>
      </c>
      <c r="K2430" s="315" t="str">
        <f t="shared" si="207"/>
        <v>460F&amp;I Other expenses - Toyota</v>
      </c>
      <c r="L2430" s="311">
        <f>+SUMIF('TUNZ Extracted TB'!M:M,$P2430,'TUNZ Extracted TB'!G:G)</f>
        <v>0</v>
      </c>
      <c r="M2430" s="311"/>
      <c r="N2430" s="311">
        <f>+SUMIF('Input Sheet'!$AE:$AE,P2430,'Input Sheet'!$X:$X)</f>
        <v>0</v>
      </c>
      <c r="O2430" s="311"/>
      <c r="P2430" t="str">
        <f t="shared" si="208"/>
        <v>460-7457</v>
      </c>
      <c r="Q2430" s="315" t="str">
        <f t="shared" si="209"/>
        <v>F&amp;I</v>
      </c>
      <c r="R2430" s="315" t="str">
        <f t="shared" si="210"/>
        <v>F&amp;IOther Expenses per vehicle retailed</v>
      </c>
      <c r="S2430" s="199"/>
      <c r="T2430" s="199"/>
      <c r="U2430" s="199"/>
    </row>
    <row r="2431" spans="1:21" x14ac:dyDescent="0.25">
      <c r="A2431" t="s">
        <v>996</v>
      </c>
      <c r="B2431" t="s">
        <v>997</v>
      </c>
      <c r="C2431" t="s">
        <v>1013</v>
      </c>
      <c r="D2431">
        <v>7457</v>
      </c>
      <c r="E2431">
        <v>360</v>
      </c>
      <c r="F2431" t="s">
        <v>1293</v>
      </c>
      <c r="G2431" t="s">
        <v>1294</v>
      </c>
      <c r="H2431" s="315" t="s">
        <v>16</v>
      </c>
      <c r="I2431" s="315" t="s">
        <v>1295</v>
      </c>
      <c r="J2431" s="315" t="str">
        <f t="shared" si="206"/>
        <v>F&amp;IOther Expenses per vehicle retailed</v>
      </c>
      <c r="K2431" s="315" t="str">
        <f t="shared" si="207"/>
        <v>360F&amp;I Other expenses - Toyota</v>
      </c>
      <c r="L2431" s="311">
        <f>+SUMIF('TUNZ Extracted TB'!M:M,$P2431,'TUNZ Extracted TB'!G:G)</f>
        <v>0</v>
      </c>
      <c r="M2431" s="311"/>
      <c r="N2431" s="311">
        <f>+SUMIF('Input Sheet'!$AE:$AE,P2431,'Input Sheet'!$X:$X)</f>
        <v>0</v>
      </c>
      <c r="O2431" s="311"/>
      <c r="P2431" t="str">
        <f t="shared" si="208"/>
        <v>360-7457</v>
      </c>
      <c r="Q2431" s="315" t="str">
        <f t="shared" si="209"/>
        <v>F&amp;I</v>
      </c>
      <c r="R2431" s="315" t="str">
        <f t="shared" si="210"/>
        <v>F&amp;IOther Expenses per vehicle retailed</v>
      </c>
      <c r="S2431" s="199"/>
      <c r="T2431" s="199"/>
      <c r="U2431" s="199"/>
    </row>
    <row r="2432" spans="1:21" x14ac:dyDescent="0.25">
      <c r="A2432" t="s">
        <v>996</v>
      </c>
      <c r="B2432" t="s">
        <v>997</v>
      </c>
      <c r="C2432" t="s">
        <v>997</v>
      </c>
      <c r="D2432">
        <v>7457</v>
      </c>
      <c r="E2432">
        <v>122</v>
      </c>
      <c r="F2432" t="s">
        <v>1325</v>
      </c>
      <c r="G2432" t="s">
        <v>1326</v>
      </c>
      <c r="H2432" s="315" t="s">
        <v>1041</v>
      </c>
      <c r="I2432" s="315" t="s">
        <v>1327</v>
      </c>
      <c r="J2432" s="315" t="str">
        <f t="shared" si="206"/>
        <v>LEX Used VehicleOther Semi-Fixed expenses per retail</v>
      </c>
      <c r="K2432" s="315" t="str">
        <f t="shared" si="207"/>
        <v>122Lexus UV Other Semi-Fixed expenses</v>
      </c>
      <c r="L2432" s="311">
        <f>+SUMIF('TUNZ Extracted TB'!M:M,$P2432,'TUNZ Extracted TB'!G:G)</f>
        <v>0</v>
      </c>
      <c r="M2432" s="311"/>
      <c r="N2432" s="311">
        <f>+SUMIF('Input Sheet'!$AE:$AE,P2432,'Input Sheet'!$X:$X)</f>
        <v>0</v>
      </c>
      <c r="O2432" s="311"/>
      <c r="P2432" t="str">
        <f t="shared" si="208"/>
        <v>122-7457</v>
      </c>
      <c r="Q2432" s="315" t="str">
        <f t="shared" si="209"/>
        <v>LEX Used Vehicle</v>
      </c>
      <c r="R2432" s="315" t="str">
        <f t="shared" si="210"/>
        <v>LEX Used VehicleOther Semi-Fixed expenses per retail</v>
      </c>
      <c r="S2432" s="199"/>
      <c r="T2432" s="199"/>
      <c r="U2432" s="199"/>
    </row>
    <row r="2433" spans="1:21" x14ac:dyDescent="0.25">
      <c r="A2433" t="s">
        <v>996</v>
      </c>
      <c r="B2433" t="s">
        <v>997</v>
      </c>
      <c r="C2433" t="s">
        <v>997</v>
      </c>
      <c r="D2433">
        <v>7457</v>
      </c>
      <c r="E2433">
        <v>170</v>
      </c>
      <c r="F2433" t="s">
        <v>998</v>
      </c>
      <c r="G2433" t="s">
        <v>999</v>
      </c>
      <c r="H2433" s="315" t="s">
        <v>1000</v>
      </c>
      <c r="I2433" s="315" t="s">
        <v>1001</v>
      </c>
      <c r="J2433" s="315" t="str">
        <f t="shared" si="206"/>
        <v>Admin &amp; OtherOther Overheads as % of Total Gross Profit</v>
      </c>
      <c r="K2433" s="315" t="str">
        <f t="shared" si="207"/>
        <v>170Miscellaneous expenses - Toyota</v>
      </c>
      <c r="L2433" s="311">
        <f>+SUMIF('TUNZ Extracted TB'!M:M,$P2433,'TUNZ Extracted TB'!G:G)</f>
        <v>0</v>
      </c>
      <c r="M2433" s="311"/>
      <c r="N2433" s="311">
        <f>+SUMIF('Input Sheet'!$AE:$AE,P2433,'Input Sheet'!$X:$X)</f>
        <v>0</v>
      </c>
      <c r="O2433" s="311"/>
      <c r="P2433" t="str">
        <f t="shared" si="208"/>
        <v>170-7457</v>
      </c>
      <c r="Q2433" s="315" t="str">
        <f t="shared" si="209"/>
        <v>Admin &amp; Other</v>
      </c>
      <c r="R2433" s="315" t="str">
        <f t="shared" si="210"/>
        <v>Admin &amp; OtherOther Overheads as % of Total Gross Profit</v>
      </c>
      <c r="S2433" s="199"/>
      <c r="T2433" s="199"/>
      <c r="U2433" s="199"/>
    </row>
    <row r="2434" spans="1:21" x14ac:dyDescent="0.25">
      <c r="A2434" t="s">
        <v>996</v>
      </c>
      <c r="B2434" t="s">
        <v>997</v>
      </c>
      <c r="C2434" t="s">
        <v>997</v>
      </c>
      <c r="D2434">
        <v>7457</v>
      </c>
      <c r="E2434">
        <v>112</v>
      </c>
      <c r="F2434" t="s">
        <v>1362</v>
      </c>
      <c r="G2434" t="s">
        <v>1363</v>
      </c>
      <c r="H2434" s="315" t="s">
        <v>1011</v>
      </c>
      <c r="I2434" s="315" t="s">
        <v>1359</v>
      </c>
      <c r="J2434" s="315" t="str">
        <f t="shared" si="206"/>
        <v>LEX New VehicleOther Semi-Fixed Expenses p.u</v>
      </c>
      <c r="K2434" s="315" t="str">
        <f t="shared" si="207"/>
        <v>112Miscellaneous expenses - Lexus</v>
      </c>
      <c r="L2434" s="311">
        <f>+SUMIF('TUNZ Extracted TB'!M:M,$P2434,'TUNZ Extracted TB'!G:G)</f>
        <v>1148.03</v>
      </c>
      <c r="M2434" s="311"/>
      <c r="N2434" s="311">
        <f>+SUMIF('Input Sheet'!$AE:$AE,P2434,'Input Sheet'!$X:$X)</f>
        <v>0</v>
      </c>
      <c r="O2434" s="311"/>
      <c r="P2434" t="str">
        <f t="shared" si="208"/>
        <v>112-7457</v>
      </c>
      <c r="Q2434" s="315" t="str">
        <f t="shared" si="209"/>
        <v>LEX New Vehicle</v>
      </c>
      <c r="R2434" s="315" t="str">
        <f t="shared" si="210"/>
        <v>LEX New VehicleOther Semi-Fixed Expenses p.u</v>
      </c>
      <c r="S2434" s="199"/>
      <c r="T2434" s="199"/>
      <c r="U2434" s="199"/>
    </row>
    <row r="2435" spans="1:21" x14ac:dyDescent="0.25">
      <c r="A2435" t="s">
        <v>996</v>
      </c>
      <c r="B2435" t="s">
        <v>997</v>
      </c>
      <c r="C2435" t="s">
        <v>997</v>
      </c>
      <c r="D2435">
        <v>7457</v>
      </c>
      <c r="E2435">
        <v>100</v>
      </c>
      <c r="F2435" t="s">
        <v>1360</v>
      </c>
      <c r="G2435" t="s">
        <v>1361</v>
      </c>
      <c r="H2435" s="315" t="s">
        <v>29</v>
      </c>
      <c r="I2435" s="315" t="s">
        <v>1359</v>
      </c>
      <c r="J2435" s="315" t="str">
        <f t="shared" ref="J2435:J2498" si="211">+H2435&amp;I2435</f>
        <v>New VehicleOther Semi-Fixed Expenses p.u</v>
      </c>
      <c r="K2435" s="315" t="str">
        <f t="shared" ref="K2435:K2498" si="212">+E2435&amp;G2435</f>
        <v>100NV Other Semi-Fixed expenses - Toyota</v>
      </c>
      <c r="L2435" s="311">
        <f>+SUMIF('TUNZ Extracted TB'!M:M,$P2435,'TUNZ Extracted TB'!G:G)</f>
        <v>0</v>
      </c>
      <c r="M2435" s="311"/>
      <c r="N2435" s="311">
        <f>+SUMIF('Input Sheet'!$AE:$AE,P2435,'Input Sheet'!$X:$X)</f>
        <v>0</v>
      </c>
      <c r="O2435" s="311"/>
      <c r="P2435" t="str">
        <f t="shared" ref="P2435:P2498" si="213">+E2435&amp;"-"&amp;D2435</f>
        <v>100-7457</v>
      </c>
      <c r="Q2435" s="315" t="str">
        <f t="shared" ref="Q2435:Q2498" si="214">H2435</f>
        <v>New Vehicle</v>
      </c>
      <c r="R2435" s="315" t="str">
        <f t="shared" ref="R2435:R2498" si="215">J2435</f>
        <v>New VehicleOther Semi-Fixed Expenses p.u</v>
      </c>
      <c r="S2435" s="199"/>
      <c r="T2435" s="199"/>
      <c r="U2435" s="199"/>
    </row>
    <row r="2436" spans="1:21" x14ac:dyDescent="0.25">
      <c r="A2436" t="s">
        <v>996</v>
      </c>
      <c r="B2436" t="s">
        <v>997</v>
      </c>
      <c r="C2436" t="s">
        <v>1005</v>
      </c>
      <c r="D2436">
        <v>7550</v>
      </c>
      <c r="E2436">
        <v>210</v>
      </c>
      <c r="F2436" t="s">
        <v>1398</v>
      </c>
      <c r="G2436" t="s">
        <v>1399</v>
      </c>
      <c r="H2436" s="315" t="s">
        <v>29</v>
      </c>
      <c r="I2436" s="315" t="s">
        <v>1359</v>
      </c>
      <c r="J2436" s="315" t="str">
        <f t="shared" si="211"/>
        <v>New VehicleOther Semi-Fixed Expenses p.u</v>
      </c>
      <c r="K2436" s="315" t="str">
        <f t="shared" si="212"/>
        <v>210NV Training expense - Toyota</v>
      </c>
      <c r="L2436" s="311">
        <f>+SUMIF('TUNZ Extracted TB'!M:M,$P2436,'TUNZ Extracted TB'!G:G)</f>
        <v>0</v>
      </c>
      <c r="M2436" s="311"/>
      <c r="N2436" s="311">
        <f>+SUMIF('Input Sheet'!$AE:$AE,P2436,'Input Sheet'!$X:$X)</f>
        <v>0</v>
      </c>
      <c r="O2436" s="311"/>
      <c r="P2436" t="str">
        <f t="shared" si="213"/>
        <v>210-7550</v>
      </c>
      <c r="Q2436" s="315" t="str">
        <f t="shared" si="214"/>
        <v>New Vehicle</v>
      </c>
      <c r="R2436" s="315" t="str">
        <f t="shared" si="215"/>
        <v>New VehicleOther Semi-Fixed Expenses p.u</v>
      </c>
      <c r="S2436" s="199"/>
      <c r="T2436" s="199"/>
      <c r="U2436" s="199"/>
    </row>
    <row r="2437" spans="1:21" x14ac:dyDescent="0.25">
      <c r="A2437" t="s">
        <v>996</v>
      </c>
      <c r="B2437" t="s">
        <v>997</v>
      </c>
      <c r="C2437" t="s">
        <v>1013</v>
      </c>
      <c r="D2437">
        <v>7457</v>
      </c>
      <c r="E2437">
        <v>330</v>
      </c>
      <c r="F2437" t="s">
        <v>1291</v>
      </c>
      <c r="G2437" t="s">
        <v>1292</v>
      </c>
      <c r="H2437" s="315" t="s">
        <v>5</v>
      </c>
      <c r="I2437" s="315" t="s">
        <v>1286</v>
      </c>
      <c r="J2437" s="315" t="str">
        <f t="shared" si="211"/>
        <v>PartsOther Expenses as % of Sales</v>
      </c>
      <c r="K2437" s="315" t="str">
        <f t="shared" si="212"/>
        <v>330Parts Other Expenses - Toyota</v>
      </c>
      <c r="L2437" s="311">
        <f>+SUMIF('TUNZ Extracted TB'!M:M,$P2437,'TUNZ Extracted TB'!G:G)</f>
        <v>363.48</v>
      </c>
      <c r="M2437" s="311"/>
      <c r="N2437" s="311">
        <f>+SUMIF('Input Sheet'!$AE:$AE,P2437,'Input Sheet'!$X:$X)</f>
        <v>0</v>
      </c>
      <c r="O2437" s="311"/>
      <c r="P2437" t="str">
        <f t="shared" si="213"/>
        <v>330-7457</v>
      </c>
      <c r="Q2437" s="315" t="str">
        <f t="shared" si="214"/>
        <v>Parts</v>
      </c>
      <c r="R2437" s="315" t="str">
        <f t="shared" si="215"/>
        <v>PartsOther Expenses as % of Sales</v>
      </c>
      <c r="S2437" s="199"/>
      <c r="T2437" s="199"/>
      <c r="U2437" s="199"/>
    </row>
    <row r="2438" spans="1:21" x14ac:dyDescent="0.25">
      <c r="A2438" t="s">
        <v>996</v>
      </c>
      <c r="B2438" t="s">
        <v>997</v>
      </c>
      <c r="C2438" t="s">
        <v>997</v>
      </c>
      <c r="D2438">
        <v>7457</v>
      </c>
      <c r="E2438">
        <v>147</v>
      </c>
      <c r="F2438" t="s">
        <v>1289</v>
      </c>
      <c r="G2438" t="s">
        <v>1290</v>
      </c>
      <c r="H2438" s="315" t="s">
        <v>17</v>
      </c>
      <c r="I2438" s="315" t="s">
        <v>1286</v>
      </c>
      <c r="J2438" s="315" t="str">
        <f t="shared" si="211"/>
        <v>ServiceOther Expenses as % of Sales</v>
      </c>
      <c r="K2438" s="315" t="str">
        <f t="shared" si="212"/>
        <v>147Service Other expenses - Toyota</v>
      </c>
      <c r="L2438" s="311">
        <f>+SUMIF('TUNZ Extracted TB'!M:M,$P2438,'TUNZ Extracted TB'!G:G)</f>
        <v>0</v>
      </c>
      <c r="M2438" s="311"/>
      <c r="N2438" s="311">
        <f>+SUMIF('Input Sheet'!$AE:$AE,P2438,'Input Sheet'!$X:$X)</f>
        <v>0</v>
      </c>
      <c r="O2438" s="311"/>
      <c r="P2438" t="str">
        <f t="shared" si="213"/>
        <v>147-7457</v>
      </c>
      <c r="Q2438" s="315" t="str">
        <f t="shared" si="214"/>
        <v>Service</v>
      </c>
      <c r="R2438" s="315" t="str">
        <f t="shared" si="215"/>
        <v>ServiceOther Expenses as % of Sales</v>
      </c>
      <c r="S2438" s="199"/>
      <c r="T2438" s="199"/>
      <c r="U2438" s="199"/>
    </row>
    <row r="2439" spans="1:21" x14ac:dyDescent="0.25">
      <c r="A2439" t="s">
        <v>996</v>
      </c>
      <c r="B2439" t="s">
        <v>997</v>
      </c>
      <c r="C2439" t="s">
        <v>997</v>
      </c>
      <c r="D2439">
        <v>7457</v>
      </c>
      <c r="E2439">
        <v>121</v>
      </c>
      <c r="F2439" t="s">
        <v>1328</v>
      </c>
      <c r="G2439" t="s">
        <v>1329</v>
      </c>
      <c r="H2439" s="315" t="s">
        <v>30</v>
      </c>
      <c r="I2439" s="315" t="s">
        <v>1327</v>
      </c>
      <c r="J2439" s="315" t="str">
        <f t="shared" si="211"/>
        <v>Used VehicleOther Semi-Fixed expenses per retail</v>
      </c>
      <c r="K2439" s="315" t="str">
        <f t="shared" si="212"/>
        <v>121Toyota UV Other Semi-Fixed expenses</v>
      </c>
      <c r="L2439" s="311">
        <f>+SUMIF('TUNZ Extracted TB'!M:M,$P2439,'TUNZ Extracted TB'!G:G)</f>
        <v>0</v>
      </c>
      <c r="M2439" s="311"/>
      <c r="N2439" s="311">
        <f>+SUMIF('Input Sheet'!$AE:$AE,P2439,'Input Sheet'!$X:$X)</f>
        <v>0</v>
      </c>
      <c r="O2439" s="311"/>
      <c r="P2439" t="str">
        <f t="shared" si="213"/>
        <v>121-7457</v>
      </c>
      <c r="Q2439" s="315" t="str">
        <f t="shared" si="214"/>
        <v>Used Vehicle</v>
      </c>
      <c r="R2439" s="315" t="str">
        <f t="shared" si="215"/>
        <v>Used VehicleOther Semi-Fixed expenses per retail</v>
      </c>
      <c r="S2439" s="199"/>
      <c r="T2439" s="199"/>
      <c r="U2439" s="199"/>
    </row>
    <row r="2440" spans="1:21" x14ac:dyDescent="0.25">
      <c r="A2440" t="s">
        <v>996</v>
      </c>
      <c r="B2440" t="s">
        <v>997</v>
      </c>
      <c r="C2440" t="s">
        <v>1005</v>
      </c>
      <c r="D2440">
        <v>7457</v>
      </c>
      <c r="E2440">
        <v>221</v>
      </c>
      <c r="F2440" t="s">
        <v>1328</v>
      </c>
      <c r="G2440" t="s">
        <v>1329</v>
      </c>
      <c r="H2440" s="315" t="s">
        <v>30</v>
      </c>
      <c r="I2440" s="315" t="s">
        <v>1327</v>
      </c>
      <c r="J2440" s="315" t="str">
        <f t="shared" si="211"/>
        <v>Used VehicleOther Semi-Fixed expenses per retail</v>
      </c>
      <c r="K2440" s="315" t="str">
        <f t="shared" si="212"/>
        <v>221Toyota UV Other Semi-Fixed expenses</v>
      </c>
      <c r="L2440" s="311">
        <f>+SUMIF('TUNZ Extracted TB'!M:M,$P2440,'TUNZ Extracted TB'!G:G)</f>
        <v>0</v>
      </c>
      <c r="M2440" s="311"/>
      <c r="N2440" s="311">
        <f>+SUMIF('Input Sheet'!$AE:$AE,P2440,'Input Sheet'!$X:$X)</f>
        <v>0</v>
      </c>
      <c r="O2440" s="311"/>
      <c r="P2440" t="str">
        <f t="shared" si="213"/>
        <v>221-7457</v>
      </c>
      <c r="Q2440" s="315" t="str">
        <f t="shared" si="214"/>
        <v>Used Vehicle</v>
      </c>
      <c r="R2440" s="315" t="str">
        <f t="shared" si="215"/>
        <v>Used VehicleOther Semi-Fixed expenses per retail</v>
      </c>
      <c r="S2440" s="199"/>
      <c r="T2440" s="199"/>
      <c r="U2440" s="199"/>
    </row>
    <row r="2441" spans="1:21" x14ac:dyDescent="0.25">
      <c r="A2441" t="s">
        <v>996</v>
      </c>
      <c r="B2441" t="s">
        <v>997</v>
      </c>
      <c r="C2441" t="s">
        <v>1012</v>
      </c>
      <c r="D2441">
        <v>7457</v>
      </c>
      <c r="E2441">
        <v>410</v>
      </c>
      <c r="F2441" t="s">
        <v>1328</v>
      </c>
      <c r="G2441" t="s">
        <v>1329</v>
      </c>
      <c r="H2441" s="315" t="s">
        <v>30</v>
      </c>
      <c r="I2441" s="315" t="s">
        <v>1327</v>
      </c>
      <c r="J2441" s="315" t="str">
        <f t="shared" si="211"/>
        <v>Used VehicleOther Semi-Fixed expenses per retail</v>
      </c>
      <c r="K2441" s="315" t="str">
        <f t="shared" si="212"/>
        <v>410Toyota UV Other Semi-Fixed expenses</v>
      </c>
      <c r="L2441" s="311">
        <f>+SUMIF('TUNZ Extracted TB'!M:M,$P2441,'TUNZ Extracted TB'!G:G)</f>
        <v>0</v>
      </c>
      <c r="M2441" s="311"/>
      <c r="N2441" s="311">
        <f>+SUMIF('Input Sheet'!$AE:$AE,P2441,'Input Sheet'!$X:$X)</f>
        <v>0</v>
      </c>
      <c r="O2441" s="311"/>
      <c r="P2441" t="str">
        <f t="shared" si="213"/>
        <v>410-7457</v>
      </c>
      <c r="Q2441" s="315" t="str">
        <f t="shared" si="214"/>
        <v>Used Vehicle</v>
      </c>
      <c r="R2441" s="315" t="str">
        <f t="shared" si="215"/>
        <v>Used VehicleOther Semi-Fixed expenses per retail</v>
      </c>
      <c r="S2441" s="199"/>
      <c r="T2441" s="199"/>
      <c r="U2441" s="199"/>
    </row>
    <row r="2442" spans="1:21" x14ac:dyDescent="0.25">
      <c r="A2442" t="s">
        <v>996</v>
      </c>
      <c r="B2442" t="s">
        <v>997</v>
      </c>
      <c r="C2442" t="s">
        <v>1012</v>
      </c>
      <c r="D2442">
        <v>7457</v>
      </c>
      <c r="E2442">
        <v>420</v>
      </c>
      <c r="F2442" t="s">
        <v>1328</v>
      </c>
      <c r="G2442" t="s">
        <v>1329</v>
      </c>
      <c r="H2442" s="315" t="s">
        <v>30</v>
      </c>
      <c r="I2442" s="315" t="s">
        <v>1327</v>
      </c>
      <c r="J2442" s="315" t="str">
        <f t="shared" si="211"/>
        <v>Used VehicleOther Semi-Fixed expenses per retail</v>
      </c>
      <c r="K2442" s="315" t="str">
        <f t="shared" si="212"/>
        <v>420Toyota UV Other Semi-Fixed expenses</v>
      </c>
      <c r="L2442" s="311">
        <f>+SUMIF('TUNZ Extracted TB'!M:M,$P2442,'TUNZ Extracted TB'!G:G)</f>
        <v>0</v>
      </c>
      <c r="M2442" s="311"/>
      <c r="N2442" s="311">
        <f>+SUMIF('Input Sheet'!$AE:$AE,P2442,'Input Sheet'!$X:$X)</f>
        <v>0</v>
      </c>
      <c r="O2442" s="311"/>
      <c r="P2442" t="str">
        <f t="shared" si="213"/>
        <v>420-7457</v>
      </c>
      <c r="Q2442" s="315" t="str">
        <f t="shared" si="214"/>
        <v>Used Vehicle</v>
      </c>
      <c r="R2442" s="315" t="str">
        <f t="shared" si="215"/>
        <v>Used VehicleOther Semi-Fixed expenses per retail</v>
      </c>
      <c r="S2442" s="199"/>
      <c r="T2442" s="199"/>
      <c r="U2442" s="199"/>
    </row>
    <row r="2443" spans="1:21" x14ac:dyDescent="0.25">
      <c r="A2443" t="s">
        <v>996</v>
      </c>
      <c r="B2443" t="s">
        <v>997</v>
      </c>
      <c r="C2443" t="s">
        <v>1012</v>
      </c>
      <c r="D2443">
        <v>7457</v>
      </c>
      <c r="E2443">
        <v>421</v>
      </c>
      <c r="F2443" t="s">
        <v>1328</v>
      </c>
      <c r="G2443" t="s">
        <v>1329</v>
      </c>
      <c r="H2443" s="315" t="s">
        <v>30</v>
      </c>
      <c r="I2443" s="315" t="s">
        <v>1327</v>
      </c>
      <c r="J2443" s="315" t="str">
        <f t="shared" si="211"/>
        <v>Used VehicleOther Semi-Fixed expenses per retail</v>
      </c>
      <c r="K2443" s="315" t="str">
        <f t="shared" si="212"/>
        <v>421Toyota UV Other Semi-Fixed expenses</v>
      </c>
      <c r="L2443" s="311">
        <f>+SUMIF('TUNZ Extracted TB'!M:M,$P2443,'TUNZ Extracted TB'!G:G)</f>
        <v>0</v>
      </c>
      <c r="M2443" s="311"/>
      <c r="N2443" s="311">
        <f>+SUMIF('Input Sheet'!$AE:$AE,P2443,'Input Sheet'!$X:$X)</f>
        <v>0</v>
      </c>
      <c r="O2443" s="311"/>
      <c r="P2443" t="str">
        <f t="shared" si="213"/>
        <v>421-7457</v>
      </c>
      <c r="Q2443" s="315" t="str">
        <f t="shared" si="214"/>
        <v>Used Vehicle</v>
      </c>
      <c r="R2443" s="315" t="str">
        <f t="shared" si="215"/>
        <v>Used VehicleOther Semi-Fixed expenses per retail</v>
      </c>
      <c r="S2443" s="199"/>
      <c r="T2443" s="199"/>
      <c r="U2443" s="199"/>
    </row>
    <row r="2444" spans="1:21" x14ac:dyDescent="0.25">
      <c r="A2444" t="s">
        <v>996</v>
      </c>
      <c r="B2444" t="s">
        <v>997</v>
      </c>
      <c r="C2444" t="s">
        <v>1013</v>
      </c>
      <c r="D2444">
        <v>7457</v>
      </c>
      <c r="E2444">
        <v>310</v>
      </c>
      <c r="F2444" t="s">
        <v>1328</v>
      </c>
      <c r="G2444" t="s">
        <v>1329</v>
      </c>
      <c r="H2444" s="315" t="s">
        <v>30</v>
      </c>
      <c r="I2444" s="315" t="s">
        <v>1327</v>
      </c>
      <c r="J2444" s="315" t="str">
        <f t="shared" si="211"/>
        <v>Used VehicleOther Semi-Fixed expenses per retail</v>
      </c>
      <c r="K2444" s="315" t="str">
        <f t="shared" si="212"/>
        <v>310Toyota UV Other Semi-Fixed expenses</v>
      </c>
      <c r="L2444" s="311">
        <f>+SUMIF('TUNZ Extracted TB'!M:M,$P2444,'TUNZ Extracted TB'!G:G)</f>
        <v>0</v>
      </c>
      <c r="M2444" s="311"/>
      <c r="N2444" s="311">
        <f>+SUMIF('Input Sheet'!$AE:$AE,P2444,'Input Sheet'!$X:$X)</f>
        <v>0</v>
      </c>
      <c r="O2444" s="311"/>
      <c r="P2444" t="str">
        <f t="shared" si="213"/>
        <v>310-7457</v>
      </c>
      <c r="Q2444" s="315" t="str">
        <f t="shared" si="214"/>
        <v>Used Vehicle</v>
      </c>
      <c r="R2444" s="315" t="str">
        <f t="shared" si="215"/>
        <v>Used VehicleOther Semi-Fixed expenses per retail</v>
      </c>
      <c r="S2444" s="199"/>
      <c r="T2444" s="199"/>
      <c r="U2444" s="199"/>
    </row>
    <row r="2445" spans="1:21" x14ac:dyDescent="0.25">
      <c r="A2445" t="s">
        <v>996</v>
      </c>
      <c r="B2445" t="s">
        <v>997</v>
      </c>
      <c r="C2445" t="s">
        <v>1013</v>
      </c>
      <c r="D2445">
        <v>7457</v>
      </c>
      <c r="E2445">
        <v>321</v>
      </c>
      <c r="F2445" t="s">
        <v>1328</v>
      </c>
      <c r="G2445" t="s">
        <v>1329</v>
      </c>
      <c r="H2445" s="315" t="s">
        <v>30</v>
      </c>
      <c r="I2445" s="315" t="s">
        <v>1327</v>
      </c>
      <c r="J2445" s="315" t="str">
        <f t="shared" si="211"/>
        <v>Used VehicleOther Semi-Fixed expenses per retail</v>
      </c>
      <c r="K2445" s="315" t="str">
        <f t="shared" si="212"/>
        <v>321Toyota UV Other Semi-Fixed expenses</v>
      </c>
      <c r="L2445" s="311">
        <f>+SUMIF('TUNZ Extracted TB'!M:M,$P2445,'TUNZ Extracted TB'!G:G)</f>
        <v>0</v>
      </c>
      <c r="M2445" s="311"/>
      <c r="N2445" s="311">
        <f>+SUMIF('Input Sheet'!$AE:$AE,P2445,'Input Sheet'!$X:$X)</f>
        <v>0</v>
      </c>
      <c r="O2445" s="311"/>
      <c r="P2445" t="str">
        <f t="shared" si="213"/>
        <v>321-7457</v>
      </c>
      <c r="Q2445" s="315" t="str">
        <f t="shared" si="214"/>
        <v>Used Vehicle</v>
      </c>
      <c r="R2445" s="315" t="str">
        <f t="shared" si="215"/>
        <v>Used VehicleOther Semi-Fixed expenses per retail</v>
      </c>
      <c r="S2445" s="199"/>
      <c r="T2445" s="199"/>
      <c r="U2445" s="199"/>
    </row>
    <row r="2446" spans="1:21" x14ac:dyDescent="0.25">
      <c r="A2446" t="s">
        <v>996</v>
      </c>
      <c r="B2446" t="s">
        <v>997</v>
      </c>
      <c r="C2446" t="s">
        <v>1005</v>
      </c>
      <c r="D2446">
        <v>7550</v>
      </c>
      <c r="E2446">
        <v>200</v>
      </c>
      <c r="F2446" t="s">
        <v>1398</v>
      </c>
      <c r="G2446" t="s">
        <v>1399</v>
      </c>
      <c r="H2446" s="315" t="s">
        <v>29</v>
      </c>
      <c r="I2446" s="315" t="s">
        <v>1359</v>
      </c>
      <c r="J2446" s="315" t="str">
        <f t="shared" si="211"/>
        <v>New VehicleOther Semi-Fixed Expenses p.u</v>
      </c>
      <c r="K2446" s="315" t="str">
        <f t="shared" si="212"/>
        <v>200NV Training expense - Toyota</v>
      </c>
      <c r="L2446" s="311">
        <f>+SUMIF('TUNZ Extracted TB'!M:M,$P2446,'TUNZ Extracted TB'!G:G)</f>
        <v>0</v>
      </c>
      <c r="M2446" s="311"/>
      <c r="N2446" s="311">
        <f>+SUMIF('Input Sheet'!$AE:$AE,P2446,'Input Sheet'!$X:$X)</f>
        <v>0</v>
      </c>
      <c r="O2446" s="311"/>
      <c r="P2446" t="str">
        <f t="shared" si="213"/>
        <v>200-7550</v>
      </c>
      <c r="Q2446" s="315" t="str">
        <f t="shared" si="214"/>
        <v>New Vehicle</v>
      </c>
      <c r="R2446" s="315" t="str">
        <f t="shared" si="215"/>
        <v>New VehicleOther Semi-Fixed Expenses p.u</v>
      </c>
      <c r="S2446" s="199"/>
      <c r="T2446" s="199"/>
      <c r="U2446" s="199"/>
    </row>
    <row r="2447" spans="1:21" x14ac:dyDescent="0.25">
      <c r="A2447" t="s">
        <v>996</v>
      </c>
      <c r="B2447" t="s">
        <v>997</v>
      </c>
      <c r="C2447" t="s">
        <v>1012</v>
      </c>
      <c r="D2447">
        <v>7550</v>
      </c>
      <c r="E2447">
        <v>400</v>
      </c>
      <c r="F2447" t="s">
        <v>1398</v>
      </c>
      <c r="G2447" t="s">
        <v>1399</v>
      </c>
      <c r="H2447" s="315" t="s">
        <v>29</v>
      </c>
      <c r="I2447" s="315" t="s">
        <v>1359</v>
      </c>
      <c r="J2447" s="315" t="str">
        <f t="shared" si="211"/>
        <v>New VehicleOther Semi-Fixed Expenses p.u</v>
      </c>
      <c r="K2447" s="315" t="str">
        <f t="shared" si="212"/>
        <v>400NV Training expense - Toyota</v>
      </c>
      <c r="L2447" s="311">
        <f>+SUMIF('TUNZ Extracted TB'!M:M,$P2447,'TUNZ Extracted TB'!G:G)</f>
        <v>0</v>
      </c>
      <c r="M2447" s="311"/>
      <c r="N2447" s="311">
        <f>+SUMIF('Input Sheet'!$AE:$AE,P2447,'Input Sheet'!$X:$X)</f>
        <v>0</v>
      </c>
      <c r="O2447" s="311"/>
      <c r="P2447" t="str">
        <f t="shared" si="213"/>
        <v>400-7550</v>
      </c>
      <c r="Q2447" s="315" t="str">
        <f t="shared" si="214"/>
        <v>New Vehicle</v>
      </c>
      <c r="R2447" s="315" t="str">
        <f t="shared" si="215"/>
        <v>New VehicleOther Semi-Fixed Expenses p.u</v>
      </c>
      <c r="S2447" s="199"/>
      <c r="T2447" s="199"/>
      <c r="U2447" s="199"/>
    </row>
    <row r="2448" spans="1:21" x14ac:dyDescent="0.25">
      <c r="A2448" t="s">
        <v>996</v>
      </c>
      <c r="B2448" t="s">
        <v>997</v>
      </c>
      <c r="C2448" t="s">
        <v>1013</v>
      </c>
      <c r="D2448">
        <v>7550</v>
      </c>
      <c r="E2448">
        <v>300</v>
      </c>
      <c r="F2448" t="s">
        <v>1398</v>
      </c>
      <c r="G2448" t="s">
        <v>1399</v>
      </c>
      <c r="H2448" s="315" t="s">
        <v>29</v>
      </c>
      <c r="I2448" s="315" t="s">
        <v>1359</v>
      </c>
      <c r="J2448" s="315" t="str">
        <f t="shared" si="211"/>
        <v>New VehicleOther Semi-Fixed Expenses p.u</v>
      </c>
      <c r="K2448" s="315" t="str">
        <f t="shared" si="212"/>
        <v>300NV Training expense - Toyota</v>
      </c>
      <c r="L2448" s="311">
        <f>+SUMIF('TUNZ Extracted TB'!M:M,$P2448,'TUNZ Extracted TB'!G:G)</f>
        <v>0</v>
      </c>
      <c r="M2448" s="311"/>
      <c r="N2448" s="311">
        <f>+SUMIF('Input Sheet'!$AE:$AE,P2448,'Input Sheet'!$X:$X)</f>
        <v>0</v>
      </c>
      <c r="O2448" s="311"/>
      <c r="P2448" t="str">
        <f t="shared" si="213"/>
        <v>300-7550</v>
      </c>
      <c r="Q2448" s="315" t="str">
        <f t="shared" si="214"/>
        <v>New Vehicle</v>
      </c>
      <c r="R2448" s="315" t="str">
        <f t="shared" si="215"/>
        <v>New VehicleOther Semi-Fixed Expenses p.u</v>
      </c>
      <c r="S2448" s="199"/>
      <c r="T2448" s="199"/>
      <c r="U2448" s="199"/>
    </row>
    <row r="2449" spans="1:21" x14ac:dyDescent="0.25">
      <c r="A2449" t="s">
        <v>996</v>
      </c>
      <c r="B2449" t="s">
        <v>997</v>
      </c>
      <c r="C2449" t="s">
        <v>1012</v>
      </c>
      <c r="D2449">
        <v>7458</v>
      </c>
      <c r="E2449">
        <v>440</v>
      </c>
      <c r="F2449" t="s">
        <v>1289</v>
      </c>
      <c r="G2449" t="s">
        <v>1290</v>
      </c>
      <c r="H2449" s="315" t="s">
        <v>17</v>
      </c>
      <c r="I2449" s="315" t="s">
        <v>1286</v>
      </c>
      <c r="J2449" s="315" t="str">
        <f t="shared" si="211"/>
        <v>ServiceOther Expenses as % of Sales</v>
      </c>
      <c r="K2449" s="315" t="str">
        <f t="shared" si="212"/>
        <v>440Service Other expenses - Toyota</v>
      </c>
      <c r="L2449" s="311">
        <f>+SUMIF('TUNZ Extracted TB'!M:M,$P2449,'TUNZ Extracted TB'!G:G)</f>
        <v>0</v>
      </c>
      <c r="M2449" s="311"/>
      <c r="N2449" s="311">
        <f>+SUMIF('Input Sheet'!$AE:$AE,P2449,'Input Sheet'!$X:$X)</f>
        <v>0</v>
      </c>
      <c r="O2449" s="311"/>
      <c r="P2449" t="str">
        <f t="shared" si="213"/>
        <v>440-7458</v>
      </c>
      <c r="Q2449" s="315" t="str">
        <f t="shared" si="214"/>
        <v>Service</v>
      </c>
      <c r="R2449" s="315" t="str">
        <f t="shared" si="215"/>
        <v>ServiceOther Expenses as % of Sales</v>
      </c>
      <c r="S2449" s="199"/>
      <c r="T2449" s="199"/>
      <c r="U2449" s="199"/>
    </row>
    <row r="2450" spans="1:21" x14ac:dyDescent="0.25">
      <c r="A2450" t="s">
        <v>996</v>
      </c>
      <c r="B2450" t="s">
        <v>997</v>
      </c>
      <c r="C2450" t="s">
        <v>997</v>
      </c>
      <c r="D2450">
        <v>7458</v>
      </c>
      <c r="E2450">
        <v>935</v>
      </c>
      <c r="F2450" t="s">
        <v>1175</v>
      </c>
      <c r="G2450" t="s">
        <v>1176</v>
      </c>
      <c r="H2450" s="315" t="s">
        <v>58</v>
      </c>
      <c r="I2450" s="315" t="s">
        <v>1286</v>
      </c>
      <c r="J2450" s="315" t="str">
        <f t="shared" si="211"/>
        <v>BridgestoneOther Expenses as % of Sales</v>
      </c>
      <c r="K2450" s="315" t="str">
        <f t="shared" si="212"/>
        <v>935Other franchise/business expense</v>
      </c>
      <c r="L2450" s="311">
        <f>+SUMIF('TUNZ Extracted TB'!M:M,$P2450,'TUNZ Extracted TB'!G:G)</f>
        <v>355.43</v>
      </c>
      <c r="M2450" s="311"/>
      <c r="N2450" s="311">
        <f>+SUMIF('Input Sheet'!$AE:$AE,P2450,'Input Sheet'!$X:$X)</f>
        <v>0</v>
      </c>
      <c r="O2450" s="311"/>
      <c r="P2450" t="str">
        <f t="shared" si="213"/>
        <v>935-7458</v>
      </c>
      <c r="Q2450" s="315" t="str">
        <f t="shared" si="214"/>
        <v>Bridgestone</v>
      </c>
      <c r="R2450" s="315" t="str">
        <f t="shared" si="215"/>
        <v>BridgestoneOther Expenses as % of Sales</v>
      </c>
      <c r="S2450" s="199"/>
      <c r="T2450" s="199"/>
      <c r="U2450" s="199"/>
    </row>
    <row r="2451" spans="1:21" x14ac:dyDescent="0.25">
      <c r="A2451" s="316">
        <v>44835</v>
      </c>
      <c r="B2451" t="s">
        <v>997</v>
      </c>
      <c r="C2451" t="s">
        <v>997</v>
      </c>
      <c r="D2451">
        <v>7458</v>
      </c>
      <c r="E2451">
        <v>190</v>
      </c>
      <c r="G2451" t="s">
        <v>973</v>
      </c>
      <c r="H2451" s="315" t="s">
        <v>1000</v>
      </c>
      <c r="I2451" s="315" t="s">
        <v>1001</v>
      </c>
      <c r="J2451" s="315" t="str">
        <f t="shared" si="211"/>
        <v>Admin &amp; OtherOther Overheads as % of Total Gross Profit</v>
      </c>
      <c r="K2451" s="315" t="str">
        <f t="shared" si="212"/>
        <v>190Special Tools</v>
      </c>
      <c r="L2451" s="311">
        <f>+SUMIF('TUNZ Extracted TB'!M:M,$P2451,'TUNZ Extracted TB'!G:G)</f>
        <v>0</v>
      </c>
      <c r="M2451" s="311"/>
      <c r="N2451" s="311">
        <f>+SUMIF('Input Sheet'!$AE:$AE,P2451,'Input Sheet'!$X:$X)</f>
        <v>0</v>
      </c>
      <c r="O2451" s="311"/>
      <c r="P2451" t="str">
        <f t="shared" si="213"/>
        <v>190-7458</v>
      </c>
      <c r="Q2451" s="315" t="str">
        <f t="shared" si="214"/>
        <v>Admin &amp; Other</v>
      </c>
      <c r="R2451" s="315" t="str">
        <f t="shared" si="215"/>
        <v>Admin &amp; OtherOther Overheads as % of Total Gross Profit</v>
      </c>
      <c r="S2451" s="199"/>
      <c r="T2451" s="199"/>
      <c r="U2451" s="199"/>
    </row>
    <row r="2452" spans="1:21" x14ac:dyDescent="0.25">
      <c r="A2452" s="316">
        <v>44958</v>
      </c>
      <c r="B2452" t="s">
        <v>997</v>
      </c>
      <c r="C2452" t="s">
        <v>997</v>
      </c>
      <c r="D2452">
        <v>7458</v>
      </c>
      <c r="E2452">
        <v>150</v>
      </c>
      <c r="G2452" t="s">
        <v>973</v>
      </c>
      <c r="H2452" s="315" t="s">
        <v>145</v>
      </c>
      <c r="I2452" s="315" t="s">
        <v>1286</v>
      </c>
      <c r="J2452" s="315" t="str">
        <f t="shared" si="211"/>
        <v>Retail DetailingOther Expenses as % of Sales</v>
      </c>
      <c r="K2452" s="315" t="str">
        <f t="shared" si="212"/>
        <v>150Special Tools</v>
      </c>
      <c r="L2452" s="311">
        <f>+SUMIF('TUNZ Extracted TB'!M:M,$P2452,'TUNZ Extracted TB'!G:G)</f>
        <v>139.13999999999999</v>
      </c>
      <c r="M2452" s="311"/>
      <c r="N2452" s="311">
        <f>+SUMIF('Input Sheet'!$AE:$AE,P2452,'Input Sheet'!$X:$X)</f>
        <v>0</v>
      </c>
      <c r="O2452" s="311"/>
      <c r="P2452" t="str">
        <f t="shared" si="213"/>
        <v>150-7458</v>
      </c>
      <c r="Q2452" s="315" t="str">
        <f t="shared" si="214"/>
        <v>Retail Detailing</v>
      </c>
      <c r="R2452" s="315" t="str">
        <f t="shared" si="215"/>
        <v>Retail DetailingOther Expenses as % of Sales</v>
      </c>
      <c r="S2452" s="199"/>
      <c r="T2452" s="199"/>
      <c r="U2452" s="199"/>
    </row>
    <row r="2453" spans="1:21" x14ac:dyDescent="0.25">
      <c r="A2453" t="s">
        <v>996</v>
      </c>
      <c r="B2453" t="s">
        <v>997</v>
      </c>
      <c r="C2453" t="s">
        <v>997</v>
      </c>
      <c r="D2453">
        <v>7458</v>
      </c>
      <c r="E2453">
        <v>140</v>
      </c>
      <c r="F2453" t="s">
        <v>1289</v>
      </c>
      <c r="G2453" t="s">
        <v>1290</v>
      </c>
      <c r="H2453" s="315" t="s">
        <v>17</v>
      </c>
      <c r="I2453" s="315" t="s">
        <v>1286</v>
      </c>
      <c r="J2453" s="315" t="str">
        <f t="shared" si="211"/>
        <v>ServiceOther Expenses as % of Sales</v>
      </c>
      <c r="K2453" s="315" t="str">
        <f t="shared" si="212"/>
        <v>140Service Other expenses - Toyota</v>
      </c>
      <c r="L2453" s="311">
        <f>+SUMIF('TUNZ Extracted TB'!M:M,$P2453,'TUNZ Extracted TB'!G:G)</f>
        <v>322</v>
      </c>
      <c r="M2453" s="311"/>
      <c r="N2453" s="311">
        <f>+SUMIF('Input Sheet'!$AE:$AE,P2453,'Input Sheet'!$X:$X)</f>
        <v>0</v>
      </c>
      <c r="O2453" s="311"/>
      <c r="P2453" t="str">
        <f t="shared" si="213"/>
        <v>140-7458</v>
      </c>
      <c r="Q2453" s="315" t="str">
        <f t="shared" si="214"/>
        <v>Service</v>
      </c>
      <c r="R2453" s="315" t="str">
        <f t="shared" si="215"/>
        <v>ServiceOther Expenses as % of Sales</v>
      </c>
      <c r="S2453" s="199"/>
      <c r="T2453" s="199"/>
      <c r="U2453" s="199"/>
    </row>
    <row r="2454" spans="1:21" x14ac:dyDescent="0.25">
      <c r="A2454" t="s">
        <v>996</v>
      </c>
      <c r="B2454" t="s">
        <v>997</v>
      </c>
      <c r="C2454" t="s">
        <v>997</v>
      </c>
      <c r="D2454">
        <v>7458</v>
      </c>
      <c r="E2454">
        <v>142</v>
      </c>
      <c r="F2454" t="s">
        <v>1284</v>
      </c>
      <c r="G2454" t="s">
        <v>1285</v>
      </c>
      <c r="H2454" s="315" t="s">
        <v>1022</v>
      </c>
      <c r="I2454" s="315" t="s">
        <v>1286</v>
      </c>
      <c r="J2454" s="315" t="str">
        <f t="shared" si="211"/>
        <v>Lex ServiceOther Expenses as % of Sales</v>
      </c>
      <c r="K2454" s="315" t="str">
        <f t="shared" si="212"/>
        <v>142Service Other expenses - Lexus</v>
      </c>
      <c r="L2454" s="311">
        <f>+SUMIF('TUNZ Extracted TB'!M:M,$P2454,'TUNZ Extracted TB'!G:G)</f>
        <v>0</v>
      </c>
      <c r="M2454" s="311"/>
      <c r="N2454" s="311">
        <f>+SUMIF('Input Sheet'!$AE:$AE,P2454,'Input Sheet'!$X:$X)</f>
        <v>0</v>
      </c>
      <c r="O2454" s="311"/>
      <c r="P2454" t="str">
        <f t="shared" si="213"/>
        <v>142-7458</v>
      </c>
      <c r="Q2454" s="315" t="str">
        <f t="shared" si="214"/>
        <v>Lex Service</v>
      </c>
      <c r="R2454" s="315" t="str">
        <f t="shared" si="215"/>
        <v>Lex ServiceOther Expenses as % of Sales</v>
      </c>
      <c r="S2454" s="199"/>
      <c r="T2454" s="199"/>
      <c r="U2454" s="199"/>
    </row>
    <row r="2455" spans="1:21" x14ac:dyDescent="0.25">
      <c r="A2455" t="s">
        <v>996</v>
      </c>
      <c r="B2455" t="s">
        <v>997</v>
      </c>
      <c r="C2455" t="s">
        <v>997</v>
      </c>
      <c r="D2455">
        <v>7458</v>
      </c>
      <c r="E2455">
        <v>130</v>
      </c>
      <c r="F2455" t="s">
        <v>1291</v>
      </c>
      <c r="G2455" t="s">
        <v>1292</v>
      </c>
      <c r="H2455" s="315" t="s">
        <v>5</v>
      </c>
      <c r="I2455" s="315" t="s">
        <v>1286</v>
      </c>
      <c r="J2455" s="315" t="str">
        <f t="shared" si="211"/>
        <v>PartsOther Expenses as % of Sales</v>
      </c>
      <c r="K2455" s="315" t="str">
        <f t="shared" si="212"/>
        <v>130Parts Other Expenses - Toyota</v>
      </c>
      <c r="L2455" s="311">
        <f>+SUMIF('TUNZ Extracted TB'!M:M,$P2455,'TUNZ Extracted TB'!G:G)</f>
        <v>0</v>
      </c>
      <c r="M2455" s="311"/>
      <c r="N2455" s="311">
        <f>+SUMIF('Input Sheet'!$AE:$AE,P2455,'Input Sheet'!$X:$X)</f>
        <v>0</v>
      </c>
      <c r="O2455" s="311"/>
      <c r="P2455" t="str">
        <f t="shared" si="213"/>
        <v>130-7458</v>
      </c>
      <c r="Q2455" s="315" t="str">
        <f t="shared" si="214"/>
        <v>Parts</v>
      </c>
      <c r="R2455" s="315" t="str">
        <f t="shared" si="215"/>
        <v>PartsOther Expenses as % of Sales</v>
      </c>
      <c r="S2455" s="199"/>
      <c r="T2455" s="199"/>
      <c r="U2455" s="199"/>
    </row>
    <row r="2456" spans="1:21" x14ac:dyDescent="0.25">
      <c r="A2456" t="s">
        <v>996</v>
      </c>
      <c r="B2456" t="s">
        <v>997</v>
      </c>
      <c r="C2456" t="s">
        <v>1005</v>
      </c>
      <c r="D2456">
        <v>7458</v>
      </c>
      <c r="E2456">
        <v>260</v>
      </c>
      <c r="F2456" t="s">
        <v>1293</v>
      </c>
      <c r="G2456" t="s">
        <v>1294</v>
      </c>
      <c r="H2456" s="315" t="s">
        <v>16</v>
      </c>
      <c r="I2456" s="315" t="s">
        <v>1295</v>
      </c>
      <c r="J2456" s="315" t="str">
        <f t="shared" si="211"/>
        <v>F&amp;IOther Expenses per vehicle retailed</v>
      </c>
      <c r="K2456" s="315" t="str">
        <f t="shared" si="212"/>
        <v>260F&amp;I Other expenses - Toyota</v>
      </c>
      <c r="L2456" s="311">
        <f>+SUMIF('TUNZ Extracted TB'!M:M,$P2456,'TUNZ Extracted TB'!G:G)</f>
        <v>0</v>
      </c>
      <c r="M2456" s="311"/>
      <c r="N2456" s="311">
        <f>+SUMIF('Input Sheet'!$AE:$AE,P2456,'Input Sheet'!$X:$X)</f>
        <v>0</v>
      </c>
      <c r="O2456" s="311"/>
      <c r="P2456" t="str">
        <f t="shared" si="213"/>
        <v>260-7458</v>
      </c>
      <c r="Q2456" s="315" t="str">
        <f t="shared" si="214"/>
        <v>F&amp;I</v>
      </c>
      <c r="R2456" s="315" t="str">
        <f t="shared" si="215"/>
        <v>F&amp;IOther Expenses per vehicle retailed</v>
      </c>
      <c r="S2456" s="199"/>
      <c r="T2456" s="199"/>
      <c r="U2456" s="199"/>
    </row>
    <row r="2457" spans="1:21" x14ac:dyDescent="0.25">
      <c r="A2457" t="s">
        <v>996</v>
      </c>
      <c r="B2457" t="s">
        <v>997</v>
      </c>
      <c r="C2457" t="s">
        <v>1012</v>
      </c>
      <c r="D2457">
        <v>7458</v>
      </c>
      <c r="E2457">
        <v>460</v>
      </c>
      <c r="F2457" t="s">
        <v>1293</v>
      </c>
      <c r="G2457" t="s">
        <v>1294</v>
      </c>
      <c r="H2457" s="315" t="s">
        <v>16</v>
      </c>
      <c r="I2457" s="315" t="s">
        <v>1295</v>
      </c>
      <c r="J2457" s="315" t="str">
        <f t="shared" si="211"/>
        <v>F&amp;IOther Expenses per vehicle retailed</v>
      </c>
      <c r="K2457" s="315" t="str">
        <f t="shared" si="212"/>
        <v>460F&amp;I Other expenses - Toyota</v>
      </c>
      <c r="L2457" s="311">
        <f>+SUMIF('TUNZ Extracted TB'!M:M,$P2457,'TUNZ Extracted TB'!G:G)</f>
        <v>0</v>
      </c>
      <c r="M2457" s="311"/>
      <c r="N2457" s="311">
        <f>+SUMIF('Input Sheet'!$AE:$AE,P2457,'Input Sheet'!$X:$X)</f>
        <v>0</v>
      </c>
      <c r="O2457" s="311"/>
      <c r="P2457" t="str">
        <f t="shared" si="213"/>
        <v>460-7458</v>
      </c>
      <c r="Q2457" s="315" t="str">
        <f t="shared" si="214"/>
        <v>F&amp;I</v>
      </c>
      <c r="R2457" s="315" t="str">
        <f t="shared" si="215"/>
        <v>F&amp;IOther Expenses per vehicle retailed</v>
      </c>
      <c r="S2457" s="199"/>
      <c r="T2457" s="199"/>
      <c r="U2457" s="199"/>
    </row>
    <row r="2458" spans="1:21" x14ac:dyDescent="0.25">
      <c r="A2458" t="s">
        <v>996</v>
      </c>
      <c r="B2458" t="s">
        <v>997</v>
      </c>
      <c r="C2458" t="s">
        <v>1013</v>
      </c>
      <c r="D2458">
        <v>7458</v>
      </c>
      <c r="E2458">
        <v>360</v>
      </c>
      <c r="F2458" t="s">
        <v>1293</v>
      </c>
      <c r="G2458" t="s">
        <v>1294</v>
      </c>
      <c r="H2458" s="315" t="s">
        <v>16</v>
      </c>
      <c r="I2458" s="315" t="s">
        <v>1295</v>
      </c>
      <c r="J2458" s="315" t="str">
        <f t="shared" si="211"/>
        <v>F&amp;IOther Expenses per vehicle retailed</v>
      </c>
      <c r="K2458" s="315" t="str">
        <f t="shared" si="212"/>
        <v>360F&amp;I Other expenses - Toyota</v>
      </c>
      <c r="L2458" s="311">
        <f>+SUMIF('TUNZ Extracted TB'!M:M,$P2458,'TUNZ Extracted TB'!G:G)</f>
        <v>0</v>
      </c>
      <c r="M2458" s="311"/>
      <c r="N2458" s="311">
        <f>+SUMIF('Input Sheet'!$AE:$AE,P2458,'Input Sheet'!$X:$X)</f>
        <v>0</v>
      </c>
      <c r="O2458" s="311"/>
      <c r="P2458" t="str">
        <f t="shared" si="213"/>
        <v>360-7458</v>
      </c>
      <c r="Q2458" s="315" t="str">
        <f t="shared" si="214"/>
        <v>F&amp;I</v>
      </c>
      <c r="R2458" s="315" t="str">
        <f t="shared" si="215"/>
        <v>F&amp;IOther Expenses per vehicle retailed</v>
      </c>
      <c r="S2458" s="199"/>
      <c r="T2458" s="199"/>
      <c r="U2458" s="199"/>
    </row>
    <row r="2459" spans="1:21" x14ac:dyDescent="0.25">
      <c r="A2459" t="s">
        <v>996</v>
      </c>
      <c r="B2459" t="s">
        <v>997</v>
      </c>
      <c r="C2459" t="s">
        <v>997</v>
      </c>
      <c r="D2459">
        <v>7458</v>
      </c>
      <c r="E2459">
        <v>120</v>
      </c>
      <c r="F2459" t="s">
        <v>998</v>
      </c>
      <c r="G2459" t="s">
        <v>999</v>
      </c>
      <c r="H2459" s="315" t="s">
        <v>1000</v>
      </c>
      <c r="I2459" s="315" t="s">
        <v>1001</v>
      </c>
      <c r="J2459" s="315" t="str">
        <f t="shared" si="211"/>
        <v>Admin &amp; OtherOther Overheads as % of Total Gross Profit</v>
      </c>
      <c r="K2459" s="315" t="str">
        <f t="shared" si="212"/>
        <v>120Miscellaneous expenses - Toyota</v>
      </c>
      <c r="L2459" s="311">
        <f>+SUMIF('TUNZ Extracted TB'!M:M,$P2459,'TUNZ Extracted TB'!G:G)</f>
        <v>0</v>
      </c>
      <c r="M2459" s="311"/>
      <c r="N2459" s="311">
        <f>+SUMIF('Input Sheet'!$AE:$AE,P2459,'Input Sheet'!$X:$X)</f>
        <v>0</v>
      </c>
      <c r="O2459" s="311"/>
      <c r="P2459" t="str">
        <f t="shared" si="213"/>
        <v>120-7458</v>
      </c>
      <c r="Q2459" s="315" t="str">
        <f t="shared" si="214"/>
        <v>Admin &amp; Other</v>
      </c>
      <c r="R2459" s="315" t="str">
        <f t="shared" si="215"/>
        <v>Admin &amp; OtherOther Overheads as % of Total Gross Profit</v>
      </c>
      <c r="S2459" s="199"/>
      <c r="T2459" s="199"/>
      <c r="U2459" s="199"/>
    </row>
    <row r="2460" spans="1:21" x14ac:dyDescent="0.25">
      <c r="A2460" t="s">
        <v>996</v>
      </c>
      <c r="B2460" t="s">
        <v>997</v>
      </c>
      <c r="C2460" t="s">
        <v>1012</v>
      </c>
      <c r="D2460">
        <v>7458</v>
      </c>
      <c r="E2460">
        <v>400</v>
      </c>
      <c r="F2460" t="s">
        <v>998</v>
      </c>
      <c r="G2460" t="s">
        <v>999</v>
      </c>
      <c r="H2460" s="315" t="s">
        <v>1000</v>
      </c>
      <c r="I2460" s="315" t="s">
        <v>1001</v>
      </c>
      <c r="J2460" s="315" t="str">
        <f t="shared" si="211"/>
        <v>Admin &amp; OtherOther Overheads as % of Total Gross Profit</v>
      </c>
      <c r="K2460" s="315" t="str">
        <f t="shared" si="212"/>
        <v>400Miscellaneous expenses - Toyota</v>
      </c>
      <c r="L2460" s="311">
        <f>+SUMIF('TUNZ Extracted TB'!M:M,$P2460,'TUNZ Extracted TB'!G:G)</f>
        <v>0</v>
      </c>
      <c r="M2460" s="311"/>
      <c r="N2460" s="311">
        <f>+SUMIF('Input Sheet'!$AE:$AE,P2460,'Input Sheet'!$X:$X)</f>
        <v>0</v>
      </c>
      <c r="O2460" s="311"/>
      <c r="P2460" t="str">
        <f t="shared" si="213"/>
        <v>400-7458</v>
      </c>
      <c r="Q2460" s="315" t="str">
        <f t="shared" si="214"/>
        <v>Admin &amp; Other</v>
      </c>
      <c r="R2460" s="315" t="str">
        <f t="shared" si="215"/>
        <v>Admin &amp; OtherOther Overheads as % of Total Gross Profit</v>
      </c>
      <c r="S2460" s="199"/>
      <c r="T2460" s="199"/>
      <c r="U2460" s="199"/>
    </row>
    <row r="2461" spans="1:21" x14ac:dyDescent="0.25">
      <c r="A2461" t="s">
        <v>996</v>
      </c>
      <c r="B2461" t="s">
        <v>997</v>
      </c>
      <c r="C2461" t="s">
        <v>1012</v>
      </c>
      <c r="D2461">
        <v>7458</v>
      </c>
      <c r="E2461">
        <v>410</v>
      </c>
      <c r="F2461" t="s">
        <v>998</v>
      </c>
      <c r="G2461" t="s">
        <v>999</v>
      </c>
      <c r="H2461" s="315" t="s">
        <v>1000</v>
      </c>
      <c r="I2461" s="315" t="s">
        <v>1001</v>
      </c>
      <c r="J2461" s="315" t="str">
        <f t="shared" si="211"/>
        <v>Admin &amp; OtherOther Overheads as % of Total Gross Profit</v>
      </c>
      <c r="K2461" s="315" t="str">
        <f t="shared" si="212"/>
        <v>410Miscellaneous expenses - Toyota</v>
      </c>
      <c r="L2461" s="311">
        <f>+SUMIF('TUNZ Extracted TB'!M:M,$P2461,'TUNZ Extracted TB'!G:G)</f>
        <v>0</v>
      </c>
      <c r="M2461" s="311"/>
      <c r="N2461" s="311">
        <f>+SUMIF('Input Sheet'!$AE:$AE,P2461,'Input Sheet'!$X:$X)</f>
        <v>0</v>
      </c>
      <c r="O2461" s="311"/>
      <c r="P2461" t="str">
        <f t="shared" si="213"/>
        <v>410-7458</v>
      </c>
      <c r="Q2461" s="315" t="str">
        <f t="shared" si="214"/>
        <v>Admin &amp; Other</v>
      </c>
      <c r="R2461" s="315" t="str">
        <f t="shared" si="215"/>
        <v>Admin &amp; OtherOther Overheads as % of Total Gross Profit</v>
      </c>
      <c r="S2461" s="199"/>
      <c r="T2461" s="199"/>
      <c r="U2461" s="199"/>
    </row>
    <row r="2462" spans="1:21" x14ac:dyDescent="0.25">
      <c r="A2462" t="s">
        <v>996</v>
      </c>
      <c r="B2462" t="s">
        <v>997</v>
      </c>
      <c r="C2462" t="s">
        <v>1013</v>
      </c>
      <c r="D2462">
        <v>7458</v>
      </c>
      <c r="E2462">
        <v>300</v>
      </c>
      <c r="F2462" t="s">
        <v>998</v>
      </c>
      <c r="G2462" t="s">
        <v>999</v>
      </c>
      <c r="H2462" s="315" t="s">
        <v>1000</v>
      </c>
      <c r="I2462" s="315" t="s">
        <v>1001</v>
      </c>
      <c r="J2462" s="315" t="str">
        <f t="shared" si="211"/>
        <v>Admin &amp; OtherOther Overheads as % of Total Gross Profit</v>
      </c>
      <c r="K2462" s="315" t="str">
        <f t="shared" si="212"/>
        <v>300Miscellaneous expenses - Toyota</v>
      </c>
      <c r="L2462" s="311">
        <f>+SUMIF('TUNZ Extracted TB'!M:M,$P2462,'TUNZ Extracted TB'!G:G)</f>
        <v>0</v>
      </c>
      <c r="M2462" s="311"/>
      <c r="N2462" s="311">
        <f>+SUMIF('Input Sheet'!$AE:$AE,P2462,'Input Sheet'!$X:$X)</f>
        <v>0</v>
      </c>
      <c r="O2462" s="311"/>
      <c r="P2462" t="str">
        <f t="shared" si="213"/>
        <v>300-7458</v>
      </c>
      <c r="Q2462" s="315" t="str">
        <f t="shared" si="214"/>
        <v>Admin &amp; Other</v>
      </c>
      <c r="R2462" s="315" t="str">
        <f t="shared" si="215"/>
        <v>Admin &amp; OtherOther Overheads as % of Total Gross Profit</v>
      </c>
      <c r="S2462" s="199"/>
      <c r="T2462" s="199"/>
      <c r="U2462" s="199"/>
    </row>
    <row r="2463" spans="1:21" x14ac:dyDescent="0.25">
      <c r="A2463" t="s">
        <v>996</v>
      </c>
      <c r="B2463" t="s">
        <v>997</v>
      </c>
      <c r="C2463" t="s">
        <v>1013</v>
      </c>
      <c r="D2463">
        <v>7458</v>
      </c>
      <c r="E2463">
        <v>310</v>
      </c>
      <c r="F2463" t="s">
        <v>998</v>
      </c>
      <c r="G2463" t="s">
        <v>999</v>
      </c>
      <c r="H2463" s="315" t="s">
        <v>1000</v>
      </c>
      <c r="I2463" s="315" t="s">
        <v>1001</v>
      </c>
      <c r="J2463" s="315" t="str">
        <f t="shared" si="211"/>
        <v>Admin &amp; OtherOther Overheads as % of Total Gross Profit</v>
      </c>
      <c r="K2463" s="315" t="str">
        <f t="shared" si="212"/>
        <v>310Miscellaneous expenses - Toyota</v>
      </c>
      <c r="L2463" s="311">
        <f>+SUMIF('TUNZ Extracted TB'!M:M,$P2463,'TUNZ Extracted TB'!G:G)</f>
        <v>0</v>
      </c>
      <c r="M2463" s="311"/>
      <c r="N2463" s="311">
        <f>+SUMIF('Input Sheet'!$AE:$AE,P2463,'Input Sheet'!$X:$X)</f>
        <v>0</v>
      </c>
      <c r="O2463" s="311"/>
      <c r="P2463" t="str">
        <f t="shared" si="213"/>
        <v>310-7458</v>
      </c>
      <c r="Q2463" s="315" t="str">
        <f t="shared" si="214"/>
        <v>Admin &amp; Other</v>
      </c>
      <c r="R2463" s="315" t="str">
        <f t="shared" si="215"/>
        <v>Admin &amp; OtherOther Overheads as % of Total Gross Profit</v>
      </c>
      <c r="S2463" s="199"/>
      <c r="T2463" s="199"/>
      <c r="U2463" s="199"/>
    </row>
    <row r="2464" spans="1:21" x14ac:dyDescent="0.25">
      <c r="A2464" t="s">
        <v>996</v>
      </c>
      <c r="B2464" t="s">
        <v>997</v>
      </c>
      <c r="C2464" t="s">
        <v>997</v>
      </c>
      <c r="D2464">
        <v>7458</v>
      </c>
      <c r="E2464">
        <v>170</v>
      </c>
      <c r="F2464" t="s">
        <v>998</v>
      </c>
      <c r="G2464" t="s">
        <v>999</v>
      </c>
      <c r="H2464" s="315" t="s">
        <v>1000</v>
      </c>
      <c r="I2464" s="315" t="s">
        <v>1001</v>
      </c>
      <c r="J2464" s="315" t="str">
        <f t="shared" si="211"/>
        <v>Admin &amp; OtherOther Overheads as % of Total Gross Profit</v>
      </c>
      <c r="K2464" s="315" t="str">
        <f t="shared" si="212"/>
        <v>170Miscellaneous expenses - Toyota</v>
      </c>
      <c r="L2464" s="311">
        <f>+SUMIF('TUNZ Extracted TB'!M:M,$P2464,'TUNZ Extracted TB'!G:G)</f>
        <v>0</v>
      </c>
      <c r="M2464" s="311"/>
      <c r="N2464" s="311">
        <f>+SUMIF('Input Sheet'!$AE:$AE,P2464,'Input Sheet'!$X:$X)</f>
        <v>0</v>
      </c>
      <c r="O2464" s="311"/>
      <c r="P2464" t="str">
        <f t="shared" si="213"/>
        <v>170-7458</v>
      </c>
      <c r="Q2464" s="315" t="str">
        <f t="shared" si="214"/>
        <v>Admin &amp; Other</v>
      </c>
      <c r="R2464" s="315" t="str">
        <f t="shared" si="215"/>
        <v>Admin &amp; OtherOther Overheads as % of Total Gross Profit</v>
      </c>
      <c r="S2464" s="199"/>
      <c r="T2464" s="199"/>
      <c r="U2464" s="199"/>
    </row>
    <row r="2465" spans="1:21" x14ac:dyDescent="0.25">
      <c r="A2465" t="s">
        <v>996</v>
      </c>
      <c r="B2465" t="s">
        <v>997</v>
      </c>
      <c r="C2465" t="s">
        <v>997</v>
      </c>
      <c r="D2465">
        <v>7458</v>
      </c>
      <c r="E2465">
        <v>936</v>
      </c>
      <c r="F2465" t="s">
        <v>1175</v>
      </c>
      <c r="G2465" t="s">
        <v>1176</v>
      </c>
      <c r="H2465" s="315" t="s">
        <v>58</v>
      </c>
      <c r="I2465" s="315" t="s">
        <v>1286</v>
      </c>
      <c r="J2465" s="315" t="str">
        <f t="shared" si="211"/>
        <v>BridgestoneOther Expenses as % of Sales</v>
      </c>
      <c r="K2465" s="315" t="str">
        <f t="shared" si="212"/>
        <v>936Other franchise/business expense</v>
      </c>
      <c r="L2465" s="311">
        <f>+SUMIF('TUNZ Extracted TB'!M:M,$P2465,'TUNZ Extracted TB'!G:G)</f>
        <v>0</v>
      </c>
      <c r="M2465" s="311"/>
      <c r="N2465" s="311">
        <f>+SUMIF('Input Sheet'!$AE:$AE,P2465,'Input Sheet'!$X:$X)</f>
        <v>0</v>
      </c>
      <c r="O2465" s="311"/>
      <c r="P2465" t="str">
        <f t="shared" si="213"/>
        <v>936-7458</v>
      </c>
      <c r="Q2465" s="315" t="str">
        <f t="shared" si="214"/>
        <v>Bridgestone</v>
      </c>
      <c r="R2465" s="315" t="str">
        <f t="shared" si="215"/>
        <v>BridgestoneOther Expenses as % of Sales</v>
      </c>
      <c r="S2465" s="199"/>
      <c r="T2465" s="199"/>
      <c r="U2465" s="199"/>
    </row>
    <row r="2466" spans="1:21" x14ac:dyDescent="0.25">
      <c r="A2466" t="s">
        <v>996</v>
      </c>
      <c r="B2466" t="s">
        <v>997</v>
      </c>
      <c r="C2466" t="s">
        <v>1005</v>
      </c>
      <c r="D2466">
        <v>7458</v>
      </c>
      <c r="E2466">
        <v>230</v>
      </c>
      <c r="F2466" t="s">
        <v>1291</v>
      </c>
      <c r="G2466" t="s">
        <v>1292</v>
      </c>
      <c r="H2466" s="315" t="s">
        <v>5</v>
      </c>
      <c r="I2466" s="315" t="s">
        <v>1286</v>
      </c>
      <c r="J2466" s="315" t="str">
        <f t="shared" si="211"/>
        <v>PartsOther Expenses as % of Sales</v>
      </c>
      <c r="K2466" s="315" t="str">
        <f t="shared" si="212"/>
        <v>230Parts Other Expenses - Toyota</v>
      </c>
      <c r="L2466" s="311">
        <f>+SUMIF('TUNZ Extracted TB'!M:M,$P2466,'TUNZ Extracted TB'!G:G)</f>
        <v>0</v>
      </c>
      <c r="M2466" s="311"/>
      <c r="N2466" s="311">
        <f>+SUMIF('Input Sheet'!$AE:$AE,P2466,'Input Sheet'!$X:$X)</f>
        <v>0</v>
      </c>
      <c r="O2466" s="311"/>
      <c r="P2466" t="str">
        <f t="shared" si="213"/>
        <v>230-7458</v>
      </c>
      <c r="Q2466" s="315" t="str">
        <f t="shared" si="214"/>
        <v>Parts</v>
      </c>
      <c r="R2466" s="315" t="str">
        <f t="shared" si="215"/>
        <v>PartsOther Expenses as % of Sales</v>
      </c>
      <c r="S2466" s="199"/>
      <c r="T2466" s="199"/>
      <c r="U2466" s="199"/>
    </row>
    <row r="2467" spans="1:21" x14ac:dyDescent="0.25">
      <c r="A2467" t="s">
        <v>996</v>
      </c>
      <c r="B2467" t="s">
        <v>997</v>
      </c>
      <c r="C2467" t="s">
        <v>1013</v>
      </c>
      <c r="D2467">
        <v>7458</v>
      </c>
      <c r="E2467">
        <v>330</v>
      </c>
      <c r="F2467" t="s">
        <v>1291</v>
      </c>
      <c r="G2467" t="s">
        <v>1292</v>
      </c>
      <c r="H2467" s="315" t="s">
        <v>5</v>
      </c>
      <c r="I2467" s="315" t="s">
        <v>1286</v>
      </c>
      <c r="J2467" s="315" t="str">
        <f t="shared" si="211"/>
        <v>PartsOther Expenses as % of Sales</v>
      </c>
      <c r="K2467" s="315" t="str">
        <f t="shared" si="212"/>
        <v>330Parts Other Expenses - Toyota</v>
      </c>
      <c r="L2467" s="311">
        <f>+SUMIF('TUNZ Extracted TB'!M:M,$P2467,'TUNZ Extracted TB'!G:G)</f>
        <v>0</v>
      </c>
      <c r="M2467" s="311"/>
      <c r="N2467" s="311">
        <f>+SUMIF('Input Sheet'!$AE:$AE,P2467,'Input Sheet'!$X:$X)</f>
        <v>0</v>
      </c>
      <c r="O2467" s="311"/>
      <c r="P2467" t="str">
        <f t="shared" si="213"/>
        <v>330-7458</v>
      </c>
      <c r="Q2467" s="315" t="str">
        <f t="shared" si="214"/>
        <v>Parts</v>
      </c>
      <c r="R2467" s="315" t="str">
        <f t="shared" si="215"/>
        <v>PartsOther Expenses as % of Sales</v>
      </c>
      <c r="S2467" s="199"/>
      <c r="T2467" s="199"/>
      <c r="U2467" s="199"/>
    </row>
    <row r="2468" spans="1:21" x14ac:dyDescent="0.25">
      <c r="A2468" t="s">
        <v>996</v>
      </c>
      <c r="B2468" t="s">
        <v>997</v>
      </c>
      <c r="C2468" t="s">
        <v>997</v>
      </c>
      <c r="D2468">
        <v>7458</v>
      </c>
      <c r="E2468">
        <v>147</v>
      </c>
      <c r="F2468" t="s">
        <v>1289</v>
      </c>
      <c r="G2468" t="s">
        <v>1290</v>
      </c>
      <c r="H2468" s="315" t="s">
        <v>17</v>
      </c>
      <c r="I2468" s="315" t="s">
        <v>1286</v>
      </c>
      <c r="J2468" s="315" t="str">
        <f t="shared" si="211"/>
        <v>ServiceOther Expenses as % of Sales</v>
      </c>
      <c r="K2468" s="315" t="str">
        <f t="shared" si="212"/>
        <v>147Service Other expenses - Toyota</v>
      </c>
      <c r="L2468" s="311">
        <f>+SUMIF('TUNZ Extracted TB'!M:M,$P2468,'TUNZ Extracted TB'!G:G)</f>
        <v>0</v>
      </c>
      <c r="M2468" s="311"/>
      <c r="N2468" s="311">
        <f>+SUMIF('Input Sheet'!$AE:$AE,P2468,'Input Sheet'!$X:$X)</f>
        <v>0</v>
      </c>
      <c r="O2468" s="311"/>
      <c r="P2468" t="str">
        <f t="shared" si="213"/>
        <v>147-7458</v>
      </c>
      <c r="Q2468" s="315" t="str">
        <f t="shared" si="214"/>
        <v>Service</v>
      </c>
      <c r="R2468" s="315" t="str">
        <f t="shared" si="215"/>
        <v>ServiceOther Expenses as % of Sales</v>
      </c>
      <c r="S2468" s="199"/>
      <c r="T2468" s="199"/>
      <c r="U2468" s="199"/>
    </row>
    <row r="2469" spans="1:21" x14ac:dyDescent="0.25">
      <c r="A2469" t="s">
        <v>996</v>
      </c>
      <c r="B2469" t="s">
        <v>997</v>
      </c>
      <c r="C2469" t="s">
        <v>1005</v>
      </c>
      <c r="D2469">
        <v>7458</v>
      </c>
      <c r="E2469">
        <v>240</v>
      </c>
      <c r="F2469" t="s">
        <v>1289</v>
      </c>
      <c r="G2469" t="s">
        <v>1290</v>
      </c>
      <c r="H2469" s="315" t="s">
        <v>17</v>
      </c>
      <c r="I2469" s="315" t="s">
        <v>1286</v>
      </c>
      <c r="J2469" s="315" t="str">
        <f t="shared" si="211"/>
        <v>ServiceOther Expenses as % of Sales</v>
      </c>
      <c r="K2469" s="315" t="str">
        <f t="shared" si="212"/>
        <v>240Service Other expenses - Toyota</v>
      </c>
      <c r="L2469" s="311">
        <f>+SUMIF('TUNZ Extracted TB'!M:M,$P2469,'TUNZ Extracted TB'!G:G)</f>
        <v>0</v>
      </c>
      <c r="M2469" s="311"/>
      <c r="N2469" s="311">
        <f>+SUMIF('Input Sheet'!$AE:$AE,P2469,'Input Sheet'!$X:$X)</f>
        <v>0</v>
      </c>
      <c r="O2469" s="311"/>
      <c r="P2469" t="str">
        <f t="shared" si="213"/>
        <v>240-7458</v>
      </c>
      <c r="Q2469" s="315" t="str">
        <f t="shared" si="214"/>
        <v>Service</v>
      </c>
      <c r="R2469" s="315" t="str">
        <f t="shared" si="215"/>
        <v>ServiceOther Expenses as % of Sales</v>
      </c>
      <c r="S2469" s="199"/>
      <c r="T2469" s="199"/>
      <c r="U2469" s="199"/>
    </row>
    <row r="2470" spans="1:21" x14ac:dyDescent="0.25">
      <c r="A2470" t="s">
        <v>996</v>
      </c>
      <c r="B2470" t="s">
        <v>997</v>
      </c>
      <c r="C2470" t="s">
        <v>1013</v>
      </c>
      <c r="D2470">
        <v>7458</v>
      </c>
      <c r="E2470">
        <v>340</v>
      </c>
      <c r="F2470" t="s">
        <v>1289</v>
      </c>
      <c r="G2470" t="s">
        <v>1290</v>
      </c>
      <c r="H2470" s="315" t="s">
        <v>17</v>
      </c>
      <c r="I2470" s="315" t="s">
        <v>1286</v>
      </c>
      <c r="J2470" s="315" t="str">
        <f t="shared" si="211"/>
        <v>ServiceOther Expenses as % of Sales</v>
      </c>
      <c r="K2470" s="315" t="str">
        <f t="shared" si="212"/>
        <v>340Service Other expenses - Toyota</v>
      </c>
      <c r="L2470" s="311">
        <f>+SUMIF('TUNZ Extracted TB'!M:M,$P2470,'TUNZ Extracted TB'!G:G)</f>
        <v>0</v>
      </c>
      <c r="M2470" s="311"/>
      <c r="N2470" s="311">
        <f>+SUMIF('Input Sheet'!$AE:$AE,P2470,'Input Sheet'!$X:$X)</f>
        <v>0</v>
      </c>
      <c r="O2470" s="311"/>
      <c r="P2470" t="str">
        <f t="shared" si="213"/>
        <v>340-7458</v>
      </c>
      <c r="Q2470" s="315" t="str">
        <f t="shared" si="214"/>
        <v>Service</v>
      </c>
      <c r="R2470" s="315" t="str">
        <f t="shared" si="215"/>
        <v>ServiceOther Expenses as % of Sales</v>
      </c>
      <c r="S2470" s="199"/>
      <c r="T2470" s="199"/>
      <c r="U2470" s="199"/>
    </row>
    <row r="2471" spans="1:21" x14ac:dyDescent="0.25">
      <c r="A2471" t="s">
        <v>996</v>
      </c>
      <c r="B2471" t="s">
        <v>997</v>
      </c>
      <c r="C2471" t="s">
        <v>1012</v>
      </c>
      <c r="D2471">
        <v>7470</v>
      </c>
      <c r="E2471">
        <v>430</v>
      </c>
      <c r="F2471" t="s">
        <v>1400</v>
      </c>
      <c r="G2471" t="s">
        <v>1401</v>
      </c>
      <c r="H2471" s="315" t="s">
        <v>1000</v>
      </c>
      <c r="I2471" s="315" t="s">
        <v>1370</v>
      </c>
      <c r="J2471" s="315" t="str">
        <f t="shared" si="211"/>
        <v>Admin &amp; OtherR&amp;M and Cleaning as % of Total Gross Profit</v>
      </c>
      <c r="K2471" s="315" t="str">
        <f t="shared" si="212"/>
        <v>430Cleaning &amp; Security - Toyota</v>
      </c>
      <c r="L2471" s="311">
        <f>+SUMIF('TUNZ Extracted TB'!M:M,$P2471,'TUNZ Extracted TB'!G:G)</f>
        <v>1940.06</v>
      </c>
      <c r="M2471" s="311"/>
      <c r="N2471" s="311">
        <f>+SUMIF('Input Sheet'!$AE:$AE,P2471,'Input Sheet'!$X:$X)</f>
        <v>0</v>
      </c>
      <c r="O2471" s="311"/>
      <c r="P2471" t="str">
        <f t="shared" si="213"/>
        <v>430-7470</v>
      </c>
      <c r="Q2471" s="315" t="str">
        <f t="shared" si="214"/>
        <v>Admin &amp; Other</v>
      </c>
      <c r="R2471" s="315" t="str">
        <f t="shared" si="215"/>
        <v>Admin &amp; OtherR&amp;M and Cleaning as % of Total Gross Profit</v>
      </c>
      <c r="S2471" s="199"/>
      <c r="T2471" s="199"/>
      <c r="U2471" s="199"/>
    </row>
    <row r="2472" spans="1:21" x14ac:dyDescent="0.25">
      <c r="A2472" t="s">
        <v>996</v>
      </c>
      <c r="B2472" t="s">
        <v>997</v>
      </c>
      <c r="C2472" t="s">
        <v>1012</v>
      </c>
      <c r="D2472">
        <v>7470</v>
      </c>
      <c r="E2472">
        <v>440</v>
      </c>
      <c r="F2472" t="s">
        <v>1400</v>
      </c>
      <c r="G2472" t="s">
        <v>1401</v>
      </c>
      <c r="H2472" s="315" t="s">
        <v>1000</v>
      </c>
      <c r="I2472" s="315" t="s">
        <v>1370</v>
      </c>
      <c r="J2472" s="315" t="str">
        <f t="shared" si="211"/>
        <v>Admin &amp; OtherR&amp;M and Cleaning as % of Total Gross Profit</v>
      </c>
      <c r="K2472" s="315" t="str">
        <f t="shared" si="212"/>
        <v>440Cleaning &amp; Security - Toyota</v>
      </c>
      <c r="L2472" s="311">
        <f>+SUMIF('TUNZ Extracted TB'!M:M,$P2472,'TUNZ Extracted TB'!G:G)</f>
        <v>1932.22</v>
      </c>
      <c r="M2472" s="311"/>
      <c r="N2472" s="311">
        <f>+SUMIF('Input Sheet'!$AE:$AE,P2472,'Input Sheet'!$X:$X)</f>
        <v>0</v>
      </c>
      <c r="O2472" s="311"/>
      <c r="P2472" t="str">
        <f t="shared" si="213"/>
        <v>440-7470</v>
      </c>
      <c r="Q2472" s="315" t="str">
        <f t="shared" si="214"/>
        <v>Admin &amp; Other</v>
      </c>
      <c r="R2472" s="315" t="str">
        <f t="shared" si="215"/>
        <v>Admin &amp; OtherR&amp;M and Cleaning as % of Total Gross Profit</v>
      </c>
      <c r="S2472" s="199"/>
      <c r="T2472" s="199"/>
      <c r="U2472" s="199"/>
    </row>
    <row r="2473" spans="1:21" x14ac:dyDescent="0.25">
      <c r="A2473" t="s">
        <v>996</v>
      </c>
      <c r="B2473" t="s">
        <v>997</v>
      </c>
      <c r="C2473" t="s">
        <v>997</v>
      </c>
      <c r="D2473">
        <v>7470</v>
      </c>
      <c r="E2473">
        <v>120</v>
      </c>
      <c r="F2473" t="s">
        <v>1400</v>
      </c>
      <c r="G2473" t="s">
        <v>1401</v>
      </c>
      <c r="H2473" s="315" t="s">
        <v>1000</v>
      </c>
      <c r="I2473" s="315" t="s">
        <v>1370</v>
      </c>
      <c r="J2473" s="315" t="str">
        <f t="shared" si="211"/>
        <v>Admin &amp; OtherR&amp;M and Cleaning as % of Total Gross Profit</v>
      </c>
      <c r="K2473" s="315" t="str">
        <f t="shared" si="212"/>
        <v>120Cleaning &amp; Security - Toyota</v>
      </c>
      <c r="L2473" s="311">
        <f>+SUMIF('TUNZ Extracted TB'!M:M,$P2473,'TUNZ Extracted TB'!G:G)</f>
        <v>2294.9499999999998</v>
      </c>
      <c r="M2473" s="311"/>
      <c r="N2473" s="311">
        <f>+SUMIF('Input Sheet'!$AE:$AE,P2473,'Input Sheet'!$X:$X)</f>
        <v>0</v>
      </c>
      <c r="O2473" s="311"/>
      <c r="P2473" t="str">
        <f t="shared" si="213"/>
        <v>120-7470</v>
      </c>
      <c r="Q2473" s="315" t="str">
        <f t="shared" si="214"/>
        <v>Admin &amp; Other</v>
      </c>
      <c r="R2473" s="315" t="str">
        <f t="shared" si="215"/>
        <v>Admin &amp; OtherR&amp;M and Cleaning as % of Total Gross Profit</v>
      </c>
      <c r="S2473" s="199"/>
      <c r="T2473" s="199"/>
      <c r="U2473" s="199"/>
    </row>
    <row r="2474" spans="1:21" x14ac:dyDescent="0.25">
      <c r="A2474" t="s">
        <v>996</v>
      </c>
      <c r="B2474" t="s">
        <v>997</v>
      </c>
      <c r="C2474" t="s">
        <v>997</v>
      </c>
      <c r="D2474">
        <v>7470</v>
      </c>
      <c r="E2474">
        <v>936</v>
      </c>
      <c r="F2474" t="s">
        <v>1175</v>
      </c>
      <c r="G2474" t="s">
        <v>1176</v>
      </c>
      <c r="H2474" s="315" t="s">
        <v>1023</v>
      </c>
      <c r="I2474" s="315" t="s">
        <v>1370</v>
      </c>
      <c r="J2474" s="315" t="str">
        <f t="shared" si="211"/>
        <v>LEX Admin &amp; OtherR&amp;M and Cleaning as % of Total Gross Profit</v>
      </c>
      <c r="K2474" s="315" t="str">
        <f t="shared" si="212"/>
        <v>936Other franchise/business expense</v>
      </c>
      <c r="L2474" s="311">
        <f>+SUMIF('TUNZ Extracted TB'!M:M,$P2474,'TUNZ Extracted TB'!G:G)</f>
        <v>1331.6</v>
      </c>
      <c r="M2474" s="311"/>
      <c r="N2474" s="311">
        <f>+SUMIF('Input Sheet'!$AE:$AE,P2474,'Input Sheet'!$X:$X)</f>
        <v>0</v>
      </c>
      <c r="O2474" s="311"/>
      <c r="P2474" t="str">
        <f t="shared" si="213"/>
        <v>936-7470</v>
      </c>
      <c r="Q2474" s="315" t="str">
        <f t="shared" si="214"/>
        <v>LEX Admin &amp; Other</v>
      </c>
      <c r="R2474" s="315" t="str">
        <f t="shared" si="215"/>
        <v>LEX Admin &amp; OtherR&amp;M and Cleaning as % of Total Gross Profit</v>
      </c>
      <c r="S2474" s="199"/>
      <c r="T2474" s="199"/>
      <c r="U2474" s="199"/>
    </row>
    <row r="2475" spans="1:21" x14ac:dyDescent="0.25">
      <c r="A2475" t="s">
        <v>996</v>
      </c>
      <c r="B2475" t="s">
        <v>997</v>
      </c>
      <c r="C2475" t="s">
        <v>1005</v>
      </c>
      <c r="D2475">
        <v>7470</v>
      </c>
      <c r="E2475">
        <v>240</v>
      </c>
      <c r="F2475" t="s">
        <v>1400</v>
      </c>
      <c r="G2475" t="s">
        <v>1401</v>
      </c>
      <c r="H2475" s="315" t="s">
        <v>1000</v>
      </c>
      <c r="I2475" s="315" t="s">
        <v>1370</v>
      </c>
      <c r="J2475" s="315" t="str">
        <f t="shared" si="211"/>
        <v>Admin &amp; OtherR&amp;M and Cleaning as % of Total Gross Profit</v>
      </c>
      <c r="K2475" s="315" t="str">
        <f t="shared" si="212"/>
        <v>240Cleaning &amp; Security - Toyota</v>
      </c>
      <c r="L2475" s="311">
        <f>+SUMIF('TUNZ Extracted TB'!M:M,$P2475,'TUNZ Extracted TB'!G:G)</f>
        <v>1612.8</v>
      </c>
      <c r="M2475" s="311"/>
      <c r="N2475" s="311">
        <f>+SUMIF('Input Sheet'!$AE:$AE,P2475,'Input Sheet'!$X:$X)</f>
        <v>0</v>
      </c>
      <c r="O2475" s="311"/>
      <c r="P2475" t="str">
        <f t="shared" si="213"/>
        <v>240-7470</v>
      </c>
      <c r="Q2475" s="315" t="str">
        <f t="shared" si="214"/>
        <v>Admin &amp; Other</v>
      </c>
      <c r="R2475" s="315" t="str">
        <f t="shared" si="215"/>
        <v>Admin &amp; OtherR&amp;M and Cleaning as % of Total Gross Profit</v>
      </c>
      <c r="S2475" s="199"/>
      <c r="T2475" s="199"/>
      <c r="U2475" s="199"/>
    </row>
    <row r="2476" spans="1:21" x14ac:dyDescent="0.25">
      <c r="A2476" t="s">
        <v>996</v>
      </c>
      <c r="B2476" t="s">
        <v>997</v>
      </c>
      <c r="C2476" t="s">
        <v>1005</v>
      </c>
      <c r="D2476">
        <v>7470</v>
      </c>
      <c r="E2476">
        <v>230</v>
      </c>
      <c r="F2476" t="s">
        <v>1400</v>
      </c>
      <c r="G2476" t="s">
        <v>1401</v>
      </c>
      <c r="H2476" s="315" t="s">
        <v>1000</v>
      </c>
      <c r="I2476" s="315" t="s">
        <v>1370</v>
      </c>
      <c r="J2476" s="315" t="str">
        <f t="shared" si="211"/>
        <v>Admin &amp; OtherR&amp;M and Cleaning as % of Total Gross Profit</v>
      </c>
      <c r="K2476" s="315" t="str">
        <f t="shared" si="212"/>
        <v>230Cleaning &amp; Security - Toyota</v>
      </c>
      <c r="L2476" s="311">
        <f>+SUMIF('TUNZ Extracted TB'!M:M,$P2476,'TUNZ Extracted TB'!G:G)</f>
        <v>970.81</v>
      </c>
      <c r="M2476" s="311"/>
      <c r="N2476" s="311">
        <f>+SUMIF('Input Sheet'!$AE:$AE,P2476,'Input Sheet'!$X:$X)</f>
        <v>0</v>
      </c>
      <c r="O2476" s="311"/>
      <c r="P2476" t="str">
        <f t="shared" si="213"/>
        <v>230-7470</v>
      </c>
      <c r="Q2476" s="315" t="str">
        <f t="shared" si="214"/>
        <v>Admin &amp; Other</v>
      </c>
      <c r="R2476" s="315" t="str">
        <f t="shared" si="215"/>
        <v>Admin &amp; OtherR&amp;M and Cleaning as % of Total Gross Profit</v>
      </c>
      <c r="S2476" s="199"/>
      <c r="T2476" s="199"/>
      <c r="U2476" s="199"/>
    </row>
    <row r="2477" spans="1:21" x14ac:dyDescent="0.25">
      <c r="A2477" t="s">
        <v>996</v>
      </c>
      <c r="B2477" t="s">
        <v>997</v>
      </c>
      <c r="C2477" t="s">
        <v>1005</v>
      </c>
      <c r="D2477">
        <v>7470</v>
      </c>
      <c r="E2477">
        <v>220</v>
      </c>
      <c r="F2477" t="s">
        <v>1400</v>
      </c>
      <c r="G2477" t="s">
        <v>1401</v>
      </c>
      <c r="H2477" s="315" t="s">
        <v>1000</v>
      </c>
      <c r="I2477" s="315" t="s">
        <v>1370</v>
      </c>
      <c r="J2477" s="315" t="str">
        <f t="shared" si="211"/>
        <v>Admin &amp; OtherR&amp;M and Cleaning as % of Total Gross Profit</v>
      </c>
      <c r="K2477" s="315" t="str">
        <f t="shared" si="212"/>
        <v>220Cleaning &amp; Security - Toyota</v>
      </c>
      <c r="L2477" s="311">
        <f>+SUMIF('TUNZ Extracted TB'!M:M,$P2477,'TUNZ Extracted TB'!G:G)</f>
        <v>970.81</v>
      </c>
      <c r="M2477" s="311"/>
      <c r="N2477" s="311">
        <f>+SUMIF('Input Sheet'!$AE:$AE,P2477,'Input Sheet'!$X:$X)</f>
        <v>0</v>
      </c>
      <c r="O2477" s="311"/>
      <c r="P2477" t="str">
        <f t="shared" si="213"/>
        <v>220-7470</v>
      </c>
      <c r="Q2477" s="315" t="str">
        <f t="shared" si="214"/>
        <v>Admin &amp; Other</v>
      </c>
      <c r="R2477" s="315" t="str">
        <f t="shared" si="215"/>
        <v>Admin &amp; OtherR&amp;M and Cleaning as % of Total Gross Profit</v>
      </c>
      <c r="S2477" s="199"/>
      <c r="T2477" s="199"/>
      <c r="U2477" s="199"/>
    </row>
    <row r="2478" spans="1:21" x14ac:dyDescent="0.25">
      <c r="A2478" t="s">
        <v>996</v>
      </c>
      <c r="B2478" t="s">
        <v>997</v>
      </c>
      <c r="C2478" t="s">
        <v>1005</v>
      </c>
      <c r="D2478">
        <v>7470</v>
      </c>
      <c r="E2478">
        <v>210</v>
      </c>
      <c r="F2478" t="s">
        <v>1400</v>
      </c>
      <c r="G2478" t="s">
        <v>1401</v>
      </c>
      <c r="H2478" s="315" t="s">
        <v>1000</v>
      </c>
      <c r="I2478" s="315" t="s">
        <v>1370</v>
      </c>
      <c r="J2478" s="315" t="str">
        <f t="shared" si="211"/>
        <v>Admin &amp; OtherR&amp;M and Cleaning as % of Total Gross Profit</v>
      </c>
      <c r="K2478" s="315" t="str">
        <f t="shared" si="212"/>
        <v>210Cleaning &amp; Security - Toyota</v>
      </c>
      <c r="L2478" s="311">
        <f>+SUMIF('TUNZ Extracted TB'!M:M,$P2478,'TUNZ Extracted TB'!G:G)</f>
        <v>970.81</v>
      </c>
      <c r="M2478" s="311"/>
      <c r="N2478" s="311">
        <f>+SUMIF('Input Sheet'!$AE:$AE,P2478,'Input Sheet'!$X:$X)</f>
        <v>0</v>
      </c>
      <c r="O2478" s="311"/>
      <c r="P2478" t="str">
        <f t="shared" si="213"/>
        <v>210-7470</v>
      </c>
      <c r="Q2478" s="315" t="str">
        <f t="shared" si="214"/>
        <v>Admin &amp; Other</v>
      </c>
      <c r="R2478" s="315" t="str">
        <f t="shared" si="215"/>
        <v>Admin &amp; OtherR&amp;M and Cleaning as % of Total Gross Profit</v>
      </c>
      <c r="S2478" s="199"/>
      <c r="T2478" s="199"/>
      <c r="U2478" s="199"/>
    </row>
    <row r="2479" spans="1:21" x14ac:dyDescent="0.25">
      <c r="A2479" t="s">
        <v>996</v>
      </c>
      <c r="B2479" t="s">
        <v>997</v>
      </c>
      <c r="C2479" t="s">
        <v>1013</v>
      </c>
      <c r="D2479">
        <v>7470</v>
      </c>
      <c r="E2479">
        <v>340</v>
      </c>
      <c r="F2479" t="s">
        <v>1400</v>
      </c>
      <c r="G2479" t="s">
        <v>1401</v>
      </c>
      <c r="H2479" s="315" t="s">
        <v>1000</v>
      </c>
      <c r="I2479" s="315" t="s">
        <v>1370</v>
      </c>
      <c r="J2479" s="315" t="str">
        <f t="shared" si="211"/>
        <v>Admin &amp; OtherR&amp;M and Cleaning as % of Total Gross Profit</v>
      </c>
      <c r="K2479" s="315" t="str">
        <f t="shared" si="212"/>
        <v>340Cleaning &amp; Security - Toyota</v>
      </c>
      <c r="L2479" s="311">
        <f>+SUMIF('TUNZ Extracted TB'!M:M,$P2479,'TUNZ Extracted TB'!G:G)</f>
        <v>950.84</v>
      </c>
      <c r="M2479" s="311"/>
      <c r="N2479" s="311">
        <f>+SUMIF('Input Sheet'!$AE:$AE,P2479,'Input Sheet'!$X:$X)</f>
        <v>0</v>
      </c>
      <c r="O2479" s="311"/>
      <c r="P2479" t="str">
        <f t="shared" si="213"/>
        <v>340-7470</v>
      </c>
      <c r="Q2479" s="315" t="str">
        <f t="shared" si="214"/>
        <v>Admin &amp; Other</v>
      </c>
      <c r="R2479" s="315" t="str">
        <f t="shared" si="215"/>
        <v>Admin &amp; OtherR&amp;M and Cleaning as % of Total Gross Profit</v>
      </c>
      <c r="S2479" s="199"/>
      <c r="T2479" s="199"/>
      <c r="U2479" s="199"/>
    </row>
    <row r="2480" spans="1:21" x14ac:dyDescent="0.25">
      <c r="A2480" t="s">
        <v>996</v>
      </c>
      <c r="B2480" t="s">
        <v>997</v>
      </c>
      <c r="C2480" t="s">
        <v>1013</v>
      </c>
      <c r="D2480">
        <v>7470</v>
      </c>
      <c r="E2480">
        <v>330</v>
      </c>
      <c r="F2480" t="s">
        <v>1400</v>
      </c>
      <c r="G2480" t="s">
        <v>1401</v>
      </c>
      <c r="H2480" s="315" t="s">
        <v>1000</v>
      </c>
      <c r="I2480" s="315" t="s">
        <v>1370</v>
      </c>
      <c r="J2480" s="315" t="str">
        <f t="shared" si="211"/>
        <v>Admin &amp; OtherR&amp;M and Cleaning as % of Total Gross Profit</v>
      </c>
      <c r="K2480" s="315" t="str">
        <f t="shared" si="212"/>
        <v>330Cleaning &amp; Security - Toyota</v>
      </c>
      <c r="L2480" s="311">
        <f>+SUMIF('TUNZ Extracted TB'!M:M,$P2480,'TUNZ Extracted TB'!G:G)</f>
        <v>950.86</v>
      </c>
      <c r="M2480" s="311"/>
      <c r="N2480" s="311">
        <f>+SUMIF('Input Sheet'!$AE:$AE,P2480,'Input Sheet'!$X:$X)</f>
        <v>0</v>
      </c>
      <c r="O2480" s="311"/>
      <c r="P2480" t="str">
        <f t="shared" si="213"/>
        <v>330-7470</v>
      </c>
      <c r="Q2480" s="315" t="str">
        <f t="shared" si="214"/>
        <v>Admin &amp; Other</v>
      </c>
      <c r="R2480" s="315" t="str">
        <f t="shared" si="215"/>
        <v>Admin &amp; OtherR&amp;M and Cleaning as % of Total Gross Profit</v>
      </c>
      <c r="S2480" s="199"/>
      <c r="T2480" s="199"/>
      <c r="U2480" s="199"/>
    </row>
    <row r="2481" spans="1:21" x14ac:dyDescent="0.25">
      <c r="A2481" t="s">
        <v>996</v>
      </c>
      <c r="B2481" t="s">
        <v>997</v>
      </c>
      <c r="C2481" t="s">
        <v>997</v>
      </c>
      <c r="D2481">
        <v>7470</v>
      </c>
      <c r="E2481">
        <v>160</v>
      </c>
      <c r="F2481" t="s">
        <v>1400</v>
      </c>
      <c r="G2481" t="s">
        <v>1401</v>
      </c>
      <c r="H2481" s="315" t="s">
        <v>1000</v>
      </c>
      <c r="I2481" s="315" t="s">
        <v>1370</v>
      </c>
      <c r="J2481" s="315" t="str">
        <f t="shared" si="211"/>
        <v>Admin &amp; OtherR&amp;M and Cleaning as % of Total Gross Profit</v>
      </c>
      <c r="K2481" s="315" t="str">
        <f t="shared" si="212"/>
        <v>160Cleaning &amp; Security - Toyota</v>
      </c>
      <c r="L2481" s="311">
        <f>+SUMIF('TUNZ Extracted TB'!M:M,$P2481,'TUNZ Extracted TB'!G:G)</f>
        <v>625.9</v>
      </c>
      <c r="M2481" s="311"/>
      <c r="N2481" s="311">
        <f>+SUMIF('Input Sheet'!$AE:$AE,P2481,'Input Sheet'!$X:$X)</f>
        <v>0</v>
      </c>
      <c r="O2481" s="311"/>
      <c r="P2481" t="str">
        <f t="shared" si="213"/>
        <v>160-7470</v>
      </c>
      <c r="Q2481" s="315" t="str">
        <f t="shared" si="214"/>
        <v>Admin &amp; Other</v>
      </c>
      <c r="R2481" s="315" t="str">
        <f t="shared" si="215"/>
        <v>Admin &amp; OtherR&amp;M and Cleaning as % of Total Gross Profit</v>
      </c>
      <c r="S2481" s="199"/>
      <c r="T2481" s="199"/>
      <c r="U2481" s="199"/>
    </row>
    <row r="2482" spans="1:21" x14ac:dyDescent="0.25">
      <c r="A2482" t="s">
        <v>996</v>
      </c>
      <c r="B2482" t="s">
        <v>997</v>
      </c>
      <c r="C2482" t="s">
        <v>997</v>
      </c>
      <c r="D2482">
        <v>7470</v>
      </c>
      <c r="E2482">
        <v>935</v>
      </c>
      <c r="F2482" t="s">
        <v>1175</v>
      </c>
      <c r="G2482" t="s">
        <v>1176</v>
      </c>
      <c r="H2482" s="315" t="s">
        <v>1023</v>
      </c>
      <c r="I2482" s="315" t="s">
        <v>1370</v>
      </c>
      <c r="J2482" s="315" t="str">
        <f t="shared" si="211"/>
        <v>LEX Admin &amp; OtherR&amp;M and Cleaning as % of Total Gross Profit</v>
      </c>
      <c r="K2482" s="315" t="str">
        <f t="shared" si="212"/>
        <v>935Other franchise/business expense</v>
      </c>
      <c r="L2482" s="311">
        <f>+SUMIF('TUNZ Extracted TB'!M:M,$P2482,'TUNZ Extracted TB'!G:G)</f>
        <v>1645.75</v>
      </c>
      <c r="M2482" s="311"/>
      <c r="N2482" s="311">
        <f>+SUMIF('Input Sheet'!$AE:$AE,P2482,'Input Sheet'!$X:$X)</f>
        <v>0</v>
      </c>
      <c r="O2482" s="311"/>
      <c r="P2482" t="str">
        <f t="shared" si="213"/>
        <v>935-7470</v>
      </c>
      <c r="Q2482" s="315" t="str">
        <f t="shared" si="214"/>
        <v>LEX Admin &amp; Other</v>
      </c>
      <c r="R2482" s="315" t="str">
        <f t="shared" si="215"/>
        <v>LEX Admin &amp; OtherR&amp;M and Cleaning as % of Total Gross Profit</v>
      </c>
      <c r="S2482" s="199"/>
      <c r="T2482" s="199"/>
      <c r="U2482" s="199"/>
    </row>
    <row r="2483" spans="1:21" x14ac:dyDescent="0.25">
      <c r="A2483" s="316">
        <v>44866</v>
      </c>
      <c r="B2483" t="s">
        <v>997</v>
      </c>
      <c r="C2483" t="s">
        <v>997</v>
      </c>
      <c r="D2483">
        <v>7470</v>
      </c>
      <c r="E2483">
        <v>190</v>
      </c>
      <c r="G2483" t="s">
        <v>974</v>
      </c>
      <c r="H2483" s="315" t="s">
        <v>1000</v>
      </c>
      <c r="I2483" s="315" t="s">
        <v>1370</v>
      </c>
      <c r="J2483" s="315" t="str">
        <f t="shared" si="211"/>
        <v>Admin &amp; OtherR&amp;M and Cleaning as % of Total Gross Profit</v>
      </c>
      <c r="K2483" s="315" t="str">
        <f t="shared" si="212"/>
        <v>190Contract Cleaning</v>
      </c>
      <c r="L2483" s="311">
        <f>+SUMIF('TUNZ Extracted TB'!M:M,$P2483,'TUNZ Extracted TB'!G:G)</f>
        <v>0</v>
      </c>
      <c r="M2483" s="311"/>
      <c r="N2483" s="311">
        <f>+SUMIF('Input Sheet'!$AE:$AE,P2483,'Input Sheet'!$X:$X)</f>
        <v>0</v>
      </c>
      <c r="O2483" s="311"/>
      <c r="P2483" t="str">
        <f t="shared" si="213"/>
        <v>190-7470</v>
      </c>
      <c r="Q2483" s="315" t="str">
        <f t="shared" si="214"/>
        <v>Admin &amp; Other</v>
      </c>
      <c r="R2483" s="315" t="str">
        <f t="shared" si="215"/>
        <v>Admin &amp; OtherR&amp;M and Cleaning as % of Total Gross Profit</v>
      </c>
      <c r="S2483" s="199"/>
      <c r="T2483" s="199"/>
      <c r="U2483" s="199"/>
    </row>
    <row r="2484" spans="1:21" x14ac:dyDescent="0.25">
      <c r="A2484" s="316">
        <v>45078</v>
      </c>
      <c r="B2484" t="s">
        <v>997</v>
      </c>
      <c r="C2484" t="s">
        <v>997</v>
      </c>
      <c r="D2484">
        <v>7470</v>
      </c>
      <c r="E2484">
        <v>150</v>
      </c>
      <c r="G2484" t="s">
        <v>974</v>
      </c>
      <c r="H2484" s="315" t="s">
        <v>1023</v>
      </c>
      <c r="I2484" s="315" t="s">
        <v>1370</v>
      </c>
      <c r="J2484" s="315" t="str">
        <f t="shared" si="211"/>
        <v>LEX Admin &amp; OtherR&amp;M and Cleaning as % of Total Gross Profit</v>
      </c>
      <c r="K2484" s="315" t="str">
        <f t="shared" si="212"/>
        <v>150Contract Cleaning</v>
      </c>
      <c r="L2484" s="311">
        <f>+SUMIF('TUNZ Extracted TB'!M:M,$P2484,'TUNZ Extracted TB'!G:G)</f>
        <v>0</v>
      </c>
      <c r="M2484" s="311"/>
      <c r="N2484" s="311">
        <f>+SUMIF('Input Sheet'!$AE:$AE,P2484,'Input Sheet'!$X:$X)</f>
        <v>0</v>
      </c>
      <c r="O2484" s="311"/>
      <c r="P2484" t="str">
        <f t="shared" si="213"/>
        <v>150-7470</v>
      </c>
      <c r="Q2484" s="315" t="str">
        <f t="shared" si="214"/>
        <v>LEX Admin &amp; Other</v>
      </c>
      <c r="R2484" s="315" t="str">
        <f t="shared" si="215"/>
        <v>LEX Admin &amp; OtherR&amp;M and Cleaning as % of Total Gross Profit</v>
      </c>
      <c r="S2484" s="199"/>
      <c r="T2484" s="199"/>
      <c r="U2484" s="199"/>
    </row>
    <row r="2485" spans="1:21" x14ac:dyDescent="0.25">
      <c r="A2485" t="s">
        <v>996</v>
      </c>
      <c r="B2485" t="s">
        <v>997</v>
      </c>
      <c r="C2485" t="s">
        <v>997</v>
      </c>
      <c r="D2485">
        <v>7470</v>
      </c>
      <c r="E2485">
        <v>140</v>
      </c>
      <c r="F2485" t="s">
        <v>1400</v>
      </c>
      <c r="G2485" t="s">
        <v>1401</v>
      </c>
      <c r="H2485" s="315" t="s">
        <v>1000</v>
      </c>
      <c r="I2485" s="315" t="s">
        <v>1370</v>
      </c>
      <c r="J2485" s="315" t="str">
        <f t="shared" si="211"/>
        <v>Admin &amp; OtherR&amp;M and Cleaning as % of Total Gross Profit</v>
      </c>
      <c r="K2485" s="315" t="str">
        <f t="shared" si="212"/>
        <v>140Cleaning &amp; Security - Toyota</v>
      </c>
      <c r="L2485" s="311">
        <f>+SUMIF('TUNZ Extracted TB'!M:M,$P2485,'TUNZ Extracted TB'!G:G)</f>
        <v>2086.3200000000002</v>
      </c>
      <c r="M2485" s="311"/>
      <c r="N2485" s="311">
        <f>+SUMIF('Input Sheet'!$AE:$AE,P2485,'Input Sheet'!$X:$X)</f>
        <v>0</v>
      </c>
      <c r="O2485" s="311"/>
      <c r="P2485" t="str">
        <f t="shared" si="213"/>
        <v>140-7470</v>
      </c>
      <c r="Q2485" s="315" t="str">
        <f t="shared" si="214"/>
        <v>Admin &amp; Other</v>
      </c>
      <c r="R2485" s="315" t="str">
        <f t="shared" si="215"/>
        <v>Admin &amp; OtherR&amp;M and Cleaning as % of Total Gross Profit</v>
      </c>
      <c r="S2485" s="199"/>
      <c r="T2485" s="199"/>
      <c r="U2485" s="199"/>
    </row>
    <row r="2486" spans="1:21" x14ac:dyDescent="0.25">
      <c r="A2486" t="s">
        <v>996</v>
      </c>
      <c r="B2486" t="s">
        <v>997</v>
      </c>
      <c r="C2486" t="s">
        <v>997</v>
      </c>
      <c r="D2486">
        <v>7470</v>
      </c>
      <c r="E2486">
        <v>142</v>
      </c>
      <c r="F2486" t="s">
        <v>1402</v>
      </c>
      <c r="G2486" t="s">
        <v>1403</v>
      </c>
      <c r="H2486" s="315" t="s">
        <v>1023</v>
      </c>
      <c r="I2486" s="315" t="s">
        <v>1370</v>
      </c>
      <c r="J2486" s="315" t="str">
        <f t="shared" si="211"/>
        <v>LEX Admin &amp; OtherR&amp;M and Cleaning as % of Total Gross Profit</v>
      </c>
      <c r="K2486" s="315" t="str">
        <f t="shared" si="212"/>
        <v>142Cleaning &amp; Security - Lexus</v>
      </c>
      <c r="L2486" s="311">
        <f>+SUMIF('TUNZ Extracted TB'!M:M,$P2486,'TUNZ Extracted TB'!G:G)</f>
        <v>0</v>
      </c>
      <c r="M2486" s="311"/>
      <c r="N2486" s="311">
        <f>+SUMIF('Input Sheet'!$AE:$AE,P2486,'Input Sheet'!$X:$X)</f>
        <v>0</v>
      </c>
      <c r="O2486" s="311"/>
      <c r="P2486" t="str">
        <f t="shared" si="213"/>
        <v>142-7470</v>
      </c>
      <c r="Q2486" s="315" t="str">
        <f t="shared" si="214"/>
        <v>LEX Admin &amp; Other</v>
      </c>
      <c r="R2486" s="315" t="str">
        <f t="shared" si="215"/>
        <v>LEX Admin &amp; OtherR&amp;M and Cleaning as % of Total Gross Profit</v>
      </c>
      <c r="S2486" s="199"/>
      <c r="T2486" s="199"/>
      <c r="U2486" s="199"/>
    </row>
    <row r="2487" spans="1:21" x14ac:dyDescent="0.25">
      <c r="A2487" t="s">
        <v>996</v>
      </c>
      <c r="B2487" t="s">
        <v>997</v>
      </c>
      <c r="C2487" t="s">
        <v>997</v>
      </c>
      <c r="D2487">
        <v>7470</v>
      </c>
      <c r="E2487">
        <v>130</v>
      </c>
      <c r="F2487" t="s">
        <v>1400</v>
      </c>
      <c r="G2487" t="s">
        <v>1401</v>
      </c>
      <c r="H2487" s="315" t="s">
        <v>1000</v>
      </c>
      <c r="I2487" s="315" t="s">
        <v>1370</v>
      </c>
      <c r="J2487" s="315" t="str">
        <f t="shared" si="211"/>
        <v>Admin &amp; OtherR&amp;M and Cleaning as % of Total Gross Profit</v>
      </c>
      <c r="K2487" s="315" t="str">
        <f t="shared" si="212"/>
        <v>130Cleaning &amp; Security - Toyota</v>
      </c>
      <c r="L2487" s="311">
        <f>+SUMIF('TUNZ Extracted TB'!M:M,$P2487,'TUNZ Extracted TB'!G:G)</f>
        <v>1773.37</v>
      </c>
      <c r="M2487" s="311"/>
      <c r="N2487" s="311">
        <f>+SUMIF('Input Sheet'!$AE:$AE,P2487,'Input Sheet'!$X:$X)</f>
        <v>0</v>
      </c>
      <c r="O2487" s="311"/>
      <c r="P2487" t="str">
        <f t="shared" si="213"/>
        <v>130-7470</v>
      </c>
      <c r="Q2487" s="315" t="str">
        <f t="shared" si="214"/>
        <v>Admin &amp; Other</v>
      </c>
      <c r="R2487" s="315" t="str">
        <f t="shared" si="215"/>
        <v>Admin &amp; OtherR&amp;M and Cleaning as % of Total Gross Profit</v>
      </c>
      <c r="S2487" s="199"/>
      <c r="T2487" s="199"/>
      <c r="U2487" s="199"/>
    </row>
    <row r="2488" spans="1:21" x14ac:dyDescent="0.25">
      <c r="A2488" t="s">
        <v>996</v>
      </c>
      <c r="B2488" t="s">
        <v>997</v>
      </c>
      <c r="C2488" t="s">
        <v>997</v>
      </c>
      <c r="D2488">
        <v>7470</v>
      </c>
      <c r="E2488">
        <v>132</v>
      </c>
      <c r="F2488" t="s">
        <v>1402</v>
      </c>
      <c r="G2488" t="s">
        <v>1403</v>
      </c>
      <c r="H2488" s="315" t="s">
        <v>1023</v>
      </c>
      <c r="I2488" s="315" t="s">
        <v>1370</v>
      </c>
      <c r="J2488" s="315" t="str">
        <f t="shared" si="211"/>
        <v>LEX Admin &amp; OtherR&amp;M and Cleaning as % of Total Gross Profit</v>
      </c>
      <c r="K2488" s="315" t="str">
        <f t="shared" si="212"/>
        <v>132Cleaning &amp; Security - Lexus</v>
      </c>
      <c r="L2488" s="311">
        <f>+SUMIF('TUNZ Extracted TB'!M:M,$P2488,'TUNZ Extracted TB'!G:G)</f>
        <v>0</v>
      </c>
      <c r="M2488" s="311"/>
      <c r="N2488" s="311">
        <f>+SUMIF('Input Sheet'!$AE:$AE,P2488,'Input Sheet'!$X:$X)</f>
        <v>0</v>
      </c>
      <c r="O2488" s="311"/>
      <c r="P2488" t="str">
        <f t="shared" si="213"/>
        <v>132-7470</v>
      </c>
      <c r="Q2488" s="315" t="str">
        <f t="shared" si="214"/>
        <v>LEX Admin &amp; Other</v>
      </c>
      <c r="R2488" s="315" t="str">
        <f t="shared" si="215"/>
        <v>LEX Admin &amp; OtherR&amp;M and Cleaning as % of Total Gross Profit</v>
      </c>
      <c r="S2488" s="199"/>
      <c r="T2488" s="199"/>
      <c r="U2488" s="199"/>
    </row>
    <row r="2489" spans="1:21" x14ac:dyDescent="0.25">
      <c r="A2489" t="s">
        <v>996</v>
      </c>
      <c r="B2489" t="s">
        <v>997</v>
      </c>
      <c r="C2489" t="s">
        <v>997</v>
      </c>
      <c r="D2489">
        <v>7470</v>
      </c>
      <c r="E2489">
        <v>122</v>
      </c>
      <c r="F2489" t="s">
        <v>1402</v>
      </c>
      <c r="G2489" t="s">
        <v>1403</v>
      </c>
      <c r="H2489" s="315" t="s">
        <v>1023</v>
      </c>
      <c r="I2489" s="315" t="s">
        <v>1370</v>
      </c>
      <c r="J2489" s="315" t="str">
        <f t="shared" si="211"/>
        <v>LEX Admin &amp; OtherR&amp;M and Cleaning as % of Total Gross Profit</v>
      </c>
      <c r="K2489" s="315" t="str">
        <f t="shared" si="212"/>
        <v>122Cleaning &amp; Security - Lexus</v>
      </c>
      <c r="L2489" s="311">
        <f>+SUMIF('TUNZ Extracted TB'!M:M,$P2489,'TUNZ Extracted TB'!G:G)</f>
        <v>0</v>
      </c>
      <c r="M2489" s="311"/>
      <c r="N2489" s="311">
        <f>+SUMIF('Input Sheet'!$AE:$AE,P2489,'Input Sheet'!$X:$X)</f>
        <v>0</v>
      </c>
      <c r="O2489" s="311"/>
      <c r="P2489" t="str">
        <f t="shared" si="213"/>
        <v>122-7470</v>
      </c>
      <c r="Q2489" s="315" t="str">
        <f t="shared" si="214"/>
        <v>LEX Admin &amp; Other</v>
      </c>
      <c r="R2489" s="315" t="str">
        <f t="shared" si="215"/>
        <v>LEX Admin &amp; OtherR&amp;M and Cleaning as % of Total Gross Profit</v>
      </c>
      <c r="S2489" s="199"/>
      <c r="T2489" s="199"/>
      <c r="U2489" s="199"/>
    </row>
    <row r="2490" spans="1:21" x14ac:dyDescent="0.25">
      <c r="A2490" t="s">
        <v>996</v>
      </c>
      <c r="B2490" t="s">
        <v>997</v>
      </c>
      <c r="C2490" t="s">
        <v>997</v>
      </c>
      <c r="D2490">
        <v>7470</v>
      </c>
      <c r="E2490">
        <v>162</v>
      </c>
      <c r="F2490" t="s">
        <v>1402</v>
      </c>
      <c r="G2490" t="s">
        <v>1403</v>
      </c>
      <c r="H2490" s="315" t="s">
        <v>1023</v>
      </c>
      <c r="I2490" s="315" t="s">
        <v>1370</v>
      </c>
      <c r="J2490" s="315" t="str">
        <f t="shared" si="211"/>
        <v>LEX Admin &amp; OtherR&amp;M and Cleaning as % of Total Gross Profit</v>
      </c>
      <c r="K2490" s="315" t="str">
        <f t="shared" si="212"/>
        <v>162Cleaning &amp; Security - Lexus</v>
      </c>
      <c r="L2490" s="311">
        <f>+SUMIF('TUNZ Extracted TB'!M:M,$P2490,'TUNZ Extracted TB'!G:G)</f>
        <v>0</v>
      </c>
      <c r="M2490" s="311"/>
      <c r="N2490" s="311">
        <f>+SUMIF('Input Sheet'!$AE:$AE,P2490,'Input Sheet'!$X:$X)</f>
        <v>0</v>
      </c>
      <c r="O2490" s="311"/>
      <c r="P2490" t="str">
        <f t="shared" si="213"/>
        <v>162-7470</v>
      </c>
      <c r="Q2490" s="315" t="str">
        <f t="shared" si="214"/>
        <v>LEX Admin &amp; Other</v>
      </c>
      <c r="R2490" s="315" t="str">
        <f t="shared" si="215"/>
        <v>LEX Admin &amp; OtherR&amp;M and Cleaning as % of Total Gross Profit</v>
      </c>
      <c r="S2490" s="199"/>
      <c r="T2490" s="199"/>
      <c r="U2490" s="199"/>
    </row>
    <row r="2491" spans="1:21" x14ac:dyDescent="0.25">
      <c r="A2491" t="s">
        <v>996</v>
      </c>
      <c r="B2491" t="s">
        <v>997</v>
      </c>
      <c r="C2491" t="s">
        <v>997</v>
      </c>
      <c r="D2491">
        <v>7470</v>
      </c>
      <c r="E2491">
        <v>121</v>
      </c>
      <c r="F2491" t="s">
        <v>1400</v>
      </c>
      <c r="G2491" t="s">
        <v>1401</v>
      </c>
      <c r="H2491" s="315" t="s">
        <v>1000</v>
      </c>
      <c r="I2491" s="315" t="s">
        <v>1370</v>
      </c>
      <c r="J2491" s="315" t="str">
        <f t="shared" si="211"/>
        <v>Admin &amp; OtherR&amp;M and Cleaning as % of Total Gross Profit</v>
      </c>
      <c r="K2491" s="315" t="str">
        <f t="shared" si="212"/>
        <v>121Cleaning &amp; Security - Toyota</v>
      </c>
      <c r="L2491" s="311">
        <f>+SUMIF('TUNZ Extracted TB'!M:M,$P2491,'TUNZ Extracted TB'!G:G)</f>
        <v>0</v>
      </c>
      <c r="M2491" s="311"/>
      <c r="N2491" s="311">
        <f>+SUMIF('Input Sheet'!$AE:$AE,P2491,'Input Sheet'!$X:$X)</f>
        <v>0</v>
      </c>
      <c r="O2491" s="311"/>
      <c r="P2491" t="str">
        <f t="shared" si="213"/>
        <v>121-7470</v>
      </c>
      <c r="Q2491" s="315" t="str">
        <f t="shared" si="214"/>
        <v>Admin &amp; Other</v>
      </c>
      <c r="R2491" s="315" t="str">
        <f t="shared" si="215"/>
        <v>Admin &amp; OtherR&amp;M and Cleaning as % of Total Gross Profit</v>
      </c>
      <c r="S2491" s="199"/>
      <c r="T2491" s="199"/>
      <c r="U2491" s="199"/>
    </row>
    <row r="2492" spans="1:21" x14ac:dyDescent="0.25">
      <c r="A2492" t="s">
        <v>996</v>
      </c>
      <c r="B2492" t="s">
        <v>997</v>
      </c>
      <c r="C2492" t="s">
        <v>1005</v>
      </c>
      <c r="D2492">
        <v>7470</v>
      </c>
      <c r="E2492">
        <v>200</v>
      </c>
      <c r="F2492" t="s">
        <v>1400</v>
      </c>
      <c r="G2492" t="s">
        <v>1401</v>
      </c>
      <c r="H2492" s="315" t="s">
        <v>1000</v>
      </c>
      <c r="I2492" s="315" t="s">
        <v>1370</v>
      </c>
      <c r="J2492" s="315" t="str">
        <f t="shared" si="211"/>
        <v>Admin &amp; OtherR&amp;M and Cleaning as % of Total Gross Profit</v>
      </c>
      <c r="K2492" s="315" t="str">
        <f t="shared" si="212"/>
        <v>200Cleaning &amp; Security - Toyota</v>
      </c>
      <c r="L2492" s="311">
        <f>+SUMIF('TUNZ Extracted TB'!M:M,$P2492,'TUNZ Extracted TB'!G:G)</f>
        <v>0</v>
      </c>
      <c r="M2492" s="311"/>
      <c r="N2492" s="311">
        <f>+SUMIF('Input Sheet'!$AE:$AE,P2492,'Input Sheet'!$X:$X)</f>
        <v>0</v>
      </c>
      <c r="O2492" s="311"/>
      <c r="P2492" t="str">
        <f t="shared" si="213"/>
        <v>200-7470</v>
      </c>
      <c r="Q2492" s="315" t="str">
        <f t="shared" si="214"/>
        <v>Admin &amp; Other</v>
      </c>
      <c r="R2492" s="315" t="str">
        <f t="shared" si="215"/>
        <v>Admin &amp; OtherR&amp;M and Cleaning as % of Total Gross Profit</v>
      </c>
      <c r="S2492" s="199"/>
      <c r="T2492" s="199"/>
      <c r="U2492" s="199"/>
    </row>
    <row r="2493" spans="1:21" x14ac:dyDescent="0.25">
      <c r="A2493" t="s">
        <v>996</v>
      </c>
      <c r="B2493" t="s">
        <v>997</v>
      </c>
      <c r="C2493" t="s">
        <v>1005</v>
      </c>
      <c r="D2493">
        <v>7470</v>
      </c>
      <c r="E2493">
        <v>221</v>
      </c>
      <c r="F2493" t="s">
        <v>1400</v>
      </c>
      <c r="G2493" t="s">
        <v>1401</v>
      </c>
      <c r="H2493" s="315" t="s">
        <v>1000</v>
      </c>
      <c r="I2493" s="315" t="s">
        <v>1370</v>
      </c>
      <c r="J2493" s="315" t="str">
        <f t="shared" si="211"/>
        <v>Admin &amp; OtherR&amp;M and Cleaning as % of Total Gross Profit</v>
      </c>
      <c r="K2493" s="315" t="str">
        <f t="shared" si="212"/>
        <v>221Cleaning &amp; Security - Toyota</v>
      </c>
      <c r="L2493" s="311">
        <f>+SUMIF('TUNZ Extracted TB'!M:M,$P2493,'TUNZ Extracted TB'!G:G)</f>
        <v>0</v>
      </c>
      <c r="M2493" s="311"/>
      <c r="N2493" s="311">
        <f>+SUMIF('Input Sheet'!$AE:$AE,P2493,'Input Sheet'!$X:$X)</f>
        <v>0</v>
      </c>
      <c r="O2493" s="311"/>
      <c r="P2493" t="str">
        <f t="shared" si="213"/>
        <v>221-7470</v>
      </c>
      <c r="Q2493" s="315" t="str">
        <f t="shared" si="214"/>
        <v>Admin &amp; Other</v>
      </c>
      <c r="R2493" s="315" t="str">
        <f t="shared" si="215"/>
        <v>Admin &amp; OtherR&amp;M and Cleaning as % of Total Gross Profit</v>
      </c>
      <c r="S2493" s="199"/>
      <c r="T2493" s="199"/>
      <c r="U2493" s="199"/>
    </row>
    <row r="2494" spans="1:21" x14ac:dyDescent="0.25">
      <c r="A2494" t="s">
        <v>996</v>
      </c>
      <c r="B2494" t="s">
        <v>997</v>
      </c>
      <c r="C2494" t="s">
        <v>1005</v>
      </c>
      <c r="D2494">
        <v>7470</v>
      </c>
      <c r="E2494">
        <v>260</v>
      </c>
      <c r="F2494" t="s">
        <v>1400</v>
      </c>
      <c r="G2494" t="s">
        <v>1401</v>
      </c>
      <c r="H2494" s="315" t="s">
        <v>1000</v>
      </c>
      <c r="I2494" s="315" t="s">
        <v>1370</v>
      </c>
      <c r="J2494" s="315" t="str">
        <f t="shared" si="211"/>
        <v>Admin &amp; OtherR&amp;M and Cleaning as % of Total Gross Profit</v>
      </c>
      <c r="K2494" s="315" t="str">
        <f t="shared" si="212"/>
        <v>260Cleaning &amp; Security - Toyota</v>
      </c>
      <c r="L2494" s="311">
        <f>+SUMIF('TUNZ Extracted TB'!M:M,$P2494,'TUNZ Extracted TB'!G:G)</f>
        <v>0</v>
      </c>
      <c r="M2494" s="311"/>
      <c r="N2494" s="311">
        <f>+SUMIF('Input Sheet'!$AE:$AE,P2494,'Input Sheet'!$X:$X)</f>
        <v>0</v>
      </c>
      <c r="O2494" s="311"/>
      <c r="P2494" t="str">
        <f t="shared" si="213"/>
        <v>260-7470</v>
      </c>
      <c r="Q2494" s="315" t="str">
        <f t="shared" si="214"/>
        <v>Admin &amp; Other</v>
      </c>
      <c r="R2494" s="315" t="str">
        <f t="shared" si="215"/>
        <v>Admin &amp; OtherR&amp;M and Cleaning as % of Total Gross Profit</v>
      </c>
      <c r="S2494" s="199"/>
      <c r="T2494" s="199"/>
      <c r="U2494" s="199"/>
    </row>
    <row r="2495" spans="1:21" x14ac:dyDescent="0.25">
      <c r="A2495" t="s">
        <v>996</v>
      </c>
      <c r="B2495" t="s">
        <v>997</v>
      </c>
      <c r="C2495" t="s">
        <v>1012</v>
      </c>
      <c r="D2495">
        <v>7470</v>
      </c>
      <c r="E2495">
        <v>400</v>
      </c>
      <c r="F2495" t="s">
        <v>1400</v>
      </c>
      <c r="G2495" t="s">
        <v>1401</v>
      </c>
      <c r="H2495" s="315" t="s">
        <v>1000</v>
      </c>
      <c r="I2495" s="315" t="s">
        <v>1370</v>
      </c>
      <c r="J2495" s="315" t="str">
        <f t="shared" si="211"/>
        <v>Admin &amp; OtherR&amp;M and Cleaning as % of Total Gross Profit</v>
      </c>
      <c r="K2495" s="315" t="str">
        <f t="shared" si="212"/>
        <v>400Cleaning &amp; Security - Toyota</v>
      </c>
      <c r="L2495" s="311">
        <f>+SUMIF('TUNZ Extracted TB'!M:M,$P2495,'TUNZ Extracted TB'!G:G)</f>
        <v>0</v>
      </c>
      <c r="M2495" s="311"/>
      <c r="N2495" s="311">
        <f>+SUMIF('Input Sheet'!$AE:$AE,P2495,'Input Sheet'!$X:$X)</f>
        <v>0</v>
      </c>
      <c r="O2495" s="311"/>
      <c r="P2495" t="str">
        <f t="shared" si="213"/>
        <v>400-7470</v>
      </c>
      <c r="Q2495" s="315" t="str">
        <f t="shared" si="214"/>
        <v>Admin &amp; Other</v>
      </c>
      <c r="R2495" s="315" t="str">
        <f t="shared" si="215"/>
        <v>Admin &amp; OtherR&amp;M and Cleaning as % of Total Gross Profit</v>
      </c>
      <c r="S2495" s="199"/>
      <c r="T2495" s="199"/>
      <c r="U2495" s="199"/>
    </row>
    <row r="2496" spans="1:21" x14ac:dyDescent="0.25">
      <c r="A2496" t="s">
        <v>996</v>
      </c>
      <c r="B2496" t="s">
        <v>997</v>
      </c>
      <c r="C2496" t="s">
        <v>1012</v>
      </c>
      <c r="D2496">
        <v>7470</v>
      </c>
      <c r="E2496">
        <v>410</v>
      </c>
      <c r="F2496" t="s">
        <v>1400</v>
      </c>
      <c r="G2496" t="s">
        <v>1401</v>
      </c>
      <c r="H2496" s="315" t="s">
        <v>1000</v>
      </c>
      <c r="I2496" s="315" t="s">
        <v>1370</v>
      </c>
      <c r="J2496" s="315" t="str">
        <f t="shared" si="211"/>
        <v>Admin &amp; OtherR&amp;M and Cleaning as % of Total Gross Profit</v>
      </c>
      <c r="K2496" s="315" t="str">
        <f t="shared" si="212"/>
        <v>410Cleaning &amp; Security - Toyota</v>
      </c>
      <c r="L2496" s="311">
        <f>+SUMIF('TUNZ Extracted TB'!M:M,$P2496,'TUNZ Extracted TB'!G:G)</f>
        <v>0</v>
      </c>
      <c r="M2496" s="311"/>
      <c r="N2496" s="311">
        <f>+SUMIF('Input Sheet'!$AE:$AE,P2496,'Input Sheet'!$X:$X)</f>
        <v>0</v>
      </c>
      <c r="O2496" s="311"/>
      <c r="P2496" t="str">
        <f t="shared" si="213"/>
        <v>410-7470</v>
      </c>
      <c r="Q2496" s="315" t="str">
        <f t="shared" si="214"/>
        <v>Admin &amp; Other</v>
      </c>
      <c r="R2496" s="315" t="str">
        <f t="shared" si="215"/>
        <v>Admin &amp; OtherR&amp;M and Cleaning as % of Total Gross Profit</v>
      </c>
      <c r="S2496" s="199"/>
      <c r="T2496" s="199"/>
      <c r="U2496" s="199"/>
    </row>
    <row r="2497" spans="1:21" x14ac:dyDescent="0.25">
      <c r="A2497" t="s">
        <v>996</v>
      </c>
      <c r="B2497" t="s">
        <v>997</v>
      </c>
      <c r="C2497" t="s">
        <v>1012</v>
      </c>
      <c r="D2497">
        <v>7470</v>
      </c>
      <c r="E2497">
        <v>420</v>
      </c>
      <c r="F2497" t="s">
        <v>1400</v>
      </c>
      <c r="G2497" t="s">
        <v>1401</v>
      </c>
      <c r="H2497" s="315" t="s">
        <v>1000</v>
      </c>
      <c r="I2497" s="315" t="s">
        <v>1370</v>
      </c>
      <c r="J2497" s="315" t="str">
        <f t="shared" si="211"/>
        <v>Admin &amp; OtherR&amp;M and Cleaning as % of Total Gross Profit</v>
      </c>
      <c r="K2497" s="315" t="str">
        <f t="shared" si="212"/>
        <v>420Cleaning &amp; Security - Toyota</v>
      </c>
      <c r="L2497" s="311">
        <f>+SUMIF('TUNZ Extracted TB'!M:M,$P2497,'TUNZ Extracted TB'!G:G)</f>
        <v>0</v>
      </c>
      <c r="M2497" s="311"/>
      <c r="N2497" s="311">
        <f>+SUMIF('Input Sheet'!$AE:$AE,P2497,'Input Sheet'!$X:$X)</f>
        <v>0</v>
      </c>
      <c r="O2497" s="311"/>
      <c r="P2497" t="str">
        <f t="shared" si="213"/>
        <v>420-7470</v>
      </c>
      <c r="Q2497" s="315" t="str">
        <f t="shared" si="214"/>
        <v>Admin &amp; Other</v>
      </c>
      <c r="R2497" s="315" t="str">
        <f t="shared" si="215"/>
        <v>Admin &amp; OtherR&amp;M and Cleaning as % of Total Gross Profit</v>
      </c>
      <c r="S2497" s="199"/>
      <c r="T2497" s="199"/>
      <c r="U2497" s="199"/>
    </row>
    <row r="2498" spans="1:21" x14ac:dyDescent="0.25">
      <c r="A2498" t="s">
        <v>996</v>
      </c>
      <c r="B2498" t="s">
        <v>997</v>
      </c>
      <c r="C2498" t="s">
        <v>1012</v>
      </c>
      <c r="D2498">
        <v>7470</v>
      </c>
      <c r="E2498">
        <v>421</v>
      </c>
      <c r="F2498" t="s">
        <v>1400</v>
      </c>
      <c r="G2498" t="s">
        <v>1401</v>
      </c>
      <c r="H2498" s="315" t="s">
        <v>1000</v>
      </c>
      <c r="I2498" s="315" t="s">
        <v>1370</v>
      </c>
      <c r="J2498" s="315" t="str">
        <f t="shared" si="211"/>
        <v>Admin &amp; OtherR&amp;M and Cleaning as % of Total Gross Profit</v>
      </c>
      <c r="K2498" s="315" t="str">
        <f t="shared" si="212"/>
        <v>421Cleaning &amp; Security - Toyota</v>
      </c>
      <c r="L2498" s="311">
        <f>+SUMIF('TUNZ Extracted TB'!M:M,$P2498,'TUNZ Extracted TB'!G:G)</f>
        <v>0</v>
      </c>
      <c r="M2498" s="311"/>
      <c r="N2498" s="311">
        <f>+SUMIF('Input Sheet'!$AE:$AE,P2498,'Input Sheet'!$X:$X)</f>
        <v>0</v>
      </c>
      <c r="O2498" s="311"/>
      <c r="P2498" t="str">
        <f t="shared" si="213"/>
        <v>421-7470</v>
      </c>
      <c r="Q2498" s="315" t="str">
        <f t="shared" si="214"/>
        <v>Admin &amp; Other</v>
      </c>
      <c r="R2498" s="315" t="str">
        <f t="shared" si="215"/>
        <v>Admin &amp; OtherR&amp;M and Cleaning as % of Total Gross Profit</v>
      </c>
      <c r="S2498" s="199"/>
      <c r="T2498" s="199"/>
      <c r="U2498" s="199"/>
    </row>
    <row r="2499" spans="1:21" x14ac:dyDescent="0.25">
      <c r="A2499" t="s">
        <v>996</v>
      </c>
      <c r="B2499" t="s">
        <v>997</v>
      </c>
      <c r="C2499" t="s">
        <v>1012</v>
      </c>
      <c r="D2499">
        <v>7470</v>
      </c>
      <c r="E2499">
        <v>460</v>
      </c>
      <c r="F2499" t="s">
        <v>1400</v>
      </c>
      <c r="G2499" t="s">
        <v>1401</v>
      </c>
      <c r="H2499" s="315" t="s">
        <v>1000</v>
      </c>
      <c r="I2499" s="315" t="s">
        <v>1370</v>
      </c>
      <c r="J2499" s="315" t="str">
        <f t="shared" ref="J2499:J2562" si="216">+H2499&amp;I2499</f>
        <v>Admin &amp; OtherR&amp;M and Cleaning as % of Total Gross Profit</v>
      </c>
      <c r="K2499" s="315" t="str">
        <f t="shared" ref="K2499:K2562" si="217">+E2499&amp;G2499</f>
        <v>460Cleaning &amp; Security - Toyota</v>
      </c>
      <c r="L2499" s="311">
        <f>+SUMIF('TUNZ Extracted TB'!M:M,$P2499,'TUNZ Extracted TB'!G:G)</f>
        <v>0</v>
      </c>
      <c r="M2499" s="311"/>
      <c r="N2499" s="311">
        <f>+SUMIF('Input Sheet'!$AE:$AE,P2499,'Input Sheet'!$X:$X)</f>
        <v>0</v>
      </c>
      <c r="O2499" s="311"/>
      <c r="P2499" t="str">
        <f t="shared" ref="P2499:P2562" si="218">+E2499&amp;"-"&amp;D2499</f>
        <v>460-7470</v>
      </c>
      <c r="Q2499" s="315" t="str">
        <f t="shared" ref="Q2499:Q2562" si="219">H2499</f>
        <v>Admin &amp; Other</v>
      </c>
      <c r="R2499" s="315" t="str">
        <f t="shared" ref="R2499:R2562" si="220">J2499</f>
        <v>Admin &amp; OtherR&amp;M and Cleaning as % of Total Gross Profit</v>
      </c>
      <c r="S2499" s="199"/>
      <c r="T2499" s="199"/>
      <c r="U2499" s="199"/>
    </row>
    <row r="2500" spans="1:21" x14ac:dyDescent="0.25">
      <c r="A2500" t="s">
        <v>996</v>
      </c>
      <c r="B2500" t="s">
        <v>997</v>
      </c>
      <c r="C2500" t="s">
        <v>1013</v>
      </c>
      <c r="D2500">
        <v>7470</v>
      </c>
      <c r="E2500">
        <v>300</v>
      </c>
      <c r="F2500" t="s">
        <v>1400</v>
      </c>
      <c r="G2500" t="s">
        <v>1401</v>
      </c>
      <c r="H2500" s="315" t="s">
        <v>1000</v>
      </c>
      <c r="I2500" s="315" t="s">
        <v>1370</v>
      </c>
      <c r="J2500" s="315" t="str">
        <f t="shared" si="216"/>
        <v>Admin &amp; OtherR&amp;M and Cleaning as % of Total Gross Profit</v>
      </c>
      <c r="K2500" s="315" t="str">
        <f t="shared" si="217"/>
        <v>300Cleaning &amp; Security - Toyota</v>
      </c>
      <c r="L2500" s="311">
        <f>+SUMIF('TUNZ Extracted TB'!M:M,$P2500,'TUNZ Extracted TB'!G:G)</f>
        <v>0</v>
      </c>
      <c r="M2500" s="311"/>
      <c r="N2500" s="311">
        <f>+SUMIF('Input Sheet'!$AE:$AE,P2500,'Input Sheet'!$X:$X)</f>
        <v>0</v>
      </c>
      <c r="O2500" s="311"/>
      <c r="P2500" t="str">
        <f t="shared" si="218"/>
        <v>300-7470</v>
      </c>
      <c r="Q2500" s="315" t="str">
        <f t="shared" si="219"/>
        <v>Admin &amp; Other</v>
      </c>
      <c r="R2500" s="315" t="str">
        <f t="shared" si="220"/>
        <v>Admin &amp; OtherR&amp;M and Cleaning as % of Total Gross Profit</v>
      </c>
      <c r="S2500" s="199"/>
      <c r="T2500" s="199"/>
      <c r="U2500" s="199"/>
    </row>
    <row r="2501" spans="1:21" x14ac:dyDescent="0.25">
      <c r="A2501" t="s">
        <v>996</v>
      </c>
      <c r="B2501" t="s">
        <v>997</v>
      </c>
      <c r="C2501" t="s">
        <v>1013</v>
      </c>
      <c r="D2501">
        <v>7470</v>
      </c>
      <c r="E2501">
        <v>310</v>
      </c>
      <c r="F2501" t="s">
        <v>1400</v>
      </c>
      <c r="G2501" t="s">
        <v>1401</v>
      </c>
      <c r="H2501" s="315" t="s">
        <v>1000</v>
      </c>
      <c r="I2501" s="315" t="s">
        <v>1370</v>
      </c>
      <c r="J2501" s="315" t="str">
        <f t="shared" si="216"/>
        <v>Admin &amp; OtherR&amp;M and Cleaning as % of Total Gross Profit</v>
      </c>
      <c r="K2501" s="315" t="str">
        <f t="shared" si="217"/>
        <v>310Cleaning &amp; Security - Toyota</v>
      </c>
      <c r="L2501" s="311">
        <f>+SUMIF('TUNZ Extracted TB'!M:M,$P2501,'TUNZ Extracted TB'!G:G)</f>
        <v>0</v>
      </c>
      <c r="M2501" s="311"/>
      <c r="N2501" s="311">
        <f>+SUMIF('Input Sheet'!$AE:$AE,P2501,'Input Sheet'!$X:$X)</f>
        <v>0</v>
      </c>
      <c r="O2501" s="311"/>
      <c r="P2501" t="str">
        <f t="shared" si="218"/>
        <v>310-7470</v>
      </c>
      <c r="Q2501" s="315" t="str">
        <f t="shared" si="219"/>
        <v>Admin &amp; Other</v>
      </c>
      <c r="R2501" s="315" t="str">
        <f t="shared" si="220"/>
        <v>Admin &amp; OtherR&amp;M and Cleaning as % of Total Gross Profit</v>
      </c>
      <c r="S2501" s="199"/>
      <c r="T2501" s="199"/>
      <c r="U2501" s="199"/>
    </row>
    <row r="2502" spans="1:21" x14ac:dyDescent="0.25">
      <c r="A2502" t="s">
        <v>996</v>
      </c>
      <c r="B2502" t="s">
        <v>997</v>
      </c>
      <c r="C2502" t="s">
        <v>1013</v>
      </c>
      <c r="D2502">
        <v>7470</v>
      </c>
      <c r="E2502">
        <v>321</v>
      </c>
      <c r="F2502" t="s">
        <v>1400</v>
      </c>
      <c r="G2502" t="s">
        <v>1401</v>
      </c>
      <c r="H2502" s="315" t="s">
        <v>1000</v>
      </c>
      <c r="I2502" s="315" t="s">
        <v>1370</v>
      </c>
      <c r="J2502" s="315" t="str">
        <f t="shared" si="216"/>
        <v>Admin &amp; OtherR&amp;M and Cleaning as % of Total Gross Profit</v>
      </c>
      <c r="K2502" s="315" t="str">
        <f t="shared" si="217"/>
        <v>321Cleaning &amp; Security - Toyota</v>
      </c>
      <c r="L2502" s="311">
        <f>+SUMIF('TUNZ Extracted TB'!M:M,$P2502,'TUNZ Extracted TB'!G:G)</f>
        <v>0</v>
      </c>
      <c r="M2502" s="311"/>
      <c r="N2502" s="311">
        <f>+SUMIF('Input Sheet'!$AE:$AE,P2502,'Input Sheet'!$X:$X)</f>
        <v>0</v>
      </c>
      <c r="O2502" s="311"/>
      <c r="P2502" t="str">
        <f t="shared" si="218"/>
        <v>321-7470</v>
      </c>
      <c r="Q2502" s="315" t="str">
        <f t="shared" si="219"/>
        <v>Admin &amp; Other</v>
      </c>
      <c r="R2502" s="315" t="str">
        <f t="shared" si="220"/>
        <v>Admin &amp; OtherR&amp;M and Cleaning as % of Total Gross Profit</v>
      </c>
      <c r="S2502" s="199"/>
      <c r="T2502" s="199"/>
      <c r="U2502" s="199"/>
    </row>
    <row r="2503" spans="1:21" x14ac:dyDescent="0.25">
      <c r="A2503" t="s">
        <v>996</v>
      </c>
      <c r="B2503" t="s">
        <v>997</v>
      </c>
      <c r="C2503" t="s">
        <v>1013</v>
      </c>
      <c r="D2503">
        <v>7470</v>
      </c>
      <c r="E2503">
        <v>360</v>
      </c>
      <c r="F2503" t="s">
        <v>1400</v>
      </c>
      <c r="G2503" t="s">
        <v>1401</v>
      </c>
      <c r="H2503" s="315" t="s">
        <v>1000</v>
      </c>
      <c r="I2503" s="315" t="s">
        <v>1370</v>
      </c>
      <c r="J2503" s="315" t="str">
        <f t="shared" si="216"/>
        <v>Admin &amp; OtherR&amp;M and Cleaning as % of Total Gross Profit</v>
      </c>
      <c r="K2503" s="315" t="str">
        <f t="shared" si="217"/>
        <v>360Cleaning &amp; Security - Toyota</v>
      </c>
      <c r="L2503" s="311">
        <f>+SUMIF('TUNZ Extracted TB'!M:M,$P2503,'TUNZ Extracted TB'!G:G)</f>
        <v>0</v>
      </c>
      <c r="M2503" s="311"/>
      <c r="N2503" s="311">
        <f>+SUMIF('Input Sheet'!$AE:$AE,P2503,'Input Sheet'!$X:$X)</f>
        <v>0</v>
      </c>
      <c r="O2503" s="311"/>
      <c r="P2503" t="str">
        <f t="shared" si="218"/>
        <v>360-7470</v>
      </c>
      <c r="Q2503" s="315" t="str">
        <f t="shared" si="219"/>
        <v>Admin &amp; Other</v>
      </c>
      <c r="R2503" s="315" t="str">
        <f t="shared" si="220"/>
        <v>Admin &amp; OtherR&amp;M and Cleaning as % of Total Gross Profit</v>
      </c>
      <c r="S2503" s="199"/>
      <c r="T2503" s="199"/>
      <c r="U2503" s="199"/>
    </row>
    <row r="2504" spans="1:21" x14ac:dyDescent="0.25">
      <c r="A2504" t="s">
        <v>996</v>
      </c>
      <c r="B2504" t="s">
        <v>997</v>
      </c>
      <c r="C2504" t="s">
        <v>997</v>
      </c>
      <c r="D2504">
        <v>7470</v>
      </c>
      <c r="E2504">
        <v>147</v>
      </c>
      <c r="F2504" t="s">
        <v>1400</v>
      </c>
      <c r="G2504" t="s">
        <v>1401</v>
      </c>
      <c r="H2504" s="315" t="s">
        <v>1000</v>
      </c>
      <c r="I2504" s="315" t="s">
        <v>1370</v>
      </c>
      <c r="J2504" s="315" t="str">
        <f t="shared" si="216"/>
        <v>Admin &amp; OtherR&amp;M and Cleaning as % of Total Gross Profit</v>
      </c>
      <c r="K2504" s="315" t="str">
        <f t="shared" si="217"/>
        <v>147Cleaning &amp; Security - Toyota</v>
      </c>
      <c r="L2504" s="311">
        <f>+SUMIF('TUNZ Extracted TB'!M:M,$P2504,'TUNZ Extracted TB'!G:G)</f>
        <v>0</v>
      </c>
      <c r="M2504" s="311"/>
      <c r="N2504" s="311">
        <f>+SUMIF('Input Sheet'!$AE:$AE,P2504,'Input Sheet'!$X:$X)</f>
        <v>0</v>
      </c>
      <c r="O2504" s="311"/>
      <c r="P2504" t="str">
        <f t="shared" si="218"/>
        <v>147-7470</v>
      </c>
      <c r="Q2504" s="315" t="str">
        <f t="shared" si="219"/>
        <v>Admin &amp; Other</v>
      </c>
      <c r="R2504" s="315" t="str">
        <f t="shared" si="220"/>
        <v>Admin &amp; OtherR&amp;M and Cleaning as % of Total Gross Profit</v>
      </c>
      <c r="S2504" s="199"/>
      <c r="T2504" s="199"/>
      <c r="U2504" s="199"/>
    </row>
    <row r="2505" spans="1:21" x14ac:dyDescent="0.25">
      <c r="A2505" t="s">
        <v>996</v>
      </c>
      <c r="B2505" t="s">
        <v>997</v>
      </c>
      <c r="C2505" t="s">
        <v>997</v>
      </c>
      <c r="D2505">
        <v>7470</v>
      </c>
      <c r="E2505">
        <v>110</v>
      </c>
      <c r="F2505" t="s">
        <v>1400</v>
      </c>
      <c r="G2505" t="s">
        <v>1401</v>
      </c>
      <c r="H2505" s="315" t="s">
        <v>1000</v>
      </c>
      <c r="I2505" s="315" t="s">
        <v>1370</v>
      </c>
      <c r="J2505" s="315" t="str">
        <f t="shared" si="216"/>
        <v>Admin &amp; OtherR&amp;M and Cleaning as % of Total Gross Profit</v>
      </c>
      <c r="K2505" s="315" t="str">
        <f t="shared" si="217"/>
        <v>110Cleaning &amp; Security - Toyota</v>
      </c>
      <c r="L2505" s="311">
        <f>+SUMIF('TUNZ Extracted TB'!M:M,$P2505,'TUNZ Extracted TB'!G:G)</f>
        <v>2086.3200000000002</v>
      </c>
      <c r="M2505" s="311"/>
      <c r="N2505" s="311">
        <f>+SUMIF('Input Sheet'!$AE:$AE,P2505,'Input Sheet'!$X:$X)</f>
        <v>0</v>
      </c>
      <c r="O2505" s="311"/>
      <c r="P2505" t="str">
        <f t="shared" si="218"/>
        <v>110-7470</v>
      </c>
      <c r="Q2505" s="315" t="str">
        <f t="shared" si="219"/>
        <v>Admin &amp; Other</v>
      </c>
      <c r="R2505" s="315" t="str">
        <f t="shared" si="220"/>
        <v>Admin &amp; OtherR&amp;M and Cleaning as % of Total Gross Profit</v>
      </c>
      <c r="S2505" s="199"/>
      <c r="T2505" s="199"/>
      <c r="U2505" s="199"/>
    </row>
    <row r="2506" spans="1:21" x14ac:dyDescent="0.25">
      <c r="A2506" t="s">
        <v>996</v>
      </c>
      <c r="B2506" t="s">
        <v>997</v>
      </c>
      <c r="C2506" t="s">
        <v>997</v>
      </c>
      <c r="D2506">
        <v>7470</v>
      </c>
      <c r="E2506">
        <v>112</v>
      </c>
      <c r="F2506" t="s">
        <v>1402</v>
      </c>
      <c r="G2506" t="s">
        <v>1403</v>
      </c>
      <c r="H2506" s="315" t="s">
        <v>1023</v>
      </c>
      <c r="I2506" s="315" t="s">
        <v>1370</v>
      </c>
      <c r="J2506" s="315" t="str">
        <f t="shared" si="216"/>
        <v>LEX Admin &amp; OtherR&amp;M and Cleaning as % of Total Gross Profit</v>
      </c>
      <c r="K2506" s="315" t="str">
        <f t="shared" si="217"/>
        <v>112Cleaning &amp; Security - Lexus</v>
      </c>
      <c r="L2506" s="311">
        <f>+SUMIF('TUNZ Extracted TB'!M:M,$P2506,'TUNZ Extracted TB'!G:G)</f>
        <v>2822.73</v>
      </c>
      <c r="M2506" s="311"/>
      <c r="N2506" s="311">
        <f>+SUMIF('Input Sheet'!$AE:$AE,P2506,'Input Sheet'!$X:$X)</f>
        <v>0</v>
      </c>
      <c r="O2506" s="311"/>
      <c r="P2506" t="str">
        <f t="shared" si="218"/>
        <v>112-7470</v>
      </c>
      <c r="Q2506" s="315" t="str">
        <f t="shared" si="219"/>
        <v>LEX Admin &amp; Other</v>
      </c>
      <c r="R2506" s="315" t="str">
        <f t="shared" si="220"/>
        <v>LEX Admin &amp; OtherR&amp;M and Cleaning as % of Total Gross Profit</v>
      </c>
      <c r="S2506" s="199"/>
      <c r="T2506" s="199"/>
      <c r="U2506" s="199"/>
    </row>
    <row r="2507" spans="1:21" x14ac:dyDescent="0.25">
      <c r="A2507" t="s">
        <v>996</v>
      </c>
      <c r="B2507" t="s">
        <v>997</v>
      </c>
      <c r="C2507" t="s">
        <v>997</v>
      </c>
      <c r="D2507">
        <v>7470</v>
      </c>
      <c r="E2507">
        <v>100</v>
      </c>
      <c r="F2507" t="s">
        <v>1400</v>
      </c>
      <c r="G2507" t="s">
        <v>1401</v>
      </c>
      <c r="H2507" s="315" t="s">
        <v>1000</v>
      </c>
      <c r="I2507" s="315" t="s">
        <v>1370</v>
      </c>
      <c r="J2507" s="315" t="str">
        <f t="shared" si="216"/>
        <v>Admin &amp; OtherR&amp;M and Cleaning as % of Total Gross Profit</v>
      </c>
      <c r="K2507" s="315" t="str">
        <f t="shared" si="217"/>
        <v>100Cleaning &amp; Security - Toyota</v>
      </c>
      <c r="L2507" s="311">
        <f>+SUMIF('TUNZ Extracted TB'!M:M,$P2507,'TUNZ Extracted TB'!G:G)</f>
        <v>0</v>
      </c>
      <c r="M2507" s="311"/>
      <c r="N2507" s="311">
        <f>+SUMIF('Input Sheet'!$AE:$AE,P2507,'Input Sheet'!$X:$X)</f>
        <v>0</v>
      </c>
      <c r="O2507" s="311"/>
      <c r="P2507" t="str">
        <f t="shared" si="218"/>
        <v>100-7470</v>
      </c>
      <c r="Q2507" s="315" t="str">
        <f t="shared" si="219"/>
        <v>Admin &amp; Other</v>
      </c>
      <c r="R2507" s="315" t="str">
        <f t="shared" si="220"/>
        <v>Admin &amp; OtherR&amp;M and Cleaning as % of Total Gross Profit</v>
      </c>
      <c r="S2507" s="199"/>
      <c r="T2507" s="199"/>
      <c r="U2507" s="199"/>
    </row>
    <row r="2508" spans="1:21" x14ac:dyDescent="0.25">
      <c r="A2508" t="s">
        <v>996</v>
      </c>
      <c r="B2508" t="s">
        <v>997</v>
      </c>
      <c r="C2508" t="s">
        <v>1005</v>
      </c>
      <c r="D2508">
        <v>7471</v>
      </c>
      <c r="E2508">
        <v>240</v>
      </c>
      <c r="F2508" t="s">
        <v>1400</v>
      </c>
      <c r="G2508" t="s">
        <v>1401</v>
      </c>
      <c r="H2508" s="315" t="s">
        <v>1000</v>
      </c>
      <c r="I2508" s="315" t="s">
        <v>1370</v>
      </c>
      <c r="J2508" s="315" t="str">
        <f t="shared" si="216"/>
        <v>Admin &amp; OtherR&amp;M and Cleaning as % of Total Gross Profit</v>
      </c>
      <c r="K2508" s="315" t="str">
        <f t="shared" si="217"/>
        <v>240Cleaning &amp; Security - Toyota</v>
      </c>
      <c r="L2508" s="311">
        <f>+SUMIF('TUNZ Extracted TB'!M:M,$P2508,'TUNZ Extracted TB'!G:G)</f>
        <v>1493.35</v>
      </c>
      <c r="M2508" s="311"/>
      <c r="N2508" s="311">
        <f>+SUMIF('Input Sheet'!$AE:$AE,P2508,'Input Sheet'!$X:$X)</f>
        <v>0</v>
      </c>
      <c r="O2508" s="311"/>
      <c r="P2508" t="str">
        <f t="shared" si="218"/>
        <v>240-7471</v>
      </c>
      <c r="Q2508" s="315" t="str">
        <f t="shared" si="219"/>
        <v>Admin &amp; Other</v>
      </c>
      <c r="R2508" s="315" t="str">
        <f t="shared" si="220"/>
        <v>Admin &amp; OtherR&amp;M and Cleaning as % of Total Gross Profit</v>
      </c>
      <c r="S2508" s="199"/>
      <c r="T2508" s="199"/>
      <c r="U2508" s="199"/>
    </row>
    <row r="2509" spans="1:21" x14ac:dyDescent="0.25">
      <c r="A2509" t="s">
        <v>996</v>
      </c>
      <c r="B2509" t="s">
        <v>997</v>
      </c>
      <c r="C2509" t="s">
        <v>1012</v>
      </c>
      <c r="D2509">
        <v>7471</v>
      </c>
      <c r="E2509">
        <v>440</v>
      </c>
      <c r="F2509" t="s">
        <v>1400</v>
      </c>
      <c r="G2509" t="s">
        <v>1401</v>
      </c>
      <c r="H2509" s="315" t="s">
        <v>1000</v>
      </c>
      <c r="I2509" s="315" t="s">
        <v>1370</v>
      </c>
      <c r="J2509" s="315" t="str">
        <f t="shared" si="216"/>
        <v>Admin &amp; OtherR&amp;M and Cleaning as % of Total Gross Profit</v>
      </c>
      <c r="K2509" s="315" t="str">
        <f t="shared" si="217"/>
        <v>440Cleaning &amp; Security - Toyota</v>
      </c>
      <c r="L2509" s="311">
        <f>+SUMIF('TUNZ Extracted TB'!M:M,$P2509,'TUNZ Extracted TB'!G:G)</f>
        <v>1073.44</v>
      </c>
      <c r="M2509" s="311"/>
      <c r="N2509" s="311">
        <f>+SUMIF('Input Sheet'!$AE:$AE,P2509,'Input Sheet'!$X:$X)</f>
        <v>0</v>
      </c>
      <c r="O2509" s="311"/>
      <c r="P2509" t="str">
        <f t="shared" si="218"/>
        <v>440-7471</v>
      </c>
      <c r="Q2509" s="315" t="str">
        <f t="shared" si="219"/>
        <v>Admin &amp; Other</v>
      </c>
      <c r="R2509" s="315" t="str">
        <f t="shared" si="220"/>
        <v>Admin &amp; OtherR&amp;M and Cleaning as % of Total Gross Profit</v>
      </c>
      <c r="S2509" s="199"/>
      <c r="T2509" s="199"/>
      <c r="U2509" s="199"/>
    </row>
    <row r="2510" spans="1:21" x14ac:dyDescent="0.25">
      <c r="A2510" t="s">
        <v>996</v>
      </c>
      <c r="B2510" t="s">
        <v>997</v>
      </c>
      <c r="C2510" t="s">
        <v>1013</v>
      </c>
      <c r="D2510">
        <v>7471</v>
      </c>
      <c r="E2510">
        <v>340</v>
      </c>
      <c r="F2510" t="s">
        <v>1400</v>
      </c>
      <c r="G2510" t="s">
        <v>1401</v>
      </c>
      <c r="H2510" s="315" t="s">
        <v>1000</v>
      </c>
      <c r="I2510" s="315" t="s">
        <v>1370</v>
      </c>
      <c r="J2510" s="315" t="str">
        <f t="shared" si="216"/>
        <v>Admin &amp; OtherR&amp;M and Cleaning as % of Total Gross Profit</v>
      </c>
      <c r="K2510" s="315" t="str">
        <f t="shared" si="217"/>
        <v>340Cleaning &amp; Security - Toyota</v>
      </c>
      <c r="L2510" s="311">
        <f>+SUMIF('TUNZ Extracted TB'!M:M,$P2510,'TUNZ Extracted TB'!G:G)</f>
        <v>786.64</v>
      </c>
      <c r="M2510" s="311"/>
      <c r="N2510" s="311">
        <f>+SUMIF('Input Sheet'!$AE:$AE,P2510,'Input Sheet'!$X:$X)</f>
        <v>0</v>
      </c>
      <c r="O2510" s="311"/>
      <c r="P2510" t="str">
        <f t="shared" si="218"/>
        <v>340-7471</v>
      </c>
      <c r="Q2510" s="315" t="str">
        <f t="shared" si="219"/>
        <v>Admin &amp; Other</v>
      </c>
      <c r="R2510" s="315" t="str">
        <f t="shared" si="220"/>
        <v>Admin &amp; OtherR&amp;M and Cleaning as % of Total Gross Profit</v>
      </c>
      <c r="S2510" s="199"/>
      <c r="T2510" s="199"/>
      <c r="U2510" s="199"/>
    </row>
    <row r="2511" spans="1:21" x14ac:dyDescent="0.25">
      <c r="A2511" s="316">
        <v>44866</v>
      </c>
      <c r="B2511" t="s">
        <v>997</v>
      </c>
      <c r="C2511" t="s">
        <v>997</v>
      </c>
      <c r="D2511">
        <v>7471</v>
      </c>
      <c r="E2511">
        <v>190</v>
      </c>
      <c r="G2511" t="s">
        <v>947</v>
      </c>
      <c r="H2511" s="315" t="s">
        <v>1000</v>
      </c>
      <c r="I2511" s="315" t="s">
        <v>1370</v>
      </c>
      <c r="J2511" s="315" t="str">
        <f t="shared" si="216"/>
        <v>Admin &amp; OtherR&amp;M and Cleaning as % of Total Gross Profit</v>
      </c>
      <c r="K2511" s="315" t="str">
        <f t="shared" si="217"/>
        <v>190Laundry</v>
      </c>
      <c r="L2511" s="311">
        <f>+SUMIF('TUNZ Extracted TB'!M:M,$P2511,'TUNZ Extracted TB'!G:G)</f>
        <v>0</v>
      </c>
      <c r="M2511" s="311"/>
      <c r="N2511" s="311">
        <f>+SUMIF('Input Sheet'!$AE:$AE,P2511,'Input Sheet'!$X:$X)</f>
        <v>0</v>
      </c>
      <c r="O2511" s="311"/>
      <c r="P2511" t="str">
        <f t="shared" si="218"/>
        <v>190-7471</v>
      </c>
      <c r="Q2511" s="315" t="str">
        <f t="shared" si="219"/>
        <v>Admin &amp; Other</v>
      </c>
      <c r="R2511" s="315" t="str">
        <f t="shared" si="220"/>
        <v>Admin &amp; OtherR&amp;M and Cleaning as % of Total Gross Profit</v>
      </c>
      <c r="S2511" s="199"/>
      <c r="T2511" s="199"/>
      <c r="U2511" s="199"/>
    </row>
    <row r="2512" spans="1:21" x14ac:dyDescent="0.25">
      <c r="A2512" t="s">
        <v>996</v>
      </c>
      <c r="B2512" t="s">
        <v>997</v>
      </c>
      <c r="C2512" t="s">
        <v>997</v>
      </c>
      <c r="D2512">
        <v>7471</v>
      </c>
      <c r="E2512">
        <v>140</v>
      </c>
      <c r="F2512" t="s">
        <v>1400</v>
      </c>
      <c r="G2512" t="s">
        <v>1401</v>
      </c>
      <c r="H2512" s="315" t="s">
        <v>1000</v>
      </c>
      <c r="I2512" s="315" t="s">
        <v>1370</v>
      </c>
      <c r="J2512" s="315" t="str">
        <f t="shared" si="216"/>
        <v>Admin &amp; OtherR&amp;M and Cleaning as % of Total Gross Profit</v>
      </c>
      <c r="K2512" s="315" t="str">
        <f t="shared" si="217"/>
        <v>140Cleaning &amp; Security - Toyota</v>
      </c>
      <c r="L2512" s="311">
        <f>+SUMIF('TUNZ Extracted TB'!M:M,$P2512,'TUNZ Extracted TB'!G:G)</f>
        <v>3195.58</v>
      </c>
      <c r="M2512" s="311"/>
      <c r="N2512" s="311">
        <f>+SUMIF('Input Sheet'!$AE:$AE,P2512,'Input Sheet'!$X:$X)</f>
        <v>0</v>
      </c>
      <c r="O2512" s="311"/>
      <c r="P2512" t="str">
        <f t="shared" si="218"/>
        <v>140-7471</v>
      </c>
      <c r="Q2512" s="315" t="str">
        <f t="shared" si="219"/>
        <v>Admin &amp; Other</v>
      </c>
      <c r="R2512" s="315" t="str">
        <f t="shared" si="220"/>
        <v>Admin &amp; OtherR&amp;M and Cleaning as % of Total Gross Profit</v>
      </c>
      <c r="S2512" s="199"/>
      <c r="T2512" s="199"/>
      <c r="U2512" s="199"/>
    </row>
    <row r="2513" spans="1:21" x14ac:dyDescent="0.25">
      <c r="A2513" t="s">
        <v>996</v>
      </c>
      <c r="B2513" t="s">
        <v>997</v>
      </c>
      <c r="C2513" t="s">
        <v>997</v>
      </c>
      <c r="D2513">
        <v>7471</v>
      </c>
      <c r="E2513">
        <v>142</v>
      </c>
      <c r="F2513" t="s">
        <v>1402</v>
      </c>
      <c r="G2513" t="s">
        <v>1403</v>
      </c>
      <c r="H2513" s="315" t="s">
        <v>1023</v>
      </c>
      <c r="I2513" s="315" t="s">
        <v>1370</v>
      </c>
      <c r="J2513" s="315" t="str">
        <f t="shared" si="216"/>
        <v>LEX Admin &amp; OtherR&amp;M and Cleaning as % of Total Gross Profit</v>
      </c>
      <c r="K2513" s="315" t="str">
        <f t="shared" si="217"/>
        <v>142Cleaning &amp; Security - Lexus</v>
      </c>
      <c r="L2513" s="311">
        <f>+SUMIF('TUNZ Extracted TB'!M:M,$P2513,'TUNZ Extracted TB'!G:G)</f>
        <v>852.25</v>
      </c>
      <c r="M2513" s="311"/>
      <c r="N2513" s="311">
        <f>+SUMIF('Input Sheet'!$AE:$AE,P2513,'Input Sheet'!$X:$X)</f>
        <v>0</v>
      </c>
      <c r="O2513" s="311"/>
      <c r="P2513" t="str">
        <f t="shared" si="218"/>
        <v>142-7471</v>
      </c>
      <c r="Q2513" s="315" t="str">
        <f t="shared" si="219"/>
        <v>LEX Admin &amp; Other</v>
      </c>
      <c r="R2513" s="315" t="str">
        <f t="shared" si="220"/>
        <v>LEX Admin &amp; OtherR&amp;M and Cleaning as % of Total Gross Profit</v>
      </c>
      <c r="S2513" s="199"/>
      <c r="T2513" s="199"/>
      <c r="U2513" s="199"/>
    </row>
    <row r="2514" spans="1:21" x14ac:dyDescent="0.25">
      <c r="A2514" t="s">
        <v>996</v>
      </c>
      <c r="B2514" t="s">
        <v>997</v>
      </c>
      <c r="C2514" t="s">
        <v>997</v>
      </c>
      <c r="D2514">
        <v>7471</v>
      </c>
      <c r="E2514">
        <v>132</v>
      </c>
      <c r="F2514" t="s">
        <v>1402</v>
      </c>
      <c r="G2514" t="s">
        <v>1403</v>
      </c>
      <c r="H2514" s="315" t="s">
        <v>1023</v>
      </c>
      <c r="I2514" s="315" t="s">
        <v>1370</v>
      </c>
      <c r="J2514" s="315" t="str">
        <f t="shared" si="216"/>
        <v>LEX Admin &amp; OtherR&amp;M and Cleaning as % of Total Gross Profit</v>
      </c>
      <c r="K2514" s="315" t="str">
        <f t="shared" si="217"/>
        <v>132Cleaning &amp; Security - Lexus</v>
      </c>
      <c r="L2514" s="311">
        <f>+SUMIF('TUNZ Extracted TB'!M:M,$P2514,'TUNZ Extracted TB'!G:G)</f>
        <v>0</v>
      </c>
      <c r="M2514" s="311"/>
      <c r="N2514" s="311">
        <f>+SUMIF('Input Sheet'!$AE:$AE,P2514,'Input Sheet'!$X:$X)</f>
        <v>0</v>
      </c>
      <c r="O2514" s="311"/>
      <c r="P2514" t="str">
        <f t="shared" si="218"/>
        <v>132-7471</v>
      </c>
      <c r="Q2514" s="315" t="str">
        <f t="shared" si="219"/>
        <v>LEX Admin &amp; Other</v>
      </c>
      <c r="R2514" s="315" t="str">
        <f t="shared" si="220"/>
        <v>LEX Admin &amp; OtherR&amp;M and Cleaning as % of Total Gross Profit</v>
      </c>
      <c r="S2514" s="199"/>
      <c r="T2514" s="199"/>
      <c r="U2514" s="199"/>
    </row>
    <row r="2515" spans="1:21" x14ac:dyDescent="0.25">
      <c r="A2515" t="s">
        <v>996</v>
      </c>
      <c r="B2515" t="s">
        <v>997</v>
      </c>
      <c r="C2515" t="s">
        <v>997</v>
      </c>
      <c r="D2515">
        <v>7471</v>
      </c>
      <c r="E2515">
        <v>130</v>
      </c>
      <c r="F2515" t="s">
        <v>1400</v>
      </c>
      <c r="G2515" t="s">
        <v>1401</v>
      </c>
      <c r="H2515" s="315" t="s">
        <v>1000</v>
      </c>
      <c r="I2515" s="315" t="s">
        <v>1370</v>
      </c>
      <c r="J2515" s="315" t="str">
        <f t="shared" si="216"/>
        <v>Admin &amp; OtherR&amp;M and Cleaning as % of Total Gross Profit</v>
      </c>
      <c r="K2515" s="315" t="str">
        <f t="shared" si="217"/>
        <v>130Cleaning &amp; Security - Toyota</v>
      </c>
      <c r="L2515" s="311">
        <f>+SUMIF('TUNZ Extracted TB'!M:M,$P2515,'TUNZ Extracted TB'!G:G)</f>
        <v>0</v>
      </c>
      <c r="M2515" s="311"/>
      <c r="N2515" s="311">
        <f>+SUMIF('Input Sheet'!$AE:$AE,P2515,'Input Sheet'!$X:$X)</f>
        <v>0</v>
      </c>
      <c r="O2515" s="311"/>
      <c r="P2515" t="str">
        <f t="shared" si="218"/>
        <v>130-7471</v>
      </c>
      <c r="Q2515" s="315" t="str">
        <f t="shared" si="219"/>
        <v>Admin &amp; Other</v>
      </c>
      <c r="R2515" s="315" t="str">
        <f t="shared" si="220"/>
        <v>Admin &amp; OtherR&amp;M and Cleaning as % of Total Gross Profit</v>
      </c>
      <c r="S2515" s="199"/>
      <c r="T2515" s="199"/>
      <c r="U2515" s="199"/>
    </row>
    <row r="2516" spans="1:21" x14ac:dyDescent="0.25">
      <c r="A2516" t="s">
        <v>996</v>
      </c>
      <c r="B2516" t="s">
        <v>997</v>
      </c>
      <c r="C2516" t="s">
        <v>997</v>
      </c>
      <c r="D2516">
        <v>7471</v>
      </c>
      <c r="E2516">
        <v>122</v>
      </c>
      <c r="F2516" t="s">
        <v>1402</v>
      </c>
      <c r="G2516" t="s">
        <v>1403</v>
      </c>
      <c r="H2516" s="315" t="s">
        <v>1023</v>
      </c>
      <c r="I2516" s="315" t="s">
        <v>1370</v>
      </c>
      <c r="J2516" s="315" t="str">
        <f t="shared" si="216"/>
        <v>LEX Admin &amp; OtherR&amp;M and Cleaning as % of Total Gross Profit</v>
      </c>
      <c r="K2516" s="315" t="str">
        <f t="shared" si="217"/>
        <v>122Cleaning &amp; Security - Lexus</v>
      </c>
      <c r="L2516" s="311">
        <f>+SUMIF('TUNZ Extracted TB'!M:M,$P2516,'TUNZ Extracted TB'!G:G)</f>
        <v>0</v>
      </c>
      <c r="M2516" s="311"/>
      <c r="N2516" s="311">
        <f>+SUMIF('Input Sheet'!$AE:$AE,P2516,'Input Sheet'!$X:$X)</f>
        <v>0</v>
      </c>
      <c r="O2516" s="311"/>
      <c r="P2516" t="str">
        <f t="shared" si="218"/>
        <v>122-7471</v>
      </c>
      <c r="Q2516" s="315" t="str">
        <f t="shared" si="219"/>
        <v>LEX Admin &amp; Other</v>
      </c>
      <c r="R2516" s="315" t="str">
        <f t="shared" si="220"/>
        <v>LEX Admin &amp; OtherR&amp;M and Cleaning as % of Total Gross Profit</v>
      </c>
      <c r="S2516" s="199"/>
      <c r="T2516" s="199"/>
      <c r="U2516" s="199"/>
    </row>
    <row r="2517" spans="1:21" x14ac:dyDescent="0.25">
      <c r="A2517" t="s">
        <v>996</v>
      </c>
      <c r="B2517" t="s">
        <v>997</v>
      </c>
      <c r="C2517" t="s">
        <v>997</v>
      </c>
      <c r="D2517">
        <v>7471</v>
      </c>
      <c r="E2517">
        <v>162</v>
      </c>
      <c r="F2517" t="s">
        <v>1402</v>
      </c>
      <c r="G2517" t="s">
        <v>1403</v>
      </c>
      <c r="H2517" s="315" t="s">
        <v>1023</v>
      </c>
      <c r="I2517" s="315" t="s">
        <v>1370</v>
      </c>
      <c r="J2517" s="315" t="str">
        <f t="shared" si="216"/>
        <v>LEX Admin &amp; OtherR&amp;M and Cleaning as % of Total Gross Profit</v>
      </c>
      <c r="K2517" s="315" t="str">
        <f t="shared" si="217"/>
        <v>162Cleaning &amp; Security - Lexus</v>
      </c>
      <c r="L2517" s="311">
        <f>+SUMIF('TUNZ Extracted TB'!M:M,$P2517,'TUNZ Extracted TB'!G:G)</f>
        <v>0</v>
      </c>
      <c r="M2517" s="311"/>
      <c r="N2517" s="311">
        <f>+SUMIF('Input Sheet'!$AE:$AE,P2517,'Input Sheet'!$X:$X)</f>
        <v>0</v>
      </c>
      <c r="O2517" s="311"/>
      <c r="P2517" t="str">
        <f t="shared" si="218"/>
        <v>162-7471</v>
      </c>
      <c r="Q2517" s="315" t="str">
        <f t="shared" si="219"/>
        <v>LEX Admin &amp; Other</v>
      </c>
      <c r="R2517" s="315" t="str">
        <f t="shared" si="220"/>
        <v>LEX Admin &amp; OtherR&amp;M and Cleaning as % of Total Gross Profit</v>
      </c>
      <c r="S2517" s="199"/>
      <c r="T2517" s="199"/>
      <c r="U2517" s="199"/>
    </row>
    <row r="2518" spans="1:21" x14ac:dyDescent="0.25">
      <c r="A2518" t="s">
        <v>996</v>
      </c>
      <c r="B2518" t="s">
        <v>997</v>
      </c>
      <c r="C2518" t="s">
        <v>997</v>
      </c>
      <c r="D2518">
        <v>7471</v>
      </c>
      <c r="E2518">
        <v>147</v>
      </c>
      <c r="F2518" t="s">
        <v>1400</v>
      </c>
      <c r="G2518" t="s">
        <v>1401</v>
      </c>
      <c r="H2518" s="315" t="s">
        <v>1000</v>
      </c>
      <c r="I2518" s="315" t="s">
        <v>1370</v>
      </c>
      <c r="J2518" s="315" t="str">
        <f t="shared" si="216"/>
        <v>Admin &amp; OtherR&amp;M and Cleaning as % of Total Gross Profit</v>
      </c>
      <c r="K2518" s="315" t="str">
        <f t="shared" si="217"/>
        <v>147Cleaning &amp; Security - Toyota</v>
      </c>
      <c r="L2518" s="311">
        <f>+SUMIF('TUNZ Extracted TB'!M:M,$P2518,'TUNZ Extracted TB'!G:G)</f>
        <v>0</v>
      </c>
      <c r="M2518" s="311"/>
      <c r="N2518" s="311">
        <f>+SUMIF('Input Sheet'!$AE:$AE,P2518,'Input Sheet'!$X:$X)</f>
        <v>0</v>
      </c>
      <c r="O2518" s="311"/>
      <c r="P2518" t="str">
        <f t="shared" si="218"/>
        <v>147-7471</v>
      </c>
      <c r="Q2518" s="315" t="str">
        <f t="shared" si="219"/>
        <v>Admin &amp; Other</v>
      </c>
      <c r="R2518" s="315" t="str">
        <f t="shared" si="220"/>
        <v>Admin &amp; OtherR&amp;M and Cleaning as % of Total Gross Profit</v>
      </c>
      <c r="S2518" s="199"/>
      <c r="T2518" s="199"/>
      <c r="U2518" s="199"/>
    </row>
    <row r="2519" spans="1:21" x14ac:dyDescent="0.25">
      <c r="A2519" t="s">
        <v>996</v>
      </c>
      <c r="B2519" t="s">
        <v>997</v>
      </c>
      <c r="C2519" t="s">
        <v>1005</v>
      </c>
      <c r="D2519">
        <v>7471</v>
      </c>
      <c r="E2519">
        <v>200</v>
      </c>
      <c r="F2519" t="s">
        <v>1400</v>
      </c>
      <c r="G2519" t="s">
        <v>1401</v>
      </c>
      <c r="H2519" s="315" t="s">
        <v>1000</v>
      </c>
      <c r="I2519" s="315" t="s">
        <v>1370</v>
      </c>
      <c r="J2519" s="315" t="str">
        <f t="shared" si="216"/>
        <v>Admin &amp; OtherR&amp;M and Cleaning as % of Total Gross Profit</v>
      </c>
      <c r="K2519" s="315" t="str">
        <f t="shared" si="217"/>
        <v>200Cleaning &amp; Security - Toyota</v>
      </c>
      <c r="L2519" s="311">
        <f>+SUMIF('TUNZ Extracted TB'!M:M,$P2519,'TUNZ Extracted TB'!G:G)</f>
        <v>0</v>
      </c>
      <c r="M2519" s="311"/>
      <c r="N2519" s="311">
        <f>+SUMIF('Input Sheet'!$AE:$AE,P2519,'Input Sheet'!$X:$X)</f>
        <v>0</v>
      </c>
      <c r="O2519" s="311"/>
      <c r="P2519" t="str">
        <f t="shared" si="218"/>
        <v>200-7471</v>
      </c>
      <c r="Q2519" s="315" t="str">
        <f t="shared" si="219"/>
        <v>Admin &amp; Other</v>
      </c>
      <c r="R2519" s="315" t="str">
        <f t="shared" si="220"/>
        <v>Admin &amp; OtherR&amp;M and Cleaning as % of Total Gross Profit</v>
      </c>
      <c r="S2519" s="199"/>
      <c r="T2519" s="199"/>
      <c r="U2519" s="199"/>
    </row>
    <row r="2520" spans="1:21" x14ac:dyDescent="0.25">
      <c r="A2520" t="s">
        <v>996</v>
      </c>
      <c r="B2520" t="s">
        <v>997</v>
      </c>
      <c r="C2520" t="s">
        <v>1005</v>
      </c>
      <c r="D2520">
        <v>7471</v>
      </c>
      <c r="E2520">
        <v>210</v>
      </c>
      <c r="F2520" t="s">
        <v>1400</v>
      </c>
      <c r="G2520" t="s">
        <v>1401</v>
      </c>
      <c r="H2520" s="315" t="s">
        <v>1000</v>
      </c>
      <c r="I2520" s="315" t="s">
        <v>1370</v>
      </c>
      <c r="J2520" s="315" t="str">
        <f t="shared" si="216"/>
        <v>Admin &amp; OtherR&amp;M and Cleaning as % of Total Gross Profit</v>
      </c>
      <c r="K2520" s="315" t="str">
        <f t="shared" si="217"/>
        <v>210Cleaning &amp; Security - Toyota</v>
      </c>
      <c r="L2520" s="311">
        <f>+SUMIF('TUNZ Extracted TB'!M:M,$P2520,'TUNZ Extracted TB'!G:G)</f>
        <v>0</v>
      </c>
      <c r="M2520" s="311"/>
      <c r="N2520" s="311">
        <f>+SUMIF('Input Sheet'!$AE:$AE,P2520,'Input Sheet'!$X:$X)</f>
        <v>0</v>
      </c>
      <c r="O2520" s="311"/>
      <c r="P2520" t="str">
        <f t="shared" si="218"/>
        <v>210-7471</v>
      </c>
      <c r="Q2520" s="315" t="str">
        <f t="shared" si="219"/>
        <v>Admin &amp; Other</v>
      </c>
      <c r="R2520" s="315" t="str">
        <f t="shared" si="220"/>
        <v>Admin &amp; OtherR&amp;M and Cleaning as % of Total Gross Profit</v>
      </c>
      <c r="S2520" s="199"/>
      <c r="T2520" s="199"/>
      <c r="U2520" s="199"/>
    </row>
    <row r="2521" spans="1:21" x14ac:dyDescent="0.25">
      <c r="A2521" t="s">
        <v>996</v>
      </c>
      <c r="B2521" t="s">
        <v>997</v>
      </c>
      <c r="C2521" t="s">
        <v>1005</v>
      </c>
      <c r="D2521">
        <v>7471</v>
      </c>
      <c r="E2521">
        <v>220</v>
      </c>
      <c r="F2521" t="s">
        <v>1400</v>
      </c>
      <c r="G2521" t="s">
        <v>1401</v>
      </c>
      <c r="H2521" s="315" t="s">
        <v>1000</v>
      </c>
      <c r="I2521" s="315" t="s">
        <v>1370</v>
      </c>
      <c r="J2521" s="315" t="str">
        <f t="shared" si="216"/>
        <v>Admin &amp; OtherR&amp;M and Cleaning as % of Total Gross Profit</v>
      </c>
      <c r="K2521" s="315" t="str">
        <f t="shared" si="217"/>
        <v>220Cleaning &amp; Security - Toyota</v>
      </c>
      <c r="L2521" s="311">
        <f>+SUMIF('TUNZ Extracted TB'!M:M,$P2521,'TUNZ Extracted TB'!G:G)</f>
        <v>0</v>
      </c>
      <c r="M2521" s="311"/>
      <c r="N2521" s="311">
        <f>+SUMIF('Input Sheet'!$AE:$AE,P2521,'Input Sheet'!$X:$X)</f>
        <v>0</v>
      </c>
      <c r="O2521" s="311"/>
      <c r="P2521" t="str">
        <f t="shared" si="218"/>
        <v>220-7471</v>
      </c>
      <c r="Q2521" s="315" t="str">
        <f t="shared" si="219"/>
        <v>Admin &amp; Other</v>
      </c>
      <c r="R2521" s="315" t="str">
        <f t="shared" si="220"/>
        <v>Admin &amp; OtherR&amp;M and Cleaning as % of Total Gross Profit</v>
      </c>
      <c r="S2521" s="199"/>
      <c r="T2521" s="199"/>
      <c r="U2521" s="199"/>
    </row>
    <row r="2522" spans="1:21" x14ac:dyDescent="0.25">
      <c r="A2522" t="s">
        <v>996</v>
      </c>
      <c r="B2522" t="s">
        <v>997</v>
      </c>
      <c r="C2522" t="s">
        <v>1005</v>
      </c>
      <c r="D2522">
        <v>7471</v>
      </c>
      <c r="E2522">
        <v>221</v>
      </c>
      <c r="F2522" t="s">
        <v>1400</v>
      </c>
      <c r="G2522" t="s">
        <v>1401</v>
      </c>
      <c r="H2522" s="315" t="s">
        <v>1000</v>
      </c>
      <c r="I2522" s="315" t="s">
        <v>1370</v>
      </c>
      <c r="J2522" s="315" t="str">
        <f t="shared" si="216"/>
        <v>Admin &amp; OtherR&amp;M and Cleaning as % of Total Gross Profit</v>
      </c>
      <c r="K2522" s="315" t="str">
        <f t="shared" si="217"/>
        <v>221Cleaning &amp; Security - Toyota</v>
      </c>
      <c r="L2522" s="311">
        <f>+SUMIF('TUNZ Extracted TB'!M:M,$P2522,'TUNZ Extracted TB'!G:G)</f>
        <v>0</v>
      </c>
      <c r="M2522" s="311"/>
      <c r="N2522" s="311">
        <f>+SUMIF('Input Sheet'!$AE:$AE,P2522,'Input Sheet'!$X:$X)</f>
        <v>0</v>
      </c>
      <c r="O2522" s="311"/>
      <c r="P2522" t="str">
        <f t="shared" si="218"/>
        <v>221-7471</v>
      </c>
      <c r="Q2522" s="315" t="str">
        <f t="shared" si="219"/>
        <v>Admin &amp; Other</v>
      </c>
      <c r="R2522" s="315" t="str">
        <f t="shared" si="220"/>
        <v>Admin &amp; OtherR&amp;M and Cleaning as % of Total Gross Profit</v>
      </c>
      <c r="S2522" s="199"/>
      <c r="T2522" s="199"/>
      <c r="U2522" s="199"/>
    </row>
    <row r="2523" spans="1:21" x14ac:dyDescent="0.25">
      <c r="A2523" t="s">
        <v>996</v>
      </c>
      <c r="B2523" t="s">
        <v>997</v>
      </c>
      <c r="C2523" t="s">
        <v>1005</v>
      </c>
      <c r="D2523">
        <v>7471</v>
      </c>
      <c r="E2523">
        <v>230</v>
      </c>
      <c r="F2523" t="s">
        <v>1400</v>
      </c>
      <c r="G2523" t="s">
        <v>1401</v>
      </c>
      <c r="H2523" s="315" t="s">
        <v>1000</v>
      </c>
      <c r="I2523" s="315" t="s">
        <v>1370</v>
      </c>
      <c r="J2523" s="315" t="str">
        <f t="shared" si="216"/>
        <v>Admin &amp; OtherR&amp;M and Cleaning as % of Total Gross Profit</v>
      </c>
      <c r="K2523" s="315" t="str">
        <f t="shared" si="217"/>
        <v>230Cleaning &amp; Security - Toyota</v>
      </c>
      <c r="L2523" s="311">
        <f>+SUMIF('TUNZ Extracted TB'!M:M,$P2523,'TUNZ Extracted TB'!G:G)</f>
        <v>0</v>
      </c>
      <c r="M2523" s="311"/>
      <c r="N2523" s="311">
        <f>+SUMIF('Input Sheet'!$AE:$AE,P2523,'Input Sheet'!$X:$X)</f>
        <v>0</v>
      </c>
      <c r="O2523" s="311"/>
      <c r="P2523" t="str">
        <f t="shared" si="218"/>
        <v>230-7471</v>
      </c>
      <c r="Q2523" s="315" t="str">
        <f t="shared" si="219"/>
        <v>Admin &amp; Other</v>
      </c>
      <c r="R2523" s="315" t="str">
        <f t="shared" si="220"/>
        <v>Admin &amp; OtherR&amp;M and Cleaning as % of Total Gross Profit</v>
      </c>
      <c r="S2523" s="199"/>
      <c r="T2523" s="199"/>
      <c r="U2523" s="199"/>
    </row>
    <row r="2524" spans="1:21" x14ac:dyDescent="0.25">
      <c r="A2524" t="s">
        <v>996</v>
      </c>
      <c r="B2524" t="s">
        <v>997</v>
      </c>
      <c r="C2524" t="s">
        <v>1005</v>
      </c>
      <c r="D2524">
        <v>7471</v>
      </c>
      <c r="E2524">
        <v>260</v>
      </c>
      <c r="F2524" t="s">
        <v>1400</v>
      </c>
      <c r="G2524" t="s">
        <v>1401</v>
      </c>
      <c r="H2524" s="315" t="s">
        <v>1000</v>
      </c>
      <c r="I2524" s="315" t="s">
        <v>1370</v>
      </c>
      <c r="J2524" s="315" t="str">
        <f t="shared" si="216"/>
        <v>Admin &amp; OtherR&amp;M and Cleaning as % of Total Gross Profit</v>
      </c>
      <c r="K2524" s="315" t="str">
        <f t="shared" si="217"/>
        <v>260Cleaning &amp; Security - Toyota</v>
      </c>
      <c r="L2524" s="311">
        <f>+SUMIF('TUNZ Extracted TB'!M:M,$P2524,'TUNZ Extracted TB'!G:G)</f>
        <v>0</v>
      </c>
      <c r="M2524" s="311"/>
      <c r="N2524" s="311">
        <f>+SUMIF('Input Sheet'!$AE:$AE,P2524,'Input Sheet'!$X:$X)</f>
        <v>0</v>
      </c>
      <c r="O2524" s="311"/>
      <c r="P2524" t="str">
        <f t="shared" si="218"/>
        <v>260-7471</v>
      </c>
      <c r="Q2524" s="315" t="str">
        <f t="shared" si="219"/>
        <v>Admin &amp; Other</v>
      </c>
      <c r="R2524" s="315" t="str">
        <f t="shared" si="220"/>
        <v>Admin &amp; OtherR&amp;M and Cleaning as % of Total Gross Profit</v>
      </c>
      <c r="S2524" s="199"/>
      <c r="T2524" s="199"/>
      <c r="U2524" s="199"/>
    </row>
    <row r="2525" spans="1:21" x14ac:dyDescent="0.25">
      <c r="A2525" t="s">
        <v>996</v>
      </c>
      <c r="B2525" t="s">
        <v>997</v>
      </c>
      <c r="C2525" t="s">
        <v>1012</v>
      </c>
      <c r="D2525">
        <v>7471</v>
      </c>
      <c r="E2525">
        <v>400</v>
      </c>
      <c r="F2525" t="s">
        <v>1400</v>
      </c>
      <c r="G2525" t="s">
        <v>1401</v>
      </c>
      <c r="H2525" s="315" t="s">
        <v>1000</v>
      </c>
      <c r="I2525" s="315" t="s">
        <v>1370</v>
      </c>
      <c r="J2525" s="315" t="str">
        <f t="shared" si="216"/>
        <v>Admin &amp; OtherR&amp;M and Cleaning as % of Total Gross Profit</v>
      </c>
      <c r="K2525" s="315" t="str">
        <f t="shared" si="217"/>
        <v>400Cleaning &amp; Security - Toyota</v>
      </c>
      <c r="L2525" s="311">
        <f>+SUMIF('TUNZ Extracted TB'!M:M,$P2525,'TUNZ Extracted TB'!G:G)</f>
        <v>0</v>
      </c>
      <c r="M2525" s="311"/>
      <c r="N2525" s="311">
        <f>+SUMIF('Input Sheet'!$AE:$AE,P2525,'Input Sheet'!$X:$X)</f>
        <v>0</v>
      </c>
      <c r="O2525" s="311"/>
      <c r="P2525" t="str">
        <f t="shared" si="218"/>
        <v>400-7471</v>
      </c>
      <c r="Q2525" s="315" t="str">
        <f t="shared" si="219"/>
        <v>Admin &amp; Other</v>
      </c>
      <c r="R2525" s="315" t="str">
        <f t="shared" si="220"/>
        <v>Admin &amp; OtherR&amp;M and Cleaning as % of Total Gross Profit</v>
      </c>
      <c r="S2525" s="199"/>
      <c r="T2525" s="199"/>
      <c r="U2525" s="199"/>
    </row>
    <row r="2526" spans="1:21" x14ac:dyDescent="0.25">
      <c r="A2526" t="s">
        <v>996</v>
      </c>
      <c r="B2526" t="s">
        <v>997</v>
      </c>
      <c r="C2526" t="s">
        <v>1012</v>
      </c>
      <c r="D2526">
        <v>7471</v>
      </c>
      <c r="E2526">
        <v>410</v>
      </c>
      <c r="F2526" t="s">
        <v>1400</v>
      </c>
      <c r="G2526" t="s">
        <v>1401</v>
      </c>
      <c r="H2526" s="315" t="s">
        <v>1000</v>
      </c>
      <c r="I2526" s="315" t="s">
        <v>1370</v>
      </c>
      <c r="J2526" s="315" t="str">
        <f t="shared" si="216"/>
        <v>Admin &amp; OtherR&amp;M and Cleaning as % of Total Gross Profit</v>
      </c>
      <c r="K2526" s="315" t="str">
        <f t="shared" si="217"/>
        <v>410Cleaning &amp; Security - Toyota</v>
      </c>
      <c r="L2526" s="311">
        <f>+SUMIF('TUNZ Extracted TB'!M:M,$P2526,'TUNZ Extracted TB'!G:G)</f>
        <v>0</v>
      </c>
      <c r="M2526" s="311"/>
      <c r="N2526" s="311">
        <f>+SUMIF('Input Sheet'!$AE:$AE,P2526,'Input Sheet'!$X:$X)</f>
        <v>0</v>
      </c>
      <c r="O2526" s="311"/>
      <c r="P2526" t="str">
        <f t="shared" si="218"/>
        <v>410-7471</v>
      </c>
      <c r="Q2526" s="315" t="str">
        <f t="shared" si="219"/>
        <v>Admin &amp; Other</v>
      </c>
      <c r="R2526" s="315" t="str">
        <f t="shared" si="220"/>
        <v>Admin &amp; OtherR&amp;M and Cleaning as % of Total Gross Profit</v>
      </c>
      <c r="S2526" s="199"/>
      <c r="T2526" s="199"/>
      <c r="U2526" s="199"/>
    </row>
    <row r="2527" spans="1:21" x14ac:dyDescent="0.25">
      <c r="A2527" t="s">
        <v>996</v>
      </c>
      <c r="B2527" t="s">
        <v>997</v>
      </c>
      <c r="C2527" t="s">
        <v>1012</v>
      </c>
      <c r="D2527">
        <v>7471</v>
      </c>
      <c r="E2527">
        <v>420</v>
      </c>
      <c r="F2527" t="s">
        <v>1400</v>
      </c>
      <c r="G2527" t="s">
        <v>1401</v>
      </c>
      <c r="H2527" s="315" t="s">
        <v>1000</v>
      </c>
      <c r="I2527" s="315" t="s">
        <v>1370</v>
      </c>
      <c r="J2527" s="315" t="str">
        <f t="shared" si="216"/>
        <v>Admin &amp; OtherR&amp;M and Cleaning as % of Total Gross Profit</v>
      </c>
      <c r="K2527" s="315" t="str">
        <f t="shared" si="217"/>
        <v>420Cleaning &amp; Security - Toyota</v>
      </c>
      <c r="L2527" s="311">
        <f>+SUMIF('TUNZ Extracted TB'!M:M,$P2527,'TUNZ Extracted TB'!G:G)</f>
        <v>0</v>
      </c>
      <c r="M2527" s="311"/>
      <c r="N2527" s="311">
        <f>+SUMIF('Input Sheet'!$AE:$AE,P2527,'Input Sheet'!$X:$X)</f>
        <v>0</v>
      </c>
      <c r="O2527" s="311"/>
      <c r="P2527" t="str">
        <f t="shared" si="218"/>
        <v>420-7471</v>
      </c>
      <c r="Q2527" s="315" t="str">
        <f t="shared" si="219"/>
        <v>Admin &amp; Other</v>
      </c>
      <c r="R2527" s="315" t="str">
        <f t="shared" si="220"/>
        <v>Admin &amp; OtherR&amp;M and Cleaning as % of Total Gross Profit</v>
      </c>
      <c r="S2527" s="199"/>
      <c r="T2527" s="199"/>
      <c r="U2527" s="199"/>
    </row>
    <row r="2528" spans="1:21" x14ac:dyDescent="0.25">
      <c r="A2528" t="s">
        <v>996</v>
      </c>
      <c r="B2528" t="s">
        <v>997</v>
      </c>
      <c r="C2528" t="s">
        <v>1012</v>
      </c>
      <c r="D2528">
        <v>7471</v>
      </c>
      <c r="E2528">
        <v>421</v>
      </c>
      <c r="F2528" t="s">
        <v>1400</v>
      </c>
      <c r="G2528" t="s">
        <v>1401</v>
      </c>
      <c r="H2528" s="315" t="s">
        <v>1000</v>
      </c>
      <c r="I2528" s="315" t="s">
        <v>1370</v>
      </c>
      <c r="J2528" s="315" t="str">
        <f t="shared" si="216"/>
        <v>Admin &amp; OtherR&amp;M and Cleaning as % of Total Gross Profit</v>
      </c>
      <c r="K2528" s="315" t="str">
        <f t="shared" si="217"/>
        <v>421Cleaning &amp; Security - Toyota</v>
      </c>
      <c r="L2528" s="311">
        <f>+SUMIF('TUNZ Extracted TB'!M:M,$P2528,'TUNZ Extracted TB'!G:G)</f>
        <v>0</v>
      </c>
      <c r="M2528" s="311"/>
      <c r="N2528" s="311">
        <f>+SUMIF('Input Sheet'!$AE:$AE,P2528,'Input Sheet'!$X:$X)</f>
        <v>0</v>
      </c>
      <c r="O2528" s="311"/>
      <c r="P2528" t="str">
        <f t="shared" si="218"/>
        <v>421-7471</v>
      </c>
      <c r="Q2528" s="315" t="str">
        <f t="shared" si="219"/>
        <v>Admin &amp; Other</v>
      </c>
      <c r="R2528" s="315" t="str">
        <f t="shared" si="220"/>
        <v>Admin &amp; OtherR&amp;M and Cleaning as % of Total Gross Profit</v>
      </c>
      <c r="S2528" s="199"/>
      <c r="T2528" s="199"/>
      <c r="U2528" s="199"/>
    </row>
    <row r="2529" spans="1:21" x14ac:dyDescent="0.25">
      <c r="A2529" t="s">
        <v>996</v>
      </c>
      <c r="B2529" t="s">
        <v>997</v>
      </c>
      <c r="C2529" t="s">
        <v>1012</v>
      </c>
      <c r="D2529">
        <v>7471</v>
      </c>
      <c r="E2529">
        <v>430</v>
      </c>
      <c r="F2529" t="s">
        <v>1400</v>
      </c>
      <c r="G2529" t="s">
        <v>1401</v>
      </c>
      <c r="H2529" s="315" t="s">
        <v>1000</v>
      </c>
      <c r="I2529" s="315" t="s">
        <v>1370</v>
      </c>
      <c r="J2529" s="315" t="str">
        <f t="shared" si="216"/>
        <v>Admin &amp; OtherR&amp;M and Cleaning as % of Total Gross Profit</v>
      </c>
      <c r="K2529" s="315" t="str">
        <f t="shared" si="217"/>
        <v>430Cleaning &amp; Security - Toyota</v>
      </c>
      <c r="L2529" s="311">
        <f>+SUMIF('TUNZ Extracted TB'!M:M,$P2529,'TUNZ Extracted TB'!G:G)</f>
        <v>0</v>
      </c>
      <c r="M2529" s="311"/>
      <c r="N2529" s="311">
        <f>+SUMIF('Input Sheet'!$AE:$AE,P2529,'Input Sheet'!$X:$X)</f>
        <v>0</v>
      </c>
      <c r="O2529" s="311"/>
      <c r="P2529" t="str">
        <f t="shared" si="218"/>
        <v>430-7471</v>
      </c>
      <c r="Q2529" s="315" t="str">
        <f t="shared" si="219"/>
        <v>Admin &amp; Other</v>
      </c>
      <c r="R2529" s="315" t="str">
        <f t="shared" si="220"/>
        <v>Admin &amp; OtherR&amp;M and Cleaning as % of Total Gross Profit</v>
      </c>
      <c r="S2529" s="199"/>
      <c r="T2529" s="199"/>
      <c r="U2529" s="199"/>
    </row>
    <row r="2530" spans="1:21" x14ac:dyDescent="0.25">
      <c r="A2530" t="s">
        <v>996</v>
      </c>
      <c r="B2530" t="s">
        <v>997</v>
      </c>
      <c r="C2530" t="s">
        <v>1012</v>
      </c>
      <c r="D2530">
        <v>7471</v>
      </c>
      <c r="E2530">
        <v>460</v>
      </c>
      <c r="F2530" t="s">
        <v>1400</v>
      </c>
      <c r="G2530" t="s">
        <v>1401</v>
      </c>
      <c r="H2530" s="315" t="s">
        <v>1000</v>
      </c>
      <c r="I2530" s="315" t="s">
        <v>1370</v>
      </c>
      <c r="J2530" s="315" t="str">
        <f t="shared" si="216"/>
        <v>Admin &amp; OtherR&amp;M and Cleaning as % of Total Gross Profit</v>
      </c>
      <c r="K2530" s="315" t="str">
        <f t="shared" si="217"/>
        <v>460Cleaning &amp; Security - Toyota</v>
      </c>
      <c r="L2530" s="311">
        <f>+SUMIF('TUNZ Extracted TB'!M:M,$P2530,'TUNZ Extracted TB'!G:G)</f>
        <v>0</v>
      </c>
      <c r="M2530" s="311"/>
      <c r="N2530" s="311">
        <f>+SUMIF('Input Sheet'!$AE:$AE,P2530,'Input Sheet'!$X:$X)</f>
        <v>0</v>
      </c>
      <c r="O2530" s="311"/>
      <c r="P2530" t="str">
        <f t="shared" si="218"/>
        <v>460-7471</v>
      </c>
      <c r="Q2530" s="315" t="str">
        <f t="shared" si="219"/>
        <v>Admin &amp; Other</v>
      </c>
      <c r="R2530" s="315" t="str">
        <f t="shared" si="220"/>
        <v>Admin &amp; OtherR&amp;M and Cleaning as % of Total Gross Profit</v>
      </c>
      <c r="S2530" s="199"/>
      <c r="T2530" s="199"/>
      <c r="U2530" s="199"/>
    </row>
    <row r="2531" spans="1:21" x14ac:dyDescent="0.25">
      <c r="A2531" t="s">
        <v>996</v>
      </c>
      <c r="B2531" t="s">
        <v>997</v>
      </c>
      <c r="C2531" t="s">
        <v>1013</v>
      </c>
      <c r="D2531">
        <v>7471</v>
      </c>
      <c r="E2531">
        <v>300</v>
      </c>
      <c r="F2531" t="s">
        <v>1400</v>
      </c>
      <c r="G2531" t="s">
        <v>1401</v>
      </c>
      <c r="H2531" s="315" t="s">
        <v>1000</v>
      </c>
      <c r="I2531" s="315" t="s">
        <v>1370</v>
      </c>
      <c r="J2531" s="315" t="str">
        <f t="shared" si="216"/>
        <v>Admin &amp; OtherR&amp;M and Cleaning as % of Total Gross Profit</v>
      </c>
      <c r="K2531" s="315" t="str">
        <f t="shared" si="217"/>
        <v>300Cleaning &amp; Security - Toyota</v>
      </c>
      <c r="L2531" s="311">
        <f>+SUMIF('TUNZ Extracted TB'!M:M,$P2531,'TUNZ Extracted TB'!G:G)</f>
        <v>0</v>
      </c>
      <c r="M2531" s="311"/>
      <c r="N2531" s="311">
        <f>+SUMIF('Input Sheet'!$AE:$AE,P2531,'Input Sheet'!$X:$X)</f>
        <v>0</v>
      </c>
      <c r="O2531" s="311"/>
      <c r="P2531" t="str">
        <f t="shared" si="218"/>
        <v>300-7471</v>
      </c>
      <c r="Q2531" s="315" t="str">
        <f t="shared" si="219"/>
        <v>Admin &amp; Other</v>
      </c>
      <c r="R2531" s="315" t="str">
        <f t="shared" si="220"/>
        <v>Admin &amp; OtherR&amp;M and Cleaning as % of Total Gross Profit</v>
      </c>
      <c r="S2531" s="199"/>
      <c r="T2531" s="199"/>
      <c r="U2531" s="199"/>
    </row>
    <row r="2532" spans="1:21" x14ac:dyDescent="0.25">
      <c r="A2532" t="s">
        <v>996</v>
      </c>
      <c r="B2532" t="s">
        <v>997</v>
      </c>
      <c r="C2532" t="s">
        <v>1013</v>
      </c>
      <c r="D2532">
        <v>7471</v>
      </c>
      <c r="E2532">
        <v>310</v>
      </c>
      <c r="F2532" t="s">
        <v>1400</v>
      </c>
      <c r="G2532" t="s">
        <v>1401</v>
      </c>
      <c r="H2532" s="315" t="s">
        <v>1000</v>
      </c>
      <c r="I2532" s="315" t="s">
        <v>1370</v>
      </c>
      <c r="J2532" s="315" t="str">
        <f t="shared" si="216"/>
        <v>Admin &amp; OtherR&amp;M and Cleaning as % of Total Gross Profit</v>
      </c>
      <c r="K2532" s="315" t="str">
        <f t="shared" si="217"/>
        <v>310Cleaning &amp; Security - Toyota</v>
      </c>
      <c r="L2532" s="311">
        <f>+SUMIF('TUNZ Extracted TB'!M:M,$P2532,'TUNZ Extracted TB'!G:G)</f>
        <v>0</v>
      </c>
      <c r="M2532" s="311"/>
      <c r="N2532" s="311">
        <f>+SUMIF('Input Sheet'!$AE:$AE,P2532,'Input Sheet'!$X:$X)</f>
        <v>0</v>
      </c>
      <c r="O2532" s="311"/>
      <c r="P2532" t="str">
        <f t="shared" si="218"/>
        <v>310-7471</v>
      </c>
      <c r="Q2532" s="315" t="str">
        <f t="shared" si="219"/>
        <v>Admin &amp; Other</v>
      </c>
      <c r="R2532" s="315" t="str">
        <f t="shared" si="220"/>
        <v>Admin &amp; OtherR&amp;M and Cleaning as % of Total Gross Profit</v>
      </c>
      <c r="S2532" s="199"/>
      <c r="T2532" s="199"/>
      <c r="U2532" s="199"/>
    </row>
    <row r="2533" spans="1:21" x14ac:dyDescent="0.25">
      <c r="A2533" t="s">
        <v>996</v>
      </c>
      <c r="B2533" t="s">
        <v>997</v>
      </c>
      <c r="C2533" t="s">
        <v>1013</v>
      </c>
      <c r="D2533">
        <v>7471</v>
      </c>
      <c r="E2533">
        <v>320</v>
      </c>
      <c r="F2533" t="s">
        <v>1400</v>
      </c>
      <c r="G2533" t="s">
        <v>1401</v>
      </c>
      <c r="H2533" s="315" t="s">
        <v>1000</v>
      </c>
      <c r="I2533" s="315" t="s">
        <v>1370</v>
      </c>
      <c r="J2533" s="315" t="str">
        <f t="shared" si="216"/>
        <v>Admin &amp; OtherR&amp;M and Cleaning as % of Total Gross Profit</v>
      </c>
      <c r="K2533" s="315" t="str">
        <f t="shared" si="217"/>
        <v>320Cleaning &amp; Security - Toyota</v>
      </c>
      <c r="L2533" s="311">
        <f>+SUMIF('TUNZ Extracted TB'!M:M,$P2533,'TUNZ Extracted TB'!G:G)</f>
        <v>0</v>
      </c>
      <c r="M2533" s="311"/>
      <c r="N2533" s="311">
        <f>+SUMIF('Input Sheet'!$AE:$AE,P2533,'Input Sheet'!$X:$X)</f>
        <v>0</v>
      </c>
      <c r="O2533" s="311"/>
      <c r="P2533" t="str">
        <f t="shared" si="218"/>
        <v>320-7471</v>
      </c>
      <c r="Q2533" s="315" t="str">
        <f t="shared" si="219"/>
        <v>Admin &amp; Other</v>
      </c>
      <c r="R2533" s="315" t="str">
        <f t="shared" si="220"/>
        <v>Admin &amp; OtherR&amp;M and Cleaning as % of Total Gross Profit</v>
      </c>
      <c r="S2533" s="199"/>
      <c r="T2533" s="199"/>
      <c r="U2533" s="199"/>
    </row>
    <row r="2534" spans="1:21" x14ac:dyDescent="0.25">
      <c r="A2534" t="s">
        <v>996</v>
      </c>
      <c r="B2534" t="s">
        <v>997</v>
      </c>
      <c r="C2534" t="s">
        <v>1013</v>
      </c>
      <c r="D2534">
        <v>7471</v>
      </c>
      <c r="E2534">
        <v>321</v>
      </c>
      <c r="F2534" t="s">
        <v>1400</v>
      </c>
      <c r="G2534" t="s">
        <v>1401</v>
      </c>
      <c r="H2534" s="315" t="s">
        <v>1000</v>
      </c>
      <c r="I2534" s="315" t="s">
        <v>1370</v>
      </c>
      <c r="J2534" s="315" t="str">
        <f t="shared" si="216"/>
        <v>Admin &amp; OtherR&amp;M and Cleaning as % of Total Gross Profit</v>
      </c>
      <c r="K2534" s="315" t="str">
        <f t="shared" si="217"/>
        <v>321Cleaning &amp; Security - Toyota</v>
      </c>
      <c r="L2534" s="311">
        <f>+SUMIF('TUNZ Extracted TB'!M:M,$P2534,'TUNZ Extracted TB'!G:G)</f>
        <v>0</v>
      </c>
      <c r="M2534" s="311"/>
      <c r="N2534" s="311">
        <f>+SUMIF('Input Sheet'!$AE:$AE,P2534,'Input Sheet'!$X:$X)</f>
        <v>0</v>
      </c>
      <c r="O2534" s="311"/>
      <c r="P2534" t="str">
        <f t="shared" si="218"/>
        <v>321-7471</v>
      </c>
      <c r="Q2534" s="315" t="str">
        <f t="shared" si="219"/>
        <v>Admin &amp; Other</v>
      </c>
      <c r="R2534" s="315" t="str">
        <f t="shared" si="220"/>
        <v>Admin &amp; OtherR&amp;M and Cleaning as % of Total Gross Profit</v>
      </c>
      <c r="S2534" s="199"/>
      <c r="T2534" s="199"/>
      <c r="U2534" s="199"/>
    </row>
    <row r="2535" spans="1:21" x14ac:dyDescent="0.25">
      <c r="A2535" t="s">
        <v>996</v>
      </c>
      <c r="B2535" t="s">
        <v>997</v>
      </c>
      <c r="C2535" t="s">
        <v>1013</v>
      </c>
      <c r="D2535">
        <v>7471</v>
      </c>
      <c r="E2535">
        <v>330</v>
      </c>
      <c r="F2535" t="s">
        <v>1400</v>
      </c>
      <c r="G2535" t="s">
        <v>1401</v>
      </c>
      <c r="H2535" s="315" t="s">
        <v>1000</v>
      </c>
      <c r="I2535" s="315" t="s">
        <v>1370</v>
      </c>
      <c r="J2535" s="315" t="str">
        <f t="shared" si="216"/>
        <v>Admin &amp; OtherR&amp;M and Cleaning as % of Total Gross Profit</v>
      </c>
      <c r="K2535" s="315" t="str">
        <f t="shared" si="217"/>
        <v>330Cleaning &amp; Security - Toyota</v>
      </c>
      <c r="L2535" s="311">
        <f>+SUMIF('TUNZ Extracted TB'!M:M,$P2535,'TUNZ Extracted TB'!G:G)</f>
        <v>0</v>
      </c>
      <c r="M2535" s="311"/>
      <c r="N2535" s="311">
        <f>+SUMIF('Input Sheet'!$AE:$AE,P2535,'Input Sheet'!$X:$X)</f>
        <v>0</v>
      </c>
      <c r="O2535" s="311"/>
      <c r="P2535" t="str">
        <f t="shared" si="218"/>
        <v>330-7471</v>
      </c>
      <c r="Q2535" s="315" t="str">
        <f t="shared" si="219"/>
        <v>Admin &amp; Other</v>
      </c>
      <c r="R2535" s="315" t="str">
        <f t="shared" si="220"/>
        <v>Admin &amp; OtherR&amp;M and Cleaning as % of Total Gross Profit</v>
      </c>
      <c r="S2535" s="199"/>
      <c r="T2535" s="199"/>
      <c r="U2535" s="199"/>
    </row>
    <row r="2536" spans="1:21" x14ac:dyDescent="0.25">
      <c r="A2536" t="s">
        <v>996</v>
      </c>
      <c r="B2536" t="s">
        <v>997</v>
      </c>
      <c r="C2536" t="s">
        <v>1013</v>
      </c>
      <c r="D2536">
        <v>7471</v>
      </c>
      <c r="E2536">
        <v>360</v>
      </c>
      <c r="F2536" t="s">
        <v>1400</v>
      </c>
      <c r="G2536" t="s">
        <v>1401</v>
      </c>
      <c r="H2536" s="315" t="s">
        <v>1000</v>
      </c>
      <c r="I2536" s="315" t="s">
        <v>1370</v>
      </c>
      <c r="J2536" s="315" t="str">
        <f t="shared" si="216"/>
        <v>Admin &amp; OtherR&amp;M and Cleaning as % of Total Gross Profit</v>
      </c>
      <c r="K2536" s="315" t="str">
        <f t="shared" si="217"/>
        <v>360Cleaning &amp; Security - Toyota</v>
      </c>
      <c r="L2536" s="311">
        <f>+SUMIF('TUNZ Extracted TB'!M:M,$P2536,'TUNZ Extracted TB'!G:G)</f>
        <v>0</v>
      </c>
      <c r="M2536" s="311"/>
      <c r="N2536" s="311">
        <f>+SUMIF('Input Sheet'!$AE:$AE,P2536,'Input Sheet'!$X:$X)</f>
        <v>0</v>
      </c>
      <c r="O2536" s="311"/>
      <c r="P2536" t="str">
        <f t="shared" si="218"/>
        <v>360-7471</v>
      </c>
      <c r="Q2536" s="315" t="str">
        <f t="shared" si="219"/>
        <v>Admin &amp; Other</v>
      </c>
      <c r="R2536" s="315" t="str">
        <f t="shared" si="220"/>
        <v>Admin &amp; OtherR&amp;M and Cleaning as % of Total Gross Profit</v>
      </c>
      <c r="S2536" s="199"/>
      <c r="T2536" s="199"/>
      <c r="U2536" s="199"/>
    </row>
    <row r="2537" spans="1:21" x14ac:dyDescent="0.25">
      <c r="A2537" t="s">
        <v>996</v>
      </c>
      <c r="B2537" t="s">
        <v>997</v>
      </c>
      <c r="C2537" t="s">
        <v>997</v>
      </c>
      <c r="D2537">
        <v>7471</v>
      </c>
      <c r="E2537">
        <v>120</v>
      </c>
      <c r="F2537" t="s">
        <v>1400</v>
      </c>
      <c r="G2537" t="s">
        <v>1401</v>
      </c>
      <c r="H2537" s="315" t="s">
        <v>1000</v>
      </c>
      <c r="I2537" s="315" t="s">
        <v>1370</v>
      </c>
      <c r="J2537" s="315" t="str">
        <f t="shared" si="216"/>
        <v>Admin &amp; OtherR&amp;M and Cleaning as % of Total Gross Profit</v>
      </c>
      <c r="K2537" s="315" t="str">
        <f t="shared" si="217"/>
        <v>120Cleaning &amp; Security - Toyota</v>
      </c>
      <c r="L2537" s="311">
        <f>+SUMIF('TUNZ Extracted TB'!M:M,$P2537,'TUNZ Extracted TB'!G:G)</f>
        <v>0</v>
      </c>
      <c r="M2537" s="311"/>
      <c r="N2537" s="311">
        <f>+SUMIF('Input Sheet'!$AE:$AE,P2537,'Input Sheet'!$X:$X)</f>
        <v>0</v>
      </c>
      <c r="O2537" s="311"/>
      <c r="P2537" t="str">
        <f t="shared" si="218"/>
        <v>120-7471</v>
      </c>
      <c r="Q2537" s="315" t="str">
        <f t="shared" si="219"/>
        <v>Admin &amp; Other</v>
      </c>
      <c r="R2537" s="315" t="str">
        <f t="shared" si="220"/>
        <v>Admin &amp; OtherR&amp;M and Cleaning as % of Total Gross Profit</v>
      </c>
      <c r="S2537" s="199"/>
      <c r="T2537" s="199"/>
      <c r="U2537" s="199"/>
    </row>
    <row r="2538" spans="1:21" x14ac:dyDescent="0.25">
      <c r="A2538" t="s">
        <v>996</v>
      </c>
      <c r="B2538" t="s">
        <v>997</v>
      </c>
      <c r="C2538" t="s">
        <v>997</v>
      </c>
      <c r="D2538">
        <v>7471</v>
      </c>
      <c r="E2538">
        <v>121</v>
      </c>
      <c r="F2538" t="s">
        <v>1400</v>
      </c>
      <c r="G2538" t="s">
        <v>1401</v>
      </c>
      <c r="H2538" s="315" t="s">
        <v>1000</v>
      </c>
      <c r="I2538" s="315" t="s">
        <v>1370</v>
      </c>
      <c r="J2538" s="315" t="str">
        <f t="shared" si="216"/>
        <v>Admin &amp; OtherR&amp;M and Cleaning as % of Total Gross Profit</v>
      </c>
      <c r="K2538" s="315" t="str">
        <f t="shared" si="217"/>
        <v>121Cleaning &amp; Security - Toyota</v>
      </c>
      <c r="L2538" s="311">
        <f>+SUMIF('TUNZ Extracted TB'!M:M,$P2538,'TUNZ Extracted TB'!G:G)</f>
        <v>0</v>
      </c>
      <c r="M2538" s="311"/>
      <c r="N2538" s="311">
        <f>+SUMIF('Input Sheet'!$AE:$AE,P2538,'Input Sheet'!$X:$X)</f>
        <v>0</v>
      </c>
      <c r="O2538" s="311"/>
      <c r="P2538" t="str">
        <f t="shared" si="218"/>
        <v>121-7471</v>
      </c>
      <c r="Q2538" s="315" t="str">
        <f t="shared" si="219"/>
        <v>Admin &amp; Other</v>
      </c>
      <c r="R2538" s="315" t="str">
        <f t="shared" si="220"/>
        <v>Admin &amp; OtherR&amp;M and Cleaning as % of Total Gross Profit</v>
      </c>
      <c r="S2538" s="199"/>
      <c r="T2538" s="199"/>
      <c r="U2538" s="199"/>
    </row>
    <row r="2539" spans="1:21" x14ac:dyDescent="0.25">
      <c r="A2539" t="s">
        <v>996</v>
      </c>
      <c r="B2539" t="s">
        <v>997</v>
      </c>
      <c r="C2539" t="s">
        <v>997</v>
      </c>
      <c r="D2539">
        <v>7471</v>
      </c>
      <c r="E2539">
        <v>160</v>
      </c>
      <c r="F2539" t="s">
        <v>1400</v>
      </c>
      <c r="G2539" t="s">
        <v>1401</v>
      </c>
      <c r="H2539" s="315" t="s">
        <v>1000</v>
      </c>
      <c r="I2539" s="315" t="s">
        <v>1370</v>
      </c>
      <c r="J2539" s="315" t="str">
        <f t="shared" si="216"/>
        <v>Admin &amp; OtherR&amp;M and Cleaning as % of Total Gross Profit</v>
      </c>
      <c r="K2539" s="315" t="str">
        <f t="shared" si="217"/>
        <v>160Cleaning &amp; Security - Toyota</v>
      </c>
      <c r="L2539" s="311">
        <f>+SUMIF('TUNZ Extracted TB'!M:M,$P2539,'TUNZ Extracted TB'!G:G)</f>
        <v>0</v>
      </c>
      <c r="M2539" s="311"/>
      <c r="N2539" s="311">
        <f>+SUMIF('Input Sheet'!$AE:$AE,P2539,'Input Sheet'!$X:$X)</f>
        <v>0</v>
      </c>
      <c r="O2539" s="311"/>
      <c r="P2539" t="str">
        <f t="shared" si="218"/>
        <v>160-7471</v>
      </c>
      <c r="Q2539" s="315" t="str">
        <f t="shared" si="219"/>
        <v>Admin &amp; Other</v>
      </c>
      <c r="R2539" s="315" t="str">
        <f t="shared" si="220"/>
        <v>Admin &amp; OtherR&amp;M and Cleaning as % of Total Gross Profit</v>
      </c>
      <c r="S2539" s="199"/>
      <c r="T2539" s="199"/>
      <c r="U2539" s="199"/>
    </row>
    <row r="2540" spans="1:21" x14ac:dyDescent="0.25">
      <c r="A2540" t="s">
        <v>996</v>
      </c>
      <c r="B2540" t="s">
        <v>997</v>
      </c>
      <c r="C2540" t="s">
        <v>997</v>
      </c>
      <c r="D2540">
        <v>7471</v>
      </c>
      <c r="E2540">
        <v>936</v>
      </c>
      <c r="F2540" t="s">
        <v>1175</v>
      </c>
      <c r="G2540" t="s">
        <v>1176</v>
      </c>
      <c r="H2540" s="315" t="s">
        <v>1023</v>
      </c>
      <c r="I2540" s="315" t="s">
        <v>1370</v>
      </c>
      <c r="J2540" s="315" t="str">
        <f t="shared" si="216"/>
        <v>LEX Admin &amp; OtherR&amp;M and Cleaning as % of Total Gross Profit</v>
      </c>
      <c r="K2540" s="315" t="str">
        <f t="shared" si="217"/>
        <v>936Other franchise/business expense</v>
      </c>
      <c r="L2540" s="311">
        <f>+SUMIF('TUNZ Extracted TB'!M:M,$P2540,'TUNZ Extracted TB'!G:G)</f>
        <v>0</v>
      </c>
      <c r="M2540" s="311"/>
      <c r="N2540" s="311">
        <f>+SUMIF('Input Sheet'!$AE:$AE,P2540,'Input Sheet'!$X:$X)</f>
        <v>0</v>
      </c>
      <c r="O2540" s="311"/>
      <c r="P2540" t="str">
        <f t="shared" si="218"/>
        <v>936-7471</v>
      </c>
      <c r="Q2540" s="315" t="str">
        <f t="shared" si="219"/>
        <v>LEX Admin &amp; Other</v>
      </c>
      <c r="R2540" s="315" t="str">
        <f t="shared" si="220"/>
        <v>LEX Admin &amp; OtherR&amp;M and Cleaning as % of Total Gross Profit</v>
      </c>
      <c r="S2540" s="199"/>
      <c r="T2540" s="199"/>
      <c r="U2540" s="199"/>
    </row>
    <row r="2541" spans="1:21" x14ac:dyDescent="0.25">
      <c r="A2541" t="s">
        <v>996</v>
      </c>
      <c r="B2541" t="s">
        <v>997</v>
      </c>
      <c r="C2541" t="s">
        <v>997</v>
      </c>
      <c r="D2541">
        <v>7471</v>
      </c>
      <c r="E2541">
        <v>935</v>
      </c>
      <c r="F2541" t="s">
        <v>1175</v>
      </c>
      <c r="G2541" t="s">
        <v>1176</v>
      </c>
      <c r="H2541" s="315" t="s">
        <v>1023</v>
      </c>
      <c r="I2541" s="315" t="s">
        <v>1370</v>
      </c>
      <c r="J2541" s="315" t="str">
        <f t="shared" si="216"/>
        <v>LEX Admin &amp; OtherR&amp;M and Cleaning as % of Total Gross Profit</v>
      </c>
      <c r="K2541" s="315" t="str">
        <f t="shared" si="217"/>
        <v>935Other franchise/business expense</v>
      </c>
      <c r="L2541" s="311">
        <f>+SUMIF('TUNZ Extracted TB'!M:M,$P2541,'TUNZ Extracted TB'!G:G)</f>
        <v>0</v>
      </c>
      <c r="M2541" s="311"/>
      <c r="N2541" s="311">
        <f>+SUMIF('Input Sheet'!$AE:$AE,P2541,'Input Sheet'!$X:$X)</f>
        <v>0</v>
      </c>
      <c r="O2541" s="311"/>
      <c r="P2541" t="str">
        <f t="shared" si="218"/>
        <v>935-7471</v>
      </c>
      <c r="Q2541" s="315" t="str">
        <f t="shared" si="219"/>
        <v>LEX Admin &amp; Other</v>
      </c>
      <c r="R2541" s="315" t="str">
        <f t="shared" si="220"/>
        <v>LEX Admin &amp; OtherR&amp;M and Cleaning as % of Total Gross Profit</v>
      </c>
      <c r="S2541" s="199"/>
      <c r="T2541" s="199"/>
      <c r="U2541" s="199"/>
    </row>
    <row r="2542" spans="1:21" x14ac:dyDescent="0.25">
      <c r="A2542" t="s">
        <v>996</v>
      </c>
      <c r="B2542" t="s">
        <v>997</v>
      </c>
      <c r="C2542" t="s">
        <v>997</v>
      </c>
      <c r="D2542">
        <v>7471</v>
      </c>
      <c r="E2542">
        <v>112</v>
      </c>
      <c r="F2542" t="s">
        <v>1402</v>
      </c>
      <c r="G2542" t="s">
        <v>1403</v>
      </c>
      <c r="H2542" s="315" t="s">
        <v>1023</v>
      </c>
      <c r="I2542" s="315" t="s">
        <v>1370</v>
      </c>
      <c r="J2542" s="315" t="str">
        <f t="shared" si="216"/>
        <v>LEX Admin &amp; OtherR&amp;M and Cleaning as % of Total Gross Profit</v>
      </c>
      <c r="K2542" s="315" t="str">
        <f t="shared" si="217"/>
        <v>112Cleaning &amp; Security - Lexus</v>
      </c>
      <c r="L2542" s="311">
        <f>+SUMIF('TUNZ Extracted TB'!M:M,$P2542,'TUNZ Extracted TB'!G:G)</f>
        <v>0</v>
      </c>
      <c r="M2542" s="311"/>
      <c r="N2542" s="311">
        <f>+SUMIF('Input Sheet'!$AE:$AE,P2542,'Input Sheet'!$X:$X)</f>
        <v>0</v>
      </c>
      <c r="O2542" s="311"/>
      <c r="P2542" t="str">
        <f t="shared" si="218"/>
        <v>112-7471</v>
      </c>
      <c r="Q2542" s="315" t="str">
        <f t="shared" si="219"/>
        <v>LEX Admin &amp; Other</v>
      </c>
      <c r="R2542" s="315" t="str">
        <f t="shared" si="220"/>
        <v>LEX Admin &amp; OtherR&amp;M and Cleaning as % of Total Gross Profit</v>
      </c>
      <c r="S2542" s="199"/>
      <c r="T2542" s="199"/>
      <c r="U2542" s="199"/>
    </row>
    <row r="2543" spans="1:21" x14ac:dyDescent="0.25">
      <c r="A2543" t="s">
        <v>996</v>
      </c>
      <c r="B2543" t="s">
        <v>997</v>
      </c>
      <c r="C2543" t="s">
        <v>997</v>
      </c>
      <c r="D2543">
        <v>7471</v>
      </c>
      <c r="E2543">
        <v>110</v>
      </c>
      <c r="F2543" t="s">
        <v>1400</v>
      </c>
      <c r="G2543" t="s">
        <v>1401</v>
      </c>
      <c r="H2543" s="315" t="s">
        <v>1000</v>
      </c>
      <c r="I2543" s="315" t="s">
        <v>1370</v>
      </c>
      <c r="J2543" s="315" t="str">
        <f t="shared" si="216"/>
        <v>Admin &amp; OtherR&amp;M and Cleaning as % of Total Gross Profit</v>
      </c>
      <c r="K2543" s="315" t="str">
        <f t="shared" si="217"/>
        <v>110Cleaning &amp; Security - Toyota</v>
      </c>
      <c r="L2543" s="311">
        <f>+SUMIF('TUNZ Extracted TB'!M:M,$P2543,'TUNZ Extracted TB'!G:G)</f>
        <v>0</v>
      </c>
      <c r="M2543" s="311"/>
      <c r="N2543" s="311">
        <f>+SUMIF('Input Sheet'!$AE:$AE,P2543,'Input Sheet'!$X:$X)</f>
        <v>0</v>
      </c>
      <c r="O2543" s="311"/>
      <c r="P2543" t="str">
        <f t="shared" si="218"/>
        <v>110-7471</v>
      </c>
      <c r="Q2543" s="315" t="str">
        <f t="shared" si="219"/>
        <v>Admin &amp; Other</v>
      </c>
      <c r="R2543" s="315" t="str">
        <f t="shared" si="220"/>
        <v>Admin &amp; OtherR&amp;M and Cleaning as % of Total Gross Profit</v>
      </c>
      <c r="S2543" s="199"/>
      <c r="T2543" s="199"/>
      <c r="U2543" s="199"/>
    </row>
    <row r="2544" spans="1:21" x14ac:dyDescent="0.25">
      <c r="A2544" t="s">
        <v>996</v>
      </c>
      <c r="B2544" t="s">
        <v>997</v>
      </c>
      <c r="C2544" t="s">
        <v>997</v>
      </c>
      <c r="D2544">
        <v>7471</v>
      </c>
      <c r="E2544">
        <v>100</v>
      </c>
      <c r="F2544" t="s">
        <v>1400</v>
      </c>
      <c r="G2544" t="s">
        <v>1401</v>
      </c>
      <c r="H2544" s="315" t="s">
        <v>1000</v>
      </c>
      <c r="I2544" s="315" t="s">
        <v>1370</v>
      </c>
      <c r="J2544" s="315" t="str">
        <f t="shared" si="216"/>
        <v>Admin &amp; OtherR&amp;M and Cleaning as % of Total Gross Profit</v>
      </c>
      <c r="K2544" s="315" t="str">
        <f t="shared" si="217"/>
        <v>100Cleaning &amp; Security - Toyota</v>
      </c>
      <c r="L2544" s="311">
        <f>+SUMIF('TUNZ Extracted TB'!M:M,$P2544,'TUNZ Extracted TB'!G:G)</f>
        <v>0</v>
      </c>
      <c r="M2544" s="311"/>
      <c r="N2544" s="311">
        <f>+SUMIF('Input Sheet'!$AE:$AE,P2544,'Input Sheet'!$X:$X)</f>
        <v>0</v>
      </c>
      <c r="O2544" s="311"/>
      <c r="P2544" t="str">
        <f t="shared" si="218"/>
        <v>100-7471</v>
      </c>
      <c r="Q2544" s="315" t="str">
        <f t="shared" si="219"/>
        <v>Admin &amp; Other</v>
      </c>
      <c r="R2544" s="315" t="str">
        <f t="shared" si="220"/>
        <v>Admin &amp; OtherR&amp;M and Cleaning as % of Total Gross Profit</v>
      </c>
      <c r="S2544" s="199"/>
      <c r="T2544" s="199"/>
      <c r="U2544" s="199"/>
    </row>
    <row r="2545" spans="1:21" x14ac:dyDescent="0.25">
      <c r="A2545" t="s">
        <v>996</v>
      </c>
      <c r="B2545" t="s">
        <v>997</v>
      </c>
      <c r="C2545" t="s">
        <v>1005</v>
      </c>
      <c r="D2545">
        <v>7475</v>
      </c>
      <c r="E2545">
        <v>240</v>
      </c>
      <c r="F2545" t="s">
        <v>1400</v>
      </c>
      <c r="G2545" t="s">
        <v>1401</v>
      </c>
      <c r="H2545" s="315" t="s">
        <v>1000</v>
      </c>
      <c r="I2545" s="315" t="s">
        <v>1370</v>
      </c>
      <c r="J2545" s="315" t="str">
        <f t="shared" si="216"/>
        <v>Admin &amp; OtherR&amp;M and Cleaning as % of Total Gross Profit</v>
      </c>
      <c r="K2545" s="315" t="str">
        <f t="shared" si="217"/>
        <v>240Cleaning &amp; Security - Toyota</v>
      </c>
      <c r="L2545" s="311">
        <f>+SUMIF('TUNZ Extracted TB'!M:M,$P2545,'TUNZ Extracted TB'!G:G)</f>
        <v>535.08000000000004</v>
      </c>
      <c r="M2545" s="311"/>
      <c r="N2545" s="311">
        <f>+SUMIF('Input Sheet'!$AE:$AE,P2545,'Input Sheet'!$X:$X)</f>
        <v>0</v>
      </c>
      <c r="O2545" s="311"/>
      <c r="P2545" t="str">
        <f t="shared" si="218"/>
        <v>240-7475</v>
      </c>
      <c r="Q2545" s="315" t="str">
        <f t="shared" si="219"/>
        <v>Admin &amp; Other</v>
      </c>
      <c r="R2545" s="315" t="str">
        <f t="shared" si="220"/>
        <v>Admin &amp; OtherR&amp;M and Cleaning as % of Total Gross Profit</v>
      </c>
      <c r="S2545" s="199"/>
      <c r="T2545" s="199"/>
      <c r="U2545" s="199"/>
    </row>
    <row r="2546" spans="1:21" x14ac:dyDescent="0.25">
      <c r="A2546" t="s">
        <v>996</v>
      </c>
      <c r="B2546" t="s">
        <v>997</v>
      </c>
      <c r="C2546" t="s">
        <v>1005</v>
      </c>
      <c r="D2546">
        <v>7475</v>
      </c>
      <c r="E2546">
        <v>210</v>
      </c>
      <c r="F2546" t="s">
        <v>1400</v>
      </c>
      <c r="G2546" t="s">
        <v>1401</v>
      </c>
      <c r="H2546" s="315" t="s">
        <v>1000</v>
      </c>
      <c r="I2546" s="315" t="s">
        <v>1370</v>
      </c>
      <c r="J2546" s="315" t="str">
        <f t="shared" si="216"/>
        <v>Admin &amp; OtherR&amp;M and Cleaning as % of Total Gross Profit</v>
      </c>
      <c r="K2546" s="315" t="str">
        <f t="shared" si="217"/>
        <v>210Cleaning &amp; Security - Toyota</v>
      </c>
      <c r="L2546" s="311">
        <f>+SUMIF('TUNZ Extracted TB'!M:M,$P2546,'TUNZ Extracted TB'!G:G)</f>
        <v>535.08000000000004</v>
      </c>
      <c r="M2546" s="311"/>
      <c r="N2546" s="311">
        <f>+SUMIF('Input Sheet'!$AE:$AE,P2546,'Input Sheet'!$X:$X)</f>
        <v>0</v>
      </c>
      <c r="O2546" s="311"/>
      <c r="P2546" t="str">
        <f t="shared" si="218"/>
        <v>210-7475</v>
      </c>
      <c r="Q2546" s="315" t="str">
        <f t="shared" si="219"/>
        <v>Admin &amp; Other</v>
      </c>
      <c r="R2546" s="315" t="str">
        <f t="shared" si="220"/>
        <v>Admin &amp; OtherR&amp;M and Cleaning as % of Total Gross Profit</v>
      </c>
      <c r="S2546" s="199"/>
      <c r="T2546" s="199"/>
      <c r="U2546" s="199"/>
    </row>
    <row r="2547" spans="1:21" x14ac:dyDescent="0.25">
      <c r="A2547" t="s">
        <v>996</v>
      </c>
      <c r="B2547" t="s">
        <v>997</v>
      </c>
      <c r="C2547" t="s">
        <v>1005</v>
      </c>
      <c r="D2547">
        <v>7475</v>
      </c>
      <c r="E2547">
        <v>220</v>
      </c>
      <c r="F2547" t="s">
        <v>1400</v>
      </c>
      <c r="G2547" t="s">
        <v>1401</v>
      </c>
      <c r="H2547" s="315" t="s">
        <v>1000</v>
      </c>
      <c r="I2547" s="315" t="s">
        <v>1370</v>
      </c>
      <c r="J2547" s="315" t="str">
        <f t="shared" si="216"/>
        <v>Admin &amp; OtherR&amp;M and Cleaning as % of Total Gross Profit</v>
      </c>
      <c r="K2547" s="315" t="str">
        <f t="shared" si="217"/>
        <v>220Cleaning &amp; Security - Toyota</v>
      </c>
      <c r="L2547" s="311">
        <f>+SUMIF('TUNZ Extracted TB'!M:M,$P2547,'TUNZ Extracted TB'!G:G)</f>
        <v>535.08000000000004</v>
      </c>
      <c r="M2547" s="311"/>
      <c r="N2547" s="311">
        <f>+SUMIF('Input Sheet'!$AE:$AE,P2547,'Input Sheet'!$X:$X)</f>
        <v>0</v>
      </c>
      <c r="O2547" s="311"/>
      <c r="P2547" t="str">
        <f t="shared" si="218"/>
        <v>220-7475</v>
      </c>
      <c r="Q2547" s="315" t="str">
        <f t="shared" si="219"/>
        <v>Admin &amp; Other</v>
      </c>
      <c r="R2547" s="315" t="str">
        <f t="shared" si="220"/>
        <v>Admin &amp; OtherR&amp;M and Cleaning as % of Total Gross Profit</v>
      </c>
      <c r="S2547" s="199"/>
      <c r="T2547" s="199"/>
      <c r="U2547" s="199"/>
    </row>
    <row r="2548" spans="1:21" x14ac:dyDescent="0.25">
      <c r="A2548" t="s">
        <v>996</v>
      </c>
      <c r="B2548" t="s">
        <v>997</v>
      </c>
      <c r="C2548" t="s">
        <v>1005</v>
      </c>
      <c r="D2548">
        <v>7475</v>
      </c>
      <c r="E2548">
        <v>230</v>
      </c>
      <c r="F2548" t="s">
        <v>1400</v>
      </c>
      <c r="G2548" t="s">
        <v>1401</v>
      </c>
      <c r="H2548" s="315" t="s">
        <v>1000</v>
      </c>
      <c r="I2548" s="315" t="s">
        <v>1370</v>
      </c>
      <c r="J2548" s="315" t="str">
        <f t="shared" si="216"/>
        <v>Admin &amp; OtherR&amp;M and Cleaning as % of Total Gross Profit</v>
      </c>
      <c r="K2548" s="315" t="str">
        <f t="shared" si="217"/>
        <v>230Cleaning &amp; Security - Toyota</v>
      </c>
      <c r="L2548" s="311">
        <f>+SUMIF('TUNZ Extracted TB'!M:M,$P2548,'TUNZ Extracted TB'!G:G)</f>
        <v>535.08000000000004</v>
      </c>
      <c r="M2548" s="311"/>
      <c r="N2548" s="311">
        <f>+SUMIF('Input Sheet'!$AE:$AE,P2548,'Input Sheet'!$X:$X)</f>
        <v>0</v>
      </c>
      <c r="O2548" s="311"/>
      <c r="P2548" t="str">
        <f t="shared" si="218"/>
        <v>230-7475</v>
      </c>
      <c r="Q2548" s="315" t="str">
        <f t="shared" si="219"/>
        <v>Admin &amp; Other</v>
      </c>
      <c r="R2548" s="315" t="str">
        <f t="shared" si="220"/>
        <v>Admin &amp; OtherR&amp;M and Cleaning as % of Total Gross Profit</v>
      </c>
      <c r="S2548" s="199"/>
      <c r="T2548" s="199"/>
      <c r="U2548" s="199"/>
    </row>
    <row r="2549" spans="1:21" x14ac:dyDescent="0.25">
      <c r="A2549" t="s">
        <v>996</v>
      </c>
      <c r="B2549" t="s">
        <v>997</v>
      </c>
      <c r="C2549" t="s">
        <v>1012</v>
      </c>
      <c r="D2549">
        <v>7475</v>
      </c>
      <c r="E2549">
        <v>430</v>
      </c>
      <c r="F2549" t="s">
        <v>1400</v>
      </c>
      <c r="G2549" t="s">
        <v>1401</v>
      </c>
      <c r="H2549" s="315" t="s">
        <v>1000</v>
      </c>
      <c r="I2549" s="315" t="s">
        <v>1370</v>
      </c>
      <c r="J2549" s="315" t="str">
        <f t="shared" si="216"/>
        <v>Admin &amp; OtherR&amp;M and Cleaning as % of Total Gross Profit</v>
      </c>
      <c r="K2549" s="315" t="str">
        <f t="shared" si="217"/>
        <v>430Cleaning &amp; Security - Toyota</v>
      </c>
      <c r="L2549" s="311">
        <f>+SUMIF('TUNZ Extracted TB'!M:M,$P2549,'TUNZ Extracted TB'!G:G)</f>
        <v>359.28</v>
      </c>
      <c r="M2549" s="311"/>
      <c r="N2549" s="311">
        <f>+SUMIF('Input Sheet'!$AE:$AE,P2549,'Input Sheet'!$X:$X)</f>
        <v>0</v>
      </c>
      <c r="O2549" s="311"/>
      <c r="P2549" t="str">
        <f t="shared" si="218"/>
        <v>430-7475</v>
      </c>
      <c r="Q2549" s="315" t="str">
        <f t="shared" si="219"/>
        <v>Admin &amp; Other</v>
      </c>
      <c r="R2549" s="315" t="str">
        <f t="shared" si="220"/>
        <v>Admin &amp; OtherR&amp;M and Cleaning as % of Total Gross Profit</v>
      </c>
      <c r="S2549" s="199"/>
      <c r="T2549" s="199"/>
      <c r="U2549" s="199"/>
    </row>
    <row r="2550" spans="1:21" x14ac:dyDescent="0.25">
      <c r="A2550" t="s">
        <v>996</v>
      </c>
      <c r="B2550" t="s">
        <v>997</v>
      </c>
      <c r="C2550" t="s">
        <v>997</v>
      </c>
      <c r="D2550">
        <v>7475</v>
      </c>
      <c r="E2550">
        <v>120</v>
      </c>
      <c r="F2550" t="s">
        <v>1400</v>
      </c>
      <c r="G2550" t="s">
        <v>1401</v>
      </c>
      <c r="H2550" s="315" t="s">
        <v>1000</v>
      </c>
      <c r="I2550" s="315" t="s">
        <v>1370</v>
      </c>
      <c r="J2550" s="315" t="str">
        <f t="shared" si="216"/>
        <v>Admin &amp; OtherR&amp;M and Cleaning as % of Total Gross Profit</v>
      </c>
      <c r="K2550" s="315" t="str">
        <f t="shared" si="217"/>
        <v>120Cleaning &amp; Security - Toyota</v>
      </c>
      <c r="L2550" s="311">
        <f>+SUMIF('TUNZ Extracted TB'!M:M,$P2550,'TUNZ Extracted TB'!G:G)</f>
        <v>328.79</v>
      </c>
      <c r="M2550" s="311"/>
      <c r="N2550" s="311">
        <f>+SUMIF('Input Sheet'!$AE:$AE,P2550,'Input Sheet'!$X:$X)</f>
        <v>0</v>
      </c>
      <c r="O2550" s="311"/>
      <c r="P2550" t="str">
        <f t="shared" si="218"/>
        <v>120-7475</v>
      </c>
      <c r="Q2550" s="315" t="str">
        <f t="shared" si="219"/>
        <v>Admin &amp; Other</v>
      </c>
      <c r="R2550" s="315" t="str">
        <f t="shared" si="220"/>
        <v>Admin &amp; OtherR&amp;M and Cleaning as % of Total Gross Profit</v>
      </c>
      <c r="S2550" s="199"/>
      <c r="T2550" s="199"/>
      <c r="U2550" s="199"/>
    </row>
    <row r="2551" spans="1:21" x14ac:dyDescent="0.25">
      <c r="A2551" t="s">
        <v>996</v>
      </c>
      <c r="B2551" t="s">
        <v>997</v>
      </c>
      <c r="C2551" t="s">
        <v>1012</v>
      </c>
      <c r="D2551">
        <v>7475</v>
      </c>
      <c r="E2551">
        <v>440</v>
      </c>
      <c r="F2551" t="s">
        <v>1400</v>
      </c>
      <c r="G2551" t="s">
        <v>1401</v>
      </c>
      <c r="H2551" s="315" t="s">
        <v>1000</v>
      </c>
      <c r="I2551" s="315" t="s">
        <v>1370</v>
      </c>
      <c r="J2551" s="315" t="str">
        <f t="shared" si="216"/>
        <v>Admin &amp; OtherR&amp;M and Cleaning as % of Total Gross Profit</v>
      </c>
      <c r="K2551" s="315" t="str">
        <f t="shared" si="217"/>
        <v>440Cleaning &amp; Security - Toyota</v>
      </c>
      <c r="L2551" s="311">
        <f>+SUMIF('TUNZ Extracted TB'!M:M,$P2551,'TUNZ Extracted TB'!G:G)</f>
        <v>355.98</v>
      </c>
      <c r="M2551" s="311"/>
      <c r="N2551" s="311">
        <f>+SUMIF('Input Sheet'!$AE:$AE,P2551,'Input Sheet'!$X:$X)</f>
        <v>0</v>
      </c>
      <c r="O2551" s="311"/>
      <c r="P2551" t="str">
        <f t="shared" si="218"/>
        <v>440-7475</v>
      </c>
      <c r="Q2551" s="315" t="str">
        <f t="shared" si="219"/>
        <v>Admin &amp; Other</v>
      </c>
      <c r="R2551" s="315" t="str">
        <f t="shared" si="220"/>
        <v>Admin &amp; OtherR&amp;M and Cleaning as % of Total Gross Profit</v>
      </c>
      <c r="S2551" s="199"/>
      <c r="T2551" s="199"/>
      <c r="U2551" s="199"/>
    </row>
    <row r="2552" spans="1:21" x14ac:dyDescent="0.25">
      <c r="A2552" t="s">
        <v>996</v>
      </c>
      <c r="B2552" t="s">
        <v>997</v>
      </c>
      <c r="C2552" t="s">
        <v>997</v>
      </c>
      <c r="D2552">
        <v>7475</v>
      </c>
      <c r="E2552">
        <v>160</v>
      </c>
      <c r="F2552" t="s">
        <v>1400</v>
      </c>
      <c r="G2552" t="s">
        <v>1401</v>
      </c>
      <c r="H2552" s="315" t="s">
        <v>1000</v>
      </c>
      <c r="I2552" s="315" t="s">
        <v>1370</v>
      </c>
      <c r="J2552" s="315" t="str">
        <f t="shared" si="216"/>
        <v>Admin &amp; OtherR&amp;M and Cleaning as % of Total Gross Profit</v>
      </c>
      <c r="K2552" s="315" t="str">
        <f t="shared" si="217"/>
        <v>160Cleaning &amp; Security - Toyota</v>
      </c>
      <c r="L2552" s="311">
        <f>+SUMIF('TUNZ Extracted TB'!M:M,$P2552,'TUNZ Extracted TB'!G:G)</f>
        <v>89.67</v>
      </c>
      <c r="M2552" s="311"/>
      <c r="N2552" s="311">
        <f>+SUMIF('Input Sheet'!$AE:$AE,P2552,'Input Sheet'!$X:$X)</f>
        <v>0</v>
      </c>
      <c r="O2552" s="311"/>
      <c r="P2552" t="str">
        <f t="shared" si="218"/>
        <v>160-7475</v>
      </c>
      <c r="Q2552" s="315" t="str">
        <f t="shared" si="219"/>
        <v>Admin &amp; Other</v>
      </c>
      <c r="R2552" s="315" t="str">
        <f t="shared" si="220"/>
        <v>Admin &amp; OtherR&amp;M and Cleaning as % of Total Gross Profit</v>
      </c>
      <c r="S2552" s="199"/>
      <c r="T2552" s="199"/>
      <c r="U2552" s="199"/>
    </row>
    <row r="2553" spans="1:21" x14ac:dyDescent="0.25">
      <c r="A2553" t="s">
        <v>996</v>
      </c>
      <c r="B2553" t="s">
        <v>997</v>
      </c>
      <c r="C2553" t="s">
        <v>997</v>
      </c>
      <c r="D2553">
        <v>7475</v>
      </c>
      <c r="E2553">
        <v>935</v>
      </c>
      <c r="F2553" t="s">
        <v>1175</v>
      </c>
      <c r="G2553" t="s">
        <v>1176</v>
      </c>
      <c r="H2553" s="315" t="s">
        <v>1023</v>
      </c>
      <c r="I2553" s="315" t="s">
        <v>1370</v>
      </c>
      <c r="J2553" s="315" t="str">
        <f t="shared" si="216"/>
        <v>LEX Admin &amp; OtherR&amp;M and Cleaning as % of Total Gross Profit</v>
      </c>
      <c r="K2553" s="315" t="str">
        <f t="shared" si="217"/>
        <v>935Other franchise/business expense</v>
      </c>
      <c r="L2553" s="311">
        <f>+SUMIF('TUNZ Extracted TB'!M:M,$P2553,'TUNZ Extracted TB'!G:G)</f>
        <v>74.72</v>
      </c>
      <c r="M2553" s="311"/>
      <c r="N2553" s="311">
        <f>+SUMIF('Input Sheet'!$AE:$AE,P2553,'Input Sheet'!$X:$X)</f>
        <v>0</v>
      </c>
      <c r="O2553" s="311"/>
      <c r="P2553" t="str">
        <f t="shared" si="218"/>
        <v>935-7475</v>
      </c>
      <c r="Q2553" s="315" t="str">
        <f t="shared" si="219"/>
        <v>LEX Admin &amp; Other</v>
      </c>
      <c r="R2553" s="315" t="str">
        <f t="shared" si="220"/>
        <v>LEX Admin &amp; OtherR&amp;M and Cleaning as % of Total Gross Profit</v>
      </c>
      <c r="S2553" s="199"/>
      <c r="T2553" s="199"/>
      <c r="U2553" s="199"/>
    </row>
    <row r="2554" spans="1:21" x14ac:dyDescent="0.25">
      <c r="A2554" s="316">
        <v>44866</v>
      </c>
      <c r="B2554" t="s">
        <v>997</v>
      </c>
      <c r="C2554" t="s">
        <v>997</v>
      </c>
      <c r="D2554">
        <v>7475</v>
      </c>
      <c r="E2554">
        <v>190</v>
      </c>
      <c r="G2554" t="s">
        <v>975</v>
      </c>
      <c r="H2554" s="315" t="s">
        <v>1000</v>
      </c>
      <c r="I2554" s="315" t="s">
        <v>1370</v>
      </c>
      <c r="J2554" s="315" t="str">
        <f t="shared" si="216"/>
        <v>Admin &amp; OtherR&amp;M and Cleaning as % of Total Gross Profit</v>
      </c>
      <c r="K2554" s="315" t="str">
        <f t="shared" si="217"/>
        <v>190Security</v>
      </c>
      <c r="L2554" s="311">
        <f>+SUMIF('TUNZ Extracted TB'!M:M,$P2554,'TUNZ Extracted TB'!G:G)</f>
        <v>0</v>
      </c>
      <c r="M2554" s="311"/>
      <c r="N2554" s="311">
        <f>+SUMIF('Input Sheet'!$AE:$AE,P2554,'Input Sheet'!$X:$X)</f>
        <v>0</v>
      </c>
      <c r="O2554" s="311"/>
      <c r="P2554" t="str">
        <f t="shared" si="218"/>
        <v>190-7475</v>
      </c>
      <c r="Q2554" s="315" t="str">
        <f t="shared" si="219"/>
        <v>Admin &amp; Other</v>
      </c>
      <c r="R2554" s="315" t="str">
        <f t="shared" si="220"/>
        <v>Admin &amp; OtherR&amp;M and Cleaning as % of Total Gross Profit</v>
      </c>
      <c r="S2554" s="199"/>
      <c r="T2554" s="199"/>
      <c r="U2554" s="199"/>
    </row>
    <row r="2555" spans="1:21" x14ac:dyDescent="0.25">
      <c r="A2555" t="s">
        <v>996</v>
      </c>
      <c r="B2555" t="s">
        <v>997</v>
      </c>
      <c r="C2555" t="s">
        <v>997</v>
      </c>
      <c r="D2555">
        <v>7475</v>
      </c>
      <c r="E2555">
        <v>140</v>
      </c>
      <c r="F2555" t="s">
        <v>1400</v>
      </c>
      <c r="G2555" t="s">
        <v>1401</v>
      </c>
      <c r="H2555" s="315" t="s">
        <v>1000</v>
      </c>
      <c r="I2555" s="315" t="s">
        <v>1370</v>
      </c>
      <c r="J2555" s="315" t="str">
        <f t="shared" si="216"/>
        <v>Admin &amp; OtherR&amp;M and Cleaning as % of Total Gross Profit</v>
      </c>
      <c r="K2555" s="315" t="str">
        <f t="shared" si="217"/>
        <v>140Cleaning &amp; Security - Toyota</v>
      </c>
      <c r="L2555" s="311">
        <f>+SUMIF('TUNZ Extracted TB'!M:M,$P2555,'TUNZ Extracted TB'!G:G)</f>
        <v>298.89999999999998</v>
      </c>
      <c r="M2555" s="311"/>
      <c r="N2555" s="311">
        <f>+SUMIF('Input Sheet'!$AE:$AE,P2555,'Input Sheet'!$X:$X)</f>
        <v>0</v>
      </c>
      <c r="O2555" s="311"/>
      <c r="P2555" t="str">
        <f t="shared" si="218"/>
        <v>140-7475</v>
      </c>
      <c r="Q2555" s="315" t="str">
        <f t="shared" si="219"/>
        <v>Admin &amp; Other</v>
      </c>
      <c r="R2555" s="315" t="str">
        <f t="shared" si="220"/>
        <v>Admin &amp; OtherR&amp;M and Cleaning as % of Total Gross Profit</v>
      </c>
      <c r="S2555" s="199"/>
      <c r="T2555" s="199"/>
      <c r="U2555" s="199"/>
    </row>
    <row r="2556" spans="1:21" x14ac:dyDescent="0.25">
      <c r="A2556" t="s">
        <v>996</v>
      </c>
      <c r="B2556" t="s">
        <v>997</v>
      </c>
      <c r="C2556" t="s">
        <v>997</v>
      </c>
      <c r="D2556">
        <v>7475</v>
      </c>
      <c r="E2556">
        <v>142</v>
      </c>
      <c r="F2556" t="s">
        <v>1402</v>
      </c>
      <c r="G2556" t="s">
        <v>1403</v>
      </c>
      <c r="H2556" s="315" t="s">
        <v>1023</v>
      </c>
      <c r="I2556" s="315" t="s">
        <v>1370</v>
      </c>
      <c r="J2556" s="315" t="str">
        <f t="shared" si="216"/>
        <v>LEX Admin &amp; OtherR&amp;M and Cleaning as % of Total Gross Profit</v>
      </c>
      <c r="K2556" s="315" t="str">
        <f t="shared" si="217"/>
        <v>142Cleaning &amp; Security - Lexus</v>
      </c>
      <c r="L2556" s="311">
        <f>+SUMIF('TUNZ Extracted TB'!M:M,$P2556,'TUNZ Extracted TB'!G:G)</f>
        <v>0</v>
      </c>
      <c r="M2556" s="311"/>
      <c r="N2556" s="311">
        <f>+SUMIF('Input Sheet'!$AE:$AE,P2556,'Input Sheet'!$X:$X)</f>
        <v>0</v>
      </c>
      <c r="O2556" s="311"/>
      <c r="P2556" t="str">
        <f t="shared" si="218"/>
        <v>142-7475</v>
      </c>
      <c r="Q2556" s="315" t="str">
        <f t="shared" si="219"/>
        <v>LEX Admin &amp; Other</v>
      </c>
      <c r="R2556" s="315" t="str">
        <f t="shared" si="220"/>
        <v>LEX Admin &amp; OtherR&amp;M and Cleaning as % of Total Gross Profit</v>
      </c>
      <c r="S2556" s="199"/>
      <c r="T2556" s="199"/>
      <c r="U2556" s="199"/>
    </row>
    <row r="2557" spans="1:21" x14ac:dyDescent="0.25">
      <c r="A2557" t="s">
        <v>996</v>
      </c>
      <c r="B2557" t="s">
        <v>997</v>
      </c>
      <c r="C2557" t="s">
        <v>997</v>
      </c>
      <c r="D2557">
        <v>7475</v>
      </c>
      <c r="E2557">
        <v>130</v>
      </c>
      <c r="F2557" t="s">
        <v>1400</v>
      </c>
      <c r="G2557" t="s">
        <v>1401</v>
      </c>
      <c r="H2557" s="315" t="s">
        <v>1000</v>
      </c>
      <c r="I2557" s="315" t="s">
        <v>1370</v>
      </c>
      <c r="J2557" s="315" t="str">
        <f t="shared" si="216"/>
        <v>Admin &amp; OtherR&amp;M and Cleaning as % of Total Gross Profit</v>
      </c>
      <c r="K2557" s="315" t="str">
        <f t="shared" si="217"/>
        <v>130Cleaning &amp; Security - Toyota</v>
      </c>
      <c r="L2557" s="311">
        <f>+SUMIF('TUNZ Extracted TB'!M:M,$P2557,'TUNZ Extracted TB'!G:G)</f>
        <v>254.07</v>
      </c>
      <c r="M2557" s="311"/>
      <c r="N2557" s="311">
        <f>+SUMIF('Input Sheet'!$AE:$AE,P2557,'Input Sheet'!$X:$X)</f>
        <v>0</v>
      </c>
      <c r="O2557" s="311"/>
      <c r="P2557" t="str">
        <f t="shared" si="218"/>
        <v>130-7475</v>
      </c>
      <c r="Q2557" s="315" t="str">
        <f t="shared" si="219"/>
        <v>Admin &amp; Other</v>
      </c>
      <c r="R2557" s="315" t="str">
        <f t="shared" si="220"/>
        <v>Admin &amp; OtherR&amp;M and Cleaning as % of Total Gross Profit</v>
      </c>
      <c r="S2557" s="199"/>
      <c r="T2557" s="199"/>
      <c r="U2557" s="199"/>
    </row>
    <row r="2558" spans="1:21" x14ac:dyDescent="0.25">
      <c r="A2558" t="s">
        <v>996</v>
      </c>
      <c r="B2558" t="s">
        <v>997</v>
      </c>
      <c r="C2558" t="s">
        <v>997</v>
      </c>
      <c r="D2558">
        <v>7475</v>
      </c>
      <c r="E2558">
        <v>132</v>
      </c>
      <c r="F2558" t="s">
        <v>1402</v>
      </c>
      <c r="G2558" t="s">
        <v>1403</v>
      </c>
      <c r="H2558" s="315" t="s">
        <v>1023</v>
      </c>
      <c r="I2558" s="315" t="s">
        <v>1370</v>
      </c>
      <c r="J2558" s="315" t="str">
        <f t="shared" si="216"/>
        <v>LEX Admin &amp; OtherR&amp;M and Cleaning as % of Total Gross Profit</v>
      </c>
      <c r="K2558" s="315" t="str">
        <f t="shared" si="217"/>
        <v>132Cleaning &amp; Security - Lexus</v>
      </c>
      <c r="L2558" s="311">
        <f>+SUMIF('TUNZ Extracted TB'!M:M,$P2558,'TUNZ Extracted TB'!G:G)</f>
        <v>0</v>
      </c>
      <c r="M2558" s="311"/>
      <c r="N2558" s="311">
        <f>+SUMIF('Input Sheet'!$AE:$AE,P2558,'Input Sheet'!$X:$X)</f>
        <v>0</v>
      </c>
      <c r="O2558" s="311"/>
      <c r="P2558" t="str">
        <f t="shared" si="218"/>
        <v>132-7475</v>
      </c>
      <c r="Q2558" s="315" t="str">
        <f t="shared" si="219"/>
        <v>LEX Admin &amp; Other</v>
      </c>
      <c r="R2558" s="315" t="str">
        <f t="shared" si="220"/>
        <v>LEX Admin &amp; OtherR&amp;M and Cleaning as % of Total Gross Profit</v>
      </c>
      <c r="S2558" s="199"/>
      <c r="T2558" s="199"/>
      <c r="U2558" s="199"/>
    </row>
    <row r="2559" spans="1:21" x14ac:dyDescent="0.25">
      <c r="A2559" t="s">
        <v>996</v>
      </c>
      <c r="B2559" t="s">
        <v>997</v>
      </c>
      <c r="C2559" t="s">
        <v>997</v>
      </c>
      <c r="D2559">
        <v>7475</v>
      </c>
      <c r="E2559">
        <v>122</v>
      </c>
      <c r="F2559" t="s">
        <v>1402</v>
      </c>
      <c r="G2559" t="s">
        <v>1403</v>
      </c>
      <c r="H2559" s="315" t="s">
        <v>1023</v>
      </c>
      <c r="I2559" s="315" t="s">
        <v>1370</v>
      </c>
      <c r="J2559" s="315" t="str">
        <f t="shared" si="216"/>
        <v>LEX Admin &amp; OtherR&amp;M and Cleaning as % of Total Gross Profit</v>
      </c>
      <c r="K2559" s="315" t="str">
        <f t="shared" si="217"/>
        <v>122Cleaning &amp; Security - Lexus</v>
      </c>
      <c r="L2559" s="311">
        <f>+SUMIF('TUNZ Extracted TB'!M:M,$P2559,'TUNZ Extracted TB'!G:G)</f>
        <v>0</v>
      </c>
      <c r="M2559" s="311"/>
      <c r="N2559" s="311">
        <f>+SUMIF('Input Sheet'!$AE:$AE,P2559,'Input Sheet'!$X:$X)</f>
        <v>0</v>
      </c>
      <c r="O2559" s="311"/>
      <c r="P2559" t="str">
        <f t="shared" si="218"/>
        <v>122-7475</v>
      </c>
      <c r="Q2559" s="315" t="str">
        <f t="shared" si="219"/>
        <v>LEX Admin &amp; Other</v>
      </c>
      <c r="R2559" s="315" t="str">
        <f t="shared" si="220"/>
        <v>LEX Admin &amp; OtherR&amp;M and Cleaning as % of Total Gross Profit</v>
      </c>
      <c r="S2559" s="199"/>
      <c r="T2559" s="199"/>
      <c r="U2559" s="199"/>
    </row>
    <row r="2560" spans="1:21" x14ac:dyDescent="0.25">
      <c r="A2560" t="s">
        <v>996</v>
      </c>
      <c r="B2560" t="s">
        <v>997</v>
      </c>
      <c r="C2560" t="s">
        <v>997</v>
      </c>
      <c r="D2560">
        <v>7475</v>
      </c>
      <c r="E2560">
        <v>162</v>
      </c>
      <c r="F2560" t="s">
        <v>1402</v>
      </c>
      <c r="G2560" t="s">
        <v>1403</v>
      </c>
      <c r="H2560" s="315" t="s">
        <v>1023</v>
      </c>
      <c r="I2560" s="315" t="s">
        <v>1370</v>
      </c>
      <c r="J2560" s="315" t="str">
        <f t="shared" si="216"/>
        <v>LEX Admin &amp; OtherR&amp;M and Cleaning as % of Total Gross Profit</v>
      </c>
      <c r="K2560" s="315" t="str">
        <f t="shared" si="217"/>
        <v>162Cleaning &amp; Security - Lexus</v>
      </c>
      <c r="L2560" s="311">
        <f>+SUMIF('TUNZ Extracted TB'!M:M,$P2560,'TUNZ Extracted TB'!G:G)</f>
        <v>0</v>
      </c>
      <c r="M2560" s="311"/>
      <c r="N2560" s="311">
        <f>+SUMIF('Input Sheet'!$AE:$AE,P2560,'Input Sheet'!$X:$X)</f>
        <v>0</v>
      </c>
      <c r="O2560" s="311"/>
      <c r="P2560" t="str">
        <f t="shared" si="218"/>
        <v>162-7475</v>
      </c>
      <c r="Q2560" s="315" t="str">
        <f t="shared" si="219"/>
        <v>LEX Admin &amp; Other</v>
      </c>
      <c r="R2560" s="315" t="str">
        <f t="shared" si="220"/>
        <v>LEX Admin &amp; OtherR&amp;M and Cleaning as % of Total Gross Profit</v>
      </c>
      <c r="S2560" s="199"/>
      <c r="T2560" s="199"/>
      <c r="U2560" s="199"/>
    </row>
    <row r="2561" spans="1:21" x14ac:dyDescent="0.25">
      <c r="A2561" t="s">
        <v>996</v>
      </c>
      <c r="B2561" t="s">
        <v>997</v>
      </c>
      <c r="C2561" t="s">
        <v>1013</v>
      </c>
      <c r="D2561">
        <v>7475</v>
      </c>
      <c r="E2561">
        <v>340</v>
      </c>
      <c r="F2561" t="s">
        <v>1400</v>
      </c>
      <c r="G2561" t="s">
        <v>1401</v>
      </c>
      <c r="H2561" s="315" t="s">
        <v>1000</v>
      </c>
      <c r="I2561" s="315" t="s">
        <v>1370</v>
      </c>
      <c r="J2561" s="315" t="str">
        <f t="shared" si="216"/>
        <v>Admin &amp; OtherR&amp;M and Cleaning as % of Total Gross Profit</v>
      </c>
      <c r="K2561" s="315" t="str">
        <f t="shared" si="217"/>
        <v>340Cleaning &amp; Security - Toyota</v>
      </c>
      <c r="L2561" s="311">
        <f>+SUMIF('TUNZ Extracted TB'!M:M,$P2561,'TUNZ Extracted TB'!G:G)</f>
        <v>0</v>
      </c>
      <c r="M2561" s="311"/>
      <c r="N2561" s="311">
        <f>+SUMIF('Input Sheet'!$AE:$AE,P2561,'Input Sheet'!$X:$X)</f>
        <v>0</v>
      </c>
      <c r="O2561" s="311"/>
      <c r="P2561" t="str">
        <f t="shared" si="218"/>
        <v>340-7475</v>
      </c>
      <c r="Q2561" s="315" t="str">
        <f t="shared" si="219"/>
        <v>Admin &amp; Other</v>
      </c>
      <c r="R2561" s="315" t="str">
        <f t="shared" si="220"/>
        <v>Admin &amp; OtherR&amp;M and Cleaning as % of Total Gross Profit</v>
      </c>
      <c r="S2561" s="199"/>
      <c r="T2561" s="199"/>
      <c r="U2561" s="199"/>
    </row>
    <row r="2562" spans="1:21" x14ac:dyDescent="0.25">
      <c r="A2562" t="s">
        <v>996</v>
      </c>
      <c r="B2562" t="s">
        <v>997</v>
      </c>
      <c r="C2562" t="s">
        <v>997</v>
      </c>
      <c r="D2562">
        <v>7475</v>
      </c>
      <c r="E2562">
        <v>121</v>
      </c>
      <c r="F2562" t="s">
        <v>1400</v>
      </c>
      <c r="G2562" t="s">
        <v>1401</v>
      </c>
      <c r="H2562" s="315" t="s">
        <v>1000</v>
      </c>
      <c r="I2562" s="315" t="s">
        <v>1370</v>
      </c>
      <c r="J2562" s="315" t="str">
        <f t="shared" si="216"/>
        <v>Admin &amp; OtherR&amp;M and Cleaning as % of Total Gross Profit</v>
      </c>
      <c r="K2562" s="315" t="str">
        <f t="shared" si="217"/>
        <v>121Cleaning &amp; Security - Toyota</v>
      </c>
      <c r="L2562" s="311">
        <f>+SUMIF('TUNZ Extracted TB'!M:M,$P2562,'TUNZ Extracted TB'!G:G)</f>
        <v>0</v>
      </c>
      <c r="M2562" s="311"/>
      <c r="N2562" s="311">
        <f>+SUMIF('Input Sheet'!$AE:$AE,P2562,'Input Sheet'!$X:$X)</f>
        <v>0</v>
      </c>
      <c r="O2562" s="311"/>
      <c r="P2562" t="str">
        <f t="shared" si="218"/>
        <v>121-7475</v>
      </c>
      <c r="Q2562" s="315" t="str">
        <f t="shared" si="219"/>
        <v>Admin &amp; Other</v>
      </c>
      <c r="R2562" s="315" t="str">
        <f t="shared" si="220"/>
        <v>Admin &amp; OtherR&amp;M and Cleaning as % of Total Gross Profit</v>
      </c>
      <c r="S2562" s="199"/>
      <c r="T2562" s="199"/>
      <c r="U2562" s="199"/>
    </row>
    <row r="2563" spans="1:21" x14ac:dyDescent="0.25">
      <c r="A2563" t="s">
        <v>996</v>
      </c>
      <c r="B2563" t="s">
        <v>997</v>
      </c>
      <c r="C2563" t="s">
        <v>997</v>
      </c>
      <c r="D2563">
        <v>7475</v>
      </c>
      <c r="E2563">
        <v>147</v>
      </c>
      <c r="F2563" t="s">
        <v>1400</v>
      </c>
      <c r="G2563" t="s">
        <v>1401</v>
      </c>
      <c r="H2563" s="315" t="s">
        <v>1000</v>
      </c>
      <c r="I2563" s="315" t="s">
        <v>1370</v>
      </c>
      <c r="J2563" s="315" t="str">
        <f t="shared" ref="J2563:J2626" si="221">+H2563&amp;I2563</f>
        <v>Admin &amp; OtherR&amp;M and Cleaning as % of Total Gross Profit</v>
      </c>
      <c r="K2563" s="315" t="str">
        <f t="shared" ref="K2563:K2626" si="222">+E2563&amp;G2563</f>
        <v>147Cleaning &amp; Security - Toyota</v>
      </c>
      <c r="L2563" s="311">
        <f>+SUMIF('TUNZ Extracted TB'!M:M,$P2563,'TUNZ Extracted TB'!G:G)</f>
        <v>0</v>
      </c>
      <c r="M2563" s="311"/>
      <c r="N2563" s="311">
        <f>+SUMIF('Input Sheet'!$AE:$AE,P2563,'Input Sheet'!$X:$X)</f>
        <v>0</v>
      </c>
      <c r="O2563" s="311"/>
      <c r="P2563" t="str">
        <f t="shared" ref="P2563:P2626" si="223">+E2563&amp;"-"&amp;D2563</f>
        <v>147-7475</v>
      </c>
      <c r="Q2563" s="315" t="str">
        <f t="shared" ref="Q2563:Q2626" si="224">H2563</f>
        <v>Admin &amp; Other</v>
      </c>
      <c r="R2563" s="315" t="str">
        <f t="shared" ref="R2563:R2626" si="225">J2563</f>
        <v>Admin &amp; OtherR&amp;M and Cleaning as % of Total Gross Profit</v>
      </c>
      <c r="S2563" s="199"/>
      <c r="T2563" s="199"/>
      <c r="U2563" s="199"/>
    </row>
    <row r="2564" spans="1:21" x14ac:dyDescent="0.25">
      <c r="A2564" t="s">
        <v>996</v>
      </c>
      <c r="B2564" t="s">
        <v>997</v>
      </c>
      <c r="C2564" t="s">
        <v>1005</v>
      </c>
      <c r="D2564">
        <v>7475</v>
      </c>
      <c r="E2564">
        <v>200</v>
      </c>
      <c r="F2564" t="s">
        <v>1400</v>
      </c>
      <c r="G2564" t="s">
        <v>1401</v>
      </c>
      <c r="H2564" s="315" t="s">
        <v>1000</v>
      </c>
      <c r="I2564" s="315" t="s">
        <v>1370</v>
      </c>
      <c r="J2564" s="315" t="str">
        <f t="shared" si="221"/>
        <v>Admin &amp; OtherR&amp;M and Cleaning as % of Total Gross Profit</v>
      </c>
      <c r="K2564" s="315" t="str">
        <f t="shared" si="222"/>
        <v>200Cleaning &amp; Security - Toyota</v>
      </c>
      <c r="L2564" s="311">
        <f>+SUMIF('TUNZ Extracted TB'!M:M,$P2564,'TUNZ Extracted TB'!G:G)</f>
        <v>0</v>
      </c>
      <c r="M2564" s="311"/>
      <c r="N2564" s="311">
        <f>+SUMIF('Input Sheet'!$AE:$AE,P2564,'Input Sheet'!$X:$X)</f>
        <v>0</v>
      </c>
      <c r="O2564" s="311"/>
      <c r="P2564" t="str">
        <f t="shared" si="223"/>
        <v>200-7475</v>
      </c>
      <c r="Q2564" s="315" t="str">
        <f t="shared" si="224"/>
        <v>Admin &amp; Other</v>
      </c>
      <c r="R2564" s="315" t="str">
        <f t="shared" si="225"/>
        <v>Admin &amp; OtherR&amp;M and Cleaning as % of Total Gross Profit</v>
      </c>
      <c r="S2564" s="199"/>
      <c r="T2564" s="199"/>
      <c r="U2564" s="199"/>
    </row>
    <row r="2565" spans="1:21" x14ac:dyDescent="0.25">
      <c r="A2565" t="s">
        <v>996</v>
      </c>
      <c r="B2565" t="s">
        <v>997</v>
      </c>
      <c r="C2565" t="s">
        <v>1005</v>
      </c>
      <c r="D2565">
        <v>7475</v>
      </c>
      <c r="E2565">
        <v>221</v>
      </c>
      <c r="F2565" t="s">
        <v>1400</v>
      </c>
      <c r="G2565" t="s">
        <v>1401</v>
      </c>
      <c r="H2565" s="315" t="s">
        <v>1000</v>
      </c>
      <c r="I2565" s="315" t="s">
        <v>1370</v>
      </c>
      <c r="J2565" s="315" t="str">
        <f t="shared" si="221"/>
        <v>Admin &amp; OtherR&amp;M and Cleaning as % of Total Gross Profit</v>
      </c>
      <c r="K2565" s="315" t="str">
        <f t="shared" si="222"/>
        <v>221Cleaning &amp; Security - Toyota</v>
      </c>
      <c r="L2565" s="311">
        <f>+SUMIF('TUNZ Extracted TB'!M:M,$P2565,'TUNZ Extracted TB'!G:G)</f>
        <v>0</v>
      </c>
      <c r="M2565" s="311"/>
      <c r="N2565" s="311">
        <f>+SUMIF('Input Sheet'!$AE:$AE,P2565,'Input Sheet'!$X:$X)</f>
        <v>0</v>
      </c>
      <c r="O2565" s="311"/>
      <c r="P2565" t="str">
        <f t="shared" si="223"/>
        <v>221-7475</v>
      </c>
      <c r="Q2565" s="315" t="str">
        <f t="shared" si="224"/>
        <v>Admin &amp; Other</v>
      </c>
      <c r="R2565" s="315" t="str">
        <f t="shared" si="225"/>
        <v>Admin &amp; OtherR&amp;M and Cleaning as % of Total Gross Profit</v>
      </c>
      <c r="S2565" s="199"/>
      <c r="T2565" s="199"/>
      <c r="U2565" s="199"/>
    </row>
    <row r="2566" spans="1:21" x14ac:dyDescent="0.25">
      <c r="A2566" t="s">
        <v>996</v>
      </c>
      <c r="B2566" t="s">
        <v>997</v>
      </c>
      <c r="C2566" t="s">
        <v>1005</v>
      </c>
      <c r="D2566">
        <v>7475</v>
      </c>
      <c r="E2566">
        <v>260</v>
      </c>
      <c r="F2566" t="s">
        <v>1400</v>
      </c>
      <c r="G2566" t="s">
        <v>1401</v>
      </c>
      <c r="H2566" s="315" t="s">
        <v>1000</v>
      </c>
      <c r="I2566" s="315" t="s">
        <v>1370</v>
      </c>
      <c r="J2566" s="315" t="str">
        <f t="shared" si="221"/>
        <v>Admin &amp; OtherR&amp;M and Cleaning as % of Total Gross Profit</v>
      </c>
      <c r="K2566" s="315" t="str">
        <f t="shared" si="222"/>
        <v>260Cleaning &amp; Security - Toyota</v>
      </c>
      <c r="L2566" s="311">
        <f>+SUMIF('TUNZ Extracted TB'!M:M,$P2566,'TUNZ Extracted TB'!G:G)</f>
        <v>0</v>
      </c>
      <c r="M2566" s="311"/>
      <c r="N2566" s="311">
        <f>+SUMIF('Input Sheet'!$AE:$AE,P2566,'Input Sheet'!$X:$X)</f>
        <v>0</v>
      </c>
      <c r="O2566" s="311"/>
      <c r="P2566" t="str">
        <f t="shared" si="223"/>
        <v>260-7475</v>
      </c>
      <c r="Q2566" s="315" t="str">
        <f t="shared" si="224"/>
        <v>Admin &amp; Other</v>
      </c>
      <c r="R2566" s="315" t="str">
        <f t="shared" si="225"/>
        <v>Admin &amp; OtherR&amp;M and Cleaning as % of Total Gross Profit</v>
      </c>
      <c r="S2566" s="199"/>
      <c r="T2566" s="199"/>
      <c r="U2566" s="199"/>
    </row>
    <row r="2567" spans="1:21" x14ac:dyDescent="0.25">
      <c r="A2567" t="s">
        <v>996</v>
      </c>
      <c r="B2567" t="s">
        <v>997</v>
      </c>
      <c r="C2567" t="s">
        <v>1012</v>
      </c>
      <c r="D2567">
        <v>7475</v>
      </c>
      <c r="E2567">
        <v>400</v>
      </c>
      <c r="F2567" t="s">
        <v>1400</v>
      </c>
      <c r="G2567" t="s">
        <v>1401</v>
      </c>
      <c r="H2567" s="315" t="s">
        <v>1000</v>
      </c>
      <c r="I2567" s="315" t="s">
        <v>1370</v>
      </c>
      <c r="J2567" s="315" t="str">
        <f t="shared" si="221"/>
        <v>Admin &amp; OtherR&amp;M and Cleaning as % of Total Gross Profit</v>
      </c>
      <c r="K2567" s="315" t="str">
        <f t="shared" si="222"/>
        <v>400Cleaning &amp; Security - Toyota</v>
      </c>
      <c r="L2567" s="311">
        <f>+SUMIF('TUNZ Extracted TB'!M:M,$P2567,'TUNZ Extracted TB'!G:G)</f>
        <v>0</v>
      </c>
      <c r="M2567" s="311"/>
      <c r="N2567" s="311">
        <f>+SUMIF('Input Sheet'!$AE:$AE,P2567,'Input Sheet'!$X:$X)</f>
        <v>0</v>
      </c>
      <c r="O2567" s="311"/>
      <c r="P2567" t="str">
        <f t="shared" si="223"/>
        <v>400-7475</v>
      </c>
      <c r="Q2567" s="315" t="str">
        <f t="shared" si="224"/>
        <v>Admin &amp; Other</v>
      </c>
      <c r="R2567" s="315" t="str">
        <f t="shared" si="225"/>
        <v>Admin &amp; OtherR&amp;M and Cleaning as % of Total Gross Profit</v>
      </c>
      <c r="S2567" s="199"/>
      <c r="T2567" s="199"/>
      <c r="U2567" s="199"/>
    </row>
    <row r="2568" spans="1:21" x14ac:dyDescent="0.25">
      <c r="A2568" t="s">
        <v>996</v>
      </c>
      <c r="B2568" t="s">
        <v>997</v>
      </c>
      <c r="C2568" t="s">
        <v>1012</v>
      </c>
      <c r="D2568">
        <v>7475</v>
      </c>
      <c r="E2568">
        <v>410</v>
      </c>
      <c r="F2568" t="s">
        <v>1400</v>
      </c>
      <c r="G2568" t="s">
        <v>1401</v>
      </c>
      <c r="H2568" s="315" t="s">
        <v>1000</v>
      </c>
      <c r="I2568" s="315" t="s">
        <v>1370</v>
      </c>
      <c r="J2568" s="315" t="str">
        <f t="shared" si="221"/>
        <v>Admin &amp; OtherR&amp;M and Cleaning as % of Total Gross Profit</v>
      </c>
      <c r="K2568" s="315" t="str">
        <f t="shared" si="222"/>
        <v>410Cleaning &amp; Security - Toyota</v>
      </c>
      <c r="L2568" s="311">
        <f>+SUMIF('TUNZ Extracted TB'!M:M,$P2568,'TUNZ Extracted TB'!G:G)</f>
        <v>0</v>
      </c>
      <c r="M2568" s="311"/>
      <c r="N2568" s="311">
        <f>+SUMIF('Input Sheet'!$AE:$AE,P2568,'Input Sheet'!$X:$X)</f>
        <v>0</v>
      </c>
      <c r="O2568" s="311"/>
      <c r="P2568" t="str">
        <f t="shared" si="223"/>
        <v>410-7475</v>
      </c>
      <c r="Q2568" s="315" t="str">
        <f t="shared" si="224"/>
        <v>Admin &amp; Other</v>
      </c>
      <c r="R2568" s="315" t="str">
        <f t="shared" si="225"/>
        <v>Admin &amp; OtherR&amp;M and Cleaning as % of Total Gross Profit</v>
      </c>
      <c r="S2568" s="199"/>
      <c r="T2568" s="199"/>
      <c r="U2568" s="199"/>
    </row>
    <row r="2569" spans="1:21" x14ac:dyDescent="0.25">
      <c r="A2569" t="s">
        <v>996</v>
      </c>
      <c r="B2569" t="s">
        <v>997</v>
      </c>
      <c r="C2569" t="s">
        <v>1012</v>
      </c>
      <c r="D2569">
        <v>7475</v>
      </c>
      <c r="E2569">
        <v>420</v>
      </c>
      <c r="F2569" t="s">
        <v>1400</v>
      </c>
      <c r="G2569" t="s">
        <v>1401</v>
      </c>
      <c r="H2569" s="315" t="s">
        <v>1000</v>
      </c>
      <c r="I2569" s="315" t="s">
        <v>1370</v>
      </c>
      <c r="J2569" s="315" t="str">
        <f t="shared" si="221"/>
        <v>Admin &amp; OtherR&amp;M and Cleaning as % of Total Gross Profit</v>
      </c>
      <c r="K2569" s="315" t="str">
        <f t="shared" si="222"/>
        <v>420Cleaning &amp; Security - Toyota</v>
      </c>
      <c r="L2569" s="311">
        <f>+SUMIF('TUNZ Extracted TB'!M:M,$P2569,'TUNZ Extracted TB'!G:G)</f>
        <v>0</v>
      </c>
      <c r="M2569" s="311"/>
      <c r="N2569" s="311">
        <f>+SUMIF('Input Sheet'!$AE:$AE,P2569,'Input Sheet'!$X:$X)</f>
        <v>0</v>
      </c>
      <c r="O2569" s="311"/>
      <c r="P2569" t="str">
        <f t="shared" si="223"/>
        <v>420-7475</v>
      </c>
      <c r="Q2569" s="315" t="str">
        <f t="shared" si="224"/>
        <v>Admin &amp; Other</v>
      </c>
      <c r="R2569" s="315" t="str">
        <f t="shared" si="225"/>
        <v>Admin &amp; OtherR&amp;M and Cleaning as % of Total Gross Profit</v>
      </c>
      <c r="S2569" s="199"/>
      <c r="T2569" s="199"/>
      <c r="U2569" s="199"/>
    </row>
    <row r="2570" spans="1:21" x14ac:dyDescent="0.25">
      <c r="A2570" t="s">
        <v>996</v>
      </c>
      <c r="B2570" t="s">
        <v>997</v>
      </c>
      <c r="C2570" t="s">
        <v>1012</v>
      </c>
      <c r="D2570">
        <v>7475</v>
      </c>
      <c r="E2570">
        <v>421</v>
      </c>
      <c r="F2570" t="s">
        <v>1400</v>
      </c>
      <c r="G2570" t="s">
        <v>1401</v>
      </c>
      <c r="H2570" s="315" t="s">
        <v>1000</v>
      </c>
      <c r="I2570" s="315" t="s">
        <v>1370</v>
      </c>
      <c r="J2570" s="315" t="str">
        <f t="shared" si="221"/>
        <v>Admin &amp; OtherR&amp;M and Cleaning as % of Total Gross Profit</v>
      </c>
      <c r="K2570" s="315" t="str">
        <f t="shared" si="222"/>
        <v>421Cleaning &amp; Security - Toyota</v>
      </c>
      <c r="L2570" s="311">
        <f>+SUMIF('TUNZ Extracted TB'!M:M,$P2570,'TUNZ Extracted TB'!G:G)</f>
        <v>0</v>
      </c>
      <c r="M2570" s="311"/>
      <c r="N2570" s="311">
        <f>+SUMIF('Input Sheet'!$AE:$AE,P2570,'Input Sheet'!$X:$X)</f>
        <v>0</v>
      </c>
      <c r="O2570" s="311"/>
      <c r="P2570" t="str">
        <f t="shared" si="223"/>
        <v>421-7475</v>
      </c>
      <c r="Q2570" s="315" t="str">
        <f t="shared" si="224"/>
        <v>Admin &amp; Other</v>
      </c>
      <c r="R2570" s="315" t="str">
        <f t="shared" si="225"/>
        <v>Admin &amp; OtherR&amp;M and Cleaning as % of Total Gross Profit</v>
      </c>
      <c r="S2570" s="199"/>
      <c r="T2570" s="199"/>
      <c r="U2570" s="199"/>
    </row>
    <row r="2571" spans="1:21" x14ac:dyDescent="0.25">
      <c r="A2571" t="s">
        <v>996</v>
      </c>
      <c r="B2571" t="s">
        <v>997</v>
      </c>
      <c r="C2571" t="s">
        <v>1012</v>
      </c>
      <c r="D2571">
        <v>7475</v>
      </c>
      <c r="E2571">
        <v>460</v>
      </c>
      <c r="F2571" t="s">
        <v>1400</v>
      </c>
      <c r="G2571" t="s">
        <v>1401</v>
      </c>
      <c r="H2571" s="315" t="s">
        <v>1000</v>
      </c>
      <c r="I2571" s="315" t="s">
        <v>1370</v>
      </c>
      <c r="J2571" s="315" t="str">
        <f t="shared" si="221"/>
        <v>Admin &amp; OtherR&amp;M and Cleaning as % of Total Gross Profit</v>
      </c>
      <c r="K2571" s="315" t="str">
        <f t="shared" si="222"/>
        <v>460Cleaning &amp; Security - Toyota</v>
      </c>
      <c r="L2571" s="311">
        <f>+SUMIF('TUNZ Extracted TB'!M:M,$P2571,'TUNZ Extracted TB'!G:G)</f>
        <v>0</v>
      </c>
      <c r="M2571" s="311"/>
      <c r="N2571" s="311">
        <f>+SUMIF('Input Sheet'!$AE:$AE,P2571,'Input Sheet'!$X:$X)</f>
        <v>0</v>
      </c>
      <c r="O2571" s="311"/>
      <c r="P2571" t="str">
        <f t="shared" si="223"/>
        <v>460-7475</v>
      </c>
      <c r="Q2571" s="315" t="str">
        <f t="shared" si="224"/>
        <v>Admin &amp; Other</v>
      </c>
      <c r="R2571" s="315" t="str">
        <f t="shared" si="225"/>
        <v>Admin &amp; OtherR&amp;M and Cleaning as % of Total Gross Profit</v>
      </c>
      <c r="S2571" s="199"/>
      <c r="T2571" s="199"/>
      <c r="U2571" s="199"/>
    </row>
    <row r="2572" spans="1:21" x14ac:dyDescent="0.25">
      <c r="A2572" t="s">
        <v>996</v>
      </c>
      <c r="B2572" t="s">
        <v>997</v>
      </c>
      <c r="C2572" t="s">
        <v>1013</v>
      </c>
      <c r="D2572">
        <v>7475</v>
      </c>
      <c r="E2572">
        <v>300</v>
      </c>
      <c r="F2572" t="s">
        <v>1400</v>
      </c>
      <c r="G2572" t="s">
        <v>1401</v>
      </c>
      <c r="H2572" s="315" t="s">
        <v>1000</v>
      </c>
      <c r="I2572" s="315" t="s">
        <v>1370</v>
      </c>
      <c r="J2572" s="315" t="str">
        <f t="shared" si="221"/>
        <v>Admin &amp; OtherR&amp;M and Cleaning as % of Total Gross Profit</v>
      </c>
      <c r="K2572" s="315" t="str">
        <f t="shared" si="222"/>
        <v>300Cleaning &amp; Security - Toyota</v>
      </c>
      <c r="L2572" s="311">
        <f>+SUMIF('TUNZ Extracted TB'!M:M,$P2572,'TUNZ Extracted TB'!G:G)</f>
        <v>0</v>
      </c>
      <c r="M2572" s="311"/>
      <c r="N2572" s="311">
        <f>+SUMIF('Input Sheet'!$AE:$AE,P2572,'Input Sheet'!$X:$X)</f>
        <v>0</v>
      </c>
      <c r="O2572" s="311"/>
      <c r="P2572" t="str">
        <f t="shared" si="223"/>
        <v>300-7475</v>
      </c>
      <c r="Q2572" s="315" t="str">
        <f t="shared" si="224"/>
        <v>Admin &amp; Other</v>
      </c>
      <c r="R2572" s="315" t="str">
        <f t="shared" si="225"/>
        <v>Admin &amp; OtherR&amp;M and Cleaning as % of Total Gross Profit</v>
      </c>
      <c r="S2572" s="199"/>
      <c r="T2572" s="199"/>
      <c r="U2572" s="199"/>
    </row>
    <row r="2573" spans="1:21" x14ac:dyDescent="0.25">
      <c r="A2573" t="s">
        <v>996</v>
      </c>
      <c r="B2573" t="s">
        <v>997</v>
      </c>
      <c r="C2573" t="s">
        <v>1013</v>
      </c>
      <c r="D2573">
        <v>7475</v>
      </c>
      <c r="E2573">
        <v>310</v>
      </c>
      <c r="F2573" t="s">
        <v>1400</v>
      </c>
      <c r="G2573" t="s">
        <v>1401</v>
      </c>
      <c r="H2573" s="315" t="s">
        <v>1000</v>
      </c>
      <c r="I2573" s="315" t="s">
        <v>1370</v>
      </c>
      <c r="J2573" s="315" t="str">
        <f t="shared" si="221"/>
        <v>Admin &amp; OtherR&amp;M and Cleaning as % of Total Gross Profit</v>
      </c>
      <c r="K2573" s="315" t="str">
        <f t="shared" si="222"/>
        <v>310Cleaning &amp; Security - Toyota</v>
      </c>
      <c r="L2573" s="311">
        <f>+SUMIF('TUNZ Extracted TB'!M:M,$P2573,'TUNZ Extracted TB'!G:G)</f>
        <v>0</v>
      </c>
      <c r="M2573" s="311"/>
      <c r="N2573" s="311">
        <f>+SUMIF('Input Sheet'!$AE:$AE,P2573,'Input Sheet'!$X:$X)</f>
        <v>0</v>
      </c>
      <c r="O2573" s="311"/>
      <c r="P2573" t="str">
        <f t="shared" si="223"/>
        <v>310-7475</v>
      </c>
      <c r="Q2573" s="315" t="str">
        <f t="shared" si="224"/>
        <v>Admin &amp; Other</v>
      </c>
      <c r="R2573" s="315" t="str">
        <f t="shared" si="225"/>
        <v>Admin &amp; OtherR&amp;M and Cleaning as % of Total Gross Profit</v>
      </c>
      <c r="S2573" s="199"/>
      <c r="T2573" s="199"/>
      <c r="U2573" s="199"/>
    </row>
    <row r="2574" spans="1:21" x14ac:dyDescent="0.25">
      <c r="A2574" t="s">
        <v>996</v>
      </c>
      <c r="B2574" t="s">
        <v>997</v>
      </c>
      <c r="C2574" t="s">
        <v>1013</v>
      </c>
      <c r="D2574">
        <v>7475</v>
      </c>
      <c r="E2574">
        <v>321</v>
      </c>
      <c r="F2574" t="s">
        <v>1400</v>
      </c>
      <c r="G2574" t="s">
        <v>1401</v>
      </c>
      <c r="H2574" s="315" t="s">
        <v>1000</v>
      </c>
      <c r="I2574" s="315" t="s">
        <v>1370</v>
      </c>
      <c r="J2574" s="315" t="str">
        <f t="shared" si="221"/>
        <v>Admin &amp; OtherR&amp;M and Cleaning as % of Total Gross Profit</v>
      </c>
      <c r="K2574" s="315" t="str">
        <f t="shared" si="222"/>
        <v>321Cleaning &amp; Security - Toyota</v>
      </c>
      <c r="L2574" s="311">
        <f>+SUMIF('TUNZ Extracted TB'!M:M,$P2574,'TUNZ Extracted TB'!G:G)</f>
        <v>0</v>
      </c>
      <c r="M2574" s="311"/>
      <c r="N2574" s="311">
        <f>+SUMIF('Input Sheet'!$AE:$AE,P2574,'Input Sheet'!$X:$X)</f>
        <v>0</v>
      </c>
      <c r="O2574" s="311"/>
      <c r="P2574" t="str">
        <f t="shared" si="223"/>
        <v>321-7475</v>
      </c>
      <c r="Q2574" s="315" t="str">
        <f t="shared" si="224"/>
        <v>Admin &amp; Other</v>
      </c>
      <c r="R2574" s="315" t="str">
        <f t="shared" si="225"/>
        <v>Admin &amp; OtherR&amp;M and Cleaning as % of Total Gross Profit</v>
      </c>
      <c r="S2574" s="199"/>
      <c r="T2574" s="199"/>
      <c r="U2574" s="199"/>
    </row>
    <row r="2575" spans="1:21" x14ac:dyDescent="0.25">
      <c r="A2575" t="s">
        <v>996</v>
      </c>
      <c r="B2575" t="s">
        <v>997</v>
      </c>
      <c r="C2575" t="s">
        <v>1013</v>
      </c>
      <c r="D2575">
        <v>7475</v>
      </c>
      <c r="E2575">
        <v>330</v>
      </c>
      <c r="F2575" t="s">
        <v>1400</v>
      </c>
      <c r="G2575" t="s">
        <v>1401</v>
      </c>
      <c r="H2575" s="315" t="s">
        <v>1000</v>
      </c>
      <c r="I2575" s="315" t="s">
        <v>1370</v>
      </c>
      <c r="J2575" s="315" t="str">
        <f t="shared" si="221"/>
        <v>Admin &amp; OtherR&amp;M and Cleaning as % of Total Gross Profit</v>
      </c>
      <c r="K2575" s="315" t="str">
        <f t="shared" si="222"/>
        <v>330Cleaning &amp; Security - Toyota</v>
      </c>
      <c r="L2575" s="311">
        <f>+SUMIF('TUNZ Extracted TB'!M:M,$P2575,'TUNZ Extracted TB'!G:G)</f>
        <v>0</v>
      </c>
      <c r="M2575" s="311"/>
      <c r="N2575" s="311">
        <f>+SUMIF('Input Sheet'!$AE:$AE,P2575,'Input Sheet'!$X:$X)</f>
        <v>0</v>
      </c>
      <c r="O2575" s="311"/>
      <c r="P2575" t="str">
        <f t="shared" si="223"/>
        <v>330-7475</v>
      </c>
      <c r="Q2575" s="315" t="str">
        <f t="shared" si="224"/>
        <v>Admin &amp; Other</v>
      </c>
      <c r="R2575" s="315" t="str">
        <f t="shared" si="225"/>
        <v>Admin &amp; OtherR&amp;M and Cleaning as % of Total Gross Profit</v>
      </c>
      <c r="S2575" s="199"/>
      <c r="T2575" s="199"/>
      <c r="U2575" s="199"/>
    </row>
    <row r="2576" spans="1:21" x14ac:dyDescent="0.25">
      <c r="A2576" t="s">
        <v>996</v>
      </c>
      <c r="B2576" t="s">
        <v>997</v>
      </c>
      <c r="C2576" t="s">
        <v>1013</v>
      </c>
      <c r="D2576">
        <v>7475</v>
      </c>
      <c r="E2576">
        <v>360</v>
      </c>
      <c r="F2576" t="s">
        <v>1400</v>
      </c>
      <c r="G2576" t="s">
        <v>1401</v>
      </c>
      <c r="H2576" s="315" t="s">
        <v>1000</v>
      </c>
      <c r="I2576" s="315" t="s">
        <v>1370</v>
      </c>
      <c r="J2576" s="315" t="str">
        <f t="shared" si="221"/>
        <v>Admin &amp; OtherR&amp;M and Cleaning as % of Total Gross Profit</v>
      </c>
      <c r="K2576" s="315" t="str">
        <f t="shared" si="222"/>
        <v>360Cleaning &amp; Security - Toyota</v>
      </c>
      <c r="L2576" s="311">
        <f>+SUMIF('TUNZ Extracted TB'!M:M,$P2576,'TUNZ Extracted TB'!G:G)</f>
        <v>0</v>
      </c>
      <c r="M2576" s="311"/>
      <c r="N2576" s="311">
        <f>+SUMIF('Input Sheet'!$AE:$AE,P2576,'Input Sheet'!$X:$X)</f>
        <v>0</v>
      </c>
      <c r="O2576" s="311"/>
      <c r="P2576" t="str">
        <f t="shared" si="223"/>
        <v>360-7475</v>
      </c>
      <c r="Q2576" s="315" t="str">
        <f t="shared" si="224"/>
        <v>Admin &amp; Other</v>
      </c>
      <c r="R2576" s="315" t="str">
        <f t="shared" si="225"/>
        <v>Admin &amp; OtherR&amp;M and Cleaning as % of Total Gross Profit</v>
      </c>
      <c r="S2576" s="199"/>
      <c r="T2576" s="199"/>
      <c r="U2576" s="199"/>
    </row>
    <row r="2577" spans="1:21" x14ac:dyDescent="0.25">
      <c r="A2577" t="s">
        <v>996</v>
      </c>
      <c r="B2577" t="s">
        <v>997</v>
      </c>
      <c r="C2577" t="s">
        <v>997</v>
      </c>
      <c r="D2577">
        <v>7475</v>
      </c>
      <c r="E2577">
        <v>936</v>
      </c>
      <c r="F2577" t="s">
        <v>1175</v>
      </c>
      <c r="G2577" t="s">
        <v>1176</v>
      </c>
      <c r="H2577" s="315" t="s">
        <v>1023</v>
      </c>
      <c r="I2577" s="315" t="s">
        <v>1370</v>
      </c>
      <c r="J2577" s="315" t="str">
        <f t="shared" si="221"/>
        <v>LEX Admin &amp; OtherR&amp;M and Cleaning as % of Total Gross Profit</v>
      </c>
      <c r="K2577" s="315" t="str">
        <f t="shared" si="222"/>
        <v>936Other franchise/business expense</v>
      </c>
      <c r="L2577" s="311">
        <f>+SUMIF('TUNZ Extracted TB'!M:M,$P2577,'TUNZ Extracted TB'!G:G)</f>
        <v>0</v>
      </c>
      <c r="M2577" s="311"/>
      <c r="N2577" s="311">
        <f>+SUMIF('Input Sheet'!$AE:$AE,P2577,'Input Sheet'!$X:$X)</f>
        <v>0</v>
      </c>
      <c r="O2577" s="311"/>
      <c r="P2577" t="str">
        <f t="shared" si="223"/>
        <v>936-7475</v>
      </c>
      <c r="Q2577" s="315" t="str">
        <f t="shared" si="224"/>
        <v>LEX Admin &amp; Other</v>
      </c>
      <c r="R2577" s="315" t="str">
        <f t="shared" si="225"/>
        <v>LEX Admin &amp; OtherR&amp;M and Cleaning as % of Total Gross Profit</v>
      </c>
      <c r="S2577" s="199"/>
      <c r="T2577" s="199"/>
      <c r="U2577" s="199"/>
    </row>
    <row r="2578" spans="1:21" x14ac:dyDescent="0.25">
      <c r="A2578" t="s">
        <v>996</v>
      </c>
      <c r="B2578" t="s">
        <v>997</v>
      </c>
      <c r="C2578" t="s">
        <v>997</v>
      </c>
      <c r="D2578">
        <v>7475</v>
      </c>
      <c r="E2578">
        <v>110</v>
      </c>
      <c r="F2578" t="s">
        <v>1400</v>
      </c>
      <c r="G2578" t="s">
        <v>1401</v>
      </c>
      <c r="H2578" s="315" t="s">
        <v>1000</v>
      </c>
      <c r="I2578" s="315" t="s">
        <v>1370</v>
      </c>
      <c r="J2578" s="315" t="str">
        <f t="shared" si="221"/>
        <v>Admin &amp; OtherR&amp;M and Cleaning as % of Total Gross Profit</v>
      </c>
      <c r="K2578" s="315" t="str">
        <f t="shared" si="222"/>
        <v>110Cleaning &amp; Security - Toyota</v>
      </c>
      <c r="L2578" s="311">
        <f>+SUMIF('TUNZ Extracted TB'!M:M,$P2578,'TUNZ Extracted TB'!G:G)</f>
        <v>298.89999999999998</v>
      </c>
      <c r="M2578" s="311"/>
      <c r="N2578" s="311">
        <f>+SUMIF('Input Sheet'!$AE:$AE,P2578,'Input Sheet'!$X:$X)</f>
        <v>0</v>
      </c>
      <c r="O2578" s="311"/>
      <c r="P2578" t="str">
        <f t="shared" si="223"/>
        <v>110-7475</v>
      </c>
      <c r="Q2578" s="315" t="str">
        <f t="shared" si="224"/>
        <v>Admin &amp; Other</v>
      </c>
      <c r="R2578" s="315" t="str">
        <f t="shared" si="225"/>
        <v>Admin &amp; OtherR&amp;M and Cleaning as % of Total Gross Profit</v>
      </c>
      <c r="S2578" s="199"/>
      <c r="T2578" s="199"/>
      <c r="U2578" s="199"/>
    </row>
    <row r="2579" spans="1:21" x14ac:dyDescent="0.25">
      <c r="A2579" t="s">
        <v>996</v>
      </c>
      <c r="B2579" t="s">
        <v>997</v>
      </c>
      <c r="C2579" t="s">
        <v>997</v>
      </c>
      <c r="D2579">
        <v>7475</v>
      </c>
      <c r="E2579">
        <v>112</v>
      </c>
      <c r="F2579" t="s">
        <v>1402</v>
      </c>
      <c r="G2579" t="s">
        <v>1403</v>
      </c>
      <c r="H2579" s="315" t="s">
        <v>1023</v>
      </c>
      <c r="I2579" s="315" t="s">
        <v>1370</v>
      </c>
      <c r="J2579" s="315" t="str">
        <f t="shared" si="221"/>
        <v>LEX Admin &amp; OtherR&amp;M and Cleaning as % of Total Gross Profit</v>
      </c>
      <c r="K2579" s="315" t="str">
        <f t="shared" si="222"/>
        <v>112Cleaning &amp; Security - Lexus</v>
      </c>
      <c r="L2579" s="311">
        <f>+SUMIF('TUNZ Extracted TB'!M:M,$P2579,'TUNZ Extracted TB'!G:G)</f>
        <v>149.46</v>
      </c>
      <c r="M2579" s="311"/>
      <c r="N2579" s="311">
        <f>+SUMIF('Input Sheet'!$AE:$AE,P2579,'Input Sheet'!$X:$X)</f>
        <v>0</v>
      </c>
      <c r="O2579" s="311"/>
      <c r="P2579" t="str">
        <f t="shared" si="223"/>
        <v>112-7475</v>
      </c>
      <c r="Q2579" s="315" t="str">
        <f t="shared" si="224"/>
        <v>LEX Admin &amp; Other</v>
      </c>
      <c r="R2579" s="315" t="str">
        <f t="shared" si="225"/>
        <v>LEX Admin &amp; OtherR&amp;M and Cleaning as % of Total Gross Profit</v>
      </c>
      <c r="S2579" s="199"/>
      <c r="T2579" s="199"/>
      <c r="U2579" s="199"/>
    </row>
    <row r="2580" spans="1:21" x14ac:dyDescent="0.25">
      <c r="A2580" t="s">
        <v>996</v>
      </c>
      <c r="B2580" t="s">
        <v>997</v>
      </c>
      <c r="C2580" t="s">
        <v>997</v>
      </c>
      <c r="D2580">
        <v>7475</v>
      </c>
      <c r="E2580">
        <v>100</v>
      </c>
      <c r="F2580" t="s">
        <v>1400</v>
      </c>
      <c r="G2580" t="s">
        <v>1401</v>
      </c>
      <c r="H2580" s="315" t="s">
        <v>1000</v>
      </c>
      <c r="I2580" s="315" t="s">
        <v>1370</v>
      </c>
      <c r="J2580" s="315" t="str">
        <f t="shared" si="221"/>
        <v>Admin &amp; OtherR&amp;M and Cleaning as % of Total Gross Profit</v>
      </c>
      <c r="K2580" s="315" t="str">
        <f t="shared" si="222"/>
        <v>100Cleaning &amp; Security - Toyota</v>
      </c>
      <c r="L2580" s="311">
        <f>+SUMIF('TUNZ Extracted TB'!M:M,$P2580,'TUNZ Extracted TB'!G:G)</f>
        <v>0</v>
      </c>
      <c r="M2580" s="311"/>
      <c r="N2580" s="311">
        <f>+SUMIF('Input Sheet'!$AE:$AE,P2580,'Input Sheet'!$X:$X)</f>
        <v>0</v>
      </c>
      <c r="O2580" s="311"/>
      <c r="P2580" t="str">
        <f t="shared" si="223"/>
        <v>100-7475</v>
      </c>
      <c r="Q2580" s="315" t="str">
        <f t="shared" si="224"/>
        <v>Admin &amp; Other</v>
      </c>
      <c r="R2580" s="315" t="str">
        <f t="shared" si="225"/>
        <v>Admin &amp; OtherR&amp;M and Cleaning as % of Total Gross Profit</v>
      </c>
      <c r="S2580" s="199"/>
      <c r="T2580" s="199"/>
      <c r="U2580" s="199"/>
    </row>
    <row r="2581" spans="1:21" x14ac:dyDescent="0.25">
      <c r="A2581" t="s">
        <v>996</v>
      </c>
      <c r="B2581" t="s">
        <v>997</v>
      </c>
      <c r="C2581" t="s">
        <v>997</v>
      </c>
      <c r="D2581">
        <v>7490</v>
      </c>
      <c r="E2581">
        <v>140</v>
      </c>
      <c r="F2581" t="s">
        <v>1388</v>
      </c>
      <c r="G2581" t="s">
        <v>1389</v>
      </c>
      <c r="H2581" s="315" t="s">
        <v>1000</v>
      </c>
      <c r="I2581" s="315" t="s">
        <v>1390</v>
      </c>
      <c r="J2581" s="315" t="str">
        <f t="shared" si="221"/>
        <v>Admin &amp; OtherProfessional Fees as % of Total Gross Profit</v>
      </c>
      <c r="K2581" s="315" t="str">
        <f t="shared" si="222"/>
        <v>140Professional Fees - Toyota</v>
      </c>
      <c r="L2581" s="311">
        <f>+SUMIF('TUNZ Extracted TB'!M:M,$P2581,'TUNZ Extracted TB'!G:G)</f>
        <v>0</v>
      </c>
      <c r="M2581" s="311"/>
      <c r="N2581" s="311">
        <f>+SUMIF('Input Sheet'!$AE:$AE,P2581,'Input Sheet'!$X:$X)</f>
        <v>0</v>
      </c>
      <c r="O2581" s="311"/>
      <c r="P2581" t="str">
        <f t="shared" si="223"/>
        <v>140-7490</v>
      </c>
      <c r="Q2581" s="315" t="str">
        <f t="shared" si="224"/>
        <v>Admin &amp; Other</v>
      </c>
      <c r="R2581" s="315" t="str">
        <f t="shared" si="225"/>
        <v>Admin &amp; OtherProfessional Fees as % of Total Gross Profit</v>
      </c>
      <c r="S2581" s="199"/>
      <c r="T2581" s="199"/>
      <c r="U2581" s="199"/>
    </row>
    <row r="2582" spans="1:21" x14ac:dyDescent="0.25">
      <c r="A2582" t="s">
        <v>996</v>
      </c>
      <c r="B2582" t="s">
        <v>997</v>
      </c>
      <c r="C2582" t="s">
        <v>997</v>
      </c>
      <c r="D2582">
        <v>7490</v>
      </c>
      <c r="E2582">
        <v>132</v>
      </c>
      <c r="F2582" t="s">
        <v>1391</v>
      </c>
      <c r="G2582" t="s">
        <v>1392</v>
      </c>
      <c r="H2582" s="315" t="s">
        <v>1023</v>
      </c>
      <c r="I2582" s="315" t="s">
        <v>1390</v>
      </c>
      <c r="J2582" s="315" t="str">
        <f t="shared" si="221"/>
        <v>LEX Admin &amp; OtherProfessional Fees as % of Total Gross Profit</v>
      </c>
      <c r="K2582" s="315" t="str">
        <f t="shared" si="222"/>
        <v>132Professional Fees - Lexus</v>
      </c>
      <c r="L2582" s="311">
        <f>+SUMIF('TUNZ Extracted TB'!M:M,$P2582,'TUNZ Extracted TB'!G:G)</f>
        <v>0</v>
      </c>
      <c r="M2582" s="311"/>
      <c r="N2582" s="311">
        <f>+SUMIF('Input Sheet'!$AE:$AE,P2582,'Input Sheet'!$X:$X)</f>
        <v>0</v>
      </c>
      <c r="O2582" s="311"/>
      <c r="P2582" t="str">
        <f t="shared" si="223"/>
        <v>132-7490</v>
      </c>
      <c r="Q2582" s="315" t="str">
        <f t="shared" si="224"/>
        <v>LEX Admin &amp; Other</v>
      </c>
      <c r="R2582" s="315" t="str">
        <f t="shared" si="225"/>
        <v>LEX Admin &amp; OtherProfessional Fees as % of Total Gross Profit</v>
      </c>
      <c r="S2582" s="199"/>
      <c r="T2582" s="199"/>
      <c r="U2582" s="199"/>
    </row>
    <row r="2583" spans="1:21" x14ac:dyDescent="0.25">
      <c r="A2583" t="s">
        <v>996</v>
      </c>
      <c r="B2583" t="s">
        <v>997</v>
      </c>
      <c r="C2583" t="s">
        <v>997</v>
      </c>
      <c r="D2583">
        <v>7490</v>
      </c>
      <c r="E2583">
        <v>130</v>
      </c>
      <c r="F2583" t="s">
        <v>1388</v>
      </c>
      <c r="G2583" t="s">
        <v>1389</v>
      </c>
      <c r="H2583" s="315" t="s">
        <v>1000</v>
      </c>
      <c r="I2583" s="315" t="s">
        <v>1390</v>
      </c>
      <c r="J2583" s="315" t="str">
        <f t="shared" si="221"/>
        <v>Admin &amp; OtherProfessional Fees as % of Total Gross Profit</v>
      </c>
      <c r="K2583" s="315" t="str">
        <f t="shared" si="222"/>
        <v>130Professional Fees - Toyota</v>
      </c>
      <c r="L2583" s="311">
        <f>+SUMIF('TUNZ Extracted TB'!M:M,$P2583,'TUNZ Extracted TB'!G:G)</f>
        <v>0</v>
      </c>
      <c r="M2583" s="311"/>
      <c r="N2583" s="311">
        <f>+SUMIF('Input Sheet'!$AE:$AE,P2583,'Input Sheet'!$X:$X)</f>
        <v>0</v>
      </c>
      <c r="O2583" s="311"/>
      <c r="P2583" t="str">
        <f t="shared" si="223"/>
        <v>130-7490</v>
      </c>
      <c r="Q2583" s="315" t="str">
        <f t="shared" si="224"/>
        <v>Admin &amp; Other</v>
      </c>
      <c r="R2583" s="315" t="str">
        <f t="shared" si="225"/>
        <v>Admin &amp; OtherProfessional Fees as % of Total Gross Profit</v>
      </c>
      <c r="S2583" s="199"/>
      <c r="T2583" s="199"/>
      <c r="U2583" s="199"/>
    </row>
    <row r="2584" spans="1:21" x14ac:dyDescent="0.25">
      <c r="A2584" t="s">
        <v>996</v>
      </c>
      <c r="B2584" t="s">
        <v>997</v>
      </c>
      <c r="C2584" t="s">
        <v>997</v>
      </c>
      <c r="D2584">
        <v>7490</v>
      </c>
      <c r="E2584">
        <v>142</v>
      </c>
      <c r="F2584" t="s">
        <v>1391</v>
      </c>
      <c r="G2584" t="s">
        <v>1392</v>
      </c>
      <c r="H2584" s="315" t="s">
        <v>1023</v>
      </c>
      <c r="I2584" s="315" t="s">
        <v>1390</v>
      </c>
      <c r="J2584" s="315" t="str">
        <f t="shared" si="221"/>
        <v>LEX Admin &amp; OtherProfessional Fees as % of Total Gross Profit</v>
      </c>
      <c r="K2584" s="315" t="str">
        <f t="shared" si="222"/>
        <v>142Professional Fees - Lexus</v>
      </c>
      <c r="L2584" s="311">
        <f>+SUMIF('TUNZ Extracted TB'!M:M,$P2584,'TUNZ Extracted TB'!G:G)</f>
        <v>0</v>
      </c>
      <c r="M2584" s="311"/>
      <c r="N2584" s="311">
        <f>+SUMIF('Input Sheet'!$AE:$AE,P2584,'Input Sheet'!$X:$X)</f>
        <v>0</v>
      </c>
      <c r="O2584" s="311"/>
      <c r="P2584" t="str">
        <f t="shared" si="223"/>
        <v>142-7490</v>
      </c>
      <c r="Q2584" s="315" t="str">
        <f t="shared" si="224"/>
        <v>LEX Admin &amp; Other</v>
      </c>
      <c r="R2584" s="315" t="str">
        <f t="shared" si="225"/>
        <v>LEX Admin &amp; OtherProfessional Fees as % of Total Gross Profit</v>
      </c>
      <c r="S2584" s="199"/>
      <c r="T2584" s="199"/>
      <c r="U2584" s="199"/>
    </row>
    <row r="2585" spans="1:21" x14ac:dyDescent="0.25">
      <c r="A2585" t="s">
        <v>996</v>
      </c>
      <c r="B2585" t="s">
        <v>997</v>
      </c>
      <c r="C2585" t="s">
        <v>997</v>
      </c>
      <c r="D2585">
        <v>7490</v>
      </c>
      <c r="E2585">
        <v>936</v>
      </c>
      <c r="F2585" t="s">
        <v>1175</v>
      </c>
      <c r="G2585" t="s">
        <v>1176</v>
      </c>
      <c r="H2585" s="315" t="s">
        <v>1023</v>
      </c>
      <c r="I2585" s="315" t="s">
        <v>1390</v>
      </c>
      <c r="J2585" s="315" t="str">
        <f t="shared" si="221"/>
        <v>LEX Admin &amp; OtherProfessional Fees as % of Total Gross Profit</v>
      </c>
      <c r="K2585" s="315" t="str">
        <f t="shared" si="222"/>
        <v>936Other franchise/business expense</v>
      </c>
      <c r="L2585" s="311">
        <f>+SUMIF('TUNZ Extracted TB'!M:M,$P2585,'TUNZ Extracted TB'!G:G)</f>
        <v>0</v>
      </c>
      <c r="M2585" s="311"/>
      <c r="N2585" s="311">
        <f>+SUMIF('Input Sheet'!$AE:$AE,P2585,'Input Sheet'!$X:$X)</f>
        <v>0</v>
      </c>
      <c r="O2585" s="311"/>
      <c r="P2585" t="str">
        <f t="shared" si="223"/>
        <v>936-7490</v>
      </c>
      <c r="Q2585" s="315" t="str">
        <f t="shared" si="224"/>
        <v>LEX Admin &amp; Other</v>
      </c>
      <c r="R2585" s="315" t="str">
        <f t="shared" si="225"/>
        <v>LEX Admin &amp; OtherProfessional Fees as % of Total Gross Profit</v>
      </c>
      <c r="S2585" s="199"/>
      <c r="T2585" s="199"/>
      <c r="U2585" s="199"/>
    </row>
    <row r="2586" spans="1:21" x14ac:dyDescent="0.25">
      <c r="A2586" t="s">
        <v>996</v>
      </c>
      <c r="B2586" t="s">
        <v>997</v>
      </c>
      <c r="C2586" t="s">
        <v>997</v>
      </c>
      <c r="D2586">
        <v>7490</v>
      </c>
      <c r="E2586">
        <v>935</v>
      </c>
      <c r="F2586" t="s">
        <v>1175</v>
      </c>
      <c r="G2586" t="s">
        <v>1176</v>
      </c>
      <c r="H2586" s="315" t="s">
        <v>1023</v>
      </c>
      <c r="I2586" s="315" t="s">
        <v>1390</v>
      </c>
      <c r="J2586" s="315" t="str">
        <f t="shared" si="221"/>
        <v>LEX Admin &amp; OtherProfessional Fees as % of Total Gross Profit</v>
      </c>
      <c r="K2586" s="315" t="str">
        <f t="shared" si="222"/>
        <v>935Other franchise/business expense</v>
      </c>
      <c r="L2586" s="311">
        <f>+SUMIF('TUNZ Extracted TB'!M:M,$P2586,'TUNZ Extracted TB'!G:G)</f>
        <v>0</v>
      </c>
      <c r="M2586" s="311"/>
      <c r="N2586" s="311">
        <f>+SUMIF('Input Sheet'!$AE:$AE,P2586,'Input Sheet'!$X:$X)</f>
        <v>0</v>
      </c>
      <c r="O2586" s="311"/>
      <c r="P2586" t="str">
        <f t="shared" si="223"/>
        <v>935-7490</v>
      </c>
      <c r="Q2586" s="315" t="str">
        <f t="shared" si="224"/>
        <v>LEX Admin &amp; Other</v>
      </c>
      <c r="R2586" s="315" t="str">
        <f t="shared" si="225"/>
        <v>LEX Admin &amp; OtherProfessional Fees as % of Total Gross Profit</v>
      </c>
      <c r="S2586" s="199"/>
      <c r="T2586" s="199"/>
      <c r="U2586" s="199"/>
    </row>
    <row r="2587" spans="1:21" x14ac:dyDescent="0.25">
      <c r="A2587" t="s">
        <v>996</v>
      </c>
      <c r="B2587" t="s">
        <v>997</v>
      </c>
      <c r="C2587" t="s">
        <v>997</v>
      </c>
      <c r="D2587">
        <v>7490</v>
      </c>
      <c r="E2587">
        <v>122</v>
      </c>
      <c r="F2587" t="s">
        <v>1391</v>
      </c>
      <c r="G2587" t="s">
        <v>1392</v>
      </c>
      <c r="H2587" s="315" t="s">
        <v>1023</v>
      </c>
      <c r="I2587" s="315" t="s">
        <v>1390</v>
      </c>
      <c r="J2587" s="315" t="str">
        <f t="shared" si="221"/>
        <v>LEX Admin &amp; OtherProfessional Fees as % of Total Gross Profit</v>
      </c>
      <c r="K2587" s="315" t="str">
        <f t="shared" si="222"/>
        <v>122Professional Fees - Lexus</v>
      </c>
      <c r="L2587" s="311">
        <f>+SUMIF('TUNZ Extracted TB'!M:M,$P2587,'TUNZ Extracted TB'!G:G)</f>
        <v>0</v>
      </c>
      <c r="M2587" s="311"/>
      <c r="N2587" s="311">
        <f>+SUMIF('Input Sheet'!$AE:$AE,P2587,'Input Sheet'!$X:$X)</f>
        <v>0</v>
      </c>
      <c r="O2587" s="311"/>
      <c r="P2587" t="str">
        <f t="shared" si="223"/>
        <v>122-7490</v>
      </c>
      <c r="Q2587" s="315" t="str">
        <f t="shared" si="224"/>
        <v>LEX Admin &amp; Other</v>
      </c>
      <c r="R2587" s="315" t="str">
        <f t="shared" si="225"/>
        <v>LEX Admin &amp; OtherProfessional Fees as % of Total Gross Profit</v>
      </c>
      <c r="S2587" s="199"/>
      <c r="T2587" s="199"/>
      <c r="U2587" s="199"/>
    </row>
    <row r="2588" spans="1:21" x14ac:dyDescent="0.25">
      <c r="A2588" t="s">
        <v>996</v>
      </c>
      <c r="B2588" t="s">
        <v>997</v>
      </c>
      <c r="C2588" t="s">
        <v>997</v>
      </c>
      <c r="D2588">
        <v>7490</v>
      </c>
      <c r="E2588">
        <v>162</v>
      </c>
      <c r="F2588" t="s">
        <v>1391</v>
      </c>
      <c r="G2588" t="s">
        <v>1392</v>
      </c>
      <c r="H2588" s="315" t="s">
        <v>1023</v>
      </c>
      <c r="I2588" s="315" t="s">
        <v>1390</v>
      </c>
      <c r="J2588" s="315" t="str">
        <f t="shared" si="221"/>
        <v>LEX Admin &amp; OtherProfessional Fees as % of Total Gross Profit</v>
      </c>
      <c r="K2588" s="315" t="str">
        <f t="shared" si="222"/>
        <v>162Professional Fees - Lexus</v>
      </c>
      <c r="L2588" s="311">
        <f>+SUMIF('TUNZ Extracted TB'!M:M,$P2588,'TUNZ Extracted TB'!G:G)</f>
        <v>0</v>
      </c>
      <c r="M2588" s="311"/>
      <c r="N2588" s="311">
        <f>+SUMIF('Input Sheet'!$AE:$AE,P2588,'Input Sheet'!$X:$X)</f>
        <v>0</v>
      </c>
      <c r="O2588" s="311"/>
      <c r="P2588" t="str">
        <f t="shared" si="223"/>
        <v>162-7490</v>
      </c>
      <c r="Q2588" s="315" t="str">
        <f t="shared" si="224"/>
        <v>LEX Admin &amp; Other</v>
      </c>
      <c r="R2588" s="315" t="str">
        <f t="shared" si="225"/>
        <v>LEX Admin &amp; OtherProfessional Fees as % of Total Gross Profit</v>
      </c>
      <c r="S2588" s="199"/>
      <c r="T2588" s="199"/>
      <c r="U2588" s="199"/>
    </row>
    <row r="2589" spans="1:21" x14ac:dyDescent="0.25">
      <c r="A2589" t="s">
        <v>996</v>
      </c>
      <c r="B2589" t="s">
        <v>997</v>
      </c>
      <c r="C2589" t="s">
        <v>1005</v>
      </c>
      <c r="D2589">
        <v>7490</v>
      </c>
      <c r="E2589">
        <v>200</v>
      </c>
      <c r="F2589" t="s">
        <v>1388</v>
      </c>
      <c r="G2589" t="s">
        <v>1389</v>
      </c>
      <c r="H2589" s="315" t="s">
        <v>1000</v>
      </c>
      <c r="I2589" s="315" t="s">
        <v>1390</v>
      </c>
      <c r="J2589" s="315" t="str">
        <f t="shared" si="221"/>
        <v>Admin &amp; OtherProfessional Fees as % of Total Gross Profit</v>
      </c>
      <c r="K2589" s="315" t="str">
        <f t="shared" si="222"/>
        <v>200Professional Fees - Toyota</v>
      </c>
      <c r="L2589" s="311">
        <f>+SUMIF('TUNZ Extracted TB'!M:M,$P2589,'TUNZ Extracted TB'!G:G)</f>
        <v>0</v>
      </c>
      <c r="M2589" s="311"/>
      <c r="N2589" s="311">
        <f>+SUMIF('Input Sheet'!$AE:$AE,P2589,'Input Sheet'!$X:$X)</f>
        <v>0</v>
      </c>
      <c r="O2589" s="311"/>
      <c r="P2589" t="str">
        <f t="shared" si="223"/>
        <v>200-7490</v>
      </c>
      <c r="Q2589" s="315" t="str">
        <f t="shared" si="224"/>
        <v>Admin &amp; Other</v>
      </c>
      <c r="R2589" s="315" t="str">
        <f t="shared" si="225"/>
        <v>Admin &amp; OtherProfessional Fees as % of Total Gross Profit</v>
      </c>
      <c r="S2589" s="199"/>
      <c r="T2589" s="199"/>
      <c r="U2589" s="199"/>
    </row>
    <row r="2590" spans="1:21" x14ac:dyDescent="0.25">
      <c r="A2590" t="s">
        <v>996</v>
      </c>
      <c r="B2590" t="s">
        <v>997</v>
      </c>
      <c r="C2590" t="s">
        <v>1005</v>
      </c>
      <c r="D2590">
        <v>7490</v>
      </c>
      <c r="E2590">
        <v>210</v>
      </c>
      <c r="F2590" t="s">
        <v>1388</v>
      </c>
      <c r="G2590" t="s">
        <v>1389</v>
      </c>
      <c r="H2590" s="315" t="s">
        <v>1000</v>
      </c>
      <c r="I2590" s="315" t="s">
        <v>1390</v>
      </c>
      <c r="J2590" s="315" t="str">
        <f t="shared" si="221"/>
        <v>Admin &amp; OtherProfessional Fees as % of Total Gross Profit</v>
      </c>
      <c r="K2590" s="315" t="str">
        <f t="shared" si="222"/>
        <v>210Professional Fees - Toyota</v>
      </c>
      <c r="L2590" s="311">
        <f>+SUMIF('TUNZ Extracted TB'!M:M,$P2590,'TUNZ Extracted TB'!G:G)</f>
        <v>0</v>
      </c>
      <c r="M2590" s="311"/>
      <c r="N2590" s="311">
        <f>+SUMIF('Input Sheet'!$AE:$AE,P2590,'Input Sheet'!$X:$X)</f>
        <v>0</v>
      </c>
      <c r="O2590" s="311"/>
      <c r="P2590" t="str">
        <f t="shared" si="223"/>
        <v>210-7490</v>
      </c>
      <c r="Q2590" s="315" t="str">
        <f t="shared" si="224"/>
        <v>Admin &amp; Other</v>
      </c>
      <c r="R2590" s="315" t="str">
        <f t="shared" si="225"/>
        <v>Admin &amp; OtherProfessional Fees as % of Total Gross Profit</v>
      </c>
      <c r="S2590" s="199"/>
      <c r="T2590" s="199"/>
      <c r="U2590" s="199"/>
    </row>
    <row r="2591" spans="1:21" x14ac:dyDescent="0.25">
      <c r="A2591" t="s">
        <v>996</v>
      </c>
      <c r="B2591" t="s">
        <v>997</v>
      </c>
      <c r="C2591" t="s">
        <v>1005</v>
      </c>
      <c r="D2591">
        <v>7490</v>
      </c>
      <c r="E2591">
        <v>220</v>
      </c>
      <c r="F2591" t="s">
        <v>1388</v>
      </c>
      <c r="G2591" t="s">
        <v>1389</v>
      </c>
      <c r="H2591" s="315" t="s">
        <v>1000</v>
      </c>
      <c r="I2591" s="315" t="s">
        <v>1390</v>
      </c>
      <c r="J2591" s="315" t="str">
        <f t="shared" si="221"/>
        <v>Admin &amp; OtherProfessional Fees as % of Total Gross Profit</v>
      </c>
      <c r="K2591" s="315" t="str">
        <f t="shared" si="222"/>
        <v>220Professional Fees - Toyota</v>
      </c>
      <c r="L2591" s="311">
        <f>+SUMIF('TUNZ Extracted TB'!M:M,$P2591,'TUNZ Extracted TB'!G:G)</f>
        <v>0</v>
      </c>
      <c r="M2591" s="311"/>
      <c r="N2591" s="311">
        <f>+SUMIF('Input Sheet'!$AE:$AE,P2591,'Input Sheet'!$X:$X)</f>
        <v>0</v>
      </c>
      <c r="O2591" s="311"/>
      <c r="P2591" t="str">
        <f t="shared" si="223"/>
        <v>220-7490</v>
      </c>
      <c r="Q2591" s="315" t="str">
        <f t="shared" si="224"/>
        <v>Admin &amp; Other</v>
      </c>
      <c r="R2591" s="315" t="str">
        <f t="shared" si="225"/>
        <v>Admin &amp; OtherProfessional Fees as % of Total Gross Profit</v>
      </c>
      <c r="S2591" s="199"/>
      <c r="T2591" s="199"/>
      <c r="U2591" s="199"/>
    </row>
    <row r="2592" spans="1:21" x14ac:dyDescent="0.25">
      <c r="A2592" t="s">
        <v>996</v>
      </c>
      <c r="B2592" t="s">
        <v>997</v>
      </c>
      <c r="C2592" t="s">
        <v>1005</v>
      </c>
      <c r="D2592">
        <v>7490</v>
      </c>
      <c r="E2592">
        <v>221</v>
      </c>
      <c r="F2592" t="s">
        <v>1388</v>
      </c>
      <c r="G2592" t="s">
        <v>1389</v>
      </c>
      <c r="H2592" s="315" t="s">
        <v>1000</v>
      </c>
      <c r="I2592" s="315" t="s">
        <v>1390</v>
      </c>
      <c r="J2592" s="315" t="str">
        <f t="shared" si="221"/>
        <v>Admin &amp; OtherProfessional Fees as % of Total Gross Profit</v>
      </c>
      <c r="K2592" s="315" t="str">
        <f t="shared" si="222"/>
        <v>221Professional Fees - Toyota</v>
      </c>
      <c r="L2592" s="311">
        <f>+SUMIF('TUNZ Extracted TB'!M:M,$P2592,'TUNZ Extracted TB'!G:G)</f>
        <v>0</v>
      </c>
      <c r="M2592" s="311"/>
      <c r="N2592" s="311">
        <f>+SUMIF('Input Sheet'!$AE:$AE,P2592,'Input Sheet'!$X:$X)</f>
        <v>0</v>
      </c>
      <c r="O2592" s="311"/>
      <c r="P2592" t="str">
        <f t="shared" si="223"/>
        <v>221-7490</v>
      </c>
      <c r="Q2592" s="315" t="str">
        <f t="shared" si="224"/>
        <v>Admin &amp; Other</v>
      </c>
      <c r="R2592" s="315" t="str">
        <f t="shared" si="225"/>
        <v>Admin &amp; OtherProfessional Fees as % of Total Gross Profit</v>
      </c>
      <c r="S2592" s="199"/>
      <c r="T2592" s="199"/>
      <c r="U2592" s="199"/>
    </row>
    <row r="2593" spans="1:21" x14ac:dyDescent="0.25">
      <c r="A2593" t="s">
        <v>996</v>
      </c>
      <c r="B2593" t="s">
        <v>997</v>
      </c>
      <c r="C2593" t="s">
        <v>1005</v>
      </c>
      <c r="D2593">
        <v>7490</v>
      </c>
      <c r="E2593">
        <v>230</v>
      </c>
      <c r="F2593" t="s">
        <v>1388</v>
      </c>
      <c r="G2593" t="s">
        <v>1389</v>
      </c>
      <c r="H2593" s="315" t="s">
        <v>1000</v>
      </c>
      <c r="I2593" s="315" t="s">
        <v>1390</v>
      </c>
      <c r="J2593" s="315" t="str">
        <f t="shared" si="221"/>
        <v>Admin &amp; OtherProfessional Fees as % of Total Gross Profit</v>
      </c>
      <c r="K2593" s="315" t="str">
        <f t="shared" si="222"/>
        <v>230Professional Fees - Toyota</v>
      </c>
      <c r="L2593" s="311">
        <f>+SUMIF('TUNZ Extracted TB'!M:M,$P2593,'TUNZ Extracted TB'!G:G)</f>
        <v>0</v>
      </c>
      <c r="M2593" s="311"/>
      <c r="N2593" s="311">
        <f>+SUMIF('Input Sheet'!$AE:$AE,P2593,'Input Sheet'!$X:$X)</f>
        <v>0</v>
      </c>
      <c r="O2593" s="311"/>
      <c r="P2593" t="str">
        <f t="shared" si="223"/>
        <v>230-7490</v>
      </c>
      <c r="Q2593" s="315" t="str">
        <f t="shared" si="224"/>
        <v>Admin &amp; Other</v>
      </c>
      <c r="R2593" s="315" t="str">
        <f t="shared" si="225"/>
        <v>Admin &amp; OtherProfessional Fees as % of Total Gross Profit</v>
      </c>
      <c r="S2593" s="199"/>
      <c r="T2593" s="199"/>
      <c r="U2593" s="199"/>
    </row>
    <row r="2594" spans="1:21" x14ac:dyDescent="0.25">
      <c r="A2594" t="s">
        <v>996</v>
      </c>
      <c r="B2594" t="s">
        <v>997</v>
      </c>
      <c r="C2594" t="s">
        <v>1005</v>
      </c>
      <c r="D2594">
        <v>7490</v>
      </c>
      <c r="E2594">
        <v>240</v>
      </c>
      <c r="F2594" t="s">
        <v>1388</v>
      </c>
      <c r="G2594" t="s">
        <v>1389</v>
      </c>
      <c r="H2594" s="315" t="s">
        <v>1000</v>
      </c>
      <c r="I2594" s="315" t="s">
        <v>1390</v>
      </c>
      <c r="J2594" s="315" t="str">
        <f t="shared" si="221"/>
        <v>Admin &amp; OtherProfessional Fees as % of Total Gross Profit</v>
      </c>
      <c r="K2594" s="315" t="str">
        <f t="shared" si="222"/>
        <v>240Professional Fees - Toyota</v>
      </c>
      <c r="L2594" s="311">
        <f>+SUMIF('TUNZ Extracted TB'!M:M,$P2594,'TUNZ Extracted TB'!G:G)</f>
        <v>0</v>
      </c>
      <c r="M2594" s="311"/>
      <c r="N2594" s="311">
        <f>+SUMIF('Input Sheet'!$AE:$AE,P2594,'Input Sheet'!$X:$X)</f>
        <v>0</v>
      </c>
      <c r="O2594" s="311"/>
      <c r="P2594" t="str">
        <f t="shared" si="223"/>
        <v>240-7490</v>
      </c>
      <c r="Q2594" s="315" t="str">
        <f t="shared" si="224"/>
        <v>Admin &amp; Other</v>
      </c>
      <c r="R2594" s="315" t="str">
        <f t="shared" si="225"/>
        <v>Admin &amp; OtherProfessional Fees as % of Total Gross Profit</v>
      </c>
      <c r="S2594" s="199"/>
      <c r="T2594" s="199"/>
      <c r="U2594" s="199"/>
    </row>
    <row r="2595" spans="1:21" x14ac:dyDescent="0.25">
      <c r="A2595" t="s">
        <v>996</v>
      </c>
      <c r="B2595" t="s">
        <v>997</v>
      </c>
      <c r="C2595" t="s">
        <v>1005</v>
      </c>
      <c r="D2595">
        <v>7490</v>
      </c>
      <c r="E2595">
        <v>260</v>
      </c>
      <c r="F2595" t="s">
        <v>1388</v>
      </c>
      <c r="G2595" t="s">
        <v>1389</v>
      </c>
      <c r="H2595" s="315" t="s">
        <v>1000</v>
      </c>
      <c r="I2595" s="315" t="s">
        <v>1390</v>
      </c>
      <c r="J2595" s="315" t="str">
        <f t="shared" si="221"/>
        <v>Admin &amp; OtherProfessional Fees as % of Total Gross Profit</v>
      </c>
      <c r="K2595" s="315" t="str">
        <f t="shared" si="222"/>
        <v>260Professional Fees - Toyota</v>
      </c>
      <c r="L2595" s="311">
        <f>+SUMIF('TUNZ Extracted TB'!M:M,$P2595,'TUNZ Extracted TB'!G:G)</f>
        <v>0</v>
      </c>
      <c r="M2595" s="311"/>
      <c r="N2595" s="311">
        <f>+SUMIF('Input Sheet'!$AE:$AE,P2595,'Input Sheet'!$X:$X)</f>
        <v>0</v>
      </c>
      <c r="O2595" s="311"/>
      <c r="P2595" t="str">
        <f t="shared" si="223"/>
        <v>260-7490</v>
      </c>
      <c r="Q2595" s="315" t="str">
        <f t="shared" si="224"/>
        <v>Admin &amp; Other</v>
      </c>
      <c r="R2595" s="315" t="str">
        <f t="shared" si="225"/>
        <v>Admin &amp; OtherProfessional Fees as % of Total Gross Profit</v>
      </c>
      <c r="S2595" s="199"/>
      <c r="T2595" s="199"/>
      <c r="U2595" s="199"/>
    </row>
    <row r="2596" spans="1:21" x14ac:dyDescent="0.25">
      <c r="A2596" t="s">
        <v>996</v>
      </c>
      <c r="B2596" t="s">
        <v>997</v>
      </c>
      <c r="C2596" t="s">
        <v>1012</v>
      </c>
      <c r="D2596">
        <v>7490</v>
      </c>
      <c r="E2596">
        <v>400</v>
      </c>
      <c r="F2596" t="s">
        <v>1388</v>
      </c>
      <c r="G2596" t="s">
        <v>1389</v>
      </c>
      <c r="H2596" s="315" t="s">
        <v>1000</v>
      </c>
      <c r="I2596" s="315" t="s">
        <v>1390</v>
      </c>
      <c r="J2596" s="315" t="str">
        <f t="shared" si="221"/>
        <v>Admin &amp; OtherProfessional Fees as % of Total Gross Profit</v>
      </c>
      <c r="K2596" s="315" t="str">
        <f t="shared" si="222"/>
        <v>400Professional Fees - Toyota</v>
      </c>
      <c r="L2596" s="311">
        <f>+SUMIF('TUNZ Extracted TB'!M:M,$P2596,'TUNZ Extracted TB'!G:G)</f>
        <v>0</v>
      </c>
      <c r="M2596" s="311"/>
      <c r="N2596" s="311">
        <f>+SUMIF('Input Sheet'!$AE:$AE,P2596,'Input Sheet'!$X:$X)</f>
        <v>0</v>
      </c>
      <c r="O2596" s="311"/>
      <c r="P2596" t="str">
        <f t="shared" si="223"/>
        <v>400-7490</v>
      </c>
      <c r="Q2596" s="315" t="str">
        <f t="shared" si="224"/>
        <v>Admin &amp; Other</v>
      </c>
      <c r="R2596" s="315" t="str">
        <f t="shared" si="225"/>
        <v>Admin &amp; OtherProfessional Fees as % of Total Gross Profit</v>
      </c>
      <c r="S2596" s="199"/>
      <c r="T2596" s="199"/>
      <c r="U2596" s="199"/>
    </row>
    <row r="2597" spans="1:21" x14ac:dyDescent="0.25">
      <c r="A2597" t="s">
        <v>996</v>
      </c>
      <c r="B2597" t="s">
        <v>997</v>
      </c>
      <c r="C2597" t="s">
        <v>1012</v>
      </c>
      <c r="D2597">
        <v>7490</v>
      </c>
      <c r="E2597">
        <v>410</v>
      </c>
      <c r="F2597" t="s">
        <v>1388</v>
      </c>
      <c r="G2597" t="s">
        <v>1389</v>
      </c>
      <c r="H2597" s="315" t="s">
        <v>1000</v>
      </c>
      <c r="I2597" s="315" t="s">
        <v>1390</v>
      </c>
      <c r="J2597" s="315" t="str">
        <f t="shared" si="221"/>
        <v>Admin &amp; OtherProfessional Fees as % of Total Gross Profit</v>
      </c>
      <c r="K2597" s="315" t="str">
        <f t="shared" si="222"/>
        <v>410Professional Fees - Toyota</v>
      </c>
      <c r="L2597" s="311">
        <f>+SUMIF('TUNZ Extracted TB'!M:M,$P2597,'TUNZ Extracted TB'!G:G)</f>
        <v>0</v>
      </c>
      <c r="M2597" s="311"/>
      <c r="N2597" s="311">
        <f>+SUMIF('Input Sheet'!$AE:$AE,P2597,'Input Sheet'!$X:$X)</f>
        <v>0</v>
      </c>
      <c r="O2597" s="311"/>
      <c r="P2597" t="str">
        <f t="shared" si="223"/>
        <v>410-7490</v>
      </c>
      <c r="Q2597" s="315" t="str">
        <f t="shared" si="224"/>
        <v>Admin &amp; Other</v>
      </c>
      <c r="R2597" s="315" t="str">
        <f t="shared" si="225"/>
        <v>Admin &amp; OtherProfessional Fees as % of Total Gross Profit</v>
      </c>
      <c r="S2597" s="199"/>
      <c r="T2597" s="199"/>
      <c r="U2597" s="199"/>
    </row>
    <row r="2598" spans="1:21" x14ac:dyDescent="0.25">
      <c r="A2598" t="s">
        <v>996</v>
      </c>
      <c r="B2598" t="s">
        <v>997</v>
      </c>
      <c r="C2598" t="s">
        <v>1012</v>
      </c>
      <c r="D2598">
        <v>7490</v>
      </c>
      <c r="E2598">
        <v>420</v>
      </c>
      <c r="F2598" t="s">
        <v>1388</v>
      </c>
      <c r="G2598" t="s">
        <v>1389</v>
      </c>
      <c r="H2598" s="315" t="s">
        <v>1000</v>
      </c>
      <c r="I2598" s="315" t="s">
        <v>1390</v>
      </c>
      <c r="J2598" s="315" t="str">
        <f t="shared" si="221"/>
        <v>Admin &amp; OtherProfessional Fees as % of Total Gross Profit</v>
      </c>
      <c r="K2598" s="315" t="str">
        <f t="shared" si="222"/>
        <v>420Professional Fees - Toyota</v>
      </c>
      <c r="L2598" s="311">
        <f>+SUMIF('TUNZ Extracted TB'!M:M,$P2598,'TUNZ Extracted TB'!G:G)</f>
        <v>0</v>
      </c>
      <c r="M2598" s="311"/>
      <c r="N2598" s="311">
        <f>+SUMIF('Input Sheet'!$AE:$AE,P2598,'Input Sheet'!$X:$X)</f>
        <v>0</v>
      </c>
      <c r="O2598" s="311"/>
      <c r="P2598" t="str">
        <f t="shared" si="223"/>
        <v>420-7490</v>
      </c>
      <c r="Q2598" s="315" t="str">
        <f t="shared" si="224"/>
        <v>Admin &amp; Other</v>
      </c>
      <c r="R2598" s="315" t="str">
        <f t="shared" si="225"/>
        <v>Admin &amp; OtherProfessional Fees as % of Total Gross Profit</v>
      </c>
      <c r="S2598" s="199"/>
      <c r="T2598" s="199"/>
      <c r="U2598" s="199"/>
    </row>
    <row r="2599" spans="1:21" x14ac:dyDescent="0.25">
      <c r="A2599" t="s">
        <v>996</v>
      </c>
      <c r="B2599" t="s">
        <v>997</v>
      </c>
      <c r="C2599" t="s">
        <v>1012</v>
      </c>
      <c r="D2599">
        <v>7490</v>
      </c>
      <c r="E2599">
        <v>421</v>
      </c>
      <c r="F2599" t="s">
        <v>1388</v>
      </c>
      <c r="G2599" t="s">
        <v>1389</v>
      </c>
      <c r="H2599" s="315" t="s">
        <v>1000</v>
      </c>
      <c r="I2599" s="315" t="s">
        <v>1390</v>
      </c>
      <c r="J2599" s="315" t="str">
        <f t="shared" si="221"/>
        <v>Admin &amp; OtherProfessional Fees as % of Total Gross Profit</v>
      </c>
      <c r="K2599" s="315" t="str">
        <f t="shared" si="222"/>
        <v>421Professional Fees - Toyota</v>
      </c>
      <c r="L2599" s="311">
        <f>+SUMIF('TUNZ Extracted TB'!M:M,$P2599,'TUNZ Extracted TB'!G:G)</f>
        <v>0</v>
      </c>
      <c r="M2599" s="311"/>
      <c r="N2599" s="311">
        <f>+SUMIF('Input Sheet'!$AE:$AE,P2599,'Input Sheet'!$X:$X)</f>
        <v>0</v>
      </c>
      <c r="O2599" s="311"/>
      <c r="P2599" t="str">
        <f t="shared" si="223"/>
        <v>421-7490</v>
      </c>
      <c r="Q2599" s="315" t="str">
        <f t="shared" si="224"/>
        <v>Admin &amp; Other</v>
      </c>
      <c r="R2599" s="315" t="str">
        <f t="shared" si="225"/>
        <v>Admin &amp; OtherProfessional Fees as % of Total Gross Profit</v>
      </c>
      <c r="S2599" s="199"/>
      <c r="T2599" s="199"/>
      <c r="U2599" s="199"/>
    </row>
    <row r="2600" spans="1:21" x14ac:dyDescent="0.25">
      <c r="A2600" t="s">
        <v>996</v>
      </c>
      <c r="B2600" t="s">
        <v>997</v>
      </c>
      <c r="C2600" t="s">
        <v>1012</v>
      </c>
      <c r="D2600">
        <v>7490</v>
      </c>
      <c r="E2600">
        <v>430</v>
      </c>
      <c r="F2600" t="s">
        <v>1388</v>
      </c>
      <c r="G2600" t="s">
        <v>1389</v>
      </c>
      <c r="H2600" s="315" t="s">
        <v>1000</v>
      </c>
      <c r="I2600" s="315" t="s">
        <v>1390</v>
      </c>
      <c r="J2600" s="315" t="str">
        <f t="shared" si="221"/>
        <v>Admin &amp; OtherProfessional Fees as % of Total Gross Profit</v>
      </c>
      <c r="K2600" s="315" t="str">
        <f t="shared" si="222"/>
        <v>430Professional Fees - Toyota</v>
      </c>
      <c r="L2600" s="311">
        <f>+SUMIF('TUNZ Extracted TB'!M:M,$P2600,'TUNZ Extracted TB'!G:G)</f>
        <v>0</v>
      </c>
      <c r="M2600" s="311"/>
      <c r="N2600" s="311">
        <f>+SUMIF('Input Sheet'!$AE:$AE,P2600,'Input Sheet'!$X:$X)</f>
        <v>0</v>
      </c>
      <c r="O2600" s="311"/>
      <c r="P2600" t="str">
        <f t="shared" si="223"/>
        <v>430-7490</v>
      </c>
      <c r="Q2600" s="315" t="str">
        <f t="shared" si="224"/>
        <v>Admin &amp; Other</v>
      </c>
      <c r="R2600" s="315" t="str">
        <f t="shared" si="225"/>
        <v>Admin &amp; OtherProfessional Fees as % of Total Gross Profit</v>
      </c>
      <c r="S2600" s="199"/>
      <c r="T2600" s="199"/>
      <c r="U2600" s="199"/>
    </row>
    <row r="2601" spans="1:21" x14ac:dyDescent="0.25">
      <c r="A2601" t="s">
        <v>996</v>
      </c>
      <c r="B2601" t="s">
        <v>997</v>
      </c>
      <c r="C2601" t="s">
        <v>1012</v>
      </c>
      <c r="D2601">
        <v>7490</v>
      </c>
      <c r="E2601">
        <v>440</v>
      </c>
      <c r="F2601" t="s">
        <v>1388</v>
      </c>
      <c r="G2601" t="s">
        <v>1389</v>
      </c>
      <c r="H2601" s="315" t="s">
        <v>1000</v>
      </c>
      <c r="I2601" s="315" t="s">
        <v>1390</v>
      </c>
      <c r="J2601" s="315" t="str">
        <f t="shared" si="221"/>
        <v>Admin &amp; OtherProfessional Fees as % of Total Gross Profit</v>
      </c>
      <c r="K2601" s="315" t="str">
        <f t="shared" si="222"/>
        <v>440Professional Fees - Toyota</v>
      </c>
      <c r="L2601" s="311">
        <f>+SUMIF('TUNZ Extracted TB'!M:M,$P2601,'TUNZ Extracted TB'!G:G)</f>
        <v>0</v>
      </c>
      <c r="M2601" s="311"/>
      <c r="N2601" s="311">
        <f>+SUMIF('Input Sheet'!$AE:$AE,P2601,'Input Sheet'!$X:$X)</f>
        <v>0</v>
      </c>
      <c r="O2601" s="311"/>
      <c r="P2601" t="str">
        <f t="shared" si="223"/>
        <v>440-7490</v>
      </c>
      <c r="Q2601" s="315" t="str">
        <f t="shared" si="224"/>
        <v>Admin &amp; Other</v>
      </c>
      <c r="R2601" s="315" t="str">
        <f t="shared" si="225"/>
        <v>Admin &amp; OtherProfessional Fees as % of Total Gross Profit</v>
      </c>
      <c r="S2601" s="199"/>
      <c r="T2601" s="199"/>
      <c r="U2601" s="199"/>
    </row>
    <row r="2602" spans="1:21" x14ac:dyDescent="0.25">
      <c r="A2602" t="s">
        <v>996</v>
      </c>
      <c r="B2602" t="s">
        <v>997</v>
      </c>
      <c r="C2602" t="s">
        <v>1012</v>
      </c>
      <c r="D2602">
        <v>7490</v>
      </c>
      <c r="E2602">
        <v>460</v>
      </c>
      <c r="F2602" t="s">
        <v>1388</v>
      </c>
      <c r="G2602" t="s">
        <v>1389</v>
      </c>
      <c r="H2602" s="315" t="s">
        <v>1000</v>
      </c>
      <c r="I2602" s="315" t="s">
        <v>1390</v>
      </c>
      <c r="J2602" s="315" t="str">
        <f t="shared" si="221"/>
        <v>Admin &amp; OtherProfessional Fees as % of Total Gross Profit</v>
      </c>
      <c r="K2602" s="315" t="str">
        <f t="shared" si="222"/>
        <v>460Professional Fees - Toyota</v>
      </c>
      <c r="L2602" s="311">
        <f>+SUMIF('TUNZ Extracted TB'!M:M,$P2602,'TUNZ Extracted TB'!G:G)</f>
        <v>0</v>
      </c>
      <c r="M2602" s="311"/>
      <c r="N2602" s="311">
        <f>+SUMIF('Input Sheet'!$AE:$AE,P2602,'Input Sheet'!$X:$X)</f>
        <v>0</v>
      </c>
      <c r="O2602" s="311"/>
      <c r="P2602" t="str">
        <f t="shared" si="223"/>
        <v>460-7490</v>
      </c>
      <c r="Q2602" s="315" t="str">
        <f t="shared" si="224"/>
        <v>Admin &amp; Other</v>
      </c>
      <c r="R2602" s="315" t="str">
        <f t="shared" si="225"/>
        <v>Admin &amp; OtherProfessional Fees as % of Total Gross Profit</v>
      </c>
      <c r="S2602" s="199"/>
      <c r="T2602" s="199"/>
      <c r="U2602" s="199"/>
    </row>
    <row r="2603" spans="1:21" x14ac:dyDescent="0.25">
      <c r="A2603" t="s">
        <v>996</v>
      </c>
      <c r="B2603" t="s">
        <v>997</v>
      </c>
      <c r="C2603" t="s">
        <v>1013</v>
      </c>
      <c r="D2603">
        <v>7490</v>
      </c>
      <c r="E2603">
        <v>300</v>
      </c>
      <c r="F2603" t="s">
        <v>1388</v>
      </c>
      <c r="G2603" t="s">
        <v>1389</v>
      </c>
      <c r="H2603" s="315" t="s">
        <v>1000</v>
      </c>
      <c r="I2603" s="315" t="s">
        <v>1390</v>
      </c>
      <c r="J2603" s="315" t="str">
        <f t="shared" si="221"/>
        <v>Admin &amp; OtherProfessional Fees as % of Total Gross Profit</v>
      </c>
      <c r="K2603" s="315" t="str">
        <f t="shared" si="222"/>
        <v>300Professional Fees - Toyota</v>
      </c>
      <c r="L2603" s="311">
        <f>+SUMIF('TUNZ Extracted TB'!M:M,$P2603,'TUNZ Extracted TB'!G:G)</f>
        <v>0</v>
      </c>
      <c r="M2603" s="311"/>
      <c r="N2603" s="311">
        <f>+SUMIF('Input Sheet'!$AE:$AE,P2603,'Input Sheet'!$X:$X)</f>
        <v>0</v>
      </c>
      <c r="O2603" s="311"/>
      <c r="P2603" t="str">
        <f t="shared" si="223"/>
        <v>300-7490</v>
      </c>
      <c r="Q2603" s="315" t="str">
        <f t="shared" si="224"/>
        <v>Admin &amp; Other</v>
      </c>
      <c r="R2603" s="315" t="str">
        <f t="shared" si="225"/>
        <v>Admin &amp; OtherProfessional Fees as % of Total Gross Profit</v>
      </c>
      <c r="S2603" s="199"/>
      <c r="T2603" s="199"/>
      <c r="U2603" s="199"/>
    </row>
    <row r="2604" spans="1:21" x14ac:dyDescent="0.25">
      <c r="A2604" t="s">
        <v>996</v>
      </c>
      <c r="B2604" t="s">
        <v>997</v>
      </c>
      <c r="C2604" t="s">
        <v>1013</v>
      </c>
      <c r="D2604">
        <v>7490</v>
      </c>
      <c r="E2604">
        <v>310</v>
      </c>
      <c r="F2604" t="s">
        <v>1388</v>
      </c>
      <c r="G2604" t="s">
        <v>1389</v>
      </c>
      <c r="H2604" s="315" t="s">
        <v>1000</v>
      </c>
      <c r="I2604" s="315" t="s">
        <v>1390</v>
      </c>
      <c r="J2604" s="315" t="str">
        <f t="shared" si="221"/>
        <v>Admin &amp; OtherProfessional Fees as % of Total Gross Profit</v>
      </c>
      <c r="K2604" s="315" t="str">
        <f t="shared" si="222"/>
        <v>310Professional Fees - Toyota</v>
      </c>
      <c r="L2604" s="311">
        <f>+SUMIF('TUNZ Extracted TB'!M:M,$P2604,'TUNZ Extracted TB'!G:G)</f>
        <v>0</v>
      </c>
      <c r="M2604" s="311"/>
      <c r="N2604" s="311">
        <f>+SUMIF('Input Sheet'!$AE:$AE,P2604,'Input Sheet'!$X:$X)</f>
        <v>0</v>
      </c>
      <c r="O2604" s="311"/>
      <c r="P2604" t="str">
        <f t="shared" si="223"/>
        <v>310-7490</v>
      </c>
      <c r="Q2604" s="315" t="str">
        <f t="shared" si="224"/>
        <v>Admin &amp; Other</v>
      </c>
      <c r="R2604" s="315" t="str">
        <f t="shared" si="225"/>
        <v>Admin &amp; OtherProfessional Fees as % of Total Gross Profit</v>
      </c>
      <c r="S2604" s="199"/>
      <c r="T2604" s="199"/>
      <c r="U2604" s="199"/>
    </row>
    <row r="2605" spans="1:21" x14ac:dyDescent="0.25">
      <c r="A2605" t="s">
        <v>996</v>
      </c>
      <c r="B2605" t="s">
        <v>997</v>
      </c>
      <c r="C2605" t="s">
        <v>1013</v>
      </c>
      <c r="D2605">
        <v>7490</v>
      </c>
      <c r="E2605">
        <v>321</v>
      </c>
      <c r="F2605" t="s">
        <v>1388</v>
      </c>
      <c r="G2605" t="s">
        <v>1389</v>
      </c>
      <c r="H2605" s="315" t="s">
        <v>1000</v>
      </c>
      <c r="I2605" s="315" t="s">
        <v>1390</v>
      </c>
      <c r="J2605" s="315" t="str">
        <f t="shared" si="221"/>
        <v>Admin &amp; OtherProfessional Fees as % of Total Gross Profit</v>
      </c>
      <c r="K2605" s="315" t="str">
        <f t="shared" si="222"/>
        <v>321Professional Fees - Toyota</v>
      </c>
      <c r="L2605" s="311">
        <f>+SUMIF('TUNZ Extracted TB'!M:M,$P2605,'TUNZ Extracted TB'!G:G)</f>
        <v>0</v>
      </c>
      <c r="M2605" s="311"/>
      <c r="N2605" s="311">
        <f>+SUMIF('Input Sheet'!$AE:$AE,P2605,'Input Sheet'!$X:$X)</f>
        <v>0</v>
      </c>
      <c r="O2605" s="311"/>
      <c r="P2605" t="str">
        <f t="shared" si="223"/>
        <v>321-7490</v>
      </c>
      <c r="Q2605" s="315" t="str">
        <f t="shared" si="224"/>
        <v>Admin &amp; Other</v>
      </c>
      <c r="R2605" s="315" t="str">
        <f t="shared" si="225"/>
        <v>Admin &amp; OtherProfessional Fees as % of Total Gross Profit</v>
      </c>
      <c r="S2605" s="199"/>
      <c r="T2605" s="199"/>
      <c r="U2605" s="199"/>
    </row>
    <row r="2606" spans="1:21" x14ac:dyDescent="0.25">
      <c r="A2606" t="s">
        <v>996</v>
      </c>
      <c r="B2606" t="s">
        <v>997</v>
      </c>
      <c r="C2606" t="s">
        <v>1013</v>
      </c>
      <c r="D2606">
        <v>7490</v>
      </c>
      <c r="E2606">
        <v>330</v>
      </c>
      <c r="F2606" t="s">
        <v>1388</v>
      </c>
      <c r="G2606" t="s">
        <v>1389</v>
      </c>
      <c r="H2606" s="315" t="s">
        <v>1000</v>
      </c>
      <c r="I2606" s="315" t="s">
        <v>1390</v>
      </c>
      <c r="J2606" s="315" t="str">
        <f t="shared" si="221"/>
        <v>Admin &amp; OtherProfessional Fees as % of Total Gross Profit</v>
      </c>
      <c r="K2606" s="315" t="str">
        <f t="shared" si="222"/>
        <v>330Professional Fees - Toyota</v>
      </c>
      <c r="L2606" s="311">
        <f>+SUMIF('TUNZ Extracted TB'!M:M,$P2606,'TUNZ Extracted TB'!G:G)</f>
        <v>0</v>
      </c>
      <c r="M2606" s="311"/>
      <c r="N2606" s="311">
        <f>+SUMIF('Input Sheet'!$AE:$AE,P2606,'Input Sheet'!$X:$X)</f>
        <v>0</v>
      </c>
      <c r="O2606" s="311"/>
      <c r="P2606" t="str">
        <f t="shared" si="223"/>
        <v>330-7490</v>
      </c>
      <c r="Q2606" s="315" t="str">
        <f t="shared" si="224"/>
        <v>Admin &amp; Other</v>
      </c>
      <c r="R2606" s="315" t="str">
        <f t="shared" si="225"/>
        <v>Admin &amp; OtherProfessional Fees as % of Total Gross Profit</v>
      </c>
      <c r="S2606" s="199"/>
      <c r="T2606" s="199"/>
      <c r="U2606" s="199"/>
    </row>
    <row r="2607" spans="1:21" x14ac:dyDescent="0.25">
      <c r="A2607" t="s">
        <v>996</v>
      </c>
      <c r="B2607" t="s">
        <v>997</v>
      </c>
      <c r="C2607" t="s">
        <v>1013</v>
      </c>
      <c r="D2607">
        <v>7490</v>
      </c>
      <c r="E2607">
        <v>340</v>
      </c>
      <c r="F2607" t="s">
        <v>1388</v>
      </c>
      <c r="G2607" t="s">
        <v>1389</v>
      </c>
      <c r="H2607" s="315" t="s">
        <v>1000</v>
      </c>
      <c r="I2607" s="315" t="s">
        <v>1390</v>
      </c>
      <c r="J2607" s="315" t="str">
        <f t="shared" si="221"/>
        <v>Admin &amp; OtherProfessional Fees as % of Total Gross Profit</v>
      </c>
      <c r="K2607" s="315" t="str">
        <f t="shared" si="222"/>
        <v>340Professional Fees - Toyota</v>
      </c>
      <c r="L2607" s="311">
        <f>+SUMIF('TUNZ Extracted TB'!M:M,$P2607,'TUNZ Extracted TB'!G:G)</f>
        <v>0</v>
      </c>
      <c r="M2607" s="311"/>
      <c r="N2607" s="311">
        <f>+SUMIF('Input Sheet'!$AE:$AE,P2607,'Input Sheet'!$X:$X)</f>
        <v>0</v>
      </c>
      <c r="O2607" s="311"/>
      <c r="P2607" t="str">
        <f t="shared" si="223"/>
        <v>340-7490</v>
      </c>
      <c r="Q2607" s="315" t="str">
        <f t="shared" si="224"/>
        <v>Admin &amp; Other</v>
      </c>
      <c r="R2607" s="315" t="str">
        <f t="shared" si="225"/>
        <v>Admin &amp; OtherProfessional Fees as % of Total Gross Profit</v>
      </c>
      <c r="S2607" s="199"/>
      <c r="T2607" s="199"/>
      <c r="U2607" s="199"/>
    </row>
    <row r="2608" spans="1:21" x14ac:dyDescent="0.25">
      <c r="A2608" t="s">
        <v>996</v>
      </c>
      <c r="B2608" t="s">
        <v>997</v>
      </c>
      <c r="C2608" t="s">
        <v>1013</v>
      </c>
      <c r="D2608">
        <v>7490</v>
      </c>
      <c r="E2608">
        <v>360</v>
      </c>
      <c r="F2608" t="s">
        <v>1388</v>
      </c>
      <c r="G2608" t="s">
        <v>1389</v>
      </c>
      <c r="H2608" s="315" t="s">
        <v>1000</v>
      </c>
      <c r="I2608" s="315" t="s">
        <v>1390</v>
      </c>
      <c r="J2608" s="315" t="str">
        <f t="shared" si="221"/>
        <v>Admin &amp; OtherProfessional Fees as % of Total Gross Profit</v>
      </c>
      <c r="K2608" s="315" t="str">
        <f t="shared" si="222"/>
        <v>360Professional Fees - Toyota</v>
      </c>
      <c r="L2608" s="311">
        <f>+SUMIF('TUNZ Extracted TB'!M:M,$P2608,'TUNZ Extracted TB'!G:G)</f>
        <v>0</v>
      </c>
      <c r="M2608" s="311"/>
      <c r="N2608" s="311">
        <f>+SUMIF('Input Sheet'!$AE:$AE,P2608,'Input Sheet'!$X:$X)</f>
        <v>0</v>
      </c>
      <c r="O2608" s="311"/>
      <c r="P2608" t="str">
        <f t="shared" si="223"/>
        <v>360-7490</v>
      </c>
      <c r="Q2608" s="315" t="str">
        <f t="shared" si="224"/>
        <v>Admin &amp; Other</v>
      </c>
      <c r="R2608" s="315" t="str">
        <f t="shared" si="225"/>
        <v>Admin &amp; OtherProfessional Fees as % of Total Gross Profit</v>
      </c>
      <c r="S2608" s="199"/>
      <c r="T2608" s="199"/>
      <c r="U2608" s="199"/>
    </row>
    <row r="2609" spans="1:21" x14ac:dyDescent="0.25">
      <c r="A2609" t="s">
        <v>996</v>
      </c>
      <c r="B2609" t="s">
        <v>997</v>
      </c>
      <c r="C2609" t="s">
        <v>997</v>
      </c>
      <c r="D2609">
        <v>7490</v>
      </c>
      <c r="E2609">
        <v>120</v>
      </c>
      <c r="F2609" t="s">
        <v>1388</v>
      </c>
      <c r="G2609" t="s">
        <v>1389</v>
      </c>
      <c r="H2609" s="315" t="s">
        <v>1000</v>
      </c>
      <c r="I2609" s="315" t="s">
        <v>1390</v>
      </c>
      <c r="J2609" s="315" t="str">
        <f t="shared" si="221"/>
        <v>Admin &amp; OtherProfessional Fees as % of Total Gross Profit</v>
      </c>
      <c r="K2609" s="315" t="str">
        <f t="shared" si="222"/>
        <v>120Professional Fees - Toyota</v>
      </c>
      <c r="L2609" s="311">
        <f>+SUMIF('TUNZ Extracted TB'!M:M,$P2609,'TUNZ Extracted TB'!G:G)</f>
        <v>0</v>
      </c>
      <c r="M2609" s="311"/>
      <c r="N2609" s="311">
        <f>+SUMIF('Input Sheet'!$AE:$AE,P2609,'Input Sheet'!$X:$X)</f>
        <v>0</v>
      </c>
      <c r="O2609" s="311"/>
      <c r="P2609" t="str">
        <f t="shared" si="223"/>
        <v>120-7490</v>
      </c>
      <c r="Q2609" s="315" t="str">
        <f t="shared" si="224"/>
        <v>Admin &amp; Other</v>
      </c>
      <c r="R2609" s="315" t="str">
        <f t="shared" si="225"/>
        <v>Admin &amp; OtherProfessional Fees as % of Total Gross Profit</v>
      </c>
      <c r="S2609" s="199"/>
      <c r="T2609" s="199"/>
      <c r="U2609" s="199"/>
    </row>
    <row r="2610" spans="1:21" x14ac:dyDescent="0.25">
      <c r="A2610" t="s">
        <v>996</v>
      </c>
      <c r="B2610" t="s">
        <v>997</v>
      </c>
      <c r="C2610" t="s">
        <v>997</v>
      </c>
      <c r="D2610">
        <v>7490</v>
      </c>
      <c r="E2610">
        <v>121</v>
      </c>
      <c r="F2610" t="s">
        <v>1388</v>
      </c>
      <c r="G2610" t="s">
        <v>1389</v>
      </c>
      <c r="H2610" s="315" t="s">
        <v>1000</v>
      </c>
      <c r="I2610" s="315" t="s">
        <v>1390</v>
      </c>
      <c r="J2610" s="315" t="str">
        <f t="shared" si="221"/>
        <v>Admin &amp; OtherProfessional Fees as % of Total Gross Profit</v>
      </c>
      <c r="K2610" s="315" t="str">
        <f t="shared" si="222"/>
        <v>121Professional Fees - Toyota</v>
      </c>
      <c r="L2610" s="311">
        <f>+SUMIF('TUNZ Extracted TB'!M:M,$P2610,'TUNZ Extracted TB'!G:G)</f>
        <v>0</v>
      </c>
      <c r="M2610" s="311"/>
      <c r="N2610" s="311">
        <f>+SUMIF('Input Sheet'!$AE:$AE,P2610,'Input Sheet'!$X:$X)</f>
        <v>0</v>
      </c>
      <c r="O2610" s="311"/>
      <c r="P2610" t="str">
        <f t="shared" si="223"/>
        <v>121-7490</v>
      </c>
      <c r="Q2610" s="315" t="str">
        <f t="shared" si="224"/>
        <v>Admin &amp; Other</v>
      </c>
      <c r="R2610" s="315" t="str">
        <f t="shared" si="225"/>
        <v>Admin &amp; OtherProfessional Fees as % of Total Gross Profit</v>
      </c>
      <c r="S2610" s="199"/>
      <c r="T2610" s="199"/>
      <c r="U2610" s="199"/>
    </row>
    <row r="2611" spans="1:21" x14ac:dyDescent="0.25">
      <c r="A2611" t="s">
        <v>996</v>
      </c>
      <c r="B2611" t="s">
        <v>997</v>
      </c>
      <c r="C2611" t="s">
        <v>997</v>
      </c>
      <c r="D2611">
        <v>7490</v>
      </c>
      <c r="E2611">
        <v>147</v>
      </c>
      <c r="F2611" t="s">
        <v>1388</v>
      </c>
      <c r="G2611" t="s">
        <v>1389</v>
      </c>
      <c r="H2611" s="315" t="s">
        <v>1000</v>
      </c>
      <c r="I2611" s="315" t="s">
        <v>1390</v>
      </c>
      <c r="J2611" s="315" t="str">
        <f t="shared" si="221"/>
        <v>Admin &amp; OtherProfessional Fees as % of Total Gross Profit</v>
      </c>
      <c r="K2611" s="315" t="str">
        <f t="shared" si="222"/>
        <v>147Professional Fees - Toyota</v>
      </c>
      <c r="L2611" s="311">
        <f>+SUMIF('TUNZ Extracted TB'!M:M,$P2611,'TUNZ Extracted TB'!G:G)</f>
        <v>0</v>
      </c>
      <c r="M2611" s="311"/>
      <c r="N2611" s="311">
        <f>+SUMIF('Input Sheet'!$AE:$AE,P2611,'Input Sheet'!$X:$X)</f>
        <v>0</v>
      </c>
      <c r="O2611" s="311"/>
      <c r="P2611" t="str">
        <f t="shared" si="223"/>
        <v>147-7490</v>
      </c>
      <c r="Q2611" s="315" t="str">
        <f t="shared" si="224"/>
        <v>Admin &amp; Other</v>
      </c>
      <c r="R2611" s="315" t="str">
        <f t="shared" si="225"/>
        <v>Admin &amp; OtherProfessional Fees as % of Total Gross Profit</v>
      </c>
      <c r="S2611" s="199"/>
      <c r="T2611" s="199"/>
      <c r="U2611" s="199"/>
    </row>
    <row r="2612" spans="1:21" x14ac:dyDescent="0.25">
      <c r="A2612" t="s">
        <v>996</v>
      </c>
      <c r="B2612" t="s">
        <v>997</v>
      </c>
      <c r="C2612" t="s">
        <v>997</v>
      </c>
      <c r="D2612">
        <v>7490</v>
      </c>
      <c r="E2612">
        <v>160</v>
      </c>
      <c r="F2612" t="s">
        <v>1388</v>
      </c>
      <c r="G2612" t="s">
        <v>1389</v>
      </c>
      <c r="H2612" s="315" t="s">
        <v>1000</v>
      </c>
      <c r="I2612" s="315" t="s">
        <v>1390</v>
      </c>
      <c r="J2612" s="315" t="str">
        <f t="shared" si="221"/>
        <v>Admin &amp; OtherProfessional Fees as % of Total Gross Profit</v>
      </c>
      <c r="K2612" s="315" t="str">
        <f t="shared" si="222"/>
        <v>160Professional Fees - Toyota</v>
      </c>
      <c r="L2612" s="311">
        <f>+SUMIF('TUNZ Extracted TB'!M:M,$P2612,'TUNZ Extracted TB'!G:G)</f>
        <v>0</v>
      </c>
      <c r="M2612" s="311"/>
      <c r="N2612" s="311">
        <f>+SUMIF('Input Sheet'!$AE:$AE,P2612,'Input Sheet'!$X:$X)</f>
        <v>0</v>
      </c>
      <c r="O2612" s="311"/>
      <c r="P2612" t="str">
        <f t="shared" si="223"/>
        <v>160-7490</v>
      </c>
      <c r="Q2612" s="315" t="str">
        <f t="shared" si="224"/>
        <v>Admin &amp; Other</v>
      </c>
      <c r="R2612" s="315" t="str">
        <f t="shared" si="225"/>
        <v>Admin &amp; OtherProfessional Fees as % of Total Gross Profit</v>
      </c>
      <c r="S2612" s="199"/>
      <c r="T2612" s="199"/>
      <c r="U2612" s="199"/>
    </row>
    <row r="2613" spans="1:21" x14ac:dyDescent="0.25">
      <c r="A2613" t="s">
        <v>996</v>
      </c>
      <c r="B2613" t="s">
        <v>997</v>
      </c>
      <c r="C2613" t="s">
        <v>997</v>
      </c>
      <c r="D2613">
        <v>7490</v>
      </c>
      <c r="E2613">
        <v>112</v>
      </c>
      <c r="F2613" t="s">
        <v>1391</v>
      </c>
      <c r="G2613" t="s">
        <v>1392</v>
      </c>
      <c r="H2613" s="315" t="s">
        <v>1023</v>
      </c>
      <c r="I2613" s="315" t="s">
        <v>1390</v>
      </c>
      <c r="J2613" s="315" t="str">
        <f t="shared" si="221"/>
        <v>LEX Admin &amp; OtherProfessional Fees as % of Total Gross Profit</v>
      </c>
      <c r="K2613" s="315" t="str">
        <f t="shared" si="222"/>
        <v>112Professional Fees - Lexus</v>
      </c>
      <c r="L2613" s="311">
        <f>+SUMIF('TUNZ Extracted TB'!M:M,$P2613,'TUNZ Extracted TB'!G:G)</f>
        <v>0</v>
      </c>
      <c r="M2613" s="311"/>
      <c r="N2613" s="311">
        <f>+SUMIF('Input Sheet'!$AE:$AE,P2613,'Input Sheet'!$X:$X)</f>
        <v>0</v>
      </c>
      <c r="O2613" s="311"/>
      <c r="P2613" t="str">
        <f t="shared" si="223"/>
        <v>112-7490</v>
      </c>
      <c r="Q2613" s="315" t="str">
        <f t="shared" si="224"/>
        <v>LEX Admin &amp; Other</v>
      </c>
      <c r="R2613" s="315" t="str">
        <f t="shared" si="225"/>
        <v>LEX Admin &amp; OtherProfessional Fees as % of Total Gross Profit</v>
      </c>
      <c r="S2613" s="199"/>
      <c r="T2613" s="199"/>
      <c r="U2613" s="199"/>
    </row>
    <row r="2614" spans="1:21" x14ac:dyDescent="0.25">
      <c r="A2614" t="s">
        <v>996</v>
      </c>
      <c r="B2614" t="s">
        <v>997</v>
      </c>
      <c r="C2614" t="s">
        <v>997</v>
      </c>
      <c r="D2614">
        <v>7490</v>
      </c>
      <c r="E2614">
        <v>100</v>
      </c>
      <c r="F2614" t="s">
        <v>1388</v>
      </c>
      <c r="G2614" t="s">
        <v>1389</v>
      </c>
      <c r="H2614" s="315" t="s">
        <v>1000</v>
      </c>
      <c r="I2614" s="315" t="s">
        <v>1390</v>
      </c>
      <c r="J2614" s="315" t="str">
        <f t="shared" si="221"/>
        <v>Admin &amp; OtherProfessional Fees as % of Total Gross Profit</v>
      </c>
      <c r="K2614" s="315" t="str">
        <f t="shared" si="222"/>
        <v>100Professional Fees - Toyota</v>
      </c>
      <c r="L2614" s="311">
        <f>+SUMIF('TUNZ Extracted TB'!M:M,$P2614,'TUNZ Extracted TB'!G:G)</f>
        <v>0</v>
      </c>
      <c r="M2614" s="311"/>
      <c r="N2614" s="311">
        <f>+SUMIF('Input Sheet'!$AE:$AE,P2614,'Input Sheet'!$X:$X)</f>
        <v>0</v>
      </c>
      <c r="O2614" s="311"/>
      <c r="P2614" t="str">
        <f t="shared" si="223"/>
        <v>100-7490</v>
      </c>
      <c r="Q2614" s="315" t="str">
        <f t="shared" si="224"/>
        <v>Admin &amp; Other</v>
      </c>
      <c r="R2614" s="315" t="str">
        <f t="shared" si="225"/>
        <v>Admin &amp; OtherProfessional Fees as % of Total Gross Profit</v>
      </c>
      <c r="S2614" s="199"/>
      <c r="T2614" s="199"/>
      <c r="U2614" s="199"/>
    </row>
    <row r="2615" spans="1:21" x14ac:dyDescent="0.25">
      <c r="A2615" t="s">
        <v>996</v>
      </c>
      <c r="B2615" t="s">
        <v>997</v>
      </c>
      <c r="C2615" t="s">
        <v>997</v>
      </c>
      <c r="D2615">
        <v>7490</v>
      </c>
      <c r="E2615">
        <v>110</v>
      </c>
      <c r="F2615" t="s">
        <v>1388</v>
      </c>
      <c r="G2615" t="s">
        <v>1389</v>
      </c>
      <c r="H2615" s="315" t="s">
        <v>1000</v>
      </c>
      <c r="I2615" s="315" t="s">
        <v>1390</v>
      </c>
      <c r="J2615" s="315" t="str">
        <f t="shared" si="221"/>
        <v>Admin &amp; OtherProfessional Fees as % of Total Gross Profit</v>
      </c>
      <c r="K2615" s="315" t="str">
        <f t="shared" si="222"/>
        <v>110Professional Fees - Toyota</v>
      </c>
      <c r="L2615" s="311">
        <f>+SUMIF('TUNZ Extracted TB'!M:M,$P2615,'TUNZ Extracted TB'!G:G)</f>
        <v>0</v>
      </c>
      <c r="M2615" s="311"/>
      <c r="N2615" s="311">
        <f>+SUMIF('Input Sheet'!$AE:$AE,P2615,'Input Sheet'!$X:$X)</f>
        <v>0</v>
      </c>
      <c r="O2615" s="311"/>
      <c r="P2615" t="str">
        <f t="shared" si="223"/>
        <v>110-7490</v>
      </c>
      <c r="Q2615" s="315" t="str">
        <f t="shared" si="224"/>
        <v>Admin &amp; Other</v>
      </c>
      <c r="R2615" s="315" t="str">
        <f t="shared" si="225"/>
        <v>Admin &amp; OtherProfessional Fees as % of Total Gross Profit</v>
      </c>
      <c r="S2615" s="199"/>
      <c r="T2615" s="199"/>
      <c r="U2615" s="199"/>
    </row>
    <row r="2616" spans="1:21" x14ac:dyDescent="0.25">
      <c r="A2616" t="s">
        <v>996</v>
      </c>
      <c r="B2616" t="s">
        <v>997</v>
      </c>
      <c r="C2616" t="s">
        <v>997</v>
      </c>
      <c r="D2616">
        <v>7495</v>
      </c>
      <c r="E2616">
        <v>132</v>
      </c>
      <c r="F2616" t="s">
        <v>1402</v>
      </c>
      <c r="G2616" t="s">
        <v>1403</v>
      </c>
      <c r="H2616" s="315" t="s">
        <v>1023</v>
      </c>
      <c r="I2616" s="315" t="s">
        <v>1370</v>
      </c>
      <c r="J2616" s="315" t="str">
        <f t="shared" si="221"/>
        <v>LEX Admin &amp; OtherR&amp;M and Cleaning as % of Total Gross Profit</v>
      </c>
      <c r="K2616" s="315" t="str">
        <f t="shared" si="222"/>
        <v>132Cleaning &amp; Security - Lexus</v>
      </c>
      <c r="L2616" s="311">
        <f>+SUMIF('TUNZ Extracted TB'!M:M,$P2616,'TUNZ Extracted TB'!G:G)</f>
        <v>0</v>
      </c>
      <c r="M2616" s="311"/>
      <c r="N2616" s="311">
        <f>+SUMIF('Input Sheet'!$AE:$AE,P2616,'Input Sheet'!$X:$X)</f>
        <v>0</v>
      </c>
      <c r="O2616" s="311"/>
      <c r="P2616" t="str">
        <f t="shared" si="223"/>
        <v>132-7495</v>
      </c>
      <c r="Q2616" s="315" t="str">
        <f t="shared" si="224"/>
        <v>LEX Admin &amp; Other</v>
      </c>
      <c r="R2616" s="315" t="str">
        <f t="shared" si="225"/>
        <v>LEX Admin &amp; OtherR&amp;M and Cleaning as % of Total Gross Profit</v>
      </c>
      <c r="S2616" s="199"/>
      <c r="T2616" s="199"/>
      <c r="U2616" s="199"/>
    </row>
    <row r="2617" spans="1:21" x14ac:dyDescent="0.25">
      <c r="A2617" t="s">
        <v>996</v>
      </c>
      <c r="B2617" t="s">
        <v>997</v>
      </c>
      <c r="C2617" t="s">
        <v>997</v>
      </c>
      <c r="D2617">
        <v>7495</v>
      </c>
      <c r="E2617">
        <v>140</v>
      </c>
      <c r="F2617" t="s">
        <v>1400</v>
      </c>
      <c r="G2617" t="s">
        <v>1401</v>
      </c>
      <c r="H2617" s="315" t="s">
        <v>1000</v>
      </c>
      <c r="I2617" s="315" t="s">
        <v>1370</v>
      </c>
      <c r="J2617" s="315" t="str">
        <f t="shared" si="221"/>
        <v>Admin &amp; OtherR&amp;M and Cleaning as % of Total Gross Profit</v>
      </c>
      <c r="K2617" s="315" t="str">
        <f t="shared" si="222"/>
        <v>140Cleaning &amp; Security - Toyota</v>
      </c>
      <c r="L2617" s="311">
        <f>+SUMIF('TUNZ Extracted TB'!M:M,$P2617,'TUNZ Extracted TB'!G:G)</f>
        <v>0</v>
      </c>
      <c r="M2617" s="311"/>
      <c r="N2617" s="311">
        <f>+SUMIF('Input Sheet'!$AE:$AE,P2617,'Input Sheet'!$X:$X)</f>
        <v>0</v>
      </c>
      <c r="O2617" s="311"/>
      <c r="P2617" t="str">
        <f t="shared" si="223"/>
        <v>140-7495</v>
      </c>
      <c r="Q2617" s="315" t="str">
        <f t="shared" si="224"/>
        <v>Admin &amp; Other</v>
      </c>
      <c r="R2617" s="315" t="str">
        <f t="shared" si="225"/>
        <v>Admin &amp; OtherR&amp;M and Cleaning as % of Total Gross Profit</v>
      </c>
      <c r="S2617" s="199"/>
      <c r="T2617" s="199"/>
      <c r="U2617" s="199"/>
    </row>
    <row r="2618" spans="1:21" x14ac:dyDescent="0.25">
      <c r="A2618" t="s">
        <v>996</v>
      </c>
      <c r="B2618" t="s">
        <v>997</v>
      </c>
      <c r="C2618" t="s">
        <v>997</v>
      </c>
      <c r="D2618">
        <v>7495</v>
      </c>
      <c r="E2618">
        <v>142</v>
      </c>
      <c r="F2618" t="s">
        <v>1402</v>
      </c>
      <c r="G2618" t="s">
        <v>1403</v>
      </c>
      <c r="H2618" s="315" t="s">
        <v>1023</v>
      </c>
      <c r="I2618" s="315" t="s">
        <v>1370</v>
      </c>
      <c r="J2618" s="315" t="str">
        <f t="shared" si="221"/>
        <v>LEX Admin &amp; OtherR&amp;M and Cleaning as % of Total Gross Profit</v>
      </c>
      <c r="K2618" s="315" t="str">
        <f t="shared" si="222"/>
        <v>142Cleaning &amp; Security - Lexus</v>
      </c>
      <c r="L2618" s="311">
        <f>+SUMIF('TUNZ Extracted TB'!M:M,$P2618,'TUNZ Extracted TB'!G:G)</f>
        <v>0</v>
      </c>
      <c r="M2618" s="311"/>
      <c r="N2618" s="311">
        <f>+SUMIF('Input Sheet'!$AE:$AE,P2618,'Input Sheet'!$X:$X)</f>
        <v>0</v>
      </c>
      <c r="O2618" s="311"/>
      <c r="P2618" t="str">
        <f t="shared" si="223"/>
        <v>142-7495</v>
      </c>
      <c r="Q2618" s="315" t="str">
        <f t="shared" si="224"/>
        <v>LEX Admin &amp; Other</v>
      </c>
      <c r="R2618" s="315" t="str">
        <f t="shared" si="225"/>
        <v>LEX Admin &amp; OtherR&amp;M and Cleaning as % of Total Gross Profit</v>
      </c>
      <c r="S2618" s="199"/>
      <c r="T2618" s="199"/>
      <c r="U2618" s="199"/>
    </row>
    <row r="2619" spans="1:21" x14ac:dyDescent="0.25">
      <c r="A2619" t="s">
        <v>996</v>
      </c>
      <c r="B2619" t="s">
        <v>997</v>
      </c>
      <c r="C2619" t="s">
        <v>997</v>
      </c>
      <c r="D2619">
        <v>7495</v>
      </c>
      <c r="E2619">
        <v>162</v>
      </c>
      <c r="F2619" t="s">
        <v>1402</v>
      </c>
      <c r="G2619" t="s">
        <v>1403</v>
      </c>
      <c r="H2619" s="315" t="s">
        <v>1023</v>
      </c>
      <c r="I2619" s="315" t="s">
        <v>1370</v>
      </c>
      <c r="J2619" s="315" t="str">
        <f t="shared" si="221"/>
        <v>LEX Admin &amp; OtherR&amp;M and Cleaning as % of Total Gross Profit</v>
      </c>
      <c r="K2619" s="315" t="str">
        <f t="shared" si="222"/>
        <v>162Cleaning &amp; Security - Lexus</v>
      </c>
      <c r="L2619" s="311">
        <f>+SUMIF('TUNZ Extracted TB'!M:M,$P2619,'TUNZ Extracted TB'!G:G)</f>
        <v>0</v>
      </c>
      <c r="M2619" s="311"/>
      <c r="N2619" s="311">
        <f>+SUMIF('Input Sheet'!$AE:$AE,P2619,'Input Sheet'!$X:$X)</f>
        <v>0</v>
      </c>
      <c r="O2619" s="311"/>
      <c r="P2619" t="str">
        <f t="shared" si="223"/>
        <v>162-7495</v>
      </c>
      <c r="Q2619" s="315" t="str">
        <f t="shared" si="224"/>
        <v>LEX Admin &amp; Other</v>
      </c>
      <c r="R2619" s="315" t="str">
        <f t="shared" si="225"/>
        <v>LEX Admin &amp; OtherR&amp;M and Cleaning as % of Total Gross Profit</v>
      </c>
      <c r="S2619" s="199"/>
      <c r="T2619" s="199"/>
      <c r="U2619" s="199"/>
    </row>
    <row r="2620" spans="1:21" x14ac:dyDescent="0.25">
      <c r="A2620" t="s">
        <v>996</v>
      </c>
      <c r="B2620" t="s">
        <v>997</v>
      </c>
      <c r="C2620" t="s">
        <v>1005</v>
      </c>
      <c r="D2620">
        <v>7495</v>
      </c>
      <c r="E2620">
        <v>230</v>
      </c>
      <c r="F2620" t="s">
        <v>1400</v>
      </c>
      <c r="G2620" t="s">
        <v>1401</v>
      </c>
      <c r="H2620" s="315" t="s">
        <v>1000</v>
      </c>
      <c r="I2620" s="315" t="s">
        <v>1370</v>
      </c>
      <c r="J2620" s="315" t="str">
        <f t="shared" si="221"/>
        <v>Admin &amp; OtherR&amp;M and Cleaning as % of Total Gross Profit</v>
      </c>
      <c r="K2620" s="315" t="str">
        <f t="shared" si="222"/>
        <v>230Cleaning &amp; Security - Toyota</v>
      </c>
      <c r="L2620" s="311">
        <f>+SUMIF('TUNZ Extracted TB'!M:M,$P2620,'TUNZ Extracted TB'!G:G)</f>
        <v>0</v>
      </c>
      <c r="M2620" s="311"/>
      <c r="N2620" s="311">
        <f>+SUMIF('Input Sheet'!$AE:$AE,P2620,'Input Sheet'!$X:$X)</f>
        <v>0</v>
      </c>
      <c r="O2620" s="311"/>
      <c r="P2620" t="str">
        <f t="shared" si="223"/>
        <v>230-7495</v>
      </c>
      <c r="Q2620" s="315" t="str">
        <f t="shared" si="224"/>
        <v>Admin &amp; Other</v>
      </c>
      <c r="R2620" s="315" t="str">
        <f t="shared" si="225"/>
        <v>Admin &amp; OtherR&amp;M and Cleaning as % of Total Gross Profit</v>
      </c>
      <c r="S2620" s="199"/>
      <c r="T2620" s="199"/>
      <c r="U2620" s="199"/>
    </row>
    <row r="2621" spans="1:21" x14ac:dyDescent="0.25">
      <c r="A2621" t="s">
        <v>996</v>
      </c>
      <c r="B2621" t="s">
        <v>997</v>
      </c>
      <c r="C2621" t="s">
        <v>1005</v>
      </c>
      <c r="D2621">
        <v>7495</v>
      </c>
      <c r="E2621">
        <v>240</v>
      </c>
      <c r="F2621" t="s">
        <v>1400</v>
      </c>
      <c r="G2621" t="s">
        <v>1401</v>
      </c>
      <c r="H2621" s="315" t="s">
        <v>1000</v>
      </c>
      <c r="I2621" s="315" t="s">
        <v>1370</v>
      </c>
      <c r="J2621" s="315" t="str">
        <f t="shared" si="221"/>
        <v>Admin &amp; OtherR&amp;M and Cleaning as % of Total Gross Profit</v>
      </c>
      <c r="K2621" s="315" t="str">
        <f t="shared" si="222"/>
        <v>240Cleaning &amp; Security - Toyota</v>
      </c>
      <c r="L2621" s="311">
        <f>+SUMIF('TUNZ Extracted TB'!M:M,$P2621,'TUNZ Extracted TB'!G:G)</f>
        <v>0</v>
      </c>
      <c r="M2621" s="311"/>
      <c r="N2621" s="311">
        <f>+SUMIF('Input Sheet'!$AE:$AE,P2621,'Input Sheet'!$X:$X)</f>
        <v>0</v>
      </c>
      <c r="O2621" s="311"/>
      <c r="P2621" t="str">
        <f t="shared" si="223"/>
        <v>240-7495</v>
      </c>
      <c r="Q2621" s="315" t="str">
        <f t="shared" si="224"/>
        <v>Admin &amp; Other</v>
      </c>
      <c r="R2621" s="315" t="str">
        <f t="shared" si="225"/>
        <v>Admin &amp; OtherR&amp;M and Cleaning as % of Total Gross Profit</v>
      </c>
      <c r="S2621" s="199"/>
      <c r="T2621" s="199"/>
      <c r="U2621" s="199"/>
    </row>
    <row r="2622" spans="1:21" x14ac:dyDescent="0.25">
      <c r="A2622" t="s">
        <v>996</v>
      </c>
      <c r="B2622" t="s">
        <v>997</v>
      </c>
      <c r="C2622" t="s">
        <v>1005</v>
      </c>
      <c r="D2622">
        <v>7495</v>
      </c>
      <c r="E2622">
        <v>260</v>
      </c>
      <c r="F2622" t="s">
        <v>1400</v>
      </c>
      <c r="G2622" t="s">
        <v>1401</v>
      </c>
      <c r="H2622" s="315" t="s">
        <v>1000</v>
      </c>
      <c r="I2622" s="315" t="s">
        <v>1370</v>
      </c>
      <c r="J2622" s="315" t="str">
        <f t="shared" si="221"/>
        <v>Admin &amp; OtherR&amp;M and Cleaning as % of Total Gross Profit</v>
      </c>
      <c r="K2622" s="315" t="str">
        <f t="shared" si="222"/>
        <v>260Cleaning &amp; Security - Toyota</v>
      </c>
      <c r="L2622" s="311">
        <f>+SUMIF('TUNZ Extracted TB'!M:M,$P2622,'TUNZ Extracted TB'!G:G)</f>
        <v>0</v>
      </c>
      <c r="M2622" s="311"/>
      <c r="N2622" s="311">
        <f>+SUMIF('Input Sheet'!$AE:$AE,P2622,'Input Sheet'!$X:$X)</f>
        <v>0</v>
      </c>
      <c r="O2622" s="311"/>
      <c r="P2622" t="str">
        <f t="shared" si="223"/>
        <v>260-7495</v>
      </c>
      <c r="Q2622" s="315" t="str">
        <f t="shared" si="224"/>
        <v>Admin &amp; Other</v>
      </c>
      <c r="R2622" s="315" t="str">
        <f t="shared" si="225"/>
        <v>Admin &amp; OtherR&amp;M and Cleaning as % of Total Gross Profit</v>
      </c>
      <c r="S2622" s="199"/>
      <c r="T2622" s="199"/>
      <c r="U2622" s="199"/>
    </row>
    <row r="2623" spans="1:21" x14ac:dyDescent="0.25">
      <c r="A2623" t="s">
        <v>996</v>
      </c>
      <c r="B2623" t="s">
        <v>997</v>
      </c>
      <c r="C2623" t="s">
        <v>1012</v>
      </c>
      <c r="D2623">
        <v>7495</v>
      </c>
      <c r="E2623">
        <v>400</v>
      </c>
      <c r="F2623" t="s">
        <v>1400</v>
      </c>
      <c r="G2623" t="s">
        <v>1401</v>
      </c>
      <c r="H2623" s="315" t="s">
        <v>1000</v>
      </c>
      <c r="I2623" s="315" t="s">
        <v>1370</v>
      </c>
      <c r="J2623" s="315" t="str">
        <f t="shared" si="221"/>
        <v>Admin &amp; OtherR&amp;M and Cleaning as % of Total Gross Profit</v>
      </c>
      <c r="K2623" s="315" t="str">
        <f t="shared" si="222"/>
        <v>400Cleaning &amp; Security - Toyota</v>
      </c>
      <c r="L2623" s="311">
        <f>+SUMIF('TUNZ Extracted TB'!M:M,$P2623,'TUNZ Extracted TB'!G:G)</f>
        <v>0</v>
      </c>
      <c r="M2623" s="311"/>
      <c r="N2623" s="311">
        <f>+SUMIF('Input Sheet'!$AE:$AE,P2623,'Input Sheet'!$X:$X)</f>
        <v>0</v>
      </c>
      <c r="O2623" s="311"/>
      <c r="P2623" t="str">
        <f t="shared" si="223"/>
        <v>400-7495</v>
      </c>
      <c r="Q2623" s="315" t="str">
        <f t="shared" si="224"/>
        <v>Admin &amp; Other</v>
      </c>
      <c r="R2623" s="315" t="str">
        <f t="shared" si="225"/>
        <v>Admin &amp; OtherR&amp;M and Cleaning as % of Total Gross Profit</v>
      </c>
      <c r="S2623" s="199"/>
      <c r="T2623" s="199"/>
      <c r="U2623" s="199"/>
    </row>
    <row r="2624" spans="1:21" x14ac:dyDescent="0.25">
      <c r="A2624" t="s">
        <v>996</v>
      </c>
      <c r="B2624" t="s">
        <v>997</v>
      </c>
      <c r="C2624" t="s">
        <v>1012</v>
      </c>
      <c r="D2624">
        <v>7495</v>
      </c>
      <c r="E2624">
        <v>410</v>
      </c>
      <c r="F2624" t="s">
        <v>1400</v>
      </c>
      <c r="G2624" t="s">
        <v>1401</v>
      </c>
      <c r="H2624" s="315" t="s">
        <v>1000</v>
      </c>
      <c r="I2624" s="315" t="s">
        <v>1370</v>
      </c>
      <c r="J2624" s="315" t="str">
        <f t="shared" si="221"/>
        <v>Admin &amp; OtherR&amp;M and Cleaning as % of Total Gross Profit</v>
      </c>
      <c r="K2624" s="315" t="str">
        <f t="shared" si="222"/>
        <v>410Cleaning &amp; Security - Toyota</v>
      </c>
      <c r="L2624" s="311">
        <f>+SUMIF('TUNZ Extracted TB'!M:M,$P2624,'TUNZ Extracted TB'!G:G)</f>
        <v>0</v>
      </c>
      <c r="M2624" s="311"/>
      <c r="N2624" s="311">
        <f>+SUMIF('Input Sheet'!$AE:$AE,P2624,'Input Sheet'!$X:$X)</f>
        <v>0</v>
      </c>
      <c r="O2624" s="311"/>
      <c r="P2624" t="str">
        <f t="shared" si="223"/>
        <v>410-7495</v>
      </c>
      <c r="Q2624" s="315" t="str">
        <f t="shared" si="224"/>
        <v>Admin &amp; Other</v>
      </c>
      <c r="R2624" s="315" t="str">
        <f t="shared" si="225"/>
        <v>Admin &amp; OtherR&amp;M and Cleaning as % of Total Gross Profit</v>
      </c>
      <c r="S2624" s="199"/>
      <c r="T2624" s="199"/>
      <c r="U2624" s="199"/>
    </row>
    <row r="2625" spans="1:21" x14ac:dyDescent="0.25">
      <c r="A2625" t="s">
        <v>996</v>
      </c>
      <c r="B2625" t="s">
        <v>997</v>
      </c>
      <c r="C2625" t="s">
        <v>1012</v>
      </c>
      <c r="D2625">
        <v>7495</v>
      </c>
      <c r="E2625">
        <v>420</v>
      </c>
      <c r="F2625" t="s">
        <v>1400</v>
      </c>
      <c r="G2625" t="s">
        <v>1401</v>
      </c>
      <c r="H2625" s="315" t="s">
        <v>1000</v>
      </c>
      <c r="I2625" s="315" t="s">
        <v>1370</v>
      </c>
      <c r="J2625" s="315" t="str">
        <f t="shared" si="221"/>
        <v>Admin &amp; OtherR&amp;M and Cleaning as % of Total Gross Profit</v>
      </c>
      <c r="K2625" s="315" t="str">
        <f t="shared" si="222"/>
        <v>420Cleaning &amp; Security - Toyota</v>
      </c>
      <c r="L2625" s="311">
        <f>+SUMIF('TUNZ Extracted TB'!M:M,$P2625,'TUNZ Extracted TB'!G:G)</f>
        <v>0</v>
      </c>
      <c r="M2625" s="311"/>
      <c r="N2625" s="311">
        <f>+SUMIF('Input Sheet'!$AE:$AE,P2625,'Input Sheet'!$X:$X)</f>
        <v>0</v>
      </c>
      <c r="O2625" s="311"/>
      <c r="P2625" t="str">
        <f t="shared" si="223"/>
        <v>420-7495</v>
      </c>
      <c r="Q2625" s="315" t="str">
        <f t="shared" si="224"/>
        <v>Admin &amp; Other</v>
      </c>
      <c r="R2625" s="315" t="str">
        <f t="shared" si="225"/>
        <v>Admin &amp; OtherR&amp;M and Cleaning as % of Total Gross Profit</v>
      </c>
      <c r="S2625" s="199"/>
      <c r="T2625" s="199"/>
      <c r="U2625" s="199"/>
    </row>
    <row r="2626" spans="1:21" x14ac:dyDescent="0.25">
      <c r="A2626" t="s">
        <v>996</v>
      </c>
      <c r="B2626" t="s">
        <v>997</v>
      </c>
      <c r="C2626" t="s">
        <v>1012</v>
      </c>
      <c r="D2626">
        <v>7495</v>
      </c>
      <c r="E2626">
        <v>421</v>
      </c>
      <c r="F2626" t="s">
        <v>1400</v>
      </c>
      <c r="G2626" t="s">
        <v>1401</v>
      </c>
      <c r="H2626" s="315" t="s">
        <v>1000</v>
      </c>
      <c r="I2626" s="315" t="s">
        <v>1370</v>
      </c>
      <c r="J2626" s="315" t="str">
        <f t="shared" si="221"/>
        <v>Admin &amp; OtherR&amp;M and Cleaning as % of Total Gross Profit</v>
      </c>
      <c r="K2626" s="315" t="str">
        <f t="shared" si="222"/>
        <v>421Cleaning &amp; Security - Toyota</v>
      </c>
      <c r="L2626" s="311">
        <f>+SUMIF('TUNZ Extracted TB'!M:M,$P2626,'TUNZ Extracted TB'!G:G)</f>
        <v>0</v>
      </c>
      <c r="M2626" s="311"/>
      <c r="N2626" s="311">
        <f>+SUMIF('Input Sheet'!$AE:$AE,P2626,'Input Sheet'!$X:$X)</f>
        <v>0</v>
      </c>
      <c r="O2626" s="311"/>
      <c r="P2626" t="str">
        <f t="shared" si="223"/>
        <v>421-7495</v>
      </c>
      <c r="Q2626" s="315" t="str">
        <f t="shared" si="224"/>
        <v>Admin &amp; Other</v>
      </c>
      <c r="R2626" s="315" t="str">
        <f t="shared" si="225"/>
        <v>Admin &amp; OtherR&amp;M and Cleaning as % of Total Gross Profit</v>
      </c>
      <c r="S2626" s="199"/>
      <c r="T2626" s="199"/>
      <c r="U2626" s="199"/>
    </row>
    <row r="2627" spans="1:21" x14ac:dyDescent="0.25">
      <c r="A2627" t="s">
        <v>996</v>
      </c>
      <c r="B2627" t="s">
        <v>997</v>
      </c>
      <c r="C2627" t="s">
        <v>1012</v>
      </c>
      <c r="D2627">
        <v>7495</v>
      </c>
      <c r="E2627">
        <v>430</v>
      </c>
      <c r="F2627" t="s">
        <v>1400</v>
      </c>
      <c r="G2627" t="s">
        <v>1401</v>
      </c>
      <c r="H2627" s="315" t="s">
        <v>1000</v>
      </c>
      <c r="I2627" s="315" t="s">
        <v>1370</v>
      </c>
      <c r="J2627" s="315" t="str">
        <f t="shared" ref="J2627:J2690" si="226">+H2627&amp;I2627</f>
        <v>Admin &amp; OtherR&amp;M and Cleaning as % of Total Gross Profit</v>
      </c>
      <c r="K2627" s="315" t="str">
        <f t="shared" ref="K2627:K2690" si="227">+E2627&amp;G2627</f>
        <v>430Cleaning &amp; Security - Toyota</v>
      </c>
      <c r="L2627" s="311">
        <f>+SUMIF('TUNZ Extracted TB'!M:M,$P2627,'TUNZ Extracted TB'!G:G)</f>
        <v>0</v>
      </c>
      <c r="M2627" s="311"/>
      <c r="N2627" s="311">
        <f>+SUMIF('Input Sheet'!$AE:$AE,P2627,'Input Sheet'!$X:$X)</f>
        <v>0</v>
      </c>
      <c r="O2627" s="311"/>
      <c r="P2627" t="str">
        <f t="shared" ref="P2627:P2690" si="228">+E2627&amp;"-"&amp;D2627</f>
        <v>430-7495</v>
      </c>
      <c r="Q2627" s="315" t="str">
        <f t="shared" ref="Q2627:Q2690" si="229">H2627</f>
        <v>Admin &amp; Other</v>
      </c>
      <c r="R2627" s="315" t="str">
        <f t="shared" ref="R2627:R2690" si="230">J2627</f>
        <v>Admin &amp; OtherR&amp;M and Cleaning as % of Total Gross Profit</v>
      </c>
      <c r="S2627" s="199"/>
      <c r="T2627" s="199"/>
      <c r="U2627" s="199"/>
    </row>
    <row r="2628" spans="1:21" x14ac:dyDescent="0.25">
      <c r="A2628" t="s">
        <v>996</v>
      </c>
      <c r="B2628" t="s">
        <v>997</v>
      </c>
      <c r="C2628" t="s">
        <v>1012</v>
      </c>
      <c r="D2628">
        <v>7495</v>
      </c>
      <c r="E2628">
        <v>440</v>
      </c>
      <c r="F2628" t="s">
        <v>1400</v>
      </c>
      <c r="G2628" t="s">
        <v>1401</v>
      </c>
      <c r="H2628" s="315" t="s">
        <v>1000</v>
      </c>
      <c r="I2628" s="315" t="s">
        <v>1370</v>
      </c>
      <c r="J2628" s="315" t="str">
        <f t="shared" si="226"/>
        <v>Admin &amp; OtherR&amp;M and Cleaning as % of Total Gross Profit</v>
      </c>
      <c r="K2628" s="315" t="str">
        <f t="shared" si="227"/>
        <v>440Cleaning &amp; Security - Toyota</v>
      </c>
      <c r="L2628" s="311">
        <f>+SUMIF('TUNZ Extracted TB'!M:M,$P2628,'TUNZ Extracted TB'!G:G)</f>
        <v>0</v>
      </c>
      <c r="M2628" s="311"/>
      <c r="N2628" s="311">
        <f>+SUMIF('Input Sheet'!$AE:$AE,P2628,'Input Sheet'!$X:$X)</f>
        <v>0</v>
      </c>
      <c r="O2628" s="311"/>
      <c r="P2628" t="str">
        <f t="shared" si="228"/>
        <v>440-7495</v>
      </c>
      <c r="Q2628" s="315" t="str">
        <f t="shared" si="229"/>
        <v>Admin &amp; Other</v>
      </c>
      <c r="R2628" s="315" t="str">
        <f t="shared" si="230"/>
        <v>Admin &amp; OtherR&amp;M and Cleaning as % of Total Gross Profit</v>
      </c>
      <c r="S2628" s="199"/>
      <c r="T2628" s="199"/>
      <c r="U2628" s="199"/>
    </row>
    <row r="2629" spans="1:21" x14ac:dyDescent="0.25">
      <c r="A2629" t="s">
        <v>996</v>
      </c>
      <c r="B2629" t="s">
        <v>997</v>
      </c>
      <c r="C2629" t="s">
        <v>1012</v>
      </c>
      <c r="D2629">
        <v>7495</v>
      </c>
      <c r="E2629">
        <v>460</v>
      </c>
      <c r="F2629" t="s">
        <v>1400</v>
      </c>
      <c r="G2629" t="s">
        <v>1401</v>
      </c>
      <c r="H2629" s="315" t="s">
        <v>1000</v>
      </c>
      <c r="I2629" s="315" t="s">
        <v>1370</v>
      </c>
      <c r="J2629" s="315" t="str">
        <f t="shared" si="226"/>
        <v>Admin &amp; OtherR&amp;M and Cleaning as % of Total Gross Profit</v>
      </c>
      <c r="K2629" s="315" t="str">
        <f t="shared" si="227"/>
        <v>460Cleaning &amp; Security - Toyota</v>
      </c>
      <c r="L2629" s="311">
        <f>+SUMIF('TUNZ Extracted TB'!M:M,$P2629,'TUNZ Extracted TB'!G:G)</f>
        <v>0</v>
      </c>
      <c r="M2629" s="311"/>
      <c r="N2629" s="311">
        <f>+SUMIF('Input Sheet'!$AE:$AE,P2629,'Input Sheet'!$X:$X)</f>
        <v>0</v>
      </c>
      <c r="O2629" s="311"/>
      <c r="P2629" t="str">
        <f t="shared" si="228"/>
        <v>460-7495</v>
      </c>
      <c r="Q2629" s="315" t="str">
        <f t="shared" si="229"/>
        <v>Admin &amp; Other</v>
      </c>
      <c r="R2629" s="315" t="str">
        <f t="shared" si="230"/>
        <v>Admin &amp; OtherR&amp;M and Cleaning as % of Total Gross Profit</v>
      </c>
      <c r="S2629" s="199"/>
      <c r="T2629" s="199"/>
      <c r="U2629" s="199"/>
    </row>
    <row r="2630" spans="1:21" x14ac:dyDescent="0.25">
      <c r="A2630" t="s">
        <v>996</v>
      </c>
      <c r="B2630" t="s">
        <v>997</v>
      </c>
      <c r="C2630" t="s">
        <v>1013</v>
      </c>
      <c r="D2630">
        <v>7495</v>
      </c>
      <c r="E2630">
        <v>300</v>
      </c>
      <c r="F2630" t="s">
        <v>1400</v>
      </c>
      <c r="G2630" t="s">
        <v>1401</v>
      </c>
      <c r="H2630" s="315" t="s">
        <v>1000</v>
      </c>
      <c r="I2630" s="315" t="s">
        <v>1370</v>
      </c>
      <c r="J2630" s="315" t="str">
        <f t="shared" si="226"/>
        <v>Admin &amp; OtherR&amp;M and Cleaning as % of Total Gross Profit</v>
      </c>
      <c r="K2630" s="315" t="str">
        <f t="shared" si="227"/>
        <v>300Cleaning &amp; Security - Toyota</v>
      </c>
      <c r="L2630" s="311">
        <f>+SUMIF('TUNZ Extracted TB'!M:M,$P2630,'TUNZ Extracted TB'!G:G)</f>
        <v>0</v>
      </c>
      <c r="M2630" s="311"/>
      <c r="N2630" s="311">
        <f>+SUMIF('Input Sheet'!$AE:$AE,P2630,'Input Sheet'!$X:$X)</f>
        <v>0</v>
      </c>
      <c r="O2630" s="311"/>
      <c r="P2630" t="str">
        <f t="shared" si="228"/>
        <v>300-7495</v>
      </c>
      <c r="Q2630" s="315" t="str">
        <f t="shared" si="229"/>
        <v>Admin &amp; Other</v>
      </c>
      <c r="R2630" s="315" t="str">
        <f t="shared" si="230"/>
        <v>Admin &amp; OtherR&amp;M and Cleaning as % of Total Gross Profit</v>
      </c>
      <c r="S2630" s="199"/>
      <c r="T2630" s="199"/>
      <c r="U2630" s="199"/>
    </row>
    <row r="2631" spans="1:21" x14ac:dyDescent="0.25">
      <c r="A2631" t="s">
        <v>996</v>
      </c>
      <c r="B2631" t="s">
        <v>997</v>
      </c>
      <c r="C2631" t="s">
        <v>1013</v>
      </c>
      <c r="D2631">
        <v>7495</v>
      </c>
      <c r="E2631">
        <v>310</v>
      </c>
      <c r="F2631" t="s">
        <v>1400</v>
      </c>
      <c r="G2631" t="s">
        <v>1401</v>
      </c>
      <c r="H2631" s="315" t="s">
        <v>1000</v>
      </c>
      <c r="I2631" s="315" t="s">
        <v>1370</v>
      </c>
      <c r="J2631" s="315" t="str">
        <f t="shared" si="226"/>
        <v>Admin &amp; OtherR&amp;M and Cleaning as % of Total Gross Profit</v>
      </c>
      <c r="K2631" s="315" t="str">
        <f t="shared" si="227"/>
        <v>310Cleaning &amp; Security - Toyota</v>
      </c>
      <c r="L2631" s="311">
        <f>+SUMIF('TUNZ Extracted TB'!M:M,$P2631,'TUNZ Extracted TB'!G:G)</f>
        <v>0</v>
      </c>
      <c r="M2631" s="311"/>
      <c r="N2631" s="311">
        <f>+SUMIF('Input Sheet'!$AE:$AE,P2631,'Input Sheet'!$X:$X)</f>
        <v>0</v>
      </c>
      <c r="O2631" s="311"/>
      <c r="P2631" t="str">
        <f t="shared" si="228"/>
        <v>310-7495</v>
      </c>
      <c r="Q2631" s="315" t="str">
        <f t="shared" si="229"/>
        <v>Admin &amp; Other</v>
      </c>
      <c r="R2631" s="315" t="str">
        <f t="shared" si="230"/>
        <v>Admin &amp; OtherR&amp;M and Cleaning as % of Total Gross Profit</v>
      </c>
      <c r="S2631" s="199"/>
      <c r="T2631" s="199"/>
      <c r="U2631" s="199"/>
    </row>
    <row r="2632" spans="1:21" x14ac:dyDescent="0.25">
      <c r="A2632" t="s">
        <v>996</v>
      </c>
      <c r="B2632" t="s">
        <v>997</v>
      </c>
      <c r="C2632" t="s">
        <v>1013</v>
      </c>
      <c r="D2632">
        <v>7495</v>
      </c>
      <c r="E2632">
        <v>330</v>
      </c>
      <c r="F2632" t="s">
        <v>1400</v>
      </c>
      <c r="G2632" t="s">
        <v>1401</v>
      </c>
      <c r="H2632" s="315" t="s">
        <v>1000</v>
      </c>
      <c r="I2632" s="315" t="s">
        <v>1370</v>
      </c>
      <c r="J2632" s="315" t="str">
        <f t="shared" si="226"/>
        <v>Admin &amp; OtherR&amp;M and Cleaning as % of Total Gross Profit</v>
      </c>
      <c r="K2632" s="315" t="str">
        <f t="shared" si="227"/>
        <v>330Cleaning &amp; Security - Toyota</v>
      </c>
      <c r="L2632" s="311">
        <f>+SUMIF('TUNZ Extracted TB'!M:M,$P2632,'TUNZ Extracted TB'!G:G)</f>
        <v>0</v>
      </c>
      <c r="M2632" s="311"/>
      <c r="N2632" s="311">
        <f>+SUMIF('Input Sheet'!$AE:$AE,P2632,'Input Sheet'!$X:$X)</f>
        <v>0</v>
      </c>
      <c r="O2632" s="311"/>
      <c r="P2632" t="str">
        <f t="shared" si="228"/>
        <v>330-7495</v>
      </c>
      <c r="Q2632" s="315" t="str">
        <f t="shared" si="229"/>
        <v>Admin &amp; Other</v>
      </c>
      <c r="R2632" s="315" t="str">
        <f t="shared" si="230"/>
        <v>Admin &amp; OtherR&amp;M and Cleaning as % of Total Gross Profit</v>
      </c>
      <c r="S2632" s="199"/>
      <c r="T2632" s="199"/>
      <c r="U2632" s="199"/>
    </row>
    <row r="2633" spans="1:21" x14ac:dyDescent="0.25">
      <c r="A2633" t="s">
        <v>996</v>
      </c>
      <c r="B2633" t="s">
        <v>997</v>
      </c>
      <c r="C2633" t="s">
        <v>1013</v>
      </c>
      <c r="D2633">
        <v>7495</v>
      </c>
      <c r="E2633">
        <v>340</v>
      </c>
      <c r="F2633" t="s">
        <v>1400</v>
      </c>
      <c r="G2633" t="s">
        <v>1401</v>
      </c>
      <c r="H2633" s="315" t="s">
        <v>1000</v>
      </c>
      <c r="I2633" s="315" t="s">
        <v>1370</v>
      </c>
      <c r="J2633" s="315" t="str">
        <f t="shared" si="226"/>
        <v>Admin &amp; OtherR&amp;M and Cleaning as % of Total Gross Profit</v>
      </c>
      <c r="K2633" s="315" t="str">
        <f t="shared" si="227"/>
        <v>340Cleaning &amp; Security - Toyota</v>
      </c>
      <c r="L2633" s="311">
        <f>+SUMIF('TUNZ Extracted TB'!M:M,$P2633,'TUNZ Extracted TB'!G:G)</f>
        <v>0</v>
      </c>
      <c r="M2633" s="311"/>
      <c r="N2633" s="311">
        <f>+SUMIF('Input Sheet'!$AE:$AE,P2633,'Input Sheet'!$X:$X)</f>
        <v>0</v>
      </c>
      <c r="O2633" s="311"/>
      <c r="P2633" t="str">
        <f t="shared" si="228"/>
        <v>340-7495</v>
      </c>
      <c r="Q2633" s="315" t="str">
        <f t="shared" si="229"/>
        <v>Admin &amp; Other</v>
      </c>
      <c r="R2633" s="315" t="str">
        <f t="shared" si="230"/>
        <v>Admin &amp; OtherR&amp;M and Cleaning as % of Total Gross Profit</v>
      </c>
      <c r="S2633" s="199"/>
      <c r="T2633" s="199"/>
      <c r="U2633" s="199"/>
    </row>
    <row r="2634" spans="1:21" x14ac:dyDescent="0.25">
      <c r="A2634" t="s">
        <v>996</v>
      </c>
      <c r="B2634" t="s">
        <v>997</v>
      </c>
      <c r="C2634" t="s">
        <v>997</v>
      </c>
      <c r="D2634">
        <v>7495</v>
      </c>
      <c r="E2634">
        <v>147</v>
      </c>
      <c r="F2634" t="s">
        <v>1400</v>
      </c>
      <c r="G2634" t="s">
        <v>1401</v>
      </c>
      <c r="H2634" s="315" t="s">
        <v>1000</v>
      </c>
      <c r="I2634" s="315" t="s">
        <v>1370</v>
      </c>
      <c r="J2634" s="315" t="str">
        <f t="shared" si="226"/>
        <v>Admin &amp; OtherR&amp;M and Cleaning as % of Total Gross Profit</v>
      </c>
      <c r="K2634" s="315" t="str">
        <f t="shared" si="227"/>
        <v>147Cleaning &amp; Security - Toyota</v>
      </c>
      <c r="L2634" s="311">
        <f>+SUMIF('TUNZ Extracted TB'!M:M,$P2634,'TUNZ Extracted TB'!G:G)</f>
        <v>0</v>
      </c>
      <c r="M2634" s="311"/>
      <c r="N2634" s="311">
        <f>+SUMIF('Input Sheet'!$AE:$AE,P2634,'Input Sheet'!$X:$X)</f>
        <v>0</v>
      </c>
      <c r="O2634" s="311"/>
      <c r="P2634" t="str">
        <f t="shared" si="228"/>
        <v>147-7495</v>
      </c>
      <c r="Q2634" s="315" t="str">
        <f t="shared" si="229"/>
        <v>Admin &amp; Other</v>
      </c>
      <c r="R2634" s="315" t="str">
        <f t="shared" si="230"/>
        <v>Admin &amp; OtherR&amp;M and Cleaning as % of Total Gross Profit</v>
      </c>
      <c r="S2634" s="199"/>
      <c r="T2634" s="199"/>
      <c r="U2634" s="199"/>
    </row>
    <row r="2635" spans="1:21" x14ac:dyDescent="0.25">
      <c r="A2635" t="s">
        <v>996</v>
      </c>
      <c r="B2635" t="s">
        <v>997</v>
      </c>
      <c r="C2635" t="s">
        <v>997</v>
      </c>
      <c r="D2635">
        <v>7495</v>
      </c>
      <c r="E2635">
        <v>936</v>
      </c>
      <c r="F2635" t="s">
        <v>1175</v>
      </c>
      <c r="G2635" t="s">
        <v>1176</v>
      </c>
      <c r="H2635" s="315" t="s">
        <v>1023</v>
      </c>
      <c r="I2635" s="315" t="s">
        <v>1370</v>
      </c>
      <c r="J2635" s="315" t="str">
        <f t="shared" si="226"/>
        <v>LEX Admin &amp; OtherR&amp;M and Cleaning as % of Total Gross Profit</v>
      </c>
      <c r="K2635" s="315" t="str">
        <f t="shared" si="227"/>
        <v>936Other franchise/business expense</v>
      </c>
      <c r="L2635" s="311">
        <f>+SUMIF('TUNZ Extracted TB'!M:M,$P2635,'TUNZ Extracted TB'!G:G)</f>
        <v>0</v>
      </c>
      <c r="M2635" s="311"/>
      <c r="N2635" s="311">
        <f>+SUMIF('Input Sheet'!$AE:$AE,P2635,'Input Sheet'!$X:$X)</f>
        <v>0</v>
      </c>
      <c r="O2635" s="311"/>
      <c r="P2635" t="str">
        <f t="shared" si="228"/>
        <v>936-7495</v>
      </c>
      <c r="Q2635" s="315" t="str">
        <f t="shared" si="229"/>
        <v>LEX Admin &amp; Other</v>
      </c>
      <c r="R2635" s="315" t="str">
        <f t="shared" si="230"/>
        <v>LEX Admin &amp; OtherR&amp;M and Cleaning as % of Total Gross Profit</v>
      </c>
      <c r="S2635" s="199"/>
      <c r="T2635" s="199"/>
      <c r="U2635" s="199"/>
    </row>
    <row r="2636" spans="1:21" x14ac:dyDescent="0.25">
      <c r="A2636" t="s">
        <v>996</v>
      </c>
      <c r="B2636" t="s">
        <v>997</v>
      </c>
      <c r="C2636" t="s">
        <v>997</v>
      </c>
      <c r="D2636">
        <v>7495</v>
      </c>
      <c r="E2636">
        <v>935</v>
      </c>
      <c r="F2636" t="s">
        <v>1175</v>
      </c>
      <c r="G2636" t="s">
        <v>1176</v>
      </c>
      <c r="H2636" s="315" t="s">
        <v>1023</v>
      </c>
      <c r="I2636" s="315" t="s">
        <v>1370</v>
      </c>
      <c r="J2636" s="315" t="str">
        <f t="shared" si="226"/>
        <v>LEX Admin &amp; OtherR&amp;M and Cleaning as % of Total Gross Profit</v>
      </c>
      <c r="K2636" s="315" t="str">
        <f t="shared" si="227"/>
        <v>935Other franchise/business expense</v>
      </c>
      <c r="L2636" s="311">
        <f>+SUMIF('TUNZ Extracted TB'!M:M,$P2636,'TUNZ Extracted TB'!G:G)</f>
        <v>0</v>
      </c>
      <c r="M2636" s="311"/>
      <c r="N2636" s="311">
        <f>+SUMIF('Input Sheet'!$AE:$AE,P2636,'Input Sheet'!$X:$X)</f>
        <v>0</v>
      </c>
      <c r="O2636" s="311"/>
      <c r="P2636" t="str">
        <f t="shared" si="228"/>
        <v>935-7495</v>
      </c>
      <c r="Q2636" s="315" t="str">
        <f t="shared" si="229"/>
        <v>LEX Admin &amp; Other</v>
      </c>
      <c r="R2636" s="315" t="str">
        <f t="shared" si="230"/>
        <v>LEX Admin &amp; OtherR&amp;M and Cleaning as % of Total Gross Profit</v>
      </c>
      <c r="S2636" s="199"/>
      <c r="T2636" s="199"/>
      <c r="U2636" s="199"/>
    </row>
    <row r="2637" spans="1:21" x14ac:dyDescent="0.25">
      <c r="A2637" t="s">
        <v>996</v>
      </c>
      <c r="B2637" t="s">
        <v>997</v>
      </c>
      <c r="C2637" t="s">
        <v>1005</v>
      </c>
      <c r="D2637">
        <v>7510</v>
      </c>
      <c r="E2637">
        <v>230</v>
      </c>
      <c r="F2637" t="s">
        <v>1404</v>
      </c>
      <c r="G2637" t="s">
        <v>1405</v>
      </c>
      <c r="H2637" s="315" t="s">
        <v>1000</v>
      </c>
      <c r="I2637" s="315" t="s">
        <v>1001</v>
      </c>
      <c r="J2637" s="315" t="str">
        <f t="shared" si="226"/>
        <v>Admin &amp; OtherOther Overheads as % of Total Gross Profit</v>
      </c>
      <c r="K2637" s="315" t="str">
        <f t="shared" si="227"/>
        <v>230Travel expenses - Toyota</v>
      </c>
      <c r="L2637" s="311">
        <f>+SUMIF('TUNZ Extracted TB'!M:M,$P2637,'TUNZ Extracted TB'!G:G)</f>
        <v>448.02</v>
      </c>
      <c r="M2637" s="311"/>
      <c r="N2637" s="311">
        <f>+SUMIF('Input Sheet'!$AE:$AE,P2637,'Input Sheet'!$X:$X)</f>
        <v>0</v>
      </c>
      <c r="O2637" s="311"/>
      <c r="P2637" t="str">
        <f t="shared" si="228"/>
        <v>230-7510</v>
      </c>
      <c r="Q2637" s="315" t="str">
        <f t="shared" si="229"/>
        <v>Admin &amp; Other</v>
      </c>
      <c r="R2637" s="315" t="str">
        <f t="shared" si="230"/>
        <v>Admin &amp; OtherOther Overheads as % of Total Gross Profit</v>
      </c>
      <c r="S2637" s="199"/>
      <c r="T2637" s="199"/>
      <c r="U2637" s="199"/>
    </row>
    <row r="2638" spans="1:21" x14ac:dyDescent="0.25">
      <c r="A2638" t="s">
        <v>996</v>
      </c>
      <c r="B2638" t="s">
        <v>997</v>
      </c>
      <c r="C2638" t="s">
        <v>1005</v>
      </c>
      <c r="D2638">
        <v>7510</v>
      </c>
      <c r="E2638">
        <v>240</v>
      </c>
      <c r="F2638" t="s">
        <v>1404</v>
      </c>
      <c r="G2638" t="s">
        <v>1405</v>
      </c>
      <c r="H2638" s="315" t="s">
        <v>1000</v>
      </c>
      <c r="I2638" s="315" t="s">
        <v>1001</v>
      </c>
      <c r="J2638" s="315" t="str">
        <f t="shared" si="226"/>
        <v>Admin &amp; OtherOther Overheads as % of Total Gross Profit</v>
      </c>
      <c r="K2638" s="315" t="str">
        <f t="shared" si="227"/>
        <v>240Travel expenses - Toyota</v>
      </c>
      <c r="L2638" s="311">
        <f>+SUMIF('TUNZ Extracted TB'!M:M,$P2638,'TUNZ Extracted TB'!G:G)</f>
        <v>373.24</v>
      </c>
      <c r="M2638" s="311"/>
      <c r="N2638" s="311">
        <f>+SUMIF('Input Sheet'!$AE:$AE,P2638,'Input Sheet'!$X:$X)</f>
        <v>0</v>
      </c>
      <c r="O2638" s="311"/>
      <c r="P2638" t="str">
        <f t="shared" si="228"/>
        <v>240-7510</v>
      </c>
      <c r="Q2638" s="315" t="str">
        <f t="shared" si="229"/>
        <v>Admin &amp; Other</v>
      </c>
      <c r="R2638" s="315" t="str">
        <f t="shared" si="230"/>
        <v>Admin &amp; OtherOther Overheads as % of Total Gross Profit</v>
      </c>
      <c r="S2638" s="199"/>
      <c r="T2638" s="199"/>
      <c r="U2638" s="199"/>
    </row>
    <row r="2639" spans="1:21" x14ac:dyDescent="0.25">
      <c r="A2639" t="s">
        <v>996</v>
      </c>
      <c r="B2639" t="s">
        <v>997</v>
      </c>
      <c r="C2639" t="s">
        <v>1012</v>
      </c>
      <c r="D2639">
        <v>7510</v>
      </c>
      <c r="E2639">
        <v>430</v>
      </c>
      <c r="F2639" t="s">
        <v>1404</v>
      </c>
      <c r="G2639" t="s">
        <v>1405</v>
      </c>
      <c r="H2639" s="315" t="s">
        <v>1000</v>
      </c>
      <c r="I2639" s="315" t="s">
        <v>1001</v>
      </c>
      <c r="J2639" s="315" t="str">
        <f t="shared" si="226"/>
        <v>Admin &amp; OtherOther Overheads as % of Total Gross Profit</v>
      </c>
      <c r="K2639" s="315" t="str">
        <f t="shared" si="227"/>
        <v>430Travel expenses - Toyota</v>
      </c>
      <c r="L2639" s="311">
        <f>+SUMIF('TUNZ Extracted TB'!M:M,$P2639,'TUNZ Extracted TB'!G:G)</f>
        <v>0</v>
      </c>
      <c r="M2639" s="311"/>
      <c r="N2639" s="311">
        <f>+SUMIF('Input Sheet'!$AE:$AE,P2639,'Input Sheet'!$X:$X)</f>
        <v>0</v>
      </c>
      <c r="O2639" s="311"/>
      <c r="P2639" t="str">
        <f t="shared" si="228"/>
        <v>430-7510</v>
      </c>
      <c r="Q2639" s="315" t="str">
        <f t="shared" si="229"/>
        <v>Admin &amp; Other</v>
      </c>
      <c r="R2639" s="315" t="str">
        <f t="shared" si="230"/>
        <v>Admin &amp; OtherOther Overheads as % of Total Gross Profit</v>
      </c>
      <c r="S2639" s="199"/>
      <c r="T2639" s="199"/>
      <c r="U2639" s="199"/>
    </row>
    <row r="2640" spans="1:21" x14ac:dyDescent="0.25">
      <c r="A2640" t="s">
        <v>996</v>
      </c>
      <c r="B2640" t="s">
        <v>997</v>
      </c>
      <c r="C2640" t="s">
        <v>1012</v>
      </c>
      <c r="D2640">
        <v>7510</v>
      </c>
      <c r="E2640">
        <v>440</v>
      </c>
      <c r="F2640" t="s">
        <v>1404</v>
      </c>
      <c r="G2640" t="s">
        <v>1405</v>
      </c>
      <c r="H2640" s="315" t="s">
        <v>1000</v>
      </c>
      <c r="I2640" s="315" t="s">
        <v>1001</v>
      </c>
      <c r="J2640" s="315" t="str">
        <f t="shared" si="226"/>
        <v>Admin &amp; OtherOther Overheads as % of Total Gross Profit</v>
      </c>
      <c r="K2640" s="315" t="str">
        <f t="shared" si="227"/>
        <v>440Travel expenses - Toyota</v>
      </c>
      <c r="L2640" s="311">
        <f>+SUMIF('TUNZ Extracted TB'!M:M,$P2640,'TUNZ Extracted TB'!G:G)</f>
        <v>137.38999999999999</v>
      </c>
      <c r="M2640" s="311"/>
      <c r="N2640" s="311">
        <f>+SUMIF('Input Sheet'!$AE:$AE,P2640,'Input Sheet'!$X:$X)</f>
        <v>0</v>
      </c>
      <c r="O2640" s="311"/>
      <c r="P2640" t="str">
        <f t="shared" si="228"/>
        <v>440-7510</v>
      </c>
      <c r="Q2640" s="315" t="str">
        <f t="shared" si="229"/>
        <v>Admin &amp; Other</v>
      </c>
      <c r="R2640" s="315" t="str">
        <f t="shared" si="230"/>
        <v>Admin &amp; OtherOther Overheads as % of Total Gross Profit</v>
      </c>
      <c r="S2640" s="199"/>
      <c r="T2640" s="199"/>
      <c r="U2640" s="199"/>
    </row>
    <row r="2641" spans="1:21" x14ac:dyDescent="0.25">
      <c r="A2641" t="s">
        <v>996</v>
      </c>
      <c r="B2641" t="s">
        <v>997</v>
      </c>
      <c r="C2641" t="s">
        <v>1005</v>
      </c>
      <c r="D2641">
        <v>7510</v>
      </c>
      <c r="E2641">
        <v>210</v>
      </c>
      <c r="F2641" t="s">
        <v>1404</v>
      </c>
      <c r="G2641" t="s">
        <v>1405</v>
      </c>
      <c r="H2641" s="315" t="s">
        <v>1000</v>
      </c>
      <c r="I2641" s="315" t="s">
        <v>1001</v>
      </c>
      <c r="J2641" s="315" t="str">
        <f t="shared" si="226"/>
        <v>Admin &amp; OtherOther Overheads as % of Total Gross Profit</v>
      </c>
      <c r="K2641" s="315" t="str">
        <f t="shared" si="227"/>
        <v>210Travel expenses - Toyota</v>
      </c>
      <c r="L2641" s="311">
        <f>+SUMIF('TUNZ Extracted TB'!M:M,$P2641,'TUNZ Extracted TB'!G:G)</f>
        <v>396.54</v>
      </c>
      <c r="M2641" s="311"/>
      <c r="N2641" s="311">
        <f>+SUMIF('Input Sheet'!$AE:$AE,P2641,'Input Sheet'!$X:$X)</f>
        <v>0</v>
      </c>
      <c r="O2641" s="311"/>
      <c r="P2641" t="str">
        <f t="shared" si="228"/>
        <v>210-7510</v>
      </c>
      <c r="Q2641" s="315" t="str">
        <f t="shared" si="229"/>
        <v>Admin &amp; Other</v>
      </c>
      <c r="R2641" s="315" t="str">
        <f t="shared" si="230"/>
        <v>Admin &amp; OtherOther Overheads as % of Total Gross Profit</v>
      </c>
      <c r="S2641" s="199"/>
      <c r="T2641" s="199"/>
      <c r="U2641" s="199"/>
    </row>
    <row r="2642" spans="1:21" x14ac:dyDescent="0.25">
      <c r="A2642" t="s">
        <v>996</v>
      </c>
      <c r="B2642" t="s">
        <v>997</v>
      </c>
      <c r="C2642" t="s">
        <v>1005</v>
      </c>
      <c r="D2642">
        <v>7510</v>
      </c>
      <c r="E2642">
        <v>220</v>
      </c>
      <c r="F2642" t="s">
        <v>1404</v>
      </c>
      <c r="G2642" t="s">
        <v>1405</v>
      </c>
      <c r="H2642" s="315" t="s">
        <v>1000</v>
      </c>
      <c r="I2642" s="315" t="s">
        <v>1001</v>
      </c>
      <c r="J2642" s="315" t="str">
        <f t="shared" si="226"/>
        <v>Admin &amp; OtherOther Overheads as % of Total Gross Profit</v>
      </c>
      <c r="K2642" s="315" t="str">
        <f t="shared" si="227"/>
        <v>220Travel expenses - Toyota</v>
      </c>
      <c r="L2642" s="311">
        <f>+SUMIF('TUNZ Extracted TB'!M:M,$P2642,'TUNZ Extracted TB'!G:G)</f>
        <v>350.11</v>
      </c>
      <c r="M2642" s="311"/>
      <c r="N2642" s="311">
        <f>+SUMIF('Input Sheet'!$AE:$AE,P2642,'Input Sheet'!$X:$X)</f>
        <v>0</v>
      </c>
      <c r="O2642" s="311"/>
      <c r="P2642" t="str">
        <f t="shared" si="228"/>
        <v>220-7510</v>
      </c>
      <c r="Q2642" s="315" t="str">
        <f t="shared" si="229"/>
        <v>Admin &amp; Other</v>
      </c>
      <c r="R2642" s="315" t="str">
        <f t="shared" si="230"/>
        <v>Admin &amp; OtherOther Overheads as % of Total Gross Profit</v>
      </c>
      <c r="S2642" s="199"/>
      <c r="T2642" s="199"/>
      <c r="U2642" s="199"/>
    </row>
    <row r="2643" spans="1:21" x14ac:dyDescent="0.25">
      <c r="A2643" t="s">
        <v>996</v>
      </c>
      <c r="B2643" t="s">
        <v>997</v>
      </c>
      <c r="C2643" t="s">
        <v>997</v>
      </c>
      <c r="D2643">
        <v>7510</v>
      </c>
      <c r="E2643">
        <v>120</v>
      </c>
      <c r="F2643" t="s">
        <v>1404</v>
      </c>
      <c r="G2643" t="s">
        <v>1405</v>
      </c>
      <c r="H2643" s="315" t="s">
        <v>1000</v>
      </c>
      <c r="I2643" s="315" t="s">
        <v>1001</v>
      </c>
      <c r="J2643" s="315" t="str">
        <f t="shared" si="226"/>
        <v>Admin &amp; OtherOther Overheads as % of Total Gross Profit</v>
      </c>
      <c r="K2643" s="315" t="str">
        <f t="shared" si="227"/>
        <v>120Travel expenses - Toyota</v>
      </c>
      <c r="L2643" s="311">
        <f>+SUMIF('TUNZ Extracted TB'!M:M,$P2643,'TUNZ Extracted TB'!G:G)</f>
        <v>730.62</v>
      </c>
      <c r="M2643" s="311"/>
      <c r="N2643" s="311">
        <f>+SUMIF('Input Sheet'!$AE:$AE,P2643,'Input Sheet'!$X:$X)</f>
        <v>0</v>
      </c>
      <c r="O2643" s="311"/>
      <c r="P2643" t="str">
        <f t="shared" si="228"/>
        <v>120-7510</v>
      </c>
      <c r="Q2643" s="315" t="str">
        <f t="shared" si="229"/>
        <v>Admin &amp; Other</v>
      </c>
      <c r="R2643" s="315" t="str">
        <f t="shared" si="230"/>
        <v>Admin &amp; OtherOther Overheads as % of Total Gross Profit</v>
      </c>
      <c r="S2643" s="199"/>
      <c r="T2643" s="199"/>
      <c r="U2643" s="199"/>
    </row>
    <row r="2644" spans="1:21" x14ac:dyDescent="0.25">
      <c r="A2644" t="s">
        <v>996</v>
      </c>
      <c r="B2644" t="s">
        <v>997</v>
      </c>
      <c r="C2644" t="s">
        <v>997</v>
      </c>
      <c r="D2644">
        <v>7510</v>
      </c>
      <c r="E2644">
        <v>160</v>
      </c>
      <c r="F2644" t="s">
        <v>1404</v>
      </c>
      <c r="G2644" t="s">
        <v>1405</v>
      </c>
      <c r="H2644" s="315" t="s">
        <v>1000</v>
      </c>
      <c r="I2644" s="315" t="s">
        <v>1001</v>
      </c>
      <c r="J2644" s="315" t="str">
        <f t="shared" si="226"/>
        <v>Admin &amp; OtherOther Overheads as % of Total Gross Profit</v>
      </c>
      <c r="K2644" s="315" t="str">
        <f t="shared" si="227"/>
        <v>160Travel expenses - Toyota</v>
      </c>
      <c r="L2644" s="311">
        <f>+SUMIF('TUNZ Extracted TB'!M:M,$P2644,'TUNZ Extracted TB'!G:G)</f>
        <v>182.66</v>
      </c>
      <c r="M2644" s="311"/>
      <c r="N2644" s="311">
        <f>+SUMIF('Input Sheet'!$AE:$AE,P2644,'Input Sheet'!$X:$X)</f>
        <v>0</v>
      </c>
      <c r="O2644" s="311"/>
      <c r="P2644" t="str">
        <f t="shared" si="228"/>
        <v>160-7510</v>
      </c>
      <c r="Q2644" s="315" t="str">
        <f t="shared" si="229"/>
        <v>Admin &amp; Other</v>
      </c>
      <c r="R2644" s="315" t="str">
        <f t="shared" si="230"/>
        <v>Admin &amp; OtherOther Overheads as % of Total Gross Profit</v>
      </c>
      <c r="S2644" s="199"/>
      <c r="T2644" s="199"/>
      <c r="U2644" s="199"/>
    </row>
    <row r="2645" spans="1:21" x14ac:dyDescent="0.25">
      <c r="A2645" t="s">
        <v>996</v>
      </c>
      <c r="B2645" t="s">
        <v>997</v>
      </c>
      <c r="C2645" t="s">
        <v>1013</v>
      </c>
      <c r="D2645">
        <v>7510</v>
      </c>
      <c r="E2645">
        <v>340</v>
      </c>
      <c r="F2645" t="s">
        <v>1404</v>
      </c>
      <c r="G2645" t="s">
        <v>1405</v>
      </c>
      <c r="H2645" s="315" t="s">
        <v>1000</v>
      </c>
      <c r="I2645" s="315" t="s">
        <v>1001</v>
      </c>
      <c r="J2645" s="315" t="str">
        <f t="shared" si="226"/>
        <v>Admin &amp; OtherOther Overheads as % of Total Gross Profit</v>
      </c>
      <c r="K2645" s="315" t="str">
        <f t="shared" si="227"/>
        <v>340Travel expenses - Toyota</v>
      </c>
      <c r="L2645" s="311">
        <f>+SUMIF('TUNZ Extracted TB'!M:M,$P2645,'TUNZ Extracted TB'!G:G)</f>
        <v>345.12</v>
      </c>
      <c r="M2645" s="311"/>
      <c r="N2645" s="311">
        <f>+SUMIF('Input Sheet'!$AE:$AE,P2645,'Input Sheet'!$X:$X)</f>
        <v>0</v>
      </c>
      <c r="O2645" s="311"/>
      <c r="P2645" t="str">
        <f t="shared" si="228"/>
        <v>340-7510</v>
      </c>
      <c r="Q2645" s="315" t="str">
        <f t="shared" si="229"/>
        <v>Admin &amp; Other</v>
      </c>
      <c r="R2645" s="315" t="str">
        <f t="shared" si="230"/>
        <v>Admin &amp; OtherOther Overheads as % of Total Gross Profit</v>
      </c>
      <c r="S2645" s="199"/>
      <c r="T2645" s="199"/>
      <c r="U2645" s="199"/>
    </row>
    <row r="2646" spans="1:21" x14ac:dyDescent="0.25">
      <c r="A2646" t="s">
        <v>996</v>
      </c>
      <c r="B2646" t="s">
        <v>997</v>
      </c>
      <c r="C2646" t="s">
        <v>997</v>
      </c>
      <c r="D2646">
        <v>7510</v>
      </c>
      <c r="E2646">
        <v>936</v>
      </c>
      <c r="F2646" t="s">
        <v>1175</v>
      </c>
      <c r="G2646" t="s">
        <v>1176</v>
      </c>
      <c r="H2646" s="315" t="s">
        <v>1023</v>
      </c>
      <c r="I2646" s="315" t="s">
        <v>1001</v>
      </c>
      <c r="J2646" s="315" t="str">
        <f t="shared" si="226"/>
        <v>LEX Admin &amp; OtherOther Overheads as % of Total Gross Profit</v>
      </c>
      <c r="K2646" s="315" t="str">
        <f t="shared" si="227"/>
        <v>936Other franchise/business expense</v>
      </c>
      <c r="L2646" s="311">
        <f>+SUMIF('TUNZ Extracted TB'!M:M,$P2646,'TUNZ Extracted TB'!G:G)</f>
        <v>147.83000000000001</v>
      </c>
      <c r="M2646" s="311"/>
      <c r="N2646" s="311">
        <f>+SUMIF('Input Sheet'!$AE:$AE,P2646,'Input Sheet'!$X:$X)</f>
        <v>0</v>
      </c>
      <c r="O2646" s="311"/>
      <c r="P2646" t="str">
        <f t="shared" si="228"/>
        <v>936-7510</v>
      </c>
      <c r="Q2646" s="315" t="str">
        <f t="shared" si="229"/>
        <v>LEX Admin &amp; Other</v>
      </c>
      <c r="R2646" s="315" t="str">
        <f t="shared" si="230"/>
        <v>LEX Admin &amp; OtherOther Overheads as % of Total Gross Profit</v>
      </c>
      <c r="S2646" s="199"/>
      <c r="T2646" s="199"/>
      <c r="U2646" s="199"/>
    </row>
    <row r="2647" spans="1:21" x14ac:dyDescent="0.25">
      <c r="A2647" t="s">
        <v>996</v>
      </c>
      <c r="B2647" t="s">
        <v>997</v>
      </c>
      <c r="C2647" t="s">
        <v>997</v>
      </c>
      <c r="D2647">
        <v>7510</v>
      </c>
      <c r="E2647">
        <v>935</v>
      </c>
      <c r="F2647" t="s">
        <v>1175</v>
      </c>
      <c r="G2647" t="s">
        <v>1176</v>
      </c>
      <c r="H2647" s="315" t="s">
        <v>1023</v>
      </c>
      <c r="I2647" s="315" t="s">
        <v>1001</v>
      </c>
      <c r="J2647" s="315" t="str">
        <f t="shared" si="226"/>
        <v>LEX Admin &amp; OtherOther Overheads as % of Total Gross Profit</v>
      </c>
      <c r="K2647" s="315" t="str">
        <f t="shared" si="227"/>
        <v>935Other franchise/business expense</v>
      </c>
      <c r="L2647" s="311">
        <f>+SUMIF('TUNZ Extracted TB'!M:M,$P2647,'TUNZ Extracted TB'!G:G)</f>
        <v>108.74</v>
      </c>
      <c r="M2647" s="311"/>
      <c r="N2647" s="311">
        <f>+SUMIF('Input Sheet'!$AE:$AE,P2647,'Input Sheet'!$X:$X)</f>
        <v>0</v>
      </c>
      <c r="O2647" s="311"/>
      <c r="P2647" t="str">
        <f t="shared" si="228"/>
        <v>935-7510</v>
      </c>
      <c r="Q2647" s="315" t="str">
        <f t="shared" si="229"/>
        <v>LEX Admin &amp; Other</v>
      </c>
      <c r="R2647" s="315" t="str">
        <f t="shared" si="230"/>
        <v>LEX Admin &amp; OtherOther Overheads as % of Total Gross Profit</v>
      </c>
      <c r="S2647" s="199"/>
      <c r="T2647" s="199"/>
      <c r="U2647" s="199"/>
    </row>
    <row r="2648" spans="1:21" x14ac:dyDescent="0.25">
      <c r="A2648" s="316">
        <v>44866</v>
      </c>
      <c r="B2648" t="s">
        <v>997</v>
      </c>
      <c r="C2648" t="s">
        <v>997</v>
      </c>
      <c r="D2648">
        <v>7510</v>
      </c>
      <c r="E2648">
        <v>190</v>
      </c>
      <c r="G2648" t="s">
        <v>949</v>
      </c>
      <c r="H2648" s="315" t="s">
        <v>1000</v>
      </c>
      <c r="I2648" s="315" t="s">
        <v>1001</v>
      </c>
      <c r="J2648" s="315" t="str">
        <f t="shared" si="226"/>
        <v>Admin &amp; OtherOther Overheads as % of Total Gross Profit</v>
      </c>
      <c r="K2648" s="315" t="str">
        <f t="shared" si="227"/>
        <v>190Travel/Entertainment - Team only</v>
      </c>
      <c r="L2648" s="311">
        <f>+SUMIF('TUNZ Extracted TB'!M:M,$P2648,'TUNZ Extracted TB'!G:G)</f>
        <v>29.83</v>
      </c>
      <c r="M2648" s="199"/>
      <c r="N2648" s="311">
        <f>+SUMIF('Input Sheet'!$AE:$AE,P2648,'Input Sheet'!$X:$X)</f>
        <v>0</v>
      </c>
      <c r="O2648" s="199"/>
      <c r="P2648" t="str">
        <f t="shared" si="228"/>
        <v>190-7510</v>
      </c>
      <c r="Q2648" s="315" t="str">
        <f t="shared" si="229"/>
        <v>Admin &amp; Other</v>
      </c>
      <c r="R2648" s="315" t="str">
        <f t="shared" si="230"/>
        <v>Admin &amp; OtherOther Overheads as % of Total Gross Profit</v>
      </c>
      <c r="S2648" s="199"/>
      <c r="T2648" s="199"/>
      <c r="U2648" s="199"/>
    </row>
    <row r="2649" spans="1:21" x14ac:dyDescent="0.25">
      <c r="A2649" s="316">
        <v>44866</v>
      </c>
      <c r="B2649" t="s">
        <v>997</v>
      </c>
      <c r="C2649" t="s">
        <v>997</v>
      </c>
      <c r="D2649">
        <v>7510</v>
      </c>
      <c r="E2649">
        <v>170</v>
      </c>
      <c r="G2649" t="s">
        <v>949</v>
      </c>
      <c r="H2649" s="315" t="s">
        <v>1000</v>
      </c>
      <c r="I2649" s="315" t="s">
        <v>1001</v>
      </c>
      <c r="J2649" s="315" t="str">
        <f t="shared" si="226"/>
        <v>Admin &amp; OtherOther Overheads as % of Total Gross Profit</v>
      </c>
      <c r="K2649" s="315" t="str">
        <f t="shared" si="227"/>
        <v>170Travel/Entertainment - Team only</v>
      </c>
      <c r="L2649" s="311">
        <f>+SUMIF('TUNZ Extracted TB'!M:M,$P2649,'TUNZ Extracted TB'!G:G)</f>
        <v>0</v>
      </c>
      <c r="M2649" s="199"/>
      <c r="N2649" s="311">
        <f>+SUMIF('Input Sheet'!$AE:$AE,P2649,'Input Sheet'!$X:$X)</f>
        <v>0</v>
      </c>
      <c r="O2649" s="199"/>
      <c r="P2649" t="str">
        <f t="shared" si="228"/>
        <v>170-7510</v>
      </c>
      <c r="Q2649" s="315" t="str">
        <f t="shared" si="229"/>
        <v>Admin &amp; Other</v>
      </c>
      <c r="R2649" s="315" t="str">
        <f t="shared" si="230"/>
        <v>Admin &amp; OtherOther Overheads as % of Total Gross Profit</v>
      </c>
      <c r="S2649" s="199"/>
      <c r="T2649" s="199"/>
      <c r="U2649" s="199"/>
    </row>
    <row r="2650" spans="1:21" x14ac:dyDescent="0.25">
      <c r="A2650" t="s">
        <v>996</v>
      </c>
      <c r="B2650" t="s">
        <v>997</v>
      </c>
      <c r="C2650" t="s">
        <v>997</v>
      </c>
      <c r="D2650">
        <v>7510</v>
      </c>
      <c r="E2650">
        <v>130</v>
      </c>
      <c r="F2650" t="s">
        <v>1404</v>
      </c>
      <c r="G2650" t="s">
        <v>1405</v>
      </c>
      <c r="H2650" s="315" t="s">
        <v>1000</v>
      </c>
      <c r="I2650" s="315" t="s">
        <v>1001</v>
      </c>
      <c r="J2650" s="315" t="str">
        <f t="shared" si="226"/>
        <v>Admin &amp; OtherOther Overheads as % of Total Gross Profit</v>
      </c>
      <c r="K2650" s="315" t="str">
        <f t="shared" si="227"/>
        <v>130Travel expenses - Toyota</v>
      </c>
      <c r="L2650" s="311">
        <f>+SUMIF('TUNZ Extracted TB'!M:M,$P2650,'TUNZ Extracted TB'!G:G)</f>
        <v>529.71</v>
      </c>
      <c r="M2650" s="311"/>
      <c r="N2650" s="311">
        <f>+SUMIF('Input Sheet'!$AE:$AE,P2650,'Input Sheet'!$X:$X)</f>
        <v>0</v>
      </c>
      <c r="O2650" s="311"/>
      <c r="P2650" t="str">
        <f t="shared" si="228"/>
        <v>130-7510</v>
      </c>
      <c r="Q2650" s="315" t="str">
        <f t="shared" si="229"/>
        <v>Admin &amp; Other</v>
      </c>
      <c r="R2650" s="315" t="str">
        <f t="shared" si="230"/>
        <v>Admin &amp; OtherOther Overheads as % of Total Gross Profit</v>
      </c>
      <c r="S2650" s="199"/>
      <c r="T2650" s="199"/>
      <c r="U2650" s="199"/>
    </row>
    <row r="2651" spans="1:21" x14ac:dyDescent="0.25">
      <c r="A2651" t="s">
        <v>996</v>
      </c>
      <c r="B2651" t="s">
        <v>997</v>
      </c>
      <c r="C2651" t="s">
        <v>997</v>
      </c>
      <c r="D2651">
        <v>7510</v>
      </c>
      <c r="E2651">
        <v>132</v>
      </c>
      <c r="F2651" t="s">
        <v>1406</v>
      </c>
      <c r="G2651" t="s">
        <v>1407</v>
      </c>
      <c r="H2651" s="315" t="s">
        <v>1023</v>
      </c>
      <c r="I2651" s="315" t="s">
        <v>1001</v>
      </c>
      <c r="J2651" s="315" t="str">
        <f t="shared" si="226"/>
        <v>LEX Admin &amp; OtherOther Overheads as % of Total Gross Profit</v>
      </c>
      <c r="K2651" s="315" t="str">
        <f t="shared" si="227"/>
        <v>132Travel expenses - Lexus</v>
      </c>
      <c r="L2651" s="311">
        <f>+SUMIF('TUNZ Extracted TB'!M:M,$P2651,'TUNZ Extracted TB'!G:G)</f>
        <v>0</v>
      </c>
      <c r="M2651" s="311"/>
      <c r="N2651" s="311">
        <f>+SUMIF('Input Sheet'!$AE:$AE,P2651,'Input Sheet'!$X:$X)</f>
        <v>0</v>
      </c>
      <c r="O2651" s="311"/>
      <c r="P2651" t="str">
        <f t="shared" si="228"/>
        <v>132-7510</v>
      </c>
      <c r="Q2651" s="315" t="str">
        <f t="shared" si="229"/>
        <v>LEX Admin &amp; Other</v>
      </c>
      <c r="R2651" s="315" t="str">
        <f t="shared" si="230"/>
        <v>LEX Admin &amp; OtherOther Overheads as % of Total Gross Profit</v>
      </c>
      <c r="S2651" s="199"/>
      <c r="T2651" s="199"/>
      <c r="U2651" s="199"/>
    </row>
    <row r="2652" spans="1:21" x14ac:dyDescent="0.25">
      <c r="A2652" t="s">
        <v>996</v>
      </c>
      <c r="B2652" t="s">
        <v>997</v>
      </c>
      <c r="C2652" t="s">
        <v>997</v>
      </c>
      <c r="D2652">
        <v>7510</v>
      </c>
      <c r="E2652">
        <v>140</v>
      </c>
      <c r="F2652" t="s">
        <v>1404</v>
      </c>
      <c r="G2652" t="s">
        <v>1405</v>
      </c>
      <c r="H2652" s="315" t="s">
        <v>1000</v>
      </c>
      <c r="I2652" s="315" t="s">
        <v>1001</v>
      </c>
      <c r="J2652" s="315" t="str">
        <f t="shared" si="226"/>
        <v>Admin &amp; OtherOther Overheads as % of Total Gross Profit</v>
      </c>
      <c r="K2652" s="315" t="str">
        <f t="shared" si="227"/>
        <v>140Travel expenses - Toyota</v>
      </c>
      <c r="L2652" s="311">
        <f>+SUMIF('TUNZ Extracted TB'!M:M,$P2652,'TUNZ Extracted TB'!G:G)</f>
        <v>811.29</v>
      </c>
      <c r="M2652" s="311"/>
      <c r="N2652" s="311">
        <f>+SUMIF('Input Sheet'!$AE:$AE,P2652,'Input Sheet'!$X:$X)</f>
        <v>0</v>
      </c>
      <c r="O2652" s="311"/>
      <c r="P2652" t="str">
        <f t="shared" si="228"/>
        <v>140-7510</v>
      </c>
      <c r="Q2652" s="315" t="str">
        <f t="shared" si="229"/>
        <v>Admin &amp; Other</v>
      </c>
      <c r="R2652" s="315" t="str">
        <f t="shared" si="230"/>
        <v>Admin &amp; OtherOther Overheads as % of Total Gross Profit</v>
      </c>
      <c r="S2652" s="199"/>
      <c r="T2652" s="199"/>
      <c r="U2652" s="199"/>
    </row>
    <row r="2653" spans="1:21" x14ac:dyDescent="0.25">
      <c r="A2653" t="s">
        <v>996</v>
      </c>
      <c r="B2653" t="s">
        <v>997</v>
      </c>
      <c r="C2653" t="s">
        <v>997</v>
      </c>
      <c r="D2653">
        <v>7510</v>
      </c>
      <c r="E2653">
        <v>122</v>
      </c>
      <c r="F2653" t="s">
        <v>1406</v>
      </c>
      <c r="G2653" t="s">
        <v>1407</v>
      </c>
      <c r="H2653" s="315" t="s">
        <v>1023</v>
      </c>
      <c r="I2653" s="315" t="s">
        <v>1001</v>
      </c>
      <c r="J2653" s="315" t="str">
        <f t="shared" si="226"/>
        <v>LEX Admin &amp; OtherOther Overheads as % of Total Gross Profit</v>
      </c>
      <c r="K2653" s="315" t="str">
        <f t="shared" si="227"/>
        <v>122Travel expenses - Lexus</v>
      </c>
      <c r="L2653" s="311">
        <f>+SUMIF('TUNZ Extracted TB'!M:M,$P2653,'TUNZ Extracted TB'!G:G)</f>
        <v>0</v>
      </c>
      <c r="M2653" s="311"/>
      <c r="N2653" s="311">
        <f>+SUMIF('Input Sheet'!$AE:$AE,P2653,'Input Sheet'!$X:$X)</f>
        <v>0</v>
      </c>
      <c r="O2653" s="311"/>
      <c r="P2653" t="str">
        <f t="shared" si="228"/>
        <v>122-7510</v>
      </c>
      <c r="Q2653" s="315" t="str">
        <f t="shared" si="229"/>
        <v>LEX Admin &amp; Other</v>
      </c>
      <c r="R2653" s="315" t="str">
        <f t="shared" si="230"/>
        <v>LEX Admin &amp; OtherOther Overheads as % of Total Gross Profit</v>
      </c>
      <c r="S2653" s="199"/>
      <c r="T2653" s="199"/>
      <c r="U2653" s="199"/>
    </row>
    <row r="2654" spans="1:21" x14ac:dyDescent="0.25">
      <c r="A2654" t="s">
        <v>996</v>
      </c>
      <c r="B2654" t="s">
        <v>997</v>
      </c>
      <c r="C2654" t="s">
        <v>997</v>
      </c>
      <c r="D2654">
        <v>7510</v>
      </c>
      <c r="E2654">
        <v>142</v>
      </c>
      <c r="F2654" t="s">
        <v>1406</v>
      </c>
      <c r="G2654" t="s">
        <v>1407</v>
      </c>
      <c r="H2654" s="315" t="s">
        <v>1023</v>
      </c>
      <c r="I2654" s="315" t="s">
        <v>1001</v>
      </c>
      <c r="J2654" s="315" t="str">
        <f t="shared" si="226"/>
        <v>LEX Admin &amp; OtherOther Overheads as % of Total Gross Profit</v>
      </c>
      <c r="K2654" s="315" t="str">
        <f t="shared" si="227"/>
        <v>142Travel expenses - Lexus</v>
      </c>
      <c r="L2654" s="311">
        <f>+SUMIF('TUNZ Extracted TB'!M:M,$P2654,'TUNZ Extracted TB'!G:G)</f>
        <v>0</v>
      </c>
      <c r="M2654" s="311"/>
      <c r="N2654" s="311">
        <f>+SUMIF('Input Sheet'!$AE:$AE,P2654,'Input Sheet'!$X:$X)</f>
        <v>0</v>
      </c>
      <c r="O2654" s="311"/>
      <c r="P2654" t="str">
        <f t="shared" si="228"/>
        <v>142-7510</v>
      </c>
      <c r="Q2654" s="315" t="str">
        <f t="shared" si="229"/>
        <v>LEX Admin &amp; Other</v>
      </c>
      <c r="R2654" s="315" t="str">
        <f t="shared" si="230"/>
        <v>LEX Admin &amp; OtherOther Overheads as % of Total Gross Profit</v>
      </c>
      <c r="S2654" s="199"/>
      <c r="T2654" s="199"/>
      <c r="U2654" s="199"/>
    </row>
    <row r="2655" spans="1:21" x14ac:dyDescent="0.25">
      <c r="A2655" t="s">
        <v>996</v>
      </c>
      <c r="B2655" t="s">
        <v>997</v>
      </c>
      <c r="C2655" t="s">
        <v>997</v>
      </c>
      <c r="D2655">
        <v>7510</v>
      </c>
      <c r="E2655">
        <v>162</v>
      </c>
      <c r="F2655" t="s">
        <v>1406</v>
      </c>
      <c r="G2655" t="s">
        <v>1407</v>
      </c>
      <c r="H2655" s="315" t="s">
        <v>1023</v>
      </c>
      <c r="I2655" s="315" t="s">
        <v>1001</v>
      </c>
      <c r="J2655" s="315" t="str">
        <f t="shared" si="226"/>
        <v>LEX Admin &amp; OtherOther Overheads as % of Total Gross Profit</v>
      </c>
      <c r="K2655" s="315" t="str">
        <f t="shared" si="227"/>
        <v>162Travel expenses - Lexus</v>
      </c>
      <c r="L2655" s="311">
        <f>+SUMIF('TUNZ Extracted TB'!M:M,$P2655,'TUNZ Extracted TB'!G:G)</f>
        <v>0</v>
      </c>
      <c r="M2655" s="311"/>
      <c r="N2655" s="311">
        <f>+SUMIF('Input Sheet'!$AE:$AE,P2655,'Input Sheet'!$X:$X)</f>
        <v>0</v>
      </c>
      <c r="O2655" s="311"/>
      <c r="P2655" t="str">
        <f t="shared" si="228"/>
        <v>162-7510</v>
      </c>
      <c r="Q2655" s="315" t="str">
        <f t="shared" si="229"/>
        <v>LEX Admin &amp; Other</v>
      </c>
      <c r="R2655" s="315" t="str">
        <f t="shared" si="230"/>
        <v>LEX Admin &amp; OtherOther Overheads as % of Total Gross Profit</v>
      </c>
      <c r="S2655" s="199"/>
      <c r="T2655" s="199"/>
      <c r="U2655" s="199"/>
    </row>
    <row r="2656" spans="1:21" x14ac:dyDescent="0.25">
      <c r="A2656" t="s">
        <v>996</v>
      </c>
      <c r="B2656" t="s">
        <v>997</v>
      </c>
      <c r="C2656" t="s">
        <v>1013</v>
      </c>
      <c r="D2656">
        <v>7510</v>
      </c>
      <c r="E2656">
        <v>330</v>
      </c>
      <c r="F2656" t="s">
        <v>1404</v>
      </c>
      <c r="G2656" t="s">
        <v>1405</v>
      </c>
      <c r="H2656" s="315" t="s">
        <v>1000</v>
      </c>
      <c r="I2656" s="315" t="s">
        <v>1001</v>
      </c>
      <c r="J2656" s="315" t="str">
        <f t="shared" si="226"/>
        <v>Admin &amp; OtherOther Overheads as % of Total Gross Profit</v>
      </c>
      <c r="K2656" s="315" t="str">
        <f t="shared" si="227"/>
        <v>330Travel expenses - Toyota</v>
      </c>
      <c r="L2656" s="311">
        <f>+SUMIF('TUNZ Extracted TB'!M:M,$P2656,'TUNZ Extracted TB'!G:G)</f>
        <v>296.35000000000002</v>
      </c>
      <c r="M2656" s="311"/>
      <c r="N2656" s="311">
        <f>+SUMIF('Input Sheet'!$AE:$AE,P2656,'Input Sheet'!$X:$X)</f>
        <v>0</v>
      </c>
      <c r="O2656" s="311"/>
      <c r="P2656" t="str">
        <f t="shared" si="228"/>
        <v>330-7510</v>
      </c>
      <c r="Q2656" s="315" t="str">
        <f t="shared" si="229"/>
        <v>Admin &amp; Other</v>
      </c>
      <c r="R2656" s="315" t="str">
        <f t="shared" si="230"/>
        <v>Admin &amp; OtherOther Overheads as % of Total Gross Profit</v>
      </c>
      <c r="S2656" s="199"/>
      <c r="T2656" s="199"/>
      <c r="U2656" s="199"/>
    </row>
    <row r="2657" spans="1:21" x14ac:dyDescent="0.25">
      <c r="A2657" t="s">
        <v>996</v>
      </c>
      <c r="B2657" t="s">
        <v>997</v>
      </c>
      <c r="C2657" t="s">
        <v>1005</v>
      </c>
      <c r="D2657">
        <v>7510</v>
      </c>
      <c r="E2657">
        <v>200</v>
      </c>
      <c r="F2657" t="s">
        <v>1404</v>
      </c>
      <c r="G2657" t="s">
        <v>1405</v>
      </c>
      <c r="H2657" s="315" t="s">
        <v>1000</v>
      </c>
      <c r="I2657" s="315" t="s">
        <v>1001</v>
      </c>
      <c r="J2657" s="315" t="str">
        <f t="shared" si="226"/>
        <v>Admin &amp; OtherOther Overheads as % of Total Gross Profit</v>
      </c>
      <c r="K2657" s="315" t="str">
        <f t="shared" si="227"/>
        <v>200Travel expenses - Toyota</v>
      </c>
      <c r="L2657" s="311">
        <f>+SUMIF('TUNZ Extracted TB'!M:M,$P2657,'TUNZ Extracted TB'!G:G)</f>
        <v>0</v>
      </c>
      <c r="M2657" s="311"/>
      <c r="N2657" s="311">
        <f>+SUMIF('Input Sheet'!$AE:$AE,P2657,'Input Sheet'!$X:$X)</f>
        <v>0</v>
      </c>
      <c r="O2657" s="311"/>
      <c r="P2657" t="str">
        <f t="shared" si="228"/>
        <v>200-7510</v>
      </c>
      <c r="Q2657" s="315" t="str">
        <f t="shared" si="229"/>
        <v>Admin &amp; Other</v>
      </c>
      <c r="R2657" s="315" t="str">
        <f t="shared" si="230"/>
        <v>Admin &amp; OtherOther Overheads as % of Total Gross Profit</v>
      </c>
      <c r="S2657" s="199"/>
      <c r="T2657" s="199"/>
      <c r="U2657" s="199"/>
    </row>
    <row r="2658" spans="1:21" x14ac:dyDescent="0.25">
      <c r="A2658" t="s">
        <v>996</v>
      </c>
      <c r="B2658" t="s">
        <v>997</v>
      </c>
      <c r="C2658" t="s">
        <v>1005</v>
      </c>
      <c r="D2658">
        <v>7510</v>
      </c>
      <c r="E2658">
        <v>221</v>
      </c>
      <c r="F2658" t="s">
        <v>1404</v>
      </c>
      <c r="G2658" t="s">
        <v>1405</v>
      </c>
      <c r="H2658" s="315" t="s">
        <v>1000</v>
      </c>
      <c r="I2658" s="315" t="s">
        <v>1001</v>
      </c>
      <c r="J2658" s="315" t="str">
        <f t="shared" si="226"/>
        <v>Admin &amp; OtherOther Overheads as % of Total Gross Profit</v>
      </c>
      <c r="K2658" s="315" t="str">
        <f t="shared" si="227"/>
        <v>221Travel expenses - Toyota</v>
      </c>
      <c r="L2658" s="311">
        <f>+SUMIF('TUNZ Extracted TB'!M:M,$P2658,'TUNZ Extracted TB'!G:G)</f>
        <v>0</v>
      </c>
      <c r="M2658" s="311"/>
      <c r="N2658" s="311">
        <f>+SUMIF('Input Sheet'!$AE:$AE,P2658,'Input Sheet'!$X:$X)</f>
        <v>0</v>
      </c>
      <c r="O2658" s="311"/>
      <c r="P2658" t="str">
        <f t="shared" si="228"/>
        <v>221-7510</v>
      </c>
      <c r="Q2658" s="315" t="str">
        <f t="shared" si="229"/>
        <v>Admin &amp; Other</v>
      </c>
      <c r="R2658" s="315" t="str">
        <f t="shared" si="230"/>
        <v>Admin &amp; OtherOther Overheads as % of Total Gross Profit</v>
      </c>
      <c r="S2658" s="199"/>
      <c r="T2658" s="199"/>
      <c r="U2658" s="199"/>
    </row>
    <row r="2659" spans="1:21" x14ac:dyDescent="0.25">
      <c r="A2659" t="s">
        <v>996</v>
      </c>
      <c r="B2659" t="s">
        <v>997</v>
      </c>
      <c r="C2659" t="s">
        <v>1005</v>
      </c>
      <c r="D2659">
        <v>7510</v>
      </c>
      <c r="E2659">
        <v>260</v>
      </c>
      <c r="F2659" t="s">
        <v>1404</v>
      </c>
      <c r="G2659" t="s">
        <v>1405</v>
      </c>
      <c r="H2659" s="315" t="s">
        <v>1000</v>
      </c>
      <c r="I2659" s="315" t="s">
        <v>1001</v>
      </c>
      <c r="J2659" s="315" t="str">
        <f t="shared" si="226"/>
        <v>Admin &amp; OtherOther Overheads as % of Total Gross Profit</v>
      </c>
      <c r="K2659" s="315" t="str">
        <f t="shared" si="227"/>
        <v>260Travel expenses - Toyota</v>
      </c>
      <c r="L2659" s="311">
        <f>+SUMIF('TUNZ Extracted TB'!M:M,$P2659,'TUNZ Extracted TB'!G:G)</f>
        <v>0</v>
      </c>
      <c r="M2659" s="311"/>
      <c r="N2659" s="311">
        <f>+SUMIF('Input Sheet'!$AE:$AE,P2659,'Input Sheet'!$X:$X)</f>
        <v>0</v>
      </c>
      <c r="O2659" s="311"/>
      <c r="P2659" t="str">
        <f t="shared" si="228"/>
        <v>260-7510</v>
      </c>
      <c r="Q2659" s="315" t="str">
        <f t="shared" si="229"/>
        <v>Admin &amp; Other</v>
      </c>
      <c r="R2659" s="315" t="str">
        <f t="shared" si="230"/>
        <v>Admin &amp; OtherOther Overheads as % of Total Gross Profit</v>
      </c>
      <c r="S2659" s="199"/>
      <c r="T2659" s="199"/>
      <c r="U2659" s="199"/>
    </row>
    <row r="2660" spans="1:21" x14ac:dyDescent="0.25">
      <c r="A2660" t="s">
        <v>996</v>
      </c>
      <c r="B2660" t="s">
        <v>997</v>
      </c>
      <c r="C2660" t="s">
        <v>1012</v>
      </c>
      <c r="D2660">
        <v>7510</v>
      </c>
      <c r="E2660">
        <v>400</v>
      </c>
      <c r="F2660" t="s">
        <v>1404</v>
      </c>
      <c r="G2660" t="s">
        <v>1405</v>
      </c>
      <c r="H2660" s="315" t="s">
        <v>1000</v>
      </c>
      <c r="I2660" s="315" t="s">
        <v>1001</v>
      </c>
      <c r="J2660" s="315" t="str">
        <f t="shared" si="226"/>
        <v>Admin &amp; OtherOther Overheads as % of Total Gross Profit</v>
      </c>
      <c r="K2660" s="315" t="str">
        <f t="shared" si="227"/>
        <v>400Travel expenses - Toyota</v>
      </c>
      <c r="L2660" s="311">
        <f>+SUMIF('TUNZ Extracted TB'!M:M,$P2660,'TUNZ Extracted TB'!G:G)</f>
        <v>0</v>
      </c>
      <c r="M2660" s="311"/>
      <c r="N2660" s="311">
        <f>+SUMIF('Input Sheet'!$AE:$AE,P2660,'Input Sheet'!$X:$X)</f>
        <v>0</v>
      </c>
      <c r="O2660" s="311"/>
      <c r="P2660" t="str">
        <f t="shared" si="228"/>
        <v>400-7510</v>
      </c>
      <c r="Q2660" s="315" t="str">
        <f t="shared" si="229"/>
        <v>Admin &amp; Other</v>
      </c>
      <c r="R2660" s="315" t="str">
        <f t="shared" si="230"/>
        <v>Admin &amp; OtherOther Overheads as % of Total Gross Profit</v>
      </c>
      <c r="S2660" s="199"/>
      <c r="T2660" s="199"/>
      <c r="U2660" s="199"/>
    </row>
    <row r="2661" spans="1:21" x14ac:dyDescent="0.25">
      <c r="A2661" t="s">
        <v>996</v>
      </c>
      <c r="B2661" t="s">
        <v>997</v>
      </c>
      <c r="C2661" t="s">
        <v>1012</v>
      </c>
      <c r="D2661">
        <v>7510</v>
      </c>
      <c r="E2661">
        <v>410</v>
      </c>
      <c r="F2661" t="s">
        <v>1404</v>
      </c>
      <c r="G2661" t="s">
        <v>1405</v>
      </c>
      <c r="H2661" s="315" t="s">
        <v>1000</v>
      </c>
      <c r="I2661" s="315" t="s">
        <v>1001</v>
      </c>
      <c r="J2661" s="315" t="str">
        <f t="shared" si="226"/>
        <v>Admin &amp; OtherOther Overheads as % of Total Gross Profit</v>
      </c>
      <c r="K2661" s="315" t="str">
        <f t="shared" si="227"/>
        <v>410Travel expenses - Toyota</v>
      </c>
      <c r="L2661" s="311">
        <f>+SUMIF('TUNZ Extracted TB'!M:M,$P2661,'TUNZ Extracted TB'!G:G)</f>
        <v>0</v>
      </c>
      <c r="M2661" s="311"/>
      <c r="N2661" s="311">
        <f>+SUMIF('Input Sheet'!$AE:$AE,P2661,'Input Sheet'!$X:$X)</f>
        <v>0</v>
      </c>
      <c r="O2661" s="311"/>
      <c r="P2661" t="str">
        <f t="shared" si="228"/>
        <v>410-7510</v>
      </c>
      <c r="Q2661" s="315" t="str">
        <f t="shared" si="229"/>
        <v>Admin &amp; Other</v>
      </c>
      <c r="R2661" s="315" t="str">
        <f t="shared" si="230"/>
        <v>Admin &amp; OtherOther Overheads as % of Total Gross Profit</v>
      </c>
      <c r="S2661" s="199"/>
      <c r="T2661" s="199"/>
      <c r="U2661" s="199"/>
    </row>
    <row r="2662" spans="1:21" x14ac:dyDescent="0.25">
      <c r="A2662" t="s">
        <v>996</v>
      </c>
      <c r="B2662" t="s">
        <v>997</v>
      </c>
      <c r="C2662" t="s">
        <v>1012</v>
      </c>
      <c r="D2662">
        <v>7510</v>
      </c>
      <c r="E2662">
        <v>420</v>
      </c>
      <c r="F2662" t="s">
        <v>1404</v>
      </c>
      <c r="G2662" t="s">
        <v>1405</v>
      </c>
      <c r="H2662" s="315" t="s">
        <v>1000</v>
      </c>
      <c r="I2662" s="315" t="s">
        <v>1001</v>
      </c>
      <c r="J2662" s="315" t="str">
        <f t="shared" si="226"/>
        <v>Admin &amp; OtherOther Overheads as % of Total Gross Profit</v>
      </c>
      <c r="K2662" s="315" t="str">
        <f t="shared" si="227"/>
        <v>420Travel expenses - Toyota</v>
      </c>
      <c r="L2662" s="311">
        <f>+SUMIF('TUNZ Extracted TB'!M:M,$P2662,'TUNZ Extracted TB'!G:G)</f>
        <v>0</v>
      </c>
      <c r="M2662" s="311"/>
      <c r="N2662" s="311">
        <f>+SUMIF('Input Sheet'!$AE:$AE,P2662,'Input Sheet'!$X:$X)</f>
        <v>0</v>
      </c>
      <c r="O2662" s="311"/>
      <c r="P2662" t="str">
        <f t="shared" si="228"/>
        <v>420-7510</v>
      </c>
      <c r="Q2662" s="315" t="str">
        <f t="shared" si="229"/>
        <v>Admin &amp; Other</v>
      </c>
      <c r="R2662" s="315" t="str">
        <f t="shared" si="230"/>
        <v>Admin &amp; OtherOther Overheads as % of Total Gross Profit</v>
      </c>
      <c r="S2662" s="199"/>
      <c r="T2662" s="199"/>
      <c r="U2662" s="199"/>
    </row>
    <row r="2663" spans="1:21" x14ac:dyDescent="0.25">
      <c r="A2663" t="s">
        <v>996</v>
      </c>
      <c r="B2663" t="s">
        <v>997</v>
      </c>
      <c r="C2663" t="s">
        <v>1012</v>
      </c>
      <c r="D2663">
        <v>7510</v>
      </c>
      <c r="E2663">
        <v>421</v>
      </c>
      <c r="F2663" t="s">
        <v>1404</v>
      </c>
      <c r="G2663" t="s">
        <v>1405</v>
      </c>
      <c r="H2663" s="315" t="s">
        <v>1000</v>
      </c>
      <c r="I2663" s="315" t="s">
        <v>1001</v>
      </c>
      <c r="J2663" s="315" t="str">
        <f t="shared" si="226"/>
        <v>Admin &amp; OtherOther Overheads as % of Total Gross Profit</v>
      </c>
      <c r="K2663" s="315" t="str">
        <f t="shared" si="227"/>
        <v>421Travel expenses - Toyota</v>
      </c>
      <c r="L2663" s="311">
        <f>+SUMIF('TUNZ Extracted TB'!M:M,$P2663,'TUNZ Extracted TB'!G:G)</f>
        <v>0</v>
      </c>
      <c r="M2663" s="311"/>
      <c r="N2663" s="311">
        <f>+SUMIF('Input Sheet'!$AE:$AE,P2663,'Input Sheet'!$X:$X)</f>
        <v>0</v>
      </c>
      <c r="O2663" s="311"/>
      <c r="P2663" t="str">
        <f t="shared" si="228"/>
        <v>421-7510</v>
      </c>
      <c r="Q2663" s="315" t="str">
        <f t="shared" si="229"/>
        <v>Admin &amp; Other</v>
      </c>
      <c r="R2663" s="315" t="str">
        <f t="shared" si="230"/>
        <v>Admin &amp; OtherOther Overheads as % of Total Gross Profit</v>
      </c>
      <c r="S2663" s="199"/>
      <c r="T2663" s="199"/>
      <c r="U2663" s="199"/>
    </row>
    <row r="2664" spans="1:21" x14ac:dyDescent="0.25">
      <c r="A2664" t="s">
        <v>996</v>
      </c>
      <c r="B2664" t="s">
        <v>997</v>
      </c>
      <c r="C2664" t="s">
        <v>1012</v>
      </c>
      <c r="D2664">
        <v>7510</v>
      </c>
      <c r="E2664">
        <v>460</v>
      </c>
      <c r="F2664" t="s">
        <v>1404</v>
      </c>
      <c r="G2664" t="s">
        <v>1405</v>
      </c>
      <c r="H2664" s="315" t="s">
        <v>1000</v>
      </c>
      <c r="I2664" s="315" t="s">
        <v>1001</v>
      </c>
      <c r="J2664" s="315" t="str">
        <f t="shared" si="226"/>
        <v>Admin &amp; OtherOther Overheads as % of Total Gross Profit</v>
      </c>
      <c r="K2664" s="315" t="str">
        <f t="shared" si="227"/>
        <v>460Travel expenses - Toyota</v>
      </c>
      <c r="L2664" s="311">
        <f>+SUMIF('TUNZ Extracted TB'!M:M,$P2664,'TUNZ Extracted TB'!G:G)</f>
        <v>0</v>
      </c>
      <c r="M2664" s="311"/>
      <c r="N2664" s="311">
        <f>+SUMIF('Input Sheet'!$AE:$AE,P2664,'Input Sheet'!$X:$X)</f>
        <v>0</v>
      </c>
      <c r="O2664" s="311"/>
      <c r="P2664" t="str">
        <f t="shared" si="228"/>
        <v>460-7510</v>
      </c>
      <c r="Q2664" s="315" t="str">
        <f t="shared" si="229"/>
        <v>Admin &amp; Other</v>
      </c>
      <c r="R2664" s="315" t="str">
        <f t="shared" si="230"/>
        <v>Admin &amp; OtherOther Overheads as % of Total Gross Profit</v>
      </c>
      <c r="S2664" s="199"/>
      <c r="T2664" s="199"/>
      <c r="U2664" s="199"/>
    </row>
    <row r="2665" spans="1:21" x14ac:dyDescent="0.25">
      <c r="A2665" t="s">
        <v>996</v>
      </c>
      <c r="B2665" t="s">
        <v>997</v>
      </c>
      <c r="C2665" t="s">
        <v>1013</v>
      </c>
      <c r="D2665">
        <v>7510</v>
      </c>
      <c r="E2665">
        <v>300</v>
      </c>
      <c r="F2665" t="s">
        <v>1404</v>
      </c>
      <c r="G2665" t="s">
        <v>1405</v>
      </c>
      <c r="H2665" s="315" t="s">
        <v>1000</v>
      </c>
      <c r="I2665" s="315" t="s">
        <v>1001</v>
      </c>
      <c r="J2665" s="315" t="str">
        <f t="shared" si="226"/>
        <v>Admin &amp; OtherOther Overheads as % of Total Gross Profit</v>
      </c>
      <c r="K2665" s="315" t="str">
        <f t="shared" si="227"/>
        <v>300Travel expenses - Toyota</v>
      </c>
      <c r="L2665" s="311">
        <f>+SUMIF('TUNZ Extracted TB'!M:M,$P2665,'TUNZ Extracted TB'!G:G)</f>
        <v>0</v>
      </c>
      <c r="M2665" s="311"/>
      <c r="N2665" s="311">
        <f>+SUMIF('Input Sheet'!$AE:$AE,P2665,'Input Sheet'!$X:$X)</f>
        <v>0</v>
      </c>
      <c r="O2665" s="311"/>
      <c r="P2665" t="str">
        <f t="shared" si="228"/>
        <v>300-7510</v>
      </c>
      <c r="Q2665" s="315" t="str">
        <f t="shared" si="229"/>
        <v>Admin &amp; Other</v>
      </c>
      <c r="R2665" s="315" t="str">
        <f t="shared" si="230"/>
        <v>Admin &amp; OtherOther Overheads as % of Total Gross Profit</v>
      </c>
      <c r="S2665" s="199"/>
      <c r="T2665" s="199"/>
      <c r="U2665" s="199"/>
    </row>
    <row r="2666" spans="1:21" x14ac:dyDescent="0.25">
      <c r="A2666" t="s">
        <v>996</v>
      </c>
      <c r="B2666" t="s">
        <v>997</v>
      </c>
      <c r="C2666" t="s">
        <v>1013</v>
      </c>
      <c r="D2666">
        <v>7510</v>
      </c>
      <c r="E2666">
        <v>310</v>
      </c>
      <c r="F2666" t="s">
        <v>1404</v>
      </c>
      <c r="G2666" t="s">
        <v>1405</v>
      </c>
      <c r="H2666" s="315" t="s">
        <v>1000</v>
      </c>
      <c r="I2666" s="315" t="s">
        <v>1001</v>
      </c>
      <c r="J2666" s="315" t="str">
        <f t="shared" si="226"/>
        <v>Admin &amp; OtherOther Overheads as % of Total Gross Profit</v>
      </c>
      <c r="K2666" s="315" t="str">
        <f t="shared" si="227"/>
        <v>310Travel expenses - Toyota</v>
      </c>
      <c r="L2666" s="311">
        <f>+SUMIF('TUNZ Extracted TB'!M:M,$P2666,'TUNZ Extracted TB'!G:G)</f>
        <v>0</v>
      </c>
      <c r="M2666" s="311"/>
      <c r="N2666" s="311">
        <f>+SUMIF('Input Sheet'!$AE:$AE,P2666,'Input Sheet'!$X:$X)</f>
        <v>0</v>
      </c>
      <c r="O2666" s="311"/>
      <c r="P2666" t="str">
        <f t="shared" si="228"/>
        <v>310-7510</v>
      </c>
      <c r="Q2666" s="315" t="str">
        <f t="shared" si="229"/>
        <v>Admin &amp; Other</v>
      </c>
      <c r="R2666" s="315" t="str">
        <f t="shared" si="230"/>
        <v>Admin &amp; OtherOther Overheads as % of Total Gross Profit</v>
      </c>
      <c r="S2666" s="199"/>
      <c r="T2666" s="199"/>
      <c r="U2666" s="199"/>
    </row>
    <row r="2667" spans="1:21" x14ac:dyDescent="0.25">
      <c r="A2667" t="s">
        <v>996</v>
      </c>
      <c r="B2667" t="s">
        <v>997</v>
      </c>
      <c r="C2667" t="s">
        <v>1013</v>
      </c>
      <c r="D2667">
        <v>7510</v>
      </c>
      <c r="E2667">
        <v>321</v>
      </c>
      <c r="F2667" t="s">
        <v>1404</v>
      </c>
      <c r="G2667" t="s">
        <v>1405</v>
      </c>
      <c r="H2667" s="315" t="s">
        <v>1000</v>
      </c>
      <c r="I2667" s="315" t="s">
        <v>1001</v>
      </c>
      <c r="J2667" s="315" t="str">
        <f t="shared" si="226"/>
        <v>Admin &amp; OtherOther Overheads as % of Total Gross Profit</v>
      </c>
      <c r="K2667" s="315" t="str">
        <f t="shared" si="227"/>
        <v>321Travel expenses - Toyota</v>
      </c>
      <c r="L2667" s="311">
        <f>+SUMIF('TUNZ Extracted TB'!M:M,$P2667,'TUNZ Extracted TB'!G:G)</f>
        <v>0</v>
      </c>
      <c r="M2667" s="311"/>
      <c r="N2667" s="311">
        <f>+SUMIF('Input Sheet'!$AE:$AE,P2667,'Input Sheet'!$X:$X)</f>
        <v>0</v>
      </c>
      <c r="O2667" s="311"/>
      <c r="P2667" t="str">
        <f t="shared" si="228"/>
        <v>321-7510</v>
      </c>
      <c r="Q2667" s="315" t="str">
        <f t="shared" si="229"/>
        <v>Admin &amp; Other</v>
      </c>
      <c r="R2667" s="315" t="str">
        <f t="shared" si="230"/>
        <v>Admin &amp; OtherOther Overheads as % of Total Gross Profit</v>
      </c>
      <c r="S2667" s="199"/>
      <c r="T2667" s="199"/>
      <c r="U2667" s="199"/>
    </row>
    <row r="2668" spans="1:21" x14ac:dyDescent="0.25">
      <c r="A2668" t="s">
        <v>996</v>
      </c>
      <c r="B2668" t="s">
        <v>997</v>
      </c>
      <c r="C2668" t="s">
        <v>1013</v>
      </c>
      <c r="D2668">
        <v>7510</v>
      </c>
      <c r="E2668">
        <v>360</v>
      </c>
      <c r="F2668" t="s">
        <v>1404</v>
      </c>
      <c r="G2668" t="s">
        <v>1405</v>
      </c>
      <c r="H2668" s="315" t="s">
        <v>1000</v>
      </c>
      <c r="I2668" s="315" t="s">
        <v>1001</v>
      </c>
      <c r="J2668" s="315" t="str">
        <f t="shared" si="226"/>
        <v>Admin &amp; OtherOther Overheads as % of Total Gross Profit</v>
      </c>
      <c r="K2668" s="315" t="str">
        <f t="shared" si="227"/>
        <v>360Travel expenses - Toyota</v>
      </c>
      <c r="L2668" s="311">
        <f>+SUMIF('TUNZ Extracted TB'!M:M,$P2668,'TUNZ Extracted TB'!G:G)</f>
        <v>0</v>
      </c>
      <c r="M2668" s="311"/>
      <c r="N2668" s="311">
        <f>+SUMIF('Input Sheet'!$AE:$AE,P2668,'Input Sheet'!$X:$X)</f>
        <v>0</v>
      </c>
      <c r="O2668" s="311"/>
      <c r="P2668" t="str">
        <f t="shared" si="228"/>
        <v>360-7510</v>
      </c>
      <c r="Q2668" s="315" t="str">
        <f t="shared" si="229"/>
        <v>Admin &amp; Other</v>
      </c>
      <c r="R2668" s="315" t="str">
        <f t="shared" si="230"/>
        <v>Admin &amp; OtherOther Overheads as % of Total Gross Profit</v>
      </c>
      <c r="S2668" s="199"/>
      <c r="T2668" s="199"/>
      <c r="U2668" s="199"/>
    </row>
    <row r="2669" spans="1:21" x14ac:dyDescent="0.25">
      <c r="A2669" t="s">
        <v>996</v>
      </c>
      <c r="B2669" t="s">
        <v>997</v>
      </c>
      <c r="C2669" t="s">
        <v>997</v>
      </c>
      <c r="D2669">
        <v>7510</v>
      </c>
      <c r="E2669">
        <v>121</v>
      </c>
      <c r="F2669" t="s">
        <v>1404</v>
      </c>
      <c r="G2669" t="s">
        <v>1405</v>
      </c>
      <c r="H2669" s="315" t="s">
        <v>1000</v>
      </c>
      <c r="I2669" s="315" t="s">
        <v>1001</v>
      </c>
      <c r="J2669" s="315" t="str">
        <f t="shared" si="226"/>
        <v>Admin &amp; OtherOther Overheads as % of Total Gross Profit</v>
      </c>
      <c r="K2669" s="315" t="str">
        <f t="shared" si="227"/>
        <v>121Travel expenses - Toyota</v>
      </c>
      <c r="L2669" s="311">
        <f>+SUMIF('TUNZ Extracted TB'!M:M,$P2669,'TUNZ Extracted TB'!G:G)</f>
        <v>0</v>
      </c>
      <c r="M2669" s="311"/>
      <c r="N2669" s="311">
        <f>+SUMIF('Input Sheet'!$AE:$AE,P2669,'Input Sheet'!$X:$X)</f>
        <v>0</v>
      </c>
      <c r="O2669" s="311"/>
      <c r="P2669" t="str">
        <f t="shared" si="228"/>
        <v>121-7510</v>
      </c>
      <c r="Q2669" s="315" t="str">
        <f t="shared" si="229"/>
        <v>Admin &amp; Other</v>
      </c>
      <c r="R2669" s="315" t="str">
        <f t="shared" si="230"/>
        <v>Admin &amp; OtherOther Overheads as % of Total Gross Profit</v>
      </c>
      <c r="S2669" s="199"/>
      <c r="T2669" s="199"/>
      <c r="U2669" s="199"/>
    </row>
    <row r="2670" spans="1:21" x14ac:dyDescent="0.25">
      <c r="A2670" t="s">
        <v>996</v>
      </c>
      <c r="B2670" t="s">
        <v>997</v>
      </c>
      <c r="C2670" t="s">
        <v>997</v>
      </c>
      <c r="D2670">
        <v>7510</v>
      </c>
      <c r="E2670">
        <v>147</v>
      </c>
      <c r="F2670" t="s">
        <v>1404</v>
      </c>
      <c r="G2670" t="s">
        <v>1405</v>
      </c>
      <c r="H2670" s="315" t="s">
        <v>1000</v>
      </c>
      <c r="I2670" s="315" t="s">
        <v>1001</v>
      </c>
      <c r="J2670" s="315" t="str">
        <f t="shared" si="226"/>
        <v>Admin &amp; OtherOther Overheads as % of Total Gross Profit</v>
      </c>
      <c r="K2670" s="315" t="str">
        <f t="shared" si="227"/>
        <v>147Travel expenses - Toyota</v>
      </c>
      <c r="L2670" s="311">
        <f>+SUMIF('TUNZ Extracted TB'!M:M,$P2670,'TUNZ Extracted TB'!G:G)</f>
        <v>0</v>
      </c>
      <c r="M2670" s="311"/>
      <c r="N2670" s="311">
        <f>+SUMIF('Input Sheet'!$AE:$AE,P2670,'Input Sheet'!$X:$X)</f>
        <v>0</v>
      </c>
      <c r="O2670" s="311"/>
      <c r="P2670" t="str">
        <f t="shared" si="228"/>
        <v>147-7510</v>
      </c>
      <c r="Q2670" s="315" t="str">
        <f t="shared" si="229"/>
        <v>Admin &amp; Other</v>
      </c>
      <c r="R2670" s="315" t="str">
        <f t="shared" si="230"/>
        <v>Admin &amp; OtherOther Overheads as % of Total Gross Profit</v>
      </c>
      <c r="S2670" s="199"/>
      <c r="T2670" s="199"/>
      <c r="U2670" s="199"/>
    </row>
    <row r="2671" spans="1:21" x14ac:dyDescent="0.25">
      <c r="A2671" t="s">
        <v>996</v>
      </c>
      <c r="B2671" t="s">
        <v>997</v>
      </c>
      <c r="C2671" t="s">
        <v>997</v>
      </c>
      <c r="D2671">
        <v>7510</v>
      </c>
      <c r="E2671">
        <v>110</v>
      </c>
      <c r="F2671" t="s">
        <v>1404</v>
      </c>
      <c r="G2671" t="s">
        <v>1405</v>
      </c>
      <c r="H2671" s="315" t="s">
        <v>1000</v>
      </c>
      <c r="I2671" s="315" t="s">
        <v>1001</v>
      </c>
      <c r="J2671" s="315" t="str">
        <f t="shared" si="226"/>
        <v>Admin &amp; OtherOther Overheads as % of Total Gross Profit</v>
      </c>
      <c r="K2671" s="315" t="str">
        <f t="shared" si="227"/>
        <v>110Travel expenses - Toyota</v>
      </c>
      <c r="L2671" s="311">
        <f>+SUMIF('TUNZ Extracted TB'!M:M,$P2671,'TUNZ Extracted TB'!G:G)</f>
        <v>623.29999999999995</v>
      </c>
      <c r="M2671" s="311"/>
      <c r="N2671" s="311">
        <f>+SUMIF('Input Sheet'!$AE:$AE,P2671,'Input Sheet'!$X:$X)</f>
        <v>0</v>
      </c>
      <c r="O2671" s="311"/>
      <c r="P2671" t="str">
        <f t="shared" si="228"/>
        <v>110-7510</v>
      </c>
      <c r="Q2671" s="315" t="str">
        <f t="shared" si="229"/>
        <v>Admin &amp; Other</v>
      </c>
      <c r="R2671" s="315" t="str">
        <f t="shared" si="230"/>
        <v>Admin &amp; OtherOther Overheads as % of Total Gross Profit</v>
      </c>
      <c r="S2671" s="199"/>
      <c r="T2671" s="199"/>
      <c r="U2671" s="199"/>
    </row>
    <row r="2672" spans="1:21" x14ac:dyDescent="0.25">
      <c r="A2672" t="s">
        <v>996</v>
      </c>
      <c r="B2672" t="s">
        <v>997</v>
      </c>
      <c r="C2672" t="s">
        <v>997</v>
      </c>
      <c r="D2672">
        <v>7510</v>
      </c>
      <c r="E2672">
        <v>112</v>
      </c>
      <c r="F2672" t="s">
        <v>1406</v>
      </c>
      <c r="G2672" t="s">
        <v>1407</v>
      </c>
      <c r="H2672" s="315" t="s">
        <v>1023</v>
      </c>
      <c r="I2672" s="315" t="s">
        <v>1001</v>
      </c>
      <c r="J2672" s="315" t="str">
        <f t="shared" si="226"/>
        <v>LEX Admin &amp; OtherOther Overheads as % of Total Gross Profit</v>
      </c>
      <c r="K2672" s="315" t="str">
        <f t="shared" si="227"/>
        <v>112Travel expenses - Lexus</v>
      </c>
      <c r="L2672" s="311">
        <f>+SUMIF('TUNZ Extracted TB'!M:M,$P2672,'TUNZ Extracted TB'!G:G)</f>
        <v>565.29999999999995</v>
      </c>
      <c r="M2672" s="311"/>
      <c r="N2672" s="311">
        <f>+SUMIF('Input Sheet'!$AE:$AE,P2672,'Input Sheet'!$X:$X)</f>
        <v>0</v>
      </c>
      <c r="O2672" s="311"/>
      <c r="P2672" t="str">
        <f t="shared" si="228"/>
        <v>112-7510</v>
      </c>
      <c r="Q2672" s="315" t="str">
        <f t="shared" si="229"/>
        <v>LEX Admin &amp; Other</v>
      </c>
      <c r="R2672" s="315" t="str">
        <f t="shared" si="230"/>
        <v>LEX Admin &amp; OtherOther Overheads as % of Total Gross Profit</v>
      </c>
      <c r="S2672" s="199"/>
      <c r="T2672" s="199"/>
      <c r="U2672" s="199"/>
    </row>
    <row r="2673" spans="1:21" x14ac:dyDescent="0.25">
      <c r="A2673" t="s">
        <v>996</v>
      </c>
      <c r="B2673" t="s">
        <v>997</v>
      </c>
      <c r="C2673" t="s">
        <v>997</v>
      </c>
      <c r="D2673">
        <v>7510</v>
      </c>
      <c r="E2673">
        <v>100</v>
      </c>
      <c r="F2673" t="s">
        <v>1404</v>
      </c>
      <c r="G2673" t="s">
        <v>1405</v>
      </c>
      <c r="H2673" s="315" t="s">
        <v>1000</v>
      </c>
      <c r="I2673" s="315" t="s">
        <v>1001</v>
      </c>
      <c r="J2673" s="315" t="str">
        <f t="shared" si="226"/>
        <v>Admin &amp; OtherOther Overheads as % of Total Gross Profit</v>
      </c>
      <c r="K2673" s="315" t="str">
        <f t="shared" si="227"/>
        <v>100Travel expenses - Toyota</v>
      </c>
      <c r="L2673" s="311">
        <f>+SUMIF('TUNZ Extracted TB'!M:M,$P2673,'TUNZ Extracted TB'!G:G)</f>
        <v>0</v>
      </c>
      <c r="M2673" s="311"/>
      <c r="N2673" s="311">
        <f>+SUMIF('Input Sheet'!$AE:$AE,P2673,'Input Sheet'!$X:$X)</f>
        <v>0</v>
      </c>
      <c r="O2673" s="311"/>
      <c r="P2673" t="str">
        <f t="shared" si="228"/>
        <v>100-7510</v>
      </c>
      <c r="Q2673" s="315" t="str">
        <f t="shared" si="229"/>
        <v>Admin &amp; Other</v>
      </c>
      <c r="R2673" s="315" t="str">
        <f t="shared" si="230"/>
        <v>Admin &amp; OtherOther Overheads as % of Total Gross Profit</v>
      </c>
      <c r="S2673" s="199"/>
      <c r="T2673" s="199"/>
      <c r="U2673" s="199"/>
    </row>
    <row r="2674" spans="1:21" x14ac:dyDescent="0.25">
      <c r="A2674" t="s">
        <v>996</v>
      </c>
      <c r="B2674" t="s">
        <v>997</v>
      </c>
      <c r="C2674" t="s">
        <v>997</v>
      </c>
      <c r="D2674">
        <v>7520</v>
      </c>
      <c r="E2674">
        <v>935</v>
      </c>
      <c r="F2674" t="s">
        <v>1175</v>
      </c>
      <c r="G2674" t="s">
        <v>1176</v>
      </c>
      <c r="H2674" s="315" t="s">
        <v>1023</v>
      </c>
      <c r="I2674" s="315" t="s">
        <v>1001</v>
      </c>
      <c r="J2674" s="315" t="str">
        <f t="shared" si="226"/>
        <v>LEX Admin &amp; OtherOther Overheads as % of Total Gross Profit</v>
      </c>
      <c r="K2674" s="315" t="str">
        <f t="shared" si="227"/>
        <v>935Other franchise/business expense</v>
      </c>
      <c r="L2674" s="311">
        <f>+SUMIF('TUNZ Extracted TB'!M:M,$P2674,'TUNZ Extracted TB'!G:G)</f>
        <v>0</v>
      </c>
      <c r="M2674" s="311"/>
      <c r="N2674" s="311">
        <f>+SUMIF('Input Sheet'!$AE:$AE,P2674,'Input Sheet'!$X:$X)</f>
        <v>0</v>
      </c>
      <c r="O2674" s="311"/>
      <c r="P2674" t="str">
        <f t="shared" si="228"/>
        <v>935-7520</v>
      </c>
      <c r="Q2674" s="315" t="str">
        <f t="shared" si="229"/>
        <v>LEX Admin &amp; Other</v>
      </c>
      <c r="R2674" s="315" t="str">
        <f t="shared" si="230"/>
        <v>LEX Admin &amp; OtherOther Overheads as % of Total Gross Profit</v>
      </c>
      <c r="S2674" s="199"/>
      <c r="T2674" s="199"/>
      <c r="U2674" s="199"/>
    </row>
    <row r="2675" spans="1:21" x14ac:dyDescent="0.25">
      <c r="A2675" s="316">
        <v>44866</v>
      </c>
      <c r="B2675" t="s">
        <v>997</v>
      </c>
      <c r="C2675" t="s">
        <v>997</v>
      </c>
      <c r="D2675">
        <v>7520</v>
      </c>
      <c r="E2675">
        <v>190</v>
      </c>
      <c r="G2675" t="s">
        <v>133</v>
      </c>
      <c r="H2675" s="315" t="s">
        <v>1000</v>
      </c>
      <c r="I2675" s="315" t="s">
        <v>1001</v>
      </c>
      <c r="J2675" s="315" t="str">
        <f t="shared" si="226"/>
        <v>Admin &amp; OtherOther Overheads as % of Total Gross Profit</v>
      </c>
      <c r="K2675" s="315" t="str">
        <f t="shared" si="227"/>
        <v>190Travel/Entertainment - Customer</v>
      </c>
      <c r="L2675" s="311">
        <f>+SUMIF('TUNZ Extracted TB'!M:M,$P2675,'TUNZ Extracted TB'!G:G)</f>
        <v>207.83</v>
      </c>
      <c r="M2675" s="311"/>
      <c r="N2675" s="311">
        <f>+SUMIF('Input Sheet'!$AE:$AE,P2675,'Input Sheet'!$X:$X)</f>
        <v>0</v>
      </c>
      <c r="O2675" s="311"/>
      <c r="P2675" t="str">
        <f t="shared" si="228"/>
        <v>190-7520</v>
      </c>
      <c r="Q2675" s="315" t="str">
        <f t="shared" si="229"/>
        <v>Admin &amp; Other</v>
      </c>
      <c r="R2675" s="315" t="str">
        <f t="shared" si="230"/>
        <v>Admin &amp; OtherOther Overheads as % of Total Gross Profit</v>
      </c>
      <c r="S2675" s="199"/>
      <c r="T2675" s="199"/>
      <c r="U2675" s="199"/>
    </row>
    <row r="2676" spans="1:21" x14ac:dyDescent="0.25">
      <c r="A2676" s="316">
        <v>45108</v>
      </c>
      <c r="B2676" t="s">
        <v>997</v>
      </c>
      <c r="C2676" t="s">
        <v>997</v>
      </c>
      <c r="D2676">
        <v>7520</v>
      </c>
      <c r="E2676">
        <v>150</v>
      </c>
      <c r="G2676" t="s">
        <v>133</v>
      </c>
      <c r="H2676" s="315" t="s">
        <v>1023</v>
      </c>
      <c r="I2676" s="315" t="s">
        <v>1001</v>
      </c>
      <c r="J2676" s="315" t="str">
        <f t="shared" si="226"/>
        <v>LEX Admin &amp; OtherOther Overheads as % of Total Gross Profit</v>
      </c>
      <c r="K2676" s="315" t="str">
        <f t="shared" si="227"/>
        <v>150Travel/Entertainment - Customer</v>
      </c>
      <c r="L2676" s="311">
        <f>+SUMIF('TUNZ Extracted TB'!M:M,$P2676,'TUNZ Extracted TB'!G:G)</f>
        <v>0</v>
      </c>
      <c r="M2676" s="311"/>
      <c r="N2676" s="311">
        <f>+SUMIF('Input Sheet'!$AE:$AE,P2676,'Input Sheet'!$X:$X)</f>
        <v>0</v>
      </c>
      <c r="O2676" s="311"/>
      <c r="P2676" t="str">
        <f t="shared" si="228"/>
        <v>150-7520</v>
      </c>
      <c r="Q2676" s="315" t="str">
        <f t="shared" si="229"/>
        <v>LEX Admin &amp; Other</v>
      </c>
      <c r="R2676" s="315" t="str">
        <f t="shared" si="230"/>
        <v>LEX Admin &amp; OtherOther Overheads as % of Total Gross Profit</v>
      </c>
      <c r="S2676" s="199"/>
      <c r="T2676" s="199"/>
      <c r="U2676" s="199"/>
    </row>
    <row r="2677" spans="1:21" x14ac:dyDescent="0.25">
      <c r="A2677" t="s">
        <v>996</v>
      </c>
      <c r="B2677" t="s">
        <v>997</v>
      </c>
      <c r="C2677" t="s">
        <v>997</v>
      </c>
      <c r="D2677">
        <v>7520</v>
      </c>
      <c r="E2677">
        <v>132</v>
      </c>
      <c r="F2677" t="s">
        <v>1406</v>
      </c>
      <c r="G2677" t="s">
        <v>1407</v>
      </c>
      <c r="H2677" s="315" t="s">
        <v>1023</v>
      </c>
      <c r="I2677" s="315" t="s">
        <v>1001</v>
      </c>
      <c r="J2677" s="315" t="str">
        <f t="shared" si="226"/>
        <v>LEX Admin &amp; OtherOther Overheads as % of Total Gross Profit</v>
      </c>
      <c r="K2677" s="315" t="str">
        <f t="shared" si="227"/>
        <v>132Travel expenses - Lexus</v>
      </c>
      <c r="L2677" s="311">
        <f>+SUMIF('TUNZ Extracted TB'!M:M,$P2677,'TUNZ Extracted TB'!G:G)</f>
        <v>0</v>
      </c>
      <c r="M2677" s="311"/>
      <c r="N2677" s="311">
        <f>+SUMIF('Input Sheet'!$AE:$AE,P2677,'Input Sheet'!$X:$X)</f>
        <v>0</v>
      </c>
      <c r="O2677" s="311"/>
      <c r="P2677" t="str">
        <f t="shared" si="228"/>
        <v>132-7520</v>
      </c>
      <c r="Q2677" s="315" t="str">
        <f t="shared" si="229"/>
        <v>LEX Admin &amp; Other</v>
      </c>
      <c r="R2677" s="315" t="str">
        <f t="shared" si="230"/>
        <v>LEX Admin &amp; OtherOther Overheads as % of Total Gross Profit</v>
      </c>
      <c r="S2677" s="199"/>
      <c r="T2677" s="199"/>
      <c r="U2677" s="199"/>
    </row>
    <row r="2678" spans="1:21" x14ac:dyDescent="0.25">
      <c r="A2678" t="s">
        <v>996</v>
      </c>
      <c r="B2678" t="s">
        <v>997</v>
      </c>
      <c r="C2678" t="s">
        <v>997</v>
      </c>
      <c r="D2678">
        <v>7520</v>
      </c>
      <c r="E2678">
        <v>936</v>
      </c>
      <c r="F2678" t="s">
        <v>1175</v>
      </c>
      <c r="G2678" t="s">
        <v>1176</v>
      </c>
      <c r="H2678" s="315" t="s">
        <v>1023</v>
      </c>
      <c r="I2678" s="315" t="s">
        <v>1001</v>
      </c>
      <c r="J2678" s="315" t="str">
        <f t="shared" si="226"/>
        <v>LEX Admin &amp; OtherOther Overheads as % of Total Gross Profit</v>
      </c>
      <c r="K2678" s="315" t="str">
        <f t="shared" si="227"/>
        <v>936Other franchise/business expense</v>
      </c>
      <c r="L2678" s="311">
        <f>+SUMIF('TUNZ Extracted TB'!M:M,$P2678,'TUNZ Extracted TB'!G:G)</f>
        <v>0</v>
      </c>
      <c r="M2678" s="311"/>
      <c r="N2678" s="311">
        <f>+SUMIF('Input Sheet'!$AE:$AE,P2678,'Input Sheet'!$X:$X)</f>
        <v>0</v>
      </c>
      <c r="O2678" s="311"/>
      <c r="P2678" t="str">
        <f t="shared" si="228"/>
        <v>936-7520</v>
      </c>
      <c r="Q2678" s="315" t="str">
        <f t="shared" si="229"/>
        <v>LEX Admin &amp; Other</v>
      </c>
      <c r="R2678" s="315" t="str">
        <f t="shared" si="230"/>
        <v>LEX Admin &amp; OtherOther Overheads as % of Total Gross Profit</v>
      </c>
      <c r="S2678" s="199"/>
      <c r="T2678" s="199"/>
      <c r="U2678" s="199"/>
    </row>
    <row r="2679" spans="1:21" x14ac:dyDescent="0.25">
      <c r="A2679" t="s">
        <v>996</v>
      </c>
      <c r="B2679" t="s">
        <v>997</v>
      </c>
      <c r="C2679" t="s">
        <v>997</v>
      </c>
      <c r="D2679">
        <v>7520</v>
      </c>
      <c r="E2679">
        <v>122</v>
      </c>
      <c r="F2679" t="s">
        <v>1406</v>
      </c>
      <c r="G2679" t="s">
        <v>1407</v>
      </c>
      <c r="H2679" s="315" t="s">
        <v>1023</v>
      </c>
      <c r="I2679" s="315" t="s">
        <v>1001</v>
      </c>
      <c r="J2679" s="315" t="str">
        <f t="shared" si="226"/>
        <v>LEX Admin &amp; OtherOther Overheads as % of Total Gross Profit</v>
      </c>
      <c r="K2679" s="315" t="str">
        <f t="shared" si="227"/>
        <v>122Travel expenses - Lexus</v>
      </c>
      <c r="L2679" s="311">
        <f>+SUMIF('TUNZ Extracted TB'!M:M,$P2679,'TUNZ Extracted TB'!G:G)</f>
        <v>0</v>
      </c>
      <c r="M2679" s="311"/>
      <c r="N2679" s="311">
        <f>+SUMIF('Input Sheet'!$AE:$AE,P2679,'Input Sheet'!$X:$X)</f>
        <v>0</v>
      </c>
      <c r="O2679" s="311"/>
      <c r="P2679" t="str">
        <f t="shared" si="228"/>
        <v>122-7520</v>
      </c>
      <c r="Q2679" s="315" t="str">
        <f t="shared" si="229"/>
        <v>LEX Admin &amp; Other</v>
      </c>
      <c r="R2679" s="315" t="str">
        <f t="shared" si="230"/>
        <v>LEX Admin &amp; OtherOther Overheads as % of Total Gross Profit</v>
      </c>
      <c r="S2679" s="199"/>
      <c r="T2679" s="199"/>
      <c r="U2679" s="199"/>
    </row>
    <row r="2680" spans="1:21" x14ac:dyDescent="0.25">
      <c r="A2680" t="s">
        <v>996</v>
      </c>
      <c r="B2680" t="s">
        <v>997</v>
      </c>
      <c r="C2680" t="s">
        <v>997</v>
      </c>
      <c r="D2680">
        <v>7520</v>
      </c>
      <c r="E2680">
        <v>130</v>
      </c>
      <c r="F2680" t="s">
        <v>1404</v>
      </c>
      <c r="G2680" t="s">
        <v>1405</v>
      </c>
      <c r="H2680" s="315" t="s">
        <v>1000</v>
      </c>
      <c r="I2680" s="315" t="s">
        <v>1001</v>
      </c>
      <c r="J2680" s="315" t="str">
        <f t="shared" si="226"/>
        <v>Admin &amp; OtherOther Overheads as % of Total Gross Profit</v>
      </c>
      <c r="K2680" s="315" t="str">
        <f t="shared" si="227"/>
        <v>130Travel expenses - Toyota</v>
      </c>
      <c r="L2680" s="311">
        <f>+SUMIF('TUNZ Extracted TB'!M:M,$P2680,'TUNZ Extracted TB'!G:G)</f>
        <v>664.24</v>
      </c>
      <c r="M2680" s="311"/>
      <c r="N2680" s="311">
        <f>+SUMIF('Input Sheet'!$AE:$AE,P2680,'Input Sheet'!$X:$X)</f>
        <v>0</v>
      </c>
      <c r="O2680" s="311"/>
      <c r="P2680" t="str">
        <f t="shared" si="228"/>
        <v>130-7520</v>
      </c>
      <c r="Q2680" s="315" t="str">
        <f t="shared" si="229"/>
        <v>Admin &amp; Other</v>
      </c>
      <c r="R2680" s="315" t="str">
        <f t="shared" si="230"/>
        <v>Admin &amp; OtherOther Overheads as % of Total Gross Profit</v>
      </c>
      <c r="S2680" s="199"/>
      <c r="T2680" s="199"/>
      <c r="U2680" s="199"/>
    </row>
    <row r="2681" spans="1:21" x14ac:dyDescent="0.25">
      <c r="A2681" t="s">
        <v>996</v>
      </c>
      <c r="B2681" t="s">
        <v>997</v>
      </c>
      <c r="C2681" t="s">
        <v>997</v>
      </c>
      <c r="D2681">
        <v>7520</v>
      </c>
      <c r="E2681">
        <v>140</v>
      </c>
      <c r="F2681" t="s">
        <v>1404</v>
      </c>
      <c r="G2681" t="s">
        <v>1405</v>
      </c>
      <c r="H2681" s="315" t="s">
        <v>1000</v>
      </c>
      <c r="I2681" s="315" t="s">
        <v>1001</v>
      </c>
      <c r="J2681" s="315" t="str">
        <f t="shared" si="226"/>
        <v>Admin &amp; OtherOther Overheads as % of Total Gross Profit</v>
      </c>
      <c r="K2681" s="315" t="str">
        <f t="shared" si="227"/>
        <v>140Travel expenses - Toyota</v>
      </c>
      <c r="L2681" s="311">
        <f>+SUMIF('TUNZ Extracted TB'!M:M,$P2681,'TUNZ Extracted TB'!G:G)</f>
        <v>248.58</v>
      </c>
      <c r="M2681" s="311"/>
      <c r="N2681" s="311">
        <f>+SUMIF('Input Sheet'!$AE:$AE,P2681,'Input Sheet'!$X:$X)</f>
        <v>0</v>
      </c>
      <c r="O2681" s="311"/>
      <c r="P2681" t="str">
        <f t="shared" si="228"/>
        <v>140-7520</v>
      </c>
      <c r="Q2681" s="315" t="str">
        <f t="shared" si="229"/>
        <v>Admin &amp; Other</v>
      </c>
      <c r="R2681" s="315" t="str">
        <f t="shared" si="230"/>
        <v>Admin &amp; OtherOther Overheads as % of Total Gross Profit</v>
      </c>
      <c r="S2681" s="199"/>
      <c r="T2681" s="199"/>
      <c r="U2681" s="199"/>
    </row>
    <row r="2682" spans="1:21" x14ac:dyDescent="0.25">
      <c r="A2682" t="s">
        <v>996</v>
      </c>
      <c r="B2682" t="s">
        <v>997</v>
      </c>
      <c r="C2682" t="s">
        <v>997</v>
      </c>
      <c r="D2682">
        <v>7520</v>
      </c>
      <c r="E2682">
        <v>162</v>
      </c>
      <c r="F2682" t="s">
        <v>1406</v>
      </c>
      <c r="G2682" t="s">
        <v>1407</v>
      </c>
      <c r="H2682" s="315" t="s">
        <v>1023</v>
      </c>
      <c r="I2682" s="315" t="s">
        <v>1001</v>
      </c>
      <c r="J2682" s="315" t="str">
        <f t="shared" si="226"/>
        <v>LEX Admin &amp; OtherOther Overheads as % of Total Gross Profit</v>
      </c>
      <c r="K2682" s="315" t="str">
        <f t="shared" si="227"/>
        <v>162Travel expenses - Lexus</v>
      </c>
      <c r="L2682" s="311">
        <f>+SUMIF('TUNZ Extracted TB'!M:M,$P2682,'TUNZ Extracted TB'!G:G)</f>
        <v>0</v>
      </c>
      <c r="M2682" s="311"/>
      <c r="N2682" s="311">
        <f>+SUMIF('Input Sheet'!$AE:$AE,P2682,'Input Sheet'!$X:$X)</f>
        <v>0</v>
      </c>
      <c r="O2682" s="311"/>
      <c r="P2682" t="str">
        <f t="shared" si="228"/>
        <v>162-7520</v>
      </c>
      <c r="Q2682" s="315" t="str">
        <f t="shared" si="229"/>
        <v>LEX Admin &amp; Other</v>
      </c>
      <c r="R2682" s="315" t="str">
        <f t="shared" si="230"/>
        <v>LEX Admin &amp; OtherOther Overheads as % of Total Gross Profit</v>
      </c>
      <c r="S2682" s="199"/>
      <c r="T2682" s="199"/>
      <c r="U2682" s="199"/>
    </row>
    <row r="2683" spans="1:21" x14ac:dyDescent="0.25">
      <c r="A2683" t="s">
        <v>996</v>
      </c>
      <c r="B2683" t="s">
        <v>997</v>
      </c>
      <c r="C2683" t="s">
        <v>997</v>
      </c>
      <c r="D2683">
        <v>7520</v>
      </c>
      <c r="E2683">
        <v>120</v>
      </c>
      <c r="F2683" t="s">
        <v>1404</v>
      </c>
      <c r="G2683" t="s">
        <v>1405</v>
      </c>
      <c r="H2683" s="315" t="s">
        <v>1000</v>
      </c>
      <c r="I2683" s="315" t="s">
        <v>1001</v>
      </c>
      <c r="J2683" s="315" t="str">
        <f t="shared" si="226"/>
        <v>Admin &amp; OtherOther Overheads as % of Total Gross Profit</v>
      </c>
      <c r="K2683" s="315" t="str">
        <f t="shared" si="227"/>
        <v>120Travel expenses - Toyota</v>
      </c>
      <c r="L2683" s="311">
        <f>+SUMIF('TUNZ Extracted TB'!M:M,$P2683,'TUNZ Extracted TB'!G:G)</f>
        <v>298.38</v>
      </c>
      <c r="M2683" s="311"/>
      <c r="N2683" s="311">
        <f>+SUMIF('Input Sheet'!$AE:$AE,P2683,'Input Sheet'!$X:$X)</f>
        <v>0</v>
      </c>
      <c r="O2683" s="311"/>
      <c r="P2683" t="str">
        <f t="shared" si="228"/>
        <v>120-7520</v>
      </c>
      <c r="Q2683" s="315" t="str">
        <f t="shared" si="229"/>
        <v>Admin &amp; Other</v>
      </c>
      <c r="R2683" s="315" t="str">
        <f t="shared" si="230"/>
        <v>Admin &amp; OtherOther Overheads as % of Total Gross Profit</v>
      </c>
      <c r="S2683" s="199"/>
      <c r="T2683" s="199"/>
      <c r="U2683" s="199"/>
    </row>
    <row r="2684" spans="1:21" x14ac:dyDescent="0.25">
      <c r="A2684" t="s">
        <v>996</v>
      </c>
      <c r="B2684" t="s">
        <v>997</v>
      </c>
      <c r="C2684" t="s">
        <v>997</v>
      </c>
      <c r="D2684">
        <v>7520</v>
      </c>
      <c r="E2684">
        <v>142</v>
      </c>
      <c r="F2684" t="s">
        <v>1406</v>
      </c>
      <c r="G2684" t="s">
        <v>1407</v>
      </c>
      <c r="H2684" s="315" t="s">
        <v>1023</v>
      </c>
      <c r="I2684" s="315" t="s">
        <v>1001</v>
      </c>
      <c r="J2684" s="315" t="str">
        <f t="shared" si="226"/>
        <v>LEX Admin &amp; OtherOther Overheads as % of Total Gross Profit</v>
      </c>
      <c r="K2684" s="315" t="str">
        <f t="shared" si="227"/>
        <v>142Travel expenses - Lexus</v>
      </c>
      <c r="L2684" s="311">
        <f>+SUMIF('TUNZ Extracted TB'!M:M,$P2684,'TUNZ Extracted TB'!G:G)</f>
        <v>0</v>
      </c>
      <c r="M2684" s="311"/>
      <c r="N2684" s="311">
        <f>+SUMIF('Input Sheet'!$AE:$AE,P2684,'Input Sheet'!$X:$X)</f>
        <v>0</v>
      </c>
      <c r="O2684" s="311"/>
      <c r="P2684" t="str">
        <f t="shared" si="228"/>
        <v>142-7520</v>
      </c>
      <c r="Q2684" s="315" t="str">
        <f t="shared" si="229"/>
        <v>LEX Admin &amp; Other</v>
      </c>
      <c r="R2684" s="315" t="str">
        <f t="shared" si="230"/>
        <v>LEX Admin &amp; OtherOther Overheads as % of Total Gross Profit</v>
      </c>
      <c r="S2684" s="199"/>
      <c r="T2684" s="199"/>
      <c r="U2684" s="199"/>
    </row>
    <row r="2685" spans="1:21" x14ac:dyDescent="0.25">
      <c r="A2685" t="s">
        <v>996</v>
      </c>
      <c r="B2685" t="s">
        <v>997</v>
      </c>
      <c r="C2685" t="s">
        <v>1005</v>
      </c>
      <c r="D2685">
        <v>7520</v>
      </c>
      <c r="E2685">
        <v>210</v>
      </c>
      <c r="F2685" t="s">
        <v>1404</v>
      </c>
      <c r="G2685" t="s">
        <v>1405</v>
      </c>
      <c r="H2685" s="315" t="s">
        <v>1000</v>
      </c>
      <c r="I2685" s="315" t="s">
        <v>1001</v>
      </c>
      <c r="J2685" s="315" t="str">
        <f t="shared" si="226"/>
        <v>Admin &amp; OtherOther Overheads as % of Total Gross Profit</v>
      </c>
      <c r="K2685" s="315" t="str">
        <f t="shared" si="227"/>
        <v>210Travel expenses - Toyota</v>
      </c>
      <c r="L2685" s="311">
        <f>+SUMIF('TUNZ Extracted TB'!M:M,$P2685,'TUNZ Extracted TB'!G:G)</f>
        <v>248.58</v>
      </c>
      <c r="M2685" s="311"/>
      <c r="N2685" s="311">
        <f>+SUMIF('Input Sheet'!$AE:$AE,P2685,'Input Sheet'!$X:$X)</f>
        <v>0</v>
      </c>
      <c r="O2685" s="311"/>
      <c r="P2685" t="str">
        <f t="shared" si="228"/>
        <v>210-7520</v>
      </c>
      <c r="Q2685" s="315" t="str">
        <f t="shared" si="229"/>
        <v>Admin &amp; Other</v>
      </c>
      <c r="R2685" s="315" t="str">
        <f t="shared" si="230"/>
        <v>Admin &amp; OtherOther Overheads as % of Total Gross Profit</v>
      </c>
      <c r="S2685" s="199"/>
      <c r="T2685" s="199"/>
      <c r="U2685" s="199"/>
    </row>
    <row r="2686" spans="1:21" x14ac:dyDescent="0.25">
      <c r="A2686" t="s">
        <v>996</v>
      </c>
      <c r="B2686" t="s">
        <v>997</v>
      </c>
      <c r="C2686" t="s">
        <v>1005</v>
      </c>
      <c r="D2686">
        <v>7520</v>
      </c>
      <c r="E2686">
        <v>240</v>
      </c>
      <c r="F2686" t="s">
        <v>1404</v>
      </c>
      <c r="G2686" t="s">
        <v>1405</v>
      </c>
      <c r="H2686" s="315" t="s">
        <v>1000</v>
      </c>
      <c r="I2686" s="315" t="s">
        <v>1001</v>
      </c>
      <c r="J2686" s="315" t="str">
        <f t="shared" si="226"/>
        <v>Admin &amp; OtherOther Overheads as % of Total Gross Profit</v>
      </c>
      <c r="K2686" s="315" t="str">
        <f t="shared" si="227"/>
        <v>240Travel expenses - Toyota</v>
      </c>
      <c r="L2686" s="311">
        <f>+SUMIF('TUNZ Extracted TB'!M:M,$P2686,'TUNZ Extracted TB'!G:G)</f>
        <v>248.58</v>
      </c>
      <c r="M2686" s="311"/>
      <c r="N2686" s="311">
        <f>+SUMIF('Input Sheet'!$AE:$AE,P2686,'Input Sheet'!$X:$X)</f>
        <v>0</v>
      </c>
      <c r="O2686" s="311"/>
      <c r="P2686" t="str">
        <f t="shared" si="228"/>
        <v>240-7520</v>
      </c>
      <c r="Q2686" s="315" t="str">
        <f t="shared" si="229"/>
        <v>Admin &amp; Other</v>
      </c>
      <c r="R2686" s="315" t="str">
        <f t="shared" si="230"/>
        <v>Admin &amp; OtherOther Overheads as % of Total Gross Profit</v>
      </c>
      <c r="S2686" s="199"/>
      <c r="T2686" s="199"/>
      <c r="U2686" s="199"/>
    </row>
    <row r="2687" spans="1:21" x14ac:dyDescent="0.25">
      <c r="A2687" t="s">
        <v>996</v>
      </c>
      <c r="B2687" t="s">
        <v>997</v>
      </c>
      <c r="C2687" t="s">
        <v>1005</v>
      </c>
      <c r="D2687">
        <v>7520</v>
      </c>
      <c r="E2687">
        <v>230</v>
      </c>
      <c r="F2687" t="s">
        <v>1404</v>
      </c>
      <c r="G2687" t="s">
        <v>1405</v>
      </c>
      <c r="H2687" s="315" t="s">
        <v>1000</v>
      </c>
      <c r="I2687" s="315" t="s">
        <v>1001</v>
      </c>
      <c r="J2687" s="315" t="str">
        <f t="shared" si="226"/>
        <v>Admin &amp; OtherOther Overheads as % of Total Gross Profit</v>
      </c>
      <c r="K2687" s="315" t="str">
        <f t="shared" si="227"/>
        <v>230Travel expenses - Toyota</v>
      </c>
      <c r="L2687" s="311">
        <f>+SUMIF('TUNZ Extracted TB'!M:M,$P2687,'TUNZ Extracted TB'!G:G)</f>
        <v>880.07</v>
      </c>
      <c r="M2687" s="311"/>
      <c r="N2687" s="311">
        <f>+SUMIF('Input Sheet'!$AE:$AE,P2687,'Input Sheet'!$X:$X)</f>
        <v>0</v>
      </c>
      <c r="O2687" s="311"/>
      <c r="P2687" t="str">
        <f t="shared" si="228"/>
        <v>230-7520</v>
      </c>
      <c r="Q2687" s="315" t="str">
        <f t="shared" si="229"/>
        <v>Admin &amp; Other</v>
      </c>
      <c r="R2687" s="315" t="str">
        <f t="shared" si="230"/>
        <v>Admin &amp; OtherOther Overheads as % of Total Gross Profit</v>
      </c>
      <c r="S2687" s="199"/>
      <c r="T2687" s="199"/>
      <c r="U2687" s="199"/>
    </row>
    <row r="2688" spans="1:21" x14ac:dyDescent="0.25">
      <c r="A2688" t="s">
        <v>996</v>
      </c>
      <c r="B2688" t="s">
        <v>997</v>
      </c>
      <c r="C2688" t="s">
        <v>1005</v>
      </c>
      <c r="D2688">
        <v>7520</v>
      </c>
      <c r="E2688">
        <v>220</v>
      </c>
      <c r="F2688" t="s">
        <v>1404</v>
      </c>
      <c r="G2688" t="s">
        <v>1405</v>
      </c>
      <c r="H2688" s="315" t="s">
        <v>1000</v>
      </c>
      <c r="I2688" s="315" t="s">
        <v>1001</v>
      </c>
      <c r="J2688" s="315" t="str">
        <f t="shared" si="226"/>
        <v>Admin &amp; OtherOther Overheads as % of Total Gross Profit</v>
      </c>
      <c r="K2688" s="315" t="str">
        <f t="shared" si="227"/>
        <v>220Travel expenses - Toyota</v>
      </c>
      <c r="L2688" s="311">
        <f>+SUMIF('TUNZ Extracted TB'!M:M,$P2688,'TUNZ Extracted TB'!G:G)</f>
        <v>1994.23</v>
      </c>
      <c r="M2688" s="311"/>
      <c r="N2688" s="311">
        <f>+SUMIF('Input Sheet'!$AE:$AE,P2688,'Input Sheet'!$X:$X)</f>
        <v>0</v>
      </c>
      <c r="O2688" s="311"/>
      <c r="P2688" t="str">
        <f t="shared" si="228"/>
        <v>220-7520</v>
      </c>
      <c r="Q2688" s="315" t="str">
        <f t="shared" si="229"/>
        <v>Admin &amp; Other</v>
      </c>
      <c r="R2688" s="315" t="str">
        <f t="shared" si="230"/>
        <v>Admin &amp; OtherOther Overheads as % of Total Gross Profit</v>
      </c>
      <c r="S2688" s="199"/>
      <c r="T2688" s="199"/>
      <c r="U2688" s="199"/>
    </row>
    <row r="2689" spans="1:21" x14ac:dyDescent="0.25">
      <c r="A2689" t="s">
        <v>996</v>
      </c>
      <c r="B2689" t="s">
        <v>997</v>
      </c>
      <c r="C2689" t="s">
        <v>997</v>
      </c>
      <c r="D2689">
        <v>7520</v>
      </c>
      <c r="E2689">
        <v>160</v>
      </c>
      <c r="F2689" t="s">
        <v>1404</v>
      </c>
      <c r="G2689" t="s">
        <v>1405</v>
      </c>
      <c r="H2689" s="315" t="s">
        <v>1000</v>
      </c>
      <c r="I2689" s="315" t="s">
        <v>1001</v>
      </c>
      <c r="J2689" s="315" t="str">
        <f t="shared" si="226"/>
        <v>Admin &amp; OtherOther Overheads as % of Total Gross Profit</v>
      </c>
      <c r="K2689" s="315" t="str">
        <f t="shared" si="227"/>
        <v>160Travel expenses - Toyota</v>
      </c>
      <c r="L2689" s="311">
        <f>+SUMIF('TUNZ Extracted TB'!M:M,$P2689,'TUNZ Extracted TB'!G:G)</f>
        <v>86.96</v>
      </c>
      <c r="M2689" s="311"/>
      <c r="N2689" s="311">
        <f>+SUMIF('Input Sheet'!$AE:$AE,P2689,'Input Sheet'!$X:$X)</f>
        <v>0</v>
      </c>
      <c r="O2689" s="311"/>
      <c r="P2689" t="str">
        <f t="shared" si="228"/>
        <v>160-7520</v>
      </c>
      <c r="Q2689" s="315" t="str">
        <f t="shared" si="229"/>
        <v>Admin &amp; Other</v>
      </c>
      <c r="R2689" s="315" t="str">
        <f t="shared" si="230"/>
        <v>Admin &amp; OtherOther Overheads as % of Total Gross Profit</v>
      </c>
      <c r="S2689" s="199"/>
      <c r="T2689" s="199"/>
      <c r="U2689" s="199"/>
    </row>
    <row r="2690" spans="1:21" x14ac:dyDescent="0.25">
      <c r="A2690" t="s">
        <v>996</v>
      </c>
      <c r="B2690" t="s">
        <v>997</v>
      </c>
      <c r="C2690" t="s">
        <v>1013</v>
      </c>
      <c r="D2690">
        <v>7520</v>
      </c>
      <c r="E2690">
        <v>340</v>
      </c>
      <c r="F2690" t="s">
        <v>1404</v>
      </c>
      <c r="G2690" t="s">
        <v>1405</v>
      </c>
      <c r="H2690" s="315" t="s">
        <v>1000</v>
      </c>
      <c r="I2690" s="315" t="s">
        <v>1001</v>
      </c>
      <c r="J2690" s="315" t="str">
        <f t="shared" si="226"/>
        <v>Admin &amp; OtherOther Overheads as % of Total Gross Profit</v>
      </c>
      <c r="K2690" s="315" t="str">
        <f t="shared" si="227"/>
        <v>340Travel expenses - Toyota</v>
      </c>
      <c r="L2690" s="311">
        <f>+SUMIF('TUNZ Extracted TB'!M:M,$P2690,'TUNZ Extracted TB'!G:G)</f>
        <v>161.62</v>
      </c>
      <c r="M2690" s="311"/>
      <c r="N2690" s="311">
        <f>+SUMIF('Input Sheet'!$AE:$AE,P2690,'Input Sheet'!$X:$X)</f>
        <v>0</v>
      </c>
      <c r="O2690" s="311"/>
      <c r="P2690" t="str">
        <f t="shared" si="228"/>
        <v>340-7520</v>
      </c>
      <c r="Q2690" s="315" t="str">
        <f t="shared" si="229"/>
        <v>Admin &amp; Other</v>
      </c>
      <c r="R2690" s="315" t="str">
        <f t="shared" si="230"/>
        <v>Admin &amp; OtherOther Overheads as % of Total Gross Profit</v>
      </c>
      <c r="S2690" s="199"/>
      <c r="T2690" s="199"/>
      <c r="U2690" s="199"/>
    </row>
    <row r="2691" spans="1:21" x14ac:dyDescent="0.25">
      <c r="A2691" t="s">
        <v>996</v>
      </c>
      <c r="B2691" t="s">
        <v>997</v>
      </c>
      <c r="C2691" t="s">
        <v>1012</v>
      </c>
      <c r="D2691">
        <v>7520</v>
      </c>
      <c r="E2691">
        <v>440</v>
      </c>
      <c r="F2691" t="s">
        <v>1404</v>
      </c>
      <c r="G2691" t="s">
        <v>1405</v>
      </c>
      <c r="H2691" s="315" t="s">
        <v>1000</v>
      </c>
      <c r="I2691" s="315" t="s">
        <v>1001</v>
      </c>
      <c r="J2691" s="315" t="str">
        <f t="shared" ref="J2691:J2754" si="231">+H2691&amp;I2691</f>
        <v>Admin &amp; OtherOther Overheads as % of Total Gross Profit</v>
      </c>
      <c r="K2691" s="315" t="str">
        <f t="shared" ref="K2691:K2754" si="232">+E2691&amp;G2691</f>
        <v>440Travel expenses - Toyota</v>
      </c>
      <c r="L2691" s="311">
        <f>+SUMIF('TUNZ Extracted TB'!M:M,$P2691,'TUNZ Extracted TB'!G:G)</f>
        <v>0</v>
      </c>
      <c r="M2691" s="311"/>
      <c r="N2691" s="311">
        <f>+SUMIF('Input Sheet'!$AE:$AE,P2691,'Input Sheet'!$X:$X)</f>
        <v>0</v>
      </c>
      <c r="O2691" s="311"/>
      <c r="P2691" t="str">
        <f t="shared" ref="P2691:P2754" si="233">+E2691&amp;"-"&amp;D2691</f>
        <v>440-7520</v>
      </c>
      <c r="Q2691" s="315" t="str">
        <f t="shared" ref="Q2691:Q2754" si="234">H2691</f>
        <v>Admin &amp; Other</v>
      </c>
      <c r="R2691" s="315" t="str">
        <f t="shared" ref="R2691:R2754" si="235">J2691</f>
        <v>Admin &amp; OtherOther Overheads as % of Total Gross Profit</v>
      </c>
      <c r="S2691" s="199"/>
      <c r="T2691" s="199"/>
      <c r="U2691" s="199"/>
    </row>
    <row r="2692" spans="1:21" x14ac:dyDescent="0.25">
      <c r="A2692" t="s">
        <v>996</v>
      </c>
      <c r="B2692" t="s">
        <v>997</v>
      </c>
      <c r="C2692" t="s">
        <v>997</v>
      </c>
      <c r="D2692">
        <v>7520</v>
      </c>
      <c r="E2692">
        <v>147</v>
      </c>
      <c r="F2692" t="s">
        <v>1404</v>
      </c>
      <c r="G2692" t="s">
        <v>1405</v>
      </c>
      <c r="H2692" s="315" t="s">
        <v>1000</v>
      </c>
      <c r="I2692" s="315" t="s">
        <v>1001</v>
      </c>
      <c r="J2692" s="315" t="str">
        <f t="shared" si="231"/>
        <v>Admin &amp; OtherOther Overheads as % of Total Gross Profit</v>
      </c>
      <c r="K2692" s="315" t="str">
        <f t="shared" si="232"/>
        <v>147Travel expenses - Toyota</v>
      </c>
      <c r="L2692" s="311">
        <f>+SUMIF('TUNZ Extracted TB'!M:M,$P2692,'TUNZ Extracted TB'!G:G)</f>
        <v>0</v>
      </c>
      <c r="M2692" s="311"/>
      <c r="N2692" s="311">
        <f>+SUMIF('Input Sheet'!$AE:$AE,P2692,'Input Sheet'!$X:$X)</f>
        <v>0</v>
      </c>
      <c r="O2692" s="311"/>
      <c r="P2692" t="str">
        <f t="shared" si="233"/>
        <v>147-7520</v>
      </c>
      <c r="Q2692" s="315" t="str">
        <f t="shared" si="234"/>
        <v>Admin &amp; Other</v>
      </c>
      <c r="R2692" s="315" t="str">
        <f t="shared" si="235"/>
        <v>Admin &amp; OtherOther Overheads as % of Total Gross Profit</v>
      </c>
      <c r="S2692" s="199"/>
      <c r="T2692" s="199"/>
      <c r="U2692" s="199"/>
    </row>
    <row r="2693" spans="1:21" x14ac:dyDescent="0.25">
      <c r="A2693" t="s">
        <v>996</v>
      </c>
      <c r="B2693" t="s">
        <v>997</v>
      </c>
      <c r="C2693" t="s">
        <v>1012</v>
      </c>
      <c r="D2693">
        <v>7520</v>
      </c>
      <c r="E2693">
        <v>430</v>
      </c>
      <c r="F2693" t="s">
        <v>1404</v>
      </c>
      <c r="G2693" t="s">
        <v>1405</v>
      </c>
      <c r="H2693" s="315" t="s">
        <v>1000</v>
      </c>
      <c r="I2693" s="315" t="s">
        <v>1001</v>
      </c>
      <c r="J2693" s="315" t="str">
        <f t="shared" si="231"/>
        <v>Admin &amp; OtherOther Overheads as % of Total Gross Profit</v>
      </c>
      <c r="K2693" s="315" t="str">
        <f t="shared" si="232"/>
        <v>430Travel expenses - Toyota</v>
      </c>
      <c r="L2693" s="311">
        <f>+SUMIF('TUNZ Extracted TB'!M:M,$P2693,'TUNZ Extracted TB'!G:G)</f>
        <v>0</v>
      </c>
      <c r="M2693" s="311"/>
      <c r="N2693" s="311">
        <f>+SUMIF('Input Sheet'!$AE:$AE,P2693,'Input Sheet'!$X:$X)</f>
        <v>0</v>
      </c>
      <c r="O2693" s="311"/>
      <c r="P2693" t="str">
        <f t="shared" si="233"/>
        <v>430-7520</v>
      </c>
      <c r="Q2693" s="315" t="str">
        <f t="shared" si="234"/>
        <v>Admin &amp; Other</v>
      </c>
      <c r="R2693" s="315" t="str">
        <f t="shared" si="235"/>
        <v>Admin &amp; OtherOther Overheads as % of Total Gross Profit</v>
      </c>
      <c r="S2693" s="199"/>
      <c r="T2693" s="199"/>
      <c r="U2693" s="199"/>
    </row>
    <row r="2694" spans="1:21" x14ac:dyDescent="0.25">
      <c r="A2694" t="s">
        <v>996</v>
      </c>
      <c r="B2694" t="s">
        <v>997</v>
      </c>
      <c r="C2694" t="s">
        <v>1013</v>
      </c>
      <c r="D2694">
        <v>7520</v>
      </c>
      <c r="E2694">
        <v>330</v>
      </c>
      <c r="F2694" t="s">
        <v>1404</v>
      </c>
      <c r="G2694" t="s">
        <v>1405</v>
      </c>
      <c r="H2694" s="315" t="s">
        <v>1000</v>
      </c>
      <c r="I2694" s="315" t="s">
        <v>1001</v>
      </c>
      <c r="J2694" s="315" t="str">
        <f t="shared" si="231"/>
        <v>Admin &amp; OtherOther Overheads as % of Total Gross Profit</v>
      </c>
      <c r="K2694" s="315" t="str">
        <f t="shared" si="232"/>
        <v>330Travel expenses - Toyota</v>
      </c>
      <c r="L2694" s="311">
        <f>+SUMIF('TUNZ Extracted TB'!M:M,$P2694,'TUNZ Extracted TB'!G:G)</f>
        <v>161.68</v>
      </c>
      <c r="M2694" s="311"/>
      <c r="N2694" s="311">
        <f>+SUMIF('Input Sheet'!$AE:$AE,P2694,'Input Sheet'!$X:$X)</f>
        <v>0</v>
      </c>
      <c r="O2694" s="311"/>
      <c r="P2694" t="str">
        <f t="shared" si="233"/>
        <v>330-7520</v>
      </c>
      <c r="Q2694" s="315" t="str">
        <f t="shared" si="234"/>
        <v>Admin &amp; Other</v>
      </c>
      <c r="R2694" s="315" t="str">
        <f t="shared" si="235"/>
        <v>Admin &amp; OtherOther Overheads as % of Total Gross Profit</v>
      </c>
      <c r="S2694" s="199"/>
      <c r="T2694" s="199"/>
      <c r="U2694" s="199"/>
    </row>
    <row r="2695" spans="1:21" x14ac:dyDescent="0.25">
      <c r="A2695" t="s">
        <v>996</v>
      </c>
      <c r="B2695" t="s">
        <v>997</v>
      </c>
      <c r="C2695" t="s">
        <v>997</v>
      </c>
      <c r="D2695">
        <v>7520</v>
      </c>
      <c r="E2695">
        <v>121</v>
      </c>
      <c r="F2695" t="s">
        <v>1404</v>
      </c>
      <c r="G2695" t="s">
        <v>1405</v>
      </c>
      <c r="H2695" s="315" t="s">
        <v>1000</v>
      </c>
      <c r="I2695" s="315" t="s">
        <v>1001</v>
      </c>
      <c r="J2695" s="315" t="str">
        <f t="shared" si="231"/>
        <v>Admin &amp; OtherOther Overheads as % of Total Gross Profit</v>
      </c>
      <c r="K2695" s="315" t="str">
        <f t="shared" si="232"/>
        <v>121Travel expenses - Toyota</v>
      </c>
      <c r="L2695" s="311">
        <f>+SUMIF('TUNZ Extracted TB'!M:M,$P2695,'TUNZ Extracted TB'!G:G)</f>
        <v>0</v>
      </c>
      <c r="M2695" s="311"/>
      <c r="N2695" s="311">
        <f>+SUMIF('Input Sheet'!$AE:$AE,P2695,'Input Sheet'!$X:$X)</f>
        <v>0</v>
      </c>
      <c r="O2695" s="311"/>
      <c r="P2695" t="str">
        <f t="shared" si="233"/>
        <v>121-7520</v>
      </c>
      <c r="Q2695" s="315" t="str">
        <f t="shared" si="234"/>
        <v>Admin &amp; Other</v>
      </c>
      <c r="R2695" s="315" t="str">
        <f t="shared" si="235"/>
        <v>Admin &amp; OtherOther Overheads as % of Total Gross Profit</v>
      </c>
      <c r="S2695" s="199"/>
      <c r="T2695" s="199"/>
      <c r="U2695" s="199"/>
    </row>
    <row r="2696" spans="1:21" x14ac:dyDescent="0.25">
      <c r="A2696" t="s">
        <v>996</v>
      </c>
      <c r="B2696" t="s">
        <v>997</v>
      </c>
      <c r="C2696" t="s">
        <v>1005</v>
      </c>
      <c r="D2696">
        <v>7520</v>
      </c>
      <c r="E2696">
        <v>260</v>
      </c>
      <c r="F2696" t="s">
        <v>1404</v>
      </c>
      <c r="G2696" t="s">
        <v>1405</v>
      </c>
      <c r="H2696" s="315" t="s">
        <v>1000</v>
      </c>
      <c r="I2696" s="315" t="s">
        <v>1001</v>
      </c>
      <c r="J2696" s="315" t="str">
        <f t="shared" si="231"/>
        <v>Admin &amp; OtherOther Overheads as % of Total Gross Profit</v>
      </c>
      <c r="K2696" s="315" t="str">
        <f t="shared" si="232"/>
        <v>260Travel expenses - Toyota</v>
      </c>
      <c r="L2696" s="311">
        <f>+SUMIF('TUNZ Extracted TB'!M:M,$P2696,'TUNZ Extracted TB'!G:G)</f>
        <v>0</v>
      </c>
      <c r="M2696" s="311"/>
      <c r="N2696" s="311">
        <f>+SUMIF('Input Sheet'!$AE:$AE,P2696,'Input Sheet'!$X:$X)</f>
        <v>0</v>
      </c>
      <c r="O2696" s="311"/>
      <c r="P2696" t="str">
        <f t="shared" si="233"/>
        <v>260-7520</v>
      </c>
      <c r="Q2696" s="315" t="str">
        <f t="shared" si="234"/>
        <v>Admin &amp; Other</v>
      </c>
      <c r="R2696" s="315" t="str">
        <f t="shared" si="235"/>
        <v>Admin &amp; OtherOther Overheads as % of Total Gross Profit</v>
      </c>
      <c r="S2696" s="199"/>
      <c r="T2696" s="199"/>
      <c r="U2696" s="199"/>
    </row>
    <row r="2697" spans="1:21" x14ac:dyDescent="0.25">
      <c r="A2697" t="s">
        <v>996</v>
      </c>
      <c r="B2697" t="s">
        <v>997</v>
      </c>
      <c r="C2697" t="s">
        <v>1005</v>
      </c>
      <c r="D2697">
        <v>7520</v>
      </c>
      <c r="E2697">
        <v>200</v>
      </c>
      <c r="F2697" t="s">
        <v>1404</v>
      </c>
      <c r="G2697" t="s">
        <v>1405</v>
      </c>
      <c r="H2697" s="315" t="s">
        <v>1000</v>
      </c>
      <c r="I2697" s="315" t="s">
        <v>1001</v>
      </c>
      <c r="J2697" s="315" t="str">
        <f t="shared" si="231"/>
        <v>Admin &amp; OtherOther Overheads as % of Total Gross Profit</v>
      </c>
      <c r="K2697" s="315" t="str">
        <f t="shared" si="232"/>
        <v>200Travel expenses - Toyota</v>
      </c>
      <c r="L2697" s="311">
        <f>+SUMIF('TUNZ Extracted TB'!M:M,$P2697,'TUNZ Extracted TB'!G:G)</f>
        <v>0</v>
      </c>
      <c r="M2697" s="311"/>
      <c r="N2697" s="311">
        <f>+SUMIF('Input Sheet'!$AE:$AE,P2697,'Input Sheet'!$X:$X)</f>
        <v>0</v>
      </c>
      <c r="O2697" s="311"/>
      <c r="P2697" t="str">
        <f t="shared" si="233"/>
        <v>200-7520</v>
      </c>
      <c r="Q2697" s="315" t="str">
        <f t="shared" si="234"/>
        <v>Admin &amp; Other</v>
      </c>
      <c r="R2697" s="315" t="str">
        <f t="shared" si="235"/>
        <v>Admin &amp; OtherOther Overheads as % of Total Gross Profit</v>
      </c>
      <c r="S2697" s="199"/>
      <c r="T2697" s="199"/>
      <c r="U2697" s="199"/>
    </row>
    <row r="2698" spans="1:21" x14ac:dyDescent="0.25">
      <c r="A2698" t="s">
        <v>996</v>
      </c>
      <c r="B2698" t="s">
        <v>997</v>
      </c>
      <c r="C2698" t="s">
        <v>1005</v>
      </c>
      <c r="D2698">
        <v>7520</v>
      </c>
      <c r="E2698">
        <v>221</v>
      </c>
      <c r="F2698" t="s">
        <v>1404</v>
      </c>
      <c r="G2698" t="s">
        <v>1405</v>
      </c>
      <c r="H2698" s="315" t="s">
        <v>1000</v>
      </c>
      <c r="I2698" s="315" t="s">
        <v>1001</v>
      </c>
      <c r="J2698" s="315" t="str">
        <f t="shared" si="231"/>
        <v>Admin &amp; OtherOther Overheads as % of Total Gross Profit</v>
      </c>
      <c r="K2698" s="315" t="str">
        <f t="shared" si="232"/>
        <v>221Travel expenses - Toyota</v>
      </c>
      <c r="L2698" s="311">
        <f>+SUMIF('TUNZ Extracted TB'!M:M,$P2698,'TUNZ Extracted TB'!G:G)</f>
        <v>0</v>
      </c>
      <c r="M2698" s="311"/>
      <c r="N2698" s="311">
        <f>+SUMIF('Input Sheet'!$AE:$AE,P2698,'Input Sheet'!$X:$X)</f>
        <v>0</v>
      </c>
      <c r="O2698" s="311"/>
      <c r="P2698" t="str">
        <f t="shared" si="233"/>
        <v>221-7520</v>
      </c>
      <c r="Q2698" s="315" t="str">
        <f t="shared" si="234"/>
        <v>Admin &amp; Other</v>
      </c>
      <c r="R2698" s="315" t="str">
        <f t="shared" si="235"/>
        <v>Admin &amp; OtherOther Overheads as % of Total Gross Profit</v>
      </c>
      <c r="S2698" s="199"/>
      <c r="T2698" s="199"/>
      <c r="U2698" s="199"/>
    </row>
    <row r="2699" spans="1:21" x14ac:dyDescent="0.25">
      <c r="A2699" t="s">
        <v>996</v>
      </c>
      <c r="B2699" t="s">
        <v>997</v>
      </c>
      <c r="C2699" t="s">
        <v>1012</v>
      </c>
      <c r="D2699">
        <v>7520</v>
      </c>
      <c r="E2699">
        <v>400</v>
      </c>
      <c r="F2699" t="s">
        <v>1404</v>
      </c>
      <c r="G2699" t="s">
        <v>1405</v>
      </c>
      <c r="H2699" s="315" t="s">
        <v>1000</v>
      </c>
      <c r="I2699" s="315" t="s">
        <v>1001</v>
      </c>
      <c r="J2699" s="315" t="str">
        <f t="shared" si="231"/>
        <v>Admin &amp; OtherOther Overheads as % of Total Gross Profit</v>
      </c>
      <c r="K2699" s="315" t="str">
        <f t="shared" si="232"/>
        <v>400Travel expenses - Toyota</v>
      </c>
      <c r="L2699" s="311">
        <f>+SUMIF('TUNZ Extracted TB'!M:M,$P2699,'TUNZ Extracted TB'!G:G)</f>
        <v>0</v>
      </c>
      <c r="M2699" s="311"/>
      <c r="N2699" s="311">
        <f>+SUMIF('Input Sheet'!$AE:$AE,P2699,'Input Sheet'!$X:$X)</f>
        <v>0</v>
      </c>
      <c r="O2699" s="311"/>
      <c r="P2699" t="str">
        <f t="shared" si="233"/>
        <v>400-7520</v>
      </c>
      <c r="Q2699" s="315" t="str">
        <f t="shared" si="234"/>
        <v>Admin &amp; Other</v>
      </c>
      <c r="R2699" s="315" t="str">
        <f t="shared" si="235"/>
        <v>Admin &amp; OtherOther Overheads as % of Total Gross Profit</v>
      </c>
      <c r="S2699" s="199"/>
      <c r="T2699" s="199"/>
      <c r="U2699" s="199"/>
    </row>
    <row r="2700" spans="1:21" x14ac:dyDescent="0.25">
      <c r="A2700" t="s">
        <v>996</v>
      </c>
      <c r="B2700" t="s">
        <v>997</v>
      </c>
      <c r="C2700" t="s">
        <v>1012</v>
      </c>
      <c r="D2700">
        <v>7520</v>
      </c>
      <c r="E2700">
        <v>410</v>
      </c>
      <c r="F2700" t="s">
        <v>1404</v>
      </c>
      <c r="G2700" t="s">
        <v>1405</v>
      </c>
      <c r="H2700" s="315" t="s">
        <v>1000</v>
      </c>
      <c r="I2700" s="315" t="s">
        <v>1001</v>
      </c>
      <c r="J2700" s="315" t="str">
        <f t="shared" si="231"/>
        <v>Admin &amp; OtherOther Overheads as % of Total Gross Profit</v>
      </c>
      <c r="K2700" s="315" t="str">
        <f t="shared" si="232"/>
        <v>410Travel expenses - Toyota</v>
      </c>
      <c r="L2700" s="311">
        <f>+SUMIF('TUNZ Extracted TB'!M:M,$P2700,'TUNZ Extracted TB'!G:G)</f>
        <v>0</v>
      </c>
      <c r="M2700" s="311"/>
      <c r="N2700" s="311">
        <f>+SUMIF('Input Sheet'!$AE:$AE,P2700,'Input Sheet'!$X:$X)</f>
        <v>0</v>
      </c>
      <c r="O2700" s="311"/>
      <c r="P2700" t="str">
        <f t="shared" si="233"/>
        <v>410-7520</v>
      </c>
      <c r="Q2700" s="315" t="str">
        <f t="shared" si="234"/>
        <v>Admin &amp; Other</v>
      </c>
      <c r="R2700" s="315" t="str">
        <f t="shared" si="235"/>
        <v>Admin &amp; OtherOther Overheads as % of Total Gross Profit</v>
      </c>
      <c r="S2700" s="199"/>
      <c r="T2700" s="199"/>
      <c r="U2700" s="199"/>
    </row>
    <row r="2701" spans="1:21" x14ac:dyDescent="0.25">
      <c r="A2701" t="s">
        <v>996</v>
      </c>
      <c r="B2701" t="s">
        <v>997</v>
      </c>
      <c r="C2701" t="s">
        <v>1012</v>
      </c>
      <c r="D2701">
        <v>7520</v>
      </c>
      <c r="E2701">
        <v>420</v>
      </c>
      <c r="F2701" t="s">
        <v>1404</v>
      </c>
      <c r="G2701" t="s">
        <v>1405</v>
      </c>
      <c r="H2701" s="315" t="s">
        <v>1000</v>
      </c>
      <c r="I2701" s="315" t="s">
        <v>1001</v>
      </c>
      <c r="J2701" s="315" t="str">
        <f t="shared" si="231"/>
        <v>Admin &amp; OtherOther Overheads as % of Total Gross Profit</v>
      </c>
      <c r="K2701" s="315" t="str">
        <f t="shared" si="232"/>
        <v>420Travel expenses - Toyota</v>
      </c>
      <c r="L2701" s="311">
        <f>+SUMIF('TUNZ Extracted TB'!M:M,$P2701,'TUNZ Extracted TB'!G:G)</f>
        <v>0</v>
      </c>
      <c r="M2701" s="311"/>
      <c r="N2701" s="311">
        <f>+SUMIF('Input Sheet'!$AE:$AE,P2701,'Input Sheet'!$X:$X)</f>
        <v>0</v>
      </c>
      <c r="O2701" s="311"/>
      <c r="P2701" t="str">
        <f t="shared" si="233"/>
        <v>420-7520</v>
      </c>
      <c r="Q2701" s="315" t="str">
        <f t="shared" si="234"/>
        <v>Admin &amp; Other</v>
      </c>
      <c r="R2701" s="315" t="str">
        <f t="shared" si="235"/>
        <v>Admin &amp; OtherOther Overheads as % of Total Gross Profit</v>
      </c>
      <c r="S2701" s="199"/>
      <c r="T2701" s="199"/>
      <c r="U2701" s="199"/>
    </row>
    <row r="2702" spans="1:21" x14ac:dyDescent="0.25">
      <c r="A2702" t="s">
        <v>996</v>
      </c>
      <c r="B2702" t="s">
        <v>997</v>
      </c>
      <c r="C2702" t="s">
        <v>1012</v>
      </c>
      <c r="D2702">
        <v>7520</v>
      </c>
      <c r="E2702">
        <v>421</v>
      </c>
      <c r="F2702" t="s">
        <v>1404</v>
      </c>
      <c r="G2702" t="s">
        <v>1405</v>
      </c>
      <c r="H2702" s="315" t="s">
        <v>1000</v>
      </c>
      <c r="I2702" s="315" t="s">
        <v>1001</v>
      </c>
      <c r="J2702" s="315" t="str">
        <f t="shared" si="231"/>
        <v>Admin &amp; OtherOther Overheads as % of Total Gross Profit</v>
      </c>
      <c r="K2702" s="315" t="str">
        <f t="shared" si="232"/>
        <v>421Travel expenses - Toyota</v>
      </c>
      <c r="L2702" s="311">
        <f>+SUMIF('TUNZ Extracted TB'!M:M,$P2702,'TUNZ Extracted TB'!G:G)</f>
        <v>0</v>
      </c>
      <c r="M2702" s="311"/>
      <c r="N2702" s="311">
        <f>+SUMIF('Input Sheet'!$AE:$AE,P2702,'Input Sheet'!$X:$X)</f>
        <v>0</v>
      </c>
      <c r="O2702" s="311"/>
      <c r="P2702" t="str">
        <f t="shared" si="233"/>
        <v>421-7520</v>
      </c>
      <c r="Q2702" s="315" t="str">
        <f t="shared" si="234"/>
        <v>Admin &amp; Other</v>
      </c>
      <c r="R2702" s="315" t="str">
        <f t="shared" si="235"/>
        <v>Admin &amp; OtherOther Overheads as % of Total Gross Profit</v>
      </c>
      <c r="S2702" s="199"/>
      <c r="T2702" s="199"/>
      <c r="U2702" s="199"/>
    </row>
    <row r="2703" spans="1:21" x14ac:dyDescent="0.25">
      <c r="A2703" t="s">
        <v>996</v>
      </c>
      <c r="B2703" t="s">
        <v>997</v>
      </c>
      <c r="C2703" t="s">
        <v>1012</v>
      </c>
      <c r="D2703">
        <v>7520</v>
      </c>
      <c r="E2703">
        <v>460</v>
      </c>
      <c r="F2703" t="s">
        <v>1404</v>
      </c>
      <c r="G2703" t="s">
        <v>1405</v>
      </c>
      <c r="H2703" s="315" t="s">
        <v>1000</v>
      </c>
      <c r="I2703" s="315" t="s">
        <v>1001</v>
      </c>
      <c r="J2703" s="315" t="str">
        <f t="shared" si="231"/>
        <v>Admin &amp; OtherOther Overheads as % of Total Gross Profit</v>
      </c>
      <c r="K2703" s="315" t="str">
        <f t="shared" si="232"/>
        <v>460Travel expenses - Toyota</v>
      </c>
      <c r="L2703" s="311">
        <f>+SUMIF('TUNZ Extracted TB'!M:M,$P2703,'TUNZ Extracted TB'!G:G)</f>
        <v>0</v>
      </c>
      <c r="M2703" s="311"/>
      <c r="N2703" s="311">
        <f>+SUMIF('Input Sheet'!$AE:$AE,P2703,'Input Sheet'!$X:$X)</f>
        <v>0</v>
      </c>
      <c r="O2703" s="311"/>
      <c r="P2703" t="str">
        <f t="shared" si="233"/>
        <v>460-7520</v>
      </c>
      <c r="Q2703" s="315" t="str">
        <f t="shared" si="234"/>
        <v>Admin &amp; Other</v>
      </c>
      <c r="R2703" s="315" t="str">
        <f t="shared" si="235"/>
        <v>Admin &amp; OtherOther Overheads as % of Total Gross Profit</v>
      </c>
      <c r="S2703" s="199"/>
      <c r="T2703" s="199"/>
      <c r="U2703" s="199"/>
    </row>
    <row r="2704" spans="1:21" x14ac:dyDescent="0.25">
      <c r="A2704" t="s">
        <v>996</v>
      </c>
      <c r="B2704" t="s">
        <v>997</v>
      </c>
      <c r="C2704" t="s">
        <v>1013</v>
      </c>
      <c r="D2704">
        <v>7520</v>
      </c>
      <c r="E2704">
        <v>300</v>
      </c>
      <c r="F2704" t="s">
        <v>1404</v>
      </c>
      <c r="G2704" t="s">
        <v>1405</v>
      </c>
      <c r="H2704" s="315" t="s">
        <v>1000</v>
      </c>
      <c r="I2704" s="315" t="s">
        <v>1001</v>
      </c>
      <c r="J2704" s="315" t="str">
        <f t="shared" si="231"/>
        <v>Admin &amp; OtherOther Overheads as % of Total Gross Profit</v>
      </c>
      <c r="K2704" s="315" t="str">
        <f t="shared" si="232"/>
        <v>300Travel expenses - Toyota</v>
      </c>
      <c r="L2704" s="311">
        <f>+SUMIF('TUNZ Extracted TB'!M:M,$P2704,'TUNZ Extracted TB'!G:G)</f>
        <v>0</v>
      </c>
      <c r="M2704" s="311"/>
      <c r="N2704" s="311">
        <f>+SUMIF('Input Sheet'!$AE:$AE,P2704,'Input Sheet'!$X:$X)</f>
        <v>0</v>
      </c>
      <c r="O2704" s="311"/>
      <c r="P2704" t="str">
        <f t="shared" si="233"/>
        <v>300-7520</v>
      </c>
      <c r="Q2704" s="315" t="str">
        <f t="shared" si="234"/>
        <v>Admin &amp; Other</v>
      </c>
      <c r="R2704" s="315" t="str">
        <f t="shared" si="235"/>
        <v>Admin &amp; OtherOther Overheads as % of Total Gross Profit</v>
      </c>
      <c r="S2704" s="199"/>
      <c r="T2704" s="199"/>
      <c r="U2704" s="199"/>
    </row>
    <row r="2705" spans="1:21" x14ac:dyDescent="0.25">
      <c r="A2705" t="s">
        <v>996</v>
      </c>
      <c r="B2705" t="s">
        <v>997</v>
      </c>
      <c r="C2705" t="s">
        <v>1013</v>
      </c>
      <c r="D2705">
        <v>7520</v>
      </c>
      <c r="E2705">
        <v>310</v>
      </c>
      <c r="F2705" t="s">
        <v>1404</v>
      </c>
      <c r="G2705" t="s">
        <v>1405</v>
      </c>
      <c r="H2705" s="315" t="s">
        <v>1000</v>
      </c>
      <c r="I2705" s="315" t="s">
        <v>1001</v>
      </c>
      <c r="J2705" s="315" t="str">
        <f t="shared" si="231"/>
        <v>Admin &amp; OtherOther Overheads as % of Total Gross Profit</v>
      </c>
      <c r="K2705" s="315" t="str">
        <f t="shared" si="232"/>
        <v>310Travel expenses - Toyota</v>
      </c>
      <c r="L2705" s="311">
        <f>+SUMIF('TUNZ Extracted TB'!M:M,$P2705,'TUNZ Extracted TB'!G:G)</f>
        <v>0</v>
      </c>
      <c r="M2705" s="311"/>
      <c r="N2705" s="311">
        <f>+SUMIF('Input Sheet'!$AE:$AE,P2705,'Input Sheet'!$X:$X)</f>
        <v>0</v>
      </c>
      <c r="O2705" s="311"/>
      <c r="P2705" t="str">
        <f t="shared" si="233"/>
        <v>310-7520</v>
      </c>
      <c r="Q2705" s="315" t="str">
        <f t="shared" si="234"/>
        <v>Admin &amp; Other</v>
      </c>
      <c r="R2705" s="315" t="str">
        <f t="shared" si="235"/>
        <v>Admin &amp; OtherOther Overheads as % of Total Gross Profit</v>
      </c>
      <c r="S2705" s="199"/>
      <c r="T2705" s="199"/>
      <c r="U2705" s="199"/>
    </row>
    <row r="2706" spans="1:21" x14ac:dyDescent="0.25">
      <c r="A2706" t="s">
        <v>996</v>
      </c>
      <c r="B2706" t="s">
        <v>997</v>
      </c>
      <c r="C2706" t="s">
        <v>1013</v>
      </c>
      <c r="D2706">
        <v>7520</v>
      </c>
      <c r="E2706">
        <v>321</v>
      </c>
      <c r="F2706" t="s">
        <v>1404</v>
      </c>
      <c r="G2706" t="s">
        <v>1405</v>
      </c>
      <c r="H2706" s="315" t="s">
        <v>1000</v>
      </c>
      <c r="I2706" s="315" t="s">
        <v>1001</v>
      </c>
      <c r="J2706" s="315" t="str">
        <f t="shared" si="231"/>
        <v>Admin &amp; OtherOther Overheads as % of Total Gross Profit</v>
      </c>
      <c r="K2706" s="315" t="str">
        <f t="shared" si="232"/>
        <v>321Travel expenses - Toyota</v>
      </c>
      <c r="L2706" s="311">
        <f>+SUMIF('TUNZ Extracted TB'!M:M,$P2706,'TUNZ Extracted TB'!G:G)</f>
        <v>0</v>
      </c>
      <c r="M2706" s="311"/>
      <c r="N2706" s="311">
        <f>+SUMIF('Input Sheet'!$AE:$AE,P2706,'Input Sheet'!$X:$X)</f>
        <v>0</v>
      </c>
      <c r="O2706" s="311"/>
      <c r="P2706" t="str">
        <f t="shared" si="233"/>
        <v>321-7520</v>
      </c>
      <c r="Q2706" s="315" t="str">
        <f t="shared" si="234"/>
        <v>Admin &amp; Other</v>
      </c>
      <c r="R2706" s="315" t="str">
        <f t="shared" si="235"/>
        <v>Admin &amp; OtherOther Overheads as % of Total Gross Profit</v>
      </c>
      <c r="S2706" s="199"/>
      <c r="T2706" s="199"/>
      <c r="U2706" s="199"/>
    </row>
    <row r="2707" spans="1:21" x14ac:dyDescent="0.25">
      <c r="A2707" t="s">
        <v>996</v>
      </c>
      <c r="B2707" t="s">
        <v>997</v>
      </c>
      <c r="C2707" t="s">
        <v>1013</v>
      </c>
      <c r="D2707">
        <v>7520</v>
      </c>
      <c r="E2707">
        <v>360</v>
      </c>
      <c r="F2707" t="s">
        <v>1404</v>
      </c>
      <c r="G2707" t="s">
        <v>1405</v>
      </c>
      <c r="H2707" s="315" t="s">
        <v>1000</v>
      </c>
      <c r="I2707" s="315" t="s">
        <v>1001</v>
      </c>
      <c r="J2707" s="315" t="str">
        <f t="shared" si="231"/>
        <v>Admin &amp; OtherOther Overheads as % of Total Gross Profit</v>
      </c>
      <c r="K2707" s="315" t="str">
        <f t="shared" si="232"/>
        <v>360Travel expenses - Toyota</v>
      </c>
      <c r="L2707" s="311">
        <f>+SUMIF('TUNZ Extracted TB'!M:M,$P2707,'TUNZ Extracted TB'!G:G)</f>
        <v>0</v>
      </c>
      <c r="M2707" s="311"/>
      <c r="N2707" s="311">
        <f>+SUMIF('Input Sheet'!$AE:$AE,P2707,'Input Sheet'!$X:$X)</f>
        <v>0</v>
      </c>
      <c r="O2707" s="311"/>
      <c r="P2707" t="str">
        <f t="shared" si="233"/>
        <v>360-7520</v>
      </c>
      <c r="Q2707" s="315" t="str">
        <f t="shared" si="234"/>
        <v>Admin &amp; Other</v>
      </c>
      <c r="R2707" s="315" t="str">
        <f t="shared" si="235"/>
        <v>Admin &amp; OtherOther Overheads as % of Total Gross Profit</v>
      </c>
      <c r="S2707" s="199"/>
      <c r="T2707" s="199"/>
      <c r="U2707" s="199"/>
    </row>
    <row r="2708" spans="1:21" x14ac:dyDescent="0.25">
      <c r="A2708" t="s">
        <v>996</v>
      </c>
      <c r="B2708" t="s">
        <v>997</v>
      </c>
      <c r="C2708" t="s">
        <v>997</v>
      </c>
      <c r="D2708">
        <v>7520</v>
      </c>
      <c r="E2708">
        <v>112</v>
      </c>
      <c r="F2708" t="s">
        <v>1406</v>
      </c>
      <c r="G2708" t="s">
        <v>1407</v>
      </c>
      <c r="H2708" s="315" t="s">
        <v>1023</v>
      </c>
      <c r="I2708" s="315" t="s">
        <v>1001</v>
      </c>
      <c r="J2708" s="315" t="str">
        <f t="shared" si="231"/>
        <v>LEX Admin &amp; OtherOther Overheads as % of Total Gross Profit</v>
      </c>
      <c r="K2708" s="315" t="str">
        <f t="shared" si="232"/>
        <v>112Travel expenses - Lexus</v>
      </c>
      <c r="L2708" s="311">
        <f>+SUMIF('TUNZ Extracted TB'!M:M,$P2708,'TUNZ Extracted TB'!G:G)</f>
        <v>3758.69</v>
      </c>
      <c r="M2708" s="311"/>
      <c r="N2708" s="311">
        <f>+SUMIF('Input Sheet'!$AE:$AE,P2708,'Input Sheet'!$X:$X)</f>
        <v>4082.5407362041401</v>
      </c>
      <c r="O2708" s="311"/>
      <c r="P2708" t="str">
        <f t="shared" si="233"/>
        <v>112-7520</v>
      </c>
      <c r="Q2708" s="315" t="str">
        <f t="shared" si="234"/>
        <v>LEX Admin &amp; Other</v>
      </c>
      <c r="R2708" s="315" t="str">
        <f t="shared" si="235"/>
        <v>LEX Admin &amp; OtherOther Overheads as % of Total Gross Profit</v>
      </c>
      <c r="S2708" s="199"/>
      <c r="T2708" s="199"/>
      <c r="U2708" s="199"/>
    </row>
    <row r="2709" spans="1:21" x14ac:dyDescent="0.25">
      <c r="A2709" t="s">
        <v>996</v>
      </c>
      <c r="B2709" t="s">
        <v>997</v>
      </c>
      <c r="C2709" t="s">
        <v>997</v>
      </c>
      <c r="D2709">
        <v>7520</v>
      </c>
      <c r="E2709">
        <v>110</v>
      </c>
      <c r="F2709" t="s">
        <v>1404</v>
      </c>
      <c r="G2709" t="s">
        <v>1405</v>
      </c>
      <c r="H2709" s="315" t="s">
        <v>1000</v>
      </c>
      <c r="I2709" s="315" t="s">
        <v>1001</v>
      </c>
      <c r="J2709" s="315" t="str">
        <f t="shared" si="231"/>
        <v>Admin &amp; OtherOther Overheads as % of Total Gross Profit</v>
      </c>
      <c r="K2709" s="315" t="str">
        <f t="shared" si="232"/>
        <v>110Travel expenses - Toyota</v>
      </c>
      <c r="L2709" s="311">
        <f>+SUMIF('TUNZ Extracted TB'!M:M,$P2709,'TUNZ Extracted TB'!G:G)</f>
        <v>248.58</v>
      </c>
      <c r="M2709" s="311"/>
      <c r="N2709" s="311">
        <f>+SUMIF('Input Sheet'!$AE:$AE,P2709,'Input Sheet'!$X:$X)</f>
        <v>30382.326560414487</v>
      </c>
      <c r="O2709" s="311"/>
      <c r="P2709" t="str">
        <f t="shared" si="233"/>
        <v>110-7520</v>
      </c>
      <c r="Q2709" s="315" t="str">
        <f t="shared" si="234"/>
        <v>Admin &amp; Other</v>
      </c>
      <c r="R2709" s="315" t="str">
        <f t="shared" si="235"/>
        <v>Admin &amp; OtherOther Overheads as % of Total Gross Profit</v>
      </c>
      <c r="S2709" s="199"/>
      <c r="T2709" s="199"/>
      <c r="U2709" s="199"/>
    </row>
    <row r="2710" spans="1:21" x14ac:dyDescent="0.25">
      <c r="A2710" t="s">
        <v>996</v>
      </c>
      <c r="B2710" t="s">
        <v>997</v>
      </c>
      <c r="C2710" t="s">
        <v>997</v>
      </c>
      <c r="D2710">
        <v>7520</v>
      </c>
      <c r="E2710">
        <v>100</v>
      </c>
      <c r="F2710" t="s">
        <v>1404</v>
      </c>
      <c r="G2710" t="s">
        <v>1405</v>
      </c>
      <c r="H2710" s="315" t="s">
        <v>1000</v>
      </c>
      <c r="I2710" s="315" t="s">
        <v>1001</v>
      </c>
      <c r="J2710" s="315" t="str">
        <f t="shared" si="231"/>
        <v>Admin &amp; OtherOther Overheads as % of Total Gross Profit</v>
      </c>
      <c r="K2710" s="315" t="str">
        <f t="shared" si="232"/>
        <v>100Travel expenses - Toyota</v>
      </c>
      <c r="L2710" s="311">
        <f>+SUMIF('TUNZ Extracted TB'!M:M,$P2710,'TUNZ Extracted TB'!G:G)</f>
        <v>0</v>
      </c>
      <c r="M2710" s="311"/>
      <c r="N2710" s="311">
        <f>+SUMIF('Input Sheet'!$AE:$AE,P2710,'Input Sheet'!$X:$X)</f>
        <v>0</v>
      </c>
      <c r="O2710" s="311"/>
      <c r="P2710" t="str">
        <f t="shared" si="233"/>
        <v>100-7520</v>
      </c>
      <c r="Q2710" s="315" t="str">
        <f t="shared" si="234"/>
        <v>Admin &amp; Other</v>
      </c>
      <c r="R2710" s="315" t="str">
        <f t="shared" si="235"/>
        <v>Admin &amp; OtherOther Overheads as % of Total Gross Profit</v>
      </c>
      <c r="S2710" s="199"/>
      <c r="T2710" s="199"/>
      <c r="U2710" s="199"/>
    </row>
    <row r="2711" spans="1:21" x14ac:dyDescent="0.25">
      <c r="A2711" s="316">
        <v>44896</v>
      </c>
      <c r="B2711" t="s">
        <v>997</v>
      </c>
      <c r="C2711" t="s">
        <v>997</v>
      </c>
      <c r="D2711">
        <v>7530</v>
      </c>
      <c r="E2711">
        <v>150</v>
      </c>
      <c r="G2711" t="s">
        <v>950</v>
      </c>
      <c r="H2711" s="315" t="s">
        <v>1023</v>
      </c>
      <c r="I2711" s="315" t="s">
        <v>1001</v>
      </c>
      <c r="J2711" s="315" t="str">
        <f t="shared" si="231"/>
        <v>LEX Admin &amp; OtherOther Overheads as % of Total Gross Profit</v>
      </c>
      <c r="K2711" s="315" t="str">
        <f t="shared" si="232"/>
        <v>150Telephone Rental</v>
      </c>
      <c r="L2711" s="311">
        <f>+SUMIF('TUNZ Extracted TB'!M:M,$P2711,'TUNZ Extracted TB'!G:G)</f>
        <v>0</v>
      </c>
      <c r="M2711" s="311"/>
      <c r="N2711" s="311">
        <f>+SUMIF('Input Sheet'!$AE:$AE,P2711,'Input Sheet'!$X:$X)</f>
        <v>0</v>
      </c>
      <c r="O2711" s="311"/>
      <c r="P2711" t="str">
        <f t="shared" si="233"/>
        <v>150-7530</v>
      </c>
      <c r="Q2711" s="315" t="str">
        <f t="shared" si="234"/>
        <v>LEX Admin &amp; Other</v>
      </c>
      <c r="R2711" s="315" t="str">
        <f t="shared" si="235"/>
        <v>LEX Admin &amp; OtherOther Overheads as % of Total Gross Profit</v>
      </c>
      <c r="S2711" s="199"/>
      <c r="T2711" s="199"/>
      <c r="U2711" s="199"/>
    </row>
    <row r="2712" spans="1:21" x14ac:dyDescent="0.25">
      <c r="A2712" s="316">
        <v>44958</v>
      </c>
      <c r="B2712" t="s">
        <v>997</v>
      </c>
      <c r="C2712" t="s">
        <v>997</v>
      </c>
      <c r="D2712">
        <v>7530</v>
      </c>
      <c r="E2712">
        <v>190</v>
      </c>
      <c r="G2712" t="s">
        <v>950</v>
      </c>
      <c r="H2712" s="315" t="s">
        <v>1000</v>
      </c>
      <c r="I2712" s="315" t="s">
        <v>1001</v>
      </c>
      <c r="J2712" s="315" t="str">
        <f t="shared" si="231"/>
        <v>Admin &amp; OtherOther Overheads as % of Total Gross Profit</v>
      </c>
      <c r="K2712" s="315" t="str">
        <f t="shared" si="232"/>
        <v>190Telephone Rental</v>
      </c>
      <c r="L2712" s="311">
        <f>+SUMIF('TUNZ Extracted TB'!M:M,$P2712,'TUNZ Extracted TB'!G:G)</f>
        <v>0</v>
      </c>
      <c r="M2712" s="311"/>
      <c r="N2712" s="311">
        <f>+SUMIF('Input Sheet'!$AE:$AE,P2712,'Input Sheet'!$X:$X)</f>
        <v>0</v>
      </c>
      <c r="O2712" s="311"/>
      <c r="P2712" t="str">
        <f t="shared" si="233"/>
        <v>190-7530</v>
      </c>
      <c r="Q2712" s="315" t="str">
        <f t="shared" si="234"/>
        <v>Admin &amp; Other</v>
      </c>
      <c r="R2712" s="315" t="str">
        <f t="shared" si="235"/>
        <v>Admin &amp; OtherOther Overheads as % of Total Gross Profit</v>
      </c>
      <c r="S2712" s="199"/>
      <c r="T2712" s="199"/>
      <c r="U2712" s="199"/>
    </row>
    <row r="2713" spans="1:21" x14ac:dyDescent="0.25">
      <c r="A2713" t="s">
        <v>996</v>
      </c>
      <c r="B2713" t="s">
        <v>997</v>
      </c>
      <c r="C2713" t="s">
        <v>997</v>
      </c>
      <c r="D2713">
        <v>7530</v>
      </c>
      <c r="E2713">
        <v>130</v>
      </c>
      <c r="F2713" t="s">
        <v>1408</v>
      </c>
      <c r="G2713" t="s">
        <v>1409</v>
      </c>
      <c r="H2713" s="315" t="s">
        <v>1000</v>
      </c>
      <c r="I2713" s="315" t="s">
        <v>1001</v>
      </c>
      <c r="J2713" s="315" t="str">
        <f t="shared" si="231"/>
        <v>Admin &amp; OtherOther Overheads as % of Total Gross Profit</v>
      </c>
      <c r="K2713" s="315" t="str">
        <f t="shared" si="232"/>
        <v>130Phone &amp; Internet expenses - Toyota</v>
      </c>
      <c r="L2713" s="311">
        <f>+SUMIF('TUNZ Extracted TB'!M:M,$P2713,'TUNZ Extracted TB'!G:G)</f>
        <v>0</v>
      </c>
      <c r="M2713" s="311"/>
      <c r="N2713" s="311">
        <f>+SUMIF('Input Sheet'!$AE:$AE,P2713,'Input Sheet'!$X:$X)</f>
        <v>0</v>
      </c>
      <c r="O2713" s="311"/>
      <c r="P2713" t="str">
        <f t="shared" si="233"/>
        <v>130-7530</v>
      </c>
      <c r="Q2713" s="315" t="str">
        <f t="shared" si="234"/>
        <v>Admin &amp; Other</v>
      </c>
      <c r="R2713" s="315" t="str">
        <f t="shared" si="235"/>
        <v>Admin &amp; OtherOther Overheads as % of Total Gross Profit</v>
      </c>
      <c r="S2713" s="199"/>
      <c r="T2713" s="199"/>
      <c r="U2713" s="199"/>
    </row>
    <row r="2714" spans="1:21" x14ac:dyDescent="0.25">
      <c r="A2714" t="s">
        <v>996</v>
      </c>
      <c r="B2714" t="s">
        <v>997</v>
      </c>
      <c r="C2714" t="s">
        <v>997</v>
      </c>
      <c r="D2714">
        <v>7530</v>
      </c>
      <c r="E2714">
        <v>936</v>
      </c>
      <c r="F2714" t="s">
        <v>1175</v>
      </c>
      <c r="G2714" t="s">
        <v>1176</v>
      </c>
      <c r="H2714" s="315" t="s">
        <v>1023</v>
      </c>
      <c r="I2714" s="315" t="s">
        <v>1001</v>
      </c>
      <c r="J2714" s="315" t="str">
        <f t="shared" si="231"/>
        <v>LEX Admin &amp; OtherOther Overheads as % of Total Gross Profit</v>
      </c>
      <c r="K2714" s="315" t="str">
        <f t="shared" si="232"/>
        <v>936Other franchise/business expense</v>
      </c>
      <c r="L2714" s="311">
        <f>+SUMIF('TUNZ Extracted TB'!M:M,$P2714,'TUNZ Extracted TB'!G:G)</f>
        <v>0</v>
      </c>
      <c r="M2714" s="311"/>
      <c r="N2714" s="311">
        <f>+SUMIF('Input Sheet'!$AE:$AE,P2714,'Input Sheet'!$X:$X)</f>
        <v>0</v>
      </c>
      <c r="O2714" s="311"/>
      <c r="P2714" t="str">
        <f t="shared" si="233"/>
        <v>936-7530</v>
      </c>
      <c r="Q2714" s="315" t="str">
        <f t="shared" si="234"/>
        <v>LEX Admin &amp; Other</v>
      </c>
      <c r="R2714" s="315" t="str">
        <f t="shared" si="235"/>
        <v>LEX Admin &amp; OtherOther Overheads as % of Total Gross Profit</v>
      </c>
      <c r="S2714" s="199"/>
      <c r="T2714" s="199"/>
      <c r="U2714" s="199"/>
    </row>
    <row r="2715" spans="1:21" x14ac:dyDescent="0.25">
      <c r="A2715" t="s">
        <v>996</v>
      </c>
      <c r="B2715" t="s">
        <v>997</v>
      </c>
      <c r="C2715" t="s">
        <v>997</v>
      </c>
      <c r="D2715">
        <v>7530</v>
      </c>
      <c r="E2715">
        <v>935</v>
      </c>
      <c r="F2715" t="s">
        <v>1175</v>
      </c>
      <c r="G2715" t="s">
        <v>1176</v>
      </c>
      <c r="H2715" s="315" t="s">
        <v>1023</v>
      </c>
      <c r="I2715" s="315" t="s">
        <v>1001</v>
      </c>
      <c r="J2715" s="315" t="str">
        <f t="shared" si="231"/>
        <v>LEX Admin &amp; OtherOther Overheads as % of Total Gross Profit</v>
      </c>
      <c r="K2715" s="315" t="str">
        <f t="shared" si="232"/>
        <v>935Other franchise/business expense</v>
      </c>
      <c r="L2715" s="311">
        <f>+SUMIF('TUNZ Extracted TB'!M:M,$P2715,'TUNZ Extracted TB'!G:G)</f>
        <v>0</v>
      </c>
      <c r="M2715" s="311"/>
      <c r="N2715" s="311">
        <f>+SUMIF('Input Sheet'!$AE:$AE,P2715,'Input Sheet'!$X:$X)</f>
        <v>0</v>
      </c>
      <c r="O2715" s="311"/>
      <c r="P2715" t="str">
        <f t="shared" si="233"/>
        <v>935-7530</v>
      </c>
      <c r="Q2715" s="315" t="str">
        <f t="shared" si="234"/>
        <v>LEX Admin &amp; Other</v>
      </c>
      <c r="R2715" s="315" t="str">
        <f t="shared" si="235"/>
        <v>LEX Admin &amp; OtherOther Overheads as % of Total Gross Profit</v>
      </c>
      <c r="S2715" s="199"/>
      <c r="T2715" s="199"/>
      <c r="U2715" s="199"/>
    </row>
    <row r="2716" spans="1:21" x14ac:dyDescent="0.25">
      <c r="A2716" t="s">
        <v>996</v>
      </c>
      <c r="B2716" t="s">
        <v>997</v>
      </c>
      <c r="C2716" t="s">
        <v>997</v>
      </c>
      <c r="D2716">
        <v>7530</v>
      </c>
      <c r="E2716">
        <v>122</v>
      </c>
      <c r="F2716" t="s">
        <v>1410</v>
      </c>
      <c r="G2716" t="s">
        <v>1411</v>
      </c>
      <c r="H2716" s="315" t="s">
        <v>1023</v>
      </c>
      <c r="I2716" s="315" t="s">
        <v>1001</v>
      </c>
      <c r="J2716" s="315" t="str">
        <f t="shared" si="231"/>
        <v>LEX Admin &amp; OtherOther Overheads as % of Total Gross Profit</v>
      </c>
      <c r="K2716" s="315" t="str">
        <f t="shared" si="232"/>
        <v>122Phone &amp; Internet expenses - Lexus</v>
      </c>
      <c r="L2716" s="311">
        <f>+SUMIF('TUNZ Extracted TB'!M:M,$P2716,'TUNZ Extracted TB'!G:G)</f>
        <v>0</v>
      </c>
      <c r="M2716" s="311"/>
      <c r="N2716" s="311">
        <f>+SUMIF('Input Sheet'!$AE:$AE,P2716,'Input Sheet'!$X:$X)</f>
        <v>0</v>
      </c>
      <c r="O2716" s="311"/>
      <c r="P2716" t="str">
        <f t="shared" si="233"/>
        <v>122-7530</v>
      </c>
      <c r="Q2716" s="315" t="str">
        <f t="shared" si="234"/>
        <v>LEX Admin &amp; Other</v>
      </c>
      <c r="R2716" s="315" t="str">
        <f t="shared" si="235"/>
        <v>LEX Admin &amp; OtherOther Overheads as % of Total Gross Profit</v>
      </c>
      <c r="S2716" s="199"/>
      <c r="T2716" s="199"/>
      <c r="U2716" s="199"/>
    </row>
    <row r="2717" spans="1:21" x14ac:dyDescent="0.25">
      <c r="A2717" t="s">
        <v>996</v>
      </c>
      <c r="B2717" t="s">
        <v>997</v>
      </c>
      <c r="C2717" t="s">
        <v>997</v>
      </c>
      <c r="D2717">
        <v>7530</v>
      </c>
      <c r="E2717">
        <v>132</v>
      </c>
      <c r="F2717" t="s">
        <v>1410</v>
      </c>
      <c r="G2717" t="s">
        <v>1411</v>
      </c>
      <c r="H2717" s="315" t="s">
        <v>1023</v>
      </c>
      <c r="I2717" s="315" t="s">
        <v>1001</v>
      </c>
      <c r="J2717" s="315" t="str">
        <f t="shared" si="231"/>
        <v>LEX Admin &amp; OtherOther Overheads as % of Total Gross Profit</v>
      </c>
      <c r="K2717" s="315" t="str">
        <f t="shared" si="232"/>
        <v>132Phone &amp; Internet expenses - Lexus</v>
      </c>
      <c r="L2717" s="311">
        <f>+SUMIF('TUNZ Extracted TB'!M:M,$P2717,'TUNZ Extracted TB'!G:G)</f>
        <v>0</v>
      </c>
      <c r="M2717" s="311"/>
      <c r="N2717" s="311">
        <f>+SUMIF('Input Sheet'!$AE:$AE,P2717,'Input Sheet'!$X:$X)</f>
        <v>0</v>
      </c>
      <c r="O2717" s="311"/>
      <c r="P2717" t="str">
        <f t="shared" si="233"/>
        <v>132-7530</v>
      </c>
      <c r="Q2717" s="315" t="str">
        <f t="shared" si="234"/>
        <v>LEX Admin &amp; Other</v>
      </c>
      <c r="R2717" s="315" t="str">
        <f t="shared" si="235"/>
        <v>LEX Admin &amp; OtherOther Overheads as % of Total Gross Profit</v>
      </c>
      <c r="S2717" s="199"/>
      <c r="T2717" s="199"/>
      <c r="U2717" s="199"/>
    </row>
    <row r="2718" spans="1:21" x14ac:dyDescent="0.25">
      <c r="A2718" t="s">
        <v>996</v>
      </c>
      <c r="B2718" t="s">
        <v>997</v>
      </c>
      <c r="C2718" t="s">
        <v>997</v>
      </c>
      <c r="D2718">
        <v>7530</v>
      </c>
      <c r="E2718">
        <v>140</v>
      </c>
      <c r="F2718" t="s">
        <v>1408</v>
      </c>
      <c r="G2718" t="s">
        <v>1409</v>
      </c>
      <c r="H2718" s="315" t="s">
        <v>1000</v>
      </c>
      <c r="I2718" s="315" t="s">
        <v>1001</v>
      </c>
      <c r="J2718" s="315" t="str">
        <f t="shared" si="231"/>
        <v>Admin &amp; OtherOther Overheads as % of Total Gross Profit</v>
      </c>
      <c r="K2718" s="315" t="str">
        <f t="shared" si="232"/>
        <v>140Phone &amp; Internet expenses - Toyota</v>
      </c>
      <c r="L2718" s="311">
        <f>+SUMIF('TUNZ Extracted TB'!M:M,$P2718,'TUNZ Extracted TB'!G:G)</f>
        <v>0</v>
      </c>
      <c r="M2718" s="311"/>
      <c r="N2718" s="311">
        <f>+SUMIF('Input Sheet'!$AE:$AE,P2718,'Input Sheet'!$X:$X)</f>
        <v>0</v>
      </c>
      <c r="O2718" s="311"/>
      <c r="P2718" t="str">
        <f t="shared" si="233"/>
        <v>140-7530</v>
      </c>
      <c r="Q2718" s="315" t="str">
        <f t="shared" si="234"/>
        <v>Admin &amp; Other</v>
      </c>
      <c r="R2718" s="315" t="str">
        <f t="shared" si="235"/>
        <v>Admin &amp; OtherOther Overheads as % of Total Gross Profit</v>
      </c>
      <c r="S2718" s="199"/>
      <c r="T2718" s="199"/>
      <c r="U2718" s="199"/>
    </row>
    <row r="2719" spans="1:21" x14ac:dyDescent="0.25">
      <c r="A2719" t="s">
        <v>996</v>
      </c>
      <c r="B2719" t="s">
        <v>997</v>
      </c>
      <c r="C2719" t="s">
        <v>997</v>
      </c>
      <c r="D2719">
        <v>7530</v>
      </c>
      <c r="E2719">
        <v>162</v>
      </c>
      <c r="F2719" t="s">
        <v>1410</v>
      </c>
      <c r="G2719" t="s">
        <v>1411</v>
      </c>
      <c r="H2719" s="315" t="s">
        <v>1023</v>
      </c>
      <c r="I2719" s="315" t="s">
        <v>1001</v>
      </c>
      <c r="J2719" s="315" t="str">
        <f t="shared" si="231"/>
        <v>LEX Admin &amp; OtherOther Overheads as % of Total Gross Profit</v>
      </c>
      <c r="K2719" s="315" t="str">
        <f t="shared" si="232"/>
        <v>162Phone &amp; Internet expenses - Lexus</v>
      </c>
      <c r="L2719" s="311">
        <f>+SUMIF('TUNZ Extracted TB'!M:M,$P2719,'TUNZ Extracted TB'!G:G)</f>
        <v>0</v>
      </c>
      <c r="M2719" s="311"/>
      <c r="N2719" s="311">
        <f>+SUMIF('Input Sheet'!$AE:$AE,P2719,'Input Sheet'!$X:$X)</f>
        <v>0</v>
      </c>
      <c r="O2719" s="311"/>
      <c r="P2719" t="str">
        <f t="shared" si="233"/>
        <v>162-7530</v>
      </c>
      <c r="Q2719" s="315" t="str">
        <f t="shared" si="234"/>
        <v>LEX Admin &amp; Other</v>
      </c>
      <c r="R2719" s="315" t="str">
        <f t="shared" si="235"/>
        <v>LEX Admin &amp; OtherOther Overheads as % of Total Gross Profit</v>
      </c>
      <c r="S2719" s="199"/>
      <c r="T2719" s="199"/>
      <c r="U2719" s="199"/>
    </row>
    <row r="2720" spans="1:21" x14ac:dyDescent="0.25">
      <c r="A2720" t="s">
        <v>996</v>
      </c>
      <c r="B2720" t="s">
        <v>997</v>
      </c>
      <c r="C2720" t="s">
        <v>1005</v>
      </c>
      <c r="D2720">
        <v>7530</v>
      </c>
      <c r="E2720">
        <v>200</v>
      </c>
      <c r="F2720" t="s">
        <v>1408</v>
      </c>
      <c r="G2720" t="s">
        <v>1409</v>
      </c>
      <c r="H2720" s="315" t="s">
        <v>1000</v>
      </c>
      <c r="I2720" s="315" t="s">
        <v>1001</v>
      </c>
      <c r="J2720" s="315" t="str">
        <f t="shared" si="231"/>
        <v>Admin &amp; OtherOther Overheads as % of Total Gross Profit</v>
      </c>
      <c r="K2720" s="315" t="str">
        <f t="shared" si="232"/>
        <v>200Phone &amp; Internet expenses - Toyota</v>
      </c>
      <c r="L2720" s="311">
        <f>+SUMIF('TUNZ Extracted TB'!M:M,$P2720,'TUNZ Extracted TB'!G:G)</f>
        <v>0</v>
      </c>
      <c r="M2720" s="311"/>
      <c r="N2720" s="311">
        <f>+SUMIF('Input Sheet'!$AE:$AE,P2720,'Input Sheet'!$X:$X)</f>
        <v>0</v>
      </c>
      <c r="O2720" s="311"/>
      <c r="P2720" t="str">
        <f t="shared" si="233"/>
        <v>200-7530</v>
      </c>
      <c r="Q2720" s="315" t="str">
        <f t="shared" si="234"/>
        <v>Admin &amp; Other</v>
      </c>
      <c r="R2720" s="315" t="str">
        <f t="shared" si="235"/>
        <v>Admin &amp; OtherOther Overheads as % of Total Gross Profit</v>
      </c>
      <c r="S2720" s="199"/>
      <c r="T2720" s="199"/>
      <c r="U2720" s="199"/>
    </row>
    <row r="2721" spans="1:21" x14ac:dyDescent="0.25">
      <c r="A2721" t="s">
        <v>996</v>
      </c>
      <c r="B2721" t="s">
        <v>997</v>
      </c>
      <c r="C2721" t="s">
        <v>1005</v>
      </c>
      <c r="D2721">
        <v>7530</v>
      </c>
      <c r="E2721">
        <v>210</v>
      </c>
      <c r="F2721" t="s">
        <v>1408</v>
      </c>
      <c r="G2721" t="s">
        <v>1409</v>
      </c>
      <c r="H2721" s="315" t="s">
        <v>1000</v>
      </c>
      <c r="I2721" s="315" t="s">
        <v>1001</v>
      </c>
      <c r="J2721" s="315" t="str">
        <f t="shared" si="231"/>
        <v>Admin &amp; OtherOther Overheads as % of Total Gross Profit</v>
      </c>
      <c r="K2721" s="315" t="str">
        <f t="shared" si="232"/>
        <v>210Phone &amp; Internet expenses - Toyota</v>
      </c>
      <c r="L2721" s="311">
        <f>+SUMIF('TUNZ Extracted TB'!M:M,$P2721,'TUNZ Extracted TB'!G:G)</f>
        <v>0</v>
      </c>
      <c r="M2721" s="311"/>
      <c r="N2721" s="311">
        <f>+SUMIF('Input Sheet'!$AE:$AE,P2721,'Input Sheet'!$X:$X)</f>
        <v>0</v>
      </c>
      <c r="O2721" s="311"/>
      <c r="P2721" t="str">
        <f t="shared" si="233"/>
        <v>210-7530</v>
      </c>
      <c r="Q2721" s="315" t="str">
        <f t="shared" si="234"/>
        <v>Admin &amp; Other</v>
      </c>
      <c r="R2721" s="315" t="str">
        <f t="shared" si="235"/>
        <v>Admin &amp; OtherOther Overheads as % of Total Gross Profit</v>
      </c>
      <c r="S2721" s="199"/>
      <c r="T2721" s="199"/>
      <c r="U2721" s="199"/>
    </row>
    <row r="2722" spans="1:21" x14ac:dyDescent="0.25">
      <c r="A2722" t="s">
        <v>996</v>
      </c>
      <c r="B2722" t="s">
        <v>997</v>
      </c>
      <c r="C2722" t="s">
        <v>1005</v>
      </c>
      <c r="D2722">
        <v>7530</v>
      </c>
      <c r="E2722">
        <v>220</v>
      </c>
      <c r="F2722" t="s">
        <v>1408</v>
      </c>
      <c r="G2722" t="s">
        <v>1409</v>
      </c>
      <c r="H2722" s="315" t="s">
        <v>1000</v>
      </c>
      <c r="I2722" s="315" t="s">
        <v>1001</v>
      </c>
      <c r="J2722" s="315" t="str">
        <f t="shared" si="231"/>
        <v>Admin &amp; OtherOther Overheads as % of Total Gross Profit</v>
      </c>
      <c r="K2722" s="315" t="str">
        <f t="shared" si="232"/>
        <v>220Phone &amp; Internet expenses - Toyota</v>
      </c>
      <c r="L2722" s="311">
        <f>+SUMIF('TUNZ Extracted TB'!M:M,$P2722,'TUNZ Extracted TB'!G:G)</f>
        <v>0</v>
      </c>
      <c r="M2722" s="311"/>
      <c r="N2722" s="311">
        <f>+SUMIF('Input Sheet'!$AE:$AE,P2722,'Input Sheet'!$X:$X)</f>
        <v>0</v>
      </c>
      <c r="O2722" s="311"/>
      <c r="P2722" t="str">
        <f t="shared" si="233"/>
        <v>220-7530</v>
      </c>
      <c r="Q2722" s="315" t="str">
        <f t="shared" si="234"/>
        <v>Admin &amp; Other</v>
      </c>
      <c r="R2722" s="315" t="str">
        <f t="shared" si="235"/>
        <v>Admin &amp; OtherOther Overheads as % of Total Gross Profit</v>
      </c>
      <c r="S2722" s="199"/>
      <c r="T2722" s="199"/>
      <c r="U2722" s="199"/>
    </row>
    <row r="2723" spans="1:21" x14ac:dyDescent="0.25">
      <c r="A2723" t="s">
        <v>996</v>
      </c>
      <c r="B2723" t="s">
        <v>997</v>
      </c>
      <c r="C2723" t="s">
        <v>1005</v>
      </c>
      <c r="D2723">
        <v>7530</v>
      </c>
      <c r="E2723">
        <v>221</v>
      </c>
      <c r="F2723" t="s">
        <v>1408</v>
      </c>
      <c r="G2723" t="s">
        <v>1409</v>
      </c>
      <c r="H2723" s="315" t="s">
        <v>1000</v>
      </c>
      <c r="I2723" s="315" t="s">
        <v>1001</v>
      </c>
      <c r="J2723" s="315" t="str">
        <f t="shared" si="231"/>
        <v>Admin &amp; OtherOther Overheads as % of Total Gross Profit</v>
      </c>
      <c r="K2723" s="315" t="str">
        <f t="shared" si="232"/>
        <v>221Phone &amp; Internet expenses - Toyota</v>
      </c>
      <c r="L2723" s="311">
        <f>+SUMIF('TUNZ Extracted TB'!M:M,$P2723,'TUNZ Extracted TB'!G:G)</f>
        <v>0</v>
      </c>
      <c r="M2723" s="311"/>
      <c r="N2723" s="311">
        <f>+SUMIF('Input Sheet'!$AE:$AE,P2723,'Input Sheet'!$X:$X)</f>
        <v>0</v>
      </c>
      <c r="O2723" s="311"/>
      <c r="P2723" t="str">
        <f t="shared" si="233"/>
        <v>221-7530</v>
      </c>
      <c r="Q2723" s="315" t="str">
        <f t="shared" si="234"/>
        <v>Admin &amp; Other</v>
      </c>
      <c r="R2723" s="315" t="str">
        <f t="shared" si="235"/>
        <v>Admin &amp; OtherOther Overheads as % of Total Gross Profit</v>
      </c>
      <c r="S2723" s="199"/>
      <c r="T2723" s="199"/>
      <c r="U2723" s="199"/>
    </row>
    <row r="2724" spans="1:21" x14ac:dyDescent="0.25">
      <c r="A2724" t="s">
        <v>996</v>
      </c>
      <c r="B2724" t="s">
        <v>997</v>
      </c>
      <c r="C2724" t="s">
        <v>1005</v>
      </c>
      <c r="D2724">
        <v>7530</v>
      </c>
      <c r="E2724">
        <v>230</v>
      </c>
      <c r="F2724" t="s">
        <v>1408</v>
      </c>
      <c r="G2724" t="s">
        <v>1409</v>
      </c>
      <c r="H2724" s="315" t="s">
        <v>1000</v>
      </c>
      <c r="I2724" s="315" t="s">
        <v>1001</v>
      </c>
      <c r="J2724" s="315" t="str">
        <f t="shared" si="231"/>
        <v>Admin &amp; OtherOther Overheads as % of Total Gross Profit</v>
      </c>
      <c r="K2724" s="315" t="str">
        <f t="shared" si="232"/>
        <v>230Phone &amp; Internet expenses - Toyota</v>
      </c>
      <c r="L2724" s="311">
        <f>+SUMIF('TUNZ Extracted TB'!M:M,$P2724,'TUNZ Extracted TB'!G:G)</f>
        <v>0</v>
      </c>
      <c r="M2724" s="311"/>
      <c r="N2724" s="311">
        <f>+SUMIF('Input Sheet'!$AE:$AE,P2724,'Input Sheet'!$X:$X)</f>
        <v>0</v>
      </c>
      <c r="O2724" s="311"/>
      <c r="P2724" t="str">
        <f t="shared" si="233"/>
        <v>230-7530</v>
      </c>
      <c r="Q2724" s="315" t="str">
        <f t="shared" si="234"/>
        <v>Admin &amp; Other</v>
      </c>
      <c r="R2724" s="315" t="str">
        <f t="shared" si="235"/>
        <v>Admin &amp; OtherOther Overheads as % of Total Gross Profit</v>
      </c>
      <c r="S2724" s="199"/>
      <c r="T2724" s="199"/>
      <c r="U2724" s="199"/>
    </row>
    <row r="2725" spans="1:21" x14ac:dyDescent="0.25">
      <c r="A2725" t="s">
        <v>996</v>
      </c>
      <c r="B2725" t="s">
        <v>997</v>
      </c>
      <c r="C2725" t="s">
        <v>1005</v>
      </c>
      <c r="D2725">
        <v>7530</v>
      </c>
      <c r="E2725">
        <v>240</v>
      </c>
      <c r="F2725" t="s">
        <v>1408</v>
      </c>
      <c r="G2725" t="s">
        <v>1409</v>
      </c>
      <c r="H2725" s="315" t="s">
        <v>1000</v>
      </c>
      <c r="I2725" s="315" t="s">
        <v>1001</v>
      </c>
      <c r="J2725" s="315" t="str">
        <f t="shared" si="231"/>
        <v>Admin &amp; OtherOther Overheads as % of Total Gross Profit</v>
      </c>
      <c r="K2725" s="315" t="str">
        <f t="shared" si="232"/>
        <v>240Phone &amp; Internet expenses - Toyota</v>
      </c>
      <c r="L2725" s="311">
        <f>+SUMIF('TUNZ Extracted TB'!M:M,$P2725,'TUNZ Extracted TB'!G:G)</f>
        <v>0</v>
      </c>
      <c r="M2725" s="311"/>
      <c r="N2725" s="311">
        <f>+SUMIF('Input Sheet'!$AE:$AE,P2725,'Input Sheet'!$X:$X)</f>
        <v>0</v>
      </c>
      <c r="O2725" s="311"/>
      <c r="P2725" t="str">
        <f t="shared" si="233"/>
        <v>240-7530</v>
      </c>
      <c r="Q2725" s="315" t="str">
        <f t="shared" si="234"/>
        <v>Admin &amp; Other</v>
      </c>
      <c r="R2725" s="315" t="str">
        <f t="shared" si="235"/>
        <v>Admin &amp; OtherOther Overheads as % of Total Gross Profit</v>
      </c>
      <c r="S2725" s="199"/>
      <c r="T2725" s="199"/>
      <c r="U2725" s="199"/>
    </row>
    <row r="2726" spans="1:21" x14ac:dyDescent="0.25">
      <c r="A2726" t="s">
        <v>996</v>
      </c>
      <c r="B2726" t="s">
        <v>997</v>
      </c>
      <c r="C2726" t="s">
        <v>1005</v>
      </c>
      <c r="D2726">
        <v>7530</v>
      </c>
      <c r="E2726">
        <v>260</v>
      </c>
      <c r="F2726" t="s">
        <v>1408</v>
      </c>
      <c r="G2726" t="s">
        <v>1409</v>
      </c>
      <c r="H2726" s="315" t="s">
        <v>1000</v>
      </c>
      <c r="I2726" s="315" t="s">
        <v>1001</v>
      </c>
      <c r="J2726" s="315" t="str">
        <f t="shared" si="231"/>
        <v>Admin &amp; OtherOther Overheads as % of Total Gross Profit</v>
      </c>
      <c r="K2726" s="315" t="str">
        <f t="shared" si="232"/>
        <v>260Phone &amp; Internet expenses - Toyota</v>
      </c>
      <c r="L2726" s="311">
        <f>+SUMIF('TUNZ Extracted TB'!M:M,$P2726,'TUNZ Extracted TB'!G:G)</f>
        <v>0</v>
      </c>
      <c r="M2726" s="311"/>
      <c r="N2726" s="311">
        <f>+SUMIF('Input Sheet'!$AE:$AE,P2726,'Input Sheet'!$X:$X)</f>
        <v>0</v>
      </c>
      <c r="O2726" s="311"/>
      <c r="P2726" t="str">
        <f t="shared" si="233"/>
        <v>260-7530</v>
      </c>
      <c r="Q2726" s="315" t="str">
        <f t="shared" si="234"/>
        <v>Admin &amp; Other</v>
      </c>
      <c r="R2726" s="315" t="str">
        <f t="shared" si="235"/>
        <v>Admin &amp; OtherOther Overheads as % of Total Gross Profit</v>
      </c>
      <c r="S2726" s="199"/>
      <c r="T2726" s="199"/>
      <c r="U2726" s="199"/>
    </row>
    <row r="2727" spans="1:21" x14ac:dyDescent="0.25">
      <c r="A2727" t="s">
        <v>996</v>
      </c>
      <c r="B2727" t="s">
        <v>997</v>
      </c>
      <c r="C2727" t="s">
        <v>1012</v>
      </c>
      <c r="D2727">
        <v>7530</v>
      </c>
      <c r="E2727">
        <v>400</v>
      </c>
      <c r="F2727" t="s">
        <v>1408</v>
      </c>
      <c r="G2727" t="s">
        <v>1409</v>
      </c>
      <c r="H2727" s="315" t="s">
        <v>1000</v>
      </c>
      <c r="I2727" s="315" t="s">
        <v>1001</v>
      </c>
      <c r="J2727" s="315" t="str">
        <f t="shared" si="231"/>
        <v>Admin &amp; OtherOther Overheads as % of Total Gross Profit</v>
      </c>
      <c r="K2727" s="315" t="str">
        <f t="shared" si="232"/>
        <v>400Phone &amp; Internet expenses - Toyota</v>
      </c>
      <c r="L2727" s="311">
        <f>+SUMIF('TUNZ Extracted TB'!M:M,$P2727,'TUNZ Extracted TB'!G:G)</f>
        <v>0</v>
      </c>
      <c r="M2727" s="311"/>
      <c r="N2727" s="311">
        <f>+SUMIF('Input Sheet'!$AE:$AE,P2727,'Input Sheet'!$X:$X)</f>
        <v>0</v>
      </c>
      <c r="O2727" s="311"/>
      <c r="P2727" t="str">
        <f t="shared" si="233"/>
        <v>400-7530</v>
      </c>
      <c r="Q2727" s="315" t="str">
        <f t="shared" si="234"/>
        <v>Admin &amp; Other</v>
      </c>
      <c r="R2727" s="315" t="str">
        <f t="shared" si="235"/>
        <v>Admin &amp; OtherOther Overheads as % of Total Gross Profit</v>
      </c>
      <c r="S2727" s="199"/>
      <c r="T2727" s="199"/>
      <c r="U2727" s="199"/>
    </row>
    <row r="2728" spans="1:21" x14ac:dyDescent="0.25">
      <c r="A2728" t="s">
        <v>996</v>
      </c>
      <c r="B2728" t="s">
        <v>997</v>
      </c>
      <c r="C2728" t="s">
        <v>1012</v>
      </c>
      <c r="D2728">
        <v>7530</v>
      </c>
      <c r="E2728">
        <v>410</v>
      </c>
      <c r="F2728" t="s">
        <v>1408</v>
      </c>
      <c r="G2728" t="s">
        <v>1409</v>
      </c>
      <c r="H2728" s="315" t="s">
        <v>1000</v>
      </c>
      <c r="I2728" s="315" t="s">
        <v>1001</v>
      </c>
      <c r="J2728" s="315" t="str">
        <f t="shared" si="231"/>
        <v>Admin &amp; OtherOther Overheads as % of Total Gross Profit</v>
      </c>
      <c r="K2728" s="315" t="str">
        <f t="shared" si="232"/>
        <v>410Phone &amp; Internet expenses - Toyota</v>
      </c>
      <c r="L2728" s="311">
        <f>+SUMIF('TUNZ Extracted TB'!M:M,$P2728,'TUNZ Extracted TB'!G:G)</f>
        <v>0</v>
      </c>
      <c r="M2728" s="311"/>
      <c r="N2728" s="311">
        <f>+SUMIF('Input Sheet'!$AE:$AE,P2728,'Input Sheet'!$X:$X)</f>
        <v>0</v>
      </c>
      <c r="O2728" s="311"/>
      <c r="P2728" t="str">
        <f t="shared" si="233"/>
        <v>410-7530</v>
      </c>
      <c r="Q2728" s="315" t="str">
        <f t="shared" si="234"/>
        <v>Admin &amp; Other</v>
      </c>
      <c r="R2728" s="315" t="str">
        <f t="shared" si="235"/>
        <v>Admin &amp; OtherOther Overheads as % of Total Gross Profit</v>
      </c>
      <c r="S2728" s="199"/>
      <c r="T2728" s="199"/>
      <c r="U2728" s="199"/>
    </row>
    <row r="2729" spans="1:21" x14ac:dyDescent="0.25">
      <c r="A2729" t="s">
        <v>996</v>
      </c>
      <c r="B2729" t="s">
        <v>997</v>
      </c>
      <c r="C2729" t="s">
        <v>1012</v>
      </c>
      <c r="D2729">
        <v>7530</v>
      </c>
      <c r="E2729">
        <v>420</v>
      </c>
      <c r="F2729" t="s">
        <v>1408</v>
      </c>
      <c r="G2729" t="s">
        <v>1409</v>
      </c>
      <c r="H2729" s="315" t="s">
        <v>1000</v>
      </c>
      <c r="I2729" s="315" t="s">
        <v>1001</v>
      </c>
      <c r="J2729" s="315" t="str">
        <f t="shared" si="231"/>
        <v>Admin &amp; OtherOther Overheads as % of Total Gross Profit</v>
      </c>
      <c r="K2729" s="315" t="str">
        <f t="shared" si="232"/>
        <v>420Phone &amp; Internet expenses - Toyota</v>
      </c>
      <c r="L2729" s="311">
        <f>+SUMIF('TUNZ Extracted TB'!M:M,$P2729,'TUNZ Extracted TB'!G:G)</f>
        <v>0</v>
      </c>
      <c r="M2729" s="311"/>
      <c r="N2729" s="311">
        <f>+SUMIF('Input Sheet'!$AE:$AE,P2729,'Input Sheet'!$X:$X)</f>
        <v>0</v>
      </c>
      <c r="O2729" s="311"/>
      <c r="P2729" t="str">
        <f t="shared" si="233"/>
        <v>420-7530</v>
      </c>
      <c r="Q2729" s="315" t="str">
        <f t="shared" si="234"/>
        <v>Admin &amp; Other</v>
      </c>
      <c r="R2729" s="315" t="str">
        <f t="shared" si="235"/>
        <v>Admin &amp; OtherOther Overheads as % of Total Gross Profit</v>
      </c>
      <c r="S2729" s="199"/>
      <c r="T2729" s="199"/>
      <c r="U2729" s="199"/>
    </row>
    <row r="2730" spans="1:21" x14ac:dyDescent="0.25">
      <c r="A2730" t="s">
        <v>996</v>
      </c>
      <c r="B2730" t="s">
        <v>997</v>
      </c>
      <c r="C2730" t="s">
        <v>1012</v>
      </c>
      <c r="D2730">
        <v>7530</v>
      </c>
      <c r="E2730">
        <v>421</v>
      </c>
      <c r="F2730" t="s">
        <v>1408</v>
      </c>
      <c r="G2730" t="s">
        <v>1409</v>
      </c>
      <c r="H2730" s="315" t="s">
        <v>1000</v>
      </c>
      <c r="I2730" s="315" t="s">
        <v>1001</v>
      </c>
      <c r="J2730" s="315" t="str">
        <f t="shared" si="231"/>
        <v>Admin &amp; OtherOther Overheads as % of Total Gross Profit</v>
      </c>
      <c r="K2730" s="315" t="str">
        <f t="shared" si="232"/>
        <v>421Phone &amp; Internet expenses - Toyota</v>
      </c>
      <c r="L2730" s="311">
        <f>+SUMIF('TUNZ Extracted TB'!M:M,$P2730,'TUNZ Extracted TB'!G:G)</f>
        <v>0</v>
      </c>
      <c r="M2730" s="311"/>
      <c r="N2730" s="311">
        <f>+SUMIF('Input Sheet'!$AE:$AE,P2730,'Input Sheet'!$X:$X)</f>
        <v>0</v>
      </c>
      <c r="O2730" s="311"/>
      <c r="P2730" t="str">
        <f t="shared" si="233"/>
        <v>421-7530</v>
      </c>
      <c r="Q2730" s="315" t="str">
        <f t="shared" si="234"/>
        <v>Admin &amp; Other</v>
      </c>
      <c r="R2730" s="315" t="str">
        <f t="shared" si="235"/>
        <v>Admin &amp; OtherOther Overheads as % of Total Gross Profit</v>
      </c>
      <c r="S2730" s="199"/>
      <c r="T2730" s="199"/>
      <c r="U2730" s="199"/>
    </row>
    <row r="2731" spans="1:21" x14ac:dyDescent="0.25">
      <c r="A2731" t="s">
        <v>996</v>
      </c>
      <c r="B2731" t="s">
        <v>997</v>
      </c>
      <c r="C2731" t="s">
        <v>1012</v>
      </c>
      <c r="D2731">
        <v>7530</v>
      </c>
      <c r="E2731">
        <v>430</v>
      </c>
      <c r="F2731" t="s">
        <v>1408</v>
      </c>
      <c r="G2731" t="s">
        <v>1409</v>
      </c>
      <c r="H2731" s="315" t="s">
        <v>1000</v>
      </c>
      <c r="I2731" s="315" t="s">
        <v>1001</v>
      </c>
      <c r="J2731" s="315" t="str">
        <f t="shared" si="231"/>
        <v>Admin &amp; OtherOther Overheads as % of Total Gross Profit</v>
      </c>
      <c r="K2731" s="315" t="str">
        <f t="shared" si="232"/>
        <v>430Phone &amp; Internet expenses - Toyota</v>
      </c>
      <c r="L2731" s="311">
        <f>+SUMIF('TUNZ Extracted TB'!M:M,$P2731,'TUNZ Extracted TB'!G:G)</f>
        <v>0</v>
      </c>
      <c r="M2731" s="311"/>
      <c r="N2731" s="311">
        <f>+SUMIF('Input Sheet'!$AE:$AE,P2731,'Input Sheet'!$X:$X)</f>
        <v>0</v>
      </c>
      <c r="O2731" s="311"/>
      <c r="P2731" t="str">
        <f t="shared" si="233"/>
        <v>430-7530</v>
      </c>
      <c r="Q2731" s="315" t="str">
        <f t="shared" si="234"/>
        <v>Admin &amp; Other</v>
      </c>
      <c r="R2731" s="315" t="str">
        <f t="shared" si="235"/>
        <v>Admin &amp; OtherOther Overheads as % of Total Gross Profit</v>
      </c>
      <c r="S2731" s="199"/>
      <c r="T2731" s="199"/>
      <c r="U2731" s="199"/>
    </row>
    <row r="2732" spans="1:21" x14ac:dyDescent="0.25">
      <c r="A2732" t="s">
        <v>996</v>
      </c>
      <c r="B2732" t="s">
        <v>997</v>
      </c>
      <c r="C2732" t="s">
        <v>1012</v>
      </c>
      <c r="D2732">
        <v>7530</v>
      </c>
      <c r="E2732">
        <v>440</v>
      </c>
      <c r="F2732" t="s">
        <v>1408</v>
      </c>
      <c r="G2732" t="s">
        <v>1409</v>
      </c>
      <c r="H2732" s="315" t="s">
        <v>1000</v>
      </c>
      <c r="I2732" s="315" t="s">
        <v>1001</v>
      </c>
      <c r="J2732" s="315" t="str">
        <f t="shared" si="231"/>
        <v>Admin &amp; OtherOther Overheads as % of Total Gross Profit</v>
      </c>
      <c r="K2732" s="315" t="str">
        <f t="shared" si="232"/>
        <v>440Phone &amp; Internet expenses - Toyota</v>
      </c>
      <c r="L2732" s="311">
        <f>+SUMIF('TUNZ Extracted TB'!M:M,$P2732,'TUNZ Extracted TB'!G:G)</f>
        <v>0</v>
      </c>
      <c r="M2732" s="311"/>
      <c r="N2732" s="311">
        <f>+SUMIF('Input Sheet'!$AE:$AE,P2732,'Input Sheet'!$X:$X)</f>
        <v>0</v>
      </c>
      <c r="O2732" s="311"/>
      <c r="P2732" t="str">
        <f t="shared" si="233"/>
        <v>440-7530</v>
      </c>
      <c r="Q2732" s="315" t="str">
        <f t="shared" si="234"/>
        <v>Admin &amp; Other</v>
      </c>
      <c r="R2732" s="315" t="str">
        <f t="shared" si="235"/>
        <v>Admin &amp; OtherOther Overheads as % of Total Gross Profit</v>
      </c>
      <c r="S2732" s="199"/>
      <c r="T2732" s="199"/>
      <c r="U2732" s="199"/>
    </row>
    <row r="2733" spans="1:21" x14ac:dyDescent="0.25">
      <c r="A2733" t="s">
        <v>996</v>
      </c>
      <c r="B2733" t="s">
        <v>997</v>
      </c>
      <c r="C2733" t="s">
        <v>1012</v>
      </c>
      <c r="D2733">
        <v>7530</v>
      </c>
      <c r="E2733">
        <v>460</v>
      </c>
      <c r="F2733" t="s">
        <v>1408</v>
      </c>
      <c r="G2733" t="s">
        <v>1409</v>
      </c>
      <c r="H2733" s="315" t="s">
        <v>1000</v>
      </c>
      <c r="I2733" s="315" t="s">
        <v>1001</v>
      </c>
      <c r="J2733" s="315" t="str">
        <f t="shared" si="231"/>
        <v>Admin &amp; OtherOther Overheads as % of Total Gross Profit</v>
      </c>
      <c r="K2733" s="315" t="str">
        <f t="shared" si="232"/>
        <v>460Phone &amp; Internet expenses - Toyota</v>
      </c>
      <c r="L2733" s="311">
        <f>+SUMIF('TUNZ Extracted TB'!M:M,$P2733,'TUNZ Extracted TB'!G:G)</f>
        <v>0</v>
      </c>
      <c r="M2733" s="311"/>
      <c r="N2733" s="311">
        <f>+SUMIF('Input Sheet'!$AE:$AE,P2733,'Input Sheet'!$X:$X)</f>
        <v>0</v>
      </c>
      <c r="O2733" s="311"/>
      <c r="P2733" t="str">
        <f t="shared" si="233"/>
        <v>460-7530</v>
      </c>
      <c r="Q2733" s="315" t="str">
        <f t="shared" si="234"/>
        <v>Admin &amp; Other</v>
      </c>
      <c r="R2733" s="315" t="str">
        <f t="shared" si="235"/>
        <v>Admin &amp; OtherOther Overheads as % of Total Gross Profit</v>
      </c>
      <c r="S2733" s="199"/>
      <c r="T2733" s="199"/>
      <c r="U2733" s="199"/>
    </row>
    <row r="2734" spans="1:21" x14ac:dyDescent="0.25">
      <c r="A2734" t="s">
        <v>996</v>
      </c>
      <c r="B2734" t="s">
        <v>997</v>
      </c>
      <c r="C2734" t="s">
        <v>1013</v>
      </c>
      <c r="D2734">
        <v>7530</v>
      </c>
      <c r="E2734">
        <v>300</v>
      </c>
      <c r="F2734" t="s">
        <v>1408</v>
      </c>
      <c r="G2734" t="s">
        <v>1409</v>
      </c>
      <c r="H2734" s="315" t="s">
        <v>1000</v>
      </c>
      <c r="I2734" s="315" t="s">
        <v>1001</v>
      </c>
      <c r="J2734" s="315" t="str">
        <f t="shared" si="231"/>
        <v>Admin &amp; OtherOther Overheads as % of Total Gross Profit</v>
      </c>
      <c r="K2734" s="315" t="str">
        <f t="shared" si="232"/>
        <v>300Phone &amp; Internet expenses - Toyota</v>
      </c>
      <c r="L2734" s="311">
        <f>+SUMIF('TUNZ Extracted TB'!M:M,$P2734,'TUNZ Extracted TB'!G:G)</f>
        <v>0</v>
      </c>
      <c r="M2734" s="311"/>
      <c r="N2734" s="311">
        <f>+SUMIF('Input Sheet'!$AE:$AE,P2734,'Input Sheet'!$X:$X)</f>
        <v>0</v>
      </c>
      <c r="O2734" s="311"/>
      <c r="P2734" t="str">
        <f t="shared" si="233"/>
        <v>300-7530</v>
      </c>
      <c r="Q2734" s="315" t="str">
        <f t="shared" si="234"/>
        <v>Admin &amp; Other</v>
      </c>
      <c r="R2734" s="315" t="str">
        <f t="shared" si="235"/>
        <v>Admin &amp; OtherOther Overheads as % of Total Gross Profit</v>
      </c>
      <c r="S2734" s="199"/>
      <c r="T2734" s="199"/>
      <c r="U2734" s="199"/>
    </row>
    <row r="2735" spans="1:21" x14ac:dyDescent="0.25">
      <c r="A2735" t="s">
        <v>996</v>
      </c>
      <c r="B2735" t="s">
        <v>997</v>
      </c>
      <c r="C2735" t="s">
        <v>1013</v>
      </c>
      <c r="D2735">
        <v>7530</v>
      </c>
      <c r="E2735">
        <v>310</v>
      </c>
      <c r="F2735" t="s">
        <v>1408</v>
      </c>
      <c r="G2735" t="s">
        <v>1409</v>
      </c>
      <c r="H2735" s="315" t="s">
        <v>1000</v>
      </c>
      <c r="I2735" s="315" t="s">
        <v>1001</v>
      </c>
      <c r="J2735" s="315" t="str">
        <f t="shared" si="231"/>
        <v>Admin &amp; OtherOther Overheads as % of Total Gross Profit</v>
      </c>
      <c r="K2735" s="315" t="str">
        <f t="shared" si="232"/>
        <v>310Phone &amp; Internet expenses - Toyota</v>
      </c>
      <c r="L2735" s="311">
        <f>+SUMIF('TUNZ Extracted TB'!M:M,$P2735,'TUNZ Extracted TB'!G:G)</f>
        <v>0</v>
      </c>
      <c r="M2735" s="311"/>
      <c r="N2735" s="311">
        <f>+SUMIF('Input Sheet'!$AE:$AE,P2735,'Input Sheet'!$X:$X)</f>
        <v>0</v>
      </c>
      <c r="O2735" s="311"/>
      <c r="P2735" t="str">
        <f t="shared" si="233"/>
        <v>310-7530</v>
      </c>
      <c r="Q2735" s="315" t="str">
        <f t="shared" si="234"/>
        <v>Admin &amp; Other</v>
      </c>
      <c r="R2735" s="315" t="str">
        <f t="shared" si="235"/>
        <v>Admin &amp; OtherOther Overheads as % of Total Gross Profit</v>
      </c>
      <c r="S2735" s="199"/>
      <c r="T2735" s="199"/>
      <c r="U2735" s="199"/>
    </row>
    <row r="2736" spans="1:21" x14ac:dyDescent="0.25">
      <c r="A2736" t="s">
        <v>996</v>
      </c>
      <c r="B2736" t="s">
        <v>997</v>
      </c>
      <c r="C2736" t="s">
        <v>1013</v>
      </c>
      <c r="D2736">
        <v>7530</v>
      </c>
      <c r="E2736">
        <v>321</v>
      </c>
      <c r="F2736" t="s">
        <v>1408</v>
      </c>
      <c r="G2736" t="s">
        <v>1409</v>
      </c>
      <c r="H2736" s="315" t="s">
        <v>1000</v>
      </c>
      <c r="I2736" s="315" t="s">
        <v>1001</v>
      </c>
      <c r="J2736" s="315" t="str">
        <f t="shared" si="231"/>
        <v>Admin &amp; OtherOther Overheads as % of Total Gross Profit</v>
      </c>
      <c r="K2736" s="315" t="str">
        <f t="shared" si="232"/>
        <v>321Phone &amp; Internet expenses - Toyota</v>
      </c>
      <c r="L2736" s="311">
        <f>+SUMIF('TUNZ Extracted TB'!M:M,$P2736,'TUNZ Extracted TB'!G:G)</f>
        <v>0</v>
      </c>
      <c r="M2736" s="311"/>
      <c r="N2736" s="311">
        <f>+SUMIF('Input Sheet'!$AE:$AE,P2736,'Input Sheet'!$X:$X)</f>
        <v>0</v>
      </c>
      <c r="O2736" s="311"/>
      <c r="P2736" t="str">
        <f t="shared" si="233"/>
        <v>321-7530</v>
      </c>
      <c r="Q2736" s="315" t="str">
        <f t="shared" si="234"/>
        <v>Admin &amp; Other</v>
      </c>
      <c r="R2736" s="315" t="str">
        <f t="shared" si="235"/>
        <v>Admin &amp; OtherOther Overheads as % of Total Gross Profit</v>
      </c>
      <c r="S2736" s="199"/>
      <c r="T2736" s="199"/>
      <c r="U2736" s="199"/>
    </row>
    <row r="2737" spans="1:21" x14ac:dyDescent="0.25">
      <c r="A2737" t="s">
        <v>996</v>
      </c>
      <c r="B2737" t="s">
        <v>997</v>
      </c>
      <c r="C2737" t="s">
        <v>1013</v>
      </c>
      <c r="D2737">
        <v>7530</v>
      </c>
      <c r="E2737">
        <v>330</v>
      </c>
      <c r="F2737" t="s">
        <v>1408</v>
      </c>
      <c r="G2737" t="s">
        <v>1409</v>
      </c>
      <c r="H2737" s="315" t="s">
        <v>1000</v>
      </c>
      <c r="I2737" s="315" t="s">
        <v>1001</v>
      </c>
      <c r="J2737" s="315" t="str">
        <f t="shared" si="231"/>
        <v>Admin &amp; OtherOther Overheads as % of Total Gross Profit</v>
      </c>
      <c r="K2737" s="315" t="str">
        <f t="shared" si="232"/>
        <v>330Phone &amp; Internet expenses - Toyota</v>
      </c>
      <c r="L2737" s="311">
        <f>+SUMIF('TUNZ Extracted TB'!M:M,$P2737,'TUNZ Extracted TB'!G:G)</f>
        <v>0</v>
      </c>
      <c r="M2737" s="311"/>
      <c r="N2737" s="311">
        <f>+SUMIF('Input Sheet'!$AE:$AE,P2737,'Input Sheet'!$X:$X)</f>
        <v>0</v>
      </c>
      <c r="O2737" s="311"/>
      <c r="P2737" t="str">
        <f t="shared" si="233"/>
        <v>330-7530</v>
      </c>
      <c r="Q2737" s="315" t="str">
        <f t="shared" si="234"/>
        <v>Admin &amp; Other</v>
      </c>
      <c r="R2737" s="315" t="str">
        <f t="shared" si="235"/>
        <v>Admin &amp; OtherOther Overheads as % of Total Gross Profit</v>
      </c>
      <c r="S2737" s="199"/>
      <c r="T2737" s="199"/>
      <c r="U2737" s="199"/>
    </row>
    <row r="2738" spans="1:21" x14ac:dyDescent="0.25">
      <c r="A2738" t="s">
        <v>996</v>
      </c>
      <c r="B2738" t="s">
        <v>997</v>
      </c>
      <c r="C2738" t="s">
        <v>1013</v>
      </c>
      <c r="D2738">
        <v>7530</v>
      </c>
      <c r="E2738">
        <v>340</v>
      </c>
      <c r="F2738" t="s">
        <v>1408</v>
      </c>
      <c r="G2738" t="s">
        <v>1409</v>
      </c>
      <c r="H2738" s="315" t="s">
        <v>1000</v>
      </c>
      <c r="I2738" s="315" t="s">
        <v>1001</v>
      </c>
      <c r="J2738" s="315" t="str">
        <f t="shared" si="231"/>
        <v>Admin &amp; OtherOther Overheads as % of Total Gross Profit</v>
      </c>
      <c r="K2738" s="315" t="str">
        <f t="shared" si="232"/>
        <v>340Phone &amp; Internet expenses - Toyota</v>
      </c>
      <c r="L2738" s="311">
        <f>+SUMIF('TUNZ Extracted TB'!M:M,$P2738,'TUNZ Extracted TB'!G:G)</f>
        <v>0</v>
      </c>
      <c r="M2738" s="311"/>
      <c r="N2738" s="311">
        <f>+SUMIF('Input Sheet'!$AE:$AE,P2738,'Input Sheet'!$X:$X)</f>
        <v>0</v>
      </c>
      <c r="O2738" s="311"/>
      <c r="P2738" t="str">
        <f t="shared" si="233"/>
        <v>340-7530</v>
      </c>
      <c r="Q2738" s="315" t="str">
        <f t="shared" si="234"/>
        <v>Admin &amp; Other</v>
      </c>
      <c r="R2738" s="315" t="str">
        <f t="shared" si="235"/>
        <v>Admin &amp; OtherOther Overheads as % of Total Gross Profit</v>
      </c>
      <c r="S2738" s="199"/>
      <c r="T2738" s="199"/>
      <c r="U2738" s="199"/>
    </row>
    <row r="2739" spans="1:21" x14ac:dyDescent="0.25">
      <c r="A2739" t="s">
        <v>996</v>
      </c>
      <c r="B2739" t="s">
        <v>997</v>
      </c>
      <c r="C2739" t="s">
        <v>1013</v>
      </c>
      <c r="D2739">
        <v>7530</v>
      </c>
      <c r="E2739">
        <v>360</v>
      </c>
      <c r="F2739" t="s">
        <v>1408</v>
      </c>
      <c r="G2739" t="s">
        <v>1409</v>
      </c>
      <c r="H2739" s="315" t="s">
        <v>1000</v>
      </c>
      <c r="I2739" s="315" t="s">
        <v>1001</v>
      </c>
      <c r="J2739" s="315" t="str">
        <f t="shared" si="231"/>
        <v>Admin &amp; OtherOther Overheads as % of Total Gross Profit</v>
      </c>
      <c r="K2739" s="315" t="str">
        <f t="shared" si="232"/>
        <v>360Phone &amp; Internet expenses - Toyota</v>
      </c>
      <c r="L2739" s="311">
        <f>+SUMIF('TUNZ Extracted TB'!M:M,$P2739,'TUNZ Extracted TB'!G:G)</f>
        <v>0</v>
      </c>
      <c r="M2739" s="311"/>
      <c r="N2739" s="311">
        <f>+SUMIF('Input Sheet'!$AE:$AE,P2739,'Input Sheet'!$X:$X)</f>
        <v>0</v>
      </c>
      <c r="O2739" s="311"/>
      <c r="P2739" t="str">
        <f t="shared" si="233"/>
        <v>360-7530</v>
      </c>
      <c r="Q2739" s="315" t="str">
        <f t="shared" si="234"/>
        <v>Admin &amp; Other</v>
      </c>
      <c r="R2739" s="315" t="str">
        <f t="shared" si="235"/>
        <v>Admin &amp; OtherOther Overheads as % of Total Gross Profit</v>
      </c>
      <c r="S2739" s="199"/>
      <c r="T2739" s="199"/>
      <c r="U2739" s="199"/>
    </row>
    <row r="2740" spans="1:21" x14ac:dyDescent="0.25">
      <c r="A2740" t="s">
        <v>996</v>
      </c>
      <c r="B2740" t="s">
        <v>997</v>
      </c>
      <c r="C2740" t="s">
        <v>997</v>
      </c>
      <c r="D2740">
        <v>7530</v>
      </c>
      <c r="E2740">
        <v>120</v>
      </c>
      <c r="F2740" t="s">
        <v>1408</v>
      </c>
      <c r="G2740" t="s">
        <v>1409</v>
      </c>
      <c r="H2740" s="315" t="s">
        <v>1000</v>
      </c>
      <c r="I2740" s="315" t="s">
        <v>1001</v>
      </c>
      <c r="J2740" s="315" t="str">
        <f t="shared" si="231"/>
        <v>Admin &amp; OtherOther Overheads as % of Total Gross Profit</v>
      </c>
      <c r="K2740" s="315" t="str">
        <f t="shared" si="232"/>
        <v>120Phone &amp; Internet expenses - Toyota</v>
      </c>
      <c r="L2740" s="311">
        <f>+SUMIF('TUNZ Extracted TB'!M:M,$P2740,'TUNZ Extracted TB'!G:G)</f>
        <v>0</v>
      </c>
      <c r="M2740" s="311"/>
      <c r="N2740" s="311">
        <f>+SUMIF('Input Sheet'!$AE:$AE,P2740,'Input Sheet'!$X:$X)</f>
        <v>0</v>
      </c>
      <c r="O2740" s="311"/>
      <c r="P2740" t="str">
        <f t="shared" si="233"/>
        <v>120-7530</v>
      </c>
      <c r="Q2740" s="315" t="str">
        <f t="shared" si="234"/>
        <v>Admin &amp; Other</v>
      </c>
      <c r="R2740" s="315" t="str">
        <f t="shared" si="235"/>
        <v>Admin &amp; OtherOther Overheads as % of Total Gross Profit</v>
      </c>
      <c r="S2740" s="199"/>
      <c r="T2740" s="199"/>
      <c r="U2740" s="199"/>
    </row>
    <row r="2741" spans="1:21" x14ac:dyDescent="0.25">
      <c r="A2741" t="s">
        <v>996</v>
      </c>
      <c r="B2741" t="s">
        <v>997</v>
      </c>
      <c r="C2741" t="s">
        <v>997</v>
      </c>
      <c r="D2741">
        <v>7530</v>
      </c>
      <c r="E2741">
        <v>121</v>
      </c>
      <c r="F2741" t="s">
        <v>1408</v>
      </c>
      <c r="G2741" t="s">
        <v>1409</v>
      </c>
      <c r="H2741" s="315" t="s">
        <v>1000</v>
      </c>
      <c r="I2741" s="315" t="s">
        <v>1001</v>
      </c>
      <c r="J2741" s="315" t="str">
        <f t="shared" si="231"/>
        <v>Admin &amp; OtherOther Overheads as % of Total Gross Profit</v>
      </c>
      <c r="K2741" s="315" t="str">
        <f t="shared" si="232"/>
        <v>121Phone &amp; Internet expenses - Toyota</v>
      </c>
      <c r="L2741" s="311">
        <f>+SUMIF('TUNZ Extracted TB'!M:M,$P2741,'TUNZ Extracted TB'!G:G)</f>
        <v>0</v>
      </c>
      <c r="M2741" s="311"/>
      <c r="N2741" s="311">
        <f>+SUMIF('Input Sheet'!$AE:$AE,P2741,'Input Sheet'!$X:$X)</f>
        <v>0</v>
      </c>
      <c r="O2741" s="311"/>
      <c r="P2741" t="str">
        <f t="shared" si="233"/>
        <v>121-7530</v>
      </c>
      <c r="Q2741" s="315" t="str">
        <f t="shared" si="234"/>
        <v>Admin &amp; Other</v>
      </c>
      <c r="R2741" s="315" t="str">
        <f t="shared" si="235"/>
        <v>Admin &amp; OtherOther Overheads as % of Total Gross Profit</v>
      </c>
      <c r="S2741" s="199"/>
      <c r="T2741" s="199"/>
      <c r="U2741" s="199"/>
    </row>
    <row r="2742" spans="1:21" x14ac:dyDescent="0.25">
      <c r="A2742" t="s">
        <v>996</v>
      </c>
      <c r="B2742" t="s">
        <v>997</v>
      </c>
      <c r="C2742" t="s">
        <v>997</v>
      </c>
      <c r="D2742">
        <v>7530</v>
      </c>
      <c r="E2742">
        <v>147</v>
      </c>
      <c r="F2742" t="s">
        <v>1408</v>
      </c>
      <c r="G2742" t="s">
        <v>1409</v>
      </c>
      <c r="H2742" s="315" t="s">
        <v>1000</v>
      </c>
      <c r="I2742" s="315" t="s">
        <v>1001</v>
      </c>
      <c r="J2742" s="315" t="str">
        <f t="shared" si="231"/>
        <v>Admin &amp; OtherOther Overheads as % of Total Gross Profit</v>
      </c>
      <c r="K2742" s="315" t="str">
        <f t="shared" si="232"/>
        <v>147Phone &amp; Internet expenses - Toyota</v>
      </c>
      <c r="L2742" s="311">
        <f>+SUMIF('TUNZ Extracted TB'!M:M,$P2742,'TUNZ Extracted TB'!G:G)</f>
        <v>0</v>
      </c>
      <c r="M2742" s="311"/>
      <c r="N2742" s="311">
        <f>+SUMIF('Input Sheet'!$AE:$AE,P2742,'Input Sheet'!$X:$X)</f>
        <v>0</v>
      </c>
      <c r="O2742" s="311"/>
      <c r="P2742" t="str">
        <f t="shared" si="233"/>
        <v>147-7530</v>
      </c>
      <c r="Q2742" s="315" t="str">
        <f t="shared" si="234"/>
        <v>Admin &amp; Other</v>
      </c>
      <c r="R2742" s="315" t="str">
        <f t="shared" si="235"/>
        <v>Admin &amp; OtherOther Overheads as % of Total Gross Profit</v>
      </c>
      <c r="S2742" s="199"/>
      <c r="T2742" s="199"/>
      <c r="U2742" s="199"/>
    </row>
    <row r="2743" spans="1:21" x14ac:dyDescent="0.25">
      <c r="A2743" t="s">
        <v>996</v>
      </c>
      <c r="B2743" t="s">
        <v>997</v>
      </c>
      <c r="C2743" t="s">
        <v>997</v>
      </c>
      <c r="D2743">
        <v>7530</v>
      </c>
      <c r="E2743">
        <v>160</v>
      </c>
      <c r="F2743" t="s">
        <v>1408</v>
      </c>
      <c r="G2743" t="s">
        <v>1409</v>
      </c>
      <c r="H2743" s="315" t="s">
        <v>1000</v>
      </c>
      <c r="I2743" s="315" t="s">
        <v>1001</v>
      </c>
      <c r="J2743" s="315" t="str">
        <f t="shared" si="231"/>
        <v>Admin &amp; OtherOther Overheads as % of Total Gross Profit</v>
      </c>
      <c r="K2743" s="315" t="str">
        <f t="shared" si="232"/>
        <v>160Phone &amp; Internet expenses - Toyota</v>
      </c>
      <c r="L2743" s="311">
        <f>+SUMIF('TUNZ Extracted TB'!M:M,$P2743,'TUNZ Extracted TB'!G:G)</f>
        <v>0</v>
      </c>
      <c r="M2743" s="311"/>
      <c r="N2743" s="311">
        <f>+SUMIF('Input Sheet'!$AE:$AE,P2743,'Input Sheet'!$X:$X)</f>
        <v>0</v>
      </c>
      <c r="O2743" s="311"/>
      <c r="P2743" t="str">
        <f t="shared" si="233"/>
        <v>160-7530</v>
      </c>
      <c r="Q2743" s="315" t="str">
        <f t="shared" si="234"/>
        <v>Admin &amp; Other</v>
      </c>
      <c r="R2743" s="315" t="str">
        <f t="shared" si="235"/>
        <v>Admin &amp; OtherOther Overheads as % of Total Gross Profit</v>
      </c>
      <c r="S2743" s="199"/>
      <c r="T2743" s="199"/>
      <c r="U2743" s="199"/>
    </row>
    <row r="2744" spans="1:21" x14ac:dyDescent="0.25">
      <c r="A2744" t="s">
        <v>996</v>
      </c>
      <c r="B2744" t="s">
        <v>997</v>
      </c>
      <c r="C2744" t="s">
        <v>997</v>
      </c>
      <c r="D2744">
        <v>7530</v>
      </c>
      <c r="E2744">
        <v>142</v>
      </c>
      <c r="F2744" t="s">
        <v>1410</v>
      </c>
      <c r="G2744" t="s">
        <v>1411</v>
      </c>
      <c r="H2744" s="315" t="s">
        <v>1023</v>
      </c>
      <c r="I2744" s="315" t="s">
        <v>1001</v>
      </c>
      <c r="J2744" s="315" t="str">
        <f t="shared" si="231"/>
        <v>LEX Admin &amp; OtherOther Overheads as % of Total Gross Profit</v>
      </c>
      <c r="K2744" s="315" t="str">
        <f t="shared" si="232"/>
        <v>142Phone &amp; Internet expenses - Lexus</v>
      </c>
      <c r="L2744" s="311">
        <f>+SUMIF('TUNZ Extracted TB'!M:M,$P2744,'TUNZ Extracted TB'!G:G)</f>
        <v>0</v>
      </c>
      <c r="M2744" s="311"/>
      <c r="N2744" s="311">
        <f>+SUMIF('Input Sheet'!$AE:$AE,P2744,'Input Sheet'!$X:$X)</f>
        <v>0</v>
      </c>
      <c r="O2744" s="311"/>
      <c r="P2744" t="str">
        <f t="shared" si="233"/>
        <v>142-7530</v>
      </c>
      <c r="Q2744" s="315" t="str">
        <f t="shared" si="234"/>
        <v>LEX Admin &amp; Other</v>
      </c>
      <c r="R2744" s="315" t="str">
        <f t="shared" si="235"/>
        <v>LEX Admin &amp; OtherOther Overheads as % of Total Gross Profit</v>
      </c>
      <c r="S2744" s="199"/>
      <c r="T2744" s="199"/>
      <c r="U2744" s="199"/>
    </row>
    <row r="2745" spans="1:21" x14ac:dyDescent="0.25">
      <c r="A2745" t="s">
        <v>996</v>
      </c>
      <c r="B2745" t="s">
        <v>997</v>
      </c>
      <c r="C2745" t="s">
        <v>997</v>
      </c>
      <c r="D2745">
        <v>7530</v>
      </c>
      <c r="E2745">
        <v>112</v>
      </c>
      <c r="F2745" t="s">
        <v>1410</v>
      </c>
      <c r="G2745" t="s">
        <v>1411</v>
      </c>
      <c r="H2745" s="315" t="s">
        <v>1023</v>
      </c>
      <c r="I2745" s="315" t="s">
        <v>1001</v>
      </c>
      <c r="J2745" s="315" t="str">
        <f t="shared" si="231"/>
        <v>LEX Admin &amp; OtherOther Overheads as % of Total Gross Profit</v>
      </c>
      <c r="K2745" s="315" t="str">
        <f t="shared" si="232"/>
        <v>112Phone &amp; Internet expenses - Lexus</v>
      </c>
      <c r="L2745" s="311">
        <f>+SUMIF('TUNZ Extracted TB'!M:M,$P2745,'TUNZ Extracted TB'!G:G)</f>
        <v>0</v>
      </c>
      <c r="M2745" s="311"/>
      <c r="N2745" s="311">
        <f>+SUMIF('Input Sheet'!$AE:$AE,P2745,'Input Sheet'!$X:$X)</f>
        <v>0</v>
      </c>
      <c r="O2745" s="311"/>
      <c r="P2745" t="str">
        <f t="shared" si="233"/>
        <v>112-7530</v>
      </c>
      <c r="Q2745" s="315" t="str">
        <f t="shared" si="234"/>
        <v>LEX Admin &amp; Other</v>
      </c>
      <c r="R2745" s="315" t="str">
        <f t="shared" si="235"/>
        <v>LEX Admin &amp; OtherOther Overheads as % of Total Gross Profit</v>
      </c>
      <c r="S2745" s="199"/>
      <c r="T2745" s="199"/>
      <c r="U2745" s="199"/>
    </row>
    <row r="2746" spans="1:21" x14ac:dyDescent="0.25">
      <c r="A2746" t="s">
        <v>996</v>
      </c>
      <c r="B2746" t="s">
        <v>997</v>
      </c>
      <c r="C2746" t="s">
        <v>997</v>
      </c>
      <c r="D2746">
        <v>7530</v>
      </c>
      <c r="E2746">
        <v>100</v>
      </c>
      <c r="F2746" t="s">
        <v>1408</v>
      </c>
      <c r="G2746" t="s">
        <v>1409</v>
      </c>
      <c r="H2746" s="315" t="s">
        <v>1000</v>
      </c>
      <c r="I2746" s="315" t="s">
        <v>1001</v>
      </c>
      <c r="J2746" s="315" t="str">
        <f t="shared" si="231"/>
        <v>Admin &amp; OtherOther Overheads as % of Total Gross Profit</v>
      </c>
      <c r="K2746" s="315" t="str">
        <f t="shared" si="232"/>
        <v>100Phone &amp; Internet expenses - Toyota</v>
      </c>
      <c r="L2746" s="311">
        <f>+SUMIF('TUNZ Extracted TB'!M:M,$P2746,'TUNZ Extracted TB'!G:G)</f>
        <v>0</v>
      </c>
      <c r="M2746" s="311"/>
      <c r="N2746" s="311">
        <f>+SUMIF('Input Sheet'!$AE:$AE,P2746,'Input Sheet'!$X:$X)</f>
        <v>0</v>
      </c>
      <c r="O2746" s="311"/>
      <c r="P2746" t="str">
        <f t="shared" si="233"/>
        <v>100-7530</v>
      </c>
      <c r="Q2746" s="315" t="str">
        <f t="shared" si="234"/>
        <v>Admin &amp; Other</v>
      </c>
      <c r="R2746" s="315" t="str">
        <f t="shared" si="235"/>
        <v>Admin &amp; OtherOther Overheads as % of Total Gross Profit</v>
      </c>
      <c r="S2746" s="199"/>
      <c r="T2746" s="199"/>
      <c r="U2746" s="199"/>
    </row>
    <row r="2747" spans="1:21" x14ac:dyDescent="0.25">
      <c r="A2747" t="s">
        <v>996</v>
      </c>
      <c r="B2747" t="s">
        <v>997</v>
      </c>
      <c r="C2747" t="s">
        <v>997</v>
      </c>
      <c r="D2747">
        <v>7530</v>
      </c>
      <c r="E2747">
        <v>110</v>
      </c>
      <c r="F2747" t="s">
        <v>1408</v>
      </c>
      <c r="G2747" t="s">
        <v>1409</v>
      </c>
      <c r="H2747" s="315" t="s">
        <v>1000</v>
      </c>
      <c r="I2747" s="315" t="s">
        <v>1001</v>
      </c>
      <c r="J2747" s="315" t="str">
        <f t="shared" si="231"/>
        <v>Admin &amp; OtherOther Overheads as % of Total Gross Profit</v>
      </c>
      <c r="K2747" s="315" t="str">
        <f t="shared" si="232"/>
        <v>110Phone &amp; Internet expenses - Toyota</v>
      </c>
      <c r="L2747" s="311">
        <f>+SUMIF('TUNZ Extracted TB'!M:M,$P2747,'TUNZ Extracted TB'!G:G)</f>
        <v>0</v>
      </c>
      <c r="M2747" s="311"/>
      <c r="N2747" s="311">
        <f>+SUMIF('Input Sheet'!$AE:$AE,P2747,'Input Sheet'!$X:$X)</f>
        <v>0</v>
      </c>
      <c r="O2747" s="311"/>
      <c r="P2747" t="str">
        <f t="shared" si="233"/>
        <v>110-7530</v>
      </c>
      <c r="Q2747" s="315" t="str">
        <f t="shared" si="234"/>
        <v>Admin &amp; Other</v>
      </c>
      <c r="R2747" s="315" t="str">
        <f t="shared" si="235"/>
        <v>Admin &amp; OtherOther Overheads as % of Total Gross Profit</v>
      </c>
      <c r="S2747" s="199"/>
      <c r="T2747" s="199"/>
      <c r="U2747" s="199"/>
    </row>
    <row r="2748" spans="1:21" x14ac:dyDescent="0.25">
      <c r="A2748" t="s">
        <v>996</v>
      </c>
      <c r="B2748" t="s">
        <v>997</v>
      </c>
      <c r="C2748" t="s">
        <v>997</v>
      </c>
      <c r="D2748">
        <v>7535</v>
      </c>
      <c r="E2748">
        <v>120</v>
      </c>
      <c r="F2748" t="s">
        <v>1408</v>
      </c>
      <c r="G2748" t="s">
        <v>1409</v>
      </c>
      <c r="H2748" s="315" t="s">
        <v>1000</v>
      </c>
      <c r="I2748" s="315" t="s">
        <v>1001</v>
      </c>
      <c r="J2748" s="315" t="str">
        <f t="shared" si="231"/>
        <v>Admin &amp; OtherOther Overheads as % of Total Gross Profit</v>
      </c>
      <c r="K2748" s="315" t="str">
        <f t="shared" si="232"/>
        <v>120Phone &amp; Internet expenses - Toyota</v>
      </c>
      <c r="L2748" s="311">
        <f>+SUMIF('TUNZ Extracted TB'!M:M,$P2748,'TUNZ Extracted TB'!G:G)</f>
        <v>2457.4499999999998</v>
      </c>
      <c r="M2748" s="311"/>
      <c r="N2748" s="311">
        <f>+SUMIF('Input Sheet'!$AE:$AE,P2748,'Input Sheet'!$X:$X)</f>
        <v>0</v>
      </c>
      <c r="O2748" s="311"/>
      <c r="P2748" t="str">
        <f t="shared" si="233"/>
        <v>120-7535</v>
      </c>
      <c r="Q2748" s="315" t="str">
        <f t="shared" si="234"/>
        <v>Admin &amp; Other</v>
      </c>
      <c r="R2748" s="315" t="str">
        <f t="shared" si="235"/>
        <v>Admin &amp; OtherOther Overheads as % of Total Gross Profit</v>
      </c>
      <c r="S2748" s="199"/>
      <c r="T2748" s="199"/>
      <c r="U2748" s="199"/>
    </row>
    <row r="2749" spans="1:21" x14ac:dyDescent="0.25">
      <c r="A2749" t="s">
        <v>996</v>
      </c>
      <c r="B2749" t="s">
        <v>997</v>
      </c>
      <c r="C2749" t="s">
        <v>1005</v>
      </c>
      <c r="D2749">
        <v>7535</v>
      </c>
      <c r="E2749">
        <v>230</v>
      </c>
      <c r="F2749" t="s">
        <v>1408</v>
      </c>
      <c r="G2749" t="s">
        <v>1409</v>
      </c>
      <c r="H2749" s="315" t="s">
        <v>1000</v>
      </c>
      <c r="I2749" s="315" t="s">
        <v>1001</v>
      </c>
      <c r="J2749" s="315" t="str">
        <f t="shared" si="231"/>
        <v>Admin &amp; OtherOther Overheads as % of Total Gross Profit</v>
      </c>
      <c r="K2749" s="315" t="str">
        <f t="shared" si="232"/>
        <v>230Phone &amp; Internet expenses - Toyota</v>
      </c>
      <c r="L2749" s="311">
        <f>+SUMIF('TUNZ Extracted TB'!M:M,$P2749,'TUNZ Extracted TB'!G:G)</f>
        <v>834.09</v>
      </c>
      <c r="M2749" s="311"/>
      <c r="N2749" s="311">
        <f>+SUMIF('Input Sheet'!$AE:$AE,P2749,'Input Sheet'!$X:$X)</f>
        <v>0</v>
      </c>
      <c r="O2749" s="311"/>
      <c r="P2749" t="str">
        <f t="shared" si="233"/>
        <v>230-7535</v>
      </c>
      <c r="Q2749" s="315" t="str">
        <f t="shared" si="234"/>
        <v>Admin &amp; Other</v>
      </c>
      <c r="R2749" s="315" t="str">
        <f t="shared" si="235"/>
        <v>Admin &amp; OtherOther Overheads as % of Total Gross Profit</v>
      </c>
      <c r="S2749" s="199"/>
      <c r="T2749" s="199"/>
      <c r="U2749" s="199"/>
    </row>
    <row r="2750" spans="1:21" x14ac:dyDescent="0.25">
      <c r="A2750" t="s">
        <v>996</v>
      </c>
      <c r="B2750" t="s">
        <v>997</v>
      </c>
      <c r="C2750" t="s">
        <v>1005</v>
      </c>
      <c r="D2750">
        <v>7535</v>
      </c>
      <c r="E2750">
        <v>210</v>
      </c>
      <c r="F2750" t="s">
        <v>1408</v>
      </c>
      <c r="G2750" t="s">
        <v>1409</v>
      </c>
      <c r="H2750" s="315" t="s">
        <v>1000</v>
      </c>
      <c r="I2750" s="315" t="s">
        <v>1001</v>
      </c>
      <c r="J2750" s="315" t="str">
        <f t="shared" si="231"/>
        <v>Admin &amp; OtherOther Overheads as % of Total Gross Profit</v>
      </c>
      <c r="K2750" s="315" t="str">
        <f t="shared" si="232"/>
        <v>210Phone &amp; Internet expenses - Toyota</v>
      </c>
      <c r="L2750" s="311">
        <f>+SUMIF('TUNZ Extracted TB'!M:M,$P2750,'TUNZ Extracted TB'!G:G)</f>
        <v>823.17</v>
      </c>
      <c r="M2750" s="311"/>
      <c r="N2750" s="311">
        <f>+SUMIF('Input Sheet'!$AE:$AE,P2750,'Input Sheet'!$X:$X)</f>
        <v>0</v>
      </c>
      <c r="O2750" s="311"/>
      <c r="P2750" t="str">
        <f t="shared" si="233"/>
        <v>210-7535</v>
      </c>
      <c r="Q2750" s="315" t="str">
        <f t="shared" si="234"/>
        <v>Admin &amp; Other</v>
      </c>
      <c r="R2750" s="315" t="str">
        <f t="shared" si="235"/>
        <v>Admin &amp; OtherOther Overheads as % of Total Gross Profit</v>
      </c>
      <c r="S2750" s="199"/>
      <c r="T2750" s="199"/>
      <c r="U2750" s="199"/>
    </row>
    <row r="2751" spans="1:21" x14ac:dyDescent="0.25">
      <c r="A2751" t="s">
        <v>996</v>
      </c>
      <c r="B2751" t="s">
        <v>997</v>
      </c>
      <c r="C2751" t="s">
        <v>997</v>
      </c>
      <c r="D2751">
        <v>7535</v>
      </c>
      <c r="E2751">
        <v>160</v>
      </c>
      <c r="F2751" t="s">
        <v>1408</v>
      </c>
      <c r="G2751" t="s">
        <v>1409</v>
      </c>
      <c r="H2751" s="315" t="s">
        <v>1000</v>
      </c>
      <c r="I2751" s="315" t="s">
        <v>1001</v>
      </c>
      <c r="J2751" s="315" t="str">
        <f t="shared" si="231"/>
        <v>Admin &amp; OtherOther Overheads as % of Total Gross Profit</v>
      </c>
      <c r="K2751" s="315" t="str">
        <f t="shared" si="232"/>
        <v>160Phone &amp; Internet expenses - Toyota</v>
      </c>
      <c r="L2751" s="311">
        <f>+SUMIF('TUNZ Extracted TB'!M:M,$P2751,'TUNZ Extracted TB'!G:G)</f>
        <v>743.19</v>
      </c>
      <c r="M2751" s="311"/>
      <c r="N2751" s="311">
        <f>+SUMIF('Input Sheet'!$AE:$AE,P2751,'Input Sheet'!$X:$X)</f>
        <v>0</v>
      </c>
      <c r="O2751" s="311"/>
      <c r="P2751" t="str">
        <f t="shared" si="233"/>
        <v>160-7535</v>
      </c>
      <c r="Q2751" s="315" t="str">
        <f t="shared" si="234"/>
        <v>Admin &amp; Other</v>
      </c>
      <c r="R2751" s="315" t="str">
        <f t="shared" si="235"/>
        <v>Admin &amp; OtherOther Overheads as % of Total Gross Profit</v>
      </c>
      <c r="S2751" s="199"/>
      <c r="T2751" s="199"/>
      <c r="U2751" s="199"/>
    </row>
    <row r="2752" spans="1:21" x14ac:dyDescent="0.25">
      <c r="A2752" t="s">
        <v>996</v>
      </c>
      <c r="B2752" t="s">
        <v>997</v>
      </c>
      <c r="C2752" t="s">
        <v>1005</v>
      </c>
      <c r="D2752">
        <v>7535</v>
      </c>
      <c r="E2752">
        <v>240</v>
      </c>
      <c r="F2752" t="s">
        <v>1408</v>
      </c>
      <c r="G2752" t="s">
        <v>1409</v>
      </c>
      <c r="H2752" s="315" t="s">
        <v>1000</v>
      </c>
      <c r="I2752" s="315" t="s">
        <v>1001</v>
      </c>
      <c r="J2752" s="315" t="str">
        <f t="shared" si="231"/>
        <v>Admin &amp; OtherOther Overheads as % of Total Gross Profit</v>
      </c>
      <c r="K2752" s="315" t="str">
        <f t="shared" si="232"/>
        <v>240Phone &amp; Internet expenses - Toyota</v>
      </c>
      <c r="L2752" s="311">
        <f>+SUMIF('TUNZ Extracted TB'!M:M,$P2752,'TUNZ Extracted TB'!G:G)</f>
        <v>697.8</v>
      </c>
      <c r="M2752" s="311"/>
      <c r="N2752" s="311">
        <f>+SUMIF('Input Sheet'!$AE:$AE,P2752,'Input Sheet'!$X:$X)</f>
        <v>0</v>
      </c>
      <c r="O2752" s="311"/>
      <c r="P2752" t="str">
        <f t="shared" si="233"/>
        <v>240-7535</v>
      </c>
      <c r="Q2752" s="315" t="str">
        <f t="shared" si="234"/>
        <v>Admin &amp; Other</v>
      </c>
      <c r="R2752" s="315" t="str">
        <f t="shared" si="235"/>
        <v>Admin &amp; OtherOther Overheads as % of Total Gross Profit</v>
      </c>
      <c r="S2752" s="199"/>
      <c r="T2752" s="199"/>
      <c r="U2752" s="199"/>
    </row>
    <row r="2753" spans="1:21" x14ac:dyDescent="0.25">
      <c r="A2753" t="s">
        <v>996</v>
      </c>
      <c r="B2753" t="s">
        <v>997</v>
      </c>
      <c r="C2753" t="s">
        <v>1005</v>
      </c>
      <c r="D2753">
        <v>7535</v>
      </c>
      <c r="E2753">
        <v>220</v>
      </c>
      <c r="F2753" t="s">
        <v>1408</v>
      </c>
      <c r="G2753" t="s">
        <v>1409</v>
      </c>
      <c r="H2753" s="315" t="s">
        <v>1000</v>
      </c>
      <c r="I2753" s="315" t="s">
        <v>1001</v>
      </c>
      <c r="J2753" s="315" t="str">
        <f t="shared" si="231"/>
        <v>Admin &amp; OtherOther Overheads as % of Total Gross Profit</v>
      </c>
      <c r="K2753" s="315" t="str">
        <f t="shared" si="232"/>
        <v>220Phone &amp; Internet expenses - Toyota</v>
      </c>
      <c r="L2753" s="311">
        <f>+SUMIF('TUNZ Extracted TB'!M:M,$P2753,'TUNZ Extracted TB'!G:G)</f>
        <v>493.66</v>
      </c>
      <c r="M2753" s="311"/>
      <c r="N2753" s="311">
        <f>+SUMIF('Input Sheet'!$AE:$AE,P2753,'Input Sheet'!$X:$X)</f>
        <v>0</v>
      </c>
      <c r="O2753" s="311"/>
      <c r="P2753" t="str">
        <f t="shared" si="233"/>
        <v>220-7535</v>
      </c>
      <c r="Q2753" s="315" t="str">
        <f t="shared" si="234"/>
        <v>Admin &amp; Other</v>
      </c>
      <c r="R2753" s="315" t="str">
        <f t="shared" si="235"/>
        <v>Admin &amp; OtherOther Overheads as % of Total Gross Profit</v>
      </c>
      <c r="S2753" s="199"/>
      <c r="T2753" s="199"/>
      <c r="U2753" s="199"/>
    </row>
    <row r="2754" spans="1:21" x14ac:dyDescent="0.25">
      <c r="A2754" t="s">
        <v>996</v>
      </c>
      <c r="B2754" t="s">
        <v>997</v>
      </c>
      <c r="C2754" t="s">
        <v>997</v>
      </c>
      <c r="D2754">
        <v>7535</v>
      </c>
      <c r="E2754">
        <v>935</v>
      </c>
      <c r="F2754" t="s">
        <v>1175</v>
      </c>
      <c r="G2754" t="s">
        <v>1176</v>
      </c>
      <c r="H2754" s="315" t="s">
        <v>1023</v>
      </c>
      <c r="I2754" s="315" t="s">
        <v>1001</v>
      </c>
      <c r="J2754" s="315" t="str">
        <f t="shared" si="231"/>
        <v>LEX Admin &amp; OtherOther Overheads as % of Total Gross Profit</v>
      </c>
      <c r="K2754" s="315" t="str">
        <f t="shared" si="232"/>
        <v>935Other franchise/business expense</v>
      </c>
      <c r="L2754" s="311">
        <f>+SUMIF('TUNZ Extracted TB'!M:M,$P2754,'TUNZ Extracted TB'!G:G)</f>
        <v>354.27</v>
      </c>
      <c r="M2754" s="311"/>
      <c r="N2754" s="311">
        <f>+SUMIF('Input Sheet'!$AE:$AE,P2754,'Input Sheet'!$X:$X)</f>
        <v>0</v>
      </c>
      <c r="O2754" s="311"/>
      <c r="P2754" t="str">
        <f t="shared" si="233"/>
        <v>935-7535</v>
      </c>
      <c r="Q2754" s="315" t="str">
        <f t="shared" si="234"/>
        <v>LEX Admin &amp; Other</v>
      </c>
      <c r="R2754" s="315" t="str">
        <f t="shared" si="235"/>
        <v>LEX Admin &amp; OtherOther Overheads as % of Total Gross Profit</v>
      </c>
      <c r="S2754" s="199"/>
      <c r="T2754" s="199"/>
      <c r="U2754" s="199"/>
    </row>
    <row r="2755" spans="1:21" x14ac:dyDescent="0.25">
      <c r="A2755" t="s">
        <v>996</v>
      </c>
      <c r="B2755" t="s">
        <v>997</v>
      </c>
      <c r="C2755" t="s">
        <v>1013</v>
      </c>
      <c r="D2755">
        <v>7535</v>
      </c>
      <c r="E2755">
        <v>340</v>
      </c>
      <c r="F2755" t="s">
        <v>1408</v>
      </c>
      <c r="G2755" t="s">
        <v>1409</v>
      </c>
      <c r="H2755" s="315" t="s">
        <v>1000</v>
      </c>
      <c r="I2755" s="315" t="s">
        <v>1001</v>
      </c>
      <c r="J2755" s="315" t="str">
        <f t="shared" ref="J2755:J2818" si="236">+H2755&amp;I2755</f>
        <v>Admin &amp; OtherOther Overheads as % of Total Gross Profit</v>
      </c>
      <c r="K2755" s="315" t="str">
        <f t="shared" ref="K2755:K2818" si="237">+E2755&amp;G2755</f>
        <v>340Phone &amp; Internet expenses - Toyota</v>
      </c>
      <c r="L2755" s="311">
        <f>+SUMIF('TUNZ Extracted TB'!M:M,$P2755,'TUNZ Extracted TB'!G:G)</f>
        <v>339.17</v>
      </c>
      <c r="M2755" s="311"/>
      <c r="N2755" s="311">
        <f>+SUMIF('Input Sheet'!$AE:$AE,P2755,'Input Sheet'!$X:$X)</f>
        <v>0</v>
      </c>
      <c r="O2755" s="311"/>
      <c r="P2755" t="str">
        <f t="shared" ref="P2755:P2818" si="238">+E2755&amp;"-"&amp;D2755</f>
        <v>340-7535</v>
      </c>
      <c r="Q2755" s="315" t="str">
        <f t="shared" ref="Q2755:Q2818" si="239">H2755</f>
        <v>Admin &amp; Other</v>
      </c>
      <c r="R2755" s="315" t="str">
        <f t="shared" ref="R2755:R2818" si="240">J2755</f>
        <v>Admin &amp; OtherOther Overheads as % of Total Gross Profit</v>
      </c>
      <c r="S2755" s="199"/>
      <c r="T2755" s="199"/>
      <c r="U2755" s="199"/>
    </row>
    <row r="2756" spans="1:21" x14ac:dyDescent="0.25">
      <c r="A2756" t="s">
        <v>996</v>
      </c>
      <c r="B2756" t="s">
        <v>997</v>
      </c>
      <c r="C2756" t="s">
        <v>997</v>
      </c>
      <c r="D2756">
        <v>7535</v>
      </c>
      <c r="E2756">
        <v>936</v>
      </c>
      <c r="F2756" t="s">
        <v>1175</v>
      </c>
      <c r="G2756" t="s">
        <v>1176</v>
      </c>
      <c r="H2756" s="315" t="s">
        <v>1023</v>
      </c>
      <c r="I2756" s="315" t="s">
        <v>1001</v>
      </c>
      <c r="J2756" s="315" t="str">
        <f t="shared" si="236"/>
        <v>LEX Admin &amp; OtherOther Overheads as % of Total Gross Profit</v>
      </c>
      <c r="K2756" s="315" t="str">
        <f t="shared" si="237"/>
        <v>936Other franchise/business expense</v>
      </c>
      <c r="L2756" s="311">
        <f>+SUMIF('TUNZ Extracted TB'!M:M,$P2756,'TUNZ Extracted TB'!G:G)</f>
        <v>308.54000000000002</v>
      </c>
      <c r="M2756" s="311"/>
      <c r="N2756" s="311">
        <f>+SUMIF('Input Sheet'!$AE:$AE,P2756,'Input Sheet'!$X:$X)</f>
        <v>0</v>
      </c>
      <c r="O2756" s="311"/>
      <c r="P2756" t="str">
        <f t="shared" si="238"/>
        <v>936-7535</v>
      </c>
      <c r="Q2756" s="315" t="str">
        <f t="shared" si="239"/>
        <v>LEX Admin &amp; Other</v>
      </c>
      <c r="R2756" s="315" t="str">
        <f t="shared" si="240"/>
        <v>LEX Admin &amp; OtherOther Overheads as % of Total Gross Profit</v>
      </c>
      <c r="S2756" s="199"/>
      <c r="T2756" s="199"/>
      <c r="U2756" s="199"/>
    </row>
    <row r="2757" spans="1:21" x14ac:dyDescent="0.25">
      <c r="A2757" s="316">
        <v>44866</v>
      </c>
      <c r="B2757" t="s">
        <v>997</v>
      </c>
      <c r="C2757" t="s">
        <v>997</v>
      </c>
      <c r="D2757">
        <v>7535</v>
      </c>
      <c r="E2757">
        <v>190</v>
      </c>
      <c r="G2757" t="s">
        <v>951</v>
      </c>
      <c r="H2757" s="315" t="s">
        <v>1000</v>
      </c>
      <c r="I2757" s="315" t="s">
        <v>1001</v>
      </c>
      <c r="J2757" s="315" t="str">
        <f t="shared" si="236"/>
        <v>Admin &amp; OtherOther Overheads as % of Total Gross Profit</v>
      </c>
      <c r="K2757" s="315" t="str">
        <f t="shared" si="237"/>
        <v>190Telephone Tolls</v>
      </c>
      <c r="L2757" s="311">
        <f>+SUMIF('TUNZ Extracted TB'!M:M,$P2757,'TUNZ Extracted TB'!G:G)</f>
        <v>262.94</v>
      </c>
      <c r="M2757" s="311"/>
      <c r="N2757" s="311">
        <f>+SUMIF('Input Sheet'!$AE:$AE,P2757,'Input Sheet'!$X:$X)</f>
        <v>0</v>
      </c>
      <c r="O2757" s="311"/>
      <c r="P2757" t="str">
        <f t="shared" si="238"/>
        <v>190-7535</v>
      </c>
      <c r="Q2757" s="315" t="str">
        <f t="shared" si="239"/>
        <v>Admin &amp; Other</v>
      </c>
      <c r="R2757" s="315" t="str">
        <f t="shared" si="240"/>
        <v>Admin &amp; OtherOther Overheads as % of Total Gross Profit</v>
      </c>
      <c r="S2757" s="199"/>
      <c r="T2757" s="199"/>
      <c r="U2757" s="199"/>
    </row>
    <row r="2758" spans="1:21" x14ac:dyDescent="0.25">
      <c r="A2758" t="s">
        <v>996</v>
      </c>
      <c r="B2758" t="s">
        <v>997</v>
      </c>
      <c r="C2758" t="s">
        <v>1005</v>
      </c>
      <c r="D2758">
        <v>7535</v>
      </c>
      <c r="E2758">
        <v>260</v>
      </c>
      <c r="F2758" t="s">
        <v>1408</v>
      </c>
      <c r="G2758" t="s">
        <v>1409</v>
      </c>
      <c r="H2758" s="315" t="s">
        <v>1000</v>
      </c>
      <c r="I2758" s="315" t="s">
        <v>1001</v>
      </c>
      <c r="J2758" s="315" t="str">
        <f t="shared" si="236"/>
        <v>Admin &amp; OtherOther Overheads as % of Total Gross Profit</v>
      </c>
      <c r="K2758" s="315" t="str">
        <f t="shared" si="237"/>
        <v>260Phone &amp; Internet expenses - Toyota</v>
      </c>
      <c r="L2758" s="311">
        <f>+SUMIF('TUNZ Extracted TB'!M:M,$P2758,'TUNZ Extracted TB'!G:G)</f>
        <v>0</v>
      </c>
      <c r="M2758" s="311"/>
      <c r="N2758" s="311">
        <f>+SUMIF('Input Sheet'!$AE:$AE,P2758,'Input Sheet'!$X:$X)</f>
        <v>0</v>
      </c>
      <c r="O2758" s="311"/>
      <c r="P2758" t="str">
        <f t="shared" si="238"/>
        <v>260-7535</v>
      </c>
      <c r="Q2758" s="315" t="str">
        <f t="shared" si="239"/>
        <v>Admin &amp; Other</v>
      </c>
      <c r="R2758" s="315" t="str">
        <f t="shared" si="240"/>
        <v>Admin &amp; OtherOther Overheads as % of Total Gross Profit</v>
      </c>
      <c r="S2758" s="199"/>
      <c r="T2758" s="199"/>
      <c r="U2758" s="199"/>
    </row>
    <row r="2759" spans="1:21" x14ac:dyDescent="0.25">
      <c r="A2759" t="s">
        <v>996</v>
      </c>
      <c r="B2759" t="s">
        <v>997</v>
      </c>
      <c r="C2759" t="s">
        <v>997</v>
      </c>
      <c r="D2759">
        <v>7535</v>
      </c>
      <c r="E2759">
        <v>150</v>
      </c>
      <c r="F2759" t="s">
        <v>1408</v>
      </c>
      <c r="G2759" t="s">
        <v>1409</v>
      </c>
      <c r="H2759" s="315" t="s">
        <v>1023</v>
      </c>
      <c r="I2759" s="315" t="s">
        <v>1001</v>
      </c>
      <c r="J2759" s="315" t="str">
        <f t="shared" si="236"/>
        <v>LEX Admin &amp; OtherOther Overheads as % of Total Gross Profit</v>
      </c>
      <c r="K2759" s="315" t="str">
        <f t="shared" si="237"/>
        <v>150Phone &amp; Internet expenses - Toyota</v>
      </c>
      <c r="L2759" s="311">
        <f>+SUMIF('TUNZ Extracted TB'!M:M,$P2759,'TUNZ Extracted TB'!G:G)</f>
        <v>37.56</v>
      </c>
      <c r="M2759" s="311"/>
      <c r="N2759" s="311">
        <f>+SUMIF('Input Sheet'!$AE:$AE,P2759,'Input Sheet'!$X:$X)</f>
        <v>0</v>
      </c>
      <c r="O2759" s="311"/>
      <c r="P2759" t="str">
        <f t="shared" si="238"/>
        <v>150-7535</v>
      </c>
      <c r="Q2759" s="315" t="str">
        <f t="shared" si="239"/>
        <v>LEX Admin &amp; Other</v>
      </c>
      <c r="R2759" s="315" t="str">
        <f t="shared" si="240"/>
        <v>LEX Admin &amp; OtherOther Overheads as % of Total Gross Profit</v>
      </c>
      <c r="S2759" s="199"/>
      <c r="T2759" s="199"/>
      <c r="U2759" s="199"/>
    </row>
    <row r="2760" spans="1:21" x14ac:dyDescent="0.25">
      <c r="A2760" t="s">
        <v>996</v>
      </c>
      <c r="B2760" t="s">
        <v>997</v>
      </c>
      <c r="C2760" t="s">
        <v>997</v>
      </c>
      <c r="D2760">
        <v>7535</v>
      </c>
      <c r="E2760">
        <v>122</v>
      </c>
      <c r="F2760" t="s">
        <v>1410</v>
      </c>
      <c r="G2760" t="s">
        <v>1411</v>
      </c>
      <c r="H2760" s="315" t="s">
        <v>1023</v>
      </c>
      <c r="I2760" s="315" t="s">
        <v>1001</v>
      </c>
      <c r="J2760" s="315" t="str">
        <f t="shared" si="236"/>
        <v>LEX Admin &amp; OtherOther Overheads as % of Total Gross Profit</v>
      </c>
      <c r="K2760" s="315" t="str">
        <f t="shared" si="237"/>
        <v>122Phone &amp; Internet expenses - Lexus</v>
      </c>
      <c r="L2760" s="311">
        <f>+SUMIF('TUNZ Extracted TB'!M:M,$P2760,'TUNZ Extracted TB'!G:G)</f>
        <v>0</v>
      </c>
      <c r="M2760" s="311"/>
      <c r="N2760" s="311">
        <f>+SUMIF('Input Sheet'!$AE:$AE,P2760,'Input Sheet'!$X:$X)</f>
        <v>0</v>
      </c>
      <c r="O2760" s="311"/>
      <c r="P2760" t="str">
        <f t="shared" si="238"/>
        <v>122-7535</v>
      </c>
      <c r="Q2760" s="315" t="str">
        <f t="shared" si="239"/>
        <v>LEX Admin &amp; Other</v>
      </c>
      <c r="R2760" s="315" t="str">
        <f t="shared" si="240"/>
        <v>LEX Admin &amp; OtherOther Overheads as % of Total Gross Profit</v>
      </c>
      <c r="S2760" s="199"/>
      <c r="T2760" s="199"/>
      <c r="U2760" s="199"/>
    </row>
    <row r="2761" spans="1:21" x14ac:dyDescent="0.25">
      <c r="A2761" t="s">
        <v>996</v>
      </c>
      <c r="B2761" t="s">
        <v>997</v>
      </c>
      <c r="C2761" t="s">
        <v>997</v>
      </c>
      <c r="D2761">
        <v>7535</v>
      </c>
      <c r="E2761">
        <v>130</v>
      </c>
      <c r="F2761" t="s">
        <v>1408</v>
      </c>
      <c r="G2761" t="s">
        <v>1409</v>
      </c>
      <c r="H2761" s="315" t="s">
        <v>1000</v>
      </c>
      <c r="I2761" s="315" t="s">
        <v>1001</v>
      </c>
      <c r="J2761" s="315" t="str">
        <f t="shared" si="236"/>
        <v>Admin &amp; OtherOther Overheads as % of Total Gross Profit</v>
      </c>
      <c r="K2761" s="315" t="str">
        <f t="shared" si="237"/>
        <v>130Phone &amp; Internet expenses - Toyota</v>
      </c>
      <c r="L2761" s="311">
        <f>+SUMIF('TUNZ Extracted TB'!M:M,$P2761,'TUNZ Extracted TB'!G:G)</f>
        <v>1269.96</v>
      </c>
      <c r="M2761" s="311"/>
      <c r="N2761" s="311">
        <f>+SUMIF('Input Sheet'!$AE:$AE,P2761,'Input Sheet'!$X:$X)</f>
        <v>0</v>
      </c>
      <c r="O2761" s="311"/>
      <c r="P2761" t="str">
        <f t="shared" si="238"/>
        <v>130-7535</v>
      </c>
      <c r="Q2761" s="315" t="str">
        <f t="shared" si="239"/>
        <v>Admin &amp; Other</v>
      </c>
      <c r="R2761" s="315" t="str">
        <f t="shared" si="240"/>
        <v>Admin &amp; OtherOther Overheads as % of Total Gross Profit</v>
      </c>
      <c r="S2761" s="199"/>
      <c r="T2761" s="199"/>
      <c r="U2761" s="199"/>
    </row>
    <row r="2762" spans="1:21" x14ac:dyDescent="0.25">
      <c r="A2762" t="s">
        <v>996</v>
      </c>
      <c r="B2762" t="s">
        <v>997</v>
      </c>
      <c r="C2762" t="s">
        <v>997</v>
      </c>
      <c r="D2762">
        <v>7535</v>
      </c>
      <c r="E2762">
        <v>162</v>
      </c>
      <c r="F2762" t="s">
        <v>1410</v>
      </c>
      <c r="G2762" t="s">
        <v>1411</v>
      </c>
      <c r="H2762" s="315" t="s">
        <v>1023</v>
      </c>
      <c r="I2762" s="315" t="s">
        <v>1001</v>
      </c>
      <c r="J2762" s="315" t="str">
        <f t="shared" si="236"/>
        <v>LEX Admin &amp; OtherOther Overheads as % of Total Gross Profit</v>
      </c>
      <c r="K2762" s="315" t="str">
        <f t="shared" si="237"/>
        <v>162Phone &amp; Internet expenses - Lexus</v>
      </c>
      <c r="L2762" s="311">
        <f>+SUMIF('TUNZ Extracted TB'!M:M,$P2762,'TUNZ Extracted TB'!G:G)</f>
        <v>0</v>
      </c>
      <c r="M2762" s="311"/>
      <c r="N2762" s="311">
        <f>+SUMIF('Input Sheet'!$AE:$AE,P2762,'Input Sheet'!$X:$X)</f>
        <v>0</v>
      </c>
      <c r="O2762" s="311"/>
      <c r="P2762" t="str">
        <f t="shared" si="238"/>
        <v>162-7535</v>
      </c>
      <c r="Q2762" s="315" t="str">
        <f t="shared" si="239"/>
        <v>LEX Admin &amp; Other</v>
      </c>
      <c r="R2762" s="315" t="str">
        <f t="shared" si="240"/>
        <v>LEX Admin &amp; OtherOther Overheads as % of Total Gross Profit</v>
      </c>
      <c r="S2762" s="199"/>
      <c r="T2762" s="199"/>
      <c r="U2762" s="199"/>
    </row>
    <row r="2763" spans="1:21" x14ac:dyDescent="0.25">
      <c r="A2763" t="s">
        <v>996</v>
      </c>
      <c r="B2763" t="s">
        <v>997</v>
      </c>
      <c r="C2763" t="s">
        <v>997</v>
      </c>
      <c r="D2763">
        <v>7535</v>
      </c>
      <c r="E2763">
        <v>121</v>
      </c>
      <c r="F2763" t="s">
        <v>1408</v>
      </c>
      <c r="G2763" t="s">
        <v>1409</v>
      </c>
      <c r="H2763" s="315" t="s">
        <v>1000</v>
      </c>
      <c r="I2763" s="315" t="s">
        <v>1001</v>
      </c>
      <c r="J2763" s="315" t="str">
        <f t="shared" si="236"/>
        <v>Admin &amp; OtherOther Overheads as % of Total Gross Profit</v>
      </c>
      <c r="K2763" s="315" t="str">
        <f t="shared" si="237"/>
        <v>121Phone &amp; Internet expenses - Toyota</v>
      </c>
      <c r="L2763" s="311">
        <f>+SUMIF('TUNZ Extracted TB'!M:M,$P2763,'TUNZ Extracted TB'!G:G)</f>
        <v>0</v>
      </c>
      <c r="M2763" s="311"/>
      <c r="N2763" s="311">
        <f>+SUMIF('Input Sheet'!$AE:$AE,P2763,'Input Sheet'!$X:$X)</f>
        <v>0</v>
      </c>
      <c r="O2763" s="311"/>
      <c r="P2763" t="str">
        <f t="shared" si="238"/>
        <v>121-7535</v>
      </c>
      <c r="Q2763" s="315" t="str">
        <f t="shared" si="239"/>
        <v>Admin &amp; Other</v>
      </c>
      <c r="R2763" s="315" t="str">
        <f t="shared" si="240"/>
        <v>Admin &amp; OtherOther Overheads as % of Total Gross Profit</v>
      </c>
      <c r="S2763" s="199"/>
      <c r="T2763" s="199"/>
      <c r="U2763" s="199"/>
    </row>
    <row r="2764" spans="1:21" x14ac:dyDescent="0.25">
      <c r="A2764" t="s">
        <v>996</v>
      </c>
      <c r="B2764" t="s">
        <v>997</v>
      </c>
      <c r="C2764" t="s">
        <v>1012</v>
      </c>
      <c r="D2764">
        <v>7535</v>
      </c>
      <c r="E2764">
        <v>430</v>
      </c>
      <c r="F2764" t="s">
        <v>1408</v>
      </c>
      <c r="G2764" t="s">
        <v>1409</v>
      </c>
      <c r="H2764" s="315" t="s">
        <v>1000</v>
      </c>
      <c r="I2764" s="315" t="s">
        <v>1001</v>
      </c>
      <c r="J2764" s="315" t="str">
        <f t="shared" si="236"/>
        <v>Admin &amp; OtherOther Overheads as % of Total Gross Profit</v>
      </c>
      <c r="K2764" s="315" t="str">
        <f t="shared" si="237"/>
        <v>430Phone &amp; Internet expenses - Toyota</v>
      </c>
      <c r="L2764" s="311">
        <f>+SUMIF('TUNZ Extracted TB'!M:M,$P2764,'TUNZ Extracted TB'!G:G)</f>
        <v>0.35</v>
      </c>
      <c r="M2764" s="311"/>
      <c r="N2764" s="311">
        <f>+SUMIF('Input Sheet'!$AE:$AE,P2764,'Input Sheet'!$X:$X)</f>
        <v>0</v>
      </c>
      <c r="O2764" s="311"/>
      <c r="P2764" t="str">
        <f t="shared" si="238"/>
        <v>430-7535</v>
      </c>
      <c r="Q2764" s="315" t="str">
        <f t="shared" si="239"/>
        <v>Admin &amp; Other</v>
      </c>
      <c r="R2764" s="315" t="str">
        <f t="shared" si="240"/>
        <v>Admin &amp; OtherOther Overheads as % of Total Gross Profit</v>
      </c>
      <c r="S2764" s="199"/>
      <c r="T2764" s="199"/>
      <c r="U2764" s="199"/>
    </row>
    <row r="2765" spans="1:21" x14ac:dyDescent="0.25">
      <c r="A2765" t="s">
        <v>996</v>
      </c>
      <c r="B2765" t="s">
        <v>997</v>
      </c>
      <c r="C2765" t="s">
        <v>1012</v>
      </c>
      <c r="D2765">
        <v>7535</v>
      </c>
      <c r="E2765">
        <v>440</v>
      </c>
      <c r="F2765" t="s">
        <v>1408</v>
      </c>
      <c r="G2765" t="s">
        <v>1409</v>
      </c>
      <c r="H2765" s="315" t="s">
        <v>1000</v>
      </c>
      <c r="I2765" s="315" t="s">
        <v>1001</v>
      </c>
      <c r="J2765" s="315" t="str">
        <f t="shared" si="236"/>
        <v>Admin &amp; OtherOther Overheads as % of Total Gross Profit</v>
      </c>
      <c r="K2765" s="315" t="str">
        <f t="shared" si="237"/>
        <v>440Phone &amp; Internet expenses - Toyota</v>
      </c>
      <c r="L2765" s="311">
        <f>+SUMIF('TUNZ Extracted TB'!M:M,$P2765,'TUNZ Extracted TB'!G:G)</f>
        <v>3.48</v>
      </c>
      <c r="M2765" s="311"/>
      <c r="N2765" s="311">
        <f>+SUMIF('Input Sheet'!$AE:$AE,P2765,'Input Sheet'!$X:$X)</f>
        <v>0</v>
      </c>
      <c r="O2765" s="311"/>
      <c r="P2765" t="str">
        <f t="shared" si="238"/>
        <v>440-7535</v>
      </c>
      <c r="Q2765" s="315" t="str">
        <f t="shared" si="239"/>
        <v>Admin &amp; Other</v>
      </c>
      <c r="R2765" s="315" t="str">
        <f t="shared" si="240"/>
        <v>Admin &amp; OtherOther Overheads as % of Total Gross Profit</v>
      </c>
      <c r="S2765" s="199"/>
      <c r="T2765" s="199"/>
      <c r="U2765" s="199"/>
    </row>
    <row r="2766" spans="1:21" x14ac:dyDescent="0.25">
      <c r="A2766" t="s">
        <v>996</v>
      </c>
      <c r="B2766" t="s">
        <v>997</v>
      </c>
      <c r="C2766" t="s">
        <v>1013</v>
      </c>
      <c r="D2766">
        <v>7535</v>
      </c>
      <c r="E2766">
        <v>330</v>
      </c>
      <c r="F2766" t="s">
        <v>1408</v>
      </c>
      <c r="G2766" t="s">
        <v>1409</v>
      </c>
      <c r="H2766" s="315" t="s">
        <v>1000</v>
      </c>
      <c r="I2766" s="315" t="s">
        <v>1001</v>
      </c>
      <c r="J2766" s="315" t="str">
        <f t="shared" si="236"/>
        <v>Admin &amp; OtherOther Overheads as % of Total Gross Profit</v>
      </c>
      <c r="K2766" s="315" t="str">
        <f t="shared" si="237"/>
        <v>330Phone &amp; Internet expenses - Toyota</v>
      </c>
      <c r="L2766" s="311">
        <f>+SUMIF('TUNZ Extracted TB'!M:M,$P2766,'TUNZ Extracted TB'!G:G)</f>
        <v>0.35</v>
      </c>
      <c r="M2766" s="311"/>
      <c r="N2766" s="311">
        <f>+SUMIF('Input Sheet'!$AE:$AE,P2766,'Input Sheet'!$X:$X)</f>
        <v>0</v>
      </c>
      <c r="O2766" s="311"/>
      <c r="P2766" t="str">
        <f t="shared" si="238"/>
        <v>330-7535</v>
      </c>
      <c r="Q2766" s="315" t="str">
        <f t="shared" si="239"/>
        <v>Admin &amp; Other</v>
      </c>
      <c r="R2766" s="315" t="str">
        <f t="shared" si="240"/>
        <v>Admin &amp; OtherOther Overheads as % of Total Gross Profit</v>
      </c>
      <c r="S2766" s="199"/>
      <c r="T2766" s="199"/>
      <c r="U2766" s="199"/>
    </row>
    <row r="2767" spans="1:21" x14ac:dyDescent="0.25">
      <c r="A2767" t="s">
        <v>996</v>
      </c>
      <c r="B2767" t="s">
        <v>997</v>
      </c>
      <c r="C2767" t="s">
        <v>1005</v>
      </c>
      <c r="D2767">
        <v>7535</v>
      </c>
      <c r="E2767">
        <v>200</v>
      </c>
      <c r="F2767" t="s">
        <v>1408</v>
      </c>
      <c r="G2767" t="s">
        <v>1409</v>
      </c>
      <c r="H2767" s="315" t="s">
        <v>1000</v>
      </c>
      <c r="I2767" s="315" t="s">
        <v>1001</v>
      </c>
      <c r="J2767" s="315" t="str">
        <f t="shared" si="236"/>
        <v>Admin &amp; OtherOther Overheads as % of Total Gross Profit</v>
      </c>
      <c r="K2767" s="315" t="str">
        <f t="shared" si="237"/>
        <v>200Phone &amp; Internet expenses - Toyota</v>
      </c>
      <c r="L2767" s="311">
        <f>+SUMIF('TUNZ Extracted TB'!M:M,$P2767,'TUNZ Extracted TB'!G:G)</f>
        <v>0</v>
      </c>
      <c r="M2767" s="311"/>
      <c r="N2767" s="311">
        <f>+SUMIF('Input Sheet'!$AE:$AE,P2767,'Input Sheet'!$X:$X)</f>
        <v>0</v>
      </c>
      <c r="O2767" s="311"/>
      <c r="P2767" t="str">
        <f t="shared" si="238"/>
        <v>200-7535</v>
      </c>
      <c r="Q2767" s="315" t="str">
        <f t="shared" si="239"/>
        <v>Admin &amp; Other</v>
      </c>
      <c r="R2767" s="315" t="str">
        <f t="shared" si="240"/>
        <v>Admin &amp; OtherOther Overheads as % of Total Gross Profit</v>
      </c>
      <c r="S2767" s="199"/>
      <c r="T2767" s="199"/>
      <c r="U2767" s="199"/>
    </row>
    <row r="2768" spans="1:21" x14ac:dyDescent="0.25">
      <c r="A2768" t="s">
        <v>996</v>
      </c>
      <c r="B2768" t="s">
        <v>997</v>
      </c>
      <c r="C2768" t="s">
        <v>1005</v>
      </c>
      <c r="D2768">
        <v>7535</v>
      </c>
      <c r="E2768">
        <v>221</v>
      </c>
      <c r="F2768" t="s">
        <v>1408</v>
      </c>
      <c r="G2768" t="s">
        <v>1409</v>
      </c>
      <c r="H2768" s="315" t="s">
        <v>1000</v>
      </c>
      <c r="I2768" s="315" t="s">
        <v>1001</v>
      </c>
      <c r="J2768" s="315" t="str">
        <f t="shared" si="236"/>
        <v>Admin &amp; OtherOther Overheads as % of Total Gross Profit</v>
      </c>
      <c r="K2768" s="315" t="str">
        <f t="shared" si="237"/>
        <v>221Phone &amp; Internet expenses - Toyota</v>
      </c>
      <c r="L2768" s="311">
        <f>+SUMIF('TUNZ Extracted TB'!M:M,$P2768,'TUNZ Extracted TB'!G:G)</f>
        <v>0</v>
      </c>
      <c r="M2768" s="311"/>
      <c r="N2768" s="311">
        <f>+SUMIF('Input Sheet'!$AE:$AE,P2768,'Input Sheet'!$X:$X)</f>
        <v>0</v>
      </c>
      <c r="O2768" s="311"/>
      <c r="P2768" t="str">
        <f t="shared" si="238"/>
        <v>221-7535</v>
      </c>
      <c r="Q2768" s="315" t="str">
        <f t="shared" si="239"/>
        <v>Admin &amp; Other</v>
      </c>
      <c r="R2768" s="315" t="str">
        <f t="shared" si="240"/>
        <v>Admin &amp; OtherOther Overheads as % of Total Gross Profit</v>
      </c>
      <c r="S2768" s="199"/>
      <c r="T2768" s="199"/>
      <c r="U2768" s="199"/>
    </row>
    <row r="2769" spans="1:21" x14ac:dyDescent="0.25">
      <c r="A2769" t="s">
        <v>996</v>
      </c>
      <c r="B2769" t="s">
        <v>997</v>
      </c>
      <c r="C2769" t="s">
        <v>1012</v>
      </c>
      <c r="D2769">
        <v>7535</v>
      </c>
      <c r="E2769">
        <v>400</v>
      </c>
      <c r="F2769" t="s">
        <v>1408</v>
      </c>
      <c r="G2769" t="s">
        <v>1409</v>
      </c>
      <c r="H2769" s="315" t="s">
        <v>1000</v>
      </c>
      <c r="I2769" s="315" t="s">
        <v>1001</v>
      </c>
      <c r="J2769" s="315" t="str">
        <f t="shared" si="236"/>
        <v>Admin &amp; OtherOther Overheads as % of Total Gross Profit</v>
      </c>
      <c r="K2769" s="315" t="str">
        <f t="shared" si="237"/>
        <v>400Phone &amp; Internet expenses - Toyota</v>
      </c>
      <c r="L2769" s="311">
        <f>+SUMIF('TUNZ Extracted TB'!M:M,$P2769,'TUNZ Extracted TB'!G:G)</f>
        <v>0</v>
      </c>
      <c r="M2769" s="311"/>
      <c r="N2769" s="311">
        <f>+SUMIF('Input Sheet'!$AE:$AE,P2769,'Input Sheet'!$X:$X)</f>
        <v>0</v>
      </c>
      <c r="O2769" s="311"/>
      <c r="P2769" t="str">
        <f t="shared" si="238"/>
        <v>400-7535</v>
      </c>
      <c r="Q2769" s="315" t="str">
        <f t="shared" si="239"/>
        <v>Admin &amp; Other</v>
      </c>
      <c r="R2769" s="315" t="str">
        <f t="shared" si="240"/>
        <v>Admin &amp; OtherOther Overheads as % of Total Gross Profit</v>
      </c>
      <c r="S2769" s="199"/>
      <c r="T2769" s="199"/>
      <c r="U2769" s="199"/>
    </row>
    <row r="2770" spans="1:21" x14ac:dyDescent="0.25">
      <c r="A2770" t="s">
        <v>996</v>
      </c>
      <c r="B2770" t="s">
        <v>997</v>
      </c>
      <c r="C2770" t="s">
        <v>1012</v>
      </c>
      <c r="D2770">
        <v>7535</v>
      </c>
      <c r="E2770">
        <v>410</v>
      </c>
      <c r="F2770" t="s">
        <v>1408</v>
      </c>
      <c r="G2770" t="s">
        <v>1409</v>
      </c>
      <c r="H2770" s="315" t="s">
        <v>1000</v>
      </c>
      <c r="I2770" s="315" t="s">
        <v>1001</v>
      </c>
      <c r="J2770" s="315" t="str">
        <f t="shared" si="236"/>
        <v>Admin &amp; OtherOther Overheads as % of Total Gross Profit</v>
      </c>
      <c r="K2770" s="315" t="str">
        <f t="shared" si="237"/>
        <v>410Phone &amp; Internet expenses - Toyota</v>
      </c>
      <c r="L2770" s="311">
        <f>+SUMIF('TUNZ Extracted TB'!M:M,$P2770,'TUNZ Extracted TB'!G:G)</f>
        <v>0</v>
      </c>
      <c r="M2770" s="311"/>
      <c r="N2770" s="311">
        <f>+SUMIF('Input Sheet'!$AE:$AE,P2770,'Input Sheet'!$X:$X)</f>
        <v>0</v>
      </c>
      <c r="O2770" s="311"/>
      <c r="P2770" t="str">
        <f t="shared" si="238"/>
        <v>410-7535</v>
      </c>
      <c r="Q2770" s="315" t="str">
        <f t="shared" si="239"/>
        <v>Admin &amp; Other</v>
      </c>
      <c r="R2770" s="315" t="str">
        <f t="shared" si="240"/>
        <v>Admin &amp; OtherOther Overheads as % of Total Gross Profit</v>
      </c>
      <c r="S2770" s="199"/>
      <c r="T2770" s="199"/>
      <c r="U2770" s="199"/>
    </row>
    <row r="2771" spans="1:21" x14ac:dyDescent="0.25">
      <c r="A2771" t="s">
        <v>996</v>
      </c>
      <c r="B2771" t="s">
        <v>997</v>
      </c>
      <c r="C2771" t="s">
        <v>1012</v>
      </c>
      <c r="D2771">
        <v>7535</v>
      </c>
      <c r="E2771">
        <v>420</v>
      </c>
      <c r="F2771" t="s">
        <v>1408</v>
      </c>
      <c r="G2771" t="s">
        <v>1409</v>
      </c>
      <c r="H2771" s="315" t="s">
        <v>1000</v>
      </c>
      <c r="I2771" s="315" t="s">
        <v>1001</v>
      </c>
      <c r="J2771" s="315" t="str">
        <f t="shared" si="236"/>
        <v>Admin &amp; OtherOther Overheads as % of Total Gross Profit</v>
      </c>
      <c r="K2771" s="315" t="str">
        <f t="shared" si="237"/>
        <v>420Phone &amp; Internet expenses - Toyota</v>
      </c>
      <c r="L2771" s="311">
        <f>+SUMIF('TUNZ Extracted TB'!M:M,$P2771,'TUNZ Extracted TB'!G:G)</f>
        <v>0</v>
      </c>
      <c r="M2771" s="311"/>
      <c r="N2771" s="311">
        <f>+SUMIF('Input Sheet'!$AE:$AE,P2771,'Input Sheet'!$X:$X)</f>
        <v>0</v>
      </c>
      <c r="O2771" s="311"/>
      <c r="P2771" t="str">
        <f t="shared" si="238"/>
        <v>420-7535</v>
      </c>
      <c r="Q2771" s="315" t="str">
        <f t="shared" si="239"/>
        <v>Admin &amp; Other</v>
      </c>
      <c r="R2771" s="315" t="str">
        <f t="shared" si="240"/>
        <v>Admin &amp; OtherOther Overheads as % of Total Gross Profit</v>
      </c>
      <c r="S2771" s="199"/>
      <c r="T2771" s="199"/>
      <c r="U2771" s="199"/>
    </row>
    <row r="2772" spans="1:21" x14ac:dyDescent="0.25">
      <c r="A2772" t="s">
        <v>996</v>
      </c>
      <c r="B2772" t="s">
        <v>997</v>
      </c>
      <c r="C2772" t="s">
        <v>1012</v>
      </c>
      <c r="D2772">
        <v>7535</v>
      </c>
      <c r="E2772">
        <v>421</v>
      </c>
      <c r="F2772" t="s">
        <v>1408</v>
      </c>
      <c r="G2772" t="s">
        <v>1409</v>
      </c>
      <c r="H2772" s="315" t="s">
        <v>1000</v>
      </c>
      <c r="I2772" s="315" t="s">
        <v>1001</v>
      </c>
      <c r="J2772" s="315" t="str">
        <f t="shared" si="236"/>
        <v>Admin &amp; OtherOther Overheads as % of Total Gross Profit</v>
      </c>
      <c r="K2772" s="315" t="str">
        <f t="shared" si="237"/>
        <v>421Phone &amp; Internet expenses - Toyota</v>
      </c>
      <c r="L2772" s="311">
        <f>+SUMIF('TUNZ Extracted TB'!M:M,$P2772,'TUNZ Extracted TB'!G:G)</f>
        <v>0</v>
      </c>
      <c r="M2772" s="311"/>
      <c r="N2772" s="311">
        <f>+SUMIF('Input Sheet'!$AE:$AE,P2772,'Input Sheet'!$X:$X)</f>
        <v>0</v>
      </c>
      <c r="O2772" s="311"/>
      <c r="P2772" t="str">
        <f t="shared" si="238"/>
        <v>421-7535</v>
      </c>
      <c r="Q2772" s="315" t="str">
        <f t="shared" si="239"/>
        <v>Admin &amp; Other</v>
      </c>
      <c r="R2772" s="315" t="str">
        <f t="shared" si="240"/>
        <v>Admin &amp; OtherOther Overheads as % of Total Gross Profit</v>
      </c>
      <c r="S2772" s="199"/>
      <c r="T2772" s="199"/>
      <c r="U2772" s="199"/>
    </row>
    <row r="2773" spans="1:21" x14ac:dyDescent="0.25">
      <c r="A2773" t="s">
        <v>996</v>
      </c>
      <c r="B2773" t="s">
        <v>997</v>
      </c>
      <c r="C2773" t="s">
        <v>1012</v>
      </c>
      <c r="D2773">
        <v>7535</v>
      </c>
      <c r="E2773">
        <v>460</v>
      </c>
      <c r="F2773" t="s">
        <v>1408</v>
      </c>
      <c r="G2773" t="s">
        <v>1409</v>
      </c>
      <c r="H2773" s="315" t="s">
        <v>1000</v>
      </c>
      <c r="I2773" s="315" t="s">
        <v>1001</v>
      </c>
      <c r="J2773" s="315" t="str">
        <f t="shared" si="236"/>
        <v>Admin &amp; OtherOther Overheads as % of Total Gross Profit</v>
      </c>
      <c r="K2773" s="315" t="str">
        <f t="shared" si="237"/>
        <v>460Phone &amp; Internet expenses - Toyota</v>
      </c>
      <c r="L2773" s="311">
        <f>+SUMIF('TUNZ Extracted TB'!M:M,$P2773,'TUNZ Extracted TB'!G:G)</f>
        <v>0</v>
      </c>
      <c r="M2773" s="311"/>
      <c r="N2773" s="311">
        <f>+SUMIF('Input Sheet'!$AE:$AE,P2773,'Input Sheet'!$X:$X)</f>
        <v>0</v>
      </c>
      <c r="O2773" s="311"/>
      <c r="P2773" t="str">
        <f t="shared" si="238"/>
        <v>460-7535</v>
      </c>
      <c r="Q2773" s="315" t="str">
        <f t="shared" si="239"/>
        <v>Admin &amp; Other</v>
      </c>
      <c r="R2773" s="315" t="str">
        <f t="shared" si="240"/>
        <v>Admin &amp; OtherOther Overheads as % of Total Gross Profit</v>
      </c>
      <c r="S2773" s="199"/>
      <c r="T2773" s="199"/>
      <c r="U2773" s="199"/>
    </row>
    <row r="2774" spans="1:21" x14ac:dyDescent="0.25">
      <c r="A2774" t="s">
        <v>996</v>
      </c>
      <c r="B2774" t="s">
        <v>997</v>
      </c>
      <c r="C2774" t="s">
        <v>1013</v>
      </c>
      <c r="D2774">
        <v>7535</v>
      </c>
      <c r="E2774">
        <v>300</v>
      </c>
      <c r="F2774" t="s">
        <v>1408</v>
      </c>
      <c r="G2774" t="s">
        <v>1409</v>
      </c>
      <c r="H2774" s="315" t="s">
        <v>1000</v>
      </c>
      <c r="I2774" s="315" t="s">
        <v>1001</v>
      </c>
      <c r="J2774" s="315" t="str">
        <f t="shared" si="236"/>
        <v>Admin &amp; OtherOther Overheads as % of Total Gross Profit</v>
      </c>
      <c r="K2774" s="315" t="str">
        <f t="shared" si="237"/>
        <v>300Phone &amp; Internet expenses - Toyota</v>
      </c>
      <c r="L2774" s="311">
        <f>+SUMIF('TUNZ Extracted TB'!M:M,$P2774,'TUNZ Extracted TB'!G:G)</f>
        <v>0</v>
      </c>
      <c r="M2774" s="311"/>
      <c r="N2774" s="311">
        <f>+SUMIF('Input Sheet'!$AE:$AE,P2774,'Input Sheet'!$X:$X)</f>
        <v>0</v>
      </c>
      <c r="O2774" s="311"/>
      <c r="P2774" t="str">
        <f t="shared" si="238"/>
        <v>300-7535</v>
      </c>
      <c r="Q2774" s="315" t="str">
        <f t="shared" si="239"/>
        <v>Admin &amp; Other</v>
      </c>
      <c r="R2774" s="315" t="str">
        <f t="shared" si="240"/>
        <v>Admin &amp; OtherOther Overheads as % of Total Gross Profit</v>
      </c>
      <c r="S2774" s="199"/>
      <c r="T2774" s="199"/>
      <c r="U2774" s="199"/>
    </row>
    <row r="2775" spans="1:21" x14ac:dyDescent="0.25">
      <c r="A2775" t="s">
        <v>996</v>
      </c>
      <c r="B2775" t="s">
        <v>997</v>
      </c>
      <c r="C2775" t="s">
        <v>1013</v>
      </c>
      <c r="D2775">
        <v>7535</v>
      </c>
      <c r="E2775">
        <v>310</v>
      </c>
      <c r="F2775" t="s">
        <v>1408</v>
      </c>
      <c r="G2775" t="s">
        <v>1409</v>
      </c>
      <c r="H2775" s="315" t="s">
        <v>1000</v>
      </c>
      <c r="I2775" s="315" t="s">
        <v>1001</v>
      </c>
      <c r="J2775" s="315" t="str">
        <f t="shared" si="236"/>
        <v>Admin &amp; OtherOther Overheads as % of Total Gross Profit</v>
      </c>
      <c r="K2775" s="315" t="str">
        <f t="shared" si="237"/>
        <v>310Phone &amp; Internet expenses - Toyota</v>
      </c>
      <c r="L2775" s="311">
        <f>+SUMIF('TUNZ Extracted TB'!M:M,$P2775,'TUNZ Extracted TB'!G:G)</f>
        <v>0</v>
      </c>
      <c r="M2775" s="311"/>
      <c r="N2775" s="311">
        <f>+SUMIF('Input Sheet'!$AE:$AE,P2775,'Input Sheet'!$X:$X)</f>
        <v>0</v>
      </c>
      <c r="O2775" s="311"/>
      <c r="P2775" t="str">
        <f t="shared" si="238"/>
        <v>310-7535</v>
      </c>
      <c r="Q2775" s="315" t="str">
        <f t="shared" si="239"/>
        <v>Admin &amp; Other</v>
      </c>
      <c r="R2775" s="315" t="str">
        <f t="shared" si="240"/>
        <v>Admin &amp; OtherOther Overheads as % of Total Gross Profit</v>
      </c>
      <c r="S2775" s="199"/>
      <c r="T2775" s="199"/>
      <c r="U2775" s="199"/>
    </row>
    <row r="2776" spans="1:21" x14ac:dyDescent="0.25">
      <c r="A2776" t="s">
        <v>996</v>
      </c>
      <c r="B2776" t="s">
        <v>997</v>
      </c>
      <c r="C2776" t="s">
        <v>1013</v>
      </c>
      <c r="D2776">
        <v>7535</v>
      </c>
      <c r="E2776">
        <v>321</v>
      </c>
      <c r="F2776" t="s">
        <v>1408</v>
      </c>
      <c r="G2776" t="s">
        <v>1409</v>
      </c>
      <c r="H2776" s="315" t="s">
        <v>1000</v>
      </c>
      <c r="I2776" s="315" t="s">
        <v>1001</v>
      </c>
      <c r="J2776" s="315" t="str">
        <f t="shared" si="236"/>
        <v>Admin &amp; OtherOther Overheads as % of Total Gross Profit</v>
      </c>
      <c r="K2776" s="315" t="str">
        <f t="shared" si="237"/>
        <v>321Phone &amp; Internet expenses - Toyota</v>
      </c>
      <c r="L2776" s="311">
        <f>+SUMIF('TUNZ Extracted TB'!M:M,$P2776,'TUNZ Extracted TB'!G:G)</f>
        <v>0</v>
      </c>
      <c r="M2776" s="311"/>
      <c r="N2776" s="311">
        <f>+SUMIF('Input Sheet'!$AE:$AE,P2776,'Input Sheet'!$X:$X)</f>
        <v>0</v>
      </c>
      <c r="O2776" s="311"/>
      <c r="P2776" t="str">
        <f t="shared" si="238"/>
        <v>321-7535</v>
      </c>
      <c r="Q2776" s="315" t="str">
        <f t="shared" si="239"/>
        <v>Admin &amp; Other</v>
      </c>
      <c r="R2776" s="315" t="str">
        <f t="shared" si="240"/>
        <v>Admin &amp; OtherOther Overheads as % of Total Gross Profit</v>
      </c>
      <c r="S2776" s="199"/>
      <c r="T2776" s="199"/>
      <c r="U2776" s="199"/>
    </row>
    <row r="2777" spans="1:21" x14ac:dyDescent="0.25">
      <c r="A2777" t="s">
        <v>996</v>
      </c>
      <c r="B2777" t="s">
        <v>997</v>
      </c>
      <c r="C2777" t="s">
        <v>1013</v>
      </c>
      <c r="D2777">
        <v>7535</v>
      </c>
      <c r="E2777">
        <v>360</v>
      </c>
      <c r="F2777" t="s">
        <v>1408</v>
      </c>
      <c r="G2777" t="s">
        <v>1409</v>
      </c>
      <c r="H2777" s="315" t="s">
        <v>1000</v>
      </c>
      <c r="I2777" s="315" t="s">
        <v>1001</v>
      </c>
      <c r="J2777" s="315" t="str">
        <f t="shared" si="236"/>
        <v>Admin &amp; OtherOther Overheads as % of Total Gross Profit</v>
      </c>
      <c r="K2777" s="315" t="str">
        <f t="shared" si="237"/>
        <v>360Phone &amp; Internet expenses - Toyota</v>
      </c>
      <c r="L2777" s="311">
        <f>+SUMIF('TUNZ Extracted TB'!M:M,$P2777,'TUNZ Extracted TB'!G:G)</f>
        <v>0</v>
      </c>
      <c r="M2777" s="311"/>
      <c r="N2777" s="311">
        <f>+SUMIF('Input Sheet'!$AE:$AE,P2777,'Input Sheet'!$X:$X)</f>
        <v>0</v>
      </c>
      <c r="O2777" s="311"/>
      <c r="P2777" t="str">
        <f t="shared" si="238"/>
        <v>360-7535</v>
      </c>
      <c r="Q2777" s="315" t="str">
        <f t="shared" si="239"/>
        <v>Admin &amp; Other</v>
      </c>
      <c r="R2777" s="315" t="str">
        <f t="shared" si="240"/>
        <v>Admin &amp; OtherOther Overheads as % of Total Gross Profit</v>
      </c>
      <c r="S2777" s="199"/>
      <c r="T2777" s="199"/>
      <c r="U2777" s="199"/>
    </row>
    <row r="2778" spans="1:21" x14ac:dyDescent="0.25">
      <c r="A2778" t="s">
        <v>996</v>
      </c>
      <c r="B2778" t="s">
        <v>997</v>
      </c>
      <c r="C2778" t="s">
        <v>997</v>
      </c>
      <c r="D2778">
        <v>7535</v>
      </c>
      <c r="E2778">
        <v>147</v>
      </c>
      <c r="F2778" t="s">
        <v>1408</v>
      </c>
      <c r="G2778" t="s">
        <v>1409</v>
      </c>
      <c r="H2778" s="315" t="s">
        <v>1000</v>
      </c>
      <c r="I2778" s="315" t="s">
        <v>1001</v>
      </c>
      <c r="J2778" s="315" t="str">
        <f t="shared" si="236"/>
        <v>Admin &amp; OtherOther Overheads as % of Total Gross Profit</v>
      </c>
      <c r="K2778" s="315" t="str">
        <f t="shared" si="237"/>
        <v>147Phone &amp; Internet expenses - Toyota</v>
      </c>
      <c r="L2778" s="311">
        <f>+SUMIF('TUNZ Extracted TB'!M:M,$P2778,'TUNZ Extracted TB'!G:G)</f>
        <v>0</v>
      </c>
      <c r="M2778" s="311"/>
      <c r="N2778" s="311">
        <f>+SUMIF('Input Sheet'!$AE:$AE,P2778,'Input Sheet'!$X:$X)</f>
        <v>0</v>
      </c>
      <c r="O2778" s="311"/>
      <c r="P2778" t="str">
        <f t="shared" si="238"/>
        <v>147-7535</v>
      </c>
      <c r="Q2778" s="315" t="str">
        <f t="shared" si="239"/>
        <v>Admin &amp; Other</v>
      </c>
      <c r="R2778" s="315" t="str">
        <f t="shared" si="240"/>
        <v>Admin &amp; OtherOther Overheads as % of Total Gross Profit</v>
      </c>
      <c r="S2778" s="199"/>
      <c r="T2778" s="199"/>
      <c r="U2778" s="199"/>
    </row>
    <row r="2779" spans="1:21" x14ac:dyDescent="0.25">
      <c r="A2779" t="s">
        <v>996</v>
      </c>
      <c r="B2779" t="s">
        <v>997</v>
      </c>
      <c r="C2779" t="s">
        <v>997</v>
      </c>
      <c r="D2779">
        <v>7535</v>
      </c>
      <c r="E2779">
        <v>132</v>
      </c>
      <c r="F2779" t="s">
        <v>1410</v>
      </c>
      <c r="G2779" t="s">
        <v>1411</v>
      </c>
      <c r="H2779" s="315" t="s">
        <v>1023</v>
      </c>
      <c r="I2779" s="315" t="s">
        <v>1001</v>
      </c>
      <c r="J2779" s="315" t="str">
        <f t="shared" si="236"/>
        <v>LEX Admin &amp; OtherOther Overheads as % of Total Gross Profit</v>
      </c>
      <c r="K2779" s="315" t="str">
        <f t="shared" si="237"/>
        <v>132Phone &amp; Internet expenses - Lexus</v>
      </c>
      <c r="L2779" s="311">
        <f>+SUMIF('TUNZ Extracted TB'!M:M,$P2779,'TUNZ Extracted TB'!G:G)</f>
        <v>0</v>
      </c>
      <c r="M2779" s="311"/>
      <c r="N2779" s="311">
        <f>+SUMIF('Input Sheet'!$AE:$AE,P2779,'Input Sheet'!$X:$X)</f>
        <v>0</v>
      </c>
      <c r="O2779" s="311"/>
      <c r="P2779" t="str">
        <f t="shared" si="238"/>
        <v>132-7535</v>
      </c>
      <c r="Q2779" s="315" t="str">
        <f t="shared" si="239"/>
        <v>LEX Admin &amp; Other</v>
      </c>
      <c r="R2779" s="315" t="str">
        <f t="shared" si="240"/>
        <v>LEX Admin &amp; OtherOther Overheads as % of Total Gross Profit</v>
      </c>
      <c r="S2779" s="199"/>
      <c r="T2779" s="199"/>
      <c r="U2779" s="199"/>
    </row>
    <row r="2780" spans="1:21" x14ac:dyDescent="0.25">
      <c r="A2780" t="s">
        <v>996</v>
      </c>
      <c r="B2780" t="s">
        <v>997</v>
      </c>
      <c r="C2780" t="s">
        <v>997</v>
      </c>
      <c r="D2780">
        <v>7535</v>
      </c>
      <c r="E2780">
        <v>140</v>
      </c>
      <c r="F2780" t="s">
        <v>1408</v>
      </c>
      <c r="G2780" t="s">
        <v>1409</v>
      </c>
      <c r="H2780" s="315" t="s">
        <v>1000</v>
      </c>
      <c r="I2780" s="315" t="s">
        <v>1001</v>
      </c>
      <c r="J2780" s="315" t="str">
        <f t="shared" si="236"/>
        <v>Admin &amp; OtherOther Overheads as % of Total Gross Profit</v>
      </c>
      <c r="K2780" s="315" t="str">
        <f t="shared" si="237"/>
        <v>140Phone &amp; Internet expenses - Toyota</v>
      </c>
      <c r="L2780" s="311">
        <f>+SUMIF('TUNZ Extracted TB'!M:M,$P2780,'TUNZ Extracted TB'!G:G)</f>
        <v>1502.14</v>
      </c>
      <c r="M2780" s="311"/>
      <c r="N2780" s="311">
        <f>+SUMIF('Input Sheet'!$AE:$AE,P2780,'Input Sheet'!$X:$X)</f>
        <v>0</v>
      </c>
      <c r="O2780" s="311"/>
      <c r="P2780" t="str">
        <f t="shared" si="238"/>
        <v>140-7535</v>
      </c>
      <c r="Q2780" s="315" t="str">
        <f t="shared" si="239"/>
        <v>Admin &amp; Other</v>
      </c>
      <c r="R2780" s="315" t="str">
        <f t="shared" si="240"/>
        <v>Admin &amp; OtherOther Overheads as % of Total Gross Profit</v>
      </c>
      <c r="S2780" s="199"/>
      <c r="T2780" s="199"/>
      <c r="U2780" s="199"/>
    </row>
    <row r="2781" spans="1:21" x14ac:dyDescent="0.25">
      <c r="A2781" t="s">
        <v>996</v>
      </c>
      <c r="B2781" t="s">
        <v>997</v>
      </c>
      <c r="C2781" t="s">
        <v>997</v>
      </c>
      <c r="D2781">
        <v>7535</v>
      </c>
      <c r="E2781">
        <v>142</v>
      </c>
      <c r="F2781" t="s">
        <v>1410</v>
      </c>
      <c r="G2781" t="s">
        <v>1411</v>
      </c>
      <c r="H2781" s="315" t="s">
        <v>1023</v>
      </c>
      <c r="I2781" s="315" t="s">
        <v>1001</v>
      </c>
      <c r="J2781" s="315" t="str">
        <f t="shared" si="236"/>
        <v>LEX Admin &amp; OtherOther Overheads as % of Total Gross Profit</v>
      </c>
      <c r="K2781" s="315" t="str">
        <f t="shared" si="237"/>
        <v>142Phone &amp; Internet expenses - Lexus</v>
      </c>
      <c r="L2781" s="311">
        <f>+SUMIF('TUNZ Extracted TB'!M:M,$P2781,'TUNZ Extracted TB'!G:G)</f>
        <v>37.21</v>
      </c>
      <c r="M2781" s="311"/>
      <c r="N2781" s="311">
        <f>+SUMIF('Input Sheet'!$AE:$AE,P2781,'Input Sheet'!$X:$X)</f>
        <v>0</v>
      </c>
      <c r="O2781" s="311"/>
      <c r="P2781" t="str">
        <f t="shared" si="238"/>
        <v>142-7535</v>
      </c>
      <c r="Q2781" s="315" t="str">
        <f t="shared" si="239"/>
        <v>LEX Admin &amp; Other</v>
      </c>
      <c r="R2781" s="315" t="str">
        <f t="shared" si="240"/>
        <v>LEX Admin &amp; OtherOther Overheads as % of Total Gross Profit</v>
      </c>
      <c r="S2781" s="199"/>
      <c r="T2781" s="199"/>
      <c r="U2781" s="199"/>
    </row>
    <row r="2782" spans="1:21" x14ac:dyDescent="0.25">
      <c r="A2782" t="s">
        <v>996</v>
      </c>
      <c r="B2782" t="s">
        <v>997</v>
      </c>
      <c r="C2782" t="s">
        <v>997</v>
      </c>
      <c r="D2782">
        <v>7535</v>
      </c>
      <c r="E2782">
        <v>110</v>
      </c>
      <c r="F2782" t="s">
        <v>1408</v>
      </c>
      <c r="G2782" t="s">
        <v>1409</v>
      </c>
      <c r="H2782" s="315" t="s">
        <v>1000</v>
      </c>
      <c r="I2782" s="315" t="s">
        <v>1001</v>
      </c>
      <c r="J2782" s="315" t="str">
        <f t="shared" si="236"/>
        <v>Admin &amp; OtherOther Overheads as % of Total Gross Profit</v>
      </c>
      <c r="K2782" s="315" t="str">
        <f t="shared" si="237"/>
        <v>110Phone &amp; Internet expenses - Toyota</v>
      </c>
      <c r="L2782" s="311">
        <f>+SUMIF('TUNZ Extracted TB'!M:M,$P2782,'TUNZ Extracted TB'!G:G)</f>
        <v>1723.68</v>
      </c>
      <c r="M2782" s="311"/>
      <c r="N2782" s="311">
        <f>+SUMIF('Input Sheet'!$AE:$AE,P2782,'Input Sheet'!$X:$X)</f>
        <v>0</v>
      </c>
      <c r="O2782" s="311"/>
      <c r="P2782" t="str">
        <f t="shared" si="238"/>
        <v>110-7535</v>
      </c>
      <c r="Q2782" s="315" t="str">
        <f t="shared" si="239"/>
        <v>Admin &amp; Other</v>
      </c>
      <c r="R2782" s="315" t="str">
        <f t="shared" si="240"/>
        <v>Admin &amp; OtherOther Overheads as % of Total Gross Profit</v>
      </c>
      <c r="S2782" s="199"/>
      <c r="T2782" s="199"/>
      <c r="U2782" s="199"/>
    </row>
    <row r="2783" spans="1:21" x14ac:dyDescent="0.25">
      <c r="A2783" t="s">
        <v>996</v>
      </c>
      <c r="B2783" t="s">
        <v>997</v>
      </c>
      <c r="C2783" t="s">
        <v>997</v>
      </c>
      <c r="D2783">
        <v>7535</v>
      </c>
      <c r="E2783">
        <v>112</v>
      </c>
      <c r="F2783" t="s">
        <v>1410</v>
      </c>
      <c r="G2783" t="s">
        <v>1411</v>
      </c>
      <c r="H2783" s="315" t="s">
        <v>1023</v>
      </c>
      <c r="I2783" s="315" t="s">
        <v>1001</v>
      </c>
      <c r="J2783" s="315" t="str">
        <f t="shared" si="236"/>
        <v>LEX Admin &amp; OtherOther Overheads as % of Total Gross Profit</v>
      </c>
      <c r="K2783" s="315" t="str">
        <f t="shared" si="237"/>
        <v>112Phone &amp; Internet expenses - Lexus</v>
      </c>
      <c r="L2783" s="311">
        <f>+SUMIF('TUNZ Extracted TB'!M:M,$P2783,'TUNZ Extracted TB'!G:G)</f>
        <v>1377.79</v>
      </c>
      <c r="M2783" s="311"/>
      <c r="N2783" s="311">
        <f>+SUMIF('Input Sheet'!$AE:$AE,P2783,'Input Sheet'!$X:$X)</f>
        <v>0</v>
      </c>
      <c r="O2783" s="311"/>
      <c r="P2783" t="str">
        <f t="shared" si="238"/>
        <v>112-7535</v>
      </c>
      <c r="Q2783" s="315" t="str">
        <f t="shared" si="239"/>
        <v>LEX Admin &amp; Other</v>
      </c>
      <c r="R2783" s="315" t="str">
        <f t="shared" si="240"/>
        <v>LEX Admin &amp; OtherOther Overheads as % of Total Gross Profit</v>
      </c>
      <c r="S2783" s="199"/>
      <c r="T2783" s="199"/>
      <c r="U2783" s="199"/>
    </row>
    <row r="2784" spans="1:21" x14ac:dyDescent="0.25">
      <c r="A2784" t="s">
        <v>996</v>
      </c>
      <c r="B2784" t="s">
        <v>997</v>
      </c>
      <c r="C2784" t="s">
        <v>997</v>
      </c>
      <c r="D2784">
        <v>7535</v>
      </c>
      <c r="E2784">
        <v>100</v>
      </c>
      <c r="F2784" t="s">
        <v>1408</v>
      </c>
      <c r="G2784" t="s">
        <v>1409</v>
      </c>
      <c r="H2784" s="315" t="s">
        <v>1000</v>
      </c>
      <c r="I2784" s="315" t="s">
        <v>1001</v>
      </c>
      <c r="J2784" s="315" t="str">
        <f t="shared" si="236"/>
        <v>Admin &amp; OtherOther Overheads as % of Total Gross Profit</v>
      </c>
      <c r="K2784" s="315" t="str">
        <f t="shared" si="237"/>
        <v>100Phone &amp; Internet expenses - Toyota</v>
      </c>
      <c r="L2784" s="311">
        <f>+SUMIF('TUNZ Extracted TB'!M:M,$P2784,'TUNZ Extracted TB'!G:G)</f>
        <v>0</v>
      </c>
      <c r="M2784" s="311"/>
      <c r="N2784" s="311">
        <f>+SUMIF('Input Sheet'!$AE:$AE,P2784,'Input Sheet'!$X:$X)</f>
        <v>0</v>
      </c>
      <c r="O2784" s="311"/>
      <c r="P2784" t="str">
        <f t="shared" si="238"/>
        <v>100-7535</v>
      </c>
      <c r="Q2784" s="315" t="str">
        <f t="shared" si="239"/>
        <v>Admin &amp; Other</v>
      </c>
      <c r="R2784" s="315" t="str">
        <f t="shared" si="240"/>
        <v>Admin &amp; OtherOther Overheads as % of Total Gross Profit</v>
      </c>
      <c r="S2784" s="199"/>
      <c r="T2784" s="199"/>
      <c r="U2784" s="199"/>
    </row>
    <row r="2785" spans="1:21" x14ac:dyDescent="0.25">
      <c r="A2785" t="s">
        <v>996</v>
      </c>
      <c r="B2785" t="s">
        <v>997</v>
      </c>
      <c r="C2785" t="s">
        <v>997</v>
      </c>
      <c r="D2785">
        <v>7540</v>
      </c>
      <c r="E2785">
        <v>122</v>
      </c>
      <c r="F2785" t="s">
        <v>1373</v>
      </c>
      <c r="G2785" t="s">
        <v>1374</v>
      </c>
      <c r="H2785" s="315" t="s">
        <v>1023</v>
      </c>
      <c r="I2785" s="315" t="s">
        <v>1001</v>
      </c>
      <c r="J2785" s="315" t="str">
        <f t="shared" si="236"/>
        <v>LEX Admin &amp; OtherOther Overheads as % of Total Gross Profit</v>
      </c>
      <c r="K2785" s="315" t="str">
        <f t="shared" si="237"/>
        <v>122Office expenses (Stationery, postage) - Lexus</v>
      </c>
      <c r="L2785" s="311">
        <f>+SUMIF('TUNZ Extracted TB'!M:M,$P2785,'TUNZ Extracted TB'!G:G)</f>
        <v>0</v>
      </c>
      <c r="M2785" s="311"/>
      <c r="N2785" s="311">
        <f>+SUMIF('Input Sheet'!$AE:$AE,P2785,'Input Sheet'!$X:$X)</f>
        <v>0</v>
      </c>
      <c r="O2785" s="311"/>
      <c r="P2785" t="str">
        <f t="shared" si="238"/>
        <v>122-7540</v>
      </c>
      <c r="Q2785" s="315" t="str">
        <f t="shared" si="239"/>
        <v>LEX Admin &amp; Other</v>
      </c>
      <c r="R2785" s="315" t="str">
        <f t="shared" si="240"/>
        <v>LEX Admin &amp; OtherOther Overheads as % of Total Gross Profit</v>
      </c>
      <c r="S2785" s="199"/>
      <c r="T2785" s="199"/>
      <c r="U2785" s="199"/>
    </row>
    <row r="2786" spans="1:21" x14ac:dyDescent="0.25">
      <c r="A2786" t="s">
        <v>996</v>
      </c>
      <c r="B2786" t="s">
        <v>997</v>
      </c>
      <c r="C2786" t="s">
        <v>997</v>
      </c>
      <c r="D2786">
        <v>7540</v>
      </c>
      <c r="E2786">
        <v>162</v>
      </c>
      <c r="F2786" t="s">
        <v>1373</v>
      </c>
      <c r="G2786" t="s">
        <v>1374</v>
      </c>
      <c r="H2786" s="315" t="s">
        <v>1023</v>
      </c>
      <c r="I2786" s="315" t="s">
        <v>1001</v>
      </c>
      <c r="J2786" s="315" t="str">
        <f t="shared" si="236"/>
        <v>LEX Admin &amp; OtherOther Overheads as % of Total Gross Profit</v>
      </c>
      <c r="K2786" s="315" t="str">
        <f t="shared" si="237"/>
        <v>162Office expenses (Stationery, postage) - Lexus</v>
      </c>
      <c r="L2786" s="311">
        <f>+SUMIF('TUNZ Extracted TB'!M:M,$P2786,'TUNZ Extracted TB'!G:G)</f>
        <v>0</v>
      </c>
      <c r="M2786" s="311"/>
      <c r="N2786" s="311">
        <f>+SUMIF('Input Sheet'!$AE:$AE,P2786,'Input Sheet'!$X:$X)</f>
        <v>0</v>
      </c>
      <c r="O2786" s="311"/>
      <c r="P2786" t="str">
        <f t="shared" si="238"/>
        <v>162-7540</v>
      </c>
      <c r="Q2786" s="315" t="str">
        <f t="shared" si="239"/>
        <v>LEX Admin &amp; Other</v>
      </c>
      <c r="R2786" s="315" t="str">
        <f t="shared" si="240"/>
        <v>LEX Admin &amp; OtherOther Overheads as % of Total Gross Profit</v>
      </c>
      <c r="S2786" s="199"/>
      <c r="T2786" s="199"/>
      <c r="U2786" s="199"/>
    </row>
    <row r="2787" spans="1:21" x14ac:dyDescent="0.25">
      <c r="A2787" t="s">
        <v>996</v>
      </c>
      <c r="B2787" t="s">
        <v>997</v>
      </c>
      <c r="C2787" t="s">
        <v>1005</v>
      </c>
      <c r="D2787">
        <v>7540</v>
      </c>
      <c r="E2787">
        <v>210</v>
      </c>
      <c r="F2787" t="s">
        <v>1371</v>
      </c>
      <c r="G2787" t="s">
        <v>1372</v>
      </c>
      <c r="H2787" s="315" t="s">
        <v>1000</v>
      </c>
      <c r="I2787" s="315" t="s">
        <v>1001</v>
      </c>
      <c r="J2787" s="315" t="str">
        <f t="shared" si="236"/>
        <v>Admin &amp; OtherOther Overheads as % of Total Gross Profit</v>
      </c>
      <c r="K2787" s="315" t="str">
        <f t="shared" si="237"/>
        <v>210Office expenses (Stationery, postage) - Toyota</v>
      </c>
      <c r="L2787" s="311">
        <f>+SUMIF('TUNZ Extracted TB'!M:M,$P2787,'TUNZ Extracted TB'!G:G)</f>
        <v>0</v>
      </c>
      <c r="M2787" s="311"/>
      <c r="N2787" s="311">
        <f>+SUMIF('Input Sheet'!$AE:$AE,P2787,'Input Sheet'!$X:$X)</f>
        <v>0</v>
      </c>
      <c r="O2787" s="311"/>
      <c r="P2787" t="str">
        <f t="shared" si="238"/>
        <v>210-7540</v>
      </c>
      <c r="Q2787" s="315" t="str">
        <f t="shared" si="239"/>
        <v>Admin &amp; Other</v>
      </c>
      <c r="R2787" s="315" t="str">
        <f t="shared" si="240"/>
        <v>Admin &amp; OtherOther Overheads as % of Total Gross Profit</v>
      </c>
      <c r="S2787" s="199"/>
      <c r="T2787" s="199"/>
      <c r="U2787" s="199"/>
    </row>
    <row r="2788" spans="1:21" x14ac:dyDescent="0.25">
      <c r="A2788" t="s">
        <v>996</v>
      </c>
      <c r="B2788" t="s">
        <v>997</v>
      </c>
      <c r="C2788" t="s">
        <v>1005</v>
      </c>
      <c r="D2788">
        <v>7540</v>
      </c>
      <c r="E2788">
        <v>200</v>
      </c>
      <c r="F2788" t="s">
        <v>1371</v>
      </c>
      <c r="G2788" t="s">
        <v>1372</v>
      </c>
      <c r="H2788" s="315" t="s">
        <v>1000</v>
      </c>
      <c r="I2788" s="315" t="s">
        <v>1001</v>
      </c>
      <c r="J2788" s="315" t="str">
        <f t="shared" si="236"/>
        <v>Admin &amp; OtherOther Overheads as % of Total Gross Profit</v>
      </c>
      <c r="K2788" s="315" t="str">
        <f t="shared" si="237"/>
        <v>200Office expenses (Stationery, postage) - Toyota</v>
      </c>
      <c r="L2788" s="311">
        <f>+SUMIF('TUNZ Extracted TB'!M:M,$P2788,'TUNZ Extracted TB'!G:G)</f>
        <v>0</v>
      </c>
      <c r="M2788" s="311"/>
      <c r="N2788" s="311">
        <f>+SUMIF('Input Sheet'!$AE:$AE,P2788,'Input Sheet'!$X:$X)</f>
        <v>0</v>
      </c>
      <c r="O2788" s="311"/>
      <c r="P2788" t="str">
        <f t="shared" si="238"/>
        <v>200-7540</v>
      </c>
      <c r="Q2788" s="315" t="str">
        <f t="shared" si="239"/>
        <v>Admin &amp; Other</v>
      </c>
      <c r="R2788" s="315" t="str">
        <f t="shared" si="240"/>
        <v>Admin &amp; OtherOther Overheads as % of Total Gross Profit</v>
      </c>
      <c r="S2788" s="199"/>
      <c r="T2788" s="199"/>
      <c r="U2788" s="199"/>
    </row>
    <row r="2789" spans="1:21" x14ac:dyDescent="0.25">
      <c r="A2789" t="s">
        <v>996</v>
      </c>
      <c r="B2789" t="s">
        <v>997</v>
      </c>
      <c r="C2789" t="s">
        <v>1005</v>
      </c>
      <c r="D2789">
        <v>7540</v>
      </c>
      <c r="E2789">
        <v>220</v>
      </c>
      <c r="F2789" t="s">
        <v>1371</v>
      </c>
      <c r="G2789" t="s">
        <v>1372</v>
      </c>
      <c r="H2789" s="315" t="s">
        <v>1000</v>
      </c>
      <c r="I2789" s="315" t="s">
        <v>1001</v>
      </c>
      <c r="J2789" s="315" t="str">
        <f t="shared" si="236"/>
        <v>Admin &amp; OtherOther Overheads as % of Total Gross Profit</v>
      </c>
      <c r="K2789" s="315" t="str">
        <f t="shared" si="237"/>
        <v>220Office expenses (Stationery, postage) - Toyota</v>
      </c>
      <c r="L2789" s="311">
        <f>+SUMIF('TUNZ Extracted TB'!M:M,$P2789,'TUNZ Extracted TB'!G:G)</f>
        <v>0</v>
      </c>
      <c r="M2789" s="311"/>
      <c r="N2789" s="311">
        <f>+SUMIF('Input Sheet'!$AE:$AE,P2789,'Input Sheet'!$X:$X)</f>
        <v>0</v>
      </c>
      <c r="O2789" s="311"/>
      <c r="P2789" t="str">
        <f t="shared" si="238"/>
        <v>220-7540</v>
      </c>
      <c r="Q2789" s="315" t="str">
        <f t="shared" si="239"/>
        <v>Admin &amp; Other</v>
      </c>
      <c r="R2789" s="315" t="str">
        <f t="shared" si="240"/>
        <v>Admin &amp; OtherOther Overheads as % of Total Gross Profit</v>
      </c>
      <c r="S2789" s="199"/>
      <c r="T2789" s="199"/>
      <c r="U2789" s="199"/>
    </row>
    <row r="2790" spans="1:21" x14ac:dyDescent="0.25">
      <c r="A2790" t="s">
        <v>996</v>
      </c>
      <c r="B2790" t="s">
        <v>997</v>
      </c>
      <c r="C2790" t="s">
        <v>1005</v>
      </c>
      <c r="D2790">
        <v>7540</v>
      </c>
      <c r="E2790">
        <v>221</v>
      </c>
      <c r="F2790" t="s">
        <v>1371</v>
      </c>
      <c r="G2790" t="s">
        <v>1372</v>
      </c>
      <c r="H2790" s="315" t="s">
        <v>1000</v>
      </c>
      <c r="I2790" s="315" t="s">
        <v>1001</v>
      </c>
      <c r="J2790" s="315" t="str">
        <f t="shared" si="236"/>
        <v>Admin &amp; OtherOther Overheads as % of Total Gross Profit</v>
      </c>
      <c r="K2790" s="315" t="str">
        <f t="shared" si="237"/>
        <v>221Office expenses (Stationery, postage) - Toyota</v>
      </c>
      <c r="L2790" s="311">
        <f>+SUMIF('TUNZ Extracted TB'!M:M,$P2790,'TUNZ Extracted TB'!G:G)</f>
        <v>0</v>
      </c>
      <c r="M2790" s="311"/>
      <c r="N2790" s="311">
        <f>+SUMIF('Input Sheet'!$AE:$AE,P2790,'Input Sheet'!$X:$X)</f>
        <v>0</v>
      </c>
      <c r="O2790" s="311"/>
      <c r="P2790" t="str">
        <f t="shared" si="238"/>
        <v>221-7540</v>
      </c>
      <c r="Q2790" s="315" t="str">
        <f t="shared" si="239"/>
        <v>Admin &amp; Other</v>
      </c>
      <c r="R2790" s="315" t="str">
        <f t="shared" si="240"/>
        <v>Admin &amp; OtherOther Overheads as % of Total Gross Profit</v>
      </c>
      <c r="S2790" s="199"/>
      <c r="T2790" s="199"/>
      <c r="U2790" s="199"/>
    </row>
    <row r="2791" spans="1:21" x14ac:dyDescent="0.25">
      <c r="A2791" t="s">
        <v>996</v>
      </c>
      <c r="B2791" t="s">
        <v>997</v>
      </c>
      <c r="C2791" t="s">
        <v>1005</v>
      </c>
      <c r="D2791">
        <v>7540</v>
      </c>
      <c r="E2791">
        <v>230</v>
      </c>
      <c r="F2791" t="s">
        <v>1371</v>
      </c>
      <c r="G2791" t="s">
        <v>1372</v>
      </c>
      <c r="H2791" s="315" t="s">
        <v>1000</v>
      </c>
      <c r="I2791" s="315" t="s">
        <v>1001</v>
      </c>
      <c r="J2791" s="315" t="str">
        <f t="shared" si="236"/>
        <v>Admin &amp; OtherOther Overheads as % of Total Gross Profit</v>
      </c>
      <c r="K2791" s="315" t="str">
        <f t="shared" si="237"/>
        <v>230Office expenses (Stationery, postage) - Toyota</v>
      </c>
      <c r="L2791" s="311">
        <f>+SUMIF('TUNZ Extracted TB'!M:M,$P2791,'TUNZ Extracted TB'!G:G)</f>
        <v>0</v>
      </c>
      <c r="M2791" s="311"/>
      <c r="N2791" s="311">
        <f>+SUMIF('Input Sheet'!$AE:$AE,P2791,'Input Sheet'!$X:$X)</f>
        <v>0</v>
      </c>
      <c r="O2791" s="311"/>
      <c r="P2791" t="str">
        <f t="shared" si="238"/>
        <v>230-7540</v>
      </c>
      <c r="Q2791" s="315" t="str">
        <f t="shared" si="239"/>
        <v>Admin &amp; Other</v>
      </c>
      <c r="R2791" s="315" t="str">
        <f t="shared" si="240"/>
        <v>Admin &amp; OtherOther Overheads as % of Total Gross Profit</v>
      </c>
      <c r="S2791" s="199"/>
      <c r="T2791" s="199"/>
      <c r="U2791" s="199"/>
    </row>
    <row r="2792" spans="1:21" x14ac:dyDescent="0.25">
      <c r="A2792" t="s">
        <v>996</v>
      </c>
      <c r="B2792" t="s">
        <v>997</v>
      </c>
      <c r="C2792" t="s">
        <v>1005</v>
      </c>
      <c r="D2792">
        <v>7540</v>
      </c>
      <c r="E2792">
        <v>240</v>
      </c>
      <c r="F2792" t="s">
        <v>1371</v>
      </c>
      <c r="G2792" t="s">
        <v>1372</v>
      </c>
      <c r="H2792" s="315" t="s">
        <v>1000</v>
      </c>
      <c r="I2792" s="315" t="s">
        <v>1001</v>
      </c>
      <c r="J2792" s="315" t="str">
        <f t="shared" si="236"/>
        <v>Admin &amp; OtherOther Overheads as % of Total Gross Profit</v>
      </c>
      <c r="K2792" s="315" t="str">
        <f t="shared" si="237"/>
        <v>240Office expenses (Stationery, postage) - Toyota</v>
      </c>
      <c r="L2792" s="311">
        <f>+SUMIF('TUNZ Extracted TB'!M:M,$P2792,'TUNZ Extracted TB'!G:G)</f>
        <v>0</v>
      </c>
      <c r="M2792" s="311"/>
      <c r="N2792" s="311">
        <f>+SUMIF('Input Sheet'!$AE:$AE,P2792,'Input Sheet'!$X:$X)</f>
        <v>0</v>
      </c>
      <c r="O2792" s="311"/>
      <c r="P2792" t="str">
        <f t="shared" si="238"/>
        <v>240-7540</v>
      </c>
      <c r="Q2792" s="315" t="str">
        <f t="shared" si="239"/>
        <v>Admin &amp; Other</v>
      </c>
      <c r="R2792" s="315" t="str">
        <f t="shared" si="240"/>
        <v>Admin &amp; OtherOther Overheads as % of Total Gross Profit</v>
      </c>
      <c r="S2792" s="199"/>
      <c r="T2792" s="199"/>
      <c r="U2792" s="199"/>
    </row>
    <row r="2793" spans="1:21" x14ac:dyDescent="0.25">
      <c r="A2793" t="s">
        <v>996</v>
      </c>
      <c r="B2793" t="s">
        <v>997</v>
      </c>
      <c r="C2793" t="s">
        <v>1005</v>
      </c>
      <c r="D2793">
        <v>7540</v>
      </c>
      <c r="E2793">
        <v>260</v>
      </c>
      <c r="F2793" t="s">
        <v>1371</v>
      </c>
      <c r="G2793" t="s">
        <v>1372</v>
      </c>
      <c r="H2793" s="315" t="s">
        <v>1000</v>
      </c>
      <c r="I2793" s="315" t="s">
        <v>1001</v>
      </c>
      <c r="J2793" s="315" t="str">
        <f t="shared" si="236"/>
        <v>Admin &amp; OtherOther Overheads as % of Total Gross Profit</v>
      </c>
      <c r="K2793" s="315" t="str">
        <f t="shared" si="237"/>
        <v>260Office expenses (Stationery, postage) - Toyota</v>
      </c>
      <c r="L2793" s="311">
        <f>+SUMIF('TUNZ Extracted TB'!M:M,$P2793,'TUNZ Extracted TB'!G:G)</f>
        <v>0</v>
      </c>
      <c r="M2793" s="311"/>
      <c r="N2793" s="311">
        <f>+SUMIF('Input Sheet'!$AE:$AE,P2793,'Input Sheet'!$X:$X)</f>
        <v>0</v>
      </c>
      <c r="O2793" s="311"/>
      <c r="P2793" t="str">
        <f t="shared" si="238"/>
        <v>260-7540</v>
      </c>
      <c r="Q2793" s="315" t="str">
        <f t="shared" si="239"/>
        <v>Admin &amp; Other</v>
      </c>
      <c r="R2793" s="315" t="str">
        <f t="shared" si="240"/>
        <v>Admin &amp; OtherOther Overheads as % of Total Gross Profit</v>
      </c>
      <c r="S2793" s="199"/>
      <c r="T2793" s="199"/>
      <c r="U2793" s="199"/>
    </row>
    <row r="2794" spans="1:21" x14ac:dyDescent="0.25">
      <c r="A2794" t="s">
        <v>996</v>
      </c>
      <c r="B2794" t="s">
        <v>997</v>
      </c>
      <c r="C2794" t="s">
        <v>1012</v>
      </c>
      <c r="D2794">
        <v>7540</v>
      </c>
      <c r="E2794">
        <v>400</v>
      </c>
      <c r="F2794" t="s">
        <v>1371</v>
      </c>
      <c r="G2794" t="s">
        <v>1372</v>
      </c>
      <c r="H2794" s="315" t="s">
        <v>1000</v>
      </c>
      <c r="I2794" s="315" t="s">
        <v>1001</v>
      </c>
      <c r="J2794" s="315" t="str">
        <f t="shared" si="236"/>
        <v>Admin &amp; OtherOther Overheads as % of Total Gross Profit</v>
      </c>
      <c r="K2794" s="315" t="str">
        <f t="shared" si="237"/>
        <v>400Office expenses (Stationery, postage) - Toyota</v>
      </c>
      <c r="L2794" s="311">
        <f>+SUMIF('TUNZ Extracted TB'!M:M,$P2794,'TUNZ Extracted TB'!G:G)</f>
        <v>0</v>
      </c>
      <c r="M2794" s="311"/>
      <c r="N2794" s="311">
        <f>+SUMIF('Input Sheet'!$AE:$AE,P2794,'Input Sheet'!$X:$X)</f>
        <v>0</v>
      </c>
      <c r="O2794" s="311"/>
      <c r="P2794" t="str">
        <f t="shared" si="238"/>
        <v>400-7540</v>
      </c>
      <c r="Q2794" s="315" t="str">
        <f t="shared" si="239"/>
        <v>Admin &amp; Other</v>
      </c>
      <c r="R2794" s="315" t="str">
        <f t="shared" si="240"/>
        <v>Admin &amp; OtherOther Overheads as % of Total Gross Profit</v>
      </c>
      <c r="S2794" s="199"/>
      <c r="T2794" s="199"/>
      <c r="U2794" s="199"/>
    </row>
    <row r="2795" spans="1:21" x14ac:dyDescent="0.25">
      <c r="A2795" t="s">
        <v>996</v>
      </c>
      <c r="B2795" t="s">
        <v>997</v>
      </c>
      <c r="C2795" t="s">
        <v>1012</v>
      </c>
      <c r="D2795">
        <v>7540</v>
      </c>
      <c r="E2795">
        <v>410</v>
      </c>
      <c r="F2795" t="s">
        <v>1371</v>
      </c>
      <c r="G2795" t="s">
        <v>1372</v>
      </c>
      <c r="H2795" s="315" t="s">
        <v>1000</v>
      </c>
      <c r="I2795" s="315" t="s">
        <v>1001</v>
      </c>
      <c r="J2795" s="315" t="str">
        <f t="shared" si="236"/>
        <v>Admin &amp; OtherOther Overheads as % of Total Gross Profit</v>
      </c>
      <c r="K2795" s="315" t="str">
        <f t="shared" si="237"/>
        <v>410Office expenses (Stationery, postage) - Toyota</v>
      </c>
      <c r="L2795" s="311">
        <f>+SUMIF('TUNZ Extracted TB'!M:M,$P2795,'TUNZ Extracted TB'!G:G)</f>
        <v>0</v>
      </c>
      <c r="M2795" s="311"/>
      <c r="N2795" s="311">
        <f>+SUMIF('Input Sheet'!$AE:$AE,P2795,'Input Sheet'!$X:$X)</f>
        <v>0</v>
      </c>
      <c r="O2795" s="311"/>
      <c r="P2795" t="str">
        <f t="shared" si="238"/>
        <v>410-7540</v>
      </c>
      <c r="Q2795" s="315" t="str">
        <f t="shared" si="239"/>
        <v>Admin &amp; Other</v>
      </c>
      <c r="R2795" s="315" t="str">
        <f t="shared" si="240"/>
        <v>Admin &amp; OtherOther Overheads as % of Total Gross Profit</v>
      </c>
      <c r="S2795" s="199"/>
      <c r="T2795" s="199"/>
      <c r="U2795" s="199"/>
    </row>
    <row r="2796" spans="1:21" x14ac:dyDescent="0.25">
      <c r="A2796" t="s">
        <v>996</v>
      </c>
      <c r="B2796" t="s">
        <v>997</v>
      </c>
      <c r="C2796" t="s">
        <v>1012</v>
      </c>
      <c r="D2796">
        <v>7540</v>
      </c>
      <c r="E2796">
        <v>420</v>
      </c>
      <c r="F2796" t="s">
        <v>1371</v>
      </c>
      <c r="G2796" t="s">
        <v>1372</v>
      </c>
      <c r="H2796" s="315" t="s">
        <v>1000</v>
      </c>
      <c r="I2796" s="315" t="s">
        <v>1001</v>
      </c>
      <c r="J2796" s="315" t="str">
        <f t="shared" si="236"/>
        <v>Admin &amp; OtherOther Overheads as % of Total Gross Profit</v>
      </c>
      <c r="K2796" s="315" t="str">
        <f t="shared" si="237"/>
        <v>420Office expenses (Stationery, postage) - Toyota</v>
      </c>
      <c r="L2796" s="311">
        <f>+SUMIF('TUNZ Extracted TB'!M:M,$P2796,'TUNZ Extracted TB'!G:G)</f>
        <v>0</v>
      </c>
      <c r="M2796" s="311"/>
      <c r="N2796" s="311">
        <f>+SUMIF('Input Sheet'!$AE:$AE,P2796,'Input Sheet'!$X:$X)</f>
        <v>0</v>
      </c>
      <c r="O2796" s="311"/>
      <c r="P2796" t="str">
        <f t="shared" si="238"/>
        <v>420-7540</v>
      </c>
      <c r="Q2796" s="315" t="str">
        <f t="shared" si="239"/>
        <v>Admin &amp; Other</v>
      </c>
      <c r="R2796" s="315" t="str">
        <f t="shared" si="240"/>
        <v>Admin &amp; OtherOther Overheads as % of Total Gross Profit</v>
      </c>
      <c r="S2796" s="199"/>
      <c r="T2796" s="199"/>
      <c r="U2796" s="199"/>
    </row>
    <row r="2797" spans="1:21" x14ac:dyDescent="0.25">
      <c r="A2797" t="s">
        <v>996</v>
      </c>
      <c r="B2797" t="s">
        <v>997</v>
      </c>
      <c r="C2797" t="s">
        <v>1012</v>
      </c>
      <c r="D2797">
        <v>7540</v>
      </c>
      <c r="E2797">
        <v>421</v>
      </c>
      <c r="F2797" t="s">
        <v>1371</v>
      </c>
      <c r="G2797" t="s">
        <v>1372</v>
      </c>
      <c r="H2797" s="315" t="s">
        <v>1000</v>
      </c>
      <c r="I2797" s="315" t="s">
        <v>1001</v>
      </c>
      <c r="J2797" s="315" t="str">
        <f t="shared" si="236"/>
        <v>Admin &amp; OtherOther Overheads as % of Total Gross Profit</v>
      </c>
      <c r="K2797" s="315" t="str">
        <f t="shared" si="237"/>
        <v>421Office expenses (Stationery, postage) - Toyota</v>
      </c>
      <c r="L2797" s="311">
        <f>+SUMIF('TUNZ Extracted TB'!M:M,$P2797,'TUNZ Extracted TB'!G:G)</f>
        <v>0</v>
      </c>
      <c r="M2797" s="311"/>
      <c r="N2797" s="311">
        <f>+SUMIF('Input Sheet'!$AE:$AE,P2797,'Input Sheet'!$X:$X)</f>
        <v>0</v>
      </c>
      <c r="O2797" s="311"/>
      <c r="P2797" t="str">
        <f t="shared" si="238"/>
        <v>421-7540</v>
      </c>
      <c r="Q2797" s="315" t="str">
        <f t="shared" si="239"/>
        <v>Admin &amp; Other</v>
      </c>
      <c r="R2797" s="315" t="str">
        <f t="shared" si="240"/>
        <v>Admin &amp; OtherOther Overheads as % of Total Gross Profit</v>
      </c>
      <c r="S2797" s="199"/>
      <c r="T2797" s="199"/>
      <c r="U2797" s="199"/>
    </row>
    <row r="2798" spans="1:21" x14ac:dyDescent="0.25">
      <c r="A2798" t="s">
        <v>996</v>
      </c>
      <c r="B2798" t="s">
        <v>997</v>
      </c>
      <c r="C2798" t="s">
        <v>1012</v>
      </c>
      <c r="D2798">
        <v>7540</v>
      </c>
      <c r="E2798">
        <v>430</v>
      </c>
      <c r="F2798" t="s">
        <v>1371</v>
      </c>
      <c r="G2798" t="s">
        <v>1372</v>
      </c>
      <c r="H2798" s="315" t="s">
        <v>1000</v>
      </c>
      <c r="I2798" s="315" t="s">
        <v>1001</v>
      </c>
      <c r="J2798" s="315" t="str">
        <f t="shared" si="236"/>
        <v>Admin &amp; OtherOther Overheads as % of Total Gross Profit</v>
      </c>
      <c r="K2798" s="315" t="str">
        <f t="shared" si="237"/>
        <v>430Office expenses (Stationery, postage) - Toyota</v>
      </c>
      <c r="L2798" s="311">
        <f>+SUMIF('TUNZ Extracted TB'!M:M,$P2798,'TUNZ Extracted TB'!G:G)</f>
        <v>0</v>
      </c>
      <c r="M2798" s="311"/>
      <c r="N2798" s="311">
        <f>+SUMIF('Input Sheet'!$AE:$AE,P2798,'Input Sheet'!$X:$X)</f>
        <v>0</v>
      </c>
      <c r="O2798" s="311"/>
      <c r="P2798" t="str">
        <f t="shared" si="238"/>
        <v>430-7540</v>
      </c>
      <c r="Q2798" s="315" t="str">
        <f t="shared" si="239"/>
        <v>Admin &amp; Other</v>
      </c>
      <c r="R2798" s="315" t="str">
        <f t="shared" si="240"/>
        <v>Admin &amp; OtherOther Overheads as % of Total Gross Profit</v>
      </c>
      <c r="S2798" s="199"/>
      <c r="T2798" s="199"/>
      <c r="U2798" s="199"/>
    </row>
    <row r="2799" spans="1:21" x14ac:dyDescent="0.25">
      <c r="A2799" t="s">
        <v>996</v>
      </c>
      <c r="B2799" t="s">
        <v>997</v>
      </c>
      <c r="C2799" t="s">
        <v>1012</v>
      </c>
      <c r="D2799">
        <v>7540</v>
      </c>
      <c r="E2799">
        <v>440</v>
      </c>
      <c r="F2799" t="s">
        <v>1371</v>
      </c>
      <c r="G2799" t="s">
        <v>1372</v>
      </c>
      <c r="H2799" s="315" t="s">
        <v>1000</v>
      </c>
      <c r="I2799" s="315" t="s">
        <v>1001</v>
      </c>
      <c r="J2799" s="315" t="str">
        <f t="shared" si="236"/>
        <v>Admin &amp; OtherOther Overheads as % of Total Gross Profit</v>
      </c>
      <c r="K2799" s="315" t="str">
        <f t="shared" si="237"/>
        <v>440Office expenses (Stationery, postage) - Toyota</v>
      </c>
      <c r="L2799" s="311">
        <f>+SUMIF('TUNZ Extracted TB'!M:M,$P2799,'TUNZ Extracted TB'!G:G)</f>
        <v>0</v>
      </c>
      <c r="M2799" s="311"/>
      <c r="N2799" s="311">
        <f>+SUMIF('Input Sheet'!$AE:$AE,P2799,'Input Sheet'!$X:$X)</f>
        <v>0</v>
      </c>
      <c r="O2799" s="311"/>
      <c r="P2799" t="str">
        <f t="shared" si="238"/>
        <v>440-7540</v>
      </c>
      <c r="Q2799" s="315" t="str">
        <f t="shared" si="239"/>
        <v>Admin &amp; Other</v>
      </c>
      <c r="R2799" s="315" t="str">
        <f t="shared" si="240"/>
        <v>Admin &amp; OtherOther Overheads as % of Total Gross Profit</v>
      </c>
      <c r="S2799" s="199"/>
      <c r="T2799" s="199"/>
      <c r="U2799" s="199"/>
    </row>
    <row r="2800" spans="1:21" x14ac:dyDescent="0.25">
      <c r="A2800" t="s">
        <v>996</v>
      </c>
      <c r="B2800" t="s">
        <v>997</v>
      </c>
      <c r="C2800" t="s">
        <v>1012</v>
      </c>
      <c r="D2800">
        <v>7540</v>
      </c>
      <c r="E2800">
        <v>460</v>
      </c>
      <c r="F2800" t="s">
        <v>1371</v>
      </c>
      <c r="G2800" t="s">
        <v>1372</v>
      </c>
      <c r="H2800" s="315" t="s">
        <v>1000</v>
      </c>
      <c r="I2800" s="315" t="s">
        <v>1001</v>
      </c>
      <c r="J2800" s="315" t="str">
        <f t="shared" si="236"/>
        <v>Admin &amp; OtherOther Overheads as % of Total Gross Profit</v>
      </c>
      <c r="K2800" s="315" t="str">
        <f t="shared" si="237"/>
        <v>460Office expenses (Stationery, postage) - Toyota</v>
      </c>
      <c r="L2800" s="311">
        <f>+SUMIF('TUNZ Extracted TB'!M:M,$P2800,'TUNZ Extracted TB'!G:G)</f>
        <v>0</v>
      </c>
      <c r="M2800" s="311"/>
      <c r="N2800" s="311">
        <f>+SUMIF('Input Sheet'!$AE:$AE,P2800,'Input Sheet'!$X:$X)</f>
        <v>0</v>
      </c>
      <c r="O2800" s="311"/>
      <c r="P2800" t="str">
        <f t="shared" si="238"/>
        <v>460-7540</v>
      </c>
      <c r="Q2800" s="315" t="str">
        <f t="shared" si="239"/>
        <v>Admin &amp; Other</v>
      </c>
      <c r="R2800" s="315" t="str">
        <f t="shared" si="240"/>
        <v>Admin &amp; OtherOther Overheads as % of Total Gross Profit</v>
      </c>
      <c r="S2800" s="199"/>
      <c r="T2800" s="199"/>
      <c r="U2800" s="199"/>
    </row>
    <row r="2801" spans="1:21" x14ac:dyDescent="0.25">
      <c r="A2801" t="s">
        <v>996</v>
      </c>
      <c r="B2801" t="s">
        <v>997</v>
      </c>
      <c r="C2801" t="s">
        <v>1013</v>
      </c>
      <c r="D2801">
        <v>7540</v>
      </c>
      <c r="E2801">
        <v>300</v>
      </c>
      <c r="F2801" t="s">
        <v>1371</v>
      </c>
      <c r="G2801" t="s">
        <v>1372</v>
      </c>
      <c r="H2801" s="315" t="s">
        <v>1000</v>
      </c>
      <c r="I2801" s="315" t="s">
        <v>1001</v>
      </c>
      <c r="J2801" s="315" t="str">
        <f t="shared" si="236"/>
        <v>Admin &amp; OtherOther Overheads as % of Total Gross Profit</v>
      </c>
      <c r="K2801" s="315" t="str">
        <f t="shared" si="237"/>
        <v>300Office expenses (Stationery, postage) - Toyota</v>
      </c>
      <c r="L2801" s="311">
        <f>+SUMIF('TUNZ Extracted TB'!M:M,$P2801,'TUNZ Extracted TB'!G:G)</f>
        <v>0</v>
      </c>
      <c r="M2801" s="311"/>
      <c r="N2801" s="311">
        <f>+SUMIF('Input Sheet'!$AE:$AE,P2801,'Input Sheet'!$X:$X)</f>
        <v>0</v>
      </c>
      <c r="O2801" s="311"/>
      <c r="P2801" t="str">
        <f t="shared" si="238"/>
        <v>300-7540</v>
      </c>
      <c r="Q2801" s="315" t="str">
        <f t="shared" si="239"/>
        <v>Admin &amp; Other</v>
      </c>
      <c r="R2801" s="315" t="str">
        <f t="shared" si="240"/>
        <v>Admin &amp; OtherOther Overheads as % of Total Gross Profit</v>
      </c>
      <c r="S2801" s="199"/>
      <c r="T2801" s="199"/>
      <c r="U2801" s="199"/>
    </row>
    <row r="2802" spans="1:21" x14ac:dyDescent="0.25">
      <c r="A2802" t="s">
        <v>996</v>
      </c>
      <c r="B2802" t="s">
        <v>997</v>
      </c>
      <c r="C2802" t="s">
        <v>1013</v>
      </c>
      <c r="D2802">
        <v>7540</v>
      </c>
      <c r="E2802">
        <v>310</v>
      </c>
      <c r="F2802" t="s">
        <v>1371</v>
      </c>
      <c r="G2802" t="s">
        <v>1372</v>
      </c>
      <c r="H2802" s="315" t="s">
        <v>1000</v>
      </c>
      <c r="I2802" s="315" t="s">
        <v>1001</v>
      </c>
      <c r="J2802" s="315" t="str">
        <f t="shared" si="236"/>
        <v>Admin &amp; OtherOther Overheads as % of Total Gross Profit</v>
      </c>
      <c r="K2802" s="315" t="str">
        <f t="shared" si="237"/>
        <v>310Office expenses (Stationery, postage) - Toyota</v>
      </c>
      <c r="L2802" s="311">
        <f>+SUMIF('TUNZ Extracted TB'!M:M,$P2802,'TUNZ Extracted TB'!G:G)</f>
        <v>0</v>
      </c>
      <c r="M2802" s="311"/>
      <c r="N2802" s="311">
        <f>+SUMIF('Input Sheet'!$AE:$AE,P2802,'Input Sheet'!$X:$X)</f>
        <v>0</v>
      </c>
      <c r="O2802" s="311"/>
      <c r="P2802" t="str">
        <f t="shared" si="238"/>
        <v>310-7540</v>
      </c>
      <c r="Q2802" s="315" t="str">
        <f t="shared" si="239"/>
        <v>Admin &amp; Other</v>
      </c>
      <c r="R2802" s="315" t="str">
        <f t="shared" si="240"/>
        <v>Admin &amp; OtherOther Overheads as % of Total Gross Profit</v>
      </c>
      <c r="S2802" s="199"/>
      <c r="T2802" s="199"/>
      <c r="U2802" s="199"/>
    </row>
    <row r="2803" spans="1:21" x14ac:dyDescent="0.25">
      <c r="A2803" t="s">
        <v>996</v>
      </c>
      <c r="B2803" t="s">
        <v>997</v>
      </c>
      <c r="C2803" t="s">
        <v>1013</v>
      </c>
      <c r="D2803">
        <v>7540</v>
      </c>
      <c r="E2803">
        <v>321</v>
      </c>
      <c r="F2803" t="s">
        <v>1371</v>
      </c>
      <c r="G2803" t="s">
        <v>1372</v>
      </c>
      <c r="H2803" s="315" t="s">
        <v>1000</v>
      </c>
      <c r="I2803" s="315" t="s">
        <v>1001</v>
      </c>
      <c r="J2803" s="315" t="str">
        <f t="shared" si="236"/>
        <v>Admin &amp; OtherOther Overheads as % of Total Gross Profit</v>
      </c>
      <c r="K2803" s="315" t="str">
        <f t="shared" si="237"/>
        <v>321Office expenses (Stationery, postage) - Toyota</v>
      </c>
      <c r="L2803" s="311">
        <f>+SUMIF('TUNZ Extracted TB'!M:M,$P2803,'TUNZ Extracted TB'!G:G)</f>
        <v>0</v>
      </c>
      <c r="M2803" s="311"/>
      <c r="N2803" s="311">
        <f>+SUMIF('Input Sheet'!$AE:$AE,P2803,'Input Sheet'!$X:$X)</f>
        <v>0</v>
      </c>
      <c r="O2803" s="311"/>
      <c r="P2803" t="str">
        <f t="shared" si="238"/>
        <v>321-7540</v>
      </c>
      <c r="Q2803" s="315" t="str">
        <f t="shared" si="239"/>
        <v>Admin &amp; Other</v>
      </c>
      <c r="R2803" s="315" t="str">
        <f t="shared" si="240"/>
        <v>Admin &amp; OtherOther Overheads as % of Total Gross Profit</v>
      </c>
      <c r="S2803" s="199"/>
      <c r="T2803" s="199"/>
      <c r="U2803" s="199"/>
    </row>
    <row r="2804" spans="1:21" x14ac:dyDescent="0.25">
      <c r="A2804" t="s">
        <v>996</v>
      </c>
      <c r="B2804" t="s">
        <v>997</v>
      </c>
      <c r="C2804" t="s">
        <v>1013</v>
      </c>
      <c r="D2804">
        <v>7540</v>
      </c>
      <c r="E2804">
        <v>330</v>
      </c>
      <c r="F2804" t="s">
        <v>1371</v>
      </c>
      <c r="G2804" t="s">
        <v>1372</v>
      </c>
      <c r="H2804" s="315" t="s">
        <v>1000</v>
      </c>
      <c r="I2804" s="315" t="s">
        <v>1001</v>
      </c>
      <c r="J2804" s="315" t="str">
        <f t="shared" si="236"/>
        <v>Admin &amp; OtherOther Overheads as % of Total Gross Profit</v>
      </c>
      <c r="K2804" s="315" t="str">
        <f t="shared" si="237"/>
        <v>330Office expenses (Stationery, postage) - Toyota</v>
      </c>
      <c r="L2804" s="311">
        <f>+SUMIF('TUNZ Extracted TB'!M:M,$P2804,'TUNZ Extracted TB'!G:G)</f>
        <v>0</v>
      </c>
      <c r="M2804" s="311"/>
      <c r="N2804" s="311">
        <f>+SUMIF('Input Sheet'!$AE:$AE,P2804,'Input Sheet'!$X:$X)</f>
        <v>0</v>
      </c>
      <c r="O2804" s="311"/>
      <c r="P2804" t="str">
        <f t="shared" si="238"/>
        <v>330-7540</v>
      </c>
      <c r="Q2804" s="315" t="str">
        <f t="shared" si="239"/>
        <v>Admin &amp; Other</v>
      </c>
      <c r="R2804" s="315" t="str">
        <f t="shared" si="240"/>
        <v>Admin &amp; OtherOther Overheads as % of Total Gross Profit</v>
      </c>
      <c r="S2804" s="199"/>
      <c r="T2804" s="199"/>
      <c r="U2804" s="199"/>
    </row>
    <row r="2805" spans="1:21" x14ac:dyDescent="0.25">
      <c r="A2805" t="s">
        <v>996</v>
      </c>
      <c r="B2805" t="s">
        <v>997</v>
      </c>
      <c r="C2805" t="s">
        <v>1013</v>
      </c>
      <c r="D2805">
        <v>7540</v>
      </c>
      <c r="E2805">
        <v>340</v>
      </c>
      <c r="F2805" t="s">
        <v>1371</v>
      </c>
      <c r="G2805" t="s">
        <v>1372</v>
      </c>
      <c r="H2805" s="315" t="s">
        <v>1000</v>
      </c>
      <c r="I2805" s="315" t="s">
        <v>1001</v>
      </c>
      <c r="J2805" s="315" t="str">
        <f t="shared" si="236"/>
        <v>Admin &amp; OtherOther Overheads as % of Total Gross Profit</v>
      </c>
      <c r="K2805" s="315" t="str">
        <f t="shared" si="237"/>
        <v>340Office expenses (Stationery, postage) - Toyota</v>
      </c>
      <c r="L2805" s="311">
        <f>+SUMIF('TUNZ Extracted TB'!M:M,$P2805,'TUNZ Extracted TB'!G:G)</f>
        <v>0</v>
      </c>
      <c r="M2805" s="311"/>
      <c r="N2805" s="311">
        <f>+SUMIF('Input Sheet'!$AE:$AE,P2805,'Input Sheet'!$X:$X)</f>
        <v>0</v>
      </c>
      <c r="O2805" s="311"/>
      <c r="P2805" t="str">
        <f t="shared" si="238"/>
        <v>340-7540</v>
      </c>
      <c r="Q2805" s="315" t="str">
        <f t="shared" si="239"/>
        <v>Admin &amp; Other</v>
      </c>
      <c r="R2805" s="315" t="str">
        <f t="shared" si="240"/>
        <v>Admin &amp; OtherOther Overheads as % of Total Gross Profit</v>
      </c>
      <c r="S2805" s="199"/>
      <c r="T2805" s="199"/>
      <c r="U2805" s="199"/>
    </row>
    <row r="2806" spans="1:21" x14ac:dyDescent="0.25">
      <c r="A2806" t="s">
        <v>996</v>
      </c>
      <c r="B2806" t="s">
        <v>997</v>
      </c>
      <c r="C2806" t="s">
        <v>1013</v>
      </c>
      <c r="D2806">
        <v>7540</v>
      </c>
      <c r="E2806">
        <v>360</v>
      </c>
      <c r="F2806" t="s">
        <v>1371</v>
      </c>
      <c r="G2806" t="s">
        <v>1372</v>
      </c>
      <c r="H2806" s="315" t="s">
        <v>1000</v>
      </c>
      <c r="I2806" s="315" t="s">
        <v>1001</v>
      </c>
      <c r="J2806" s="315" t="str">
        <f t="shared" si="236"/>
        <v>Admin &amp; OtherOther Overheads as % of Total Gross Profit</v>
      </c>
      <c r="K2806" s="315" t="str">
        <f t="shared" si="237"/>
        <v>360Office expenses (Stationery, postage) - Toyota</v>
      </c>
      <c r="L2806" s="311">
        <f>+SUMIF('TUNZ Extracted TB'!M:M,$P2806,'TUNZ Extracted TB'!G:G)</f>
        <v>0</v>
      </c>
      <c r="M2806" s="311"/>
      <c r="N2806" s="311">
        <f>+SUMIF('Input Sheet'!$AE:$AE,P2806,'Input Sheet'!$X:$X)</f>
        <v>0</v>
      </c>
      <c r="O2806" s="311"/>
      <c r="P2806" t="str">
        <f t="shared" si="238"/>
        <v>360-7540</v>
      </c>
      <c r="Q2806" s="315" t="str">
        <f t="shared" si="239"/>
        <v>Admin &amp; Other</v>
      </c>
      <c r="R2806" s="315" t="str">
        <f t="shared" si="240"/>
        <v>Admin &amp; OtherOther Overheads as % of Total Gross Profit</v>
      </c>
      <c r="S2806" s="199"/>
      <c r="T2806" s="199"/>
      <c r="U2806" s="199"/>
    </row>
    <row r="2807" spans="1:21" x14ac:dyDescent="0.25">
      <c r="A2807" t="s">
        <v>996</v>
      </c>
      <c r="B2807" t="s">
        <v>997</v>
      </c>
      <c r="C2807" t="s">
        <v>997</v>
      </c>
      <c r="D2807">
        <v>7540</v>
      </c>
      <c r="E2807">
        <v>120</v>
      </c>
      <c r="F2807" t="s">
        <v>1371</v>
      </c>
      <c r="G2807" t="s">
        <v>1372</v>
      </c>
      <c r="H2807" s="315" t="s">
        <v>1000</v>
      </c>
      <c r="I2807" s="315" t="s">
        <v>1001</v>
      </c>
      <c r="J2807" s="315" t="str">
        <f t="shared" si="236"/>
        <v>Admin &amp; OtherOther Overheads as % of Total Gross Profit</v>
      </c>
      <c r="K2807" s="315" t="str">
        <f t="shared" si="237"/>
        <v>120Office expenses (Stationery, postage) - Toyota</v>
      </c>
      <c r="L2807" s="311">
        <f>+SUMIF('TUNZ Extracted TB'!M:M,$P2807,'TUNZ Extracted TB'!G:G)</f>
        <v>0</v>
      </c>
      <c r="M2807" s="311"/>
      <c r="N2807" s="311">
        <f>+SUMIF('Input Sheet'!$AE:$AE,P2807,'Input Sheet'!$X:$X)</f>
        <v>0</v>
      </c>
      <c r="O2807" s="311"/>
      <c r="P2807" t="str">
        <f t="shared" si="238"/>
        <v>120-7540</v>
      </c>
      <c r="Q2807" s="315" t="str">
        <f t="shared" si="239"/>
        <v>Admin &amp; Other</v>
      </c>
      <c r="R2807" s="315" t="str">
        <f t="shared" si="240"/>
        <v>Admin &amp; OtherOther Overheads as % of Total Gross Profit</v>
      </c>
      <c r="S2807" s="199"/>
      <c r="T2807" s="199"/>
      <c r="U2807" s="199"/>
    </row>
    <row r="2808" spans="1:21" x14ac:dyDescent="0.25">
      <c r="A2808" t="s">
        <v>996</v>
      </c>
      <c r="B2808" t="s">
        <v>997</v>
      </c>
      <c r="C2808" t="s">
        <v>997</v>
      </c>
      <c r="D2808">
        <v>7540</v>
      </c>
      <c r="E2808">
        <v>121</v>
      </c>
      <c r="F2808" t="s">
        <v>1371</v>
      </c>
      <c r="G2808" t="s">
        <v>1372</v>
      </c>
      <c r="H2808" s="315" t="s">
        <v>1000</v>
      </c>
      <c r="I2808" s="315" t="s">
        <v>1001</v>
      </c>
      <c r="J2808" s="315" t="str">
        <f t="shared" si="236"/>
        <v>Admin &amp; OtherOther Overheads as % of Total Gross Profit</v>
      </c>
      <c r="K2808" s="315" t="str">
        <f t="shared" si="237"/>
        <v>121Office expenses (Stationery, postage) - Toyota</v>
      </c>
      <c r="L2808" s="311">
        <f>+SUMIF('TUNZ Extracted TB'!M:M,$P2808,'TUNZ Extracted TB'!G:G)</f>
        <v>0</v>
      </c>
      <c r="M2808" s="311"/>
      <c r="N2808" s="311">
        <f>+SUMIF('Input Sheet'!$AE:$AE,P2808,'Input Sheet'!$X:$X)</f>
        <v>0</v>
      </c>
      <c r="O2808" s="311"/>
      <c r="P2808" t="str">
        <f t="shared" si="238"/>
        <v>121-7540</v>
      </c>
      <c r="Q2808" s="315" t="str">
        <f t="shared" si="239"/>
        <v>Admin &amp; Other</v>
      </c>
      <c r="R2808" s="315" t="str">
        <f t="shared" si="240"/>
        <v>Admin &amp; OtherOther Overheads as % of Total Gross Profit</v>
      </c>
      <c r="S2808" s="199"/>
      <c r="T2808" s="199"/>
      <c r="U2808" s="199"/>
    </row>
    <row r="2809" spans="1:21" x14ac:dyDescent="0.25">
      <c r="A2809" t="s">
        <v>996</v>
      </c>
      <c r="B2809" t="s">
        <v>997</v>
      </c>
      <c r="C2809" t="s">
        <v>997</v>
      </c>
      <c r="D2809">
        <v>7540</v>
      </c>
      <c r="E2809">
        <v>132</v>
      </c>
      <c r="F2809" t="s">
        <v>1373</v>
      </c>
      <c r="G2809" t="s">
        <v>1374</v>
      </c>
      <c r="H2809" s="315" t="s">
        <v>1023</v>
      </c>
      <c r="I2809" s="315" t="s">
        <v>1001</v>
      </c>
      <c r="J2809" s="315" t="str">
        <f t="shared" si="236"/>
        <v>LEX Admin &amp; OtherOther Overheads as % of Total Gross Profit</v>
      </c>
      <c r="K2809" s="315" t="str">
        <f t="shared" si="237"/>
        <v>132Office expenses (Stationery, postage) - Lexus</v>
      </c>
      <c r="L2809" s="311">
        <f>+SUMIF('TUNZ Extracted TB'!M:M,$P2809,'TUNZ Extracted TB'!G:G)</f>
        <v>0</v>
      </c>
      <c r="M2809" s="311"/>
      <c r="N2809" s="311">
        <f>+SUMIF('Input Sheet'!$AE:$AE,P2809,'Input Sheet'!$X:$X)</f>
        <v>0</v>
      </c>
      <c r="O2809" s="311"/>
      <c r="P2809" t="str">
        <f t="shared" si="238"/>
        <v>132-7540</v>
      </c>
      <c r="Q2809" s="315" t="str">
        <f t="shared" si="239"/>
        <v>LEX Admin &amp; Other</v>
      </c>
      <c r="R2809" s="315" t="str">
        <f t="shared" si="240"/>
        <v>LEX Admin &amp; OtherOther Overheads as % of Total Gross Profit</v>
      </c>
      <c r="S2809" s="199"/>
      <c r="T2809" s="199"/>
      <c r="U2809" s="199"/>
    </row>
    <row r="2810" spans="1:21" x14ac:dyDescent="0.25">
      <c r="A2810" t="s">
        <v>996</v>
      </c>
      <c r="B2810" t="s">
        <v>997</v>
      </c>
      <c r="C2810" t="s">
        <v>997</v>
      </c>
      <c r="D2810">
        <v>7540</v>
      </c>
      <c r="E2810">
        <v>147</v>
      </c>
      <c r="F2810" t="s">
        <v>1371</v>
      </c>
      <c r="G2810" t="s">
        <v>1372</v>
      </c>
      <c r="H2810" s="315" t="s">
        <v>1000</v>
      </c>
      <c r="I2810" s="315" t="s">
        <v>1001</v>
      </c>
      <c r="J2810" s="315" t="str">
        <f t="shared" si="236"/>
        <v>Admin &amp; OtherOther Overheads as % of Total Gross Profit</v>
      </c>
      <c r="K2810" s="315" t="str">
        <f t="shared" si="237"/>
        <v>147Office expenses (Stationery, postage) - Toyota</v>
      </c>
      <c r="L2810" s="311">
        <f>+SUMIF('TUNZ Extracted TB'!M:M,$P2810,'TUNZ Extracted TB'!G:G)</f>
        <v>0</v>
      </c>
      <c r="M2810" s="311"/>
      <c r="N2810" s="311">
        <f>+SUMIF('Input Sheet'!$AE:$AE,P2810,'Input Sheet'!$X:$X)</f>
        <v>0</v>
      </c>
      <c r="O2810" s="311"/>
      <c r="P2810" t="str">
        <f t="shared" si="238"/>
        <v>147-7540</v>
      </c>
      <c r="Q2810" s="315" t="str">
        <f t="shared" si="239"/>
        <v>Admin &amp; Other</v>
      </c>
      <c r="R2810" s="315" t="str">
        <f t="shared" si="240"/>
        <v>Admin &amp; OtherOther Overheads as % of Total Gross Profit</v>
      </c>
      <c r="S2810" s="199"/>
      <c r="T2810" s="199"/>
      <c r="U2810" s="199"/>
    </row>
    <row r="2811" spans="1:21" x14ac:dyDescent="0.25">
      <c r="A2811" t="s">
        <v>996</v>
      </c>
      <c r="B2811" t="s">
        <v>997</v>
      </c>
      <c r="C2811" t="s">
        <v>997</v>
      </c>
      <c r="D2811">
        <v>7540</v>
      </c>
      <c r="E2811">
        <v>160</v>
      </c>
      <c r="F2811" t="s">
        <v>1371</v>
      </c>
      <c r="G2811" t="s">
        <v>1372</v>
      </c>
      <c r="H2811" s="315" t="s">
        <v>1000</v>
      </c>
      <c r="I2811" s="315" t="s">
        <v>1001</v>
      </c>
      <c r="J2811" s="315" t="str">
        <f t="shared" si="236"/>
        <v>Admin &amp; OtherOther Overheads as % of Total Gross Profit</v>
      </c>
      <c r="K2811" s="315" t="str">
        <f t="shared" si="237"/>
        <v>160Office expenses (Stationery, postage) - Toyota</v>
      </c>
      <c r="L2811" s="311">
        <f>+SUMIF('TUNZ Extracted TB'!M:M,$P2811,'TUNZ Extracted TB'!G:G)</f>
        <v>0</v>
      </c>
      <c r="M2811" s="311"/>
      <c r="N2811" s="311">
        <f>+SUMIF('Input Sheet'!$AE:$AE,P2811,'Input Sheet'!$X:$X)</f>
        <v>0</v>
      </c>
      <c r="O2811" s="311"/>
      <c r="P2811" t="str">
        <f t="shared" si="238"/>
        <v>160-7540</v>
      </c>
      <c r="Q2811" s="315" t="str">
        <f t="shared" si="239"/>
        <v>Admin &amp; Other</v>
      </c>
      <c r="R2811" s="315" t="str">
        <f t="shared" si="240"/>
        <v>Admin &amp; OtherOther Overheads as % of Total Gross Profit</v>
      </c>
      <c r="S2811" s="199"/>
      <c r="T2811" s="199"/>
      <c r="U2811" s="199"/>
    </row>
    <row r="2812" spans="1:21" x14ac:dyDescent="0.25">
      <c r="A2812" t="s">
        <v>996</v>
      </c>
      <c r="B2812" t="s">
        <v>997</v>
      </c>
      <c r="C2812" t="s">
        <v>997</v>
      </c>
      <c r="D2812">
        <v>7540</v>
      </c>
      <c r="E2812">
        <v>936</v>
      </c>
      <c r="F2812" t="s">
        <v>1175</v>
      </c>
      <c r="G2812" t="s">
        <v>1176</v>
      </c>
      <c r="H2812" s="315" t="s">
        <v>1023</v>
      </c>
      <c r="I2812" s="315" t="s">
        <v>1001</v>
      </c>
      <c r="J2812" s="315" t="str">
        <f t="shared" si="236"/>
        <v>LEX Admin &amp; OtherOther Overheads as % of Total Gross Profit</v>
      </c>
      <c r="K2812" s="315" t="str">
        <f t="shared" si="237"/>
        <v>936Other franchise/business expense</v>
      </c>
      <c r="L2812" s="311">
        <f>+SUMIF('TUNZ Extracted TB'!M:M,$P2812,'TUNZ Extracted TB'!G:G)</f>
        <v>0</v>
      </c>
      <c r="M2812" s="311"/>
      <c r="N2812" s="311">
        <f>+SUMIF('Input Sheet'!$AE:$AE,P2812,'Input Sheet'!$X:$X)</f>
        <v>0</v>
      </c>
      <c r="O2812" s="311"/>
      <c r="P2812" t="str">
        <f t="shared" si="238"/>
        <v>936-7540</v>
      </c>
      <c r="Q2812" s="315" t="str">
        <f t="shared" si="239"/>
        <v>LEX Admin &amp; Other</v>
      </c>
      <c r="R2812" s="315" t="str">
        <f t="shared" si="240"/>
        <v>LEX Admin &amp; OtherOther Overheads as % of Total Gross Profit</v>
      </c>
      <c r="S2812" s="199"/>
      <c r="T2812" s="199"/>
      <c r="U2812" s="199"/>
    </row>
    <row r="2813" spans="1:21" x14ac:dyDescent="0.25">
      <c r="A2813" t="s">
        <v>996</v>
      </c>
      <c r="B2813" t="s">
        <v>997</v>
      </c>
      <c r="C2813" t="s">
        <v>997</v>
      </c>
      <c r="D2813">
        <v>7540</v>
      </c>
      <c r="E2813">
        <v>935</v>
      </c>
      <c r="F2813" t="s">
        <v>1175</v>
      </c>
      <c r="G2813" t="s">
        <v>1176</v>
      </c>
      <c r="H2813" s="315" t="s">
        <v>1023</v>
      </c>
      <c r="I2813" s="315" t="s">
        <v>1001</v>
      </c>
      <c r="J2813" s="315" t="str">
        <f t="shared" si="236"/>
        <v>LEX Admin &amp; OtherOther Overheads as % of Total Gross Profit</v>
      </c>
      <c r="K2813" s="315" t="str">
        <f t="shared" si="237"/>
        <v>935Other franchise/business expense</v>
      </c>
      <c r="L2813" s="311">
        <f>+SUMIF('TUNZ Extracted TB'!M:M,$P2813,'TUNZ Extracted TB'!G:G)</f>
        <v>0</v>
      </c>
      <c r="M2813" s="311"/>
      <c r="N2813" s="311">
        <f>+SUMIF('Input Sheet'!$AE:$AE,P2813,'Input Sheet'!$X:$X)</f>
        <v>0</v>
      </c>
      <c r="O2813" s="311"/>
      <c r="P2813" t="str">
        <f t="shared" si="238"/>
        <v>935-7540</v>
      </c>
      <c r="Q2813" s="315" t="str">
        <f t="shared" si="239"/>
        <v>LEX Admin &amp; Other</v>
      </c>
      <c r="R2813" s="315" t="str">
        <f t="shared" si="240"/>
        <v>LEX Admin &amp; OtherOther Overheads as % of Total Gross Profit</v>
      </c>
      <c r="S2813" s="199"/>
      <c r="T2813" s="199"/>
      <c r="U2813" s="199"/>
    </row>
    <row r="2814" spans="1:21" x14ac:dyDescent="0.25">
      <c r="A2814" t="s">
        <v>996</v>
      </c>
      <c r="B2814" t="s">
        <v>997</v>
      </c>
      <c r="C2814" t="s">
        <v>997</v>
      </c>
      <c r="D2814">
        <v>7540</v>
      </c>
      <c r="E2814">
        <v>130</v>
      </c>
      <c r="F2814" t="s">
        <v>1371</v>
      </c>
      <c r="G2814" t="s">
        <v>1372</v>
      </c>
      <c r="H2814" s="315" t="s">
        <v>1000</v>
      </c>
      <c r="I2814" s="315" t="s">
        <v>1001</v>
      </c>
      <c r="J2814" s="315" t="str">
        <f t="shared" si="236"/>
        <v>Admin &amp; OtherOther Overheads as % of Total Gross Profit</v>
      </c>
      <c r="K2814" s="315" t="str">
        <f t="shared" si="237"/>
        <v>130Office expenses (Stationery, postage) - Toyota</v>
      </c>
      <c r="L2814" s="311">
        <f>+SUMIF('TUNZ Extracted TB'!M:M,$P2814,'TUNZ Extracted TB'!G:G)</f>
        <v>0</v>
      </c>
      <c r="M2814" s="311"/>
      <c r="N2814" s="311">
        <f>+SUMIF('Input Sheet'!$AE:$AE,P2814,'Input Sheet'!$X:$X)</f>
        <v>0</v>
      </c>
      <c r="O2814" s="311"/>
      <c r="P2814" t="str">
        <f t="shared" si="238"/>
        <v>130-7540</v>
      </c>
      <c r="Q2814" s="315" t="str">
        <f t="shared" si="239"/>
        <v>Admin &amp; Other</v>
      </c>
      <c r="R2814" s="315" t="str">
        <f t="shared" si="240"/>
        <v>Admin &amp; OtherOther Overheads as % of Total Gross Profit</v>
      </c>
      <c r="S2814" s="199"/>
      <c r="T2814" s="199"/>
      <c r="U2814" s="199"/>
    </row>
    <row r="2815" spans="1:21" x14ac:dyDescent="0.25">
      <c r="A2815" t="s">
        <v>996</v>
      </c>
      <c r="B2815" t="s">
        <v>997</v>
      </c>
      <c r="C2815" t="s">
        <v>997</v>
      </c>
      <c r="D2815">
        <v>7540</v>
      </c>
      <c r="E2815">
        <v>140</v>
      </c>
      <c r="F2815" t="s">
        <v>1371</v>
      </c>
      <c r="G2815" t="s">
        <v>1372</v>
      </c>
      <c r="H2815" s="315" t="s">
        <v>1000</v>
      </c>
      <c r="I2815" s="315" t="s">
        <v>1001</v>
      </c>
      <c r="J2815" s="315" t="str">
        <f t="shared" si="236"/>
        <v>Admin &amp; OtherOther Overheads as % of Total Gross Profit</v>
      </c>
      <c r="K2815" s="315" t="str">
        <f t="shared" si="237"/>
        <v>140Office expenses (Stationery, postage) - Toyota</v>
      </c>
      <c r="L2815" s="311">
        <f>+SUMIF('TUNZ Extracted TB'!M:M,$P2815,'TUNZ Extracted TB'!G:G)</f>
        <v>0</v>
      </c>
      <c r="M2815" s="311"/>
      <c r="N2815" s="311">
        <f>+SUMIF('Input Sheet'!$AE:$AE,P2815,'Input Sheet'!$X:$X)</f>
        <v>0</v>
      </c>
      <c r="O2815" s="311"/>
      <c r="P2815" t="str">
        <f t="shared" si="238"/>
        <v>140-7540</v>
      </c>
      <c r="Q2815" s="315" t="str">
        <f t="shared" si="239"/>
        <v>Admin &amp; Other</v>
      </c>
      <c r="R2815" s="315" t="str">
        <f t="shared" si="240"/>
        <v>Admin &amp; OtherOther Overheads as % of Total Gross Profit</v>
      </c>
      <c r="S2815" s="199"/>
      <c r="T2815" s="199"/>
      <c r="U2815" s="199"/>
    </row>
    <row r="2816" spans="1:21" x14ac:dyDescent="0.25">
      <c r="A2816" t="s">
        <v>996</v>
      </c>
      <c r="B2816" t="s">
        <v>997</v>
      </c>
      <c r="C2816" t="s">
        <v>997</v>
      </c>
      <c r="D2816">
        <v>7540</v>
      </c>
      <c r="E2816">
        <v>142</v>
      </c>
      <c r="F2816" t="s">
        <v>1373</v>
      </c>
      <c r="G2816" t="s">
        <v>1374</v>
      </c>
      <c r="H2816" s="315" t="s">
        <v>1023</v>
      </c>
      <c r="I2816" s="315" t="s">
        <v>1001</v>
      </c>
      <c r="J2816" s="315" t="str">
        <f t="shared" si="236"/>
        <v>LEX Admin &amp; OtherOther Overheads as % of Total Gross Profit</v>
      </c>
      <c r="K2816" s="315" t="str">
        <f t="shared" si="237"/>
        <v>142Office expenses (Stationery, postage) - Lexus</v>
      </c>
      <c r="L2816" s="311">
        <f>+SUMIF('TUNZ Extracted TB'!M:M,$P2816,'TUNZ Extracted TB'!G:G)</f>
        <v>0</v>
      </c>
      <c r="M2816" s="311"/>
      <c r="N2816" s="311">
        <f>+SUMIF('Input Sheet'!$AE:$AE,P2816,'Input Sheet'!$X:$X)</f>
        <v>0</v>
      </c>
      <c r="O2816" s="311"/>
      <c r="P2816" t="str">
        <f t="shared" si="238"/>
        <v>142-7540</v>
      </c>
      <c r="Q2816" s="315" t="str">
        <f t="shared" si="239"/>
        <v>LEX Admin &amp; Other</v>
      </c>
      <c r="R2816" s="315" t="str">
        <f t="shared" si="240"/>
        <v>LEX Admin &amp; OtherOther Overheads as % of Total Gross Profit</v>
      </c>
      <c r="S2816" s="199"/>
      <c r="T2816" s="199"/>
      <c r="U2816" s="199"/>
    </row>
    <row r="2817" spans="1:21" x14ac:dyDescent="0.25">
      <c r="A2817" t="s">
        <v>996</v>
      </c>
      <c r="B2817" t="s">
        <v>997</v>
      </c>
      <c r="C2817" t="s">
        <v>997</v>
      </c>
      <c r="D2817">
        <v>7540</v>
      </c>
      <c r="E2817">
        <v>112</v>
      </c>
      <c r="F2817" t="s">
        <v>1373</v>
      </c>
      <c r="G2817" t="s">
        <v>1374</v>
      </c>
      <c r="H2817" s="315" t="s">
        <v>1023</v>
      </c>
      <c r="I2817" s="315" t="s">
        <v>1001</v>
      </c>
      <c r="J2817" s="315" t="str">
        <f t="shared" si="236"/>
        <v>LEX Admin &amp; OtherOther Overheads as % of Total Gross Profit</v>
      </c>
      <c r="K2817" s="315" t="str">
        <f t="shared" si="237"/>
        <v>112Office expenses (Stationery, postage) - Lexus</v>
      </c>
      <c r="L2817" s="311">
        <f>+SUMIF('TUNZ Extracted TB'!M:M,$P2817,'TUNZ Extracted TB'!G:G)</f>
        <v>0</v>
      </c>
      <c r="M2817" s="311"/>
      <c r="N2817" s="311">
        <f>+SUMIF('Input Sheet'!$AE:$AE,P2817,'Input Sheet'!$X:$X)</f>
        <v>0</v>
      </c>
      <c r="O2817" s="311"/>
      <c r="P2817" t="str">
        <f t="shared" si="238"/>
        <v>112-7540</v>
      </c>
      <c r="Q2817" s="315" t="str">
        <f t="shared" si="239"/>
        <v>LEX Admin &amp; Other</v>
      </c>
      <c r="R2817" s="315" t="str">
        <f t="shared" si="240"/>
        <v>LEX Admin &amp; OtherOther Overheads as % of Total Gross Profit</v>
      </c>
      <c r="S2817" s="199"/>
      <c r="T2817" s="199"/>
      <c r="U2817" s="199"/>
    </row>
    <row r="2818" spans="1:21" x14ac:dyDescent="0.25">
      <c r="A2818" t="s">
        <v>996</v>
      </c>
      <c r="B2818" t="s">
        <v>997</v>
      </c>
      <c r="C2818" t="s">
        <v>997</v>
      </c>
      <c r="D2818">
        <v>7540</v>
      </c>
      <c r="E2818">
        <v>110</v>
      </c>
      <c r="F2818" t="s">
        <v>1371</v>
      </c>
      <c r="G2818" t="s">
        <v>1372</v>
      </c>
      <c r="H2818" s="315" t="s">
        <v>1000</v>
      </c>
      <c r="I2818" s="315" t="s">
        <v>1001</v>
      </c>
      <c r="J2818" s="315" t="str">
        <f t="shared" si="236"/>
        <v>Admin &amp; OtherOther Overheads as % of Total Gross Profit</v>
      </c>
      <c r="K2818" s="315" t="str">
        <f t="shared" si="237"/>
        <v>110Office expenses (Stationery, postage) - Toyota</v>
      </c>
      <c r="L2818" s="311">
        <f>+SUMIF('TUNZ Extracted TB'!M:M,$P2818,'TUNZ Extracted TB'!G:G)</f>
        <v>0</v>
      </c>
      <c r="M2818" s="311"/>
      <c r="N2818" s="311">
        <f>+SUMIF('Input Sheet'!$AE:$AE,P2818,'Input Sheet'!$X:$X)</f>
        <v>0</v>
      </c>
      <c r="O2818" s="311"/>
      <c r="P2818" t="str">
        <f t="shared" si="238"/>
        <v>110-7540</v>
      </c>
      <c r="Q2818" s="315" t="str">
        <f t="shared" si="239"/>
        <v>Admin &amp; Other</v>
      </c>
      <c r="R2818" s="315" t="str">
        <f t="shared" si="240"/>
        <v>Admin &amp; OtherOther Overheads as % of Total Gross Profit</v>
      </c>
      <c r="S2818" s="199"/>
      <c r="T2818" s="199"/>
      <c r="U2818" s="199"/>
    </row>
    <row r="2819" spans="1:21" x14ac:dyDescent="0.25">
      <c r="A2819" t="s">
        <v>996</v>
      </c>
      <c r="B2819" t="s">
        <v>997</v>
      </c>
      <c r="C2819" t="s">
        <v>997</v>
      </c>
      <c r="D2819">
        <v>7540</v>
      </c>
      <c r="E2819">
        <v>100</v>
      </c>
      <c r="F2819" t="s">
        <v>1371</v>
      </c>
      <c r="G2819" t="s">
        <v>1372</v>
      </c>
      <c r="H2819" s="315" t="s">
        <v>1000</v>
      </c>
      <c r="I2819" s="315" t="s">
        <v>1001</v>
      </c>
      <c r="J2819" s="315" t="str">
        <f t="shared" ref="J2819:J2882" si="241">+H2819&amp;I2819</f>
        <v>Admin &amp; OtherOther Overheads as % of Total Gross Profit</v>
      </c>
      <c r="K2819" s="315" t="str">
        <f t="shared" ref="K2819:K2882" si="242">+E2819&amp;G2819</f>
        <v>100Office expenses (Stationery, postage) - Toyota</v>
      </c>
      <c r="L2819" s="311">
        <f>+SUMIF('TUNZ Extracted TB'!M:M,$P2819,'TUNZ Extracted TB'!G:G)</f>
        <v>0</v>
      </c>
      <c r="M2819" s="311"/>
      <c r="N2819" s="311">
        <f>+SUMIF('Input Sheet'!$AE:$AE,P2819,'Input Sheet'!$X:$X)</f>
        <v>0</v>
      </c>
      <c r="O2819" s="311"/>
      <c r="P2819" t="str">
        <f t="shared" ref="P2819:P2882" si="243">+E2819&amp;"-"&amp;D2819</f>
        <v>100-7540</v>
      </c>
      <c r="Q2819" s="315" t="str">
        <f t="shared" ref="Q2819:Q2882" si="244">H2819</f>
        <v>Admin &amp; Other</v>
      </c>
      <c r="R2819" s="315" t="str">
        <f t="shared" ref="R2819:R2882" si="245">J2819</f>
        <v>Admin &amp; OtherOther Overheads as % of Total Gross Profit</v>
      </c>
      <c r="S2819" s="199"/>
      <c r="T2819" s="199"/>
      <c r="U2819" s="199"/>
    </row>
    <row r="2820" spans="1:21" x14ac:dyDescent="0.25">
      <c r="A2820" t="s">
        <v>996</v>
      </c>
      <c r="B2820" t="s">
        <v>997</v>
      </c>
      <c r="C2820" t="s">
        <v>1013</v>
      </c>
      <c r="D2820">
        <v>7550</v>
      </c>
      <c r="E2820">
        <v>340</v>
      </c>
      <c r="F2820" t="s">
        <v>1412</v>
      </c>
      <c r="G2820" t="s">
        <v>1413</v>
      </c>
      <c r="H2820" s="315" t="s">
        <v>17</v>
      </c>
      <c r="I2820" s="315" t="s">
        <v>1286</v>
      </c>
      <c r="J2820" s="315" t="str">
        <f t="shared" si="241"/>
        <v>ServiceOther Expenses as % of Sales</v>
      </c>
      <c r="K2820" s="315" t="str">
        <f t="shared" si="242"/>
        <v>340Service Training expense - Toyota</v>
      </c>
      <c r="L2820" s="311">
        <f>+SUMIF('TUNZ Extracted TB'!M:M,$P2820,'TUNZ Extracted TB'!G:G)</f>
        <v>2809.06</v>
      </c>
      <c r="M2820" s="311"/>
      <c r="N2820" s="311">
        <f>+SUMIF('Input Sheet'!$AE:$AE,P2820,'Input Sheet'!$X:$X)</f>
        <v>0</v>
      </c>
      <c r="O2820" s="311"/>
      <c r="P2820" t="str">
        <f t="shared" si="243"/>
        <v>340-7550</v>
      </c>
      <c r="Q2820" s="315" t="str">
        <f t="shared" si="244"/>
        <v>Service</v>
      </c>
      <c r="R2820" s="315" t="str">
        <f t="shared" si="245"/>
        <v>ServiceOther Expenses as % of Sales</v>
      </c>
      <c r="S2820" s="199"/>
      <c r="T2820" s="199"/>
      <c r="U2820" s="199"/>
    </row>
    <row r="2821" spans="1:21" x14ac:dyDescent="0.25">
      <c r="A2821" t="s">
        <v>996</v>
      </c>
      <c r="B2821" t="s">
        <v>997</v>
      </c>
      <c r="C2821" t="s">
        <v>1012</v>
      </c>
      <c r="D2821">
        <v>7550</v>
      </c>
      <c r="E2821">
        <v>440</v>
      </c>
      <c r="F2821" t="s">
        <v>1412</v>
      </c>
      <c r="G2821" t="s">
        <v>1413</v>
      </c>
      <c r="H2821" s="315" t="s">
        <v>17</v>
      </c>
      <c r="I2821" s="315" t="s">
        <v>1286</v>
      </c>
      <c r="J2821" s="315" t="str">
        <f t="shared" si="241"/>
        <v>ServiceOther Expenses as % of Sales</v>
      </c>
      <c r="K2821" s="315" t="str">
        <f t="shared" si="242"/>
        <v>440Service Training expense - Toyota</v>
      </c>
      <c r="L2821" s="311">
        <f>+SUMIF('TUNZ Extracted TB'!M:M,$P2821,'TUNZ Extracted TB'!G:G)</f>
        <v>456.99</v>
      </c>
      <c r="M2821" s="311"/>
      <c r="N2821" s="311">
        <f>+SUMIF('Input Sheet'!$AE:$AE,P2821,'Input Sheet'!$X:$X)</f>
        <v>0</v>
      </c>
      <c r="O2821" s="311"/>
      <c r="P2821" t="str">
        <f t="shared" si="243"/>
        <v>440-7550</v>
      </c>
      <c r="Q2821" s="315" t="str">
        <f t="shared" si="244"/>
        <v>Service</v>
      </c>
      <c r="R2821" s="315" t="str">
        <f t="shared" si="245"/>
        <v>ServiceOther Expenses as % of Sales</v>
      </c>
      <c r="S2821" s="199"/>
      <c r="T2821" s="199"/>
      <c r="U2821" s="199"/>
    </row>
    <row r="2822" spans="1:21" x14ac:dyDescent="0.25">
      <c r="A2822" t="s">
        <v>996</v>
      </c>
      <c r="B2822" t="s">
        <v>997</v>
      </c>
      <c r="C2822" t="s">
        <v>1005</v>
      </c>
      <c r="D2822">
        <v>7550</v>
      </c>
      <c r="E2822">
        <v>240</v>
      </c>
      <c r="F2822" t="s">
        <v>1412</v>
      </c>
      <c r="G2822" t="s">
        <v>1413</v>
      </c>
      <c r="H2822" s="315" t="s">
        <v>17</v>
      </c>
      <c r="I2822" s="315" t="s">
        <v>1286</v>
      </c>
      <c r="J2822" s="315" t="str">
        <f t="shared" si="241"/>
        <v>ServiceOther Expenses as % of Sales</v>
      </c>
      <c r="K2822" s="315" t="str">
        <f t="shared" si="242"/>
        <v>240Service Training expense - Toyota</v>
      </c>
      <c r="L2822" s="311">
        <f>+SUMIF('TUNZ Extracted TB'!M:M,$P2822,'TUNZ Extracted TB'!G:G)</f>
        <v>1310.2</v>
      </c>
      <c r="M2822" s="311"/>
      <c r="N2822" s="311">
        <f>+SUMIF('Input Sheet'!$AE:$AE,P2822,'Input Sheet'!$X:$X)</f>
        <v>0</v>
      </c>
      <c r="O2822" s="311"/>
      <c r="P2822" t="str">
        <f t="shared" si="243"/>
        <v>240-7550</v>
      </c>
      <c r="Q2822" s="315" t="str">
        <f t="shared" si="244"/>
        <v>Service</v>
      </c>
      <c r="R2822" s="315" t="str">
        <f t="shared" si="245"/>
        <v>ServiceOther Expenses as % of Sales</v>
      </c>
      <c r="S2822" s="199"/>
      <c r="T2822" s="199"/>
      <c r="U2822" s="199"/>
    </row>
    <row r="2823" spans="1:21" x14ac:dyDescent="0.25">
      <c r="A2823" t="s">
        <v>996</v>
      </c>
      <c r="B2823" t="s">
        <v>997</v>
      </c>
      <c r="C2823" t="s">
        <v>1005</v>
      </c>
      <c r="D2823">
        <v>7550</v>
      </c>
      <c r="E2823">
        <v>220</v>
      </c>
      <c r="F2823" t="s">
        <v>1414</v>
      </c>
      <c r="G2823" t="s">
        <v>1415</v>
      </c>
      <c r="H2823" s="315" t="s">
        <v>30</v>
      </c>
      <c r="I2823" s="315" t="s">
        <v>1327</v>
      </c>
      <c r="J2823" s="315" t="str">
        <f t="shared" si="241"/>
        <v>Used VehicleOther Semi-Fixed expenses per retail</v>
      </c>
      <c r="K2823" s="315" t="str">
        <f t="shared" si="242"/>
        <v>220Toyota UV Training expense</v>
      </c>
      <c r="L2823" s="311">
        <f>+SUMIF('TUNZ Extracted TB'!M:M,$P2823,'TUNZ Extracted TB'!G:G)</f>
        <v>0</v>
      </c>
      <c r="M2823" s="311"/>
      <c r="N2823" s="311">
        <f>+SUMIF('Input Sheet'!$AE:$AE,P2823,'Input Sheet'!$X:$X)</f>
        <v>0</v>
      </c>
      <c r="O2823" s="311"/>
      <c r="P2823" t="str">
        <f t="shared" si="243"/>
        <v>220-7550</v>
      </c>
      <c r="Q2823" s="315" t="str">
        <f t="shared" si="244"/>
        <v>Used Vehicle</v>
      </c>
      <c r="R2823" s="315" t="str">
        <f t="shared" si="245"/>
        <v>Used VehicleOther Semi-Fixed expenses per retail</v>
      </c>
      <c r="S2823" s="199"/>
      <c r="T2823" s="199"/>
      <c r="U2823" s="199"/>
    </row>
    <row r="2824" spans="1:21" x14ac:dyDescent="0.25">
      <c r="A2824" t="s">
        <v>996</v>
      </c>
      <c r="B2824" t="s">
        <v>997</v>
      </c>
      <c r="C2824" t="s">
        <v>997</v>
      </c>
      <c r="D2824">
        <v>7550</v>
      </c>
      <c r="E2824">
        <v>112</v>
      </c>
      <c r="F2824" t="s">
        <v>1416</v>
      </c>
      <c r="G2824" t="s">
        <v>1417</v>
      </c>
      <c r="H2824" s="315" t="s">
        <v>1011</v>
      </c>
      <c r="I2824" s="315" t="s">
        <v>1359</v>
      </c>
      <c r="J2824" s="315" t="str">
        <f t="shared" si="241"/>
        <v>LEX New VehicleOther Semi-Fixed Expenses p.u</v>
      </c>
      <c r="K2824" s="315" t="str">
        <f t="shared" si="242"/>
        <v>112NV Training expense - Lexus</v>
      </c>
      <c r="L2824" s="311">
        <f>+SUMIF('TUNZ Extracted TB'!M:M,$P2824,'TUNZ Extracted TB'!G:G)</f>
        <v>0</v>
      </c>
      <c r="M2824" s="311"/>
      <c r="N2824" s="311">
        <f>+SUMIF('Input Sheet'!$AE:$AE,P2824,'Input Sheet'!$X:$X)</f>
        <v>0</v>
      </c>
      <c r="O2824" s="311"/>
      <c r="P2824" t="str">
        <f t="shared" si="243"/>
        <v>112-7550</v>
      </c>
      <c r="Q2824" s="315" t="str">
        <f t="shared" si="244"/>
        <v>LEX New Vehicle</v>
      </c>
      <c r="R2824" s="315" t="str">
        <f t="shared" si="245"/>
        <v>LEX New VehicleOther Semi-Fixed Expenses p.u</v>
      </c>
      <c r="S2824" s="199"/>
      <c r="T2824" s="199"/>
      <c r="U2824" s="199"/>
    </row>
    <row r="2825" spans="1:21" x14ac:dyDescent="0.25">
      <c r="A2825" t="s">
        <v>996</v>
      </c>
      <c r="B2825" t="s">
        <v>997</v>
      </c>
      <c r="C2825" t="s">
        <v>1005</v>
      </c>
      <c r="D2825">
        <v>7550</v>
      </c>
      <c r="E2825">
        <v>230</v>
      </c>
      <c r="F2825" t="s">
        <v>1418</v>
      </c>
      <c r="G2825" t="s">
        <v>1419</v>
      </c>
      <c r="H2825" s="315" t="s">
        <v>5</v>
      </c>
      <c r="I2825" s="315" t="s">
        <v>1286</v>
      </c>
      <c r="J2825" s="315" t="str">
        <f t="shared" si="241"/>
        <v>PartsOther Expenses as % of Sales</v>
      </c>
      <c r="K2825" s="315" t="str">
        <f t="shared" si="242"/>
        <v>230Parts Training - Toyota</v>
      </c>
      <c r="L2825" s="311">
        <f>+SUMIF('TUNZ Extracted TB'!M:M,$P2825,'TUNZ Extracted TB'!G:G)</f>
        <v>0</v>
      </c>
      <c r="M2825" s="311"/>
      <c r="N2825" s="311">
        <f>+SUMIF('Input Sheet'!$AE:$AE,P2825,'Input Sheet'!$X:$X)</f>
        <v>0</v>
      </c>
      <c r="O2825" s="311"/>
      <c r="P2825" t="str">
        <f t="shared" si="243"/>
        <v>230-7550</v>
      </c>
      <c r="Q2825" s="315" t="str">
        <f t="shared" si="244"/>
        <v>Parts</v>
      </c>
      <c r="R2825" s="315" t="str">
        <f t="shared" si="245"/>
        <v>PartsOther Expenses as % of Sales</v>
      </c>
      <c r="S2825" s="199"/>
      <c r="T2825" s="199"/>
      <c r="U2825" s="199"/>
    </row>
    <row r="2826" spans="1:21" x14ac:dyDescent="0.25">
      <c r="A2826" t="s">
        <v>996</v>
      </c>
      <c r="B2826" t="s">
        <v>997</v>
      </c>
      <c r="C2826" t="s">
        <v>997</v>
      </c>
      <c r="D2826">
        <v>7550</v>
      </c>
      <c r="E2826">
        <v>120</v>
      </c>
      <c r="F2826" t="s">
        <v>1414</v>
      </c>
      <c r="G2826" t="s">
        <v>1415</v>
      </c>
      <c r="H2826" s="315" t="s">
        <v>30</v>
      </c>
      <c r="I2826" s="315" t="s">
        <v>1327</v>
      </c>
      <c r="J2826" s="315" t="str">
        <f t="shared" si="241"/>
        <v>Used VehicleOther Semi-Fixed expenses per retail</v>
      </c>
      <c r="K2826" s="315" t="str">
        <f t="shared" si="242"/>
        <v>120Toyota UV Training expense</v>
      </c>
      <c r="L2826" s="311">
        <f>+SUMIF('TUNZ Extracted TB'!M:M,$P2826,'TUNZ Extracted TB'!G:G)</f>
        <v>46.96</v>
      </c>
      <c r="M2826" s="311"/>
      <c r="N2826" s="311">
        <f>+SUMIF('Input Sheet'!$AE:$AE,P2826,'Input Sheet'!$X:$X)</f>
        <v>0</v>
      </c>
      <c r="O2826" s="311"/>
      <c r="P2826" t="str">
        <f t="shared" si="243"/>
        <v>120-7550</v>
      </c>
      <c r="Q2826" s="315" t="str">
        <f t="shared" si="244"/>
        <v>Used Vehicle</v>
      </c>
      <c r="R2826" s="315" t="str">
        <f t="shared" si="245"/>
        <v>Used VehicleOther Semi-Fixed expenses per retail</v>
      </c>
      <c r="S2826" s="199"/>
      <c r="T2826" s="199"/>
      <c r="U2826" s="199"/>
    </row>
    <row r="2827" spans="1:21" x14ac:dyDescent="0.25">
      <c r="A2827" t="s">
        <v>996</v>
      </c>
      <c r="B2827" t="s">
        <v>997</v>
      </c>
      <c r="C2827" t="s">
        <v>1012</v>
      </c>
      <c r="D2827">
        <v>7550</v>
      </c>
      <c r="E2827">
        <v>430</v>
      </c>
      <c r="F2827" t="s">
        <v>1418</v>
      </c>
      <c r="G2827" t="s">
        <v>1419</v>
      </c>
      <c r="H2827" s="315" t="s">
        <v>5</v>
      </c>
      <c r="I2827" s="315" t="s">
        <v>1286</v>
      </c>
      <c r="J2827" s="315" t="str">
        <f t="shared" si="241"/>
        <v>PartsOther Expenses as % of Sales</v>
      </c>
      <c r="K2827" s="315" t="str">
        <f t="shared" si="242"/>
        <v>430Parts Training - Toyota</v>
      </c>
      <c r="L2827" s="311">
        <f>+SUMIF('TUNZ Extracted TB'!M:M,$P2827,'TUNZ Extracted TB'!G:G)</f>
        <v>0</v>
      </c>
      <c r="M2827" s="311"/>
      <c r="N2827" s="311">
        <f>+SUMIF('Input Sheet'!$AE:$AE,P2827,'Input Sheet'!$X:$X)</f>
        <v>0</v>
      </c>
      <c r="O2827" s="311"/>
      <c r="P2827" t="str">
        <f t="shared" si="243"/>
        <v>430-7550</v>
      </c>
      <c r="Q2827" s="315" t="str">
        <f t="shared" si="244"/>
        <v>Parts</v>
      </c>
      <c r="R2827" s="315" t="str">
        <f t="shared" si="245"/>
        <v>PartsOther Expenses as % of Sales</v>
      </c>
      <c r="S2827" s="199"/>
      <c r="T2827" s="199"/>
      <c r="U2827" s="199"/>
    </row>
    <row r="2828" spans="1:21" x14ac:dyDescent="0.25">
      <c r="A2828" t="s">
        <v>996</v>
      </c>
      <c r="B2828" t="s">
        <v>997</v>
      </c>
      <c r="C2828" t="s">
        <v>1013</v>
      </c>
      <c r="D2828">
        <v>7550</v>
      </c>
      <c r="E2828">
        <v>330</v>
      </c>
      <c r="F2828" t="s">
        <v>1418</v>
      </c>
      <c r="G2828" t="s">
        <v>1419</v>
      </c>
      <c r="H2828" s="315" t="s">
        <v>5</v>
      </c>
      <c r="I2828" s="315" t="s">
        <v>1286</v>
      </c>
      <c r="J2828" s="315" t="str">
        <f t="shared" si="241"/>
        <v>PartsOther Expenses as % of Sales</v>
      </c>
      <c r="K2828" s="315" t="str">
        <f t="shared" si="242"/>
        <v>330Parts Training - Toyota</v>
      </c>
      <c r="L2828" s="311">
        <f>+SUMIF('TUNZ Extracted TB'!M:M,$P2828,'TUNZ Extracted TB'!G:G)</f>
        <v>0</v>
      </c>
      <c r="M2828" s="311"/>
      <c r="N2828" s="311">
        <f>+SUMIF('Input Sheet'!$AE:$AE,P2828,'Input Sheet'!$X:$X)</f>
        <v>0</v>
      </c>
      <c r="O2828" s="311"/>
      <c r="P2828" t="str">
        <f t="shared" si="243"/>
        <v>330-7550</v>
      </c>
      <c r="Q2828" s="315" t="str">
        <f t="shared" si="244"/>
        <v>Parts</v>
      </c>
      <c r="R2828" s="315" t="str">
        <f t="shared" si="245"/>
        <v>PartsOther Expenses as % of Sales</v>
      </c>
      <c r="S2828" s="199"/>
      <c r="T2828" s="199"/>
      <c r="U2828" s="199"/>
    </row>
    <row r="2829" spans="1:21" x14ac:dyDescent="0.25">
      <c r="A2829" t="s">
        <v>996</v>
      </c>
      <c r="B2829" t="s">
        <v>997</v>
      </c>
      <c r="C2829" t="s">
        <v>997</v>
      </c>
      <c r="D2829">
        <v>7550</v>
      </c>
      <c r="E2829">
        <v>162</v>
      </c>
      <c r="F2829" t="s">
        <v>1420</v>
      </c>
      <c r="G2829" t="s">
        <v>1421</v>
      </c>
      <c r="H2829" s="315" t="s">
        <v>142</v>
      </c>
      <c r="I2829" s="315" t="s">
        <v>1249</v>
      </c>
      <c r="J2829" s="315" t="str">
        <f t="shared" si="241"/>
        <v>LEX F&amp;ISalaries &amp; Commission per vehicle retailed</v>
      </c>
      <c r="K2829" s="315" t="str">
        <f t="shared" si="242"/>
        <v>162F&amp;I Training expense - Lexus</v>
      </c>
      <c r="L2829" s="311">
        <f>+SUMIF('TUNZ Extracted TB'!M:M,$P2829,'TUNZ Extracted TB'!G:G)</f>
        <v>0</v>
      </c>
      <c r="M2829" s="311"/>
      <c r="N2829" s="311">
        <f>+SUMIF('Input Sheet'!$AE:$AE,P2829,'Input Sheet'!$X:$X)</f>
        <v>0</v>
      </c>
      <c r="O2829" s="311"/>
      <c r="P2829" t="str">
        <f t="shared" si="243"/>
        <v>162-7550</v>
      </c>
      <c r="Q2829" s="315" t="str">
        <f t="shared" si="244"/>
        <v>LEX F&amp;I</v>
      </c>
      <c r="R2829" s="315" t="str">
        <f t="shared" si="245"/>
        <v>LEX F&amp;ISalaries &amp; Commission per vehicle retailed</v>
      </c>
      <c r="S2829" s="199"/>
      <c r="T2829" s="199"/>
      <c r="U2829" s="199"/>
    </row>
    <row r="2830" spans="1:21" x14ac:dyDescent="0.25">
      <c r="A2830" t="s">
        <v>996</v>
      </c>
      <c r="B2830" t="s">
        <v>997</v>
      </c>
      <c r="C2830" t="s">
        <v>997</v>
      </c>
      <c r="D2830">
        <v>7550</v>
      </c>
      <c r="E2830">
        <v>160</v>
      </c>
      <c r="F2830" t="s">
        <v>1422</v>
      </c>
      <c r="G2830" t="s">
        <v>1423</v>
      </c>
      <c r="H2830" s="315" t="s">
        <v>16</v>
      </c>
      <c r="I2830" s="315" t="s">
        <v>1295</v>
      </c>
      <c r="J2830" s="315" t="str">
        <f t="shared" si="241"/>
        <v>F&amp;IOther Expenses per vehicle retailed</v>
      </c>
      <c r="K2830" s="315" t="str">
        <f t="shared" si="242"/>
        <v>160F&amp;I Training expense - Toyota</v>
      </c>
      <c r="L2830" s="311">
        <f>+SUMIF('TUNZ Extracted TB'!M:M,$P2830,'TUNZ Extracted TB'!G:G)</f>
        <v>0</v>
      </c>
      <c r="M2830" s="311"/>
      <c r="N2830" s="311">
        <f>+SUMIF('Input Sheet'!$AE:$AE,P2830,'Input Sheet'!$X:$X)</f>
        <v>0</v>
      </c>
      <c r="O2830" s="311"/>
      <c r="P2830" t="str">
        <f t="shared" si="243"/>
        <v>160-7550</v>
      </c>
      <c r="Q2830" s="315" t="str">
        <f t="shared" si="244"/>
        <v>F&amp;I</v>
      </c>
      <c r="R2830" s="315" t="str">
        <f t="shared" si="245"/>
        <v>F&amp;IOther Expenses per vehicle retailed</v>
      </c>
      <c r="S2830" s="199"/>
      <c r="T2830" s="199"/>
      <c r="U2830" s="199"/>
    </row>
    <row r="2831" spans="1:21" x14ac:dyDescent="0.25">
      <c r="A2831" t="s">
        <v>996</v>
      </c>
      <c r="B2831" t="s">
        <v>997</v>
      </c>
      <c r="C2831" t="s">
        <v>1005</v>
      </c>
      <c r="D2831">
        <v>7550</v>
      </c>
      <c r="E2831">
        <v>260</v>
      </c>
      <c r="F2831" t="s">
        <v>1422</v>
      </c>
      <c r="G2831" t="s">
        <v>1423</v>
      </c>
      <c r="H2831" s="315" t="s">
        <v>16</v>
      </c>
      <c r="I2831" s="315" t="s">
        <v>1295</v>
      </c>
      <c r="J2831" s="315" t="str">
        <f t="shared" si="241"/>
        <v>F&amp;IOther Expenses per vehicle retailed</v>
      </c>
      <c r="K2831" s="315" t="str">
        <f t="shared" si="242"/>
        <v>260F&amp;I Training expense - Toyota</v>
      </c>
      <c r="L2831" s="311">
        <f>+SUMIF('TUNZ Extracted TB'!M:M,$P2831,'TUNZ Extracted TB'!G:G)</f>
        <v>0</v>
      </c>
      <c r="M2831" s="311"/>
      <c r="N2831" s="311">
        <f>+SUMIF('Input Sheet'!$AE:$AE,P2831,'Input Sheet'!$X:$X)</f>
        <v>0</v>
      </c>
      <c r="O2831" s="311"/>
      <c r="P2831" t="str">
        <f t="shared" si="243"/>
        <v>260-7550</v>
      </c>
      <c r="Q2831" s="315" t="str">
        <f t="shared" si="244"/>
        <v>F&amp;I</v>
      </c>
      <c r="R2831" s="315" t="str">
        <f t="shared" si="245"/>
        <v>F&amp;IOther Expenses per vehicle retailed</v>
      </c>
      <c r="S2831" s="199"/>
      <c r="T2831" s="199"/>
      <c r="U2831" s="199"/>
    </row>
    <row r="2832" spans="1:21" x14ac:dyDescent="0.25">
      <c r="A2832" t="s">
        <v>996</v>
      </c>
      <c r="B2832" t="s">
        <v>997</v>
      </c>
      <c r="C2832" t="s">
        <v>1012</v>
      </c>
      <c r="D2832">
        <v>7550</v>
      </c>
      <c r="E2832">
        <v>460</v>
      </c>
      <c r="F2832" t="s">
        <v>1422</v>
      </c>
      <c r="G2832" t="s">
        <v>1423</v>
      </c>
      <c r="H2832" s="315" t="s">
        <v>16</v>
      </c>
      <c r="I2832" s="315" t="s">
        <v>1295</v>
      </c>
      <c r="J2832" s="315" t="str">
        <f t="shared" si="241"/>
        <v>F&amp;IOther Expenses per vehicle retailed</v>
      </c>
      <c r="K2832" s="315" t="str">
        <f t="shared" si="242"/>
        <v>460F&amp;I Training expense - Toyota</v>
      </c>
      <c r="L2832" s="311">
        <f>+SUMIF('TUNZ Extracted TB'!M:M,$P2832,'TUNZ Extracted TB'!G:G)</f>
        <v>0</v>
      </c>
      <c r="M2832" s="311"/>
      <c r="N2832" s="311">
        <f>+SUMIF('Input Sheet'!$AE:$AE,P2832,'Input Sheet'!$X:$X)</f>
        <v>0</v>
      </c>
      <c r="O2832" s="311"/>
      <c r="P2832" t="str">
        <f t="shared" si="243"/>
        <v>460-7550</v>
      </c>
      <c r="Q2832" s="315" t="str">
        <f t="shared" si="244"/>
        <v>F&amp;I</v>
      </c>
      <c r="R2832" s="315" t="str">
        <f t="shared" si="245"/>
        <v>F&amp;IOther Expenses per vehicle retailed</v>
      </c>
      <c r="S2832" s="199"/>
      <c r="T2832" s="199"/>
      <c r="U2832" s="199"/>
    </row>
    <row r="2833" spans="1:21" x14ac:dyDescent="0.25">
      <c r="A2833" t="s">
        <v>996</v>
      </c>
      <c r="B2833" t="s">
        <v>997</v>
      </c>
      <c r="C2833" t="s">
        <v>1013</v>
      </c>
      <c r="D2833">
        <v>7550</v>
      </c>
      <c r="E2833">
        <v>360</v>
      </c>
      <c r="F2833" t="s">
        <v>1422</v>
      </c>
      <c r="G2833" t="s">
        <v>1423</v>
      </c>
      <c r="H2833" s="315" t="s">
        <v>16</v>
      </c>
      <c r="I2833" s="315" t="s">
        <v>1295</v>
      </c>
      <c r="J2833" s="315" t="str">
        <f t="shared" si="241"/>
        <v>F&amp;IOther Expenses per vehicle retailed</v>
      </c>
      <c r="K2833" s="315" t="str">
        <f t="shared" si="242"/>
        <v>360F&amp;I Training expense - Toyota</v>
      </c>
      <c r="L2833" s="311">
        <f>+SUMIF('TUNZ Extracted TB'!M:M,$P2833,'TUNZ Extracted TB'!G:G)</f>
        <v>0</v>
      </c>
      <c r="M2833" s="311"/>
      <c r="N2833" s="311">
        <f>+SUMIF('Input Sheet'!$AE:$AE,P2833,'Input Sheet'!$X:$X)</f>
        <v>0</v>
      </c>
      <c r="O2833" s="311"/>
      <c r="P2833" t="str">
        <f t="shared" si="243"/>
        <v>360-7550</v>
      </c>
      <c r="Q2833" s="315" t="str">
        <f t="shared" si="244"/>
        <v>F&amp;I</v>
      </c>
      <c r="R2833" s="315" t="str">
        <f t="shared" si="245"/>
        <v>F&amp;IOther Expenses per vehicle retailed</v>
      </c>
      <c r="S2833" s="199"/>
      <c r="T2833" s="199"/>
      <c r="U2833" s="199"/>
    </row>
    <row r="2834" spans="1:21" x14ac:dyDescent="0.25">
      <c r="A2834" t="s">
        <v>996</v>
      </c>
      <c r="B2834" t="s">
        <v>997</v>
      </c>
      <c r="C2834" t="s">
        <v>997</v>
      </c>
      <c r="D2834">
        <v>7550</v>
      </c>
      <c r="E2834">
        <v>110</v>
      </c>
      <c r="F2834" t="s">
        <v>1398</v>
      </c>
      <c r="G2834" t="s">
        <v>1399</v>
      </c>
      <c r="H2834" s="315" t="s">
        <v>29</v>
      </c>
      <c r="I2834" s="315" t="s">
        <v>1359</v>
      </c>
      <c r="J2834" s="315" t="str">
        <f t="shared" si="241"/>
        <v>New VehicleOther Semi-Fixed Expenses p.u</v>
      </c>
      <c r="K2834" s="315" t="str">
        <f t="shared" si="242"/>
        <v>110NV Training expense - Toyota</v>
      </c>
      <c r="L2834" s="311">
        <f>+SUMIF('TUNZ Extracted TB'!M:M,$P2834,'TUNZ Extracted TB'!G:G)</f>
        <v>0</v>
      </c>
      <c r="M2834" s="311"/>
      <c r="N2834" s="311">
        <f>+SUMIF('Input Sheet'!$AE:$AE,P2834,'Input Sheet'!$X:$X)</f>
        <v>0</v>
      </c>
      <c r="O2834" s="311"/>
      <c r="P2834" t="str">
        <f t="shared" si="243"/>
        <v>110-7550</v>
      </c>
      <c r="Q2834" s="315" t="str">
        <f t="shared" si="244"/>
        <v>New Vehicle</v>
      </c>
      <c r="R2834" s="315" t="str">
        <f t="shared" si="245"/>
        <v>New VehicleOther Semi-Fixed Expenses p.u</v>
      </c>
      <c r="S2834" s="199"/>
      <c r="T2834" s="199"/>
      <c r="U2834" s="199"/>
    </row>
    <row r="2835" spans="1:21" x14ac:dyDescent="0.25">
      <c r="A2835" t="s">
        <v>996</v>
      </c>
      <c r="B2835" t="s">
        <v>997</v>
      </c>
      <c r="C2835" t="s">
        <v>997</v>
      </c>
      <c r="D2835">
        <v>7550</v>
      </c>
      <c r="E2835">
        <v>100</v>
      </c>
      <c r="F2835" t="s">
        <v>1398</v>
      </c>
      <c r="G2835" t="s">
        <v>1399</v>
      </c>
      <c r="H2835" s="315" t="s">
        <v>29</v>
      </c>
      <c r="I2835" s="315" t="s">
        <v>1359</v>
      </c>
      <c r="J2835" s="315" t="str">
        <f t="shared" si="241"/>
        <v>New VehicleOther Semi-Fixed Expenses p.u</v>
      </c>
      <c r="K2835" s="315" t="str">
        <f t="shared" si="242"/>
        <v>100NV Training expense - Toyota</v>
      </c>
      <c r="L2835" s="311">
        <f>+SUMIF('TUNZ Extracted TB'!M:M,$P2835,'TUNZ Extracted TB'!G:G)</f>
        <v>0</v>
      </c>
      <c r="M2835" s="311"/>
      <c r="N2835" s="311">
        <f>+SUMIF('Input Sheet'!$AE:$AE,P2835,'Input Sheet'!$X:$X)</f>
        <v>0</v>
      </c>
      <c r="O2835" s="311"/>
      <c r="P2835" t="str">
        <f t="shared" si="243"/>
        <v>100-7550</v>
      </c>
      <c r="Q2835" s="315" t="str">
        <f t="shared" si="244"/>
        <v>New Vehicle</v>
      </c>
      <c r="R2835" s="315" t="str">
        <f t="shared" si="245"/>
        <v>New VehicleOther Semi-Fixed Expenses p.u</v>
      </c>
      <c r="S2835" s="199"/>
      <c r="T2835" s="199"/>
      <c r="U2835" s="199"/>
    </row>
    <row r="2836" spans="1:21" x14ac:dyDescent="0.25">
      <c r="A2836" t="s">
        <v>996</v>
      </c>
      <c r="B2836" t="s">
        <v>997</v>
      </c>
      <c r="C2836" t="s">
        <v>1005</v>
      </c>
      <c r="D2836">
        <v>7590</v>
      </c>
      <c r="E2836">
        <v>200</v>
      </c>
      <c r="F2836" t="s">
        <v>1277</v>
      </c>
      <c r="G2836" t="s">
        <v>1278</v>
      </c>
      <c r="H2836" s="315" t="s">
        <v>29</v>
      </c>
      <c r="I2836" s="315" t="s">
        <v>1279</v>
      </c>
      <c r="J2836" s="315" t="str">
        <f t="shared" si="241"/>
        <v>New VehicleOther Variable expenses p.u.</v>
      </c>
      <c r="K2836" s="315" t="str">
        <f t="shared" si="242"/>
        <v>200NV Other variable expenses - Toyota</v>
      </c>
      <c r="L2836" s="311">
        <f>+SUMIF('TUNZ Extracted TB'!M:M,$P2836,'TUNZ Extracted TB'!G:G)</f>
        <v>0</v>
      </c>
      <c r="M2836" s="311"/>
      <c r="N2836" s="311">
        <f>+SUMIF('Input Sheet'!$AE:$AE,P2836,'Input Sheet'!$X:$X)</f>
        <v>0</v>
      </c>
      <c r="O2836" s="311"/>
      <c r="P2836" t="str">
        <f t="shared" si="243"/>
        <v>200-7590</v>
      </c>
      <c r="Q2836" s="315" t="str">
        <f t="shared" si="244"/>
        <v>New Vehicle</v>
      </c>
      <c r="R2836" s="315" t="str">
        <f t="shared" si="245"/>
        <v>New VehicleOther Variable expenses p.u.</v>
      </c>
      <c r="S2836" s="199"/>
      <c r="T2836" s="199"/>
      <c r="U2836" s="199"/>
    </row>
    <row r="2837" spans="1:21" x14ac:dyDescent="0.25">
      <c r="A2837" t="s">
        <v>996</v>
      </c>
      <c r="B2837" t="s">
        <v>997</v>
      </c>
      <c r="C2837" t="s">
        <v>997</v>
      </c>
      <c r="D2837">
        <v>7550</v>
      </c>
      <c r="E2837">
        <v>936</v>
      </c>
      <c r="F2837" t="s">
        <v>1175</v>
      </c>
      <c r="G2837" t="s">
        <v>1176</v>
      </c>
      <c r="H2837" s="315" t="s">
        <v>58</v>
      </c>
      <c r="I2837" s="315" t="s">
        <v>1286</v>
      </c>
      <c r="J2837" s="315" t="str">
        <f t="shared" si="241"/>
        <v>BridgestoneOther Expenses as % of Sales</v>
      </c>
      <c r="K2837" s="315" t="str">
        <f t="shared" si="242"/>
        <v>936Other franchise/business expense</v>
      </c>
      <c r="L2837" s="311">
        <f>+SUMIF('TUNZ Extracted TB'!M:M,$P2837,'TUNZ Extracted TB'!G:G)</f>
        <v>0</v>
      </c>
      <c r="M2837" s="311"/>
      <c r="N2837" s="311">
        <f>+SUMIF('Input Sheet'!$AE:$AE,P2837,'Input Sheet'!$X:$X)</f>
        <v>0</v>
      </c>
      <c r="O2837" s="311"/>
      <c r="P2837" t="str">
        <f t="shared" si="243"/>
        <v>936-7550</v>
      </c>
      <c r="Q2837" s="315" t="str">
        <f t="shared" si="244"/>
        <v>Bridgestone</v>
      </c>
      <c r="R2837" s="315" t="str">
        <f t="shared" si="245"/>
        <v>BridgestoneOther Expenses as % of Sales</v>
      </c>
      <c r="S2837" s="199"/>
      <c r="T2837" s="199"/>
      <c r="U2837" s="199"/>
    </row>
    <row r="2838" spans="1:21" x14ac:dyDescent="0.25">
      <c r="A2838" t="s">
        <v>996</v>
      </c>
      <c r="B2838" t="s">
        <v>997</v>
      </c>
      <c r="C2838" t="s">
        <v>997</v>
      </c>
      <c r="D2838">
        <v>7550</v>
      </c>
      <c r="E2838">
        <v>935</v>
      </c>
      <c r="F2838" t="s">
        <v>1175</v>
      </c>
      <c r="G2838" t="s">
        <v>1176</v>
      </c>
      <c r="H2838" s="315" t="s">
        <v>58</v>
      </c>
      <c r="I2838" s="315" t="s">
        <v>1286</v>
      </c>
      <c r="J2838" s="315" t="str">
        <f t="shared" si="241"/>
        <v>BridgestoneOther Expenses as % of Sales</v>
      </c>
      <c r="K2838" s="315" t="str">
        <f t="shared" si="242"/>
        <v>935Other franchise/business expense</v>
      </c>
      <c r="L2838" s="311">
        <f>+SUMIF('TUNZ Extracted TB'!M:M,$P2838,'TUNZ Extracted TB'!G:G)</f>
        <v>0</v>
      </c>
      <c r="M2838" s="311"/>
      <c r="N2838" s="311">
        <f>+SUMIF('Input Sheet'!$AE:$AE,P2838,'Input Sheet'!$X:$X)</f>
        <v>0</v>
      </c>
      <c r="O2838" s="311"/>
      <c r="P2838" t="str">
        <f t="shared" si="243"/>
        <v>935-7550</v>
      </c>
      <c r="Q2838" s="315" t="str">
        <f t="shared" si="244"/>
        <v>Bridgestone</v>
      </c>
      <c r="R2838" s="315" t="str">
        <f t="shared" si="245"/>
        <v>BridgestoneOther Expenses as % of Sales</v>
      </c>
      <c r="S2838" s="199"/>
      <c r="T2838" s="199"/>
      <c r="U2838" s="199"/>
    </row>
    <row r="2839" spans="1:21" x14ac:dyDescent="0.25">
      <c r="A2839" t="s">
        <v>996</v>
      </c>
      <c r="B2839" t="s">
        <v>997</v>
      </c>
      <c r="C2839" t="s">
        <v>997</v>
      </c>
      <c r="D2839">
        <v>7550</v>
      </c>
      <c r="E2839">
        <v>147</v>
      </c>
      <c r="F2839" t="s">
        <v>1412</v>
      </c>
      <c r="G2839" t="s">
        <v>1413</v>
      </c>
      <c r="H2839" s="315" t="s">
        <v>17</v>
      </c>
      <c r="I2839" s="315" t="s">
        <v>1286</v>
      </c>
      <c r="J2839" s="315" t="str">
        <f t="shared" si="241"/>
        <v>ServiceOther Expenses as % of Sales</v>
      </c>
      <c r="K2839" s="315" t="str">
        <f t="shared" si="242"/>
        <v>147Service Training expense - Toyota</v>
      </c>
      <c r="L2839" s="311">
        <f>+SUMIF('TUNZ Extracted TB'!M:M,$P2839,'TUNZ Extracted TB'!G:G)</f>
        <v>0</v>
      </c>
      <c r="M2839" s="311"/>
      <c r="N2839" s="311">
        <f>+SUMIF('Input Sheet'!$AE:$AE,P2839,'Input Sheet'!$X:$X)</f>
        <v>0</v>
      </c>
      <c r="O2839" s="311"/>
      <c r="P2839" t="str">
        <f t="shared" si="243"/>
        <v>147-7550</v>
      </c>
      <c r="Q2839" s="315" t="str">
        <f t="shared" si="244"/>
        <v>Service</v>
      </c>
      <c r="R2839" s="315" t="str">
        <f t="shared" si="245"/>
        <v>ServiceOther Expenses as % of Sales</v>
      </c>
      <c r="S2839" s="199"/>
      <c r="T2839" s="199"/>
      <c r="U2839" s="199"/>
    </row>
    <row r="2840" spans="1:21" x14ac:dyDescent="0.25">
      <c r="A2840" t="s">
        <v>996</v>
      </c>
      <c r="B2840" t="s">
        <v>997</v>
      </c>
      <c r="C2840" t="s">
        <v>997</v>
      </c>
      <c r="D2840">
        <v>7550</v>
      </c>
      <c r="E2840">
        <v>150</v>
      </c>
      <c r="F2840" t="s">
        <v>1412</v>
      </c>
      <c r="G2840" t="s">
        <v>1413</v>
      </c>
      <c r="H2840" s="315" t="s">
        <v>145</v>
      </c>
      <c r="I2840" s="315" t="s">
        <v>1286</v>
      </c>
      <c r="J2840" s="315" t="str">
        <f t="shared" si="241"/>
        <v>Retail DetailingOther Expenses as % of Sales</v>
      </c>
      <c r="K2840" s="315" t="str">
        <f t="shared" si="242"/>
        <v>150Service Training expense - Toyota</v>
      </c>
      <c r="L2840" s="311">
        <f>+SUMIF('TUNZ Extracted TB'!M:M,$P2840,'TUNZ Extracted TB'!G:G)</f>
        <v>0</v>
      </c>
      <c r="M2840" s="311"/>
      <c r="N2840" s="311">
        <f>+SUMIF('Input Sheet'!$AE:$AE,P2840,'Input Sheet'!$X:$X)</f>
        <v>1152.5727999999999</v>
      </c>
      <c r="O2840" s="311"/>
      <c r="P2840" t="str">
        <f t="shared" si="243"/>
        <v>150-7550</v>
      </c>
      <c r="Q2840" s="315" t="str">
        <f t="shared" si="244"/>
        <v>Retail Detailing</v>
      </c>
      <c r="R2840" s="315" t="str">
        <f t="shared" si="245"/>
        <v>Retail DetailingOther Expenses as % of Sales</v>
      </c>
      <c r="S2840" s="199"/>
      <c r="T2840" s="199"/>
      <c r="U2840" s="199"/>
    </row>
    <row r="2841" spans="1:21" x14ac:dyDescent="0.25">
      <c r="A2841" t="s">
        <v>996</v>
      </c>
      <c r="B2841" t="s">
        <v>997</v>
      </c>
      <c r="C2841" t="s">
        <v>997</v>
      </c>
      <c r="D2841">
        <v>7550</v>
      </c>
      <c r="E2841">
        <v>121</v>
      </c>
      <c r="F2841" t="s">
        <v>1414</v>
      </c>
      <c r="G2841" t="s">
        <v>1415</v>
      </c>
      <c r="H2841" s="315" t="s">
        <v>30</v>
      </c>
      <c r="I2841" s="315" t="s">
        <v>1327</v>
      </c>
      <c r="J2841" s="315" t="str">
        <f t="shared" si="241"/>
        <v>Used VehicleOther Semi-Fixed expenses per retail</v>
      </c>
      <c r="K2841" s="315" t="str">
        <f t="shared" si="242"/>
        <v>121Toyota UV Training expense</v>
      </c>
      <c r="L2841" s="311">
        <f>+SUMIF('TUNZ Extracted TB'!M:M,$P2841,'TUNZ Extracted TB'!G:G)</f>
        <v>0</v>
      </c>
      <c r="M2841" s="311"/>
      <c r="N2841" s="311">
        <f>+SUMIF('Input Sheet'!$AE:$AE,P2841,'Input Sheet'!$X:$X)</f>
        <v>0</v>
      </c>
      <c r="O2841" s="311"/>
      <c r="P2841" t="str">
        <f t="shared" si="243"/>
        <v>121-7550</v>
      </c>
      <c r="Q2841" s="315" t="str">
        <f t="shared" si="244"/>
        <v>Used Vehicle</v>
      </c>
      <c r="R2841" s="315" t="str">
        <f t="shared" si="245"/>
        <v>Used VehicleOther Semi-Fixed expenses per retail</v>
      </c>
      <c r="S2841" s="199"/>
      <c r="T2841" s="199"/>
      <c r="U2841" s="199"/>
    </row>
    <row r="2842" spans="1:21" x14ac:dyDescent="0.25">
      <c r="A2842" t="s">
        <v>996</v>
      </c>
      <c r="B2842" t="s">
        <v>997</v>
      </c>
      <c r="C2842" t="s">
        <v>1005</v>
      </c>
      <c r="D2842">
        <v>7550</v>
      </c>
      <c r="E2842">
        <v>221</v>
      </c>
      <c r="F2842" t="s">
        <v>1414</v>
      </c>
      <c r="G2842" t="s">
        <v>1415</v>
      </c>
      <c r="H2842" s="315" t="s">
        <v>30</v>
      </c>
      <c r="I2842" s="315" t="s">
        <v>1327</v>
      </c>
      <c r="J2842" s="315" t="str">
        <f t="shared" si="241"/>
        <v>Used VehicleOther Semi-Fixed expenses per retail</v>
      </c>
      <c r="K2842" s="315" t="str">
        <f t="shared" si="242"/>
        <v>221Toyota UV Training expense</v>
      </c>
      <c r="L2842" s="311">
        <f>+SUMIF('TUNZ Extracted TB'!M:M,$P2842,'TUNZ Extracted TB'!G:G)</f>
        <v>0</v>
      </c>
      <c r="M2842" s="311"/>
      <c r="N2842" s="311">
        <f>+SUMIF('Input Sheet'!$AE:$AE,P2842,'Input Sheet'!$X:$X)</f>
        <v>0</v>
      </c>
      <c r="O2842" s="311"/>
      <c r="P2842" t="str">
        <f t="shared" si="243"/>
        <v>221-7550</v>
      </c>
      <c r="Q2842" s="315" t="str">
        <f t="shared" si="244"/>
        <v>Used Vehicle</v>
      </c>
      <c r="R2842" s="315" t="str">
        <f t="shared" si="245"/>
        <v>Used VehicleOther Semi-Fixed expenses per retail</v>
      </c>
      <c r="S2842" s="199"/>
      <c r="T2842" s="199"/>
      <c r="U2842" s="199"/>
    </row>
    <row r="2843" spans="1:21" x14ac:dyDescent="0.25">
      <c r="A2843" t="s">
        <v>996</v>
      </c>
      <c r="B2843" t="s">
        <v>997</v>
      </c>
      <c r="C2843" t="s">
        <v>1012</v>
      </c>
      <c r="D2843">
        <v>7550</v>
      </c>
      <c r="E2843">
        <v>410</v>
      </c>
      <c r="F2843" t="s">
        <v>1414</v>
      </c>
      <c r="G2843" t="s">
        <v>1415</v>
      </c>
      <c r="H2843" s="315" t="s">
        <v>30</v>
      </c>
      <c r="I2843" s="315" t="s">
        <v>1327</v>
      </c>
      <c r="J2843" s="315" t="str">
        <f t="shared" si="241"/>
        <v>Used VehicleOther Semi-Fixed expenses per retail</v>
      </c>
      <c r="K2843" s="315" t="str">
        <f t="shared" si="242"/>
        <v>410Toyota UV Training expense</v>
      </c>
      <c r="L2843" s="311">
        <f>+SUMIF('TUNZ Extracted TB'!M:M,$P2843,'TUNZ Extracted TB'!G:G)</f>
        <v>0</v>
      </c>
      <c r="M2843" s="311"/>
      <c r="N2843" s="311">
        <f>+SUMIF('Input Sheet'!$AE:$AE,P2843,'Input Sheet'!$X:$X)</f>
        <v>0</v>
      </c>
      <c r="O2843" s="311"/>
      <c r="P2843" t="str">
        <f t="shared" si="243"/>
        <v>410-7550</v>
      </c>
      <c r="Q2843" s="315" t="str">
        <f t="shared" si="244"/>
        <v>Used Vehicle</v>
      </c>
      <c r="R2843" s="315" t="str">
        <f t="shared" si="245"/>
        <v>Used VehicleOther Semi-Fixed expenses per retail</v>
      </c>
      <c r="S2843" s="199"/>
      <c r="T2843" s="199"/>
      <c r="U2843" s="199"/>
    </row>
    <row r="2844" spans="1:21" x14ac:dyDescent="0.25">
      <c r="A2844" t="s">
        <v>996</v>
      </c>
      <c r="B2844" t="s">
        <v>997</v>
      </c>
      <c r="C2844" t="s">
        <v>1012</v>
      </c>
      <c r="D2844">
        <v>7550</v>
      </c>
      <c r="E2844">
        <v>420</v>
      </c>
      <c r="F2844" t="s">
        <v>1414</v>
      </c>
      <c r="G2844" t="s">
        <v>1415</v>
      </c>
      <c r="H2844" s="315" t="s">
        <v>30</v>
      </c>
      <c r="I2844" s="315" t="s">
        <v>1327</v>
      </c>
      <c r="J2844" s="315" t="str">
        <f t="shared" si="241"/>
        <v>Used VehicleOther Semi-Fixed expenses per retail</v>
      </c>
      <c r="K2844" s="315" t="str">
        <f t="shared" si="242"/>
        <v>420Toyota UV Training expense</v>
      </c>
      <c r="L2844" s="311">
        <f>+SUMIF('TUNZ Extracted TB'!M:M,$P2844,'TUNZ Extracted TB'!G:G)</f>
        <v>0</v>
      </c>
      <c r="M2844" s="311"/>
      <c r="N2844" s="311">
        <f>+SUMIF('Input Sheet'!$AE:$AE,P2844,'Input Sheet'!$X:$X)</f>
        <v>0</v>
      </c>
      <c r="O2844" s="311"/>
      <c r="P2844" t="str">
        <f t="shared" si="243"/>
        <v>420-7550</v>
      </c>
      <c r="Q2844" s="315" t="str">
        <f t="shared" si="244"/>
        <v>Used Vehicle</v>
      </c>
      <c r="R2844" s="315" t="str">
        <f t="shared" si="245"/>
        <v>Used VehicleOther Semi-Fixed expenses per retail</v>
      </c>
      <c r="S2844" s="199"/>
      <c r="T2844" s="199"/>
      <c r="U2844" s="199"/>
    </row>
    <row r="2845" spans="1:21" x14ac:dyDescent="0.25">
      <c r="A2845" t="s">
        <v>996</v>
      </c>
      <c r="B2845" t="s">
        <v>997</v>
      </c>
      <c r="C2845" t="s">
        <v>1012</v>
      </c>
      <c r="D2845">
        <v>7550</v>
      </c>
      <c r="E2845">
        <v>421</v>
      </c>
      <c r="F2845" t="s">
        <v>1414</v>
      </c>
      <c r="G2845" t="s">
        <v>1415</v>
      </c>
      <c r="H2845" s="315" t="s">
        <v>30</v>
      </c>
      <c r="I2845" s="315" t="s">
        <v>1327</v>
      </c>
      <c r="J2845" s="315" t="str">
        <f t="shared" si="241"/>
        <v>Used VehicleOther Semi-Fixed expenses per retail</v>
      </c>
      <c r="K2845" s="315" t="str">
        <f t="shared" si="242"/>
        <v>421Toyota UV Training expense</v>
      </c>
      <c r="L2845" s="311">
        <f>+SUMIF('TUNZ Extracted TB'!M:M,$P2845,'TUNZ Extracted TB'!G:G)</f>
        <v>0</v>
      </c>
      <c r="M2845" s="311"/>
      <c r="N2845" s="311">
        <f>+SUMIF('Input Sheet'!$AE:$AE,P2845,'Input Sheet'!$X:$X)</f>
        <v>0</v>
      </c>
      <c r="O2845" s="311"/>
      <c r="P2845" t="str">
        <f t="shared" si="243"/>
        <v>421-7550</v>
      </c>
      <c r="Q2845" s="315" t="str">
        <f t="shared" si="244"/>
        <v>Used Vehicle</v>
      </c>
      <c r="R2845" s="315" t="str">
        <f t="shared" si="245"/>
        <v>Used VehicleOther Semi-Fixed expenses per retail</v>
      </c>
      <c r="S2845" s="199"/>
      <c r="T2845" s="199"/>
      <c r="U2845" s="199"/>
    </row>
    <row r="2846" spans="1:21" x14ac:dyDescent="0.25">
      <c r="A2846" t="s">
        <v>996</v>
      </c>
      <c r="B2846" t="s">
        <v>997</v>
      </c>
      <c r="C2846" t="s">
        <v>1013</v>
      </c>
      <c r="D2846">
        <v>7550</v>
      </c>
      <c r="E2846">
        <v>310</v>
      </c>
      <c r="F2846" t="s">
        <v>1414</v>
      </c>
      <c r="G2846" t="s">
        <v>1415</v>
      </c>
      <c r="H2846" s="315" t="s">
        <v>30</v>
      </c>
      <c r="I2846" s="315" t="s">
        <v>1327</v>
      </c>
      <c r="J2846" s="315" t="str">
        <f t="shared" si="241"/>
        <v>Used VehicleOther Semi-Fixed expenses per retail</v>
      </c>
      <c r="K2846" s="315" t="str">
        <f t="shared" si="242"/>
        <v>310Toyota UV Training expense</v>
      </c>
      <c r="L2846" s="311">
        <f>+SUMIF('TUNZ Extracted TB'!M:M,$P2846,'TUNZ Extracted TB'!G:G)</f>
        <v>0</v>
      </c>
      <c r="M2846" s="311"/>
      <c r="N2846" s="311">
        <f>+SUMIF('Input Sheet'!$AE:$AE,P2846,'Input Sheet'!$X:$X)</f>
        <v>0</v>
      </c>
      <c r="O2846" s="311"/>
      <c r="P2846" t="str">
        <f t="shared" si="243"/>
        <v>310-7550</v>
      </c>
      <c r="Q2846" s="315" t="str">
        <f t="shared" si="244"/>
        <v>Used Vehicle</v>
      </c>
      <c r="R2846" s="315" t="str">
        <f t="shared" si="245"/>
        <v>Used VehicleOther Semi-Fixed expenses per retail</v>
      </c>
      <c r="S2846" s="199"/>
      <c r="T2846" s="199"/>
      <c r="U2846" s="199"/>
    </row>
    <row r="2847" spans="1:21" x14ac:dyDescent="0.25">
      <c r="A2847" t="s">
        <v>996</v>
      </c>
      <c r="B2847" t="s">
        <v>997</v>
      </c>
      <c r="C2847" t="s">
        <v>1013</v>
      </c>
      <c r="D2847">
        <v>7550</v>
      </c>
      <c r="E2847">
        <v>321</v>
      </c>
      <c r="F2847" t="s">
        <v>1414</v>
      </c>
      <c r="G2847" t="s">
        <v>1415</v>
      </c>
      <c r="H2847" s="315" t="s">
        <v>30</v>
      </c>
      <c r="I2847" s="315" t="s">
        <v>1327</v>
      </c>
      <c r="J2847" s="315" t="str">
        <f t="shared" si="241"/>
        <v>Used VehicleOther Semi-Fixed expenses per retail</v>
      </c>
      <c r="K2847" s="315" t="str">
        <f t="shared" si="242"/>
        <v>321Toyota UV Training expense</v>
      </c>
      <c r="L2847" s="311">
        <f>+SUMIF('TUNZ Extracted TB'!M:M,$P2847,'TUNZ Extracted TB'!G:G)</f>
        <v>0</v>
      </c>
      <c r="M2847" s="311"/>
      <c r="N2847" s="311">
        <f>+SUMIF('Input Sheet'!$AE:$AE,P2847,'Input Sheet'!$X:$X)</f>
        <v>0</v>
      </c>
      <c r="O2847" s="311"/>
      <c r="P2847" t="str">
        <f t="shared" si="243"/>
        <v>321-7550</v>
      </c>
      <c r="Q2847" s="315" t="str">
        <f t="shared" si="244"/>
        <v>Used Vehicle</v>
      </c>
      <c r="R2847" s="315" t="str">
        <f t="shared" si="245"/>
        <v>Used VehicleOther Semi-Fixed expenses per retail</v>
      </c>
      <c r="S2847" s="199"/>
      <c r="T2847" s="199"/>
      <c r="U2847" s="199"/>
    </row>
    <row r="2848" spans="1:21" x14ac:dyDescent="0.25">
      <c r="A2848" t="s">
        <v>996</v>
      </c>
      <c r="B2848" t="s">
        <v>997</v>
      </c>
      <c r="C2848" t="s">
        <v>997</v>
      </c>
      <c r="D2848">
        <v>7550</v>
      </c>
      <c r="E2848">
        <v>122</v>
      </c>
      <c r="F2848" t="s">
        <v>1424</v>
      </c>
      <c r="G2848" t="s">
        <v>1425</v>
      </c>
      <c r="H2848" s="315" t="s">
        <v>1041</v>
      </c>
      <c r="I2848" s="315" t="s">
        <v>1327</v>
      </c>
      <c r="J2848" s="315" t="str">
        <f t="shared" si="241"/>
        <v>LEX Used VehicleOther Semi-Fixed expenses per retail</v>
      </c>
      <c r="K2848" s="315" t="str">
        <f t="shared" si="242"/>
        <v>122Training Expense - Lexus</v>
      </c>
      <c r="L2848" s="311">
        <f>+SUMIF('TUNZ Extracted TB'!M:M,$P2848,'TUNZ Extracted TB'!G:G)</f>
        <v>0</v>
      </c>
      <c r="M2848" s="311"/>
      <c r="N2848" s="311">
        <f>+SUMIF('Input Sheet'!$AE:$AE,P2848,'Input Sheet'!$X:$X)</f>
        <v>0</v>
      </c>
      <c r="O2848" s="311"/>
      <c r="P2848" t="str">
        <f t="shared" si="243"/>
        <v>122-7550</v>
      </c>
      <c r="Q2848" s="315" t="str">
        <f t="shared" si="244"/>
        <v>LEX Used Vehicle</v>
      </c>
      <c r="R2848" s="315" t="str">
        <f t="shared" si="245"/>
        <v>LEX Used VehicleOther Semi-Fixed expenses per retail</v>
      </c>
      <c r="S2848" s="199"/>
      <c r="T2848" s="199"/>
      <c r="U2848" s="199"/>
    </row>
    <row r="2849" spans="1:21" x14ac:dyDescent="0.25">
      <c r="A2849" t="s">
        <v>996</v>
      </c>
      <c r="B2849" t="s">
        <v>997</v>
      </c>
      <c r="C2849" t="s">
        <v>997</v>
      </c>
      <c r="D2849">
        <v>7550</v>
      </c>
      <c r="E2849">
        <v>130</v>
      </c>
      <c r="F2849" t="s">
        <v>1418</v>
      </c>
      <c r="G2849" t="s">
        <v>1419</v>
      </c>
      <c r="H2849" s="315" t="s">
        <v>5</v>
      </c>
      <c r="I2849" s="315" t="s">
        <v>1286</v>
      </c>
      <c r="J2849" s="315" t="str">
        <f t="shared" si="241"/>
        <v>PartsOther Expenses as % of Sales</v>
      </c>
      <c r="K2849" s="315" t="str">
        <f t="shared" si="242"/>
        <v>130Parts Training - Toyota</v>
      </c>
      <c r="L2849" s="311">
        <f>+SUMIF('TUNZ Extracted TB'!M:M,$P2849,'TUNZ Extracted TB'!G:G)</f>
        <v>0</v>
      </c>
      <c r="M2849" s="311"/>
      <c r="N2849" s="311">
        <f>+SUMIF('Input Sheet'!$AE:$AE,P2849,'Input Sheet'!$X:$X)</f>
        <v>0</v>
      </c>
      <c r="O2849" s="311"/>
      <c r="P2849" t="str">
        <f t="shared" si="243"/>
        <v>130-7550</v>
      </c>
      <c r="Q2849" s="315" t="str">
        <f t="shared" si="244"/>
        <v>Parts</v>
      </c>
      <c r="R2849" s="315" t="str">
        <f t="shared" si="245"/>
        <v>PartsOther Expenses as % of Sales</v>
      </c>
      <c r="S2849" s="199"/>
      <c r="T2849" s="199"/>
      <c r="U2849" s="199"/>
    </row>
    <row r="2850" spans="1:21" x14ac:dyDescent="0.25">
      <c r="A2850" t="s">
        <v>996</v>
      </c>
      <c r="B2850" t="s">
        <v>997</v>
      </c>
      <c r="C2850" t="s">
        <v>997</v>
      </c>
      <c r="D2850">
        <v>7550</v>
      </c>
      <c r="E2850">
        <v>132</v>
      </c>
      <c r="F2850" t="s">
        <v>1426</v>
      </c>
      <c r="G2850" t="s">
        <v>1427</v>
      </c>
      <c r="H2850" s="315" t="s">
        <v>143</v>
      </c>
      <c r="I2850" s="315" t="s">
        <v>1286</v>
      </c>
      <c r="J2850" s="315" t="str">
        <f t="shared" si="241"/>
        <v>LEX PartsOther Expenses as % of Sales</v>
      </c>
      <c r="K2850" s="315" t="str">
        <f t="shared" si="242"/>
        <v>132Parts Training - Lexus</v>
      </c>
      <c r="L2850" s="311">
        <f>+SUMIF('TUNZ Extracted TB'!M:M,$P2850,'TUNZ Extracted TB'!G:G)</f>
        <v>0</v>
      </c>
      <c r="M2850" s="311"/>
      <c r="N2850" s="311">
        <f>+SUMIF('Input Sheet'!$AE:$AE,P2850,'Input Sheet'!$X:$X)</f>
        <v>0</v>
      </c>
      <c r="O2850" s="311"/>
      <c r="P2850" t="str">
        <f t="shared" si="243"/>
        <v>132-7550</v>
      </c>
      <c r="Q2850" s="315" t="str">
        <f t="shared" si="244"/>
        <v>LEX Parts</v>
      </c>
      <c r="R2850" s="315" t="str">
        <f t="shared" si="245"/>
        <v>LEX PartsOther Expenses as % of Sales</v>
      </c>
      <c r="S2850" s="199"/>
      <c r="T2850" s="199"/>
      <c r="U2850" s="199"/>
    </row>
    <row r="2851" spans="1:21" x14ac:dyDescent="0.25">
      <c r="A2851" t="s">
        <v>996</v>
      </c>
      <c r="B2851" t="s">
        <v>997</v>
      </c>
      <c r="C2851" t="s">
        <v>997</v>
      </c>
      <c r="D2851">
        <v>7550</v>
      </c>
      <c r="E2851">
        <v>140</v>
      </c>
      <c r="F2851" t="s">
        <v>1412</v>
      </c>
      <c r="G2851" t="s">
        <v>1413</v>
      </c>
      <c r="H2851" s="315" t="s">
        <v>17</v>
      </c>
      <c r="I2851" s="315" t="s">
        <v>1286</v>
      </c>
      <c r="J2851" s="315" t="str">
        <f t="shared" si="241"/>
        <v>ServiceOther Expenses as % of Sales</v>
      </c>
      <c r="K2851" s="315" t="str">
        <f t="shared" si="242"/>
        <v>140Service Training expense - Toyota</v>
      </c>
      <c r="L2851" s="311">
        <f>+SUMIF('TUNZ Extracted TB'!M:M,$P2851,'TUNZ Extracted TB'!G:G)</f>
        <v>-899.38</v>
      </c>
      <c r="M2851" s="311"/>
      <c r="N2851" s="311">
        <f>+SUMIF('Input Sheet'!$AE:$AE,P2851,'Input Sheet'!$X:$X)</f>
        <v>0</v>
      </c>
      <c r="O2851" s="311"/>
      <c r="P2851" t="str">
        <f t="shared" si="243"/>
        <v>140-7550</v>
      </c>
      <c r="Q2851" s="315" t="str">
        <f t="shared" si="244"/>
        <v>Service</v>
      </c>
      <c r="R2851" s="315" t="str">
        <f t="shared" si="245"/>
        <v>ServiceOther Expenses as % of Sales</v>
      </c>
      <c r="S2851" s="199"/>
      <c r="T2851" s="199"/>
      <c r="U2851" s="199"/>
    </row>
    <row r="2852" spans="1:21" x14ac:dyDescent="0.25">
      <c r="A2852" t="s">
        <v>996</v>
      </c>
      <c r="B2852" t="s">
        <v>997</v>
      </c>
      <c r="C2852" t="s">
        <v>997</v>
      </c>
      <c r="D2852">
        <v>7550</v>
      </c>
      <c r="E2852">
        <v>142</v>
      </c>
      <c r="F2852" t="s">
        <v>1428</v>
      </c>
      <c r="G2852" t="s">
        <v>1429</v>
      </c>
      <c r="H2852" s="315" t="s">
        <v>1022</v>
      </c>
      <c r="I2852" s="315" t="s">
        <v>1286</v>
      </c>
      <c r="J2852" s="315" t="str">
        <f t="shared" si="241"/>
        <v>Lex ServiceOther Expenses as % of Sales</v>
      </c>
      <c r="K2852" s="315" t="str">
        <f t="shared" si="242"/>
        <v>142Service Training expense - Lexus</v>
      </c>
      <c r="L2852" s="311">
        <f>+SUMIF('TUNZ Extracted TB'!M:M,$P2852,'TUNZ Extracted TB'!G:G)</f>
        <v>308.36</v>
      </c>
      <c r="M2852" s="311"/>
      <c r="N2852" s="311">
        <f>+SUMIF('Input Sheet'!$AE:$AE,P2852,'Input Sheet'!$X:$X)</f>
        <v>0</v>
      </c>
      <c r="O2852" s="311"/>
      <c r="P2852" t="str">
        <f t="shared" si="243"/>
        <v>142-7550</v>
      </c>
      <c r="Q2852" s="315" t="str">
        <f t="shared" si="244"/>
        <v>Lex Service</v>
      </c>
      <c r="R2852" s="315" t="str">
        <f t="shared" si="245"/>
        <v>Lex ServiceOther Expenses as % of Sales</v>
      </c>
      <c r="S2852" s="199"/>
      <c r="T2852" s="199"/>
      <c r="U2852" s="199"/>
    </row>
    <row r="2853" spans="1:21" x14ac:dyDescent="0.25">
      <c r="A2853" t="s">
        <v>996</v>
      </c>
      <c r="B2853" t="s">
        <v>997</v>
      </c>
      <c r="C2853" t="s">
        <v>997</v>
      </c>
      <c r="D2853">
        <v>7590</v>
      </c>
      <c r="E2853">
        <v>112</v>
      </c>
      <c r="F2853" t="s">
        <v>1280</v>
      </c>
      <c r="G2853" t="s">
        <v>1281</v>
      </c>
      <c r="H2853" s="315" t="s">
        <v>1011</v>
      </c>
      <c r="I2853" s="315" t="s">
        <v>1279</v>
      </c>
      <c r="J2853" s="315" t="str">
        <f t="shared" si="241"/>
        <v>LEX New VehicleOther Variable expenses p.u.</v>
      </c>
      <c r="K2853" s="315" t="str">
        <f t="shared" si="242"/>
        <v>112NV Other variable expenses - Lexus</v>
      </c>
      <c r="L2853" s="311">
        <f>+SUMIF('TUNZ Extracted TB'!M:M,$P2853,'TUNZ Extracted TB'!G:G)</f>
        <v>0</v>
      </c>
      <c r="M2853" s="311"/>
      <c r="N2853" s="311">
        <f>+SUMIF('Input Sheet'!$AE:$AE,P2853,'Input Sheet'!$X:$X)</f>
        <v>0</v>
      </c>
      <c r="O2853" s="311"/>
      <c r="P2853" t="str">
        <f t="shared" si="243"/>
        <v>112-7590</v>
      </c>
      <c r="Q2853" s="315" t="str">
        <f t="shared" si="244"/>
        <v>LEX New Vehicle</v>
      </c>
      <c r="R2853" s="315" t="str">
        <f t="shared" si="245"/>
        <v>LEX New VehicleOther Variable expenses p.u.</v>
      </c>
      <c r="S2853" s="199"/>
      <c r="T2853" s="199"/>
      <c r="U2853" s="199"/>
    </row>
    <row r="2854" spans="1:21" x14ac:dyDescent="0.25">
      <c r="A2854" t="s">
        <v>996</v>
      </c>
      <c r="B2854" t="s">
        <v>997</v>
      </c>
      <c r="C2854" t="s">
        <v>997</v>
      </c>
      <c r="D2854">
        <v>7590</v>
      </c>
      <c r="E2854">
        <v>100</v>
      </c>
      <c r="F2854" t="s">
        <v>1277</v>
      </c>
      <c r="G2854" t="s">
        <v>1278</v>
      </c>
      <c r="H2854" s="315" t="s">
        <v>29</v>
      </c>
      <c r="I2854" s="315" t="s">
        <v>1279</v>
      </c>
      <c r="J2854" s="315" t="str">
        <f t="shared" si="241"/>
        <v>New VehicleOther Variable expenses p.u.</v>
      </c>
      <c r="K2854" s="315" t="str">
        <f t="shared" si="242"/>
        <v>100NV Other variable expenses - Toyota</v>
      </c>
      <c r="L2854" s="311">
        <f>+SUMIF('TUNZ Extracted TB'!M:M,$P2854,'TUNZ Extracted TB'!G:G)</f>
        <v>0</v>
      </c>
      <c r="M2854" s="311"/>
      <c r="N2854" s="311">
        <f>+SUMIF('Input Sheet'!$AE:$AE,P2854,'Input Sheet'!$X:$X)</f>
        <v>0</v>
      </c>
      <c r="O2854" s="311"/>
      <c r="P2854" t="str">
        <f t="shared" si="243"/>
        <v>100-7590</v>
      </c>
      <c r="Q2854" s="315" t="str">
        <f t="shared" si="244"/>
        <v>New Vehicle</v>
      </c>
      <c r="R2854" s="315" t="str">
        <f t="shared" si="245"/>
        <v>New VehicleOther Variable expenses p.u.</v>
      </c>
      <c r="S2854" s="199"/>
      <c r="T2854" s="199"/>
      <c r="U2854" s="199"/>
    </row>
    <row r="2855" spans="1:21" x14ac:dyDescent="0.25">
      <c r="A2855" t="s">
        <v>996</v>
      </c>
      <c r="B2855" t="s">
        <v>997</v>
      </c>
      <c r="C2855" t="s">
        <v>1005</v>
      </c>
      <c r="D2855">
        <v>7591</v>
      </c>
      <c r="E2855">
        <v>200</v>
      </c>
      <c r="F2855" t="s">
        <v>1277</v>
      </c>
      <c r="G2855" t="s">
        <v>1278</v>
      </c>
      <c r="H2855" s="315" t="s">
        <v>29</v>
      </c>
      <c r="I2855" s="315" t="s">
        <v>1279</v>
      </c>
      <c r="J2855" s="315" t="str">
        <f t="shared" si="241"/>
        <v>New VehicleOther Variable expenses p.u.</v>
      </c>
      <c r="K2855" s="315" t="str">
        <f t="shared" si="242"/>
        <v>200NV Other variable expenses - Toyota</v>
      </c>
      <c r="L2855" s="311">
        <f>+SUMIF('TUNZ Extracted TB'!M:M,$P2855,'TUNZ Extracted TB'!G:G)</f>
        <v>0</v>
      </c>
      <c r="M2855" s="311"/>
      <c r="N2855" s="311">
        <f>+SUMIF('Input Sheet'!$AE:$AE,P2855,'Input Sheet'!$X:$X)</f>
        <v>0</v>
      </c>
      <c r="O2855" s="311"/>
      <c r="P2855" t="str">
        <f t="shared" si="243"/>
        <v>200-7591</v>
      </c>
      <c r="Q2855" s="315" t="str">
        <f t="shared" si="244"/>
        <v>New Vehicle</v>
      </c>
      <c r="R2855" s="315" t="str">
        <f t="shared" si="245"/>
        <v>New VehicleOther Variable expenses p.u.</v>
      </c>
      <c r="S2855" s="199"/>
      <c r="T2855" s="199"/>
      <c r="U2855" s="199"/>
    </row>
    <row r="2856" spans="1:21" x14ac:dyDescent="0.25">
      <c r="A2856" t="s">
        <v>996</v>
      </c>
      <c r="B2856" t="s">
        <v>997</v>
      </c>
      <c r="C2856" t="s">
        <v>1012</v>
      </c>
      <c r="D2856">
        <v>7570</v>
      </c>
      <c r="E2856">
        <v>440</v>
      </c>
      <c r="F2856" t="s">
        <v>1289</v>
      </c>
      <c r="G2856" t="s">
        <v>1290</v>
      </c>
      <c r="H2856" s="315" t="s">
        <v>17</v>
      </c>
      <c r="I2856" s="315" t="s">
        <v>1286</v>
      </c>
      <c r="J2856" s="315" t="str">
        <f t="shared" si="241"/>
        <v>ServiceOther Expenses as % of Sales</v>
      </c>
      <c r="K2856" s="315" t="str">
        <f t="shared" si="242"/>
        <v>440Service Other expenses - Toyota</v>
      </c>
      <c r="L2856" s="311">
        <f>+SUMIF('TUNZ Extracted TB'!M:M,$P2856,'TUNZ Extracted TB'!G:G)</f>
        <v>0</v>
      </c>
      <c r="M2856" s="311"/>
      <c r="N2856" s="311">
        <f>+SUMIF('Input Sheet'!$AE:$AE,P2856,'Input Sheet'!$X:$X)</f>
        <v>0</v>
      </c>
      <c r="O2856" s="311"/>
      <c r="P2856" t="str">
        <f t="shared" si="243"/>
        <v>440-7570</v>
      </c>
      <c r="Q2856" s="315" t="str">
        <f t="shared" si="244"/>
        <v>Service</v>
      </c>
      <c r="R2856" s="315" t="str">
        <f t="shared" si="245"/>
        <v>ServiceOther Expenses as % of Sales</v>
      </c>
      <c r="S2856" s="199"/>
      <c r="T2856" s="199"/>
      <c r="U2856" s="199"/>
    </row>
    <row r="2857" spans="1:21" x14ac:dyDescent="0.25">
      <c r="A2857" t="s">
        <v>996</v>
      </c>
      <c r="B2857" t="s">
        <v>997</v>
      </c>
      <c r="C2857" t="s">
        <v>1005</v>
      </c>
      <c r="D2857">
        <v>7570</v>
      </c>
      <c r="E2857">
        <v>210</v>
      </c>
      <c r="F2857" t="s">
        <v>1368</v>
      </c>
      <c r="G2857" t="s">
        <v>1369</v>
      </c>
      <c r="H2857" s="315" t="s">
        <v>1000</v>
      </c>
      <c r="I2857" s="315" t="s">
        <v>1370</v>
      </c>
      <c r="J2857" s="315" t="str">
        <f t="shared" si="241"/>
        <v>Admin &amp; OtherR&amp;M and Cleaning as % of Total Gross Profit</v>
      </c>
      <c r="K2857" s="315" t="str">
        <f t="shared" si="242"/>
        <v>210Repairs &amp; Maintenance - Toyota</v>
      </c>
      <c r="L2857" s="311">
        <f>+SUMIF('TUNZ Extracted TB'!M:M,$P2857,'TUNZ Extracted TB'!G:G)</f>
        <v>0</v>
      </c>
      <c r="M2857" s="311"/>
      <c r="N2857" s="311">
        <f>+SUMIF('Input Sheet'!$AE:$AE,P2857,'Input Sheet'!$X:$X)</f>
        <v>0</v>
      </c>
      <c r="O2857" s="311"/>
      <c r="P2857" t="str">
        <f t="shared" si="243"/>
        <v>210-7570</v>
      </c>
      <c r="Q2857" s="315" t="str">
        <f t="shared" si="244"/>
        <v>Admin &amp; Other</v>
      </c>
      <c r="R2857" s="315" t="str">
        <f t="shared" si="245"/>
        <v>Admin &amp; OtherR&amp;M and Cleaning as % of Total Gross Profit</v>
      </c>
      <c r="S2857" s="199"/>
      <c r="T2857" s="199"/>
      <c r="U2857" s="199"/>
    </row>
    <row r="2858" spans="1:21" x14ac:dyDescent="0.25">
      <c r="A2858" t="s">
        <v>996</v>
      </c>
      <c r="B2858" t="s">
        <v>997</v>
      </c>
      <c r="C2858" t="s">
        <v>1005</v>
      </c>
      <c r="D2858">
        <v>7570</v>
      </c>
      <c r="E2858">
        <v>220</v>
      </c>
      <c r="F2858" t="s">
        <v>998</v>
      </c>
      <c r="G2858" t="s">
        <v>999</v>
      </c>
      <c r="H2858" s="315" t="s">
        <v>1000</v>
      </c>
      <c r="I2858" s="315" t="s">
        <v>1001</v>
      </c>
      <c r="J2858" s="315" t="str">
        <f t="shared" si="241"/>
        <v>Admin &amp; OtherOther Overheads as % of Total Gross Profit</v>
      </c>
      <c r="K2858" s="315" t="str">
        <f t="shared" si="242"/>
        <v>220Miscellaneous expenses - Toyota</v>
      </c>
      <c r="L2858" s="311">
        <f>+SUMIF('TUNZ Extracted TB'!M:M,$P2858,'TUNZ Extracted TB'!G:G)</f>
        <v>0</v>
      </c>
      <c r="M2858" s="311"/>
      <c r="N2858" s="311">
        <f>+SUMIF('Input Sheet'!$AE:$AE,P2858,'Input Sheet'!$X:$X)</f>
        <v>0</v>
      </c>
      <c r="O2858" s="311"/>
      <c r="P2858" t="str">
        <f t="shared" si="243"/>
        <v>220-7570</v>
      </c>
      <c r="Q2858" s="315" t="str">
        <f t="shared" si="244"/>
        <v>Admin &amp; Other</v>
      </c>
      <c r="R2858" s="315" t="str">
        <f t="shared" si="245"/>
        <v>Admin &amp; OtherOther Overheads as % of Total Gross Profit</v>
      </c>
      <c r="S2858" s="199"/>
      <c r="T2858" s="199"/>
      <c r="U2858" s="199"/>
    </row>
    <row r="2859" spans="1:21" x14ac:dyDescent="0.25">
      <c r="A2859" t="s">
        <v>996</v>
      </c>
      <c r="B2859" t="s">
        <v>997</v>
      </c>
      <c r="C2859" t="s">
        <v>1005</v>
      </c>
      <c r="D2859">
        <v>7570</v>
      </c>
      <c r="E2859">
        <v>240</v>
      </c>
      <c r="F2859" t="s">
        <v>1289</v>
      </c>
      <c r="G2859" t="s">
        <v>1290</v>
      </c>
      <c r="H2859" s="315" t="s">
        <v>17</v>
      </c>
      <c r="I2859" s="315" t="s">
        <v>1286</v>
      </c>
      <c r="J2859" s="315" t="str">
        <f t="shared" si="241"/>
        <v>ServiceOther Expenses as % of Sales</v>
      </c>
      <c r="K2859" s="315" t="str">
        <f t="shared" si="242"/>
        <v>240Service Other expenses - Toyota</v>
      </c>
      <c r="L2859" s="311">
        <f>+SUMIF('TUNZ Extracted TB'!M:M,$P2859,'TUNZ Extracted TB'!G:G)</f>
        <v>0</v>
      </c>
      <c r="M2859" s="311"/>
      <c r="N2859" s="311">
        <f>+SUMIF('Input Sheet'!$AE:$AE,P2859,'Input Sheet'!$X:$X)</f>
        <v>0</v>
      </c>
      <c r="O2859" s="311"/>
      <c r="P2859" t="str">
        <f t="shared" si="243"/>
        <v>240-7570</v>
      </c>
      <c r="Q2859" s="315" t="str">
        <f t="shared" si="244"/>
        <v>Service</v>
      </c>
      <c r="R2859" s="315" t="str">
        <f t="shared" si="245"/>
        <v>ServiceOther Expenses as % of Sales</v>
      </c>
      <c r="S2859" s="199"/>
      <c r="T2859" s="199"/>
      <c r="U2859" s="199"/>
    </row>
    <row r="2860" spans="1:21" x14ac:dyDescent="0.25">
      <c r="A2860" s="316">
        <v>45078</v>
      </c>
      <c r="B2860" t="s">
        <v>997</v>
      </c>
      <c r="C2860" t="s">
        <v>997</v>
      </c>
      <c r="D2860">
        <v>7570</v>
      </c>
      <c r="E2860">
        <v>150</v>
      </c>
      <c r="G2860" t="s">
        <v>131</v>
      </c>
      <c r="H2860" s="315" t="s">
        <v>145</v>
      </c>
      <c r="I2860" s="315" t="s">
        <v>1286</v>
      </c>
      <c r="J2860" s="315" t="str">
        <f t="shared" si="241"/>
        <v>Retail DetailingOther Expenses as % of Sales</v>
      </c>
      <c r="K2860" s="315" t="str">
        <f t="shared" si="242"/>
        <v>150Equipment Maintenance</v>
      </c>
      <c r="L2860" s="311">
        <f>+SUMIF('TUNZ Extracted TB'!M:M,$P2860,'TUNZ Extracted TB'!G:G)</f>
        <v>0</v>
      </c>
      <c r="M2860" s="311"/>
      <c r="N2860" s="311">
        <f>+SUMIF('Input Sheet'!$AE:$AE,P2860,'Input Sheet'!$X:$X)</f>
        <v>0</v>
      </c>
      <c r="O2860" s="311"/>
      <c r="P2860" t="str">
        <f t="shared" si="243"/>
        <v>150-7570</v>
      </c>
      <c r="Q2860" s="315" t="str">
        <f t="shared" si="244"/>
        <v>Retail Detailing</v>
      </c>
      <c r="R2860" s="315" t="str">
        <f t="shared" si="245"/>
        <v>Retail DetailingOther Expenses as % of Sales</v>
      </c>
      <c r="S2860" s="199"/>
      <c r="T2860" s="199"/>
      <c r="U2860" s="199"/>
    </row>
    <row r="2861" spans="1:21" x14ac:dyDescent="0.25">
      <c r="A2861" t="s">
        <v>996</v>
      </c>
      <c r="B2861" t="s">
        <v>997</v>
      </c>
      <c r="C2861" t="s">
        <v>997</v>
      </c>
      <c r="D2861">
        <v>7570</v>
      </c>
      <c r="E2861">
        <v>120</v>
      </c>
      <c r="F2861" t="s">
        <v>998</v>
      </c>
      <c r="G2861" t="s">
        <v>999</v>
      </c>
      <c r="H2861" s="315" t="s">
        <v>1000</v>
      </c>
      <c r="I2861" s="315" t="s">
        <v>1001</v>
      </c>
      <c r="J2861" s="315" t="str">
        <f t="shared" si="241"/>
        <v>Admin &amp; OtherOther Overheads as % of Total Gross Profit</v>
      </c>
      <c r="K2861" s="315" t="str">
        <f t="shared" si="242"/>
        <v>120Miscellaneous expenses - Toyota</v>
      </c>
      <c r="L2861" s="311">
        <f>+SUMIF('TUNZ Extracted TB'!M:M,$P2861,'TUNZ Extracted TB'!G:G)</f>
        <v>0</v>
      </c>
      <c r="M2861" s="311"/>
      <c r="N2861" s="311">
        <f>+SUMIF('Input Sheet'!$AE:$AE,P2861,'Input Sheet'!$X:$X)</f>
        <v>0</v>
      </c>
      <c r="O2861" s="311"/>
      <c r="P2861" t="str">
        <f t="shared" si="243"/>
        <v>120-7570</v>
      </c>
      <c r="Q2861" s="315" t="str">
        <f t="shared" si="244"/>
        <v>Admin &amp; Other</v>
      </c>
      <c r="R2861" s="315" t="str">
        <f t="shared" si="245"/>
        <v>Admin &amp; OtherOther Overheads as % of Total Gross Profit</v>
      </c>
      <c r="S2861" s="199"/>
      <c r="T2861" s="199"/>
      <c r="U2861" s="199"/>
    </row>
    <row r="2862" spans="1:21" x14ac:dyDescent="0.25">
      <c r="A2862" t="s">
        <v>996</v>
      </c>
      <c r="B2862" t="s">
        <v>997</v>
      </c>
      <c r="C2862" t="s">
        <v>997</v>
      </c>
      <c r="D2862">
        <v>7570</v>
      </c>
      <c r="E2862">
        <v>121</v>
      </c>
      <c r="F2862" t="s">
        <v>998</v>
      </c>
      <c r="G2862" t="s">
        <v>999</v>
      </c>
      <c r="H2862" s="315" t="s">
        <v>1000</v>
      </c>
      <c r="I2862" s="315" t="s">
        <v>1001</v>
      </c>
      <c r="J2862" s="315" t="str">
        <f t="shared" si="241"/>
        <v>Admin &amp; OtherOther Overheads as % of Total Gross Profit</v>
      </c>
      <c r="K2862" s="315" t="str">
        <f t="shared" si="242"/>
        <v>121Miscellaneous expenses - Toyota</v>
      </c>
      <c r="L2862" s="311">
        <f>+SUMIF('TUNZ Extracted TB'!M:M,$P2862,'TUNZ Extracted TB'!G:G)</f>
        <v>0</v>
      </c>
      <c r="M2862" s="311"/>
      <c r="N2862" s="311">
        <f>+SUMIF('Input Sheet'!$AE:$AE,P2862,'Input Sheet'!$X:$X)</f>
        <v>0</v>
      </c>
      <c r="O2862" s="311"/>
      <c r="P2862" t="str">
        <f t="shared" si="243"/>
        <v>121-7570</v>
      </c>
      <c r="Q2862" s="315" t="str">
        <f t="shared" si="244"/>
        <v>Admin &amp; Other</v>
      </c>
      <c r="R2862" s="315" t="str">
        <f t="shared" si="245"/>
        <v>Admin &amp; OtherOther Overheads as % of Total Gross Profit</v>
      </c>
      <c r="S2862" s="199"/>
      <c r="T2862" s="199"/>
      <c r="U2862" s="199"/>
    </row>
    <row r="2863" spans="1:21" x14ac:dyDescent="0.25">
      <c r="A2863" t="s">
        <v>996</v>
      </c>
      <c r="B2863" t="s">
        <v>997</v>
      </c>
      <c r="C2863" t="s">
        <v>1012</v>
      </c>
      <c r="D2863">
        <v>7570</v>
      </c>
      <c r="E2863">
        <v>420</v>
      </c>
      <c r="F2863" t="s">
        <v>998</v>
      </c>
      <c r="G2863" t="s">
        <v>999</v>
      </c>
      <c r="H2863" s="315" t="s">
        <v>1000</v>
      </c>
      <c r="I2863" s="315" t="s">
        <v>1001</v>
      </c>
      <c r="J2863" s="315" t="str">
        <f t="shared" si="241"/>
        <v>Admin &amp; OtherOther Overheads as % of Total Gross Profit</v>
      </c>
      <c r="K2863" s="315" t="str">
        <f t="shared" si="242"/>
        <v>420Miscellaneous expenses - Toyota</v>
      </c>
      <c r="L2863" s="311">
        <f>+SUMIF('TUNZ Extracted TB'!M:M,$P2863,'TUNZ Extracted TB'!G:G)</f>
        <v>0</v>
      </c>
      <c r="M2863" s="311"/>
      <c r="N2863" s="311">
        <f>+SUMIF('Input Sheet'!$AE:$AE,P2863,'Input Sheet'!$X:$X)</f>
        <v>0</v>
      </c>
      <c r="O2863" s="311"/>
      <c r="P2863" t="str">
        <f t="shared" si="243"/>
        <v>420-7570</v>
      </c>
      <c r="Q2863" s="315" t="str">
        <f t="shared" si="244"/>
        <v>Admin &amp; Other</v>
      </c>
      <c r="R2863" s="315" t="str">
        <f t="shared" si="245"/>
        <v>Admin &amp; OtherOther Overheads as % of Total Gross Profit</v>
      </c>
      <c r="S2863" s="199"/>
      <c r="T2863" s="199"/>
      <c r="U2863" s="199"/>
    </row>
    <row r="2864" spans="1:21" x14ac:dyDescent="0.25">
      <c r="A2864" t="s">
        <v>996</v>
      </c>
      <c r="B2864" t="s">
        <v>997</v>
      </c>
      <c r="C2864" t="s">
        <v>997</v>
      </c>
      <c r="D2864">
        <v>7570</v>
      </c>
      <c r="E2864">
        <v>936</v>
      </c>
      <c r="F2864" t="s">
        <v>1175</v>
      </c>
      <c r="G2864" t="s">
        <v>1176</v>
      </c>
      <c r="H2864" s="315" t="s">
        <v>58</v>
      </c>
      <c r="I2864" s="315" t="s">
        <v>1286</v>
      </c>
      <c r="J2864" s="315" t="str">
        <f t="shared" si="241"/>
        <v>BridgestoneOther Expenses as % of Sales</v>
      </c>
      <c r="K2864" s="315" t="str">
        <f t="shared" si="242"/>
        <v>936Other franchise/business expense</v>
      </c>
      <c r="L2864" s="311">
        <f>+SUMIF('TUNZ Extracted TB'!M:M,$P2864,'TUNZ Extracted TB'!G:G)</f>
        <v>478</v>
      </c>
      <c r="M2864" s="311"/>
      <c r="N2864" s="311">
        <f>+SUMIF('Input Sheet'!$AE:$AE,P2864,'Input Sheet'!$X:$X)</f>
        <v>0</v>
      </c>
      <c r="O2864" s="311"/>
      <c r="P2864" t="str">
        <f t="shared" si="243"/>
        <v>936-7570</v>
      </c>
      <c r="Q2864" s="315" t="str">
        <f t="shared" si="244"/>
        <v>Bridgestone</v>
      </c>
      <c r="R2864" s="315" t="str">
        <f t="shared" si="245"/>
        <v>BridgestoneOther Expenses as % of Sales</v>
      </c>
      <c r="S2864" s="199"/>
      <c r="T2864" s="199"/>
      <c r="U2864" s="199"/>
    </row>
    <row r="2865" spans="1:21" x14ac:dyDescent="0.25">
      <c r="A2865" t="s">
        <v>996</v>
      </c>
      <c r="B2865" t="s">
        <v>997</v>
      </c>
      <c r="C2865" t="s">
        <v>997</v>
      </c>
      <c r="D2865">
        <v>7570</v>
      </c>
      <c r="E2865">
        <v>935</v>
      </c>
      <c r="F2865" t="s">
        <v>1175</v>
      </c>
      <c r="G2865" t="s">
        <v>1176</v>
      </c>
      <c r="H2865" s="315" t="s">
        <v>58</v>
      </c>
      <c r="I2865" s="315" t="s">
        <v>1286</v>
      </c>
      <c r="J2865" s="315" t="str">
        <f t="shared" si="241"/>
        <v>BridgestoneOther Expenses as % of Sales</v>
      </c>
      <c r="K2865" s="315" t="str">
        <f t="shared" si="242"/>
        <v>935Other franchise/business expense</v>
      </c>
      <c r="L2865" s="311">
        <f>+SUMIF('TUNZ Extracted TB'!M:M,$P2865,'TUNZ Extracted TB'!G:G)</f>
        <v>0</v>
      </c>
      <c r="M2865" s="311"/>
      <c r="N2865" s="311">
        <f>+SUMIF('Input Sheet'!$AE:$AE,P2865,'Input Sheet'!$X:$X)</f>
        <v>0</v>
      </c>
      <c r="O2865" s="311"/>
      <c r="P2865" t="str">
        <f t="shared" si="243"/>
        <v>935-7570</v>
      </c>
      <c r="Q2865" s="315" t="str">
        <f t="shared" si="244"/>
        <v>Bridgestone</v>
      </c>
      <c r="R2865" s="315" t="str">
        <f t="shared" si="245"/>
        <v>BridgestoneOther Expenses as % of Sales</v>
      </c>
      <c r="S2865" s="199"/>
      <c r="T2865" s="199"/>
      <c r="U2865" s="199"/>
    </row>
    <row r="2866" spans="1:21" x14ac:dyDescent="0.25">
      <c r="A2866" t="s">
        <v>996</v>
      </c>
      <c r="B2866" t="s">
        <v>997</v>
      </c>
      <c r="C2866" t="s">
        <v>997</v>
      </c>
      <c r="D2866">
        <v>7570</v>
      </c>
      <c r="E2866">
        <v>122</v>
      </c>
      <c r="F2866" t="s">
        <v>1430</v>
      </c>
      <c r="G2866" t="s">
        <v>1431</v>
      </c>
      <c r="H2866" s="315" t="s">
        <v>1023</v>
      </c>
      <c r="I2866" s="315" t="s">
        <v>1370</v>
      </c>
      <c r="J2866" s="315" t="str">
        <f t="shared" si="241"/>
        <v>LEX Admin &amp; OtherR&amp;M and Cleaning as % of Total Gross Profit</v>
      </c>
      <c r="K2866" s="315" t="str">
        <f t="shared" si="242"/>
        <v>122Repairs &amp; Maintenance - Lexus</v>
      </c>
      <c r="L2866" s="311">
        <f>+SUMIF('TUNZ Extracted TB'!M:M,$P2866,'TUNZ Extracted TB'!G:G)</f>
        <v>0</v>
      </c>
      <c r="M2866" s="311"/>
      <c r="N2866" s="311">
        <f>+SUMIF('Input Sheet'!$AE:$AE,P2866,'Input Sheet'!$X:$X)</f>
        <v>0</v>
      </c>
      <c r="O2866" s="311"/>
      <c r="P2866" t="str">
        <f t="shared" si="243"/>
        <v>122-7570</v>
      </c>
      <c r="Q2866" s="315" t="str">
        <f t="shared" si="244"/>
        <v>LEX Admin &amp; Other</v>
      </c>
      <c r="R2866" s="315" t="str">
        <f t="shared" si="245"/>
        <v>LEX Admin &amp; OtherR&amp;M and Cleaning as % of Total Gross Profit</v>
      </c>
      <c r="S2866" s="199"/>
      <c r="T2866" s="199"/>
      <c r="U2866" s="199"/>
    </row>
    <row r="2867" spans="1:21" x14ac:dyDescent="0.25">
      <c r="A2867" t="s">
        <v>996</v>
      </c>
      <c r="B2867" t="s">
        <v>997</v>
      </c>
      <c r="C2867" t="s">
        <v>997</v>
      </c>
      <c r="D2867">
        <v>7570</v>
      </c>
      <c r="E2867">
        <v>162</v>
      </c>
      <c r="F2867" t="s">
        <v>1430</v>
      </c>
      <c r="G2867" t="s">
        <v>1431</v>
      </c>
      <c r="H2867" s="315" t="s">
        <v>1023</v>
      </c>
      <c r="I2867" s="315" t="s">
        <v>1370</v>
      </c>
      <c r="J2867" s="315" t="str">
        <f t="shared" si="241"/>
        <v>LEX Admin &amp; OtherR&amp;M and Cleaning as % of Total Gross Profit</v>
      </c>
      <c r="K2867" s="315" t="str">
        <f t="shared" si="242"/>
        <v>162Repairs &amp; Maintenance - Lexus</v>
      </c>
      <c r="L2867" s="311">
        <f>+SUMIF('TUNZ Extracted TB'!M:M,$P2867,'TUNZ Extracted TB'!G:G)</f>
        <v>0</v>
      </c>
      <c r="M2867" s="311"/>
      <c r="N2867" s="311">
        <f>+SUMIF('Input Sheet'!$AE:$AE,P2867,'Input Sheet'!$X:$X)</f>
        <v>0</v>
      </c>
      <c r="O2867" s="311"/>
      <c r="P2867" t="str">
        <f t="shared" si="243"/>
        <v>162-7570</v>
      </c>
      <c r="Q2867" s="315" t="str">
        <f t="shared" si="244"/>
        <v>LEX Admin &amp; Other</v>
      </c>
      <c r="R2867" s="315" t="str">
        <f t="shared" si="245"/>
        <v>LEX Admin &amp; OtherR&amp;M and Cleaning as % of Total Gross Profit</v>
      </c>
      <c r="S2867" s="199"/>
      <c r="T2867" s="199"/>
      <c r="U2867" s="199"/>
    </row>
    <row r="2868" spans="1:21" x14ac:dyDescent="0.25">
      <c r="A2868" t="s">
        <v>996</v>
      </c>
      <c r="B2868" t="s">
        <v>997</v>
      </c>
      <c r="C2868" t="s">
        <v>1012</v>
      </c>
      <c r="D2868">
        <v>7570</v>
      </c>
      <c r="E2868">
        <v>430</v>
      </c>
      <c r="F2868" t="s">
        <v>1368</v>
      </c>
      <c r="G2868" t="s">
        <v>1369</v>
      </c>
      <c r="H2868" s="315" t="s">
        <v>1000</v>
      </c>
      <c r="I2868" s="315" t="s">
        <v>1370</v>
      </c>
      <c r="J2868" s="315" t="str">
        <f t="shared" si="241"/>
        <v>Admin &amp; OtherR&amp;M and Cleaning as % of Total Gross Profit</v>
      </c>
      <c r="K2868" s="315" t="str">
        <f t="shared" si="242"/>
        <v>430Repairs &amp; Maintenance - Toyota</v>
      </c>
      <c r="L2868" s="311">
        <f>+SUMIF('TUNZ Extracted TB'!M:M,$P2868,'TUNZ Extracted TB'!G:G)</f>
        <v>0</v>
      </c>
      <c r="M2868" s="311"/>
      <c r="N2868" s="311">
        <f>+SUMIF('Input Sheet'!$AE:$AE,P2868,'Input Sheet'!$X:$X)</f>
        <v>0</v>
      </c>
      <c r="O2868" s="311"/>
      <c r="P2868" t="str">
        <f t="shared" si="243"/>
        <v>430-7570</v>
      </c>
      <c r="Q2868" s="315" t="str">
        <f t="shared" si="244"/>
        <v>Admin &amp; Other</v>
      </c>
      <c r="R2868" s="315" t="str">
        <f t="shared" si="245"/>
        <v>Admin &amp; OtherR&amp;M and Cleaning as % of Total Gross Profit</v>
      </c>
      <c r="S2868" s="199"/>
      <c r="T2868" s="199"/>
      <c r="U2868" s="199"/>
    </row>
    <row r="2869" spans="1:21" x14ac:dyDescent="0.25">
      <c r="A2869" t="s">
        <v>996</v>
      </c>
      <c r="B2869" t="s">
        <v>997</v>
      </c>
      <c r="C2869" t="s">
        <v>1005</v>
      </c>
      <c r="D2869">
        <v>7570</v>
      </c>
      <c r="E2869">
        <v>230</v>
      </c>
      <c r="F2869" t="s">
        <v>1368</v>
      </c>
      <c r="G2869" t="s">
        <v>1369</v>
      </c>
      <c r="H2869" s="315" t="s">
        <v>1000</v>
      </c>
      <c r="I2869" s="315" t="s">
        <v>1370</v>
      </c>
      <c r="J2869" s="315" t="str">
        <f t="shared" si="241"/>
        <v>Admin &amp; OtherR&amp;M and Cleaning as % of Total Gross Profit</v>
      </c>
      <c r="K2869" s="315" t="str">
        <f t="shared" si="242"/>
        <v>230Repairs &amp; Maintenance - Toyota</v>
      </c>
      <c r="L2869" s="311">
        <f>+SUMIF('TUNZ Extracted TB'!M:M,$P2869,'TUNZ Extracted TB'!G:G)</f>
        <v>0</v>
      </c>
      <c r="M2869" s="311"/>
      <c r="N2869" s="311">
        <f>+SUMIF('Input Sheet'!$AE:$AE,P2869,'Input Sheet'!$X:$X)</f>
        <v>0</v>
      </c>
      <c r="O2869" s="311"/>
      <c r="P2869" t="str">
        <f t="shared" si="243"/>
        <v>230-7570</v>
      </c>
      <c r="Q2869" s="315" t="str">
        <f t="shared" si="244"/>
        <v>Admin &amp; Other</v>
      </c>
      <c r="R2869" s="315" t="str">
        <f t="shared" si="245"/>
        <v>Admin &amp; OtherR&amp;M and Cleaning as % of Total Gross Profit</v>
      </c>
      <c r="S2869" s="199"/>
      <c r="T2869" s="199"/>
      <c r="U2869" s="199"/>
    </row>
    <row r="2870" spans="1:21" x14ac:dyDescent="0.25">
      <c r="A2870" t="s">
        <v>996</v>
      </c>
      <c r="B2870" t="s">
        <v>997</v>
      </c>
      <c r="C2870" t="s">
        <v>1005</v>
      </c>
      <c r="D2870">
        <v>7570</v>
      </c>
      <c r="E2870">
        <v>200</v>
      </c>
      <c r="F2870" t="s">
        <v>1368</v>
      </c>
      <c r="G2870" t="s">
        <v>1369</v>
      </c>
      <c r="H2870" s="315" t="s">
        <v>1000</v>
      </c>
      <c r="I2870" s="315" t="s">
        <v>1370</v>
      </c>
      <c r="J2870" s="315" t="str">
        <f t="shared" si="241"/>
        <v>Admin &amp; OtherR&amp;M and Cleaning as % of Total Gross Profit</v>
      </c>
      <c r="K2870" s="315" t="str">
        <f t="shared" si="242"/>
        <v>200Repairs &amp; Maintenance - Toyota</v>
      </c>
      <c r="L2870" s="311">
        <f>+SUMIF('TUNZ Extracted TB'!M:M,$P2870,'TUNZ Extracted TB'!G:G)</f>
        <v>0</v>
      </c>
      <c r="M2870" s="311"/>
      <c r="N2870" s="311">
        <f>+SUMIF('Input Sheet'!$AE:$AE,P2870,'Input Sheet'!$X:$X)</f>
        <v>0</v>
      </c>
      <c r="O2870" s="311"/>
      <c r="P2870" t="str">
        <f t="shared" si="243"/>
        <v>200-7570</v>
      </c>
      <c r="Q2870" s="315" t="str">
        <f t="shared" si="244"/>
        <v>Admin &amp; Other</v>
      </c>
      <c r="R2870" s="315" t="str">
        <f t="shared" si="245"/>
        <v>Admin &amp; OtherR&amp;M and Cleaning as % of Total Gross Profit</v>
      </c>
      <c r="S2870" s="199"/>
      <c r="T2870" s="199"/>
      <c r="U2870" s="199"/>
    </row>
    <row r="2871" spans="1:21" x14ac:dyDescent="0.25">
      <c r="A2871" t="s">
        <v>996</v>
      </c>
      <c r="B2871" t="s">
        <v>997</v>
      </c>
      <c r="C2871" t="s">
        <v>1005</v>
      </c>
      <c r="D2871">
        <v>7570</v>
      </c>
      <c r="E2871">
        <v>221</v>
      </c>
      <c r="F2871" t="s">
        <v>1368</v>
      </c>
      <c r="G2871" t="s">
        <v>1369</v>
      </c>
      <c r="H2871" s="315" t="s">
        <v>1000</v>
      </c>
      <c r="I2871" s="315" t="s">
        <v>1370</v>
      </c>
      <c r="J2871" s="315" t="str">
        <f t="shared" si="241"/>
        <v>Admin &amp; OtherR&amp;M and Cleaning as % of Total Gross Profit</v>
      </c>
      <c r="K2871" s="315" t="str">
        <f t="shared" si="242"/>
        <v>221Repairs &amp; Maintenance - Toyota</v>
      </c>
      <c r="L2871" s="311">
        <f>+SUMIF('TUNZ Extracted TB'!M:M,$P2871,'TUNZ Extracted TB'!G:G)</f>
        <v>0</v>
      </c>
      <c r="M2871" s="311"/>
      <c r="N2871" s="311">
        <f>+SUMIF('Input Sheet'!$AE:$AE,P2871,'Input Sheet'!$X:$X)</f>
        <v>0</v>
      </c>
      <c r="O2871" s="311"/>
      <c r="P2871" t="str">
        <f t="shared" si="243"/>
        <v>221-7570</v>
      </c>
      <c r="Q2871" s="315" t="str">
        <f t="shared" si="244"/>
        <v>Admin &amp; Other</v>
      </c>
      <c r="R2871" s="315" t="str">
        <f t="shared" si="245"/>
        <v>Admin &amp; OtherR&amp;M and Cleaning as % of Total Gross Profit</v>
      </c>
      <c r="S2871" s="199"/>
      <c r="T2871" s="199"/>
      <c r="U2871" s="199"/>
    </row>
    <row r="2872" spans="1:21" x14ac:dyDescent="0.25">
      <c r="A2872" t="s">
        <v>996</v>
      </c>
      <c r="B2872" t="s">
        <v>997</v>
      </c>
      <c r="C2872" t="s">
        <v>1005</v>
      </c>
      <c r="D2872">
        <v>7570</v>
      </c>
      <c r="E2872">
        <v>260</v>
      </c>
      <c r="F2872" t="s">
        <v>1368</v>
      </c>
      <c r="G2872" t="s">
        <v>1369</v>
      </c>
      <c r="H2872" s="315" t="s">
        <v>1000</v>
      </c>
      <c r="I2872" s="315" t="s">
        <v>1370</v>
      </c>
      <c r="J2872" s="315" t="str">
        <f t="shared" si="241"/>
        <v>Admin &amp; OtherR&amp;M and Cleaning as % of Total Gross Profit</v>
      </c>
      <c r="K2872" s="315" t="str">
        <f t="shared" si="242"/>
        <v>260Repairs &amp; Maintenance - Toyota</v>
      </c>
      <c r="L2872" s="311">
        <f>+SUMIF('TUNZ Extracted TB'!M:M,$P2872,'TUNZ Extracted TB'!G:G)</f>
        <v>0</v>
      </c>
      <c r="M2872" s="311"/>
      <c r="N2872" s="311">
        <f>+SUMIF('Input Sheet'!$AE:$AE,P2872,'Input Sheet'!$X:$X)</f>
        <v>0</v>
      </c>
      <c r="O2872" s="311"/>
      <c r="P2872" t="str">
        <f t="shared" si="243"/>
        <v>260-7570</v>
      </c>
      <c r="Q2872" s="315" t="str">
        <f t="shared" si="244"/>
        <v>Admin &amp; Other</v>
      </c>
      <c r="R2872" s="315" t="str">
        <f t="shared" si="245"/>
        <v>Admin &amp; OtherR&amp;M and Cleaning as % of Total Gross Profit</v>
      </c>
      <c r="S2872" s="199"/>
      <c r="T2872" s="199"/>
      <c r="U2872" s="199"/>
    </row>
    <row r="2873" spans="1:21" x14ac:dyDescent="0.25">
      <c r="A2873" t="s">
        <v>996</v>
      </c>
      <c r="B2873" t="s">
        <v>997</v>
      </c>
      <c r="C2873" t="s">
        <v>1012</v>
      </c>
      <c r="D2873">
        <v>7570</v>
      </c>
      <c r="E2873">
        <v>400</v>
      </c>
      <c r="F2873" t="s">
        <v>1368</v>
      </c>
      <c r="G2873" t="s">
        <v>1369</v>
      </c>
      <c r="H2873" s="315" t="s">
        <v>1000</v>
      </c>
      <c r="I2873" s="315" t="s">
        <v>1370</v>
      </c>
      <c r="J2873" s="315" t="str">
        <f t="shared" si="241"/>
        <v>Admin &amp; OtherR&amp;M and Cleaning as % of Total Gross Profit</v>
      </c>
      <c r="K2873" s="315" t="str">
        <f t="shared" si="242"/>
        <v>400Repairs &amp; Maintenance - Toyota</v>
      </c>
      <c r="L2873" s="311">
        <f>+SUMIF('TUNZ Extracted TB'!M:M,$P2873,'TUNZ Extracted TB'!G:G)</f>
        <v>0</v>
      </c>
      <c r="M2873" s="311"/>
      <c r="N2873" s="311">
        <f>+SUMIF('Input Sheet'!$AE:$AE,P2873,'Input Sheet'!$X:$X)</f>
        <v>0</v>
      </c>
      <c r="O2873" s="311"/>
      <c r="P2873" t="str">
        <f t="shared" si="243"/>
        <v>400-7570</v>
      </c>
      <c r="Q2873" s="315" t="str">
        <f t="shared" si="244"/>
        <v>Admin &amp; Other</v>
      </c>
      <c r="R2873" s="315" t="str">
        <f t="shared" si="245"/>
        <v>Admin &amp; OtherR&amp;M and Cleaning as % of Total Gross Profit</v>
      </c>
      <c r="S2873" s="199"/>
      <c r="T2873" s="199"/>
      <c r="U2873" s="199"/>
    </row>
    <row r="2874" spans="1:21" x14ac:dyDescent="0.25">
      <c r="A2874" t="s">
        <v>996</v>
      </c>
      <c r="B2874" t="s">
        <v>997</v>
      </c>
      <c r="C2874" t="s">
        <v>1012</v>
      </c>
      <c r="D2874">
        <v>7570</v>
      </c>
      <c r="E2874">
        <v>410</v>
      </c>
      <c r="F2874" t="s">
        <v>1368</v>
      </c>
      <c r="G2874" t="s">
        <v>1369</v>
      </c>
      <c r="H2874" s="315" t="s">
        <v>1000</v>
      </c>
      <c r="I2874" s="315" t="s">
        <v>1370</v>
      </c>
      <c r="J2874" s="315" t="str">
        <f t="shared" si="241"/>
        <v>Admin &amp; OtherR&amp;M and Cleaning as % of Total Gross Profit</v>
      </c>
      <c r="K2874" s="315" t="str">
        <f t="shared" si="242"/>
        <v>410Repairs &amp; Maintenance - Toyota</v>
      </c>
      <c r="L2874" s="311">
        <f>+SUMIF('TUNZ Extracted TB'!M:M,$P2874,'TUNZ Extracted TB'!G:G)</f>
        <v>0</v>
      </c>
      <c r="M2874" s="311"/>
      <c r="N2874" s="311">
        <f>+SUMIF('Input Sheet'!$AE:$AE,P2874,'Input Sheet'!$X:$X)</f>
        <v>0</v>
      </c>
      <c r="O2874" s="311"/>
      <c r="P2874" t="str">
        <f t="shared" si="243"/>
        <v>410-7570</v>
      </c>
      <c r="Q2874" s="315" t="str">
        <f t="shared" si="244"/>
        <v>Admin &amp; Other</v>
      </c>
      <c r="R2874" s="315" t="str">
        <f t="shared" si="245"/>
        <v>Admin &amp; OtherR&amp;M and Cleaning as % of Total Gross Profit</v>
      </c>
      <c r="S2874" s="199"/>
      <c r="T2874" s="199"/>
      <c r="U2874" s="199"/>
    </row>
    <row r="2875" spans="1:21" x14ac:dyDescent="0.25">
      <c r="A2875" t="s">
        <v>996</v>
      </c>
      <c r="B2875" t="s">
        <v>997</v>
      </c>
      <c r="C2875" t="s">
        <v>1012</v>
      </c>
      <c r="D2875">
        <v>7570</v>
      </c>
      <c r="E2875">
        <v>421</v>
      </c>
      <c r="F2875" t="s">
        <v>1368</v>
      </c>
      <c r="G2875" t="s">
        <v>1369</v>
      </c>
      <c r="H2875" s="315" t="s">
        <v>1000</v>
      </c>
      <c r="I2875" s="315" t="s">
        <v>1370</v>
      </c>
      <c r="J2875" s="315" t="str">
        <f t="shared" si="241"/>
        <v>Admin &amp; OtherR&amp;M and Cleaning as % of Total Gross Profit</v>
      </c>
      <c r="K2875" s="315" t="str">
        <f t="shared" si="242"/>
        <v>421Repairs &amp; Maintenance - Toyota</v>
      </c>
      <c r="L2875" s="311">
        <f>+SUMIF('TUNZ Extracted TB'!M:M,$P2875,'TUNZ Extracted TB'!G:G)</f>
        <v>0</v>
      </c>
      <c r="M2875" s="311"/>
      <c r="N2875" s="311">
        <f>+SUMIF('Input Sheet'!$AE:$AE,P2875,'Input Sheet'!$X:$X)</f>
        <v>0</v>
      </c>
      <c r="O2875" s="311"/>
      <c r="P2875" t="str">
        <f t="shared" si="243"/>
        <v>421-7570</v>
      </c>
      <c r="Q2875" s="315" t="str">
        <f t="shared" si="244"/>
        <v>Admin &amp; Other</v>
      </c>
      <c r="R2875" s="315" t="str">
        <f t="shared" si="245"/>
        <v>Admin &amp; OtherR&amp;M and Cleaning as % of Total Gross Profit</v>
      </c>
      <c r="S2875" s="199"/>
      <c r="T2875" s="199"/>
      <c r="U2875" s="199"/>
    </row>
    <row r="2876" spans="1:21" x14ac:dyDescent="0.25">
      <c r="A2876" t="s">
        <v>996</v>
      </c>
      <c r="B2876" t="s">
        <v>997</v>
      </c>
      <c r="C2876" t="s">
        <v>1012</v>
      </c>
      <c r="D2876">
        <v>7570</v>
      </c>
      <c r="E2876">
        <v>460</v>
      </c>
      <c r="F2876" t="s">
        <v>1368</v>
      </c>
      <c r="G2876" t="s">
        <v>1369</v>
      </c>
      <c r="H2876" s="315" t="s">
        <v>1000</v>
      </c>
      <c r="I2876" s="315" t="s">
        <v>1370</v>
      </c>
      <c r="J2876" s="315" t="str">
        <f t="shared" si="241"/>
        <v>Admin &amp; OtherR&amp;M and Cleaning as % of Total Gross Profit</v>
      </c>
      <c r="K2876" s="315" t="str">
        <f t="shared" si="242"/>
        <v>460Repairs &amp; Maintenance - Toyota</v>
      </c>
      <c r="L2876" s="311">
        <f>+SUMIF('TUNZ Extracted TB'!M:M,$P2876,'TUNZ Extracted TB'!G:G)</f>
        <v>0</v>
      </c>
      <c r="M2876" s="311"/>
      <c r="N2876" s="311">
        <f>+SUMIF('Input Sheet'!$AE:$AE,P2876,'Input Sheet'!$X:$X)</f>
        <v>0</v>
      </c>
      <c r="O2876" s="311"/>
      <c r="P2876" t="str">
        <f t="shared" si="243"/>
        <v>460-7570</v>
      </c>
      <c r="Q2876" s="315" t="str">
        <f t="shared" si="244"/>
        <v>Admin &amp; Other</v>
      </c>
      <c r="R2876" s="315" t="str">
        <f t="shared" si="245"/>
        <v>Admin &amp; OtherR&amp;M and Cleaning as % of Total Gross Profit</v>
      </c>
      <c r="S2876" s="199"/>
      <c r="T2876" s="199"/>
      <c r="U2876" s="199"/>
    </row>
    <row r="2877" spans="1:21" x14ac:dyDescent="0.25">
      <c r="A2877" t="s">
        <v>996</v>
      </c>
      <c r="B2877" t="s">
        <v>997</v>
      </c>
      <c r="C2877" t="s">
        <v>1013</v>
      </c>
      <c r="D2877">
        <v>7570</v>
      </c>
      <c r="E2877">
        <v>300</v>
      </c>
      <c r="F2877" t="s">
        <v>1368</v>
      </c>
      <c r="G2877" t="s">
        <v>1369</v>
      </c>
      <c r="H2877" s="315" t="s">
        <v>1000</v>
      </c>
      <c r="I2877" s="315" t="s">
        <v>1370</v>
      </c>
      <c r="J2877" s="315" t="str">
        <f t="shared" si="241"/>
        <v>Admin &amp; OtherR&amp;M and Cleaning as % of Total Gross Profit</v>
      </c>
      <c r="K2877" s="315" t="str">
        <f t="shared" si="242"/>
        <v>300Repairs &amp; Maintenance - Toyota</v>
      </c>
      <c r="L2877" s="311">
        <f>+SUMIF('TUNZ Extracted TB'!M:M,$P2877,'TUNZ Extracted TB'!G:G)</f>
        <v>0</v>
      </c>
      <c r="M2877" s="311"/>
      <c r="N2877" s="311">
        <f>+SUMIF('Input Sheet'!$AE:$AE,P2877,'Input Sheet'!$X:$X)</f>
        <v>0</v>
      </c>
      <c r="O2877" s="311"/>
      <c r="P2877" t="str">
        <f t="shared" si="243"/>
        <v>300-7570</v>
      </c>
      <c r="Q2877" s="315" t="str">
        <f t="shared" si="244"/>
        <v>Admin &amp; Other</v>
      </c>
      <c r="R2877" s="315" t="str">
        <f t="shared" si="245"/>
        <v>Admin &amp; OtherR&amp;M and Cleaning as % of Total Gross Profit</v>
      </c>
      <c r="S2877" s="199"/>
      <c r="T2877" s="199"/>
      <c r="U2877" s="199"/>
    </row>
    <row r="2878" spans="1:21" x14ac:dyDescent="0.25">
      <c r="A2878" t="s">
        <v>996</v>
      </c>
      <c r="B2878" t="s">
        <v>997</v>
      </c>
      <c r="C2878" t="s">
        <v>1013</v>
      </c>
      <c r="D2878">
        <v>7570</v>
      </c>
      <c r="E2878">
        <v>310</v>
      </c>
      <c r="F2878" t="s">
        <v>1368</v>
      </c>
      <c r="G2878" t="s">
        <v>1369</v>
      </c>
      <c r="H2878" s="315" t="s">
        <v>1000</v>
      </c>
      <c r="I2878" s="315" t="s">
        <v>1370</v>
      </c>
      <c r="J2878" s="315" t="str">
        <f t="shared" si="241"/>
        <v>Admin &amp; OtherR&amp;M and Cleaning as % of Total Gross Profit</v>
      </c>
      <c r="K2878" s="315" t="str">
        <f t="shared" si="242"/>
        <v>310Repairs &amp; Maintenance - Toyota</v>
      </c>
      <c r="L2878" s="311">
        <f>+SUMIF('TUNZ Extracted TB'!M:M,$P2878,'TUNZ Extracted TB'!G:G)</f>
        <v>0</v>
      </c>
      <c r="M2878" s="311"/>
      <c r="N2878" s="311">
        <f>+SUMIF('Input Sheet'!$AE:$AE,P2878,'Input Sheet'!$X:$X)</f>
        <v>0</v>
      </c>
      <c r="O2878" s="311"/>
      <c r="P2878" t="str">
        <f t="shared" si="243"/>
        <v>310-7570</v>
      </c>
      <c r="Q2878" s="315" t="str">
        <f t="shared" si="244"/>
        <v>Admin &amp; Other</v>
      </c>
      <c r="R2878" s="315" t="str">
        <f t="shared" si="245"/>
        <v>Admin &amp; OtherR&amp;M and Cleaning as % of Total Gross Profit</v>
      </c>
      <c r="S2878" s="199"/>
      <c r="T2878" s="199"/>
      <c r="U2878" s="199"/>
    </row>
    <row r="2879" spans="1:21" x14ac:dyDescent="0.25">
      <c r="A2879" t="s">
        <v>996</v>
      </c>
      <c r="B2879" t="s">
        <v>997</v>
      </c>
      <c r="C2879" t="s">
        <v>1013</v>
      </c>
      <c r="D2879">
        <v>7570</v>
      </c>
      <c r="E2879">
        <v>321</v>
      </c>
      <c r="F2879" t="s">
        <v>1368</v>
      </c>
      <c r="G2879" t="s">
        <v>1369</v>
      </c>
      <c r="H2879" s="315" t="s">
        <v>1000</v>
      </c>
      <c r="I2879" s="315" t="s">
        <v>1370</v>
      </c>
      <c r="J2879" s="315" t="str">
        <f t="shared" si="241"/>
        <v>Admin &amp; OtherR&amp;M and Cleaning as % of Total Gross Profit</v>
      </c>
      <c r="K2879" s="315" t="str">
        <f t="shared" si="242"/>
        <v>321Repairs &amp; Maintenance - Toyota</v>
      </c>
      <c r="L2879" s="311">
        <f>+SUMIF('TUNZ Extracted TB'!M:M,$P2879,'TUNZ Extracted TB'!G:G)</f>
        <v>0</v>
      </c>
      <c r="M2879" s="311"/>
      <c r="N2879" s="311">
        <f>+SUMIF('Input Sheet'!$AE:$AE,P2879,'Input Sheet'!$X:$X)</f>
        <v>0</v>
      </c>
      <c r="O2879" s="311"/>
      <c r="P2879" t="str">
        <f t="shared" si="243"/>
        <v>321-7570</v>
      </c>
      <c r="Q2879" s="315" t="str">
        <f t="shared" si="244"/>
        <v>Admin &amp; Other</v>
      </c>
      <c r="R2879" s="315" t="str">
        <f t="shared" si="245"/>
        <v>Admin &amp; OtherR&amp;M and Cleaning as % of Total Gross Profit</v>
      </c>
      <c r="S2879" s="199"/>
      <c r="T2879" s="199"/>
      <c r="U2879" s="199"/>
    </row>
    <row r="2880" spans="1:21" x14ac:dyDescent="0.25">
      <c r="A2880" t="s">
        <v>996</v>
      </c>
      <c r="B2880" t="s">
        <v>997</v>
      </c>
      <c r="C2880" t="s">
        <v>1013</v>
      </c>
      <c r="D2880">
        <v>7570</v>
      </c>
      <c r="E2880">
        <v>330</v>
      </c>
      <c r="F2880" t="s">
        <v>1368</v>
      </c>
      <c r="G2880" t="s">
        <v>1369</v>
      </c>
      <c r="H2880" s="315" t="s">
        <v>1000</v>
      </c>
      <c r="I2880" s="315" t="s">
        <v>1370</v>
      </c>
      <c r="J2880" s="315" t="str">
        <f t="shared" si="241"/>
        <v>Admin &amp; OtherR&amp;M and Cleaning as % of Total Gross Profit</v>
      </c>
      <c r="K2880" s="315" t="str">
        <f t="shared" si="242"/>
        <v>330Repairs &amp; Maintenance - Toyota</v>
      </c>
      <c r="L2880" s="311">
        <f>+SUMIF('TUNZ Extracted TB'!M:M,$P2880,'TUNZ Extracted TB'!G:G)</f>
        <v>0</v>
      </c>
      <c r="M2880" s="311"/>
      <c r="N2880" s="311">
        <f>+SUMIF('Input Sheet'!$AE:$AE,P2880,'Input Sheet'!$X:$X)</f>
        <v>0</v>
      </c>
      <c r="O2880" s="311"/>
      <c r="P2880" t="str">
        <f t="shared" si="243"/>
        <v>330-7570</v>
      </c>
      <c r="Q2880" s="315" t="str">
        <f t="shared" si="244"/>
        <v>Admin &amp; Other</v>
      </c>
      <c r="R2880" s="315" t="str">
        <f t="shared" si="245"/>
        <v>Admin &amp; OtherR&amp;M and Cleaning as % of Total Gross Profit</v>
      </c>
      <c r="S2880" s="199"/>
      <c r="T2880" s="199"/>
      <c r="U2880" s="199"/>
    </row>
    <row r="2881" spans="1:21" x14ac:dyDescent="0.25">
      <c r="A2881" t="s">
        <v>996</v>
      </c>
      <c r="B2881" t="s">
        <v>997</v>
      </c>
      <c r="C2881" t="s">
        <v>997</v>
      </c>
      <c r="D2881">
        <v>7570</v>
      </c>
      <c r="E2881">
        <v>160</v>
      </c>
      <c r="F2881" t="s">
        <v>1368</v>
      </c>
      <c r="G2881" t="s">
        <v>1369</v>
      </c>
      <c r="H2881" s="315" t="s">
        <v>1000</v>
      </c>
      <c r="I2881" s="315" t="s">
        <v>1370</v>
      </c>
      <c r="J2881" s="315" t="str">
        <f t="shared" si="241"/>
        <v>Admin &amp; OtherR&amp;M and Cleaning as % of Total Gross Profit</v>
      </c>
      <c r="K2881" s="315" t="str">
        <f t="shared" si="242"/>
        <v>160Repairs &amp; Maintenance - Toyota</v>
      </c>
      <c r="L2881" s="311">
        <f>+SUMIF('TUNZ Extracted TB'!M:M,$P2881,'TUNZ Extracted TB'!G:G)</f>
        <v>0</v>
      </c>
      <c r="M2881" s="311"/>
      <c r="N2881" s="311">
        <f>+SUMIF('Input Sheet'!$AE:$AE,P2881,'Input Sheet'!$X:$X)</f>
        <v>0</v>
      </c>
      <c r="O2881" s="311"/>
      <c r="P2881" t="str">
        <f t="shared" si="243"/>
        <v>160-7570</v>
      </c>
      <c r="Q2881" s="315" t="str">
        <f t="shared" si="244"/>
        <v>Admin &amp; Other</v>
      </c>
      <c r="R2881" s="315" t="str">
        <f t="shared" si="245"/>
        <v>Admin &amp; OtherR&amp;M and Cleaning as % of Total Gross Profit</v>
      </c>
      <c r="S2881" s="199"/>
      <c r="T2881" s="199"/>
      <c r="U2881" s="199"/>
    </row>
    <row r="2882" spans="1:21" x14ac:dyDescent="0.25">
      <c r="A2882" t="s">
        <v>996</v>
      </c>
      <c r="B2882" t="s">
        <v>997</v>
      </c>
      <c r="C2882" t="s">
        <v>1013</v>
      </c>
      <c r="D2882">
        <v>7570</v>
      </c>
      <c r="E2882">
        <v>340</v>
      </c>
      <c r="F2882" t="s">
        <v>1289</v>
      </c>
      <c r="G2882" t="s">
        <v>1290</v>
      </c>
      <c r="H2882" s="315" t="s">
        <v>17</v>
      </c>
      <c r="I2882" s="315" t="s">
        <v>1286</v>
      </c>
      <c r="J2882" s="315" t="str">
        <f t="shared" si="241"/>
        <v>ServiceOther Expenses as % of Sales</v>
      </c>
      <c r="K2882" s="315" t="str">
        <f t="shared" si="242"/>
        <v>340Service Other expenses - Toyota</v>
      </c>
      <c r="L2882" s="311">
        <f>+SUMIF('TUNZ Extracted TB'!M:M,$P2882,'TUNZ Extracted TB'!G:G)</f>
        <v>190</v>
      </c>
      <c r="M2882" s="311"/>
      <c r="N2882" s="311">
        <f>+SUMIF('Input Sheet'!$AE:$AE,P2882,'Input Sheet'!$X:$X)</f>
        <v>0</v>
      </c>
      <c r="O2882" s="311"/>
      <c r="P2882" t="str">
        <f t="shared" si="243"/>
        <v>340-7570</v>
      </c>
      <c r="Q2882" s="315" t="str">
        <f t="shared" si="244"/>
        <v>Service</v>
      </c>
      <c r="R2882" s="315" t="str">
        <f t="shared" si="245"/>
        <v>ServiceOther Expenses as % of Sales</v>
      </c>
      <c r="S2882" s="199"/>
      <c r="T2882" s="199"/>
      <c r="U2882" s="199"/>
    </row>
    <row r="2883" spans="1:21" x14ac:dyDescent="0.25">
      <c r="A2883" t="s">
        <v>996</v>
      </c>
      <c r="B2883" t="s">
        <v>997</v>
      </c>
      <c r="C2883" t="s">
        <v>997</v>
      </c>
      <c r="D2883">
        <v>7570</v>
      </c>
      <c r="E2883">
        <v>147</v>
      </c>
      <c r="F2883" t="s">
        <v>1289</v>
      </c>
      <c r="G2883" t="s">
        <v>1290</v>
      </c>
      <c r="H2883" s="315" t="s">
        <v>17</v>
      </c>
      <c r="I2883" s="315" t="s">
        <v>1286</v>
      </c>
      <c r="J2883" s="315" t="str">
        <f t="shared" ref="J2883:J2946" si="246">+H2883&amp;I2883</f>
        <v>ServiceOther Expenses as % of Sales</v>
      </c>
      <c r="K2883" s="315" t="str">
        <f t="shared" ref="K2883:K2946" si="247">+E2883&amp;G2883</f>
        <v>147Service Other expenses - Toyota</v>
      </c>
      <c r="L2883" s="311">
        <f>+SUMIF('TUNZ Extracted TB'!M:M,$P2883,'TUNZ Extracted TB'!G:G)</f>
        <v>0</v>
      </c>
      <c r="M2883" s="311"/>
      <c r="N2883" s="311">
        <f>+SUMIF('Input Sheet'!$AE:$AE,P2883,'Input Sheet'!$X:$X)</f>
        <v>0</v>
      </c>
      <c r="O2883" s="311"/>
      <c r="P2883" t="str">
        <f t="shared" ref="P2883:P2946" si="248">+E2883&amp;"-"&amp;D2883</f>
        <v>147-7570</v>
      </c>
      <c r="Q2883" s="315" t="str">
        <f t="shared" ref="Q2883:Q2946" si="249">H2883</f>
        <v>Service</v>
      </c>
      <c r="R2883" s="315" t="str">
        <f t="shared" ref="R2883:R2946" si="250">J2883</f>
        <v>ServiceOther Expenses as % of Sales</v>
      </c>
      <c r="S2883" s="199"/>
      <c r="T2883" s="199"/>
      <c r="U2883" s="199"/>
    </row>
    <row r="2884" spans="1:21" x14ac:dyDescent="0.25">
      <c r="A2884" t="s">
        <v>996</v>
      </c>
      <c r="B2884" t="s">
        <v>997</v>
      </c>
      <c r="C2884" t="s">
        <v>997</v>
      </c>
      <c r="D2884">
        <v>7570</v>
      </c>
      <c r="E2884">
        <v>132</v>
      </c>
      <c r="F2884" t="s">
        <v>1430</v>
      </c>
      <c r="G2884" t="s">
        <v>1431</v>
      </c>
      <c r="H2884" s="315" t="s">
        <v>1023</v>
      </c>
      <c r="I2884" s="315" t="s">
        <v>1370</v>
      </c>
      <c r="J2884" s="315" t="str">
        <f t="shared" si="246"/>
        <v>LEX Admin &amp; OtherR&amp;M and Cleaning as % of Total Gross Profit</v>
      </c>
      <c r="K2884" s="315" t="str">
        <f t="shared" si="247"/>
        <v>132Repairs &amp; Maintenance - Lexus</v>
      </c>
      <c r="L2884" s="311">
        <f>+SUMIF('TUNZ Extracted TB'!M:M,$P2884,'TUNZ Extracted TB'!G:G)</f>
        <v>0</v>
      </c>
      <c r="M2884" s="311"/>
      <c r="N2884" s="311">
        <f>+SUMIF('Input Sheet'!$AE:$AE,P2884,'Input Sheet'!$X:$X)</f>
        <v>0</v>
      </c>
      <c r="O2884" s="311"/>
      <c r="P2884" t="str">
        <f t="shared" si="248"/>
        <v>132-7570</v>
      </c>
      <c r="Q2884" s="315" t="str">
        <f t="shared" si="249"/>
        <v>LEX Admin &amp; Other</v>
      </c>
      <c r="R2884" s="315" t="str">
        <f t="shared" si="250"/>
        <v>LEX Admin &amp; OtherR&amp;M and Cleaning as % of Total Gross Profit</v>
      </c>
      <c r="S2884" s="199"/>
      <c r="T2884" s="199"/>
      <c r="U2884" s="199"/>
    </row>
    <row r="2885" spans="1:21" x14ac:dyDescent="0.25">
      <c r="A2885" t="s">
        <v>996</v>
      </c>
      <c r="B2885" t="s">
        <v>997</v>
      </c>
      <c r="C2885" t="s">
        <v>997</v>
      </c>
      <c r="D2885">
        <v>7570</v>
      </c>
      <c r="E2885">
        <v>130</v>
      </c>
      <c r="F2885" t="s">
        <v>1368</v>
      </c>
      <c r="G2885" t="s">
        <v>1369</v>
      </c>
      <c r="H2885" s="315" t="s">
        <v>1000</v>
      </c>
      <c r="I2885" s="315" t="s">
        <v>1370</v>
      </c>
      <c r="J2885" s="315" t="str">
        <f t="shared" si="246"/>
        <v>Admin &amp; OtherR&amp;M and Cleaning as % of Total Gross Profit</v>
      </c>
      <c r="K2885" s="315" t="str">
        <f t="shared" si="247"/>
        <v>130Repairs &amp; Maintenance - Toyota</v>
      </c>
      <c r="L2885" s="311">
        <f>+SUMIF('TUNZ Extracted TB'!M:M,$P2885,'TUNZ Extracted TB'!G:G)</f>
        <v>0</v>
      </c>
      <c r="M2885" s="311"/>
      <c r="N2885" s="311">
        <f>+SUMIF('Input Sheet'!$AE:$AE,P2885,'Input Sheet'!$X:$X)</f>
        <v>0</v>
      </c>
      <c r="O2885" s="311"/>
      <c r="P2885" t="str">
        <f t="shared" si="248"/>
        <v>130-7570</v>
      </c>
      <c r="Q2885" s="315" t="str">
        <f t="shared" si="249"/>
        <v>Admin &amp; Other</v>
      </c>
      <c r="R2885" s="315" t="str">
        <f t="shared" si="250"/>
        <v>Admin &amp; OtherR&amp;M and Cleaning as % of Total Gross Profit</v>
      </c>
      <c r="S2885" s="199"/>
      <c r="T2885" s="199"/>
      <c r="U2885" s="199"/>
    </row>
    <row r="2886" spans="1:21" x14ac:dyDescent="0.25">
      <c r="A2886" t="s">
        <v>996</v>
      </c>
      <c r="B2886" t="s">
        <v>997</v>
      </c>
      <c r="C2886" t="s">
        <v>997</v>
      </c>
      <c r="D2886">
        <v>7570</v>
      </c>
      <c r="E2886">
        <v>140</v>
      </c>
      <c r="F2886" t="s">
        <v>1289</v>
      </c>
      <c r="G2886" t="s">
        <v>1290</v>
      </c>
      <c r="H2886" s="315" t="s">
        <v>17</v>
      </c>
      <c r="I2886" s="315" t="s">
        <v>1286</v>
      </c>
      <c r="J2886" s="315" t="str">
        <f t="shared" si="246"/>
        <v>ServiceOther Expenses as % of Sales</v>
      </c>
      <c r="K2886" s="315" t="str">
        <f t="shared" si="247"/>
        <v>140Service Other expenses - Toyota</v>
      </c>
      <c r="L2886" s="311">
        <f>+SUMIF('TUNZ Extracted TB'!M:M,$P2886,'TUNZ Extracted TB'!G:G)</f>
        <v>0</v>
      </c>
      <c r="M2886" s="311"/>
      <c r="N2886" s="311">
        <f>+SUMIF('Input Sheet'!$AE:$AE,P2886,'Input Sheet'!$X:$X)</f>
        <v>0</v>
      </c>
      <c r="O2886" s="311"/>
      <c r="P2886" t="str">
        <f t="shared" si="248"/>
        <v>140-7570</v>
      </c>
      <c r="Q2886" s="315" t="str">
        <f t="shared" si="249"/>
        <v>Service</v>
      </c>
      <c r="R2886" s="315" t="str">
        <f t="shared" si="250"/>
        <v>ServiceOther Expenses as % of Sales</v>
      </c>
      <c r="S2886" s="199"/>
      <c r="T2886" s="199"/>
      <c r="U2886" s="199"/>
    </row>
    <row r="2887" spans="1:21" x14ac:dyDescent="0.25">
      <c r="A2887" t="s">
        <v>996</v>
      </c>
      <c r="B2887" t="s">
        <v>997</v>
      </c>
      <c r="C2887" t="s">
        <v>997</v>
      </c>
      <c r="D2887">
        <v>7570</v>
      </c>
      <c r="E2887">
        <v>142</v>
      </c>
      <c r="F2887" t="s">
        <v>1430</v>
      </c>
      <c r="G2887" t="s">
        <v>1431</v>
      </c>
      <c r="H2887" s="315" t="s">
        <v>1022</v>
      </c>
      <c r="I2887" s="315" t="s">
        <v>1286</v>
      </c>
      <c r="J2887" s="315" t="str">
        <f t="shared" si="246"/>
        <v>Lex ServiceOther Expenses as % of Sales</v>
      </c>
      <c r="K2887" s="315" t="str">
        <f t="shared" si="247"/>
        <v>142Repairs &amp; Maintenance - Lexus</v>
      </c>
      <c r="L2887" s="311">
        <f>+SUMIF('TUNZ Extracted TB'!M:M,$P2887,'TUNZ Extracted TB'!G:G)</f>
        <v>0</v>
      </c>
      <c r="M2887" s="311"/>
      <c r="N2887" s="311">
        <f>+SUMIF('Input Sheet'!$AE:$AE,P2887,'Input Sheet'!$X:$X)</f>
        <v>0</v>
      </c>
      <c r="O2887" s="311"/>
      <c r="P2887" t="str">
        <f t="shared" si="248"/>
        <v>142-7570</v>
      </c>
      <c r="Q2887" s="315" t="str">
        <f t="shared" si="249"/>
        <v>Lex Service</v>
      </c>
      <c r="R2887" s="315" t="str">
        <f t="shared" si="250"/>
        <v>Lex ServiceOther Expenses as % of Sales</v>
      </c>
      <c r="S2887" s="199"/>
      <c r="T2887" s="199"/>
      <c r="U2887" s="199"/>
    </row>
    <row r="2888" spans="1:21" x14ac:dyDescent="0.25">
      <c r="A2888" t="s">
        <v>996</v>
      </c>
      <c r="B2888" t="s">
        <v>997</v>
      </c>
      <c r="C2888" t="s">
        <v>997</v>
      </c>
      <c r="D2888">
        <v>7570</v>
      </c>
      <c r="E2888">
        <v>112</v>
      </c>
      <c r="F2888" t="s">
        <v>1430</v>
      </c>
      <c r="G2888" t="s">
        <v>1431</v>
      </c>
      <c r="H2888" s="315" t="s">
        <v>1023</v>
      </c>
      <c r="I2888" s="315" t="s">
        <v>1370</v>
      </c>
      <c r="J2888" s="315" t="str">
        <f t="shared" si="246"/>
        <v>LEX Admin &amp; OtherR&amp;M and Cleaning as % of Total Gross Profit</v>
      </c>
      <c r="K2888" s="315" t="str">
        <f t="shared" si="247"/>
        <v>112Repairs &amp; Maintenance - Lexus</v>
      </c>
      <c r="L2888" s="311">
        <f>+SUMIF('TUNZ Extracted TB'!M:M,$P2888,'TUNZ Extracted TB'!G:G)</f>
        <v>0</v>
      </c>
      <c r="M2888" s="311"/>
      <c r="N2888" s="311">
        <f>+SUMIF('Input Sheet'!$AE:$AE,P2888,'Input Sheet'!$X:$X)</f>
        <v>3332.9342075397853</v>
      </c>
      <c r="O2888" s="311"/>
      <c r="P2888" t="str">
        <f t="shared" si="248"/>
        <v>112-7570</v>
      </c>
      <c r="Q2888" s="315" t="str">
        <f t="shared" si="249"/>
        <v>LEX Admin &amp; Other</v>
      </c>
      <c r="R2888" s="315" t="str">
        <f t="shared" si="250"/>
        <v>LEX Admin &amp; OtherR&amp;M and Cleaning as % of Total Gross Profit</v>
      </c>
      <c r="S2888" s="199"/>
      <c r="T2888" s="199"/>
      <c r="U2888" s="199"/>
    </row>
    <row r="2889" spans="1:21" x14ac:dyDescent="0.25">
      <c r="A2889" t="s">
        <v>996</v>
      </c>
      <c r="B2889" t="s">
        <v>997</v>
      </c>
      <c r="C2889" t="s">
        <v>997</v>
      </c>
      <c r="D2889">
        <v>7570</v>
      </c>
      <c r="E2889">
        <v>110</v>
      </c>
      <c r="F2889" t="s">
        <v>1368</v>
      </c>
      <c r="G2889" t="s">
        <v>1369</v>
      </c>
      <c r="H2889" s="315" t="s">
        <v>1000</v>
      </c>
      <c r="I2889" s="315" t="s">
        <v>1370</v>
      </c>
      <c r="J2889" s="315" t="str">
        <f t="shared" si="246"/>
        <v>Admin &amp; OtherR&amp;M and Cleaning as % of Total Gross Profit</v>
      </c>
      <c r="K2889" s="315" t="str">
        <f t="shared" si="247"/>
        <v>110Repairs &amp; Maintenance - Toyota</v>
      </c>
      <c r="L2889" s="311">
        <f>+SUMIF('TUNZ Extracted TB'!M:M,$P2889,'TUNZ Extracted TB'!G:G)</f>
        <v>0</v>
      </c>
      <c r="M2889" s="311"/>
      <c r="N2889" s="311">
        <f>+SUMIF('Input Sheet'!$AE:$AE,P2889,'Input Sheet'!$X:$X)</f>
        <v>24803.744050819092</v>
      </c>
      <c r="O2889" s="311"/>
      <c r="P2889" t="str">
        <f t="shared" si="248"/>
        <v>110-7570</v>
      </c>
      <c r="Q2889" s="315" t="str">
        <f t="shared" si="249"/>
        <v>Admin &amp; Other</v>
      </c>
      <c r="R2889" s="315" t="str">
        <f t="shared" si="250"/>
        <v>Admin &amp; OtherR&amp;M and Cleaning as % of Total Gross Profit</v>
      </c>
      <c r="S2889" s="199"/>
      <c r="T2889" s="199"/>
      <c r="U2889" s="199"/>
    </row>
    <row r="2890" spans="1:21" x14ac:dyDescent="0.25">
      <c r="A2890" t="s">
        <v>996</v>
      </c>
      <c r="B2890" t="s">
        <v>997</v>
      </c>
      <c r="C2890" t="s">
        <v>997</v>
      </c>
      <c r="D2890">
        <v>7570</v>
      </c>
      <c r="E2890">
        <v>100</v>
      </c>
      <c r="F2890" t="s">
        <v>1368</v>
      </c>
      <c r="G2890" t="s">
        <v>1369</v>
      </c>
      <c r="H2890" s="315" t="s">
        <v>1000</v>
      </c>
      <c r="I2890" s="315" t="s">
        <v>1370</v>
      </c>
      <c r="J2890" s="315" t="str">
        <f t="shared" si="246"/>
        <v>Admin &amp; OtherR&amp;M and Cleaning as % of Total Gross Profit</v>
      </c>
      <c r="K2890" s="315" t="str">
        <f t="shared" si="247"/>
        <v>100Repairs &amp; Maintenance - Toyota</v>
      </c>
      <c r="L2890" s="311">
        <f>+SUMIF('TUNZ Extracted TB'!M:M,$P2890,'TUNZ Extracted TB'!G:G)</f>
        <v>0</v>
      </c>
      <c r="M2890" s="311"/>
      <c r="N2890" s="311">
        <f>+SUMIF('Input Sheet'!$AE:$AE,P2890,'Input Sheet'!$X:$X)</f>
        <v>0</v>
      </c>
      <c r="O2890" s="311"/>
      <c r="P2890" t="str">
        <f t="shared" si="248"/>
        <v>100-7570</v>
      </c>
      <c r="Q2890" s="315" t="str">
        <f t="shared" si="249"/>
        <v>Admin &amp; Other</v>
      </c>
      <c r="R2890" s="315" t="str">
        <f t="shared" si="250"/>
        <v>Admin &amp; OtherR&amp;M and Cleaning as % of Total Gross Profit</v>
      </c>
      <c r="S2890" s="199"/>
      <c r="T2890" s="199"/>
      <c r="U2890" s="199"/>
    </row>
    <row r="2891" spans="1:21" x14ac:dyDescent="0.25">
      <c r="A2891" t="s">
        <v>996</v>
      </c>
      <c r="B2891" t="s">
        <v>997</v>
      </c>
      <c r="C2891" t="s">
        <v>997</v>
      </c>
      <c r="D2891">
        <v>7590</v>
      </c>
      <c r="E2891">
        <v>935</v>
      </c>
      <c r="F2891" t="s">
        <v>1175</v>
      </c>
      <c r="G2891" t="s">
        <v>1176</v>
      </c>
      <c r="H2891" s="315" t="s">
        <v>58</v>
      </c>
      <c r="I2891" s="315" t="s">
        <v>1286</v>
      </c>
      <c r="J2891" s="315" t="str">
        <f t="shared" si="246"/>
        <v>BridgestoneOther Expenses as % of Sales</v>
      </c>
      <c r="K2891" s="315" t="str">
        <f t="shared" si="247"/>
        <v>935Other franchise/business expense</v>
      </c>
      <c r="L2891" s="311">
        <f>+SUMIF('TUNZ Extracted TB'!M:M,$P2891,'TUNZ Extracted TB'!G:G)</f>
        <v>1992.2</v>
      </c>
      <c r="M2891" s="311"/>
      <c r="N2891" s="311">
        <f>+SUMIF('Input Sheet'!$AE:$AE,P2891,'Input Sheet'!$X:$X)</f>
        <v>0</v>
      </c>
      <c r="O2891" s="311"/>
      <c r="P2891" t="str">
        <f t="shared" si="248"/>
        <v>935-7590</v>
      </c>
      <c r="Q2891" s="315" t="str">
        <f t="shared" si="249"/>
        <v>Bridgestone</v>
      </c>
      <c r="R2891" s="315" t="str">
        <f t="shared" si="250"/>
        <v>BridgestoneOther Expenses as % of Sales</v>
      </c>
      <c r="S2891" s="199"/>
      <c r="T2891" s="199"/>
      <c r="U2891" s="199"/>
    </row>
    <row r="2892" spans="1:21" x14ac:dyDescent="0.25">
      <c r="A2892" t="s">
        <v>996</v>
      </c>
      <c r="B2892" t="s">
        <v>997</v>
      </c>
      <c r="C2892" t="s">
        <v>997</v>
      </c>
      <c r="D2892">
        <v>7590</v>
      </c>
      <c r="E2892">
        <v>162</v>
      </c>
      <c r="F2892" t="s">
        <v>1323</v>
      </c>
      <c r="G2892" t="s">
        <v>1324</v>
      </c>
      <c r="H2892" s="315" t="s">
        <v>142</v>
      </c>
      <c r="I2892" s="315" t="s">
        <v>1295</v>
      </c>
      <c r="J2892" s="315" t="str">
        <f t="shared" si="246"/>
        <v>LEX F&amp;IOther Expenses per vehicle retailed</v>
      </c>
      <c r="K2892" s="315" t="str">
        <f t="shared" si="247"/>
        <v>162F&amp;I Other expenses - Lexus</v>
      </c>
      <c r="L2892" s="311">
        <f>+SUMIF('TUNZ Extracted TB'!M:M,$P2892,'TUNZ Extracted TB'!G:G)</f>
        <v>0</v>
      </c>
      <c r="M2892" s="311"/>
      <c r="N2892" s="311">
        <f>+SUMIF('Input Sheet'!$AE:$AE,P2892,'Input Sheet'!$X:$X)</f>
        <v>0</v>
      </c>
      <c r="O2892" s="311"/>
      <c r="P2892" t="str">
        <f t="shared" si="248"/>
        <v>162-7590</v>
      </c>
      <c r="Q2892" s="315" t="str">
        <f t="shared" si="249"/>
        <v>LEX F&amp;I</v>
      </c>
      <c r="R2892" s="315" t="str">
        <f t="shared" si="250"/>
        <v>LEX F&amp;IOther Expenses per vehicle retailed</v>
      </c>
      <c r="S2892" s="199"/>
      <c r="T2892" s="199"/>
      <c r="U2892" s="199"/>
    </row>
    <row r="2893" spans="1:21" x14ac:dyDescent="0.25">
      <c r="A2893" t="s">
        <v>996</v>
      </c>
      <c r="B2893" t="s">
        <v>997</v>
      </c>
      <c r="C2893" t="s">
        <v>997</v>
      </c>
      <c r="D2893">
        <v>7590</v>
      </c>
      <c r="E2893">
        <v>122</v>
      </c>
      <c r="F2893" t="s">
        <v>1282</v>
      </c>
      <c r="G2893" t="s">
        <v>1283</v>
      </c>
      <c r="H2893" s="315" t="s">
        <v>1041</v>
      </c>
      <c r="I2893" s="315" t="s">
        <v>1167</v>
      </c>
      <c r="J2893" s="315" t="str">
        <f t="shared" si="246"/>
        <v>LEX Used VehicleOther Variable expenses per retail</v>
      </c>
      <c r="K2893" s="315" t="str">
        <f t="shared" si="247"/>
        <v>122Lexus UV Other Variable expense</v>
      </c>
      <c r="L2893" s="311">
        <f>+SUMIF('TUNZ Extracted TB'!M:M,$P2893,'TUNZ Extracted TB'!G:G)</f>
        <v>0</v>
      </c>
      <c r="M2893" s="311"/>
      <c r="N2893" s="311">
        <f>+SUMIF('Input Sheet'!$AE:$AE,P2893,'Input Sheet'!$X:$X)</f>
        <v>0</v>
      </c>
      <c r="O2893" s="311"/>
      <c r="P2893" t="str">
        <f t="shared" si="248"/>
        <v>122-7590</v>
      </c>
      <c r="Q2893" s="315" t="str">
        <f t="shared" si="249"/>
        <v>LEX Used Vehicle</v>
      </c>
      <c r="R2893" s="315" t="str">
        <f t="shared" si="250"/>
        <v>LEX Used VehicleOther Variable expenses per retail</v>
      </c>
      <c r="S2893" s="199"/>
      <c r="T2893" s="199"/>
      <c r="U2893" s="199"/>
    </row>
    <row r="2894" spans="1:21" x14ac:dyDescent="0.25">
      <c r="A2894" t="s">
        <v>996</v>
      </c>
      <c r="B2894" t="s">
        <v>997</v>
      </c>
      <c r="C2894" t="s">
        <v>997</v>
      </c>
      <c r="D2894">
        <v>7591</v>
      </c>
      <c r="E2894">
        <v>112</v>
      </c>
      <c r="F2894" t="s">
        <v>1280</v>
      </c>
      <c r="G2894" t="s">
        <v>1281</v>
      </c>
      <c r="H2894" s="315" t="s">
        <v>1011</v>
      </c>
      <c r="I2894" s="315" t="s">
        <v>1279</v>
      </c>
      <c r="J2894" s="315" t="str">
        <f t="shared" si="246"/>
        <v>LEX New VehicleOther Variable expenses p.u.</v>
      </c>
      <c r="K2894" s="315" t="str">
        <f t="shared" si="247"/>
        <v>112NV Other variable expenses - Lexus</v>
      </c>
      <c r="L2894" s="311">
        <f>+SUMIF('TUNZ Extracted TB'!M:M,$P2894,'TUNZ Extracted TB'!G:G)</f>
        <v>0</v>
      </c>
      <c r="M2894" s="311"/>
      <c r="N2894" s="311">
        <f>+SUMIF('Input Sheet'!$AE:$AE,P2894,'Input Sheet'!$X:$X)</f>
        <v>0</v>
      </c>
      <c r="O2894" s="311"/>
      <c r="P2894" t="str">
        <f t="shared" si="248"/>
        <v>112-7591</v>
      </c>
      <c r="Q2894" s="315" t="str">
        <f t="shared" si="249"/>
        <v>LEX New Vehicle</v>
      </c>
      <c r="R2894" s="315" t="str">
        <f t="shared" si="250"/>
        <v>LEX New VehicleOther Variable expenses p.u.</v>
      </c>
      <c r="S2894" s="199"/>
      <c r="T2894" s="199"/>
      <c r="U2894" s="199"/>
    </row>
    <row r="2895" spans="1:21" x14ac:dyDescent="0.25">
      <c r="A2895" t="s">
        <v>996</v>
      </c>
      <c r="B2895" t="s">
        <v>997</v>
      </c>
      <c r="C2895" t="s">
        <v>997</v>
      </c>
      <c r="D2895">
        <v>7590</v>
      </c>
      <c r="E2895">
        <v>936</v>
      </c>
      <c r="F2895" t="s">
        <v>1175</v>
      </c>
      <c r="G2895" t="s">
        <v>1176</v>
      </c>
      <c r="H2895" s="315" t="s">
        <v>58</v>
      </c>
      <c r="I2895" s="315" t="s">
        <v>1286</v>
      </c>
      <c r="J2895" s="315" t="str">
        <f t="shared" si="246"/>
        <v>BridgestoneOther Expenses as % of Sales</v>
      </c>
      <c r="K2895" s="315" t="str">
        <f t="shared" si="247"/>
        <v>936Other franchise/business expense</v>
      </c>
      <c r="L2895" s="311">
        <f>+SUMIF('TUNZ Extracted TB'!M:M,$P2895,'TUNZ Extracted TB'!G:G)</f>
        <v>0</v>
      </c>
      <c r="M2895" s="311"/>
      <c r="N2895" s="311">
        <f>+SUMIF('Input Sheet'!$AE:$AE,P2895,'Input Sheet'!$X:$X)</f>
        <v>0</v>
      </c>
      <c r="O2895" s="311"/>
      <c r="P2895" t="str">
        <f t="shared" si="248"/>
        <v>936-7590</v>
      </c>
      <c r="Q2895" s="315" t="str">
        <f t="shared" si="249"/>
        <v>Bridgestone</v>
      </c>
      <c r="R2895" s="315" t="str">
        <f t="shared" si="250"/>
        <v>BridgestoneOther Expenses as % of Sales</v>
      </c>
      <c r="S2895" s="199"/>
      <c r="T2895" s="199"/>
      <c r="U2895" s="199"/>
    </row>
    <row r="2896" spans="1:21" x14ac:dyDescent="0.25">
      <c r="A2896" t="s">
        <v>996</v>
      </c>
      <c r="B2896" t="s">
        <v>997</v>
      </c>
      <c r="C2896" t="s">
        <v>1005</v>
      </c>
      <c r="D2896">
        <v>7590</v>
      </c>
      <c r="E2896">
        <v>240</v>
      </c>
      <c r="F2896" t="s">
        <v>1289</v>
      </c>
      <c r="G2896" t="s">
        <v>1290</v>
      </c>
      <c r="H2896" s="315" t="s">
        <v>17</v>
      </c>
      <c r="I2896" s="315" t="s">
        <v>1286</v>
      </c>
      <c r="J2896" s="315" t="str">
        <f t="shared" si="246"/>
        <v>ServiceOther Expenses as % of Sales</v>
      </c>
      <c r="K2896" s="315" t="str">
        <f t="shared" si="247"/>
        <v>240Service Other expenses - Toyota</v>
      </c>
      <c r="L2896" s="311">
        <f>+SUMIF('TUNZ Extracted TB'!M:M,$P2896,'TUNZ Extracted TB'!G:G)</f>
        <v>0</v>
      </c>
      <c r="M2896" s="311"/>
      <c r="N2896" s="311">
        <f>+SUMIF('Input Sheet'!$AE:$AE,P2896,'Input Sheet'!$X:$X)</f>
        <v>0</v>
      </c>
      <c r="O2896" s="311"/>
      <c r="P2896" t="str">
        <f t="shared" si="248"/>
        <v>240-7590</v>
      </c>
      <c r="Q2896" s="315" t="str">
        <f t="shared" si="249"/>
        <v>Service</v>
      </c>
      <c r="R2896" s="315" t="str">
        <f t="shared" si="250"/>
        <v>ServiceOther Expenses as % of Sales</v>
      </c>
      <c r="S2896" s="199"/>
      <c r="T2896" s="199"/>
      <c r="U2896" s="199"/>
    </row>
    <row r="2897" spans="1:21" x14ac:dyDescent="0.25">
      <c r="A2897" t="s">
        <v>996</v>
      </c>
      <c r="B2897" t="s">
        <v>997</v>
      </c>
      <c r="C2897" t="s">
        <v>1012</v>
      </c>
      <c r="D2897">
        <v>7590</v>
      </c>
      <c r="E2897">
        <v>440</v>
      </c>
      <c r="F2897" t="s">
        <v>1289</v>
      </c>
      <c r="G2897" t="s">
        <v>1290</v>
      </c>
      <c r="H2897" s="315" t="s">
        <v>17</v>
      </c>
      <c r="I2897" s="315" t="s">
        <v>1286</v>
      </c>
      <c r="J2897" s="315" t="str">
        <f t="shared" si="246"/>
        <v>ServiceOther Expenses as % of Sales</v>
      </c>
      <c r="K2897" s="315" t="str">
        <f t="shared" si="247"/>
        <v>440Service Other expenses - Toyota</v>
      </c>
      <c r="L2897" s="311">
        <f>+SUMIF('TUNZ Extracted TB'!M:M,$P2897,'TUNZ Extracted TB'!G:G)</f>
        <v>0</v>
      </c>
      <c r="M2897" s="311"/>
      <c r="N2897" s="311">
        <f>+SUMIF('Input Sheet'!$AE:$AE,P2897,'Input Sheet'!$X:$X)</f>
        <v>0</v>
      </c>
      <c r="O2897" s="311"/>
      <c r="P2897" t="str">
        <f t="shared" si="248"/>
        <v>440-7590</v>
      </c>
      <c r="Q2897" s="315" t="str">
        <f t="shared" si="249"/>
        <v>Service</v>
      </c>
      <c r="R2897" s="315" t="str">
        <f t="shared" si="250"/>
        <v>ServiceOther Expenses as % of Sales</v>
      </c>
      <c r="S2897" s="199"/>
      <c r="T2897" s="199"/>
      <c r="U2897" s="199"/>
    </row>
    <row r="2898" spans="1:21" x14ac:dyDescent="0.25">
      <c r="A2898" t="s">
        <v>996</v>
      </c>
      <c r="B2898" t="s">
        <v>997</v>
      </c>
      <c r="C2898" t="s">
        <v>997</v>
      </c>
      <c r="D2898">
        <v>7590</v>
      </c>
      <c r="E2898">
        <v>140</v>
      </c>
      <c r="F2898" t="s">
        <v>1289</v>
      </c>
      <c r="G2898" t="s">
        <v>1290</v>
      </c>
      <c r="H2898" s="315" t="s">
        <v>17</v>
      </c>
      <c r="I2898" s="315" t="s">
        <v>1286</v>
      </c>
      <c r="J2898" s="315" t="str">
        <f t="shared" si="246"/>
        <v>ServiceOther Expenses as % of Sales</v>
      </c>
      <c r="K2898" s="315" t="str">
        <f t="shared" si="247"/>
        <v>140Service Other expenses - Toyota</v>
      </c>
      <c r="L2898" s="311">
        <f>+SUMIF('TUNZ Extracted TB'!M:M,$P2898,'TUNZ Extracted TB'!G:G)</f>
        <v>0</v>
      </c>
      <c r="M2898" s="311"/>
      <c r="N2898" s="311">
        <f>+SUMIF('Input Sheet'!$AE:$AE,P2898,'Input Sheet'!$X:$X)</f>
        <v>0</v>
      </c>
      <c r="O2898" s="311"/>
      <c r="P2898" t="str">
        <f t="shared" si="248"/>
        <v>140-7590</v>
      </c>
      <c r="Q2898" s="315" t="str">
        <f t="shared" si="249"/>
        <v>Service</v>
      </c>
      <c r="R2898" s="315" t="str">
        <f t="shared" si="250"/>
        <v>ServiceOther Expenses as % of Sales</v>
      </c>
      <c r="S2898" s="199"/>
      <c r="T2898" s="199"/>
      <c r="U2898" s="199"/>
    </row>
    <row r="2899" spans="1:21" x14ac:dyDescent="0.25">
      <c r="A2899" t="s">
        <v>996</v>
      </c>
      <c r="B2899" t="s">
        <v>997</v>
      </c>
      <c r="C2899" t="s">
        <v>997</v>
      </c>
      <c r="D2899">
        <v>7590</v>
      </c>
      <c r="E2899">
        <v>147</v>
      </c>
      <c r="F2899" t="s">
        <v>1289</v>
      </c>
      <c r="G2899" t="s">
        <v>1290</v>
      </c>
      <c r="H2899" s="315" t="s">
        <v>17</v>
      </c>
      <c r="I2899" s="315" t="s">
        <v>1286</v>
      </c>
      <c r="J2899" s="315" t="str">
        <f t="shared" si="246"/>
        <v>ServiceOther Expenses as % of Sales</v>
      </c>
      <c r="K2899" s="315" t="str">
        <f t="shared" si="247"/>
        <v>147Service Other expenses - Toyota</v>
      </c>
      <c r="L2899" s="311">
        <f>+SUMIF('TUNZ Extracted TB'!M:M,$P2899,'TUNZ Extracted TB'!G:G)</f>
        <v>0</v>
      </c>
      <c r="M2899" s="311"/>
      <c r="N2899" s="311">
        <f>+SUMIF('Input Sheet'!$AE:$AE,P2899,'Input Sheet'!$X:$X)</f>
        <v>0</v>
      </c>
      <c r="O2899" s="311"/>
      <c r="P2899" t="str">
        <f t="shared" si="248"/>
        <v>147-7590</v>
      </c>
      <c r="Q2899" s="315" t="str">
        <f t="shared" si="249"/>
        <v>Service</v>
      </c>
      <c r="R2899" s="315" t="str">
        <f t="shared" si="250"/>
        <v>ServiceOther Expenses as % of Sales</v>
      </c>
      <c r="S2899" s="199"/>
      <c r="T2899" s="199"/>
      <c r="U2899" s="199"/>
    </row>
    <row r="2900" spans="1:21" x14ac:dyDescent="0.25">
      <c r="A2900" t="s">
        <v>996</v>
      </c>
      <c r="B2900" t="s">
        <v>997</v>
      </c>
      <c r="C2900" t="s">
        <v>1005</v>
      </c>
      <c r="D2900">
        <v>7590</v>
      </c>
      <c r="E2900">
        <v>210</v>
      </c>
      <c r="F2900" t="s">
        <v>1165</v>
      </c>
      <c r="G2900" t="s">
        <v>1166</v>
      </c>
      <c r="H2900" s="315" t="s">
        <v>30</v>
      </c>
      <c r="I2900" s="315" t="s">
        <v>1167</v>
      </c>
      <c r="J2900" s="315" t="str">
        <f t="shared" si="246"/>
        <v>Used VehicleOther Variable expenses per retail</v>
      </c>
      <c r="K2900" s="315" t="str">
        <f t="shared" si="247"/>
        <v>210Toyota UV Other Variable expense</v>
      </c>
      <c r="L2900" s="311">
        <f>+SUMIF('TUNZ Extracted TB'!M:M,$P2900,'TUNZ Extracted TB'!G:G)</f>
        <v>0</v>
      </c>
      <c r="M2900" s="311"/>
      <c r="N2900" s="311">
        <f>+SUMIF('Input Sheet'!$AE:$AE,P2900,'Input Sheet'!$X:$X)</f>
        <v>0</v>
      </c>
      <c r="O2900" s="311"/>
      <c r="P2900" t="str">
        <f t="shared" si="248"/>
        <v>210-7590</v>
      </c>
      <c r="Q2900" s="315" t="str">
        <f t="shared" si="249"/>
        <v>Used Vehicle</v>
      </c>
      <c r="R2900" s="315" t="str">
        <f t="shared" si="250"/>
        <v>Used VehicleOther Variable expenses per retail</v>
      </c>
      <c r="S2900" s="199"/>
      <c r="T2900" s="199"/>
      <c r="U2900" s="199"/>
    </row>
    <row r="2901" spans="1:21" x14ac:dyDescent="0.25">
      <c r="A2901" t="s">
        <v>996</v>
      </c>
      <c r="B2901" t="s">
        <v>997</v>
      </c>
      <c r="C2901" t="s">
        <v>1005</v>
      </c>
      <c r="D2901">
        <v>7590</v>
      </c>
      <c r="E2901">
        <v>220</v>
      </c>
      <c r="F2901" t="s">
        <v>1165</v>
      </c>
      <c r="G2901" t="s">
        <v>1166</v>
      </c>
      <c r="H2901" s="315" t="s">
        <v>30</v>
      </c>
      <c r="I2901" s="315" t="s">
        <v>1167</v>
      </c>
      <c r="J2901" s="315" t="str">
        <f t="shared" si="246"/>
        <v>Used VehicleOther Variable expenses per retail</v>
      </c>
      <c r="K2901" s="315" t="str">
        <f t="shared" si="247"/>
        <v>220Toyota UV Other Variable expense</v>
      </c>
      <c r="L2901" s="311">
        <f>+SUMIF('TUNZ Extracted TB'!M:M,$P2901,'TUNZ Extracted TB'!G:G)</f>
        <v>0</v>
      </c>
      <c r="M2901" s="311"/>
      <c r="N2901" s="311">
        <f>+SUMIF('Input Sheet'!$AE:$AE,P2901,'Input Sheet'!$X:$X)</f>
        <v>0</v>
      </c>
      <c r="O2901" s="311"/>
      <c r="P2901" t="str">
        <f t="shared" si="248"/>
        <v>220-7590</v>
      </c>
      <c r="Q2901" s="315" t="str">
        <f t="shared" si="249"/>
        <v>Used Vehicle</v>
      </c>
      <c r="R2901" s="315" t="str">
        <f t="shared" si="250"/>
        <v>Used VehicleOther Variable expenses per retail</v>
      </c>
      <c r="S2901" s="199"/>
      <c r="T2901" s="199"/>
      <c r="U2901" s="199"/>
    </row>
    <row r="2902" spans="1:21" x14ac:dyDescent="0.25">
      <c r="A2902" t="s">
        <v>996</v>
      </c>
      <c r="B2902" t="s">
        <v>997</v>
      </c>
      <c r="C2902" t="s">
        <v>997</v>
      </c>
      <c r="D2902">
        <v>7590</v>
      </c>
      <c r="E2902">
        <v>120</v>
      </c>
      <c r="F2902" t="s">
        <v>1165</v>
      </c>
      <c r="G2902" t="s">
        <v>1166</v>
      </c>
      <c r="H2902" s="315" t="s">
        <v>30</v>
      </c>
      <c r="I2902" s="315" t="s">
        <v>1167</v>
      </c>
      <c r="J2902" s="315" t="str">
        <f t="shared" si="246"/>
        <v>Used VehicleOther Variable expenses per retail</v>
      </c>
      <c r="K2902" s="315" t="str">
        <f t="shared" si="247"/>
        <v>120Toyota UV Other Variable expense</v>
      </c>
      <c r="L2902" s="311">
        <f>+SUMIF('TUNZ Extracted TB'!M:M,$P2902,'TUNZ Extracted TB'!G:G)</f>
        <v>0</v>
      </c>
      <c r="M2902" s="311"/>
      <c r="N2902" s="311">
        <f>+SUMIF('Input Sheet'!$AE:$AE,P2902,'Input Sheet'!$X:$X)</f>
        <v>0</v>
      </c>
      <c r="O2902" s="311"/>
      <c r="P2902" t="str">
        <f t="shared" si="248"/>
        <v>120-7590</v>
      </c>
      <c r="Q2902" s="315" t="str">
        <f t="shared" si="249"/>
        <v>Used Vehicle</v>
      </c>
      <c r="R2902" s="315" t="str">
        <f t="shared" si="250"/>
        <v>Used VehicleOther Variable expenses per retail</v>
      </c>
      <c r="S2902" s="199"/>
      <c r="T2902" s="199"/>
      <c r="U2902" s="199"/>
    </row>
    <row r="2903" spans="1:21" x14ac:dyDescent="0.25">
      <c r="A2903" t="s">
        <v>996</v>
      </c>
      <c r="B2903" t="s">
        <v>997</v>
      </c>
      <c r="C2903" t="s">
        <v>997</v>
      </c>
      <c r="D2903">
        <v>7590</v>
      </c>
      <c r="E2903">
        <v>121</v>
      </c>
      <c r="F2903" t="s">
        <v>1165</v>
      </c>
      <c r="G2903" t="s">
        <v>1166</v>
      </c>
      <c r="H2903" s="315" t="s">
        <v>30</v>
      </c>
      <c r="I2903" s="315" t="s">
        <v>1167</v>
      </c>
      <c r="J2903" s="315" t="str">
        <f t="shared" si="246"/>
        <v>Used VehicleOther Variable expenses per retail</v>
      </c>
      <c r="K2903" s="315" t="str">
        <f t="shared" si="247"/>
        <v>121Toyota UV Other Variable expense</v>
      </c>
      <c r="L2903" s="311">
        <f>+SUMIF('TUNZ Extracted TB'!M:M,$P2903,'TUNZ Extracted TB'!G:G)</f>
        <v>0</v>
      </c>
      <c r="M2903" s="311"/>
      <c r="N2903" s="311">
        <f>+SUMIF('Input Sheet'!$AE:$AE,P2903,'Input Sheet'!$X:$X)</f>
        <v>0</v>
      </c>
      <c r="O2903" s="311"/>
      <c r="P2903" t="str">
        <f t="shared" si="248"/>
        <v>121-7590</v>
      </c>
      <c r="Q2903" s="315" t="str">
        <f t="shared" si="249"/>
        <v>Used Vehicle</v>
      </c>
      <c r="R2903" s="315" t="str">
        <f t="shared" si="250"/>
        <v>Used VehicleOther Variable expenses per retail</v>
      </c>
      <c r="S2903" s="199"/>
      <c r="T2903" s="199"/>
      <c r="U2903" s="199"/>
    </row>
    <row r="2904" spans="1:21" x14ac:dyDescent="0.25">
      <c r="A2904" t="s">
        <v>996</v>
      </c>
      <c r="B2904" t="s">
        <v>997</v>
      </c>
      <c r="C2904" t="s">
        <v>997</v>
      </c>
      <c r="D2904">
        <v>7590</v>
      </c>
      <c r="E2904">
        <v>132</v>
      </c>
      <c r="F2904" t="s">
        <v>1211</v>
      </c>
      <c r="G2904" t="s">
        <v>1212</v>
      </c>
      <c r="H2904" s="315" t="s">
        <v>143</v>
      </c>
      <c r="I2904" s="315" t="s">
        <v>1209</v>
      </c>
      <c r="J2904" s="315" t="str">
        <f t="shared" si="246"/>
        <v>LEX PartsTrade Sales Gross Profit % of Sales</v>
      </c>
      <c r="K2904" s="315" t="str">
        <f t="shared" si="247"/>
        <v>132Parts Trade COS - Lexus</v>
      </c>
      <c r="L2904" s="311">
        <f>+SUMIF('TUNZ Extracted TB'!M:M,$P2904,'TUNZ Extracted TB'!G:G)</f>
        <v>0</v>
      </c>
      <c r="M2904" s="311"/>
      <c r="N2904" s="311">
        <f>+SUMIF('Input Sheet'!$AE:$AE,P2904,'Input Sheet'!$X:$X)</f>
        <v>0</v>
      </c>
      <c r="O2904" s="311"/>
      <c r="P2904" t="str">
        <f t="shared" si="248"/>
        <v>132-7590</v>
      </c>
      <c r="Q2904" s="315" t="str">
        <f t="shared" si="249"/>
        <v>LEX Parts</v>
      </c>
      <c r="R2904" s="315" t="str">
        <f t="shared" si="250"/>
        <v>LEX PartsTrade Sales Gross Profit % of Sales</v>
      </c>
      <c r="S2904" s="199"/>
      <c r="T2904" s="199"/>
      <c r="U2904" s="199"/>
    </row>
    <row r="2905" spans="1:21" x14ac:dyDescent="0.25">
      <c r="A2905" t="s">
        <v>996</v>
      </c>
      <c r="B2905" t="s">
        <v>997</v>
      </c>
      <c r="C2905" t="s">
        <v>997</v>
      </c>
      <c r="D2905">
        <v>7590</v>
      </c>
      <c r="E2905">
        <v>130</v>
      </c>
      <c r="F2905" t="s">
        <v>1207</v>
      </c>
      <c r="G2905" t="s">
        <v>1208</v>
      </c>
      <c r="H2905" s="315" t="s">
        <v>5</v>
      </c>
      <c r="I2905" s="315" t="s">
        <v>1209</v>
      </c>
      <c r="J2905" s="315" t="str">
        <f t="shared" si="246"/>
        <v>PartsTrade Sales Gross Profit % of Sales</v>
      </c>
      <c r="K2905" s="315" t="str">
        <f t="shared" si="247"/>
        <v>130Parts Trade COS - Toyota</v>
      </c>
      <c r="L2905" s="311">
        <f>+SUMIF('TUNZ Extracted TB'!M:M,$P2905,'TUNZ Extracted TB'!G:G)</f>
        <v>-5796.61</v>
      </c>
      <c r="M2905" s="311"/>
      <c r="N2905" s="311">
        <f>+SUMIF('Input Sheet'!$AE:$AE,P2905,'Input Sheet'!$X:$X)</f>
        <v>0</v>
      </c>
      <c r="O2905" s="311"/>
      <c r="P2905" t="str">
        <f t="shared" si="248"/>
        <v>130-7590</v>
      </c>
      <c r="Q2905" s="315" t="str">
        <f t="shared" si="249"/>
        <v>Parts</v>
      </c>
      <c r="R2905" s="315" t="str">
        <f t="shared" si="250"/>
        <v>PartsTrade Sales Gross Profit % of Sales</v>
      </c>
      <c r="S2905" s="199"/>
      <c r="T2905" s="199"/>
      <c r="U2905" s="199"/>
    </row>
    <row r="2906" spans="1:21" x14ac:dyDescent="0.25">
      <c r="A2906" t="s">
        <v>996</v>
      </c>
      <c r="B2906" t="s">
        <v>997</v>
      </c>
      <c r="C2906" t="s">
        <v>997</v>
      </c>
      <c r="D2906">
        <v>7590</v>
      </c>
      <c r="E2906">
        <v>142</v>
      </c>
      <c r="F2906" t="s">
        <v>1284</v>
      </c>
      <c r="G2906" t="s">
        <v>1285</v>
      </c>
      <c r="H2906" s="315" t="s">
        <v>1022</v>
      </c>
      <c r="I2906" s="315" t="s">
        <v>1286</v>
      </c>
      <c r="J2906" s="315" t="str">
        <f t="shared" si="246"/>
        <v>Lex ServiceOther Expenses as % of Sales</v>
      </c>
      <c r="K2906" s="315" t="str">
        <f t="shared" si="247"/>
        <v>142Service Other expenses - Lexus</v>
      </c>
      <c r="L2906" s="311">
        <f>+SUMIF('TUNZ Extracted TB'!M:M,$P2906,'TUNZ Extracted TB'!G:G)</f>
        <v>0</v>
      </c>
      <c r="M2906" s="311"/>
      <c r="N2906" s="311">
        <f>+SUMIF('Input Sheet'!$AE:$AE,P2906,'Input Sheet'!$X:$X)</f>
        <v>0</v>
      </c>
      <c r="O2906" s="311"/>
      <c r="P2906" t="str">
        <f t="shared" si="248"/>
        <v>142-7590</v>
      </c>
      <c r="Q2906" s="315" t="str">
        <f t="shared" si="249"/>
        <v>Lex Service</v>
      </c>
      <c r="R2906" s="315" t="str">
        <f t="shared" si="250"/>
        <v>Lex ServiceOther Expenses as % of Sales</v>
      </c>
      <c r="S2906" s="199"/>
      <c r="T2906" s="199"/>
      <c r="U2906" s="199"/>
    </row>
    <row r="2907" spans="1:21" x14ac:dyDescent="0.25">
      <c r="A2907" t="s">
        <v>996</v>
      </c>
      <c r="B2907" t="s">
        <v>997</v>
      </c>
      <c r="C2907" t="s">
        <v>1012</v>
      </c>
      <c r="D2907">
        <v>7592</v>
      </c>
      <c r="E2907">
        <v>400</v>
      </c>
      <c r="F2907" t="s">
        <v>1277</v>
      </c>
      <c r="G2907" t="s">
        <v>1278</v>
      </c>
      <c r="H2907" s="315" t="s">
        <v>29</v>
      </c>
      <c r="I2907" s="315" t="s">
        <v>1279</v>
      </c>
      <c r="J2907" s="315" t="str">
        <f t="shared" si="246"/>
        <v>New VehicleOther Variable expenses p.u.</v>
      </c>
      <c r="K2907" s="315" t="str">
        <f t="shared" si="247"/>
        <v>400NV Other variable expenses - Toyota</v>
      </c>
      <c r="L2907" s="311">
        <f>+SUMIF('TUNZ Extracted TB'!M:M,$P2907,'TUNZ Extracted TB'!G:G)</f>
        <v>0</v>
      </c>
      <c r="M2907" s="311"/>
      <c r="N2907" s="311">
        <f>+SUMIF('Input Sheet'!$AE:$AE,P2907,'Input Sheet'!$X:$X)</f>
        <v>0</v>
      </c>
      <c r="O2907" s="311"/>
      <c r="P2907" t="str">
        <f t="shared" si="248"/>
        <v>400-7592</v>
      </c>
      <c r="Q2907" s="315" t="str">
        <f t="shared" si="249"/>
        <v>New Vehicle</v>
      </c>
      <c r="R2907" s="315" t="str">
        <f t="shared" si="250"/>
        <v>New VehicleOther Variable expenses p.u.</v>
      </c>
      <c r="S2907" s="199"/>
      <c r="T2907" s="199"/>
      <c r="U2907" s="199"/>
    </row>
    <row r="2908" spans="1:21" x14ac:dyDescent="0.25">
      <c r="A2908" t="s">
        <v>996</v>
      </c>
      <c r="B2908" t="s">
        <v>997</v>
      </c>
      <c r="C2908" t="s">
        <v>1005</v>
      </c>
      <c r="D2908">
        <v>7630</v>
      </c>
      <c r="E2908">
        <v>210</v>
      </c>
      <c r="F2908" t="s">
        <v>1332</v>
      </c>
      <c r="G2908" t="s">
        <v>1333</v>
      </c>
      <c r="H2908" s="315" t="s">
        <v>29</v>
      </c>
      <c r="I2908" s="315" t="s">
        <v>1314</v>
      </c>
      <c r="J2908" s="315" t="str">
        <f t="shared" si="246"/>
        <v>New VehicleDemo Expenses (incl. interest) p.u.</v>
      </c>
      <c r="K2908" s="315" t="str">
        <f t="shared" si="247"/>
        <v>210NV Toyota Interest expense</v>
      </c>
      <c r="L2908" s="311">
        <f>+SUMIF('TUNZ Extracted TB'!M:M,$P2908,'TUNZ Extracted TB'!G:G)</f>
        <v>6807.85</v>
      </c>
      <c r="M2908" s="311"/>
      <c r="N2908" s="311">
        <f>+SUMIF('Input Sheet'!$AE:$AE,P2908,'Input Sheet'!$X:$X)</f>
        <v>0</v>
      </c>
      <c r="O2908" s="311"/>
      <c r="P2908" t="str">
        <f t="shared" si="248"/>
        <v>210-7630</v>
      </c>
      <c r="Q2908" s="315" t="str">
        <f t="shared" si="249"/>
        <v>New Vehicle</v>
      </c>
      <c r="R2908" s="315" t="str">
        <f t="shared" si="250"/>
        <v>New VehicleDemo Expenses (incl. interest) p.u.</v>
      </c>
      <c r="S2908" s="199"/>
      <c r="T2908" s="199"/>
      <c r="U2908" s="199"/>
    </row>
    <row r="2909" spans="1:21" x14ac:dyDescent="0.25">
      <c r="A2909" t="s">
        <v>996</v>
      </c>
      <c r="B2909" t="s">
        <v>997</v>
      </c>
      <c r="C2909" t="s">
        <v>997</v>
      </c>
      <c r="D2909">
        <v>7590</v>
      </c>
      <c r="E2909">
        <v>110</v>
      </c>
      <c r="F2909" t="s">
        <v>1165</v>
      </c>
      <c r="G2909" t="s">
        <v>1166</v>
      </c>
      <c r="H2909" s="315" t="s">
        <v>30</v>
      </c>
      <c r="I2909" s="315" t="s">
        <v>1167</v>
      </c>
      <c r="J2909" s="315" t="str">
        <f t="shared" si="246"/>
        <v>Used VehicleOther Variable expenses per retail</v>
      </c>
      <c r="K2909" s="315" t="str">
        <f t="shared" si="247"/>
        <v>110Toyota UV Other Variable expense</v>
      </c>
      <c r="L2909" s="311">
        <f>+SUMIF('TUNZ Extracted TB'!M:M,$P2909,'TUNZ Extracted TB'!G:G)</f>
        <v>0</v>
      </c>
      <c r="M2909" s="311"/>
      <c r="N2909" s="311">
        <f>+SUMIF('Input Sheet'!$AE:$AE,P2909,'Input Sheet'!$X:$X)</f>
        <v>0</v>
      </c>
      <c r="O2909" s="311"/>
      <c r="P2909" t="str">
        <f t="shared" si="248"/>
        <v>110-7590</v>
      </c>
      <c r="Q2909" s="315" t="str">
        <f t="shared" si="249"/>
        <v>Used Vehicle</v>
      </c>
      <c r="R2909" s="315" t="str">
        <f t="shared" si="250"/>
        <v>Used VehicleOther Variable expenses per retail</v>
      </c>
      <c r="S2909" s="199"/>
      <c r="T2909" s="199"/>
      <c r="U2909" s="199"/>
    </row>
    <row r="2910" spans="1:21" x14ac:dyDescent="0.25">
      <c r="A2910" t="s">
        <v>996</v>
      </c>
      <c r="B2910" t="s">
        <v>997</v>
      </c>
      <c r="C2910" t="s">
        <v>1012</v>
      </c>
      <c r="D2910">
        <v>7590</v>
      </c>
      <c r="E2910">
        <v>430</v>
      </c>
      <c r="F2910" t="s">
        <v>1207</v>
      </c>
      <c r="G2910" t="s">
        <v>1208</v>
      </c>
      <c r="H2910" s="315" t="s">
        <v>5</v>
      </c>
      <c r="I2910" s="315" t="s">
        <v>1209</v>
      </c>
      <c r="J2910" s="315" t="str">
        <f t="shared" si="246"/>
        <v>PartsTrade Sales Gross Profit % of Sales</v>
      </c>
      <c r="K2910" s="315" t="str">
        <f t="shared" si="247"/>
        <v>430Parts Trade COS - Toyota</v>
      </c>
      <c r="L2910" s="311">
        <f>+SUMIF('TUNZ Extracted TB'!M:M,$P2910,'TUNZ Extracted TB'!G:G)</f>
        <v>-763.49</v>
      </c>
      <c r="M2910" s="311"/>
      <c r="N2910" s="311">
        <f>+SUMIF('Input Sheet'!$AE:$AE,P2910,'Input Sheet'!$X:$X)</f>
        <v>0</v>
      </c>
      <c r="O2910" s="311"/>
      <c r="P2910" t="str">
        <f t="shared" si="248"/>
        <v>430-7590</v>
      </c>
      <c r="Q2910" s="315" t="str">
        <f t="shared" si="249"/>
        <v>Parts</v>
      </c>
      <c r="R2910" s="315" t="str">
        <f t="shared" si="250"/>
        <v>PartsTrade Sales Gross Profit % of Sales</v>
      </c>
      <c r="S2910" s="199"/>
      <c r="T2910" s="199"/>
      <c r="U2910" s="199"/>
    </row>
    <row r="2911" spans="1:21" x14ac:dyDescent="0.25">
      <c r="A2911" t="s">
        <v>996</v>
      </c>
      <c r="B2911" t="s">
        <v>997</v>
      </c>
      <c r="C2911" t="s">
        <v>1013</v>
      </c>
      <c r="D2911">
        <v>7590</v>
      </c>
      <c r="E2911">
        <v>330</v>
      </c>
      <c r="F2911" t="s">
        <v>1207</v>
      </c>
      <c r="G2911" t="s">
        <v>1208</v>
      </c>
      <c r="H2911" s="315" t="s">
        <v>5</v>
      </c>
      <c r="I2911" s="315" t="s">
        <v>1209</v>
      </c>
      <c r="J2911" s="315" t="str">
        <f t="shared" si="246"/>
        <v>PartsTrade Sales Gross Profit % of Sales</v>
      </c>
      <c r="K2911" s="315" t="str">
        <f t="shared" si="247"/>
        <v>330Parts Trade COS - Toyota</v>
      </c>
      <c r="L2911" s="311">
        <f>+SUMIF('TUNZ Extracted TB'!M:M,$P2911,'TUNZ Extracted TB'!G:G)</f>
        <v>-1091.97</v>
      </c>
      <c r="M2911" s="311"/>
      <c r="N2911" s="311">
        <f>+SUMIF('Input Sheet'!$AE:$AE,P2911,'Input Sheet'!$X:$X)</f>
        <v>0</v>
      </c>
      <c r="O2911" s="311"/>
      <c r="P2911" t="str">
        <f t="shared" si="248"/>
        <v>330-7590</v>
      </c>
      <c r="Q2911" s="315" t="str">
        <f t="shared" si="249"/>
        <v>Parts</v>
      </c>
      <c r="R2911" s="315" t="str">
        <f t="shared" si="250"/>
        <v>PartsTrade Sales Gross Profit % of Sales</v>
      </c>
      <c r="S2911" s="199"/>
      <c r="T2911" s="199"/>
      <c r="U2911" s="199"/>
    </row>
    <row r="2912" spans="1:21" x14ac:dyDescent="0.25">
      <c r="A2912" t="s">
        <v>996</v>
      </c>
      <c r="B2912" t="s">
        <v>997</v>
      </c>
      <c r="C2912" t="s">
        <v>1005</v>
      </c>
      <c r="D2912">
        <v>7590</v>
      </c>
      <c r="E2912">
        <v>230</v>
      </c>
      <c r="F2912" t="s">
        <v>1207</v>
      </c>
      <c r="G2912" t="s">
        <v>1208</v>
      </c>
      <c r="H2912" s="315" t="s">
        <v>5</v>
      </c>
      <c r="I2912" s="315" t="s">
        <v>1209</v>
      </c>
      <c r="J2912" s="315" t="str">
        <f t="shared" si="246"/>
        <v>PartsTrade Sales Gross Profit % of Sales</v>
      </c>
      <c r="K2912" s="315" t="str">
        <f t="shared" si="247"/>
        <v>230Parts Trade COS - Toyota</v>
      </c>
      <c r="L2912" s="311">
        <f>+SUMIF('TUNZ Extracted TB'!M:M,$P2912,'TUNZ Extracted TB'!G:G)</f>
        <v>-4049.37</v>
      </c>
      <c r="M2912" s="311"/>
      <c r="N2912" s="311">
        <f>+SUMIF('Input Sheet'!$AE:$AE,P2912,'Input Sheet'!$X:$X)</f>
        <v>0</v>
      </c>
      <c r="O2912" s="311"/>
      <c r="P2912" t="str">
        <f t="shared" si="248"/>
        <v>230-7590</v>
      </c>
      <c r="Q2912" s="315" t="str">
        <f t="shared" si="249"/>
        <v>Parts</v>
      </c>
      <c r="R2912" s="315" t="str">
        <f t="shared" si="250"/>
        <v>PartsTrade Sales Gross Profit % of Sales</v>
      </c>
      <c r="S2912" s="199"/>
      <c r="T2912" s="199"/>
      <c r="U2912" s="199"/>
    </row>
    <row r="2913" spans="1:21" x14ac:dyDescent="0.25">
      <c r="A2913" t="s">
        <v>996</v>
      </c>
      <c r="B2913" t="s">
        <v>997</v>
      </c>
      <c r="C2913" t="s">
        <v>997</v>
      </c>
      <c r="D2913">
        <v>7591</v>
      </c>
      <c r="E2913">
        <v>122</v>
      </c>
      <c r="F2913" t="s">
        <v>1282</v>
      </c>
      <c r="G2913" t="s">
        <v>1283</v>
      </c>
      <c r="H2913" s="315" t="s">
        <v>1041</v>
      </c>
      <c r="I2913" s="315" t="s">
        <v>1167</v>
      </c>
      <c r="J2913" s="315" t="str">
        <f t="shared" si="246"/>
        <v>LEX Used VehicleOther Variable expenses per retail</v>
      </c>
      <c r="K2913" s="315" t="str">
        <f t="shared" si="247"/>
        <v>122Lexus UV Other Variable expense</v>
      </c>
      <c r="L2913" s="311">
        <f>+SUMIF('TUNZ Extracted TB'!M:M,$P2913,'TUNZ Extracted TB'!G:G)</f>
        <v>0</v>
      </c>
      <c r="M2913" s="311"/>
      <c r="N2913" s="311">
        <f>+SUMIF('Input Sheet'!$AE:$AE,P2913,'Input Sheet'!$X:$X)</f>
        <v>0</v>
      </c>
      <c r="O2913" s="311"/>
      <c r="P2913" t="str">
        <f t="shared" si="248"/>
        <v>122-7591</v>
      </c>
      <c r="Q2913" s="315" t="str">
        <f t="shared" si="249"/>
        <v>LEX Used Vehicle</v>
      </c>
      <c r="R2913" s="315" t="str">
        <f t="shared" si="250"/>
        <v>LEX Used VehicleOther Variable expenses per retail</v>
      </c>
      <c r="S2913" s="199"/>
      <c r="T2913" s="199"/>
      <c r="U2913" s="199"/>
    </row>
    <row r="2914" spans="1:21" x14ac:dyDescent="0.25">
      <c r="A2914" t="s">
        <v>996</v>
      </c>
      <c r="B2914" t="s">
        <v>997</v>
      </c>
      <c r="C2914" t="s">
        <v>1005</v>
      </c>
      <c r="D2914">
        <v>7630</v>
      </c>
      <c r="E2914">
        <v>200</v>
      </c>
      <c r="F2914" t="s">
        <v>1332</v>
      </c>
      <c r="G2914" t="s">
        <v>1333</v>
      </c>
      <c r="H2914" s="315" t="s">
        <v>29</v>
      </c>
      <c r="I2914" s="315" t="s">
        <v>1314</v>
      </c>
      <c r="J2914" s="315" t="str">
        <f t="shared" si="246"/>
        <v>New VehicleDemo Expenses (incl. interest) p.u.</v>
      </c>
      <c r="K2914" s="315" t="str">
        <f t="shared" si="247"/>
        <v>200NV Toyota Interest expense</v>
      </c>
      <c r="L2914" s="311">
        <f>+SUMIF('TUNZ Extracted TB'!M:M,$P2914,'TUNZ Extracted TB'!G:G)</f>
        <v>0</v>
      </c>
      <c r="M2914" s="311"/>
      <c r="N2914" s="311">
        <f>+SUMIF('Input Sheet'!$AE:$AE,P2914,'Input Sheet'!$X:$X)</f>
        <v>0</v>
      </c>
      <c r="O2914" s="311"/>
      <c r="P2914" t="str">
        <f t="shared" si="248"/>
        <v>200-7630</v>
      </c>
      <c r="Q2914" s="315" t="str">
        <f t="shared" si="249"/>
        <v>New Vehicle</v>
      </c>
      <c r="R2914" s="315" t="str">
        <f t="shared" si="250"/>
        <v>New VehicleDemo Expenses (incl. interest) p.u.</v>
      </c>
      <c r="S2914" s="199"/>
      <c r="T2914" s="199"/>
      <c r="U2914" s="199"/>
    </row>
    <row r="2915" spans="1:21" x14ac:dyDescent="0.25">
      <c r="A2915" t="s">
        <v>996</v>
      </c>
      <c r="B2915" t="s">
        <v>997</v>
      </c>
      <c r="C2915" t="s">
        <v>997</v>
      </c>
      <c r="D2915">
        <v>7591</v>
      </c>
      <c r="E2915">
        <v>170</v>
      </c>
      <c r="F2915" t="s">
        <v>1098</v>
      </c>
      <c r="G2915" t="s">
        <v>1099</v>
      </c>
      <c r="H2915" s="315" t="s">
        <v>1000</v>
      </c>
      <c r="I2915" s="315" t="s">
        <v>1001</v>
      </c>
      <c r="J2915" s="315" t="str">
        <f t="shared" si="246"/>
        <v>Admin &amp; OtherOther Overheads as % of Total Gross Profit</v>
      </c>
      <c r="K2915" s="315" t="str">
        <f t="shared" si="247"/>
        <v>170Other Income - Toyota</v>
      </c>
      <c r="L2915" s="311">
        <f>+SUMIF('TUNZ Extracted TB'!M:M,$P2915,'TUNZ Extracted TB'!G:G)</f>
        <v>0</v>
      </c>
      <c r="M2915" s="311"/>
      <c r="N2915" s="311">
        <f>+SUMIF('Input Sheet'!$AE:$AE,P2915,'Input Sheet'!$X:$X)</f>
        <v>0</v>
      </c>
      <c r="O2915" s="311"/>
      <c r="P2915" t="str">
        <f t="shared" si="248"/>
        <v>170-7591</v>
      </c>
      <c r="Q2915" s="315" t="str">
        <f t="shared" si="249"/>
        <v>Admin &amp; Other</v>
      </c>
      <c r="R2915" s="315" t="str">
        <f t="shared" si="250"/>
        <v>Admin &amp; OtherOther Overheads as % of Total Gross Profit</v>
      </c>
      <c r="S2915" s="199"/>
      <c r="T2915" s="199"/>
      <c r="U2915" s="199"/>
    </row>
    <row r="2916" spans="1:21" x14ac:dyDescent="0.25">
      <c r="A2916" t="s">
        <v>996</v>
      </c>
      <c r="B2916" t="s">
        <v>997</v>
      </c>
      <c r="C2916" t="s">
        <v>1005</v>
      </c>
      <c r="D2916">
        <v>7591</v>
      </c>
      <c r="E2916">
        <v>230</v>
      </c>
      <c r="F2916" t="s">
        <v>1207</v>
      </c>
      <c r="G2916" t="s">
        <v>1208</v>
      </c>
      <c r="H2916" s="315" t="s">
        <v>5</v>
      </c>
      <c r="I2916" s="315" t="s">
        <v>1209</v>
      </c>
      <c r="J2916" s="315" t="str">
        <f t="shared" si="246"/>
        <v>PartsTrade Sales Gross Profit % of Sales</v>
      </c>
      <c r="K2916" s="315" t="str">
        <f t="shared" si="247"/>
        <v>230Parts Trade COS - Toyota</v>
      </c>
      <c r="L2916" s="311">
        <f>+SUMIF('TUNZ Extracted TB'!M:M,$P2916,'TUNZ Extracted TB'!G:G)</f>
        <v>0</v>
      </c>
      <c r="M2916" s="311"/>
      <c r="N2916" s="311">
        <f>+SUMIF('Input Sheet'!$AE:$AE,P2916,'Input Sheet'!$X:$X)</f>
        <v>0</v>
      </c>
      <c r="O2916" s="311"/>
      <c r="P2916" t="str">
        <f t="shared" si="248"/>
        <v>230-7591</v>
      </c>
      <c r="Q2916" s="315" t="str">
        <f t="shared" si="249"/>
        <v>Parts</v>
      </c>
      <c r="R2916" s="315" t="str">
        <f t="shared" si="250"/>
        <v>PartsTrade Sales Gross Profit % of Sales</v>
      </c>
      <c r="S2916" s="199"/>
      <c r="T2916" s="199"/>
      <c r="U2916" s="199"/>
    </row>
    <row r="2917" spans="1:21" x14ac:dyDescent="0.25">
      <c r="A2917" t="s">
        <v>996</v>
      </c>
      <c r="B2917" t="s">
        <v>997</v>
      </c>
      <c r="C2917" t="s">
        <v>1012</v>
      </c>
      <c r="D2917">
        <v>7591</v>
      </c>
      <c r="E2917">
        <v>430</v>
      </c>
      <c r="F2917" t="s">
        <v>1207</v>
      </c>
      <c r="G2917" t="s">
        <v>1208</v>
      </c>
      <c r="H2917" s="315" t="s">
        <v>5</v>
      </c>
      <c r="I2917" s="315" t="s">
        <v>1209</v>
      </c>
      <c r="J2917" s="315" t="str">
        <f t="shared" si="246"/>
        <v>PartsTrade Sales Gross Profit % of Sales</v>
      </c>
      <c r="K2917" s="315" t="str">
        <f t="shared" si="247"/>
        <v>430Parts Trade COS - Toyota</v>
      </c>
      <c r="L2917" s="311">
        <f>+SUMIF('TUNZ Extracted TB'!M:M,$P2917,'TUNZ Extracted TB'!G:G)</f>
        <v>0</v>
      </c>
      <c r="M2917" s="311"/>
      <c r="N2917" s="311">
        <f>+SUMIF('Input Sheet'!$AE:$AE,P2917,'Input Sheet'!$X:$X)</f>
        <v>0</v>
      </c>
      <c r="O2917" s="311"/>
      <c r="P2917" t="str">
        <f t="shared" si="248"/>
        <v>430-7591</v>
      </c>
      <c r="Q2917" s="315" t="str">
        <f t="shared" si="249"/>
        <v>Parts</v>
      </c>
      <c r="R2917" s="315" t="str">
        <f t="shared" si="250"/>
        <v>PartsTrade Sales Gross Profit % of Sales</v>
      </c>
      <c r="S2917" s="199"/>
      <c r="T2917" s="199"/>
      <c r="U2917" s="199"/>
    </row>
    <row r="2918" spans="1:21" x14ac:dyDescent="0.25">
      <c r="A2918" t="s">
        <v>996</v>
      </c>
      <c r="B2918" t="s">
        <v>997</v>
      </c>
      <c r="C2918" t="s">
        <v>1013</v>
      </c>
      <c r="D2918">
        <v>7591</v>
      </c>
      <c r="E2918">
        <v>330</v>
      </c>
      <c r="F2918" t="s">
        <v>1207</v>
      </c>
      <c r="G2918" t="s">
        <v>1208</v>
      </c>
      <c r="H2918" s="315" t="s">
        <v>5</v>
      </c>
      <c r="I2918" s="315" t="s">
        <v>1209</v>
      </c>
      <c r="J2918" s="315" t="str">
        <f t="shared" si="246"/>
        <v>PartsTrade Sales Gross Profit % of Sales</v>
      </c>
      <c r="K2918" s="315" t="str">
        <f t="shared" si="247"/>
        <v>330Parts Trade COS - Toyota</v>
      </c>
      <c r="L2918" s="311">
        <f>+SUMIF('TUNZ Extracted TB'!M:M,$P2918,'TUNZ Extracted TB'!G:G)</f>
        <v>0</v>
      </c>
      <c r="M2918" s="311"/>
      <c r="N2918" s="311">
        <f>+SUMIF('Input Sheet'!$AE:$AE,P2918,'Input Sheet'!$X:$X)</f>
        <v>0</v>
      </c>
      <c r="O2918" s="311"/>
      <c r="P2918" t="str">
        <f t="shared" si="248"/>
        <v>330-7591</v>
      </c>
      <c r="Q2918" s="315" t="str">
        <f t="shared" si="249"/>
        <v>Parts</v>
      </c>
      <c r="R2918" s="315" t="str">
        <f t="shared" si="250"/>
        <v>PartsTrade Sales Gross Profit % of Sales</v>
      </c>
      <c r="S2918" s="199"/>
      <c r="T2918" s="199"/>
      <c r="U2918" s="199"/>
    </row>
    <row r="2919" spans="1:21" x14ac:dyDescent="0.25">
      <c r="A2919" t="s">
        <v>996</v>
      </c>
      <c r="B2919" t="s">
        <v>997</v>
      </c>
      <c r="C2919" t="s">
        <v>997</v>
      </c>
      <c r="D2919">
        <v>7591</v>
      </c>
      <c r="E2919">
        <v>147</v>
      </c>
      <c r="F2919" t="s">
        <v>1289</v>
      </c>
      <c r="G2919" t="s">
        <v>1290</v>
      </c>
      <c r="H2919" s="315" t="s">
        <v>17</v>
      </c>
      <c r="I2919" s="315" t="s">
        <v>1286</v>
      </c>
      <c r="J2919" s="315" t="str">
        <f t="shared" si="246"/>
        <v>ServiceOther Expenses as % of Sales</v>
      </c>
      <c r="K2919" s="315" t="str">
        <f t="shared" si="247"/>
        <v>147Service Other expenses - Toyota</v>
      </c>
      <c r="L2919" s="311">
        <f>+SUMIF('TUNZ Extracted TB'!M:M,$P2919,'TUNZ Extracted TB'!G:G)</f>
        <v>0</v>
      </c>
      <c r="M2919" s="311"/>
      <c r="N2919" s="311">
        <f>+SUMIF('Input Sheet'!$AE:$AE,P2919,'Input Sheet'!$X:$X)</f>
        <v>0</v>
      </c>
      <c r="O2919" s="311"/>
      <c r="P2919" t="str">
        <f t="shared" si="248"/>
        <v>147-7591</v>
      </c>
      <c r="Q2919" s="315" t="str">
        <f t="shared" si="249"/>
        <v>Service</v>
      </c>
      <c r="R2919" s="315" t="str">
        <f t="shared" si="250"/>
        <v>ServiceOther Expenses as % of Sales</v>
      </c>
      <c r="S2919" s="199"/>
      <c r="T2919" s="199"/>
      <c r="U2919" s="199"/>
    </row>
    <row r="2920" spans="1:21" x14ac:dyDescent="0.25">
      <c r="A2920" t="s">
        <v>996</v>
      </c>
      <c r="B2920" t="s">
        <v>997</v>
      </c>
      <c r="C2920" t="s">
        <v>1005</v>
      </c>
      <c r="D2920">
        <v>7591</v>
      </c>
      <c r="E2920">
        <v>210</v>
      </c>
      <c r="F2920" t="s">
        <v>1165</v>
      </c>
      <c r="G2920" t="s">
        <v>1166</v>
      </c>
      <c r="H2920" s="315" t="s">
        <v>30</v>
      </c>
      <c r="I2920" s="315" t="s">
        <v>1167</v>
      </c>
      <c r="J2920" s="315" t="str">
        <f t="shared" si="246"/>
        <v>Used VehicleOther Variable expenses per retail</v>
      </c>
      <c r="K2920" s="315" t="str">
        <f t="shared" si="247"/>
        <v>210Toyota UV Other Variable expense</v>
      </c>
      <c r="L2920" s="311">
        <f>+SUMIF('TUNZ Extracted TB'!M:M,$P2920,'TUNZ Extracted TB'!G:G)</f>
        <v>0</v>
      </c>
      <c r="M2920" s="311"/>
      <c r="N2920" s="311">
        <f>+SUMIF('Input Sheet'!$AE:$AE,P2920,'Input Sheet'!$X:$X)</f>
        <v>0</v>
      </c>
      <c r="O2920" s="311"/>
      <c r="P2920" t="str">
        <f t="shared" si="248"/>
        <v>210-7591</v>
      </c>
      <c r="Q2920" s="315" t="str">
        <f t="shared" si="249"/>
        <v>Used Vehicle</v>
      </c>
      <c r="R2920" s="315" t="str">
        <f t="shared" si="250"/>
        <v>Used VehicleOther Variable expenses per retail</v>
      </c>
      <c r="S2920" s="199"/>
      <c r="T2920" s="199"/>
      <c r="U2920" s="199"/>
    </row>
    <row r="2921" spans="1:21" x14ac:dyDescent="0.25">
      <c r="A2921" t="s">
        <v>996</v>
      </c>
      <c r="B2921" t="s">
        <v>997</v>
      </c>
      <c r="C2921" t="s">
        <v>1005</v>
      </c>
      <c r="D2921">
        <v>7591</v>
      </c>
      <c r="E2921">
        <v>220</v>
      </c>
      <c r="F2921" t="s">
        <v>1165</v>
      </c>
      <c r="G2921" t="s">
        <v>1166</v>
      </c>
      <c r="H2921" s="315" t="s">
        <v>30</v>
      </c>
      <c r="I2921" s="315" t="s">
        <v>1167</v>
      </c>
      <c r="J2921" s="315" t="str">
        <f t="shared" si="246"/>
        <v>Used VehicleOther Variable expenses per retail</v>
      </c>
      <c r="K2921" s="315" t="str">
        <f t="shared" si="247"/>
        <v>220Toyota UV Other Variable expense</v>
      </c>
      <c r="L2921" s="311">
        <f>+SUMIF('TUNZ Extracted TB'!M:M,$P2921,'TUNZ Extracted TB'!G:G)</f>
        <v>0</v>
      </c>
      <c r="M2921" s="311"/>
      <c r="N2921" s="311">
        <f>+SUMIF('Input Sheet'!$AE:$AE,P2921,'Input Sheet'!$X:$X)</f>
        <v>0</v>
      </c>
      <c r="O2921" s="311"/>
      <c r="P2921" t="str">
        <f t="shared" si="248"/>
        <v>220-7591</v>
      </c>
      <c r="Q2921" s="315" t="str">
        <f t="shared" si="249"/>
        <v>Used Vehicle</v>
      </c>
      <c r="R2921" s="315" t="str">
        <f t="shared" si="250"/>
        <v>Used VehicleOther Variable expenses per retail</v>
      </c>
      <c r="S2921" s="199"/>
      <c r="T2921" s="199"/>
      <c r="U2921" s="199"/>
    </row>
    <row r="2922" spans="1:21" x14ac:dyDescent="0.25">
      <c r="A2922" t="s">
        <v>996</v>
      </c>
      <c r="B2922" t="s">
        <v>997</v>
      </c>
      <c r="C2922" t="s">
        <v>997</v>
      </c>
      <c r="D2922">
        <v>7591</v>
      </c>
      <c r="E2922">
        <v>132</v>
      </c>
      <c r="F2922" t="s">
        <v>1211</v>
      </c>
      <c r="G2922" t="s">
        <v>1212</v>
      </c>
      <c r="H2922" s="315" t="s">
        <v>143</v>
      </c>
      <c r="I2922" s="315" t="s">
        <v>1209</v>
      </c>
      <c r="J2922" s="315" t="str">
        <f t="shared" si="246"/>
        <v>LEX PartsTrade Sales Gross Profit % of Sales</v>
      </c>
      <c r="K2922" s="315" t="str">
        <f t="shared" si="247"/>
        <v>132Parts Trade COS - Lexus</v>
      </c>
      <c r="L2922" s="311">
        <f>+SUMIF('TUNZ Extracted TB'!M:M,$P2922,'TUNZ Extracted TB'!G:G)</f>
        <v>0</v>
      </c>
      <c r="M2922" s="311"/>
      <c r="N2922" s="311">
        <f>+SUMIF('Input Sheet'!$AE:$AE,P2922,'Input Sheet'!$X:$X)</f>
        <v>0</v>
      </c>
      <c r="O2922" s="311"/>
      <c r="P2922" t="str">
        <f t="shared" si="248"/>
        <v>132-7591</v>
      </c>
      <c r="Q2922" s="315" t="str">
        <f t="shared" si="249"/>
        <v>LEX Parts</v>
      </c>
      <c r="R2922" s="315" t="str">
        <f t="shared" si="250"/>
        <v>LEX PartsTrade Sales Gross Profit % of Sales</v>
      </c>
      <c r="S2922" s="199"/>
      <c r="T2922" s="199"/>
      <c r="U2922" s="199"/>
    </row>
    <row r="2923" spans="1:21" x14ac:dyDescent="0.25">
      <c r="A2923" t="s">
        <v>996</v>
      </c>
      <c r="B2923" t="s">
        <v>997</v>
      </c>
      <c r="C2923" t="s">
        <v>997</v>
      </c>
      <c r="D2923">
        <v>7591</v>
      </c>
      <c r="E2923">
        <v>130</v>
      </c>
      <c r="F2923" t="s">
        <v>1207</v>
      </c>
      <c r="G2923" t="s">
        <v>1208</v>
      </c>
      <c r="H2923" s="315" t="s">
        <v>5</v>
      </c>
      <c r="I2923" s="315" t="s">
        <v>1209</v>
      </c>
      <c r="J2923" s="315" t="str">
        <f t="shared" si="246"/>
        <v>PartsTrade Sales Gross Profit % of Sales</v>
      </c>
      <c r="K2923" s="315" t="str">
        <f t="shared" si="247"/>
        <v>130Parts Trade COS - Toyota</v>
      </c>
      <c r="L2923" s="311">
        <f>+SUMIF('TUNZ Extracted TB'!M:M,$P2923,'TUNZ Extracted TB'!G:G)</f>
        <v>0</v>
      </c>
      <c r="M2923" s="311"/>
      <c r="N2923" s="311">
        <f>+SUMIF('Input Sheet'!$AE:$AE,P2923,'Input Sheet'!$X:$X)</f>
        <v>0</v>
      </c>
      <c r="O2923" s="311"/>
      <c r="P2923" t="str">
        <f t="shared" si="248"/>
        <v>130-7591</v>
      </c>
      <c r="Q2923" s="315" t="str">
        <f t="shared" si="249"/>
        <v>Parts</v>
      </c>
      <c r="R2923" s="315" t="str">
        <f t="shared" si="250"/>
        <v>PartsTrade Sales Gross Profit % of Sales</v>
      </c>
      <c r="S2923" s="199"/>
      <c r="T2923" s="199"/>
      <c r="U2923" s="199"/>
    </row>
    <row r="2924" spans="1:21" x14ac:dyDescent="0.25">
      <c r="A2924" t="s">
        <v>996</v>
      </c>
      <c r="B2924" t="s">
        <v>997</v>
      </c>
      <c r="C2924" t="s">
        <v>1012</v>
      </c>
      <c r="D2924">
        <v>7630</v>
      </c>
      <c r="E2924">
        <v>400</v>
      </c>
      <c r="F2924" t="s">
        <v>1332</v>
      </c>
      <c r="G2924" t="s">
        <v>1333</v>
      </c>
      <c r="H2924" s="315" t="s">
        <v>29</v>
      </c>
      <c r="I2924" s="315" t="s">
        <v>1314</v>
      </c>
      <c r="J2924" s="315" t="str">
        <f t="shared" si="246"/>
        <v>New VehicleDemo Expenses (incl. interest) p.u.</v>
      </c>
      <c r="K2924" s="315" t="str">
        <f t="shared" si="247"/>
        <v>400NV Toyota Interest expense</v>
      </c>
      <c r="L2924" s="311">
        <f>+SUMIF('TUNZ Extracted TB'!M:M,$P2924,'TUNZ Extracted TB'!G:G)</f>
        <v>0</v>
      </c>
      <c r="M2924" s="311"/>
      <c r="N2924" s="311">
        <f>+SUMIF('Input Sheet'!$AE:$AE,P2924,'Input Sheet'!$X:$X)</f>
        <v>0</v>
      </c>
      <c r="O2924" s="311"/>
      <c r="P2924" t="str">
        <f t="shared" si="248"/>
        <v>400-7630</v>
      </c>
      <c r="Q2924" s="315" t="str">
        <f t="shared" si="249"/>
        <v>New Vehicle</v>
      </c>
      <c r="R2924" s="315" t="str">
        <f t="shared" si="250"/>
        <v>New VehicleDemo Expenses (incl. interest) p.u.</v>
      </c>
      <c r="S2924" s="199"/>
      <c r="T2924" s="199"/>
      <c r="U2924" s="199"/>
    </row>
    <row r="2925" spans="1:21" x14ac:dyDescent="0.25">
      <c r="A2925" t="s">
        <v>996</v>
      </c>
      <c r="B2925" t="s">
        <v>997</v>
      </c>
      <c r="C2925" t="s">
        <v>1005</v>
      </c>
      <c r="D2925">
        <v>7592</v>
      </c>
      <c r="E2925">
        <v>230</v>
      </c>
      <c r="F2925" t="s">
        <v>1207</v>
      </c>
      <c r="G2925" t="s">
        <v>1208</v>
      </c>
      <c r="H2925" s="315" t="s">
        <v>5</v>
      </c>
      <c r="I2925" s="315" t="s">
        <v>1209</v>
      </c>
      <c r="J2925" s="315" t="str">
        <f t="shared" si="246"/>
        <v>PartsTrade Sales Gross Profit % of Sales</v>
      </c>
      <c r="K2925" s="315" t="str">
        <f t="shared" si="247"/>
        <v>230Parts Trade COS - Toyota</v>
      </c>
      <c r="L2925" s="311">
        <f>+SUMIF('TUNZ Extracted TB'!M:M,$P2925,'TUNZ Extracted TB'!G:G)</f>
        <v>2365.71</v>
      </c>
      <c r="M2925" s="311"/>
      <c r="N2925" s="311">
        <f>+SUMIF('Input Sheet'!$AE:$AE,P2925,'Input Sheet'!$X:$X)</f>
        <v>0</v>
      </c>
      <c r="O2925" s="311"/>
      <c r="P2925" t="str">
        <f t="shared" si="248"/>
        <v>230-7592</v>
      </c>
      <c r="Q2925" s="315" t="str">
        <f t="shared" si="249"/>
        <v>Parts</v>
      </c>
      <c r="R2925" s="315" t="str">
        <f t="shared" si="250"/>
        <v>PartsTrade Sales Gross Profit % of Sales</v>
      </c>
      <c r="S2925" s="199"/>
      <c r="T2925" s="199"/>
      <c r="U2925" s="199"/>
    </row>
    <row r="2926" spans="1:21" x14ac:dyDescent="0.25">
      <c r="A2926" t="s">
        <v>996</v>
      </c>
      <c r="B2926" t="s">
        <v>997</v>
      </c>
      <c r="C2926" t="s">
        <v>1013</v>
      </c>
      <c r="D2926">
        <v>7592</v>
      </c>
      <c r="E2926">
        <v>330</v>
      </c>
      <c r="F2926" t="s">
        <v>1207</v>
      </c>
      <c r="G2926" t="s">
        <v>1208</v>
      </c>
      <c r="H2926" s="315" t="s">
        <v>5</v>
      </c>
      <c r="I2926" s="315" t="s">
        <v>1209</v>
      </c>
      <c r="J2926" s="315" t="str">
        <f t="shared" si="246"/>
        <v>PartsTrade Sales Gross Profit % of Sales</v>
      </c>
      <c r="K2926" s="315" t="str">
        <f t="shared" si="247"/>
        <v>330Parts Trade COS - Toyota</v>
      </c>
      <c r="L2926" s="311">
        <f>+SUMIF('TUNZ Extracted TB'!M:M,$P2926,'TUNZ Extracted TB'!G:G)</f>
        <v>2218.0300000000002</v>
      </c>
      <c r="M2926" s="311"/>
      <c r="N2926" s="311">
        <f>+SUMIF('Input Sheet'!$AE:$AE,P2926,'Input Sheet'!$X:$X)</f>
        <v>0</v>
      </c>
      <c r="O2926" s="311"/>
      <c r="P2926" t="str">
        <f t="shared" si="248"/>
        <v>330-7592</v>
      </c>
      <c r="Q2926" s="315" t="str">
        <f t="shared" si="249"/>
        <v>Parts</v>
      </c>
      <c r="R2926" s="315" t="str">
        <f t="shared" si="250"/>
        <v>PartsTrade Sales Gross Profit % of Sales</v>
      </c>
      <c r="S2926" s="199"/>
      <c r="T2926" s="199"/>
      <c r="U2926" s="199"/>
    </row>
    <row r="2927" spans="1:21" x14ac:dyDescent="0.25">
      <c r="A2927" t="s">
        <v>996</v>
      </c>
      <c r="B2927" t="s">
        <v>997</v>
      </c>
      <c r="C2927" t="s">
        <v>1012</v>
      </c>
      <c r="D2927">
        <v>7592</v>
      </c>
      <c r="E2927">
        <v>430</v>
      </c>
      <c r="F2927" t="s">
        <v>1207</v>
      </c>
      <c r="G2927" t="s">
        <v>1208</v>
      </c>
      <c r="H2927" s="315" t="s">
        <v>5</v>
      </c>
      <c r="I2927" s="315" t="s">
        <v>1209</v>
      </c>
      <c r="J2927" s="315" t="str">
        <f t="shared" si="246"/>
        <v>PartsTrade Sales Gross Profit % of Sales</v>
      </c>
      <c r="K2927" s="315" t="str">
        <f t="shared" si="247"/>
        <v>430Parts Trade COS - Toyota</v>
      </c>
      <c r="L2927" s="311">
        <f>+SUMIF('TUNZ Extracted TB'!M:M,$P2927,'TUNZ Extracted TB'!G:G)</f>
        <v>2082.88</v>
      </c>
      <c r="M2927" s="311"/>
      <c r="N2927" s="311">
        <f>+SUMIF('Input Sheet'!$AE:$AE,P2927,'Input Sheet'!$X:$X)</f>
        <v>0</v>
      </c>
      <c r="O2927" s="311"/>
      <c r="P2927" t="str">
        <f t="shared" si="248"/>
        <v>430-7592</v>
      </c>
      <c r="Q2927" s="315" t="str">
        <f t="shared" si="249"/>
        <v>Parts</v>
      </c>
      <c r="R2927" s="315" t="str">
        <f t="shared" si="250"/>
        <v>PartsTrade Sales Gross Profit % of Sales</v>
      </c>
      <c r="S2927" s="199"/>
      <c r="T2927" s="199"/>
      <c r="U2927" s="199"/>
    </row>
    <row r="2928" spans="1:21" x14ac:dyDescent="0.25">
      <c r="A2928" t="s">
        <v>996</v>
      </c>
      <c r="B2928" t="s">
        <v>997</v>
      </c>
      <c r="C2928" t="s">
        <v>997</v>
      </c>
      <c r="D2928">
        <v>7592</v>
      </c>
      <c r="E2928">
        <v>170</v>
      </c>
      <c r="F2928" t="s">
        <v>998</v>
      </c>
      <c r="G2928" t="s">
        <v>999</v>
      </c>
      <c r="H2928" s="315" t="s">
        <v>1000</v>
      </c>
      <c r="I2928" s="315" t="s">
        <v>1001</v>
      </c>
      <c r="J2928" s="315" t="str">
        <f t="shared" si="246"/>
        <v>Admin &amp; OtherOther Overheads as % of Total Gross Profit</v>
      </c>
      <c r="K2928" s="315" t="str">
        <f t="shared" si="247"/>
        <v>170Miscellaneous expenses - Toyota</v>
      </c>
      <c r="L2928" s="311">
        <f>+SUMIF('TUNZ Extracted TB'!M:M,$P2928,'TUNZ Extracted TB'!G:G)</f>
        <v>0</v>
      </c>
      <c r="M2928" s="311"/>
      <c r="N2928" s="311">
        <f>+SUMIF('Input Sheet'!$AE:$AE,P2928,'Input Sheet'!$X:$X)</f>
        <v>0</v>
      </c>
      <c r="O2928" s="311"/>
      <c r="P2928" t="str">
        <f t="shared" si="248"/>
        <v>170-7592</v>
      </c>
      <c r="Q2928" s="315" t="str">
        <f t="shared" si="249"/>
        <v>Admin &amp; Other</v>
      </c>
      <c r="R2928" s="315" t="str">
        <f t="shared" si="250"/>
        <v>Admin &amp; OtherOther Overheads as % of Total Gross Profit</v>
      </c>
      <c r="S2928" s="199"/>
      <c r="T2928" s="199"/>
      <c r="U2928" s="199"/>
    </row>
    <row r="2929" spans="1:21" x14ac:dyDescent="0.25">
      <c r="A2929" t="s">
        <v>996</v>
      </c>
      <c r="B2929" t="s">
        <v>997</v>
      </c>
      <c r="C2929" t="s">
        <v>1012</v>
      </c>
      <c r="D2929">
        <v>7630</v>
      </c>
      <c r="E2929">
        <v>410</v>
      </c>
      <c r="F2929" t="s">
        <v>1332</v>
      </c>
      <c r="G2929" t="s">
        <v>1333</v>
      </c>
      <c r="H2929" s="315" t="s">
        <v>29</v>
      </c>
      <c r="I2929" s="315" t="s">
        <v>1314</v>
      </c>
      <c r="J2929" s="315" t="str">
        <f t="shared" si="246"/>
        <v>New VehicleDemo Expenses (incl. interest) p.u.</v>
      </c>
      <c r="K2929" s="315" t="str">
        <f t="shared" si="247"/>
        <v>410NV Toyota Interest expense</v>
      </c>
      <c r="L2929" s="311">
        <f>+SUMIF('TUNZ Extracted TB'!M:M,$P2929,'TUNZ Extracted TB'!G:G)</f>
        <v>0</v>
      </c>
      <c r="M2929" s="311"/>
      <c r="N2929" s="311">
        <f>+SUMIF('Input Sheet'!$AE:$AE,P2929,'Input Sheet'!$X:$X)</f>
        <v>0</v>
      </c>
      <c r="O2929" s="311"/>
      <c r="P2929" t="str">
        <f t="shared" si="248"/>
        <v>410-7630</v>
      </c>
      <c r="Q2929" s="315" t="str">
        <f t="shared" si="249"/>
        <v>New Vehicle</v>
      </c>
      <c r="R2929" s="315" t="str">
        <f t="shared" si="250"/>
        <v>New VehicleDemo Expenses (incl. interest) p.u.</v>
      </c>
      <c r="S2929" s="199"/>
      <c r="T2929" s="199"/>
      <c r="U2929" s="199"/>
    </row>
    <row r="2930" spans="1:21" x14ac:dyDescent="0.25">
      <c r="A2930" t="s">
        <v>996</v>
      </c>
      <c r="B2930" t="s">
        <v>997</v>
      </c>
      <c r="C2930" t="s">
        <v>997</v>
      </c>
      <c r="D2930">
        <v>7592</v>
      </c>
      <c r="E2930">
        <v>147</v>
      </c>
      <c r="F2930" t="s">
        <v>1289</v>
      </c>
      <c r="G2930" t="s">
        <v>1290</v>
      </c>
      <c r="H2930" s="315" t="s">
        <v>17</v>
      </c>
      <c r="I2930" s="315" t="s">
        <v>1286</v>
      </c>
      <c r="J2930" s="315" t="str">
        <f t="shared" si="246"/>
        <v>ServiceOther Expenses as % of Sales</v>
      </c>
      <c r="K2930" s="315" t="str">
        <f t="shared" si="247"/>
        <v>147Service Other expenses - Toyota</v>
      </c>
      <c r="L2930" s="311">
        <f>+SUMIF('TUNZ Extracted TB'!M:M,$P2930,'TUNZ Extracted TB'!G:G)</f>
        <v>0</v>
      </c>
      <c r="M2930" s="311"/>
      <c r="N2930" s="311">
        <f>+SUMIF('Input Sheet'!$AE:$AE,P2930,'Input Sheet'!$X:$X)</f>
        <v>0</v>
      </c>
      <c r="O2930" s="311"/>
      <c r="P2930" t="str">
        <f t="shared" si="248"/>
        <v>147-7592</v>
      </c>
      <c r="Q2930" s="315" t="str">
        <f t="shared" si="249"/>
        <v>Service</v>
      </c>
      <c r="R2930" s="315" t="str">
        <f t="shared" si="250"/>
        <v>ServiceOther Expenses as % of Sales</v>
      </c>
      <c r="S2930" s="199"/>
      <c r="T2930" s="199"/>
      <c r="U2930" s="199"/>
    </row>
    <row r="2931" spans="1:21" x14ac:dyDescent="0.25">
      <c r="A2931" t="s">
        <v>996</v>
      </c>
      <c r="B2931" t="s">
        <v>997</v>
      </c>
      <c r="C2931" t="s">
        <v>1005</v>
      </c>
      <c r="D2931">
        <v>7592</v>
      </c>
      <c r="E2931">
        <v>220</v>
      </c>
      <c r="F2931" t="s">
        <v>1328</v>
      </c>
      <c r="G2931" t="s">
        <v>1329</v>
      </c>
      <c r="H2931" s="315" t="s">
        <v>30</v>
      </c>
      <c r="I2931" s="315" t="s">
        <v>1327</v>
      </c>
      <c r="J2931" s="315" t="str">
        <f t="shared" si="246"/>
        <v>Used VehicleOther Semi-Fixed expenses per retail</v>
      </c>
      <c r="K2931" s="315" t="str">
        <f t="shared" si="247"/>
        <v>220Toyota UV Other Semi-Fixed expenses</v>
      </c>
      <c r="L2931" s="311">
        <f>+SUMIF('TUNZ Extracted TB'!M:M,$P2931,'TUNZ Extracted TB'!G:G)</f>
        <v>0</v>
      </c>
      <c r="M2931" s="311"/>
      <c r="N2931" s="311">
        <f>+SUMIF('Input Sheet'!$AE:$AE,P2931,'Input Sheet'!$X:$X)</f>
        <v>0</v>
      </c>
      <c r="O2931" s="311"/>
      <c r="P2931" t="str">
        <f t="shared" si="248"/>
        <v>220-7592</v>
      </c>
      <c r="Q2931" s="315" t="str">
        <f t="shared" si="249"/>
        <v>Used Vehicle</v>
      </c>
      <c r="R2931" s="315" t="str">
        <f t="shared" si="250"/>
        <v>Used VehicleOther Semi-Fixed expenses per retail</v>
      </c>
      <c r="S2931" s="199"/>
      <c r="T2931" s="199"/>
      <c r="U2931" s="199"/>
    </row>
    <row r="2932" spans="1:21" x14ac:dyDescent="0.25">
      <c r="A2932" t="s">
        <v>996</v>
      </c>
      <c r="B2932" t="s">
        <v>997</v>
      </c>
      <c r="C2932" t="s">
        <v>1012</v>
      </c>
      <c r="D2932">
        <v>7592</v>
      </c>
      <c r="E2932">
        <v>410</v>
      </c>
      <c r="F2932" t="s">
        <v>1328</v>
      </c>
      <c r="G2932" t="s">
        <v>1329</v>
      </c>
      <c r="H2932" s="315" t="s">
        <v>30</v>
      </c>
      <c r="I2932" s="315" t="s">
        <v>1327</v>
      </c>
      <c r="J2932" s="315" t="str">
        <f t="shared" si="246"/>
        <v>Used VehicleOther Semi-Fixed expenses per retail</v>
      </c>
      <c r="K2932" s="315" t="str">
        <f t="shared" si="247"/>
        <v>410Toyota UV Other Semi-Fixed expenses</v>
      </c>
      <c r="L2932" s="311">
        <f>+SUMIF('TUNZ Extracted TB'!M:M,$P2932,'TUNZ Extracted TB'!G:G)</f>
        <v>0</v>
      </c>
      <c r="M2932" s="311"/>
      <c r="N2932" s="311">
        <f>+SUMIF('Input Sheet'!$AE:$AE,P2932,'Input Sheet'!$X:$X)</f>
        <v>0</v>
      </c>
      <c r="O2932" s="311"/>
      <c r="P2932" t="str">
        <f t="shared" si="248"/>
        <v>410-7592</v>
      </c>
      <c r="Q2932" s="315" t="str">
        <f t="shared" si="249"/>
        <v>Used Vehicle</v>
      </c>
      <c r="R2932" s="315" t="str">
        <f t="shared" si="250"/>
        <v>Used VehicleOther Semi-Fixed expenses per retail</v>
      </c>
      <c r="S2932" s="199"/>
      <c r="T2932" s="199"/>
      <c r="U2932" s="199"/>
    </row>
    <row r="2933" spans="1:21" x14ac:dyDescent="0.25">
      <c r="A2933" t="s">
        <v>996</v>
      </c>
      <c r="B2933" t="s">
        <v>997</v>
      </c>
      <c r="C2933" t="s">
        <v>997</v>
      </c>
      <c r="D2933">
        <v>7592</v>
      </c>
      <c r="E2933">
        <v>130</v>
      </c>
      <c r="F2933" t="s">
        <v>1207</v>
      </c>
      <c r="G2933" t="s">
        <v>1208</v>
      </c>
      <c r="H2933" s="315" t="s">
        <v>5</v>
      </c>
      <c r="I2933" s="315" t="s">
        <v>1209</v>
      </c>
      <c r="J2933" s="315" t="str">
        <f t="shared" si="246"/>
        <v>PartsTrade Sales Gross Profit % of Sales</v>
      </c>
      <c r="K2933" s="315" t="str">
        <f t="shared" si="247"/>
        <v>130Parts Trade COS - Toyota</v>
      </c>
      <c r="L2933" s="311">
        <f>+SUMIF('TUNZ Extracted TB'!M:M,$P2933,'TUNZ Extracted TB'!G:G)</f>
        <v>6670.26</v>
      </c>
      <c r="M2933" s="311"/>
      <c r="N2933" s="311">
        <f>+SUMIF('Input Sheet'!$AE:$AE,P2933,'Input Sheet'!$X:$X)</f>
        <v>0</v>
      </c>
      <c r="O2933" s="311"/>
      <c r="P2933" t="str">
        <f t="shared" si="248"/>
        <v>130-7592</v>
      </c>
      <c r="Q2933" s="315" t="str">
        <f t="shared" si="249"/>
        <v>Parts</v>
      </c>
      <c r="R2933" s="315" t="str">
        <f t="shared" si="250"/>
        <v>PartsTrade Sales Gross Profit % of Sales</v>
      </c>
      <c r="S2933" s="199"/>
      <c r="T2933" s="199"/>
      <c r="U2933" s="199"/>
    </row>
    <row r="2934" spans="1:21" x14ac:dyDescent="0.25">
      <c r="A2934" t="s">
        <v>996</v>
      </c>
      <c r="B2934" t="s">
        <v>997</v>
      </c>
      <c r="C2934" t="s">
        <v>997</v>
      </c>
      <c r="D2934">
        <v>7592</v>
      </c>
      <c r="E2934">
        <v>132</v>
      </c>
      <c r="F2934" t="s">
        <v>1321</v>
      </c>
      <c r="G2934" t="s">
        <v>1322</v>
      </c>
      <c r="H2934" s="315" t="s">
        <v>143</v>
      </c>
      <c r="I2934" s="315" t="s">
        <v>1209</v>
      </c>
      <c r="J2934" s="315" t="str">
        <f t="shared" si="246"/>
        <v>LEX PartsTrade Sales Gross Profit % of Sales</v>
      </c>
      <c r="K2934" s="315" t="str">
        <f t="shared" si="247"/>
        <v>132Parts Other Expenses - Lexus</v>
      </c>
      <c r="L2934" s="311">
        <f>+SUMIF('TUNZ Extracted TB'!M:M,$P2934,'TUNZ Extracted TB'!G:G)</f>
        <v>0</v>
      </c>
      <c r="M2934" s="311"/>
      <c r="N2934" s="311">
        <f>+SUMIF('Input Sheet'!$AE:$AE,P2934,'Input Sheet'!$X:$X)</f>
        <v>0</v>
      </c>
      <c r="O2934" s="311"/>
      <c r="P2934" t="str">
        <f t="shared" si="248"/>
        <v>132-7592</v>
      </c>
      <c r="Q2934" s="315" t="str">
        <f t="shared" si="249"/>
        <v>LEX Parts</v>
      </c>
      <c r="R2934" s="315" t="str">
        <f t="shared" si="250"/>
        <v>LEX PartsTrade Sales Gross Profit % of Sales</v>
      </c>
      <c r="S2934" s="199"/>
      <c r="T2934" s="199"/>
      <c r="U2934" s="199"/>
    </row>
    <row r="2935" spans="1:21" x14ac:dyDescent="0.25">
      <c r="A2935" s="316">
        <v>44866</v>
      </c>
      <c r="B2935" t="s">
        <v>997</v>
      </c>
      <c r="C2935" t="s">
        <v>997</v>
      </c>
      <c r="D2935">
        <v>7610</v>
      </c>
      <c r="E2935">
        <v>190</v>
      </c>
      <c r="G2935" t="s">
        <v>128</v>
      </c>
      <c r="H2935" s="315" t="s">
        <v>1000</v>
      </c>
      <c r="I2935" s="315" t="s">
        <v>1336</v>
      </c>
      <c r="J2935" s="315" t="str">
        <f t="shared" si="246"/>
        <v>Admin &amp; Otherinterest &amp; Bank Charges as % of Total Gross Profit</v>
      </c>
      <c r="K2935" s="315" t="str">
        <f t="shared" si="247"/>
        <v>190Bank Charges</v>
      </c>
      <c r="L2935" s="311">
        <f>+SUMIF('TUNZ Extracted TB'!M:M,$P2935,'TUNZ Extracted TB'!G:G)</f>
        <v>0</v>
      </c>
      <c r="M2935" s="311"/>
      <c r="N2935" s="311">
        <f>+SUMIF('Input Sheet'!$AE:$AE,P2935,'Input Sheet'!$X:$X)</f>
        <v>0</v>
      </c>
      <c r="O2935" s="311"/>
      <c r="P2935" t="str">
        <f t="shared" si="248"/>
        <v>190-7610</v>
      </c>
      <c r="Q2935" s="315" t="str">
        <f t="shared" si="249"/>
        <v>Admin &amp; Other</v>
      </c>
      <c r="R2935" s="315" t="str">
        <f t="shared" si="250"/>
        <v>Admin &amp; Otherinterest &amp; Bank Charges as % of Total Gross Profit</v>
      </c>
      <c r="S2935" s="199"/>
      <c r="T2935" s="199"/>
      <c r="U2935" s="199"/>
    </row>
    <row r="2936" spans="1:21" x14ac:dyDescent="0.25">
      <c r="A2936" t="s">
        <v>996</v>
      </c>
      <c r="B2936" t="s">
        <v>997</v>
      </c>
      <c r="C2936" t="s">
        <v>997</v>
      </c>
      <c r="D2936">
        <v>7610</v>
      </c>
      <c r="E2936">
        <v>162</v>
      </c>
      <c r="F2936" t="s">
        <v>1334</v>
      </c>
      <c r="G2936" t="s">
        <v>1335</v>
      </c>
      <c r="H2936" s="315" t="s">
        <v>1023</v>
      </c>
      <c r="I2936" s="315" t="s">
        <v>1336</v>
      </c>
      <c r="J2936" s="315" t="str">
        <f t="shared" si="246"/>
        <v>LEX Admin &amp; Otherinterest &amp; Bank Charges as % of Total Gross Profit</v>
      </c>
      <c r="K2936" s="315" t="str">
        <f t="shared" si="247"/>
        <v>162Interest &amp; Bank Charges - Lexus</v>
      </c>
      <c r="L2936" s="311">
        <f>+SUMIF('TUNZ Extracted TB'!M:M,$P2936,'TUNZ Extracted TB'!G:G)</f>
        <v>0</v>
      </c>
      <c r="M2936" s="311"/>
      <c r="N2936" s="311">
        <f>+SUMIF('Input Sheet'!$AE:$AE,P2936,'Input Sheet'!$X:$X)</f>
        <v>0</v>
      </c>
      <c r="O2936" s="311"/>
      <c r="P2936" t="str">
        <f t="shared" si="248"/>
        <v>162-7610</v>
      </c>
      <c r="Q2936" s="315" t="str">
        <f t="shared" si="249"/>
        <v>LEX Admin &amp; Other</v>
      </c>
      <c r="R2936" s="315" t="str">
        <f t="shared" si="250"/>
        <v>LEX Admin &amp; Otherinterest &amp; Bank Charges as % of Total Gross Profit</v>
      </c>
      <c r="S2936" s="199"/>
      <c r="T2936" s="199"/>
      <c r="U2936" s="199"/>
    </row>
    <row r="2937" spans="1:21" x14ac:dyDescent="0.25">
      <c r="A2937" t="s">
        <v>996</v>
      </c>
      <c r="B2937" t="s">
        <v>997</v>
      </c>
      <c r="C2937" t="s">
        <v>1005</v>
      </c>
      <c r="D2937">
        <v>7610</v>
      </c>
      <c r="E2937">
        <v>170</v>
      </c>
      <c r="F2937" t="s">
        <v>1337</v>
      </c>
      <c r="G2937" t="s">
        <v>1338</v>
      </c>
      <c r="H2937" s="315" t="s">
        <v>1000</v>
      </c>
      <c r="I2937" s="315" t="s">
        <v>1336</v>
      </c>
      <c r="J2937" s="315" t="str">
        <f t="shared" si="246"/>
        <v>Admin &amp; Otherinterest &amp; Bank Charges as % of Total Gross Profit</v>
      </c>
      <c r="K2937" s="315" t="str">
        <f t="shared" si="247"/>
        <v>170Interest &amp; Bank Charges - Toyota</v>
      </c>
      <c r="L2937" s="311">
        <f>+SUMIF('TUNZ Extracted TB'!M:M,$P2937,'TUNZ Extracted TB'!G:G)</f>
        <v>0</v>
      </c>
      <c r="M2937" s="311"/>
      <c r="N2937" s="311">
        <f>+SUMIF('Input Sheet'!$AE:$AE,P2937,'Input Sheet'!$X:$X)</f>
        <v>0</v>
      </c>
      <c r="O2937" s="311"/>
      <c r="P2937" t="str">
        <f t="shared" si="248"/>
        <v>170-7610</v>
      </c>
      <c r="Q2937" s="315" t="str">
        <f t="shared" si="249"/>
        <v>Admin &amp; Other</v>
      </c>
      <c r="R2937" s="315" t="str">
        <f t="shared" si="250"/>
        <v>Admin &amp; Otherinterest &amp; Bank Charges as % of Total Gross Profit</v>
      </c>
      <c r="S2937" s="199"/>
      <c r="T2937" s="199"/>
      <c r="U2937" s="199"/>
    </row>
    <row r="2938" spans="1:21" x14ac:dyDescent="0.25">
      <c r="A2938" t="s">
        <v>996</v>
      </c>
      <c r="B2938" t="s">
        <v>997</v>
      </c>
      <c r="C2938" t="s">
        <v>1005</v>
      </c>
      <c r="D2938">
        <v>7610</v>
      </c>
      <c r="E2938">
        <v>200</v>
      </c>
      <c r="F2938" t="s">
        <v>1337</v>
      </c>
      <c r="G2938" t="s">
        <v>1338</v>
      </c>
      <c r="H2938" s="315" t="s">
        <v>1000</v>
      </c>
      <c r="I2938" s="315" t="s">
        <v>1336</v>
      </c>
      <c r="J2938" s="315" t="str">
        <f t="shared" si="246"/>
        <v>Admin &amp; Otherinterest &amp; Bank Charges as % of Total Gross Profit</v>
      </c>
      <c r="K2938" s="315" t="str">
        <f t="shared" si="247"/>
        <v>200Interest &amp; Bank Charges - Toyota</v>
      </c>
      <c r="L2938" s="311">
        <f>+SUMIF('TUNZ Extracted TB'!M:M,$P2938,'TUNZ Extracted TB'!G:G)</f>
        <v>0</v>
      </c>
      <c r="M2938" s="311"/>
      <c r="N2938" s="311">
        <f>+SUMIF('Input Sheet'!$AE:$AE,P2938,'Input Sheet'!$X:$X)</f>
        <v>0</v>
      </c>
      <c r="O2938" s="311"/>
      <c r="P2938" t="str">
        <f t="shared" si="248"/>
        <v>200-7610</v>
      </c>
      <c r="Q2938" s="315" t="str">
        <f t="shared" si="249"/>
        <v>Admin &amp; Other</v>
      </c>
      <c r="R2938" s="315" t="str">
        <f t="shared" si="250"/>
        <v>Admin &amp; Otherinterest &amp; Bank Charges as % of Total Gross Profit</v>
      </c>
      <c r="S2938" s="199"/>
      <c r="T2938" s="199"/>
      <c r="U2938" s="199"/>
    </row>
    <row r="2939" spans="1:21" x14ac:dyDescent="0.25">
      <c r="A2939" t="s">
        <v>996</v>
      </c>
      <c r="B2939" t="s">
        <v>997</v>
      </c>
      <c r="C2939" t="s">
        <v>1005</v>
      </c>
      <c r="D2939">
        <v>7610</v>
      </c>
      <c r="E2939">
        <v>221</v>
      </c>
      <c r="F2939" t="s">
        <v>1337</v>
      </c>
      <c r="G2939" t="s">
        <v>1338</v>
      </c>
      <c r="H2939" s="315" t="s">
        <v>1000</v>
      </c>
      <c r="I2939" s="315" t="s">
        <v>1336</v>
      </c>
      <c r="J2939" s="315" t="str">
        <f t="shared" si="246"/>
        <v>Admin &amp; Otherinterest &amp; Bank Charges as % of Total Gross Profit</v>
      </c>
      <c r="K2939" s="315" t="str">
        <f t="shared" si="247"/>
        <v>221Interest &amp; Bank Charges - Toyota</v>
      </c>
      <c r="L2939" s="311">
        <f>+SUMIF('TUNZ Extracted TB'!M:M,$P2939,'TUNZ Extracted TB'!G:G)</f>
        <v>0</v>
      </c>
      <c r="M2939" s="311"/>
      <c r="N2939" s="311">
        <f>+SUMIF('Input Sheet'!$AE:$AE,P2939,'Input Sheet'!$X:$X)</f>
        <v>0</v>
      </c>
      <c r="O2939" s="311"/>
      <c r="P2939" t="str">
        <f t="shared" si="248"/>
        <v>221-7610</v>
      </c>
      <c r="Q2939" s="315" t="str">
        <f t="shared" si="249"/>
        <v>Admin &amp; Other</v>
      </c>
      <c r="R2939" s="315" t="str">
        <f t="shared" si="250"/>
        <v>Admin &amp; Otherinterest &amp; Bank Charges as % of Total Gross Profit</v>
      </c>
      <c r="S2939" s="199"/>
      <c r="T2939" s="199"/>
      <c r="U2939" s="199"/>
    </row>
    <row r="2940" spans="1:21" x14ac:dyDescent="0.25">
      <c r="A2940" t="s">
        <v>996</v>
      </c>
      <c r="B2940" t="s">
        <v>997</v>
      </c>
      <c r="C2940" t="s">
        <v>1012</v>
      </c>
      <c r="D2940">
        <v>7610</v>
      </c>
      <c r="E2940">
        <v>400</v>
      </c>
      <c r="F2940" t="s">
        <v>1337</v>
      </c>
      <c r="G2940" t="s">
        <v>1338</v>
      </c>
      <c r="H2940" s="315" t="s">
        <v>1000</v>
      </c>
      <c r="I2940" s="315" t="s">
        <v>1336</v>
      </c>
      <c r="J2940" s="315" t="str">
        <f t="shared" si="246"/>
        <v>Admin &amp; Otherinterest &amp; Bank Charges as % of Total Gross Profit</v>
      </c>
      <c r="K2940" s="315" t="str">
        <f t="shared" si="247"/>
        <v>400Interest &amp; Bank Charges - Toyota</v>
      </c>
      <c r="L2940" s="311">
        <f>+SUMIF('TUNZ Extracted TB'!M:M,$P2940,'TUNZ Extracted TB'!G:G)</f>
        <v>0</v>
      </c>
      <c r="M2940" s="311"/>
      <c r="N2940" s="311">
        <f>+SUMIF('Input Sheet'!$AE:$AE,P2940,'Input Sheet'!$X:$X)</f>
        <v>0</v>
      </c>
      <c r="O2940" s="311"/>
      <c r="P2940" t="str">
        <f t="shared" si="248"/>
        <v>400-7610</v>
      </c>
      <c r="Q2940" s="315" t="str">
        <f t="shared" si="249"/>
        <v>Admin &amp; Other</v>
      </c>
      <c r="R2940" s="315" t="str">
        <f t="shared" si="250"/>
        <v>Admin &amp; Otherinterest &amp; Bank Charges as % of Total Gross Profit</v>
      </c>
      <c r="S2940" s="199"/>
      <c r="T2940" s="199"/>
      <c r="U2940" s="199"/>
    </row>
    <row r="2941" spans="1:21" x14ac:dyDescent="0.25">
      <c r="A2941" t="s">
        <v>996</v>
      </c>
      <c r="B2941" t="s">
        <v>997</v>
      </c>
      <c r="C2941" t="s">
        <v>1012</v>
      </c>
      <c r="D2941">
        <v>7610</v>
      </c>
      <c r="E2941">
        <v>410</v>
      </c>
      <c r="F2941" t="s">
        <v>1337</v>
      </c>
      <c r="G2941" t="s">
        <v>1338</v>
      </c>
      <c r="H2941" s="315" t="s">
        <v>1000</v>
      </c>
      <c r="I2941" s="315" t="s">
        <v>1336</v>
      </c>
      <c r="J2941" s="315" t="str">
        <f t="shared" si="246"/>
        <v>Admin &amp; Otherinterest &amp; Bank Charges as % of Total Gross Profit</v>
      </c>
      <c r="K2941" s="315" t="str">
        <f t="shared" si="247"/>
        <v>410Interest &amp; Bank Charges - Toyota</v>
      </c>
      <c r="L2941" s="311">
        <f>+SUMIF('TUNZ Extracted TB'!M:M,$P2941,'TUNZ Extracted TB'!G:G)</f>
        <v>0</v>
      </c>
      <c r="M2941" s="311"/>
      <c r="N2941" s="311">
        <f>+SUMIF('Input Sheet'!$AE:$AE,P2941,'Input Sheet'!$X:$X)</f>
        <v>0</v>
      </c>
      <c r="O2941" s="311"/>
      <c r="P2941" t="str">
        <f t="shared" si="248"/>
        <v>410-7610</v>
      </c>
      <c r="Q2941" s="315" t="str">
        <f t="shared" si="249"/>
        <v>Admin &amp; Other</v>
      </c>
      <c r="R2941" s="315" t="str">
        <f t="shared" si="250"/>
        <v>Admin &amp; Otherinterest &amp; Bank Charges as % of Total Gross Profit</v>
      </c>
      <c r="S2941" s="199"/>
      <c r="T2941" s="199"/>
      <c r="U2941" s="199"/>
    </row>
    <row r="2942" spans="1:21" x14ac:dyDescent="0.25">
      <c r="A2942" t="s">
        <v>996</v>
      </c>
      <c r="B2942" t="s">
        <v>997</v>
      </c>
      <c r="C2942" t="s">
        <v>1012</v>
      </c>
      <c r="D2942">
        <v>7610</v>
      </c>
      <c r="E2942">
        <v>420</v>
      </c>
      <c r="F2942" t="s">
        <v>1337</v>
      </c>
      <c r="G2942" t="s">
        <v>1338</v>
      </c>
      <c r="H2942" s="315" t="s">
        <v>1000</v>
      </c>
      <c r="I2942" s="315" t="s">
        <v>1336</v>
      </c>
      <c r="J2942" s="315" t="str">
        <f t="shared" si="246"/>
        <v>Admin &amp; Otherinterest &amp; Bank Charges as % of Total Gross Profit</v>
      </c>
      <c r="K2942" s="315" t="str">
        <f t="shared" si="247"/>
        <v>420Interest &amp; Bank Charges - Toyota</v>
      </c>
      <c r="L2942" s="311">
        <f>+SUMIF('TUNZ Extracted TB'!M:M,$P2942,'TUNZ Extracted TB'!G:G)</f>
        <v>0</v>
      </c>
      <c r="M2942" s="311"/>
      <c r="N2942" s="311">
        <f>+SUMIF('Input Sheet'!$AE:$AE,P2942,'Input Sheet'!$X:$X)</f>
        <v>0</v>
      </c>
      <c r="O2942" s="311"/>
      <c r="P2942" t="str">
        <f t="shared" si="248"/>
        <v>420-7610</v>
      </c>
      <c r="Q2942" s="315" t="str">
        <f t="shared" si="249"/>
        <v>Admin &amp; Other</v>
      </c>
      <c r="R2942" s="315" t="str">
        <f t="shared" si="250"/>
        <v>Admin &amp; Otherinterest &amp; Bank Charges as % of Total Gross Profit</v>
      </c>
      <c r="S2942" s="199"/>
      <c r="T2942" s="199"/>
      <c r="U2942" s="199"/>
    </row>
    <row r="2943" spans="1:21" x14ac:dyDescent="0.25">
      <c r="A2943" t="s">
        <v>996</v>
      </c>
      <c r="B2943" t="s">
        <v>997</v>
      </c>
      <c r="C2943" t="s">
        <v>1012</v>
      </c>
      <c r="D2943">
        <v>7610</v>
      </c>
      <c r="E2943">
        <v>421</v>
      </c>
      <c r="F2943" t="s">
        <v>1337</v>
      </c>
      <c r="G2943" t="s">
        <v>1338</v>
      </c>
      <c r="H2943" s="315" t="s">
        <v>1000</v>
      </c>
      <c r="I2943" s="315" t="s">
        <v>1336</v>
      </c>
      <c r="J2943" s="315" t="str">
        <f t="shared" si="246"/>
        <v>Admin &amp; Otherinterest &amp; Bank Charges as % of Total Gross Profit</v>
      </c>
      <c r="K2943" s="315" t="str">
        <f t="shared" si="247"/>
        <v>421Interest &amp; Bank Charges - Toyota</v>
      </c>
      <c r="L2943" s="311">
        <f>+SUMIF('TUNZ Extracted TB'!M:M,$P2943,'TUNZ Extracted TB'!G:G)</f>
        <v>0</v>
      </c>
      <c r="M2943" s="311"/>
      <c r="N2943" s="311">
        <f>+SUMIF('Input Sheet'!$AE:$AE,P2943,'Input Sheet'!$X:$X)</f>
        <v>0</v>
      </c>
      <c r="O2943" s="311"/>
      <c r="P2943" t="str">
        <f t="shared" si="248"/>
        <v>421-7610</v>
      </c>
      <c r="Q2943" s="315" t="str">
        <f t="shared" si="249"/>
        <v>Admin &amp; Other</v>
      </c>
      <c r="R2943" s="315" t="str">
        <f t="shared" si="250"/>
        <v>Admin &amp; Otherinterest &amp; Bank Charges as % of Total Gross Profit</v>
      </c>
      <c r="S2943" s="199"/>
      <c r="T2943" s="199"/>
      <c r="U2943" s="199"/>
    </row>
    <row r="2944" spans="1:21" x14ac:dyDescent="0.25">
      <c r="A2944" t="s">
        <v>996</v>
      </c>
      <c r="B2944" t="s">
        <v>997</v>
      </c>
      <c r="C2944" t="s">
        <v>1012</v>
      </c>
      <c r="D2944">
        <v>7610</v>
      </c>
      <c r="E2944">
        <v>460</v>
      </c>
      <c r="F2944" t="s">
        <v>1337</v>
      </c>
      <c r="G2944" t="s">
        <v>1338</v>
      </c>
      <c r="H2944" s="315" t="s">
        <v>1000</v>
      </c>
      <c r="I2944" s="315" t="s">
        <v>1336</v>
      </c>
      <c r="J2944" s="315" t="str">
        <f t="shared" si="246"/>
        <v>Admin &amp; Otherinterest &amp; Bank Charges as % of Total Gross Profit</v>
      </c>
      <c r="K2944" s="315" t="str">
        <f t="shared" si="247"/>
        <v>460Interest &amp; Bank Charges - Toyota</v>
      </c>
      <c r="L2944" s="311">
        <f>+SUMIF('TUNZ Extracted TB'!M:M,$P2944,'TUNZ Extracted TB'!G:G)</f>
        <v>0</v>
      </c>
      <c r="M2944" s="311"/>
      <c r="N2944" s="311">
        <f>+SUMIF('Input Sheet'!$AE:$AE,P2944,'Input Sheet'!$X:$X)</f>
        <v>0</v>
      </c>
      <c r="O2944" s="311"/>
      <c r="P2944" t="str">
        <f t="shared" si="248"/>
        <v>460-7610</v>
      </c>
      <c r="Q2944" s="315" t="str">
        <f t="shared" si="249"/>
        <v>Admin &amp; Other</v>
      </c>
      <c r="R2944" s="315" t="str">
        <f t="shared" si="250"/>
        <v>Admin &amp; Otherinterest &amp; Bank Charges as % of Total Gross Profit</v>
      </c>
      <c r="S2944" s="199"/>
      <c r="T2944" s="199"/>
      <c r="U2944" s="199"/>
    </row>
    <row r="2945" spans="1:21" x14ac:dyDescent="0.25">
      <c r="A2945" t="s">
        <v>996</v>
      </c>
      <c r="B2945" t="s">
        <v>997</v>
      </c>
      <c r="C2945" t="s">
        <v>1013</v>
      </c>
      <c r="D2945">
        <v>7610</v>
      </c>
      <c r="E2945">
        <v>300</v>
      </c>
      <c r="F2945" t="s">
        <v>1337</v>
      </c>
      <c r="G2945" t="s">
        <v>1338</v>
      </c>
      <c r="H2945" s="315" t="s">
        <v>1000</v>
      </c>
      <c r="I2945" s="315" t="s">
        <v>1336</v>
      </c>
      <c r="J2945" s="315" t="str">
        <f t="shared" si="246"/>
        <v>Admin &amp; Otherinterest &amp; Bank Charges as % of Total Gross Profit</v>
      </c>
      <c r="K2945" s="315" t="str">
        <f t="shared" si="247"/>
        <v>300Interest &amp; Bank Charges - Toyota</v>
      </c>
      <c r="L2945" s="311">
        <f>+SUMIF('TUNZ Extracted TB'!M:M,$P2945,'TUNZ Extracted TB'!G:G)</f>
        <v>0</v>
      </c>
      <c r="M2945" s="311"/>
      <c r="N2945" s="311">
        <f>+SUMIF('Input Sheet'!$AE:$AE,P2945,'Input Sheet'!$X:$X)</f>
        <v>0</v>
      </c>
      <c r="O2945" s="311"/>
      <c r="P2945" t="str">
        <f t="shared" si="248"/>
        <v>300-7610</v>
      </c>
      <c r="Q2945" s="315" t="str">
        <f t="shared" si="249"/>
        <v>Admin &amp; Other</v>
      </c>
      <c r="R2945" s="315" t="str">
        <f t="shared" si="250"/>
        <v>Admin &amp; Otherinterest &amp; Bank Charges as % of Total Gross Profit</v>
      </c>
      <c r="S2945" s="199"/>
      <c r="T2945" s="199"/>
      <c r="U2945" s="199"/>
    </row>
    <row r="2946" spans="1:21" x14ac:dyDescent="0.25">
      <c r="A2946" t="s">
        <v>996</v>
      </c>
      <c r="B2946" t="s">
        <v>997</v>
      </c>
      <c r="C2946" t="s">
        <v>1013</v>
      </c>
      <c r="D2946">
        <v>7610</v>
      </c>
      <c r="E2946">
        <v>310</v>
      </c>
      <c r="F2946" t="s">
        <v>1337</v>
      </c>
      <c r="G2946" t="s">
        <v>1338</v>
      </c>
      <c r="H2946" s="315" t="s">
        <v>1000</v>
      </c>
      <c r="I2946" s="315" t="s">
        <v>1336</v>
      </c>
      <c r="J2946" s="315" t="str">
        <f t="shared" si="246"/>
        <v>Admin &amp; Otherinterest &amp; Bank Charges as % of Total Gross Profit</v>
      </c>
      <c r="K2946" s="315" t="str">
        <f t="shared" si="247"/>
        <v>310Interest &amp; Bank Charges - Toyota</v>
      </c>
      <c r="L2946" s="311">
        <f>+SUMIF('TUNZ Extracted TB'!M:M,$P2946,'TUNZ Extracted TB'!G:G)</f>
        <v>0</v>
      </c>
      <c r="M2946" s="311"/>
      <c r="N2946" s="311">
        <f>+SUMIF('Input Sheet'!$AE:$AE,P2946,'Input Sheet'!$X:$X)</f>
        <v>0</v>
      </c>
      <c r="O2946" s="311"/>
      <c r="P2946" t="str">
        <f t="shared" si="248"/>
        <v>310-7610</v>
      </c>
      <c r="Q2946" s="315" t="str">
        <f t="shared" si="249"/>
        <v>Admin &amp; Other</v>
      </c>
      <c r="R2946" s="315" t="str">
        <f t="shared" si="250"/>
        <v>Admin &amp; Otherinterest &amp; Bank Charges as % of Total Gross Profit</v>
      </c>
      <c r="S2946" s="199"/>
      <c r="T2946" s="199"/>
      <c r="U2946" s="199"/>
    </row>
    <row r="2947" spans="1:21" x14ac:dyDescent="0.25">
      <c r="A2947" t="s">
        <v>996</v>
      </c>
      <c r="B2947" t="s">
        <v>997</v>
      </c>
      <c r="C2947" t="s">
        <v>1013</v>
      </c>
      <c r="D2947">
        <v>7610</v>
      </c>
      <c r="E2947">
        <v>321</v>
      </c>
      <c r="F2947" t="s">
        <v>1337</v>
      </c>
      <c r="G2947" t="s">
        <v>1338</v>
      </c>
      <c r="H2947" s="315" t="s">
        <v>1000</v>
      </c>
      <c r="I2947" s="315" t="s">
        <v>1336</v>
      </c>
      <c r="J2947" s="315" t="str">
        <f t="shared" ref="J2947:J3010" si="251">+H2947&amp;I2947</f>
        <v>Admin &amp; Otherinterest &amp; Bank Charges as % of Total Gross Profit</v>
      </c>
      <c r="K2947" s="315" t="str">
        <f t="shared" ref="K2947:K3010" si="252">+E2947&amp;G2947</f>
        <v>321Interest &amp; Bank Charges - Toyota</v>
      </c>
      <c r="L2947" s="311">
        <f>+SUMIF('TUNZ Extracted TB'!M:M,$P2947,'TUNZ Extracted TB'!G:G)</f>
        <v>0</v>
      </c>
      <c r="M2947" s="311"/>
      <c r="N2947" s="311">
        <f>+SUMIF('Input Sheet'!$AE:$AE,P2947,'Input Sheet'!$X:$X)</f>
        <v>0</v>
      </c>
      <c r="O2947" s="311"/>
      <c r="P2947" t="str">
        <f t="shared" ref="P2947:P3010" si="253">+E2947&amp;"-"&amp;D2947</f>
        <v>321-7610</v>
      </c>
      <c r="Q2947" s="315" t="str">
        <f t="shared" ref="Q2947:Q3010" si="254">H2947</f>
        <v>Admin &amp; Other</v>
      </c>
      <c r="R2947" s="315" t="str">
        <f t="shared" ref="R2947:R3010" si="255">J2947</f>
        <v>Admin &amp; Otherinterest &amp; Bank Charges as % of Total Gross Profit</v>
      </c>
      <c r="S2947" s="199"/>
      <c r="T2947" s="199"/>
      <c r="U2947" s="199"/>
    </row>
    <row r="2948" spans="1:21" x14ac:dyDescent="0.25">
      <c r="A2948" t="s">
        <v>996</v>
      </c>
      <c r="B2948" t="s">
        <v>997</v>
      </c>
      <c r="C2948" t="s">
        <v>1013</v>
      </c>
      <c r="D2948">
        <v>7610</v>
      </c>
      <c r="E2948">
        <v>360</v>
      </c>
      <c r="F2948" t="s">
        <v>1337</v>
      </c>
      <c r="G2948" t="s">
        <v>1338</v>
      </c>
      <c r="H2948" s="315" t="s">
        <v>1000</v>
      </c>
      <c r="I2948" s="315" t="s">
        <v>1336</v>
      </c>
      <c r="J2948" s="315" t="str">
        <f t="shared" si="251"/>
        <v>Admin &amp; Otherinterest &amp; Bank Charges as % of Total Gross Profit</v>
      </c>
      <c r="K2948" s="315" t="str">
        <f t="shared" si="252"/>
        <v>360Interest &amp; Bank Charges - Toyota</v>
      </c>
      <c r="L2948" s="311">
        <f>+SUMIF('TUNZ Extracted TB'!M:M,$P2948,'TUNZ Extracted TB'!G:G)</f>
        <v>0</v>
      </c>
      <c r="M2948" s="311"/>
      <c r="N2948" s="311">
        <f>+SUMIF('Input Sheet'!$AE:$AE,P2948,'Input Sheet'!$X:$X)</f>
        <v>0</v>
      </c>
      <c r="O2948" s="311"/>
      <c r="P2948" t="str">
        <f t="shared" si="253"/>
        <v>360-7610</v>
      </c>
      <c r="Q2948" s="315" t="str">
        <f t="shared" si="254"/>
        <v>Admin &amp; Other</v>
      </c>
      <c r="R2948" s="315" t="str">
        <f t="shared" si="255"/>
        <v>Admin &amp; Otherinterest &amp; Bank Charges as % of Total Gross Profit</v>
      </c>
      <c r="S2948" s="199"/>
      <c r="T2948" s="199"/>
      <c r="U2948" s="199"/>
    </row>
    <row r="2949" spans="1:21" x14ac:dyDescent="0.25">
      <c r="A2949" t="s">
        <v>996</v>
      </c>
      <c r="B2949" t="s">
        <v>997</v>
      </c>
      <c r="C2949" t="s">
        <v>997</v>
      </c>
      <c r="D2949">
        <v>7610</v>
      </c>
      <c r="E2949">
        <v>160</v>
      </c>
      <c r="F2949" t="s">
        <v>1337</v>
      </c>
      <c r="G2949" t="s">
        <v>1338</v>
      </c>
      <c r="H2949" s="315" t="s">
        <v>1000</v>
      </c>
      <c r="I2949" s="315" t="s">
        <v>1336</v>
      </c>
      <c r="J2949" s="315" t="str">
        <f t="shared" si="251"/>
        <v>Admin &amp; Otherinterest &amp; Bank Charges as % of Total Gross Profit</v>
      </c>
      <c r="K2949" s="315" t="str">
        <f t="shared" si="252"/>
        <v>160Interest &amp; Bank Charges - Toyota</v>
      </c>
      <c r="L2949" s="311">
        <f>+SUMIF('TUNZ Extracted TB'!M:M,$P2949,'TUNZ Extracted TB'!G:G)</f>
        <v>0</v>
      </c>
      <c r="M2949" s="311"/>
      <c r="N2949" s="311">
        <f>+SUMIF('Input Sheet'!$AE:$AE,P2949,'Input Sheet'!$X:$X)</f>
        <v>0</v>
      </c>
      <c r="O2949" s="311"/>
      <c r="P2949" t="str">
        <f t="shared" si="253"/>
        <v>160-7610</v>
      </c>
      <c r="Q2949" s="315" t="str">
        <f t="shared" si="254"/>
        <v>Admin &amp; Other</v>
      </c>
      <c r="R2949" s="315" t="str">
        <f t="shared" si="255"/>
        <v>Admin &amp; Otherinterest &amp; Bank Charges as % of Total Gross Profit</v>
      </c>
      <c r="S2949" s="199"/>
      <c r="T2949" s="199"/>
      <c r="U2949" s="199"/>
    </row>
    <row r="2950" spans="1:21" x14ac:dyDescent="0.25">
      <c r="A2950" t="s">
        <v>996</v>
      </c>
      <c r="B2950" t="s">
        <v>997</v>
      </c>
      <c r="C2950" t="s">
        <v>997</v>
      </c>
      <c r="D2950">
        <v>7610</v>
      </c>
      <c r="E2950">
        <v>120</v>
      </c>
      <c r="F2950" t="s">
        <v>1337</v>
      </c>
      <c r="G2950" t="s">
        <v>1338</v>
      </c>
      <c r="H2950" s="315" t="s">
        <v>1000</v>
      </c>
      <c r="I2950" s="315" t="s">
        <v>1336</v>
      </c>
      <c r="J2950" s="315" t="str">
        <f t="shared" si="251"/>
        <v>Admin &amp; Otherinterest &amp; Bank Charges as % of Total Gross Profit</v>
      </c>
      <c r="K2950" s="315" t="str">
        <f t="shared" si="252"/>
        <v>120Interest &amp; Bank Charges - Toyota</v>
      </c>
      <c r="L2950" s="311">
        <f>+SUMIF('TUNZ Extracted TB'!M:M,$P2950,'TUNZ Extracted TB'!G:G)</f>
        <v>0</v>
      </c>
      <c r="M2950" s="311"/>
      <c r="N2950" s="311">
        <f>+SUMIF('Input Sheet'!$AE:$AE,P2950,'Input Sheet'!$X:$X)</f>
        <v>0</v>
      </c>
      <c r="O2950" s="311"/>
      <c r="P2950" t="str">
        <f t="shared" si="253"/>
        <v>120-7610</v>
      </c>
      <c r="Q2950" s="315" t="str">
        <f t="shared" si="254"/>
        <v>Admin &amp; Other</v>
      </c>
      <c r="R2950" s="315" t="str">
        <f t="shared" si="255"/>
        <v>Admin &amp; Otherinterest &amp; Bank Charges as % of Total Gross Profit</v>
      </c>
      <c r="S2950" s="199"/>
      <c r="T2950" s="199"/>
      <c r="U2950" s="199"/>
    </row>
    <row r="2951" spans="1:21" x14ac:dyDescent="0.25">
      <c r="A2951" t="s">
        <v>996</v>
      </c>
      <c r="B2951" t="s">
        <v>997</v>
      </c>
      <c r="C2951" t="s">
        <v>997</v>
      </c>
      <c r="D2951">
        <v>7610</v>
      </c>
      <c r="E2951">
        <v>121</v>
      </c>
      <c r="F2951" t="s">
        <v>1337</v>
      </c>
      <c r="G2951" t="s">
        <v>1338</v>
      </c>
      <c r="H2951" s="315" t="s">
        <v>1000</v>
      </c>
      <c r="I2951" s="315" t="s">
        <v>1336</v>
      </c>
      <c r="J2951" s="315" t="str">
        <f t="shared" si="251"/>
        <v>Admin &amp; Otherinterest &amp; Bank Charges as % of Total Gross Profit</v>
      </c>
      <c r="K2951" s="315" t="str">
        <f t="shared" si="252"/>
        <v>121Interest &amp; Bank Charges - Toyota</v>
      </c>
      <c r="L2951" s="311">
        <f>+SUMIF('TUNZ Extracted TB'!M:M,$P2951,'TUNZ Extracted TB'!G:G)</f>
        <v>0</v>
      </c>
      <c r="M2951" s="311"/>
      <c r="N2951" s="311">
        <f>+SUMIF('Input Sheet'!$AE:$AE,P2951,'Input Sheet'!$X:$X)</f>
        <v>0</v>
      </c>
      <c r="O2951" s="311"/>
      <c r="P2951" t="str">
        <f t="shared" si="253"/>
        <v>121-7610</v>
      </c>
      <c r="Q2951" s="315" t="str">
        <f t="shared" si="254"/>
        <v>Admin &amp; Other</v>
      </c>
      <c r="R2951" s="315" t="str">
        <f t="shared" si="255"/>
        <v>Admin &amp; Otherinterest &amp; Bank Charges as % of Total Gross Profit</v>
      </c>
      <c r="S2951" s="199"/>
      <c r="T2951" s="199"/>
      <c r="U2951" s="199"/>
    </row>
    <row r="2952" spans="1:21" x14ac:dyDescent="0.25">
      <c r="A2952" t="s">
        <v>996</v>
      </c>
      <c r="B2952" t="s">
        <v>997</v>
      </c>
      <c r="C2952" t="s">
        <v>997</v>
      </c>
      <c r="D2952">
        <v>7610</v>
      </c>
      <c r="E2952">
        <v>147</v>
      </c>
      <c r="F2952" t="s">
        <v>1337</v>
      </c>
      <c r="G2952" t="s">
        <v>1338</v>
      </c>
      <c r="H2952" s="315" t="s">
        <v>1000</v>
      </c>
      <c r="I2952" s="315" t="s">
        <v>1336</v>
      </c>
      <c r="J2952" s="315" t="str">
        <f t="shared" si="251"/>
        <v>Admin &amp; Otherinterest &amp; Bank Charges as % of Total Gross Profit</v>
      </c>
      <c r="K2952" s="315" t="str">
        <f t="shared" si="252"/>
        <v>147Interest &amp; Bank Charges - Toyota</v>
      </c>
      <c r="L2952" s="311">
        <f>+SUMIF('TUNZ Extracted TB'!M:M,$P2952,'TUNZ Extracted TB'!G:G)</f>
        <v>0</v>
      </c>
      <c r="M2952" s="311"/>
      <c r="N2952" s="311">
        <f>+SUMIF('Input Sheet'!$AE:$AE,P2952,'Input Sheet'!$X:$X)</f>
        <v>0</v>
      </c>
      <c r="O2952" s="311"/>
      <c r="P2952" t="str">
        <f t="shared" si="253"/>
        <v>147-7610</v>
      </c>
      <c r="Q2952" s="315" t="str">
        <f t="shared" si="254"/>
        <v>Admin &amp; Other</v>
      </c>
      <c r="R2952" s="315" t="str">
        <f t="shared" si="255"/>
        <v>Admin &amp; Otherinterest &amp; Bank Charges as % of Total Gross Profit</v>
      </c>
      <c r="S2952" s="199"/>
      <c r="T2952" s="199"/>
      <c r="U2952" s="199"/>
    </row>
    <row r="2953" spans="1:21" x14ac:dyDescent="0.25">
      <c r="A2953" t="s">
        <v>996</v>
      </c>
      <c r="B2953" t="s">
        <v>997</v>
      </c>
      <c r="C2953" t="s">
        <v>997</v>
      </c>
      <c r="D2953">
        <v>7610</v>
      </c>
      <c r="E2953">
        <v>140</v>
      </c>
      <c r="F2953" t="s">
        <v>1337</v>
      </c>
      <c r="G2953" t="s">
        <v>1338</v>
      </c>
      <c r="H2953" s="315" t="s">
        <v>1000</v>
      </c>
      <c r="I2953" s="315" t="s">
        <v>1336</v>
      </c>
      <c r="J2953" s="315" t="str">
        <f t="shared" si="251"/>
        <v>Admin &amp; Otherinterest &amp; Bank Charges as % of Total Gross Profit</v>
      </c>
      <c r="K2953" s="315" t="str">
        <f t="shared" si="252"/>
        <v>140Interest &amp; Bank Charges - Toyota</v>
      </c>
      <c r="L2953" s="311">
        <f>+SUMIF('TUNZ Extracted TB'!M:M,$P2953,'TUNZ Extracted TB'!G:G)</f>
        <v>-1060.48</v>
      </c>
      <c r="M2953" s="311"/>
      <c r="N2953" s="311">
        <f>+SUMIF('Input Sheet'!$AE:$AE,P2953,'Input Sheet'!$X:$X)</f>
        <v>0</v>
      </c>
      <c r="O2953" s="311"/>
      <c r="P2953" t="str">
        <f t="shared" si="253"/>
        <v>140-7610</v>
      </c>
      <c r="Q2953" s="315" t="str">
        <f t="shared" si="254"/>
        <v>Admin &amp; Other</v>
      </c>
      <c r="R2953" s="315" t="str">
        <f t="shared" si="255"/>
        <v>Admin &amp; Otherinterest &amp; Bank Charges as % of Total Gross Profit</v>
      </c>
      <c r="S2953" s="199"/>
      <c r="T2953" s="199"/>
      <c r="U2953" s="199"/>
    </row>
    <row r="2954" spans="1:21" x14ac:dyDescent="0.25">
      <c r="A2954" t="s">
        <v>996</v>
      </c>
      <c r="B2954" t="s">
        <v>997</v>
      </c>
      <c r="C2954" t="s">
        <v>997</v>
      </c>
      <c r="D2954">
        <v>7610</v>
      </c>
      <c r="E2954">
        <v>142</v>
      </c>
      <c r="F2954" t="s">
        <v>1334</v>
      </c>
      <c r="G2954" t="s">
        <v>1335</v>
      </c>
      <c r="H2954" s="315" t="s">
        <v>1023</v>
      </c>
      <c r="I2954" s="315" t="s">
        <v>1336</v>
      </c>
      <c r="J2954" s="315" t="str">
        <f t="shared" si="251"/>
        <v>LEX Admin &amp; Otherinterest &amp; Bank Charges as % of Total Gross Profit</v>
      </c>
      <c r="K2954" s="315" t="str">
        <f t="shared" si="252"/>
        <v>142Interest &amp; Bank Charges - Lexus</v>
      </c>
      <c r="L2954" s="311">
        <f>+SUMIF('TUNZ Extracted TB'!M:M,$P2954,'TUNZ Extracted TB'!G:G)</f>
        <v>-262.07</v>
      </c>
      <c r="M2954" s="311"/>
      <c r="N2954" s="311">
        <f>+SUMIF('Input Sheet'!$AE:$AE,P2954,'Input Sheet'!$X:$X)</f>
        <v>0</v>
      </c>
      <c r="O2954" s="311"/>
      <c r="P2954" t="str">
        <f t="shared" si="253"/>
        <v>142-7610</v>
      </c>
      <c r="Q2954" s="315" t="str">
        <f t="shared" si="254"/>
        <v>LEX Admin &amp; Other</v>
      </c>
      <c r="R2954" s="315" t="str">
        <f t="shared" si="255"/>
        <v>LEX Admin &amp; Otherinterest &amp; Bank Charges as % of Total Gross Profit</v>
      </c>
      <c r="S2954" s="199"/>
      <c r="T2954" s="199"/>
      <c r="U2954" s="199"/>
    </row>
    <row r="2955" spans="1:21" x14ac:dyDescent="0.25">
      <c r="A2955" t="s">
        <v>996</v>
      </c>
      <c r="B2955" t="s">
        <v>997</v>
      </c>
      <c r="C2955" t="s">
        <v>997</v>
      </c>
      <c r="D2955">
        <v>7610</v>
      </c>
      <c r="E2955">
        <v>132</v>
      </c>
      <c r="F2955" t="s">
        <v>1334</v>
      </c>
      <c r="G2955" t="s">
        <v>1335</v>
      </c>
      <c r="H2955" s="315" t="s">
        <v>1023</v>
      </c>
      <c r="I2955" s="315" t="s">
        <v>1336</v>
      </c>
      <c r="J2955" s="315" t="str">
        <f t="shared" si="251"/>
        <v>LEX Admin &amp; Otherinterest &amp; Bank Charges as % of Total Gross Profit</v>
      </c>
      <c r="K2955" s="315" t="str">
        <f t="shared" si="252"/>
        <v>132Interest &amp; Bank Charges - Lexus</v>
      </c>
      <c r="L2955" s="311">
        <f>+SUMIF('TUNZ Extracted TB'!M:M,$P2955,'TUNZ Extracted TB'!G:G)</f>
        <v>0</v>
      </c>
      <c r="M2955" s="311"/>
      <c r="N2955" s="311">
        <f>+SUMIF('Input Sheet'!$AE:$AE,P2955,'Input Sheet'!$X:$X)</f>
        <v>0</v>
      </c>
      <c r="O2955" s="311"/>
      <c r="P2955" t="str">
        <f t="shared" si="253"/>
        <v>132-7610</v>
      </c>
      <c r="Q2955" s="315" t="str">
        <f t="shared" si="254"/>
        <v>LEX Admin &amp; Other</v>
      </c>
      <c r="R2955" s="315" t="str">
        <f t="shared" si="255"/>
        <v>LEX Admin &amp; Otherinterest &amp; Bank Charges as % of Total Gross Profit</v>
      </c>
      <c r="S2955" s="199"/>
      <c r="T2955" s="199"/>
      <c r="U2955" s="199"/>
    </row>
    <row r="2956" spans="1:21" x14ac:dyDescent="0.25">
      <c r="A2956" t="s">
        <v>996</v>
      </c>
      <c r="B2956" t="s">
        <v>997</v>
      </c>
      <c r="C2956" t="s">
        <v>997</v>
      </c>
      <c r="D2956">
        <v>7610</v>
      </c>
      <c r="E2956">
        <v>130</v>
      </c>
      <c r="F2956" t="s">
        <v>1337</v>
      </c>
      <c r="G2956" t="s">
        <v>1338</v>
      </c>
      <c r="H2956" s="315" t="s">
        <v>1000</v>
      </c>
      <c r="I2956" s="315" t="s">
        <v>1336</v>
      </c>
      <c r="J2956" s="315" t="str">
        <f t="shared" si="251"/>
        <v>Admin &amp; Otherinterest &amp; Bank Charges as % of Total Gross Profit</v>
      </c>
      <c r="K2956" s="315" t="str">
        <f t="shared" si="252"/>
        <v>130Interest &amp; Bank Charges - Toyota</v>
      </c>
      <c r="L2956" s="311">
        <f>+SUMIF('TUNZ Extracted TB'!M:M,$P2956,'TUNZ Extracted TB'!G:G)</f>
        <v>-253.6</v>
      </c>
      <c r="M2956" s="311"/>
      <c r="N2956" s="311">
        <f>+SUMIF('Input Sheet'!$AE:$AE,P2956,'Input Sheet'!$X:$X)</f>
        <v>0</v>
      </c>
      <c r="O2956" s="311"/>
      <c r="P2956" t="str">
        <f t="shared" si="253"/>
        <v>130-7610</v>
      </c>
      <c r="Q2956" s="315" t="str">
        <f t="shared" si="254"/>
        <v>Admin &amp; Other</v>
      </c>
      <c r="R2956" s="315" t="str">
        <f t="shared" si="255"/>
        <v>Admin &amp; Otherinterest &amp; Bank Charges as % of Total Gross Profit</v>
      </c>
      <c r="S2956" s="199"/>
      <c r="T2956" s="199"/>
      <c r="U2956" s="199"/>
    </row>
    <row r="2957" spans="1:21" x14ac:dyDescent="0.25">
      <c r="A2957" t="s">
        <v>996</v>
      </c>
      <c r="B2957" t="s">
        <v>997</v>
      </c>
      <c r="C2957" t="s">
        <v>997</v>
      </c>
      <c r="D2957">
        <v>7610</v>
      </c>
      <c r="E2957">
        <v>100</v>
      </c>
      <c r="F2957" t="s">
        <v>1337</v>
      </c>
      <c r="G2957" t="s">
        <v>1338</v>
      </c>
      <c r="H2957" s="315" t="s">
        <v>1000</v>
      </c>
      <c r="I2957" s="315" t="s">
        <v>1336</v>
      </c>
      <c r="J2957" s="315" t="str">
        <f t="shared" si="251"/>
        <v>Admin &amp; Otherinterest &amp; Bank Charges as % of Total Gross Profit</v>
      </c>
      <c r="K2957" s="315" t="str">
        <f t="shared" si="252"/>
        <v>100Interest &amp; Bank Charges - Toyota</v>
      </c>
      <c r="L2957" s="311">
        <f>+SUMIF('TUNZ Extracted TB'!M:M,$P2957,'TUNZ Extracted TB'!G:G)</f>
        <v>0</v>
      </c>
      <c r="M2957" s="311"/>
      <c r="N2957" s="311">
        <f>+SUMIF('Input Sheet'!$AE:$AE,P2957,'Input Sheet'!$X:$X)</f>
        <v>0</v>
      </c>
      <c r="O2957" s="311"/>
      <c r="P2957" t="str">
        <f t="shared" si="253"/>
        <v>100-7610</v>
      </c>
      <c r="Q2957" s="315" t="str">
        <f t="shared" si="254"/>
        <v>Admin &amp; Other</v>
      </c>
      <c r="R2957" s="315" t="str">
        <f t="shared" si="255"/>
        <v>Admin &amp; Otherinterest &amp; Bank Charges as % of Total Gross Profit</v>
      </c>
      <c r="S2957" s="199"/>
      <c r="T2957" s="199"/>
      <c r="U2957" s="199"/>
    </row>
    <row r="2958" spans="1:21" x14ac:dyDescent="0.25">
      <c r="A2958" t="s">
        <v>996</v>
      </c>
      <c r="B2958" t="s">
        <v>997</v>
      </c>
      <c r="C2958" t="s">
        <v>997</v>
      </c>
      <c r="D2958">
        <v>7610</v>
      </c>
      <c r="E2958">
        <v>110</v>
      </c>
      <c r="F2958" t="s">
        <v>1337</v>
      </c>
      <c r="G2958" t="s">
        <v>1338</v>
      </c>
      <c r="H2958" s="315" t="s">
        <v>1000</v>
      </c>
      <c r="I2958" s="315" t="s">
        <v>1336</v>
      </c>
      <c r="J2958" s="315" t="str">
        <f t="shared" si="251"/>
        <v>Admin &amp; Otherinterest &amp; Bank Charges as % of Total Gross Profit</v>
      </c>
      <c r="K2958" s="315" t="str">
        <f t="shared" si="252"/>
        <v>110Interest &amp; Bank Charges - Toyota</v>
      </c>
      <c r="L2958" s="311">
        <f>+SUMIF('TUNZ Extracted TB'!M:M,$P2958,'TUNZ Extracted TB'!G:G)</f>
        <v>0</v>
      </c>
      <c r="M2958" s="311"/>
      <c r="N2958" s="311">
        <f>+SUMIF('Input Sheet'!$AE:$AE,P2958,'Input Sheet'!$X:$X)</f>
        <v>4054.0741001232536</v>
      </c>
      <c r="O2958" s="311"/>
      <c r="P2958" t="str">
        <f t="shared" si="253"/>
        <v>110-7610</v>
      </c>
      <c r="Q2958" s="315" t="str">
        <f t="shared" si="254"/>
        <v>Admin &amp; Other</v>
      </c>
      <c r="R2958" s="315" t="str">
        <f t="shared" si="255"/>
        <v>Admin &amp; Otherinterest &amp; Bank Charges as % of Total Gross Profit</v>
      </c>
      <c r="S2958" s="199"/>
      <c r="T2958" s="199"/>
      <c r="U2958" s="199"/>
    </row>
    <row r="2959" spans="1:21" x14ac:dyDescent="0.25">
      <c r="A2959" t="s">
        <v>996</v>
      </c>
      <c r="B2959" t="s">
        <v>997</v>
      </c>
      <c r="C2959" t="s">
        <v>997</v>
      </c>
      <c r="D2959">
        <v>7610</v>
      </c>
      <c r="E2959">
        <v>112</v>
      </c>
      <c r="F2959" t="s">
        <v>1334</v>
      </c>
      <c r="G2959" t="s">
        <v>1335</v>
      </c>
      <c r="H2959" s="315" t="s">
        <v>1023</v>
      </c>
      <c r="I2959" s="315" t="s">
        <v>1336</v>
      </c>
      <c r="J2959" s="315" t="str">
        <f t="shared" si="251"/>
        <v>LEX Admin &amp; Otherinterest &amp; Bank Charges as % of Total Gross Profit</v>
      </c>
      <c r="K2959" s="315" t="str">
        <f t="shared" si="252"/>
        <v>112Interest &amp; Bank Charges - Lexus</v>
      </c>
      <c r="L2959" s="311">
        <f>+SUMIF('TUNZ Extracted TB'!M:M,$P2959,'TUNZ Extracted TB'!G:G)</f>
        <v>-34.78</v>
      </c>
      <c r="M2959" s="311"/>
      <c r="N2959" s="311">
        <f>+SUMIF('Input Sheet'!$AE:$AE,P2959,'Input Sheet'!$X:$X)</f>
        <v>544.7549458871174</v>
      </c>
      <c r="O2959" s="311"/>
      <c r="P2959" t="str">
        <f t="shared" si="253"/>
        <v>112-7610</v>
      </c>
      <c r="Q2959" s="315" t="str">
        <f t="shared" si="254"/>
        <v>LEX Admin &amp; Other</v>
      </c>
      <c r="R2959" s="315" t="str">
        <f t="shared" si="255"/>
        <v>LEX Admin &amp; Otherinterest &amp; Bank Charges as % of Total Gross Profit</v>
      </c>
      <c r="S2959" s="199"/>
      <c r="T2959" s="199"/>
      <c r="U2959" s="199"/>
    </row>
    <row r="2960" spans="1:21" x14ac:dyDescent="0.25">
      <c r="A2960" t="s">
        <v>996</v>
      </c>
      <c r="B2960" t="s">
        <v>997</v>
      </c>
      <c r="C2960" t="s">
        <v>1012</v>
      </c>
      <c r="D2960">
        <v>7610</v>
      </c>
      <c r="E2960">
        <v>430</v>
      </c>
      <c r="F2960" t="s">
        <v>1337</v>
      </c>
      <c r="G2960" t="s">
        <v>1338</v>
      </c>
      <c r="H2960" s="315" t="s">
        <v>1000</v>
      </c>
      <c r="I2960" s="315" t="s">
        <v>1336</v>
      </c>
      <c r="J2960" s="315" t="str">
        <f t="shared" si="251"/>
        <v>Admin &amp; Otherinterest &amp; Bank Charges as % of Total Gross Profit</v>
      </c>
      <c r="K2960" s="315" t="str">
        <f t="shared" si="252"/>
        <v>430Interest &amp; Bank Charges - Toyota</v>
      </c>
      <c r="L2960" s="311">
        <f>+SUMIF('TUNZ Extracted TB'!M:M,$P2960,'TUNZ Extracted TB'!G:G)</f>
        <v>-44.19</v>
      </c>
      <c r="M2960" s="311"/>
      <c r="N2960" s="311">
        <f>+SUMIF('Input Sheet'!$AE:$AE,P2960,'Input Sheet'!$X:$X)</f>
        <v>0</v>
      </c>
      <c r="O2960" s="311"/>
      <c r="P2960" t="str">
        <f t="shared" si="253"/>
        <v>430-7610</v>
      </c>
      <c r="Q2960" s="315" t="str">
        <f t="shared" si="254"/>
        <v>Admin &amp; Other</v>
      </c>
      <c r="R2960" s="315" t="str">
        <f t="shared" si="255"/>
        <v>Admin &amp; Otherinterest &amp; Bank Charges as % of Total Gross Profit</v>
      </c>
      <c r="S2960" s="199"/>
      <c r="T2960" s="199"/>
      <c r="U2960" s="199"/>
    </row>
    <row r="2961" spans="1:21" x14ac:dyDescent="0.25">
      <c r="A2961" s="316">
        <v>44896</v>
      </c>
      <c r="B2961" t="s">
        <v>997</v>
      </c>
      <c r="C2961" t="s">
        <v>997</v>
      </c>
      <c r="D2961">
        <v>7610</v>
      </c>
      <c r="E2961">
        <v>150</v>
      </c>
      <c r="G2961" t="s">
        <v>128</v>
      </c>
      <c r="H2961" s="315" t="s">
        <v>1023</v>
      </c>
      <c r="I2961" s="315" t="s">
        <v>1336</v>
      </c>
      <c r="J2961" s="315" t="str">
        <f t="shared" si="251"/>
        <v>LEX Admin &amp; Otherinterest &amp; Bank Charges as % of Total Gross Profit</v>
      </c>
      <c r="K2961" s="315" t="str">
        <f t="shared" si="252"/>
        <v>150Bank Charges</v>
      </c>
      <c r="L2961" s="311">
        <f>+SUMIF('TUNZ Extracted TB'!M:M,$P2961,'TUNZ Extracted TB'!G:G)</f>
        <v>0</v>
      </c>
      <c r="M2961" s="311"/>
      <c r="N2961" s="311">
        <f>+SUMIF('Input Sheet'!$AE:$AE,P2961,'Input Sheet'!$X:$X)</f>
        <v>0</v>
      </c>
      <c r="O2961" s="311"/>
      <c r="P2961" t="str">
        <f t="shared" si="253"/>
        <v>150-7610</v>
      </c>
      <c r="Q2961" s="315" t="str">
        <f t="shared" si="254"/>
        <v>LEX Admin &amp; Other</v>
      </c>
      <c r="R2961" s="315" t="str">
        <f t="shared" si="255"/>
        <v>LEX Admin &amp; Otherinterest &amp; Bank Charges as % of Total Gross Profit</v>
      </c>
      <c r="S2961" s="199"/>
      <c r="T2961" s="199"/>
      <c r="U2961" s="199"/>
    </row>
    <row r="2962" spans="1:21" x14ac:dyDescent="0.25">
      <c r="A2962" t="s">
        <v>996</v>
      </c>
      <c r="B2962" t="s">
        <v>997</v>
      </c>
      <c r="C2962" t="s">
        <v>1013</v>
      </c>
      <c r="D2962">
        <v>7610</v>
      </c>
      <c r="E2962">
        <v>330</v>
      </c>
      <c r="F2962" t="s">
        <v>1337</v>
      </c>
      <c r="G2962" t="s">
        <v>1338</v>
      </c>
      <c r="H2962" s="315" t="s">
        <v>1000</v>
      </c>
      <c r="I2962" s="315" t="s">
        <v>1336</v>
      </c>
      <c r="J2962" s="315" t="str">
        <f t="shared" si="251"/>
        <v>Admin &amp; Otherinterest &amp; Bank Charges as % of Total Gross Profit</v>
      </c>
      <c r="K2962" s="315" t="str">
        <f t="shared" si="252"/>
        <v>330Interest &amp; Bank Charges - Toyota</v>
      </c>
      <c r="L2962" s="311">
        <f>+SUMIF('TUNZ Extracted TB'!M:M,$P2962,'TUNZ Extracted TB'!G:G)</f>
        <v>-65.69</v>
      </c>
      <c r="M2962" s="311"/>
      <c r="N2962" s="311">
        <f>+SUMIF('Input Sheet'!$AE:$AE,P2962,'Input Sheet'!$X:$X)</f>
        <v>0</v>
      </c>
      <c r="O2962" s="311"/>
      <c r="P2962" t="str">
        <f t="shared" si="253"/>
        <v>330-7610</v>
      </c>
      <c r="Q2962" s="315" t="str">
        <f t="shared" si="254"/>
        <v>Admin &amp; Other</v>
      </c>
      <c r="R2962" s="315" t="str">
        <f t="shared" si="255"/>
        <v>Admin &amp; Otherinterest &amp; Bank Charges as % of Total Gross Profit</v>
      </c>
      <c r="S2962" s="199"/>
      <c r="T2962" s="199"/>
      <c r="U2962" s="199"/>
    </row>
    <row r="2963" spans="1:21" x14ac:dyDescent="0.25">
      <c r="A2963" t="s">
        <v>996</v>
      </c>
      <c r="B2963" t="s">
        <v>997</v>
      </c>
      <c r="C2963" t="s">
        <v>1005</v>
      </c>
      <c r="D2963">
        <v>7610</v>
      </c>
      <c r="E2963">
        <v>210</v>
      </c>
      <c r="F2963" t="s">
        <v>1337</v>
      </c>
      <c r="G2963" t="s">
        <v>1338</v>
      </c>
      <c r="H2963" s="315" t="s">
        <v>1000</v>
      </c>
      <c r="I2963" s="315" t="s">
        <v>1336</v>
      </c>
      <c r="J2963" s="315" t="str">
        <f t="shared" si="251"/>
        <v>Admin &amp; Otherinterest &amp; Bank Charges as % of Total Gross Profit</v>
      </c>
      <c r="K2963" s="315" t="str">
        <f t="shared" si="252"/>
        <v>210Interest &amp; Bank Charges - Toyota</v>
      </c>
      <c r="L2963" s="311">
        <f>+SUMIF('TUNZ Extracted TB'!M:M,$P2963,'TUNZ Extracted TB'!G:G)</f>
        <v>-60</v>
      </c>
      <c r="M2963" s="311"/>
      <c r="N2963" s="311">
        <f>+SUMIF('Input Sheet'!$AE:$AE,P2963,'Input Sheet'!$X:$X)</f>
        <v>0</v>
      </c>
      <c r="O2963" s="311"/>
      <c r="P2963" t="str">
        <f t="shared" si="253"/>
        <v>210-7610</v>
      </c>
      <c r="Q2963" s="315" t="str">
        <f t="shared" si="254"/>
        <v>Admin &amp; Other</v>
      </c>
      <c r="R2963" s="315" t="str">
        <f t="shared" si="255"/>
        <v>Admin &amp; Otherinterest &amp; Bank Charges as % of Total Gross Profit</v>
      </c>
      <c r="S2963" s="199"/>
      <c r="T2963" s="199"/>
      <c r="U2963" s="199"/>
    </row>
    <row r="2964" spans="1:21" x14ac:dyDescent="0.25">
      <c r="A2964" t="s">
        <v>996</v>
      </c>
      <c r="B2964" t="s">
        <v>997</v>
      </c>
      <c r="C2964" t="s">
        <v>997</v>
      </c>
      <c r="D2964">
        <v>7610</v>
      </c>
      <c r="E2964">
        <v>935</v>
      </c>
      <c r="F2964" t="s">
        <v>1175</v>
      </c>
      <c r="G2964" t="s">
        <v>1176</v>
      </c>
      <c r="H2964" s="315" t="s">
        <v>1023</v>
      </c>
      <c r="I2964" s="315" t="s">
        <v>1336</v>
      </c>
      <c r="J2964" s="315" t="str">
        <f t="shared" si="251"/>
        <v>LEX Admin &amp; Otherinterest &amp; Bank Charges as % of Total Gross Profit</v>
      </c>
      <c r="K2964" s="315" t="str">
        <f t="shared" si="252"/>
        <v>935Other franchise/business expense</v>
      </c>
      <c r="L2964" s="311">
        <f>+SUMIF('TUNZ Extracted TB'!M:M,$P2964,'TUNZ Extracted TB'!G:G)</f>
        <v>-98.93</v>
      </c>
      <c r="M2964" s="311"/>
      <c r="N2964" s="311">
        <f>+SUMIF('Input Sheet'!$AE:$AE,P2964,'Input Sheet'!$X:$X)</f>
        <v>0</v>
      </c>
      <c r="O2964" s="311"/>
      <c r="P2964" t="str">
        <f t="shared" si="253"/>
        <v>935-7610</v>
      </c>
      <c r="Q2964" s="315" t="str">
        <f t="shared" si="254"/>
        <v>LEX Admin &amp; Other</v>
      </c>
      <c r="R2964" s="315" t="str">
        <f t="shared" si="255"/>
        <v>LEX Admin &amp; Otherinterest &amp; Bank Charges as % of Total Gross Profit</v>
      </c>
      <c r="S2964" s="199"/>
      <c r="T2964" s="199"/>
      <c r="U2964" s="199"/>
    </row>
    <row r="2965" spans="1:21" x14ac:dyDescent="0.25">
      <c r="A2965" t="s">
        <v>996</v>
      </c>
      <c r="B2965" t="s">
        <v>997</v>
      </c>
      <c r="C2965" t="s">
        <v>1005</v>
      </c>
      <c r="D2965">
        <v>7610</v>
      </c>
      <c r="E2965">
        <v>240</v>
      </c>
      <c r="F2965" t="s">
        <v>1337</v>
      </c>
      <c r="G2965" t="s">
        <v>1338</v>
      </c>
      <c r="H2965" s="315" t="s">
        <v>1000</v>
      </c>
      <c r="I2965" s="315" t="s">
        <v>1336</v>
      </c>
      <c r="J2965" s="315" t="str">
        <f t="shared" si="251"/>
        <v>Admin &amp; Otherinterest &amp; Bank Charges as % of Total Gross Profit</v>
      </c>
      <c r="K2965" s="315" t="str">
        <f t="shared" si="252"/>
        <v>240Interest &amp; Bank Charges - Toyota</v>
      </c>
      <c r="L2965" s="311">
        <f>+SUMIF('TUNZ Extracted TB'!M:M,$P2965,'TUNZ Extracted TB'!G:G)</f>
        <v>-118.9</v>
      </c>
      <c r="M2965" s="311"/>
      <c r="N2965" s="311">
        <f>+SUMIF('Input Sheet'!$AE:$AE,P2965,'Input Sheet'!$X:$X)</f>
        <v>0</v>
      </c>
      <c r="O2965" s="311"/>
      <c r="P2965" t="str">
        <f t="shared" si="253"/>
        <v>240-7610</v>
      </c>
      <c r="Q2965" s="315" t="str">
        <f t="shared" si="254"/>
        <v>Admin &amp; Other</v>
      </c>
      <c r="R2965" s="315" t="str">
        <f t="shared" si="255"/>
        <v>Admin &amp; Otherinterest &amp; Bank Charges as % of Total Gross Profit</v>
      </c>
      <c r="S2965" s="199"/>
      <c r="T2965" s="199"/>
      <c r="U2965" s="199"/>
    </row>
    <row r="2966" spans="1:21" x14ac:dyDescent="0.25">
      <c r="A2966" t="s">
        <v>996</v>
      </c>
      <c r="B2966" t="s">
        <v>997</v>
      </c>
      <c r="C2966" t="s">
        <v>1005</v>
      </c>
      <c r="D2966">
        <v>7610</v>
      </c>
      <c r="E2966">
        <v>230</v>
      </c>
      <c r="F2966" t="s">
        <v>1337</v>
      </c>
      <c r="G2966" t="s">
        <v>1338</v>
      </c>
      <c r="H2966" s="315" t="s">
        <v>1000</v>
      </c>
      <c r="I2966" s="315" t="s">
        <v>1336</v>
      </c>
      <c r="J2966" s="315" t="str">
        <f t="shared" si="251"/>
        <v>Admin &amp; Otherinterest &amp; Bank Charges as % of Total Gross Profit</v>
      </c>
      <c r="K2966" s="315" t="str">
        <f t="shared" si="252"/>
        <v>230Interest &amp; Bank Charges - Toyota</v>
      </c>
      <c r="L2966" s="311">
        <f>+SUMIF('TUNZ Extracted TB'!M:M,$P2966,'TUNZ Extracted TB'!G:G)</f>
        <v>-95.5</v>
      </c>
      <c r="M2966" s="311"/>
      <c r="N2966" s="311">
        <f>+SUMIF('Input Sheet'!$AE:$AE,P2966,'Input Sheet'!$X:$X)</f>
        <v>0</v>
      </c>
      <c r="O2966" s="311"/>
      <c r="P2966" t="str">
        <f t="shared" si="253"/>
        <v>230-7610</v>
      </c>
      <c r="Q2966" s="315" t="str">
        <f t="shared" si="254"/>
        <v>Admin &amp; Other</v>
      </c>
      <c r="R2966" s="315" t="str">
        <f t="shared" si="255"/>
        <v>Admin &amp; Otherinterest &amp; Bank Charges as % of Total Gross Profit</v>
      </c>
      <c r="S2966" s="199"/>
      <c r="T2966" s="199"/>
      <c r="U2966" s="199"/>
    </row>
    <row r="2967" spans="1:21" x14ac:dyDescent="0.25">
      <c r="A2967" t="s">
        <v>996</v>
      </c>
      <c r="B2967" t="s">
        <v>997</v>
      </c>
      <c r="C2967" t="s">
        <v>997</v>
      </c>
      <c r="D2967">
        <v>7610</v>
      </c>
      <c r="E2967">
        <v>936</v>
      </c>
      <c r="F2967" t="s">
        <v>1175</v>
      </c>
      <c r="G2967" t="s">
        <v>1176</v>
      </c>
      <c r="H2967" s="315" t="s">
        <v>1023</v>
      </c>
      <c r="I2967" s="315" t="s">
        <v>1336</v>
      </c>
      <c r="J2967" s="315" t="str">
        <f t="shared" si="251"/>
        <v>LEX Admin &amp; Otherinterest &amp; Bank Charges as % of Total Gross Profit</v>
      </c>
      <c r="K2967" s="315" t="str">
        <f t="shared" si="252"/>
        <v>936Other franchise/business expense</v>
      </c>
      <c r="L2967" s="311">
        <f>+SUMIF('TUNZ Extracted TB'!M:M,$P2967,'TUNZ Extracted TB'!G:G)</f>
        <v>-156.88999999999999</v>
      </c>
      <c r="M2967" s="311"/>
      <c r="N2967" s="311">
        <f>+SUMIF('Input Sheet'!$AE:$AE,P2967,'Input Sheet'!$X:$X)</f>
        <v>0</v>
      </c>
      <c r="O2967" s="311"/>
      <c r="P2967" t="str">
        <f t="shared" si="253"/>
        <v>936-7610</v>
      </c>
      <c r="Q2967" s="315" t="str">
        <f t="shared" si="254"/>
        <v>LEX Admin &amp; Other</v>
      </c>
      <c r="R2967" s="315" t="str">
        <f t="shared" si="255"/>
        <v>LEX Admin &amp; Otherinterest &amp; Bank Charges as % of Total Gross Profit</v>
      </c>
      <c r="S2967" s="199"/>
      <c r="T2967" s="199"/>
      <c r="U2967" s="199"/>
    </row>
    <row r="2968" spans="1:21" x14ac:dyDescent="0.25">
      <c r="A2968" t="s">
        <v>996</v>
      </c>
      <c r="B2968" t="s">
        <v>997</v>
      </c>
      <c r="C2968" t="s">
        <v>1005</v>
      </c>
      <c r="D2968">
        <v>7610</v>
      </c>
      <c r="E2968">
        <v>220</v>
      </c>
      <c r="F2968" t="s">
        <v>1337</v>
      </c>
      <c r="G2968" t="s">
        <v>1338</v>
      </c>
      <c r="H2968" s="315" t="s">
        <v>1000</v>
      </c>
      <c r="I2968" s="315" t="s">
        <v>1336</v>
      </c>
      <c r="J2968" s="315" t="str">
        <f t="shared" si="251"/>
        <v>Admin &amp; Otherinterest &amp; Bank Charges as % of Total Gross Profit</v>
      </c>
      <c r="K2968" s="315" t="str">
        <f t="shared" si="252"/>
        <v>220Interest &amp; Bank Charges - Toyota</v>
      </c>
      <c r="L2968" s="311">
        <f>+SUMIF('TUNZ Extracted TB'!M:M,$P2968,'TUNZ Extracted TB'!G:G)</f>
        <v>-37.83</v>
      </c>
      <c r="M2968" s="311"/>
      <c r="N2968" s="311">
        <f>+SUMIF('Input Sheet'!$AE:$AE,P2968,'Input Sheet'!$X:$X)</f>
        <v>0</v>
      </c>
      <c r="O2968" s="311"/>
      <c r="P2968" t="str">
        <f t="shared" si="253"/>
        <v>220-7610</v>
      </c>
      <c r="Q2968" s="315" t="str">
        <f t="shared" si="254"/>
        <v>Admin &amp; Other</v>
      </c>
      <c r="R2968" s="315" t="str">
        <f t="shared" si="255"/>
        <v>Admin &amp; Otherinterest &amp; Bank Charges as % of Total Gross Profit</v>
      </c>
      <c r="S2968" s="199"/>
      <c r="T2968" s="199"/>
      <c r="U2968" s="199"/>
    </row>
    <row r="2969" spans="1:21" x14ac:dyDescent="0.25">
      <c r="A2969" t="s">
        <v>996</v>
      </c>
      <c r="B2969" t="s">
        <v>997</v>
      </c>
      <c r="C2969" t="s">
        <v>1013</v>
      </c>
      <c r="D2969">
        <v>7610</v>
      </c>
      <c r="E2969">
        <v>340</v>
      </c>
      <c r="F2969" t="s">
        <v>1337</v>
      </c>
      <c r="G2969" t="s">
        <v>1338</v>
      </c>
      <c r="H2969" s="315" t="s">
        <v>1000</v>
      </c>
      <c r="I2969" s="315" t="s">
        <v>1336</v>
      </c>
      <c r="J2969" s="315" t="str">
        <f t="shared" si="251"/>
        <v>Admin &amp; Otherinterest &amp; Bank Charges as % of Total Gross Profit</v>
      </c>
      <c r="K2969" s="315" t="str">
        <f t="shared" si="252"/>
        <v>340Interest &amp; Bank Charges - Toyota</v>
      </c>
      <c r="L2969" s="311">
        <f>+SUMIF('TUNZ Extracted TB'!M:M,$P2969,'TUNZ Extracted TB'!G:G)</f>
        <v>-342.87</v>
      </c>
      <c r="M2969" s="311"/>
      <c r="N2969" s="311">
        <f>+SUMIF('Input Sheet'!$AE:$AE,P2969,'Input Sheet'!$X:$X)</f>
        <v>0</v>
      </c>
      <c r="O2969" s="311"/>
      <c r="P2969" t="str">
        <f t="shared" si="253"/>
        <v>340-7610</v>
      </c>
      <c r="Q2969" s="315" t="str">
        <f t="shared" si="254"/>
        <v>Admin &amp; Other</v>
      </c>
      <c r="R2969" s="315" t="str">
        <f t="shared" si="255"/>
        <v>Admin &amp; Otherinterest &amp; Bank Charges as % of Total Gross Profit</v>
      </c>
      <c r="S2969" s="199"/>
      <c r="T2969" s="199"/>
      <c r="U2969" s="199"/>
    </row>
    <row r="2970" spans="1:21" x14ac:dyDescent="0.25">
      <c r="A2970" t="s">
        <v>996</v>
      </c>
      <c r="B2970" t="s">
        <v>997</v>
      </c>
      <c r="C2970" t="s">
        <v>1012</v>
      </c>
      <c r="D2970">
        <v>7610</v>
      </c>
      <c r="E2970">
        <v>440</v>
      </c>
      <c r="F2970" t="s">
        <v>1337</v>
      </c>
      <c r="G2970" t="s">
        <v>1338</v>
      </c>
      <c r="H2970" s="315" t="s">
        <v>1000</v>
      </c>
      <c r="I2970" s="315" t="s">
        <v>1336</v>
      </c>
      <c r="J2970" s="315" t="str">
        <f t="shared" si="251"/>
        <v>Admin &amp; Otherinterest &amp; Bank Charges as % of Total Gross Profit</v>
      </c>
      <c r="K2970" s="315" t="str">
        <f t="shared" si="252"/>
        <v>440Interest &amp; Bank Charges - Toyota</v>
      </c>
      <c r="L2970" s="311">
        <f>+SUMIF('TUNZ Extracted TB'!M:M,$P2970,'TUNZ Extracted TB'!G:G)</f>
        <v>-215.46</v>
      </c>
      <c r="M2970" s="311"/>
      <c r="N2970" s="311">
        <f>+SUMIF('Input Sheet'!$AE:$AE,P2970,'Input Sheet'!$X:$X)</f>
        <v>0</v>
      </c>
      <c r="O2970" s="311"/>
      <c r="P2970" t="str">
        <f t="shared" si="253"/>
        <v>440-7610</v>
      </c>
      <c r="Q2970" s="315" t="str">
        <f t="shared" si="254"/>
        <v>Admin &amp; Other</v>
      </c>
      <c r="R2970" s="315" t="str">
        <f t="shared" si="255"/>
        <v>Admin &amp; Otherinterest &amp; Bank Charges as % of Total Gross Profit</v>
      </c>
      <c r="S2970" s="199"/>
      <c r="T2970" s="199"/>
      <c r="U2970" s="199"/>
    </row>
    <row r="2971" spans="1:21" x14ac:dyDescent="0.25">
      <c r="A2971" t="s">
        <v>996</v>
      </c>
      <c r="B2971" t="s">
        <v>997</v>
      </c>
      <c r="C2971" t="s">
        <v>997</v>
      </c>
      <c r="D2971">
        <v>7610</v>
      </c>
      <c r="E2971">
        <v>122</v>
      </c>
      <c r="F2971" t="s">
        <v>1334</v>
      </c>
      <c r="G2971" t="s">
        <v>1335</v>
      </c>
      <c r="H2971" s="315" t="s">
        <v>1023</v>
      </c>
      <c r="I2971" s="315" t="s">
        <v>1336</v>
      </c>
      <c r="J2971" s="315" t="str">
        <f t="shared" si="251"/>
        <v>LEX Admin &amp; Otherinterest &amp; Bank Charges as % of Total Gross Profit</v>
      </c>
      <c r="K2971" s="315" t="str">
        <f t="shared" si="252"/>
        <v>122Interest &amp; Bank Charges - Lexus</v>
      </c>
      <c r="L2971" s="311">
        <f>+SUMIF('TUNZ Extracted TB'!M:M,$P2971,'TUNZ Extracted TB'!G:G)</f>
        <v>-63.04</v>
      </c>
      <c r="M2971" s="311"/>
      <c r="N2971" s="311">
        <f>+SUMIF('Input Sheet'!$AE:$AE,P2971,'Input Sheet'!$X:$X)</f>
        <v>0</v>
      </c>
      <c r="O2971" s="311"/>
      <c r="P2971" t="str">
        <f t="shared" si="253"/>
        <v>122-7610</v>
      </c>
      <c r="Q2971" s="315" t="str">
        <f t="shared" si="254"/>
        <v>LEX Admin &amp; Other</v>
      </c>
      <c r="R2971" s="315" t="str">
        <f t="shared" si="255"/>
        <v>LEX Admin &amp; Otherinterest &amp; Bank Charges as % of Total Gross Profit</v>
      </c>
      <c r="S2971" s="199"/>
      <c r="T2971" s="199"/>
      <c r="U2971" s="199"/>
    </row>
    <row r="2972" spans="1:21" x14ac:dyDescent="0.25">
      <c r="A2972" t="s">
        <v>996</v>
      </c>
      <c r="B2972" t="s">
        <v>997</v>
      </c>
      <c r="C2972" t="s">
        <v>997</v>
      </c>
      <c r="D2972">
        <v>7630</v>
      </c>
      <c r="E2972">
        <v>120</v>
      </c>
      <c r="F2972" t="s">
        <v>1342</v>
      </c>
      <c r="G2972" t="s">
        <v>1343</v>
      </c>
      <c r="H2972" s="315" t="s">
        <v>30</v>
      </c>
      <c r="I2972" s="315" t="s">
        <v>1341</v>
      </c>
      <c r="J2972" s="315" t="str">
        <f t="shared" si="251"/>
        <v>Used VehicleFloorplan interest per retail</v>
      </c>
      <c r="K2972" s="315" t="str">
        <f t="shared" si="252"/>
        <v>120Toyota UV Floorplan Interest</v>
      </c>
      <c r="L2972" s="311">
        <f>+SUMIF('TUNZ Extracted TB'!M:M,$P2972,'TUNZ Extracted TB'!G:G)</f>
        <v>8509.82</v>
      </c>
      <c r="M2972" s="311"/>
      <c r="N2972" s="311">
        <f>+SUMIF('Input Sheet'!$AE:$AE,P2972,'Input Sheet'!$X:$X)</f>
        <v>0</v>
      </c>
      <c r="O2972" s="311"/>
      <c r="P2972" t="str">
        <f t="shared" si="253"/>
        <v>120-7630</v>
      </c>
      <c r="Q2972" s="315" t="str">
        <f t="shared" si="254"/>
        <v>Used Vehicle</v>
      </c>
      <c r="R2972" s="315" t="str">
        <f t="shared" si="255"/>
        <v>Used VehicleFloorplan interest per retail</v>
      </c>
      <c r="S2972" s="199"/>
      <c r="T2972" s="199"/>
      <c r="U2972" s="199"/>
    </row>
    <row r="2973" spans="1:21" x14ac:dyDescent="0.25">
      <c r="A2973" t="s">
        <v>996</v>
      </c>
      <c r="B2973" t="s">
        <v>997</v>
      </c>
      <c r="C2973" t="s">
        <v>1013</v>
      </c>
      <c r="D2973">
        <v>7630</v>
      </c>
      <c r="E2973">
        <v>300</v>
      </c>
      <c r="F2973" t="s">
        <v>1332</v>
      </c>
      <c r="G2973" t="s">
        <v>1333</v>
      </c>
      <c r="H2973" s="315" t="s">
        <v>29</v>
      </c>
      <c r="I2973" s="315" t="s">
        <v>1314</v>
      </c>
      <c r="J2973" s="315" t="str">
        <f t="shared" si="251"/>
        <v>New VehicleDemo Expenses (incl. interest) p.u.</v>
      </c>
      <c r="K2973" s="315" t="str">
        <f t="shared" si="252"/>
        <v>300NV Toyota Interest expense</v>
      </c>
      <c r="L2973" s="311">
        <f>+SUMIF('TUNZ Extracted TB'!M:M,$P2973,'TUNZ Extracted TB'!G:G)</f>
        <v>0</v>
      </c>
      <c r="M2973" s="311"/>
      <c r="N2973" s="311">
        <f>+SUMIF('Input Sheet'!$AE:$AE,P2973,'Input Sheet'!$X:$X)</f>
        <v>0</v>
      </c>
      <c r="O2973" s="311"/>
      <c r="P2973" t="str">
        <f t="shared" si="253"/>
        <v>300-7630</v>
      </c>
      <c r="Q2973" s="315" t="str">
        <f t="shared" si="254"/>
        <v>New Vehicle</v>
      </c>
      <c r="R2973" s="315" t="str">
        <f t="shared" si="255"/>
        <v>New VehicleDemo Expenses (incl. interest) p.u.</v>
      </c>
      <c r="S2973" s="199"/>
      <c r="T2973" s="199"/>
      <c r="U2973" s="199"/>
    </row>
    <row r="2974" spans="1:21" x14ac:dyDescent="0.25">
      <c r="A2974" t="s">
        <v>996</v>
      </c>
      <c r="B2974" t="s">
        <v>997</v>
      </c>
      <c r="C2974" t="s">
        <v>997</v>
      </c>
      <c r="D2974">
        <v>7630</v>
      </c>
      <c r="E2974">
        <v>122</v>
      </c>
      <c r="F2974" t="s">
        <v>1334</v>
      </c>
      <c r="G2974" t="s">
        <v>1335</v>
      </c>
      <c r="H2974" s="315" t="s">
        <v>1023</v>
      </c>
      <c r="I2974" s="315" t="s">
        <v>1336</v>
      </c>
      <c r="J2974" s="315" t="str">
        <f t="shared" si="251"/>
        <v>LEX Admin &amp; Otherinterest &amp; Bank Charges as % of Total Gross Profit</v>
      </c>
      <c r="K2974" s="315" t="str">
        <f t="shared" si="252"/>
        <v>122Interest &amp; Bank Charges - Lexus</v>
      </c>
      <c r="L2974" s="311">
        <f>+SUMIF('TUNZ Extracted TB'!M:M,$P2974,'TUNZ Extracted TB'!G:G)</f>
        <v>6127</v>
      </c>
      <c r="M2974" s="311"/>
      <c r="N2974" s="311">
        <f>+SUMIF('Input Sheet'!$AE:$AE,P2974,'Input Sheet'!$X:$X)</f>
        <v>0</v>
      </c>
      <c r="O2974" s="311"/>
      <c r="P2974" t="str">
        <f t="shared" si="253"/>
        <v>122-7630</v>
      </c>
      <c r="Q2974" s="315" t="str">
        <f t="shared" si="254"/>
        <v>LEX Admin &amp; Other</v>
      </c>
      <c r="R2974" s="315" t="str">
        <f t="shared" si="255"/>
        <v>LEX Admin &amp; Otherinterest &amp; Bank Charges as % of Total Gross Profit</v>
      </c>
      <c r="S2974" s="199"/>
      <c r="T2974" s="199"/>
      <c r="U2974" s="199"/>
    </row>
    <row r="2975" spans="1:21" x14ac:dyDescent="0.25">
      <c r="A2975" t="s">
        <v>996</v>
      </c>
      <c r="B2975" t="s">
        <v>997</v>
      </c>
      <c r="C2975" t="s">
        <v>1005</v>
      </c>
      <c r="D2975">
        <v>7630</v>
      </c>
      <c r="E2975">
        <v>220</v>
      </c>
      <c r="F2975" t="s">
        <v>1342</v>
      </c>
      <c r="G2975" t="s">
        <v>1343</v>
      </c>
      <c r="H2975" s="315" t="s">
        <v>30</v>
      </c>
      <c r="I2975" s="315" t="s">
        <v>1341</v>
      </c>
      <c r="J2975" s="315" t="str">
        <f t="shared" si="251"/>
        <v>Used VehicleFloorplan interest per retail</v>
      </c>
      <c r="K2975" s="315" t="str">
        <f t="shared" si="252"/>
        <v>220Toyota UV Floorplan Interest</v>
      </c>
      <c r="L2975" s="311">
        <f>+SUMIF('TUNZ Extracted TB'!M:M,$P2975,'TUNZ Extracted TB'!G:G)</f>
        <v>5956.87</v>
      </c>
      <c r="M2975" s="311"/>
      <c r="N2975" s="311">
        <f>+SUMIF('Input Sheet'!$AE:$AE,P2975,'Input Sheet'!$X:$X)</f>
        <v>0</v>
      </c>
      <c r="O2975" s="311"/>
      <c r="P2975" t="str">
        <f t="shared" si="253"/>
        <v>220-7630</v>
      </c>
      <c r="Q2975" s="315" t="str">
        <f t="shared" si="254"/>
        <v>Used Vehicle</v>
      </c>
      <c r="R2975" s="315" t="str">
        <f t="shared" si="255"/>
        <v>Used VehicleFloorplan interest per retail</v>
      </c>
      <c r="S2975" s="199"/>
      <c r="T2975" s="199"/>
      <c r="U2975" s="199"/>
    </row>
    <row r="2976" spans="1:21" x14ac:dyDescent="0.25">
      <c r="A2976" t="s">
        <v>996</v>
      </c>
      <c r="B2976" t="s">
        <v>997</v>
      </c>
      <c r="C2976" t="s">
        <v>997</v>
      </c>
      <c r="D2976">
        <v>7630</v>
      </c>
      <c r="E2976">
        <v>121</v>
      </c>
      <c r="F2976" t="s">
        <v>1342</v>
      </c>
      <c r="G2976" t="s">
        <v>1343</v>
      </c>
      <c r="H2976" s="315" t="s">
        <v>30</v>
      </c>
      <c r="I2976" s="315" t="s">
        <v>1341</v>
      </c>
      <c r="J2976" s="315" t="str">
        <f t="shared" si="251"/>
        <v>Used VehicleFloorplan interest per retail</v>
      </c>
      <c r="K2976" s="315" t="str">
        <f t="shared" si="252"/>
        <v>121Toyota UV Floorplan Interest</v>
      </c>
      <c r="L2976" s="311">
        <f>+SUMIF('TUNZ Extracted TB'!M:M,$P2976,'TUNZ Extracted TB'!G:G)</f>
        <v>5956.87</v>
      </c>
      <c r="M2976" s="311"/>
      <c r="N2976" s="311">
        <f>+SUMIF('Input Sheet'!$AE:$AE,P2976,'Input Sheet'!$X:$X)</f>
        <v>0</v>
      </c>
      <c r="O2976" s="311"/>
      <c r="P2976" t="str">
        <f t="shared" si="253"/>
        <v>121-7630</v>
      </c>
      <c r="Q2976" s="315" t="str">
        <f t="shared" si="254"/>
        <v>Used Vehicle</v>
      </c>
      <c r="R2976" s="315" t="str">
        <f t="shared" si="255"/>
        <v>Used VehicleFloorplan interest per retail</v>
      </c>
      <c r="S2976" s="199"/>
      <c r="T2976" s="199"/>
      <c r="U2976" s="199"/>
    </row>
    <row r="2977" spans="1:21" x14ac:dyDescent="0.25">
      <c r="A2977" t="s">
        <v>996</v>
      </c>
      <c r="B2977" t="s">
        <v>997</v>
      </c>
      <c r="C2977" t="s">
        <v>1005</v>
      </c>
      <c r="D2977">
        <v>7630</v>
      </c>
      <c r="E2977">
        <v>230</v>
      </c>
      <c r="F2977" t="s">
        <v>1337</v>
      </c>
      <c r="G2977" t="s">
        <v>1338</v>
      </c>
      <c r="H2977" s="315" t="s">
        <v>1000</v>
      </c>
      <c r="I2977" s="315" t="s">
        <v>1336</v>
      </c>
      <c r="J2977" s="315" t="str">
        <f t="shared" si="251"/>
        <v>Admin &amp; Otherinterest &amp; Bank Charges as % of Total Gross Profit</v>
      </c>
      <c r="K2977" s="315" t="str">
        <f t="shared" si="252"/>
        <v>230Interest &amp; Bank Charges - Toyota</v>
      </c>
      <c r="L2977" s="311">
        <f>+SUMIF('TUNZ Extracted TB'!M:M,$P2977,'TUNZ Extracted TB'!G:G)</f>
        <v>1701.98</v>
      </c>
      <c r="M2977" s="311"/>
      <c r="N2977" s="311">
        <f>+SUMIF('Input Sheet'!$AE:$AE,P2977,'Input Sheet'!$X:$X)</f>
        <v>0</v>
      </c>
      <c r="O2977" s="311"/>
      <c r="P2977" t="str">
        <f t="shared" si="253"/>
        <v>230-7630</v>
      </c>
      <c r="Q2977" s="315" t="str">
        <f t="shared" si="254"/>
        <v>Admin &amp; Other</v>
      </c>
      <c r="R2977" s="315" t="str">
        <f t="shared" si="255"/>
        <v>Admin &amp; Otherinterest &amp; Bank Charges as % of Total Gross Profit</v>
      </c>
      <c r="S2977" s="199"/>
      <c r="T2977" s="199"/>
      <c r="U2977" s="199"/>
    </row>
    <row r="2978" spans="1:21" x14ac:dyDescent="0.25">
      <c r="A2978" t="s">
        <v>996</v>
      </c>
      <c r="B2978" t="s">
        <v>997</v>
      </c>
      <c r="C2978" t="s">
        <v>1012</v>
      </c>
      <c r="D2978">
        <v>7630</v>
      </c>
      <c r="E2978">
        <v>440</v>
      </c>
      <c r="F2978" t="s">
        <v>1337</v>
      </c>
      <c r="G2978" t="s">
        <v>1338</v>
      </c>
      <c r="H2978" s="315" t="s">
        <v>1000</v>
      </c>
      <c r="I2978" s="315" t="s">
        <v>1336</v>
      </c>
      <c r="J2978" s="315" t="str">
        <f t="shared" si="251"/>
        <v>Admin &amp; Otherinterest &amp; Bank Charges as % of Total Gross Profit</v>
      </c>
      <c r="K2978" s="315" t="str">
        <f t="shared" si="252"/>
        <v>440Interest &amp; Bank Charges - Toyota</v>
      </c>
      <c r="L2978" s="311">
        <f>+SUMIF('TUNZ Extracted TB'!M:M,$P2978,'TUNZ Extracted TB'!G:G)</f>
        <v>850.98</v>
      </c>
      <c r="M2978" s="311"/>
      <c r="N2978" s="311">
        <f>+SUMIF('Input Sheet'!$AE:$AE,P2978,'Input Sheet'!$X:$X)</f>
        <v>0</v>
      </c>
      <c r="O2978" s="311"/>
      <c r="P2978" t="str">
        <f t="shared" si="253"/>
        <v>440-7630</v>
      </c>
      <c r="Q2978" s="315" t="str">
        <f t="shared" si="254"/>
        <v>Admin &amp; Other</v>
      </c>
      <c r="R2978" s="315" t="str">
        <f t="shared" si="255"/>
        <v>Admin &amp; Otherinterest &amp; Bank Charges as % of Total Gross Profit</v>
      </c>
      <c r="S2978" s="199"/>
      <c r="T2978" s="199"/>
      <c r="U2978" s="199"/>
    </row>
    <row r="2979" spans="1:21" x14ac:dyDescent="0.25">
      <c r="A2979" t="s">
        <v>996</v>
      </c>
      <c r="B2979" t="s">
        <v>997</v>
      </c>
      <c r="C2979" t="s">
        <v>1005</v>
      </c>
      <c r="D2979">
        <v>7630</v>
      </c>
      <c r="E2979">
        <v>240</v>
      </c>
      <c r="F2979" t="s">
        <v>1337</v>
      </c>
      <c r="G2979" t="s">
        <v>1338</v>
      </c>
      <c r="H2979" s="315" t="s">
        <v>1000</v>
      </c>
      <c r="I2979" s="315" t="s">
        <v>1336</v>
      </c>
      <c r="J2979" s="315" t="str">
        <f t="shared" si="251"/>
        <v>Admin &amp; Otherinterest &amp; Bank Charges as % of Total Gross Profit</v>
      </c>
      <c r="K2979" s="315" t="str">
        <f t="shared" si="252"/>
        <v>240Interest &amp; Bank Charges - Toyota</v>
      </c>
      <c r="L2979" s="311">
        <f>+SUMIF('TUNZ Extracted TB'!M:M,$P2979,'TUNZ Extracted TB'!G:G)</f>
        <v>850.98</v>
      </c>
      <c r="M2979" s="311"/>
      <c r="N2979" s="311">
        <f>+SUMIF('Input Sheet'!$AE:$AE,P2979,'Input Sheet'!$X:$X)</f>
        <v>0</v>
      </c>
      <c r="O2979" s="311"/>
      <c r="P2979" t="str">
        <f t="shared" si="253"/>
        <v>240-7630</v>
      </c>
      <c r="Q2979" s="315" t="str">
        <f t="shared" si="254"/>
        <v>Admin &amp; Other</v>
      </c>
      <c r="R2979" s="315" t="str">
        <f t="shared" si="255"/>
        <v>Admin &amp; Otherinterest &amp; Bank Charges as % of Total Gross Profit</v>
      </c>
      <c r="S2979" s="199"/>
      <c r="T2979" s="199"/>
      <c r="U2979" s="199"/>
    </row>
    <row r="2980" spans="1:21" x14ac:dyDescent="0.25">
      <c r="A2980" t="s">
        <v>996</v>
      </c>
      <c r="B2980" t="s">
        <v>997</v>
      </c>
      <c r="C2980" t="s">
        <v>1013</v>
      </c>
      <c r="D2980">
        <v>7630</v>
      </c>
      <c r="E2980">
        <v>340</v>
      </c>
      <c r="F2980" t="s">
        <v>1337</v>
      </c>
      <c r="G2980" t="s">
        <v>1338</v>
      </c>
      <c r="H2980" s="315" t="s">
        <v>1000</v>
      </c>
      <c r="I2980" s="315" t="s">
        <v>1336</v>
      </c>
      <c r="J2980" s="315" t="str">
        <f t="shared" si="251"/>
        <v>Admin &amp; Otherinterest &amp; Bank Charges as % of Total Gross Profit</v>
      </c>
      <c r="K2980" s="315" t="str">
        <f t="shared" si="252"/>
        <v>340Interest &amp; Bank Charges - Toyota</v>
      </c>
      <c r="L2980" s="311">
        <f>+SUMIF('TUNZ Extracted TB'!M:M,$P2980,'TUNZ Extracted TB'!G:G)</f>
        <v>850.98</v>
      </c>
      <c r="M2980" s="311"/>
      <c r="N2980" s="311">
        <f>+SUMIF('Input Sheet'!$AE:$AE,P2980,'Input Sheet'!$X:$X)</f>
        <v>0</v>
      </c>
      <c r="O2980" s="311"/>
      <c r="P2980" t="str">
        <f t="shared" si="253"/>
        <v>340-7630</v>
      </c>
      <c r="Q2980" s="315" t="str">
        <f t="shared" si="254"/>
        <v>Admin &amp; Other</v>
      </c>
      <c r="R2980" s="315" t="str">
        <f t="shared" si="255"/>
        <v>Admin &amp; Otherinterest &amp; Bank Charges as % of Total Gross Profit</v>
      </c>
      <c r="S2980" s="199"/>
      <c r="T2980" s="199"/>
      <c r="U2980" s="199"/>
    </row>
    <row r="2981" spans="1:21" x14ac:dyDescent="0.25">
      <c r="A2981" t="s">
        <v>996</v>
      </c>
      <c r="B2981" t="s">
        <v>997</v>
      </c>
      <c r="C2981" t="s">
        <v>997</v>
      </c>
      <c r="D2981">
        <v>7630</v>
      </c>
      <c r="E2981">
        <v>935</v>
      </c>
      <c r="F2981" t="s">
        <v>1175</v>
      </c>
      <c r="G2981" t="s">
        <v>1176</v>
      </c>
      <c r="H2981" s="315" t="s">
        <v>1023</v>
      </c>
      <c r="I2981" s="315" t="s">
        <v>1336</v>
      </c>
      <c r="J2981" s="315" t="str">
        <f t="shared" si="251"/>
        <v>LEX Admin &amp; Otherinterest &amp; Bank Charges as % of Total Gross Profit</v>
      </c>
      <c r="K2981" s="315" t="str">
        <f t="shared" si="252"/>
        <v>935Other franchise/business expense</v>
      </c>
      <c r="L2981" s="311">
        <f>+SUMIF('TUNZ Extracted TB'!M:M,$P2981,'TUNZ Extracted TB'!G:G)</f>
        <v>850.98</v>
      </c>
      <c r="M2981" s="311"/>
      <c r="N2981" s="311">
        <f>+SUMIF('Input Sheet'!$AE:$AE,P2981,'Input Sheet'!$X:$X)</f>
        <v>0</v>
      </c>
      <c r="O2981" s="311"/>
      <c r="P2981" t="str">
        <f t="shared" si="253"/>
        <v>935-7630</v>
      </c>
      <c r="Q2981" s="315" t="str">
        <f t="shared" si="254"/>
        <v>LEX Admin &amp; Other</v>
      </c>
      <c r="R2981" s="315" t="str">
        <f t="shared" si="255"/>
        <v>LEX Admin &amp; Otherinterest &amp; Bank Charges as % of Total Gross Profit</v>
      </c>
      <c r="S2981" s="199"/>
      <c r="T2981" s="199"/>
      <c r="U2981" s="199"/>
    </row>
    <row r="2982" spans="1:21" x14ac:dyDescent="0.25">
      <c r="A2982" s="316">
        <v>44866</v>
      </c>
      <c r="B2982" t="s">
        <v>997</v>
      </c>
      <c r="C2982" t="s">
        <v>997</v>
      </c>
      <c r="D2982">
        <v>7630</v>
      </c>
      <c r="E2982">
        <v>190</v>
      </c>
      <c r="G2982" t="s">
        <v>956</v>
      </c>
      <c r="H2982" s="315" t="s">
        <v>1000</v>
      </c>
      <c r="I2982" s="315" t="s">
        <v>1336</v>
      </c>
      <c r="J2982" s="315" t="str">
        <f t="shared" si="251"/>
        <v>Admin &amp; Otherinterest &amp; Bank Charges as % of Total Gross Profit</v>
      </c>
      <c r="K2982" s="315" t="str">
        <f t="shared" si="252"/>
        <v>190Interest  Other</v>
      </c>
      <c r="L2982" s="311">
        <f>+SUMIF('TUNZ Extracted TB'!M:M,$P2982,'TUNZ Extracted TB'!G:G)</f>
        <v>0</v>
      </c>
      <c r="M2982" s="311"/>
      <c r="N2982" s="311">
        <f>+SUMIF('Input Sheet'!$AE:$AE,P2982,'Input Sheet'!$X:$X)</f>
        <v>0</v>
      </c>
      <c r="O2982" s="311"/>
      <c r="P2982" t="str">
        <f t="shared" si="253"/>
        <v>190-7630</v>
      </c>
      <c r="Q2982" s="315" t="str">
        <f t="shared" si="254"/>
        <v>Admin &amp; Other</v>
      </c>
      <c r="R2982" s="315" t="str">
        <f t="shared" si="255"/>
        <v>Admin &amp; Otherinterest &amp; Bank Charges as % of Total Gross Profit</v>
      </c>
      <c r="S2982" s="199"/>
      <c r="T2982" s="199"/>
      <c r="U2982" s="199"/>
    </row>
    <row r="2983" spans="1:21" x14ac:dyDescent="0.25">
      <c r="A2983" t="s">
        <v>996</v>
      </c>
      <c r="B2983" t="s">
        <v>997</v>
      </c>
      <c r="C2983" t="s">
        <v>997</v>
      </c>
      <c r="D2983">
        <v>7630</v>
      </c>
      <c r="E2983">
        <v>162</v>
      </c>
      <c r="F2983" t="s">
        <v>1334</v>
      </c>
      <c r="G2983" t="s">
        <v>1335</v>
      </c>
      <c r="H2983" s="315" t="s">
        <v>1023</v>
      </c>
      <c r="I2983" s="315" t="s">
        <v>1336</v>
      </c>
      <c r="J2983" s="315" t="str">
        <f t="shared" si="251"/>
        <v>LEX Admin &amp; Otherinterest &amp; Bank Charges as % of Total Gross Profit</v>
      </c>
      <c r="K2983" s="315" t="str">
        <f t="shared" si="252"/>
        <v>162Interest &amp; Bank Charges - Lexus</v>
      </c>
      <c r="L2983" s="311">
        <f>+SUMIF('TUNZ Extracted TB'!M:M,$P2983,'TUNZ Extracted TB'!G:G)</f>
        <v>0</v>
      </c>
      <c r="M2983" s="311"/>
      <c r="N2983" s="311">
        <f>+SUMIF('Input Sheet'!$AE:$AE,P2983,'Input Sheet'!$X:$X)</f>
        <v>0</v>
      </c>
      <c r="O2983" s="311"/>
      <c r="P2983" t="str">
        <f t="shared" si="253"/>
        <v>162-7630</v>
      </c>
      <c r="Q2983" s="315" t="str">
        <f t="shared" si="254"/>
        <v>LEX Admin &amp; Other</v>
      </c>
      <c r="R2983" s="315" t="str">
        <f t="shared" si="255"/>
        <v>LEX Admin &amp; Otherinterest &amp; Bank Charges as % of Total Gross Profit</v>
      </c>
      <c r="S2983" s="199"/>
      <c r="T2983" s="199"/>
      <c r="U2983" s="199"/>
    </row>
    <row r="2984" spans="1:21" x14ac:dyDescent="0.25">
      <c r="A2984" t="s">
        <v>996</v>
      </c>
      <c r="B2984" t="s">
        <v>997</v>
      </c>
      <c r="C2984" t="s">
        <v>1005</v>
      </c>
      <c r="D2984">
        <v>7630</v>
      </c>
      <c r="E2984">
        <v>221</v>
      </c>
      <c r="F2984" t="s">
        <v>1337</v>
      </c>
      <c r="G2984" t="s">
        <v>1338</v>
      </c>
      <c r="H2984" s="315" t="s">
        <v>1000</v>
      </c>
      <c r="I2984" s="315" t="s">
        <v>1336</v>
      </c>
      <c r="J2984" s="315" t="str">
        <f t="shared" si="251"/>
        <v>Admin &amp; Otherinterest &amp; Bank Charges as % of Total Gross Profit</v>
      </c>
      <c r="K2984" s="315" t="str">
        <f t="shared" si="252"/>
        <v>221Interest &amp; Bank Charges - Toyota</v>
      </c>
      <c r="L2984" s="311">
        <f>+SUMIF('TUNZ Extracted TB'!M:M,$P2984,'TUNZ Extracted TB'!G:G)</f>
        <v>0</v>
      </c>
      <c r="M2984" s="311"/>
      <c r="N2984" s="311">
        <f>+SUMIF('Input Sheet'!$AE:$AE,P2984,'Input Sheet'!$X:$X)</f>
        <v>0</v>
      </c>
      <c r="O2984" s="311"/>
      <c r="P2984" t="str">
        <f t="shared" si="253"/>
        <v>221-7630</v>
      </c>
      <c r="Q2984" s="315" t="str">
        <f t="shared" si="254"/>
        <v>Admin &amp; Other</v>
      </c>
      <c r="R2984" s="315" t="str">
        <f t="shared" si="255"/>
        <v>Admin &amp; Otherinterest &amp; Bank Charges as % of Total Gross Profit</v>
      </c>
      <c r="S2984" s="199"/>
      <c r="T2984" s="199"/>
      <c r="U2984" s="199"/>
    </row>
    <row r="2985" spans="1:21" x14ac:dyDescent="0.25">
      <c r="A2985" t="s">
        <v>996</v>
      </c>
      <c r="B2985" t="s">
        <v>997</v>
      </c>
      <c r="C2985" t="s">
        <v>1005</v>
      </c>
      <c r="D2985">
        <v>7630</v>
      </c>
      <c r="E2985">
        <v>260</v>
      </c>
      <c r="F2985" t="s">
        <v>1337</v>
      </c>
      <c r="G2985" t="s">
        <v>1338</v>
      </c>
      <c r="H2985" s="315" t="s">
        <v>1000</v>
      </c>
      <c r="I2985" s="315" t="s">
        <v>1336</v>
      </c>
      <c r="J2985" s="315" t="str">
        <f t="shared" si="251"/>
        <v>Admin &amp; Otherinterest &amp; Bank Charges as % of Total Gross Profit</v>
      </c>
      <c r="K2985" s="315" t="str">
        <f t="shared" si="252"/>
        <v>260Interest &amp; Bank Charges - Toyota</v>
      </c>
      <c r="L2985" s="311">
        <f>+SUMIF('TUNZ Extracted TB'!M:M,$P2985,'TUNZ Extracted TB'!G:G)</f>
        <v>0</v>
      </c>
      <c r="M2985" s="311"/>
      <c r="N2985" s="311">
        <f>+SUMIF('Input Sheet'!$AE:$AE,P2985,'Input Sheet'!$X:$X)</f>
        <v>0</v>
      </c>
      <c r="O2985" s="311"/>
      <c r="P2985" t="str">
        <f t="shared" si="253"/>
        <v>260-7630</v>
      </c>
      <c r="Q2985" s="315" t="str">
        <f t="shared" si="254"/>
        <v>Admin &amp; Other</v>
      </c>
      <c r="R2985" s="315" t="str">
        <f t="shared" si="255"/>
        <v>Admin &amp; Otherinterest &amp; Bank Charges as % of Total Gross Profit</v>
      </c>
      <c r="S2985" s="199"/>
      <c r="T2985" s="199"/>
      <c r="U2985" s="199"/>
    </row>
    <row r="2986" spans="1:21" x14ac:dyDescent="0.25">
      <c r="A2986" t="s">
        <v>996</v>
      </c>
      <c r="B2986" t="s">
        <v>997</v>
      </c>
      <c r="C2986" t="s">
        <v>1012</v>
      </c>
      <c r="D2986">
        <v>7630</v>
      </c>
      <c r="E2986">
        <v>421</v>
      </c>
      <c r="F2986" t="s">
        <v>1337</v>
      </c>
      <c r="G2986" t="s">
        <v>1338</v>
      </c>
      <c r="H2986" s="315" t="s">
        <v>1000</v>
      </c>
      <c r="I2986" s="315" t="s">
        <v>1336</v>
      </c>
      <c r="J2986" s="315" t="str">
        <f t="shared" si="251"/>
        <v>Admin &amp; Otherinterest &amp; Bank Charges as % of Total Gross Profit</v>
      </c>
      <c r="K2986" s="315" t="str">
        <f t="shared" si="252"/>
        <v>421Interest &amp; Bank Charges - Toyota</v>
      </c>
      <c r="L2986" s="311">
        <f>+SUMIF('TUNZ Extracted TB'!M:M,$P2986,'TUNZ Extracted TB'!G:G)</f>
        <v>0</v>
      </c>
      <c r="M2986" s="311"/>
      <c r="N2986" s="311">
        <f>+SUMIF('Input Sheet'!$AE:$AE,P2986,'Input Sheet'!$X:$X)</f>
        <v>0</v>
      </c>
      <c r="O2986" s="311"/>
      <c r="P2986" t="str">
        <f t="shared" si="253"/>
        <v>421-7630</v>
      </c>
      <c r="Q2986" s="315" t="str">
        <f t="shared" si="254"/>
        <v>Admin &amp; Other</v>
      </c>
      <c r="R2986" s="315" t="str">
        <f t="shared" si="255"/>
        <v>Admin &amp; Otherinterest &amp; Bank Charges as % of Total Gross Profit</v>
      </c>
      <c r="S2986" s="199"/>
      <c r="T2986" s="199"/>
      <c r="U2986" s="199"/>
    </row>
    <row r="2987" spans="1:21" x14ac:dyDescent="0.25">
      <c r="A2987" t="s">
        <v>996</v>
      </c>
      <c r="B2987" t="s">
        <v>997</v>
      </c>
      <c r="C2987" t="s">
        <v>1012</v>
      </c>
      <c r="D2987">
        <v>7630</v>
      </c>
      <c r="E2987">
        <v>430</v>
      </c>
      <c r="F2987" t="s">
        <v>1337</v>
      </c>
      <c r="G2987" t="s">
        <v>1338</v>
      </c>
      <c r="H2987" s="315" t="s">
        <v>1000</v>
      </c>
      <c r="I2987" s="315" t="s">
        <v>1336</v>
      </c>
      <c r="J2987" s="315" t="str">
        <f t="shared" si="251"/>
        <v>Admin &amp; Otherinterest &amp; Bank Charges as % of Total Gross Profit</v>
      </c>
      <c r="K2987" s="315" t="str">
        <f t="shared" si="252"/>
        <v>430Interest &amp; Bank Charges - Toyota</v>
      </c>
      <c r="L2987" s="311">
        <f>+SUMIF('TUNZ Extracted TB'!M:M,$P2987,'TUNZ Extracted TB'!G:G)</f>
        <v>0</v>
      </c>
      <c r="M2987" s="311"/>
      <c r="N2987" s="311">
        <f>+SUMIF('Input Sheet'!$AE:$AE,P2987,'Input Sheet'!$X:$X)</f>
        <v>0</v>
      </c>
      <c r="O2987" s="311"/>
      <c r="P2987" t="str">
        <f t="shared" si="253"/>
        <v>430-7630</v>
      </c>
      <c r="Q2987" s="315" t="str">
        <f t="shared" si="254"/>
        <v>Admin &amp; Other</v>
      </c>
      <c r="R2987" s="315" t="str">
        <f t="shared" si="255"/>
        <v>Admin &amp; Otherinterest &amp; Bank Charges as % of Total Gross Profit</v>
      </c>
      <c r="S2987" s="199"/>
      <c r="T2987" s="199"/>
      <c r="U2987" s="199"/>
    </row>
    <row r="2988" spans="1:21" x14ac:dyDescent="0.25">
      <c r="A2988" t="s">
        <v>996</v>
      </c>
      <c r="B2988" t="s">
        <v>997</v>
      </c>
      <c r="C2988" t="s">
        <v>1012</v>
      </c>
      <c r="D2988">
        <v>7630</v>
      </c>
      <c r="E2988">
        <v>460</v>
      </c>
      <c r="F2988" t="s">
        <v>1337</v>
      </c>
      <c r="G2988" t="s">
        <v>1338</v>
      </c>
      <c r="H2988" s="315" t="s">
        <v>1000</v>
      </c>
      <c r="I2988" s="315" t="s">
        <v>1336</v>
      </c>
      <c r="J2988" s="315" t="str">
        <f t="shared" si="251"/>
        <v>Admin &amp; Otherinterest &amp; Bank Charges as % of Total Gross Profit</v>
      </c>
      <c r="K2988" s="315" t="str">
        <f t="shared" si="252"/>
        <v>460Interest &amp; Bank Charges - Toyota</v>
      </c>
      <c r="L2988" s="311">
        <f>+SUMIF('TUNZ Extracted TB'!M:M,$P2988,'TUNZ Extracted TB'!G:G)</f>
        <v>0</v>
      </c>
      <c r="M2988" s="311"/>
      <c r="N2988" s="311">
        <f>+SUMIF('Input Sheet'!$AE:$AE,P2988,'Input Sheet'!$X:$X)</f>
        <v>0</v>
      </c>
      <c r="O2988" s="311"/>
      <c r="P2988" t="str">
        <f t="shared" si="253"/>
        <v>460-7630</v>
      </c>
      <c r="Q2988" s="315" t="str">
        <f t="shared" si="254"/>
        <v>Admin &amp; Other</v>
      </c>
      <c r="R2988" s="315" t="str">
        <f t="shared" si="255"/>
        <v>Admin &amp; Otherinterest &amp; Bank Charges as % of Total Gross Profit</v>
      </c>
      <c r="S2988" s="199"/>
      <c r="T2988" s="199"/>
      <c r="U2988" s="199"/>
    </row>
    <row r="2989" spans="1:21" x14ac:dyDescent="0.25">
      <c r="A2989" t="s">
        <v>996</v>
      </c>
      <c r="B2989" t="s">
        <v>997</v>
      </c>
      <c r="C2989" t="s">
        <v>1013</v>
      </c>
      <c r="D2989">
        <v>7630</v>
      </c>
      <c r="E2989">
        <v>321</v>
      </c>
      <c r="F2989" t="s">
        <v>1337</v>
      </c>
      <c r="G2989" t="s">
        <v>1338</v>
      </c>
      <c r="H2989" s="315" t="s">
        <v>1000</v>
      </c>
      <c r="I2989" s="315" t="s">
        <v>1336</v>
      </c>
      <c r="J2989" s="315" t="str">
        <f t="shared" si="251"/>
        <v>Admin &amp; Otherinterest &amp; Bank Charges as % of Total Gross Profit</v>
      </c>
      <c r="K2989" s="315" t="str">
        <f t="shared" si="252"/>
        <v>321Interest &amp; Bank Charges - Toyota</v>
      </c>
      <c r="L2989" s="311">
        <f>+SUMIF('TUNZ Extracted TB'!M:M,$P2989,'TUNZ Extracted TB'!G:G)</f>
        <v>0</v>
      </c>
      <c r="M2989" s="311"/>
      <c r="N2989" s="311">
        <f>+SUMIF('Input Sheet'!$AE:$AE,P2989,'Input Sheet'!$X:$X)</f>
        <v>0</v>
      </c>
      <c r="O2989" s="311"/>
      <c r="P2989" t="str">
        <f t="shared" si="253"/>
        <v>321-7630</v>
      </c>
      <c r="Q2989" s="315" t="str">
        <f t="shared" si="254"/>
        <v>Admin &amp; Other</v>
      </c>
      <c r="R2989" s="315" t="str">
        <f t="shared" si="255"/>
        <v>Admin &amp; Otherinterest &amp; Bank Charges as % of Total Gross Profit</v>
      </c>
      <c r="S2989" s="199"/>
      <c r="T2989" s="199"/>
      <c r="U2989" s="199"/>
    </row>
    <row r="2990" spans="1:21" x14ac:dyDescent="0.25">
      <c r="A2990" t="s">
        <v>996</v>
      </c>
      <c r="B2990" t="s">
        <v>997</v>
      </c>
      <c r="C2990" t="s">
        <v>1013</v>
      </c>
      <c r="D2990">
        <v>7630</v>
      </c>
      <c r="E2990">
        <v>330</v>
      </c>
      <c r="F2990" t="s">
        <v>1337</v>
      </c>
      <c r="G2990" t="s">
        <v>1338</v>
      </c>
      <c r="H2990" s="315" t="s">
        <v>1000</v>
      </c>
      <c r="I2990" s="315" t="s">
        <v>1336</v>
      </c>
      <c r="J2990" s="315" t="str">
        <f t="shared" si="251"/>
        <v>Admin &amp; Otherinterest &amp; Bank Charges as % of Total Gross Profit</v>
      </c>
      <c r="K2990" s="315" t="str">
        <f t="shared" si="252"/>
        <v>330Interest &amp; Bank Charges - Toyota</v>
      </c>
      <c r="L2990" s="311">
        <f>+SUMIF('TUNZ Extracted TB'!M:M,$P2990,'TUNZ Extracted TB'!G:G)</f>
        <v>0</v>
      </c>
      <c r="M2990" s="311"/>
      <c r="N2990" s="311">
        <f>+SUMIF('Input Sheet'!$AE:$AE,P2990,'Input Sheet'!$X:$X)</f>
        <v>0</v>
      </c>
      <c r="O2990" s="311"/>
      <c r="P2990" t="str">
        <f t="shared" si="253"/>
        <v>330-7630</v>
      </c>
      <c r="Q2990" s="315" t="str">
        <f t="shared" si="254"/>
        <v>Admin &amp; Other</v>
      </c>
      <c r="R2990" s="315" t="str">
        <f t="shared" si="255"/>
        <v>Admin &amp; Otherinterest &amp; Bank Charges as % of Total Gross Profit</v>
      </c>
      <c r="S2990" s="199"/>
      <c r="T2990" s="199"/>
      <c r="U2990" s="199"/>
    </row>
    <row r="2991" spans="1:21" x14ac:dyDescent="0.25">
      <c r="A2991" t="s">
        <v>996</v>
      </c>
      <c r="B2991" t="s">
        <v>997</v>
      </c>
      <c r="C2991" t="s">
        <v>1013</v>
      </c>
      <c r="D2991">
        <v>7630</v>
      </c>
      <c r="E2991">
        <v>360</v>
      </c>
      <c r="F2991" t="s">
        <v>1337</v>
      </c>
      <c r="G2991" t="s">
        <v>1338</v>
      </c>
      <c r="H2991" s="315" t="s">
        <v>1000</v>
      </c>
      <c r="I2991" s="315" t="s">
        <v>1336</v>
      </c>
      <c r="J2991" s="315" t="str">
        <f t="shared" si="251"/>
        <v>Admin &amp; Otherinterest &amp; Bank Charges as % of Total Gross Profit</v>
      </c>
      <c r="K2991" s="315" t="str">
        <f t="shared" si="252"/>
        <v>360Interest &amp; Bank Charges - Toyota</v>
      </c>
      <c r="L2991" s="311">
        <f>+SUMIF('TUNZ Extracted TB'!M:M,$P2991,'TUNZ Extracted TB'!G:G)</f>
        <v>0</v>
      </c>
      <c r="M2991" s="311"/>
      <c r="N2991" s="311">
        <f>+SUMIF('Input Sheet'!$AE:$AE,P2991,'Input Sheet'!$X:$X)</f>
        <v>0</v>
      </c>
      <c r="O2991" s="311"/>
      <c r="P2991" t="str">
        <f t="shared" si="253"/>
        <v>360-7630</v>
      </c>
      <c r="Q2991" s="315" t="str">
        <f t="shared" si="254"/>
        <v>Admin &amp; Other</v>
      </c>
      <c r="R2991" s="315" t="str">
        <f t="shared" si="255"/>
        <v>Admin &amp; Otherinterest &amp; Bank Charges as % of Total Gross Profit</v>
      </c>
      <c r="S2991" s="199"/>
      <c r="T2991" s="199"/>
      <c r="U2991" s="199"/>
    </row>
    <row r="2992" spans="1:21" x14ac:dyDescent="0.25">
      <c r="A2992" t="s">
        <v>996</v>
      </c>
      <c r="B2992" t="s">
        <v>997</v>
      </c>
      <c r="C2992" t="s">
        <v>997</v>
      </c>
      <c r="D2992">
        <v>7630</v>
      </c>
      <c r="E2992">
        <v>160</v>
      </c>
      <c r="F2992" t="s">
        <v>1337</v>
      </c>
      <c r="G2992" t="s">
        <v>1338</v>
      </c>
      <c r="H2992" s="315" t="s">
        <v>1000</v>
      </c>
      <c r="I2992" s="315" t="s">
        <v>1336</v>
      </c>
      <c r="J2992" s="315" t="str">
        <f t="shared" si="251"/>
        <v>Admin &amp; Otherinterest &amp; Bank Charges as % of Total Gross Profit</v>
      </c>
      <c r="K2992" s="315" t="str">
        <f t="shared" si="252"/>
        <v>160Interest &amp; Bank Charges - Toyota</v>
      </c>
      <c r="L2992" s="311">
        <f>+SUMIF('TUNZ Extracted TB'!M:M,$P2992,'TUNZ Extracted TB'!G:G)</f>
        <v>0</v>
      </c>
      <c r="M2992" s="311"/>
      <c r="N2992" s="311">
        <f>+SUMIF('Input Sheet'!$AE:$AE,P2992,'Input Sheet'!$X:$X)</f>
        <v>0</v>
      </c>
      <c r="O2992" s="311"/>
      <c r="P2992" t="str">
        <f t="shared" si="253"/>
        <v>160-7630</v>
      </c>
      <c r="Q2992" s="315" t="str">
        <f t="shared" si="254"/>
        <v>Admin &amp; Other</v>
      </c>
      <c r="R2992" s="315" t="str">
        <f t="shared" si="255"/>
        <v>Admin &amp; Otherinterest &amp; Bank Charges as % of Total Gross Profit</v>
      </c>
      <c r="S2992" s="199"/>
      <c r="T2992" s="199"/>
      <c r="U2992" s="199"/>
    </row>
    <row r="2993" spans="1:21" x14ac:dyDescent="0.25">
      <c r="A2993" t="s">
        <v>996</v>
      </c>
      <c r="B2993" t="s">
        <v>997</v>
      </c>
      <c r="C2993" t="s">
        <v>997</v>
      </c>
      <c r="D2993">
        <v>7630</v>
      </c>
      <c r="E2993">
        <v>147</v>
      </c>
      <c r="F2993" t="s">
        <v>1337</v>
      </c>
      <c r="G2993" t="s">
        <v>1338</v>
      </c>
      <c r="H2993" s="315" t="s">
        <v>1000</v>
      </c>
      <c r="I2993" s="315" t="s">
        <v>1336</v>
      </c>
      <c r="J2993" s="315" t="str">
        <f t="shared" si="251"/>
        <v>Admin &amp; Otherinterest &amp; Bank Charges as % of Total Gross Profit</v>
      </c>
      <c r="K2993" s="315" t="str">
        <f t="shared" si="252"/>
        <v>147Interest &amp; Bank Charges - Toyota</v>
      </c>
      <c r="L2993" s="311">
        <f>+SUMIF('TUNZ Extracted TB'!M:M,$P2993,'TUNZ Extracted TB'!G:G)</f>
        <v>0</v>
      </c>
      <c r="M2993" s="311"/>
      <c r="N2993" s="311">
        <f>+SUMIF('Input Sheet'!$AE:$AE,P2993,'Input Sheet'!$X:$X)</f>
        <v>0</v>
      </c>
      <c r="O2993" s="311"/>
      <c r="P2993" t="str">
        <f t="shared" si="253"/>
        <v>147-7630</v>
      </c>
      <c r="Q2993" s="315" t="str">
        <f t="shared" si="254"/>
        <v>Admin &amp; Other</v>
      </c>
      <c r="R2993" s="315" t="str">
        <f t="shared" si="255"/>
        <v>Admin &amp; Otherinterest &amp; Bank Charges as % of Total Gross Profit</v>
      </c>
      <c r="S2993" s="199"/>
      <c r="T2993" s="199"/>
      <c r="U2993" s="199"/>
    </row>
    <row r="2994" spans="1:21" x14ac:dyDescent="0.25">
      <c r="A2994" t="s">
        <v>996</v>
      </c>
      <c r="B2994" t="s">
        <v>997</v>
      </c>
      <c r="C2994" t="s">
        <v>1013</v>
      </c>
      <c r="D2994">
        <v>7630</v>
      </c>
      <c r="E2994">
        <v>310</v>
      </c>
      <c r="F2994" t="s">
        <v>1332</v>
      </c>
      <c r="G2994" t="s">
        <v>1333</v>
      </c>
      <c r="H2994" s="315" t="s">
        <v>29</v>
      </c>
      <c r="I2994" s="315" t="s">
        <v>1314</v>
      </c>
      <c r="J2994" s="315" t="str">
        <f t="shared" si="251"/>
        <v>New VehicleDemo Expenses (incl. interest) p.u.</v>
      </c>
      <c r="K2994" s="315" t="str">
        <f t="shared" si="252"/>
        <v>310NV Toyota Interest expense</v>
      </c>
      <c r="L2994" s="311">
        <f>+SUMIF('TUNZ Extracted TB'!M:M,$P2994,'TUNZ Extracted TB'!G:G)</f>
        <v>0</v>
      </c>
      <c r="M2994" s="311"/>
      <c r="N2994" s="311">
        <f>+SUMIF('Input Sheet'!$AE:$AE,P2994,'Input Sheet'!$X:$X)</f>
        <v>0</v>
      </c>
      <c r="O2994" s="311"/>
      <c r="P2994" t="str">
        <f t="shared" si="253"/>
        <v>310-7630</v>
      </c>
      <c r="Q2994" s="315" t="str">
        <f t="shared" si="254"/>
        <v>New Vehicle</v>
      </c>
      <c r="R2994" s="315" t="str">
        <f t="shared" si="255"/>
        <v>New VehicleDemo Expenses (incl. interest) p.u.</v>
      </c>
      <c r="S2994" s="199"/>
      <c r="T2994" s="199"/>
      <c r="U2994" s="199"/>
    </row>
    <row r="2995" spans="1:21" x14ac:dyDescent="0.25">
      <c r="A2995" t="s">
        <v>996</v>
      </c>
      <c r="B2995" t="s">
        <v>997</v>
      </c>
      <c r="C2995" t="s">
        <v>997</v>
      </c>
      <c r="D2995">
        <v>7630</v>
      </c>
      <c r="E2995">
        <v>110</v>
      </c>
      <c r="F2995" t="s">
        <v>1332</v>
      </c>
      <c r="G2995" t="s">
        <v>1333</v>
      </c>
      <c r="H2995" s="315" t="s">
        <v>29</v>
      </c>
      <c r="I2995" s="315" t="s">
        <v>1314</v>
      </c>
      <c r="J2995" s="315" t="str">
        <f t="shared" si="251"/>
        <v>New VehicleDemo Expenses (incl. interest) p.u.</v>
      </c>
      <c r="K2995" s="315" t="str">
        <f t="shared" si="252"/>
        <v>110NV Toyota Interest expense</v>
      </c>
      <c r="L2995" s="311">
        <f>+SUMIF('TUNZ Extracted TB'!M:M,$P2995,'TUNZ Extracted TB'!G:G)</f>
        <v>28082.400000000001</v>
      </c>
      <c r="M2995" s="311"/>
      <c r="N2995" s="311">
        <f>+SUMIF('Input Sheet'!$AE:$AE,P2995,'Input Sheet'!$X:$X)</f>
        <v>0</v>
      </c>
      <c r="O2995" s="311"/>
      <c r="P2995" t="str">
        <f t="shared" si="253"/>
        <v>110-7630</v>
      </c>
      <c r="Q2995" s="315" t="str">
        <f t="shared" si="254"/>
        <v>New Vehicle</v>
      </c>
      <c r="R2995" s="315" t="str">
        <f t="shared" si="255"/>
        <v>New VehicleDemo Expenses (incl. interest) p.u.</v>
      </c>
      <c r="S2995" s="199"/>
      <c r="T2995" s="199"/>
      <c r="U2995" s="199"/>
    </row>
    <row r="2996" spans="1:21" x14ac:dyDescent="0.25">
      <c r="A2996" t="s">
        <v>996</v>
      </c>
      <c r="B2996" t="s">
        <v>997</v>
      </c>
      <c r="C2996" t="s">
        <v>997</v>
      </c>
      <c r="D2996">
        <v>7630</v>
      </c>
      <c r="E2996">
        <v>100</v>
      </c>
      <c r="F2996" t="s">
        <v>1332</v>
      </c>
      <c r="G2996" t="s">
        <v>1333</v>
      </c>
      <c r="H2996" s="315" t="s">
        <v>29</v>
      </c>
      <c r="I2996" s="315" t="s">
        <v>1314</v>
      </c>
      <c r="J2996" s="315" t="str">
        <f t="shared" si="251"/>
        <v>New VehicleDemo Expenses (incl. interest) p.u.</v>
      </c>
      <c r="K2996" s="315" t="str">
        <f t="shared" si="252"/>
        <v>100NV Toyota Interest expense</v>
      </c>
      <c r="L2996" s="311">
        <f>+SUMIF('TUNZ Extracted TB'!M:M,$P2996,'TUNZ Extracted TB'!G:G)</f>
        <v>0</v>
      </c>
      <c r="M2996" s="311"/>
      <c r="N2996" s="311">
        <f>+SUMIF('Input Sheet'!$AE:$AE,P2996,'Input Sheet'!$X:$X)</f>
        <v>0</v>
      </c>
      <c r="O2996" s="311"/>
      <c r="P2996" t="str">
        <f t="shared" si="253"/>
        <v>100-7630</v>
      </c>
      <c r="Q2996" s="315" t="str">
        <f t="shared" si="254"/>
        <v>New Vehicle</v>
      </c>
      <c r="R2996" s="315" t="str">
        <f t="shared" si="255"/>
        <v>New VehicleDemo Expenses (incl. interest) p.u.</v>
      </c>
      <c r="S2996" s="199"/>
      <c r="T2996" s="199"/>
      <c r="U2996" s="199"/>
    </row>
    <row r="2997" spans="1:21" x14ac:dyDescent="0.25">
      <c r="A2997" t="s">
        <v>996</v>
      </c>
      <c r="B2997" t="s">
        <v>997</v>
      </c>
      <c r="C2997" t="s">
        <v>1005</v>
      </c>
      <c r="D2997">
        <v>7650</v>
      </c>
      <c r="E2997">
        <v>200</v>
      </c>
      <c r="F2997" t="s">
        <v>1360</v>
      </c>
      <c r="G2997" t="s">
        <v>1361</v>
      </c>
      <c r="H2997" s="315" t="s">
        <v>29</v>
      </c>
      <c r="I2997" s="315" t="s">
        <v>1359</v>
      </c>
      <c r="J2997" s="315" t="str">
        <f t="shared" si="251"/>
        <v>New VehicleOther Semi-Fixed Expenses p.u</v>
      </c>
      <c r="K2997" s="315" t="str">
        <f t="shared" si="252"/>
        <v>200NV Other Semi-Fixed expenses - Toyota</v>
      </c>
      <c r="L2997" s="311">
        <f>+SUMIF('TUNZ Extracted TB'!M:M,$P2997,'TUNZ Extracted TB'!G:G)</f>
        <v>0</v>
      </c>
      <c r="M2997" s="311"/>
      <c r="N2997" s="311">
        <f>+SUMIF('Input Sheet'!$AE:$AE,P2997,'Input Sheet'!$X:$X)</f>
        <v>0</v>
      </c>
      <c r="O2997" s="311"/>
      <c r="P2997" t="str">
        <f t="shared" si="253"/>
        <v>200-7650</v>
      </c>
      <c r="Q2997" s="315" t="str">
        <f t="shared" si="254"/>
        <v>New Vehicle</v>
      </c>
      <c r="R2997" s="315" t="str">
        <f t="shared" si="255"/>
        <v>New VehicleOther Semi-Fixed Expenses p.u</v>
      </c>
      <c r="S2997" s="199"/>
      <c r="T2997" s="199"/>
      <c r="U2997" s="199"/>
    </row>
    <row r="2998" spans="1:21" x14ac:dyDescent="0.25">
      <c r="A2998" t="s">
        <v>996</v>
      </c>
      <c r="B2998" t="s">
        <v>997</v>
      </c>
      <c r="C2998" t="s">
        <v>1012</v>
      </c>
      <c r="D2998">
        <v>7650</v>
      </c>
      <c r="E2998">
        <v>400</v>
      </c>
      <c r="F2998" t="s">
        <v>1360</v>
      </c>
      <c r="G2998" t="s">
        <v>1361</v>
      </c>
      <c r="H2998" s="315" t="s">
        <v>29</v>
      </c>
      <c r="I2998" s="315" t="s">
        <v>1359</v>
      </c>
      <c r="J2998" s="315" t="str">
        <f t="shared" si="251"/>
        <v>New VehicleOther Semi-Fixed Expenses p.u</v>
      </c>
      <c r="K2998" s="315" t="str">
        <f t="shared" si="252"/>
        <v>400NV Other Semi-Fixed expenses - Toyota</v>
      </c>
      <c r="L2998" s="311">
        <f>+SUMIF('TUNZ Extracted TB'!M:M,$P2998,'TUNZ Extracted TB'!G:G)</f>
        <v>0</v>
      </c>
      <c r="M2998" s="311"/>
      <c r="N2998" s="311">
        <f>+SUMIF('Input Sheet'!$AE:$AE,P2998,'Input Sheet'!$X:$X)</f>
        <v>0</v>
      </c>
      <c r="O2998" s="311"/>
      <c r="P2998" t="str">
        <f t="shared" si="253"/>
        <v>400-7650</v>
      </c>
      <c r="Q2998" s="315" t="str">
        <f t="shared" si="254"/>
        <v>New Vehicle</v>
      </c>
      <c r="R2998" s="315" t="str">
        <f t="shared" si="255"/>
        <v>New VehicleOther Semi-Fixed Expenses p.u</v>
      </c>
      <c r="S2998" s="199"/>
      <c r="T2998" s="199"/>
      <c r="U2998" s="199"/>
    </row>
    <row r="2999" spans="1:21" x14ac:dyDescent="0.25">
      <c r="A2999" t="s">
        <v>996</v>
      </c>
      <c r="B2999" t="s">
        <v>997</v>
      </c>
      <c r="C2999" t="s">
        <v>997</v>
      </c>
      <c r="D2999">
        <v>7630</v>
      </c>
      <c r="E2999">
        <v>936</v>
      </c>
      <c r="F2999" t="s">
        <v>1175</v>
      </c>
      <c r="G2999" t="s">
        <v>1176</v>
      </c>
      <c r="H2999" s="315" t="s">
        <v>1023</v>
      </c>
      <c r="I2999" s="315" t="s">
        <v>1336</v>
      </c>
      <c r="J2999" s="315" t="str">
        <f t="shared" si="251"/>
        <v>LEX Admin &amp; Otherinterest &amp; Bank Charges as % of Total Gross Profit</v>
      </c>
      <c r="K2999" s="315" t="str">
        <f t="shared" si="252"/>
        <v>936Other franchise/business expense</v>
      </c>
      <c r="L2999" s="311">
        <f>+SUMIF('TUNZ Extracted TB'!M:M,$P2999,'TUNZ Extracted TB'!G:G)</f>
        <v>0</v>
      </c>
      <c r="M2999" s="311"/>
      <c r="N2999" s="311">
        <f>+SUMIF('Input Sheet'!$AE:$AE,P2999,'Input Sheet'!$X:$X)</f>
        <v>0</v>
      </c>
      <c r="O2999" s="311"/>
      <c r="P2999" t="str">
        <f t="shared" si="253"/>
        <v>936-7630</v>
      </c>
      <c r="Q2999" s="315" t="str">
        <f t="shared" si="254"/>
        <v>LEX Admin &amp; Other</v>
      </c>
      <c r="R2999" s="315" t="str">
        <f t="shared" si="255"/>
        <v>LEX Admin &amp; Otherinterest &amp; Bank Charges as % of Total Gross Profit</v>
      </c>
      <c r="S2999" s="199"/>
      <c r="T2999" s="199"/>
      <c r="U2999" s="199"/>
    </row>
    <row r="3000" spans="1:21" x14ac:dyDescent="0.25">
      <c r="A3000" t="s">
        <v>996</v>
      </c>
      <c r="B3000" t="s">
        <v>997</v>
      </c>
      <c r="C3000" t="s">
        <v>1012</v>
      </c>
      <c r="D3000">
        <v>7630</v>
      </c>
      <c r="E3000">
        <v>420</v>
      </c>
      <c r="F3000" t="s">
        <v>1342</v>
      </c>
      <c r="G3000" t="s">
        <v>1343</v>
      </c>
      <c r="H3000" s="315" t="s">
        <v>30</v>
      </c>
      <c r="I3000" s="315" t="s">
        <v>1341</v>
      </c>
      <c r="J3000" s="315" t="str">
        <f t="shared" si="251"/>
        <v>Used VehicleFloorplan interest per retail</v>
      </c>
      <c r="K3000" s="315" t="str">
        <f t="shared" si="252"/>
        <v>420Toyota UV Floorplan Interest</v>
      </c>
      <c r="L3000" s="311">
        <f>+SUMIF('TUNZ Extracted TB'!M:M,$P3000,'TUNZ Extracted TB'!G:G)</f>
        <v>0</v>
      </c>
      <c r="M3000" s="311"/>
      <c r="N3000" s="311">
        <f>+SUMIF('Input Sheet'!$AE:$AE,P3000,'Input Sheet'!$X:$X)</f>
        <v>0</v>
      </c>
      <c r="O3000" s="311"/>
      <c r="P3000" t="str">
        <f t="shared" si="253"/>
        <v>420-7630</v>
      </c>
      <c r="Q3000" s="315" t="str">
        <f t="shared" si="254"/>
        <v>Used Vehicle</v>
      </c>
      <c r="R3000" s="315" t="str">
        <f t="shared" si="255"/>
        <v>Used VehicleFloorplan interest per retail</v>
      </c>
      <c r="S3000" s="199"/>
      <c r="T3000" s="199"/>
      <c r="U3000" s="199"/>
    </row>
    <row r="3001" spans="1:21" x14ac:dyDescent="0.25">
      <c r="A3001" t="s">
        <v>996</v>
      </c>
      <c r="B3001" t="s">
        <v>997</v>
      </c>
      <c r="C3001" t="s">
        <v>1013</v>
      </c>
      <c r="D3001">
        <v>7630</v>
      </c>
      <c r="E3001">
        <v>320</v>
      </c>
      <c r="F3001" t="s">
        <v>1342</v>
      </c>
      <c r="G3001" t="s">
        <v>1343</v>
      </c>
      <c r="H3001" s="315" t="s">
        <v>30</v>
      </c>
      <c r="I3001" s="315" t="s">
        <v>1341</v>
      </c>
      <c r="J3001" s="315" t="str">
        <f t="shared" si="251"/>
        <v>Used VehicleFloorplan interest per retail</v>
      </c>
      <c r="K3001" s="315" t="str">
        <f t="shared" si="252"/>
        <v>320Toyota UV Floorplan Interest</v>
      </c>
      <c r="L3001" s="311">
        <f>+SUMIF('TUNZ Extracted TB'!M:M,$P3001,'TUNZ Extracted TB'!G:G)</f>
        <v>0</v>
      </c>
      <c r="M3001" s="311"/>
      <c r="N3001" s="311">
        <f>+SUMIF('Input Sheet'!$AE:$AE,P3001,'Input Sheet'!$X:$X)</f>
        <v>0</v>
      </c>
      <c r="O3001" s="311"/>
      <c r="P3001" t="str">
        <f t="shared" si="253"/>
        <v>320-7630</v>
      </c>
      <c r="Q3001" s="315" t="str">
        <f t="shared" si="254"/>
        <v>Used Vehicle</v>
      </c>
      <c r="R3001" s="315" t="str">
        <f t="shared" si="255"/>
        <v>Used VehicleFloorplan interest per retail</v>
      </c>
      <c r="S3001" s="199"/>
      <c r="T3001" s="199"/>
      <c r="U3001" s="199"/>
    </row>
    <row r="3002" spans="1:21" x14ac:dyDescent="0.25">
      <c r="A3002" t="s">
        <v>996</v>
      </c>
      <c r="B3002" t="s">
        <v>997</v>
      </c>
      <c r="C3002" t="s">
        <v>997</v>
      </c>
      <c r="D3002">
        <v>7630</v>
      </c>
      <c r="E3002">
        <v>140</v>
      </c>
      <c r="F3002" t="s">
        <v>1337</v>
      </c>
      <c r="G3002" t="s">
        <v>1338</v>
      </c>
      <c r="H3002" s="315" t="s">
        <v>1000</v>
      </c>
      <c r="I3002" s="315" t="s">
        <v>1336</v>
      </c>
      <c r="J3002" s="315" t="str">
        <f t="shared" si="251"/>
        <v>Admin &amp; Otherinterest &amp; Bank Charges as % of Total Gross Profit</v>
      </c>
      <c r="K3002" s="315" t="str">
        <f t="shared" si="252"/>
        <v>140Interest &amp; Bank Charges - Toyota</v>
      </c>
      <c r="L3002" s="311">
        <f>+SUMIF('TUNZ Extracted TB'!M:M,$P3002,'TUNZ Extracted TB'!G:G)</f>
        <v>850.98</v>
      </c>
      <c r="M3002" s="311"/>
      <c r="N3002" s="311">
        <f>+SUMIF('Input Sheet'!$AE:$AE,P3002,'Input Sheet'!$X:$X)</f>
        <v>0</v>
      </c>
      <c r="O3002" s="311"/>
      <c r="P3002" t="str">
        <f t="shared" si="253"/>
        <v>140-7630</v>
      </c>
      <c r="Q3002" s="315" t="str">
        <f t="shared" si="254"/>
        <v>Admin &amp; Other</v>
      </c>
      <c r="R3002" s="315" t="str">
        <f t="shared" si="255"/>
        <v>Admin &amp; Otherinterest &amp; Bank Charges as % of Total Gross Profit</v>
      </c>
      <c r="S3002" s="199"/>
      <c r="T3002" s="199"/>
      <c r="U3002" s="199"/>
    </row>
    <row r="3003" spans="1:21" x14ac:dyDescent="0.25">
      <c r="A3003" t="s">
        <v>996</v>
      </c>
      <c r="B3003" t="s">
        <v>997</v>
      </c>
      <c r="C3003" t="s">
        <v>997</v>
      </c>
      <c r="D3003">
        <v>7630</v>
      </c>
      <c r="E3003">
        <v>142</v>
      </c>
      <c r="F3003" t="s">
        <v>1334</v>
      </c>
      <c r="G3003" t="s">
        <v>1335</v>
      </c>
      <c r="H3003" s="315" t="s">
        <v>1023</v>
      </c>
      <c r="I3003" s="315" t="s">
        <v>1336</v>
      </c>
      <c r="J3003" s="315" t="str">
        <f t="shared" si="251"/>
        <v>LEX Admin &amp; Otherinterest &amp; Bank Charges as % of Total Gross Profit</v>
      </c>
      <c r="K3003" s="315" t="str">
        <f t="shared" si="252"/>
        <v>142Interest &amp; Bank Charges - Lexus</v>
      </c>
      <c r="L3003" s="311">
        <f>+SUMIF('TUNZ Extracted TB'!M:M,$P3003,'TUNZ Extracted TB'!G:G)</f>
        <v>0</v>
      </c>
      <c r="M3003" s="311"/>
      <c r="N3003" s="311">
        <f>+SUMIF('Input Sheet'!$AE:$AE,P3003,'Input Sheet'!$X:$X)</f>
        <v>0</v>
      </c>
      <c r="O3003" s="311"/>
      <c r="P3003" t="str">
        <f t="shared" si="253"/>
        <v>142-7630</v>
      </c>
      <c r="Q3003" s="315" t="str">
        <f t="shared" si="254"/>
        <v>LEX Admin &amp; Other</v>
      </c>
      <c r="R3003" s="315" t="str">
        <f t="shared" si="255"/>
        <v>LEX Admin &amp; Otherinterest &amp; Bank Charges as % of Total Gross Profit</v>
      </c>
      <c r="S3003" s="199"/>
      <c r="T3003" s="199"/>
      <c r="U3003" s="199"/>
    </row>
    <row r="3004" spans="1:21" x14ac:dyDescent="0.25">
      <c r="A3004" t="s">
        <v>996</v>
      </c>
      <c r="B3004" t="s">
        <v>997</v>
      </c>
      <c r="C3004" t="s">
        <v>997</v>
      </c>
      <c r="D3004">
        <v>7630</v>
      </c>
      <c r="E3004">
        <v>130</v>
      </c>
      <c r="F3004" t="s">
        <v>1337</v>
      </c>
      <c r="G3004" t="s">
        <v>1338</v>
      </c>
      <c r="H3004" s="315" t="s">
        <v>1000</v>
      </c>
      <c r="I3004" s="315" t="s">
        <v>1336</v>
      </c>
      <c r="J3004" s="315" t="str">
        <f t="shared" si="251"/>
        <v>Admin &amp; Otherinterest &amp; Bank Charges as % of Total Gross Profit</v>
      </c>
      <c r="K3004" s="315" t="str">
        <f t="shared" si="252"/>
        <v>130Interest &amp; Bank Charges - Toyota</v>
      </c>
      <c r="L3004" s="311">
        <f>+SUMIF('TUNZ Extracted TB'!M:M,$P3004,'TUNZ Extracted TB'!G:G)</f>
        <v>3403.93</v>
      </c>
      <c r="M3004" s="311"/>
      <c r="N3004" s="311">
        <f>+SUMIF('Input Sheet'!$AE:$AE,P3004,'Input Sheet'!$X:$X)</f>
        <v>0</v>
      </c>
      <c r="O3004" s="311"/>
      <c r="P3004" t="str">
        <f t="shared" si="253"/>
        <v>130-7630</v>
      </c>
      <c r="Q3004" s="315" t="str">
        <f t="shared" si="254"/>
        <v>Admin &amp; Other</v>
      </c>
      <c r="R3004" s="315" t="str">
        <f t="shared" si="255"/>
        <v>Admin &amp; Otherinterest &amp; Bank Charges as % of Total Gross Profit</v>
      </c>
      <c r="S3004" s="199"/>
      <c r="T3004" s="199"/>
      <c r="U3004" s="199"/>
    </row>
    <row r="3005" spans="1:21" x14ac:dyDescent="0.25">
      <c r="A3005" t="s">
        <v>996</v>
      </c>
      <c r="B3005" t="s">
        <v>997</v>
      </c>
      <c r="C3005" t="s">
        <v>997</v>
      </c>
      <c r="D3005">
        <v>7630</v>
      </c>
      <c r="E3005">
        <v>132</v>
      </c>
      <c r="F3005" t="s">
        <v>1334</v>
      </c>
      <c r="G3005" t="s">
        <v>1335</v>
      </c>
      <c r="H3005" s="315" t="s">
        <v>1023</v>
      </c>
      <c r="I3005" s="315" t="s">
        <v>1336</v>
      </c>
      <c r="J3005" s="315" t="str">
        <f t="shared" si="251"/>
        <v>LEX Admin &amp; Otherinterest &amp; Bank Charges as % of Total Gross Profit</v>
      </c>
      <c r="K3005" s="315" t="str">
        <f t="shared" si="252"/>
        <v>132Interest &amp; Bank Charges - Lexus</v>
      </c>
      <c r="L3005" s="311">
        <f>+SUMIF('TUNZ Extracted TB'!M:M,$P3005,'TUNZ Extracted TB'!G:G)</f>
        <v>0</v>
      </c>
      <c r="M3005" s="311"/>
      <c r="N3005" s="311">
        <f>+SUMIF('Input Sheet'!$AE:$AE,P3005,'Input Sheet'!$X:$X)</f>
        <v>0</v>
      </c>
      <c r="O3005" s="311"/>
      <c r="P3005" t="str">
        <f t="shared" si="253"/>
        <v>132-7630</v>
      </c>
      <c r="Q3005" s="315" t="str">
        <f t="shared" si="254"/>
        <v>LEX Admin &amp; Other</v>
      </c>
      <c r="R3005" s="315" t="str">
        <f t="shared" si="255"/>
        <v>LEX Admin &amp; Otherinterest &amp; Bank Charges as % of Total Gross Profit</v>
      </c>
      <c r="S3005" s="199"/>
      <c r="T3005" s="199"/>
      <c r="U3005" s="199"/>
    </row>
    <row r="3006" spans="1:21" x14ac:dyDescent="0.25">
      <c r="A3006" t="s">
        <v>996</v>
      </c>
      <c r="B3006" t="s">
        <v>997</v>
      </c>
      <c r="C3006" t="s">
        <v>1013</v>
      </c>
      <c r="D3006">
        <v>7650</v>
      </c>
      <c r="E3006">
        <v>300</v>
      </c>
      <c r="F3006" t="s">
        <v>1360</v>
      </c>
      <c r="G3006" t="s">
        <v>1361</v>
      </c>
      <c r="H3006" s="315" t="s">
        <v>29</v>
      </c>
      <c r="I3006" s="315" t="s">
        <v>1359</v>
      </c>
      <c r="J3006" s="315" t="str">
        <f t="shared" si="251"/>
        <v>New VehicleOther Semi-Fixed Expenses p.u</v>
      </c>
      <c r="K3006" s="315" t="str">
        <f t="shared" si="252"/>
        <v>300NV Other Semi-Fixed expenses - Toyota</v>
      </c>
      <c r="L3006" s="311">
        <f>+SUMIF('TUNZ Extracted TB'!M:M,$P3006,'TUNZ Extracted TB'!G:G)</f>
        <v>0</v>
      </c>
      <c r="M3006" s="311"/>
      <c r="N3006" s="311">
        <f>+SUMIF('Input Sheet'!$AE:$AE,P3006,'Input Sheet'!$X:$X)</f>
        <v>0</v>
      </c>
      <c r="O3006" s="311"/>
      <c r="P3006" t="str">
        <f t="shared" si="253"/>
        <v>300-7650</v>
      </c>
      <c r="Q3006" s="315" t="str">
        <f t="shared" si="254"/>
        <v>New Vehicle</v>
      </c>
      <c r="R3006" s="315" t="str">
        <f t="shared" si="255"/>
        <v>New VehicleOther Semi-Fixed Expenses p.u</v>
      </c>
      <c r="S3006" s="199"/>
      <c r="T3006" s="199"/>
      <c r="U3006" s="199"/>
    </row>
    <row r="3007" spans="1:21" x14ac:dyDescent="0.25">
      <c r="A3007" t="s">
        <v>996</v>
      </c>
      <c r="B3007" t="s">
        <v>997</v>
      </c>
      <c r="C3007" t="s">
        <v>997</v>
      </c>
      <c r="D3007">
        <v>7630</v>
      </c>
      <c r="E3007">
        <v>112</v>
      </c>
      <c r="F3007" t="s">
        <v>1334</v>
      </c>
      <c r="G3007" t="s">
        <v>1335</v>
      </c>
      <c r="H3007" s="315" t="s">
        <v>1023</v>
      </c>
      <c r="I3007" s="315" t="s">
        <v>1336</v>
      </c>
      <c r="J3007" s="315" t="str">
        <f t="shared" si="251"/>
        <v>LEX Admin &amp; Otherinterest &amp; Bank Charges as % of Total Gross Profit</v>
      </c>
      <c r="K3007" s="315" t="str">
        <f t="shared" si="252"/>
        <v>112Interest &amp; Bank Charges - Lexus</v>
      </c>
      <c r="L3007" s="311">
        <f>+SUMIF('TUNZ Extracted TB'!M:M,$P3007,'TUNZ Extracted TB'!G:G)</f>
        <v>14296.56</v>
      </c>
      <c r="M3007" s="311"/>
      <c r="N3007" s="311">
        <f>+SUMIF('Input Sheet'!$AE:$AE,P3007,'Input Sheet'!$X:$X)</f>
        <v>0</v>
      </c>
      <c r="O3007" s="311"/>
      <c r="P3007" t="str">
        <f t="shared" si="253"/>
        <v>112-7630</v>
      </c>
      <c r="Q3007" s="315" t="str">
        <f t="shared" si="254"/>
        <v>LEX Admin &amp; Other</v>
      </c>
      <c r="R3007" s="315" t="str">
        <f t="shared" si="255"/>
        <v>LEX Admin &amp; Otherinterest &amp; Bank Charges as % of Total Gross Profit</v>
      </c>
      <c r="S3007" s="199"/>
      <c r="T3007" s="199"/>
      <c r="U3007" s="199"/>
    </row>
    <row r="3008" spans="1:21" x14ac:dyDescent="0.25">
      <c r="A3008" t="s">
        <v>996</v>
      </c>
      <c r="B3008" t="s">
        <v>997</v>
      </c>
      <c r="C3008" t="s">
        <v>997</v>
      </c>
      <c r="D3008">
        <v>7650</v>
      </c>
      <c r="E3008">
        <v>112</v>
      </c>
      <c r="F3008" t="s">
        <v>1357</v>
      </c>
      <c r="G3008" t="s">
        <v>1358</v>
      </c>
      <c r="H3008" s="315" t="s">
        <v>1011</v>
      </c>
      <c r="I3008" s="315" t="s">
        <v>1359</v>
      </c>
      <c r="J3008" s="315" t="str">
        <f t="shared" si="251"/>
        <v>LEX New VehicleOther Semi-Fixed Expenses p.u</v>
      </c>
      <c r="K3008" s="315" t="str">
        <f t="shared" si="252"/>
        <v>112NV Other Semi-Fixed expenses - Lexus</v>
      </c>
      <c r="L3008" s="311">
        <f>+SUMIF('TUNZ Extracted TB'!M:M,$P3008,'TUNZ Extracted TB'!G:G)</f>
        <v>0</v>
      </c>
      <c r="M3008" s="311"/>
      <c r="N3008" s="311">
        <f>+SUMIF('Input Sheet'!$AE:$AE,P3008,'Input Sheet'!$X:$X)</f>
        <v>0</v>
      </c>
      <c r="O3008" s="311"/>
      <c r="P3008" t="str">
        <f t="shared" si="253"/>
        <v>112-7650</v>
      </c>
      <c r="Q3008" s="315" t="str">
        <f t="shared" si="254"/>
        <v>LEX New Vehicle</v>
      </c>
      <c r="R3008" s="315" t="str">
        <f t="shared" si="255"/>
        <v>LEX New VehicleOther Semi-Fixed Expenses p.u</v>
      </c>
      <c r="S3008" s="199"/>
      <c r="T3008" s="199"/>
      <c r="U3008" s="199"/>
    </row>
    <row r="3009" spans="1:21" x14ac:dyDescent="0.25">
      <c r="A3009" t="s">
        <v>996</v>
      </c>
      <c r="B3009" t="s">
        <v>997</v>
      </c>
      <c r="C3009" t="s">
        <v>997</v>
      </c>
      <c r="D3009">
        <v>7650</v>
      </c>
      <c r="E3009">
        <v>162</v>
      </c>
      <c r="F3009" t="s">
        <v>1323</v>
      </c>
      <c r="G3009" t="s">
        <v>1324</v>
      </c>
      <c r="H3009" s="315" t="s">
        <v>142</v>
      </c>
      <c r="I3009" s="315" t="s">
        <v>1295</v>
      </c>
      <c r="J3009" s="315" t="str">
        <f t="shared" si="251"/>
        <v>LEX F&amp;IOther Expenses per vehicle retailed</v>
      </c>
      <c r="K3009" s="315" t="str">
        <f t="shared" si="252"/>
        <v>162F&amp;I Other expenses - Lexus</v>
      </c>
      <c r="L3009" s="311">
        <f>+SUMIF('TUNZ Extracted TB'!M:M,$P3009,'TUNZ Extracted TB'!G:G)</f>
        <v>0</v>
      </c>
      <c r="M3009" s="311"/>
      <c r="N3009" s="311">
        <f>+SUMIF('Input Sheet'!$AE:$AE,P3009,'Input Sheet'!$X:$X)</f>
        <v>0</v>
      </c>
      <c r="O3009" s="311"/>
      <c r="P3009" t="str">
        <f t="shared" si="253"/>
        <v>162-7650</v>
      </c>
      <c r="Q3009" s="315" t="str">
        <f t="shared" si="254"/>
        <v>LEX F&amp;I</v>
      </c>
      <c r="R3009" s="315" t="str">
        <f t="shared" si="255"/>
        <v>LEX F&amp;IOther Expenses per vehicle retailed</v>
      </c>
      <c r="S3009" s="199"/>
      <c r="T3009" s="199"/>
      <c r="U3009" s="199"/>
    </row>
    <row r="3010" spans="1:21" x14ac:dyDescent="0.25">
      <c r="A3010" t="s">
        <v>996</v>
      </c>
      <c r="B3010" t="s">
        <v>997</v>
      </c>
      <c r="C3010" t="s">
        <v>1005</v>
      </c>
      <c r="D3010">
        <v>7650</v>
      </c>
      <c r="E3010">
        <v>260</v>
      </c>
      <c r="F3010" t="s">
        <v>1293</v>
      </c>
      <c r="G3010" t="s">
        <v>1294</v>
      </c>
      <c r="H3010" s="315" t="s">
        <v>16</v>
      </c>
      <c r="I3010" s="315" t="s">
        <v>1295</v>
      </c>
      <c r="J3010" s="315" t="str">
        <f t="shared" si="251"/>
        <v>F&amp;IOther Expenses per vehicle retailed</v>
      </c>
      <c r="K3010" s="315" t="str">
        <f t="shared" si="252"/>
        <v>260F&amp;I Other expenses - Toyota</v>
      </c>
      <c r="L3010" s="311">
        <f>+SUMIF('TUNZ Extracted TB'!M:M,$P3010,'TUNZ Extracted TB'!G:G)</f>
        <v>0</v>
      </c>
      <c r="M3010" s="311"/>
      <c r="N3010" s="311">
        <f>+SUMIF('Input Sheet'!$AE:$AE,P3010,'Input Sheet'!$X:$X)</f>
        <v>0</v>
      </c>
      <c r="O3010" s="311"/>
      <c r="P3010" t="str">
        <f t="shared" si="253"/>
        <v>260-7650</v>
      </c>
      <c r="Q3010" s="315" t="str">
        <f t="shared" si="254"/>
        <v>F&amp;I</v>
      </c>
      <c r="R3010" s="315" t="str">
        <f t="shared" si="255"/>
        <v>F&amp;IOther Expenses per vehicle retailed</v>
      </c>
      <c r="S3010" s="199"/>
      <c r="T3010" s="199"/>
      <c r="U3010" s="199"/>
    </row>
    <row r="3011" spans="1:21" x14ac:dyDescent="0.25">
      <c r="A3011" t="s">
        <v>996</v>
      </c>
      <c r="B3011" t="s">
        <v>997</v>
      </c>
      <c r="C3011" t="s">
        <v>1012</v>
      </c>
      <c r="D3011">
        <v>7650</v>
      </c>
      <c r="E3011">
        <v>460</v>
      </c>
      <c r="F3011" t="s">
        <v>1293</v>
      </c>
      <c r="G3011" t="s">
        <v>1294</v>
      </c>
      <c r="H3011" s="315" t="s">
        <v>16</v>
      </c>
      <c r="I3011" s="315" t="s">
        <v>1295</v>
      </c>
      <c r="J3011" s="315" t="str">
        <f t="shared" ref="J3011:J3074" si="256">+H3011&amp;I3011</f>
        <v>F&amp;IOther Expenses per vehicle retailed</v>
      </c>
      <c r="K3011" s="315" t="str">
        <f t="shared" ref="K3011:K3074" si="257">+E3011&amp;G3011</f>
        <v>460F&amp;I Other expenses - Toyota</v>
      </c>
      <c r="L3011" s="311">
        <f>+SUMIF('TUNZ Extracted TB'!M:M,$P3011,'TUNZ Extracted TB'!G:G)</f>
        <v>0</v>
      </c>
      <c r="M3011" s="311"/>
      <c r="N3011" s="311">
        <f>+SUMIF('Input Sheet'!$AE:$AE,P3011,'Input Sheet'!$X:$X)</f>
        <v>0</v>
      </c>
      <c r="O3011" s="311"/>
      <c r="P3011" t="str">
        <f t="shared" ref="P3011:P3074" si="258">+E3011&amp;"-"&amp;D3011</f>
        <v>460-7650</v>
      </c>
      <c r="Q3011" s="315" t="str">
        <f t="shared" ref="Q3011:Q3074" si="259">H3011</f>
        <v>F&amp;I</v>
      </c>
      <c r="R3011" s="315" t="str">
        <f t="shared" ref="R3011:R3074" si="260">J3011</f>
        <v>F&amp;IOther Expenses per vehicle retailed</v>
      </c>
      <c r="S3011" s="199"/>
      <c r="T3011" s="199"/>
      <c r="U3011" s="199"/>
    </row>
    <row r="3012" spans="1:21" x14ac:dyDescent="0.25">
      <c r="A3012" t="s">
        <v>996</v>
      </c>
      <c r="B3012" t="s">
        <v>997</v>
      </c>
      <c r="C3012" t="s">
        <v>1013</v>
      </c>
      <c r="D3012">
        <v>7650</v>
      </c>
      <c r="E3012">
        <v>360</v>
      </c>
      <c r="F3012" t="s">
        <v>1293</v>
      </c>
      <c r="G3012" t="s">
        <v>1294</v>
      </c>
      <c r="H3012" s="315" t="s">
        <v>16</v>
      </c>
      <c r="I3012" s="315" t="s">
        <v>1295</v>
      </c>
      <c r="J3012" s="315" t="str">
        <f t="shared" si="256"/>
        <v>F&amp;IOther Expenses per vehicle retailed</v>
      </c>
      <c r="K3012" s="315" t="str">
        <f t="shared" si="257"/>
        <v>360F&amp;I Other expenses - Toyota</v>
      </c>
      <c r="L3012" s="311">
        <f>+SUMIF('TUNZ Extracted TB'!M:M,$P3012,'TUNZ Extracted TB'!G:G)</f>
        <v>0</v>
      </c>
      <c r="M3012" s="311"/>
      <c r="N3012" s="311">
        <f>+SUMIF('Input Sheet'!$AE:$AE,P3012,'Input Sheet'!$X:$X)</f>
        <v>0</v>
      </c>
      <c r="O3012" s="311"/>
      <c r="P3012" t="str">
        <f t="shared" si="258"/>
        <v>360-7650</v>
      </c>
      <c r="Q3012" s="315" t="str">
        <f t="shared" si="259"/>
        <v>F&amp;I</v>
      </c>
      <c r="R3012" s="315" t="str">
        <f t="shared" si="260"/>
        <v>F&amp;IOther Expenses per vehicle retailed</v>
      </c>
      <c r="S3012" s="199"/>
      <c r="T3012" s="199"/>
      <c r="U3012" s="199"/>
    </row>
    <row r="3013" spans="1:21" x14ac:dyDescent="0.25">
      <c r="A3013" t="s">
        <v>996</v>
      </c>
      <c r="B3013" t="s">
        <v>997</v>
      </c>
      <c r="C3013" t="s">
        <v>997</v>
      </c>
      <c r="D3013">
        <v>7650</v>
      </c>
      <c r="E3013">
        <v>160</v>
      </c>
      <c r="F3013" t="s">
        <v>1293</v>
      </c>
      <c r="G3013" t="s">
        <v>1294</v>
      </c>
      <c r="H3013" s="315" t="s">
        <v>16</v>
      </c>
      <c r="I3013" s="315" t="s">
        <v>1295</v>
      </c>
      <c r="J3013" s="315" t="str">
        <f t="shared" si="256"/>
        <v>F&amp;IOther Expenses per vehicle retailed</v>
      </c>
      <c r="K3013" s="315" t="str">
        <f t="shared" si="257"/>
        <v>160F&amp;I Other expenses - Toyota</v>
      </c>
      <c r="L3013" s="311">
        <f>+SUMIF('TUNZ Extracted TB'!M:M,$P3013,'TUNZ Extracted TB'!G:G)</f>
        <v>0</v>
      </c>
      <c r="M3013" s="311"/>
      <c r="N3013" s="311">
        <f>+SUMIF('Input Sheet'!$AE:$AE,P3013,'Input Sheet'!$X:$X)</f>
        <v>0</v>
      </c>
      <c r="O3013" s="311"/>
      <c r="P3013" t="str">
        <f t="shared" si="258"/>
        <v>160-7650</v>
      </c>
      <c r="Q3013" s="315" t="str">
        <f t="shared" si="259"/>
        <v>F&amp;I</v>
      </c>
      <c r="R3013" s="315" t="str">
        <f t="shared" si="260"/>
        <v>F&amp;IOther Expenses per vehicle retailed</v>
      </c>
      <c r="S3013" s="199"/>
      <c r="T3013" s="199"/>
      <c r="U3013" s="199"/>
    </row>
    <row r="3014" spans="1:21" x14ac:dyDescent="0.25">
      <c r="A3014" t="s">
        <v>996</v>
      </c>
      <c r="B3014" t="s">
        <v>997</v>
      </c>
      <c r="C3014" t="s">
        <v>997</v>
      </c>
      <c r="D3014">
        <v>7650</v>
      </c>
      <c r="E3014">
        <v>122</v>
      </c>
      <c r="F3014" t="s">
        <v>1325</v>
      </c>
      <c r="G3014" t="s">
        <v>1326</v>
      </c>
      <c r="H3014" s="315" t="s">
        <v>1041</v>
      </c>
      <c r="I3014" s="315" t="s">
        <v>1327</v>
      </c>
      <c r="J3014" s="315" t="str">
        <f t="shared" si="256"/>
        <v>LEX Used VehicleOther Semi-Fixed expenses per retail</v>
      </c>
      <c r="K3014" s="315" t="str">
        <f t="shared" si="257"/>
        <v>122Lexus UV Other Semi-Fixed expenses</v>
      </c>
      <c r="L3014" s="311">
        <f>+SUMIF('TUNZ Extracted TB'!M:M,$P3014,'TUNZ Extracted TB'!G:G)</f>
        <v>0</v>
      </c>
      <c r="M3014" s="311"/>
      <c r="N3014" s="311">
        <f>+SUMIF('Input Sheet'!$AE:$AE,P3014,'Input Sheet'!$X:$X)</f>
        <v>0</v>
      </c>
      <c r="O3014" s="311"/>
      <c r="P3014" t="str">
        <f t="shared" si="258"/>
        <v>122-7650</v>
      </c>
      <c r="Q3014" s="315" t="str">
        <f t="shared" si="259"/>
        <v>LEX Used Vehicle</v>
      </c>
      <c r="R3014" s="315" t="str">
        <f t="shared" si="260"/>
        <v>LEX Used VehicleOther Semi-Fixed expenses per retail</v>
      </c>
      <c r="S3014" s="199"/>
      <c r="T3014" s="199"/>
      <c r="U3014" s="199"/>
    </row>
    <row r="3015" spans="1:21" x14ac:dyDescent="0.25">
      <c r="A3015" t="s">
        <v>996</v>
      </c>
      <c r="B3015" t="s">
        <v>997</v>
      </c>
      <c r="C3015" t="s">
        <v>997</v>
      </c>
      <c r="D3015">
        <v>7650</v>
      </c>
      <c r="E3015">
        <v>100</v>
      </c>
      <c r="F3015" t="s">
        <v>1360</v>
      </c>
      <c r="G3015" t="s">
        <v>1361</v>
      </c>
      <c r="H3015" s="315" t="s">
        <v>29</v>
      </c>
      <c r="I3015" s="315" t="s">
        <v>1359</v>
      </c>
      <c r="J3015" s="315" t="str">
        <f t="shared" si="256"/>
        <v>New VehicleOther Semi-Fixed Expenses p.u</v>
      </c>
      <c r="K3015" s="315" t="str">
        <f t="shared" si="257"/>
        <v>100NV Other Semi-Fixed expenses - Toyota</v>
      </c>
      <c r="L3015" s="311">
        <f>+SUMIF('TUNZ Extracted TB'!M:M,$P3015,'TUNZ Extracted TB'!G:G)</f>
        <v>0</v>
      </c>
      <c r="M3015" s="311"/>
      <c r="N3015" s="311">
        <f>+SUMIF('Input Sheet'!$AE:$AE,P3015,'Input Sheet'!$X:$X)</f>
        <v>0</v>
      </c>
      <c r="O3015" s="311"/>
      <c r="P3015" t="str">
        <f t="shared" si="258"/>
        <v>100-7650</v>
      </c>
      <c r="Q3015" s="315" t="str">
        <f t="shared" si="259"/>
        <v>New Vehicle</v>
      </c>
      <c r="R3015" s="315" t="str">
        <f t="shared" si="260"/>
        <v>New VehicleOther Semi-Fixed Expenses p.u</v>
      </c>
      <c r="S3015" s="199"/>
      <c r="T3015" s="199"/>
      <c r="U3015" s="199"/>
    </row>
    <row r="3016" spans="1:21" x14ac:dyDescent="0.25">
      <c r="A3016" t="s">
        <v>996</v>
      </c>
      <c r="B3016" t="s">
        <v>997</v>
      </c>
      <c r="C3016" t="s">
        <v>1005</v>
      </c>
      <c r="D3016">
        <v>7910</v>
      </c>
      <c r="E3016">
        <v>200</v>
      </c>
      <c r="F3016" t="s">
        <v>1296</v>
      </c>
      <c r="G3016" t="s">
        <v>1297</v>
      </c>
      <c r="H3016" s="315" t="s">
        <v>29</v>
      </c>
      <c r="I3016" s="315" t="s">
        <v>1298</v>
      </c>
      <c r="J3016" s="315" t="str">
        <f t="shared" si="256"/>
        <v>New VehicleAdvertising p.u.</v>
      </c>
      <c r="K3016" s="315" t="str">
        <f t="shared" si="257"/>
        <v>200NV Advertising &amp; Promotion - Toyota</v>
      </c>
      <c r="L3016" s="311">
        <f>+SUMIF('TUNZ Extracted TB'!M:M,$P3016,'TUNZ Extracted TB'!G:G)</f>
        <v>0</v>
      </c>
      <c r="M3016" s="311"/>
      <c r="N3016" s="311">
        <f>+SUMIF('Input Sheet'!$AE:$AE,P3016,'Input Sheet'!$X:$X)</f>
        <v>0</v>
      </c>
      <c r="O3016" s="311"/>
      <c r="P3016" t="str">
        <f t="shared" si="258"/>
        <v>200-7910</v>
      </c>
      <c r="Q3016" s="315" t="str">
        <f t="shared" si="259"/>
        <v>New Vehicle</v>
      </c>
      <c r="R3016" s="315" t="str">
        <f t="shared" si="260"/>
        <v>New VehicleAdvertising p.u.</v>
      </c>
      <c r="S3016" s="199"/>
      <c r="T3016" s="199"/>
      <c r="U3016" s="199"/>
    </row>
    <row r="3017" spans="1:21" x14ac:dyDescent="0.25">
      <c r="A3017" t="s">
        <v>996</v>
      </c>
      <c r="B3017" t="s">
        <v>997</v>
      </c>
      <c r="C3017" t="s">
        <v>1012</v>
      </c>
      <c r="D3017">
        <v>7910</v>
      </c>
      <c r="E3017">
        <v>400</v>
      </c>
      <c r="F3017" t="s">
        <v>1296</v>
      </c>
      <c r="G3017" t="s">
        <v>1297</v>
      </c>
      <c r="H3017" s="315" t="s">
        <v>29</v>
      </c>
      <c r="I3017" s="315" t="s">
        <v>1298</v>
      </c>
      <c r="J3017" s="315" t="str">
        <f t="shared" si="256"/>
        <v>New VehicleAdvertising p.u.</v>
      </c>
      <c r="K3017" s="315" t="str">
        <f t="shared" si="257"/>
        <v>400NV Advertising &amp; Promotion - Toyota</v>
      </c>
      <c r="L3017" s="311">
        <f>+SUMIF('TUNZ Extracted TB'!M:M,$P3017,'TUNZ Extracted TB'!G:G)</f>
        <v>0</v>
      </c>
      <c r="M3017" s="311"/>
      <c r="N3017" s="311">
        <f>+SUMIF('Input Sheet'!$AE:$AE,P3017,'Input Sheet'!$X:$X)</f>
        <v>0</v>
      </c>
      <c r="O3017" s="311"/>
      <c r="P3017" t="str">
        <f t="shared" si="258"/>
        <v>400-7910</v>
      </c>
      <c r="Q3017" s="315" t="str">
        <f t="shared" si="259"/>
        <v>New Vehicle</v>
      </c>
      <c r="R3017" s="315" t="str">
        <f t="shared" si="260"/>
        <v>New VehicleAdvertising p.u.</v>
      </c>
      <c r="S3017" s="199"/>
      <c r="T3017" s="199"/>
      <c r="U3017" s="199"/>
    </row>
    <row r="3018" spans="1:21" x14ac:dyDescent="0.25">
      <c r="A3018" t="s">
        <v>996</v>
      </c>
      <c r="B3018" t="s">
        <v>997</v>
      </c>
      <c r="C3018" t="s">
        <v>997</v>
      </c>
      <c r="D3018">
        <v>7650</v>
      </c>
      <c r="E3018">
        <v>936</v>
      </c>
      <c r="F3018" t="s">
        <v>1175</v>
      </c>
      <c r="G3018" t="s">
        <v>1176</v>
      </c>
      <c r="H3018" s="315" t="s">
        <v>58</v>
      </c>
      <c r="I3018" s="315" t="s">
        <v>1286</v>
      </c>
      <c r="J3018" s="315" t="str">
        <f t="shared" si="256"/>
        <v>BridgestoneOther Expenses as % of Sales</v>
      </c>
      <c r="K3018" s="315" t="str">
        <f t="shared" si="257"/>
        <v>936Other franchise/business expense</v>
      </c>
      <c r="L3018" s="311">
        <f>+SUMIF('TUNZ Extracted TB'!M:M,$P3018,'TUNZ Extracted TB'!G:G)</f>
        <v>0</v>
      </c>
      <c r="M3018" s="311"/>
      <c r="N3018" s="311">
        <f>+SUMIF('Input Sheet'!$AE:$AE,P3018,'Input Sheet'!$X:$X)</f>
        <v>0</v>
      </c>
      <c r="O3018" s="311"/>
      <c r="P3018" t="str">
        <f t="shared" si="258"/>
        <v>936-7650</v>
      </c>
      <c r="Q3018" s="315" t="str">
        <f t="shared" si="259"/>
        <v>Bridgestone</v>
      </c>
      <c r="R3018" s="315" t="str">
        <f t="shared" si="260"/>
        <v>BridgestoneOther Expenses as % of Sales</v>
      </c>
      <c r="S3018" s="199"/>
      <c r="T3018" s="199"/>
      <c r="U3018" s="199"/>
    </row>
    <row r="3019" spans="1:21" x14ac:dyDescent="0.25">
      <c r="A3019" t="s">
        <v>996</v>
      </c>
      <c r="B3019" t="s">
        <v>997</v>
      </c>
      <c r="C3019" t="s">
        <v>997</v>
      </c>
      <c r="D3019">
        <v>7650</v>
      </c>
      <c r="E3019">
        <v>935</v>
      </c>
      <c r="F3019" t="s">
        <v>1175</v>
      </c>
      <c r="G3019" t="s">
        <v>1176</v>
      </c>
      <c r="H3019" s="315" t="s">
        <v>58</v>
      </c>
      <c r="I3019" s="315" t="s">
        <v>1286</v>
      </c>
      <c r="J3019" s="315" t="str">
        <f t="shared" si="256"/>
        <v>BridgestoneOther Expenses as % of Sales</v>
      </c>
      <c r="K3019" s="315" t="str">
        <f t="shared" si="257"/>
        <v>935Other franchise/business expense</v>
      </c>
      <c r="L3019" s="311">
        <f>+SUMIF('TUNZ Extracted TB'!M:M,$P3019,'TUNZ Extracted TB'!G:G)</f>
        <v>0</v>
      </c>
      <c r="M3019" s="311"/>
      <c r="N3019" s="311">
        <f>+SUMIF('Input Sheet'!$AE:$AE,P3019,'Input Sheet'!$X:$X)</f>
        <v>0</v>
      </c>
      <c r="O3019" s="311"/>
      <c r="P3019" t="str">
        <f t="shared" si="258"/>
        <v>935-7650</v>
      </c>
      <c r="Q3019" s="315" t="str">
        <f t="shared" si="259"/>
        <v>Bridgestone</v>
      </c>
      <c r="R3019" s="315" t="str">
        <f t="shared" si="260"/>
        <v>BridgestoneOther Expenses as % of Sales</v>
      </c>
      <c r="S3019" s="199"/>
      <c r="T3019" s="199"/>
      <c r="U3019" s="199"/>
    </row>
    <row r="3020" spans="1:21" x14ac:dyDescent="0.25">
      <c r="A3020" t="s">
        <v>996</v>
      </c>
      <c r="B3020" t="s">
        <v>997</v>
      </c>
      <c r="C3020" t="s">
        <v>1005</v>
      </c>
      <c r="D3020">
        <v>7650</v>
      </c>
      <c r="E3020">
        <v>230</v>
      </c>
      <c r="F3020" t="s">
        <v>1291</v>
      </c>
      <c r="G3020" t="s">
        <v>1292</v>
      </c>
      <c r="H3020" s="315" t="s">
        <v>5</v>
      </c>
      <c r="I3020" s="315" t="s">
        <v>1286</v>
      </c>
      <c r="J3020" s="315" t="str">
        <f t="shared" si="256"/>
        <v>PartsOther Expenses as % of Sales</v>
      </c>
      <c r="K3020" s="315" t="str">
        <f t="shared" si="257"/>
        <v>230Parts Other Expenses - Toyota</v>
      </c>
      <c r="L3020" s="311">
        <f>+SUMIF('TUNZ Extracted TB'!M:M,$P3020,'TUNZ Extracted TB'!G:G)</f>
        <v>0</v>
      </c>
      <c r="M3020" s="311"/>
      <c r="N3020" s="311">
        <f>+SUMIF('Input Sheet'!$AE:$AE,P3020,'Input Sheet'!$X:$X)</f>
        <v>0</v>
      </c>
      <c r="O3020" s="311"/>
      <c r="P3020" t="str">
        <f t="shared" si="258"/>
        <v>230-7650</v>
      </c>
      <c r="Q3020" s="315" t="str">
        <f t="shared" si="259"/>
        <v>Parts</v>
      </c>
      <c r="R3020" s="315" t="str">
        <f t="shared" si="260"/>
        <v>PartsOther Expenses as % of Sales</v>
      </c>
      <c r="S3020" s="199"/>
      <c r="T3020" s="199"/>
      <c r="U3020" s="199"/>
    </row>
    <row r="3021" spans="1:21" x14ac:dyDescent="0.25">
      <c r="A3021" t="s">
        <v>996</v>
      </c>
      <c r="B3021" t="s">
        <v>997</v>
      </c>
      <c r="C3021" t="s">
        <v>1012</v>
      </c>
      <c r="D3021">
        <v>7650</v>
      </c>
      <c r="E3021">
        <v>430</v>
      </c>
      <c r="F3021" t="s">
        <v>1291</v>
      </c>
      <c r="G3021" t="s">
        <v>1292</v>
      </c>
      <c r="H3021" s="315" t="s">
        <v>5</v>
      </c>
      <c r="I3021" s="315" t="s">
        <v>1286</v>
      </c>
      <c r="J3021" s="315" t="str">
        <f t="shared" si="256"/>
        <v>PartsOther Expenses as % of Sales</v>
      </c>
      <c r="K3021" s="315" t="str">
        <f t="shared" si="257"/>
        <v>430Parts Other Expenses - Toyota</v>
      </c>
      <c r="L3021" s="311">
        <f>+SUMIF('TUNZ Extracted TB'!M:M,$P3021,'TUNZ Extracted TB'!G:G)</f>
        <v>0</v>
      </c>
      <c r="M3021" s="311"/>
      <c r="N3021" s="311">
        <f>+SUMIF('Input Sheet'!$AE:$AE,P3021,'Input Sheet'!$X:$X)</f>
        <v>0</v>
      </c>
      <c r="O3021" s="311"/>
      <c r="P3021" t="str">
        <f t="shared" si="258"/>
        <v>430-7650</v>
      </c>
      <c r="Q3021" s="315" t="str">
        <f t="shared" si="259"/>
        <v>Parts</v>
      </c>
      <c r="R3021" s="315" t="str">
        <f t="shared" si="260"/>
        <v>PartsOther Expenses as % of Sales</v>
      </c>
      <c r="S3021" s="199"/>
      <c r="T3021" s="199"/>
      <c r="U3021" s="199"/>
    </row>
    <row r="3022" spans="1:21" x14ac:dyDescent="0.25">
      <c r="A3022" t="s">
        <v>996</v>
      </c>
      <c r="B3022" t="s">
        <v>997</v>
      </c>
      <c r="C3022" t="s">
        <v>1013</v>
      </c>
      <c r="D3022">
        <v>7650</v>
      </c>
      <c r="E3022">
        <v>330</v>
      </c>
      <c r="F3022" t="s">
        <v>1291</v>
      </c>
      <c r="G3022" t="s">
        <v>1292</v>
      </c>
      <c r="H3022" s="315" t="s">
        <v>5</v>
      </c>
      <c r="I3022" s="315" t="s">
        <v>1286</v>
      </c>
      <c r="J3022" s="315" t="str">
        <f t="shared" si="256"/>
        <v>PartsOther Expenses as % of Sales</v>
      </c>
      <c r="K3022" s="315" t="str">
        <f t="shared" si="257"/>
        <v>330Parts Other Expenses - Toyota</v>
      </c>
      <c r="L3022" s="311">
        <f>+SUMIF('TUNZ Extracted TB'!M:M,$P3022,'TUNZ Extracted TB'!G:G)</f>
        <v>0</v>
      </c>
      <c r="M3022" s="311"/>
      <c r="N3022" s="311">
        <f>+SUMIF('Input Sheet'!$AE:$AE,P3022,'Input Sheet'!$X:$X)</f>
        <v>0</v>
      </c>
      <c r="O3022" s="311"/>
      <c r="P3022" t="str">
        <f t="shared" si="258"/>
        <v>330-7650</v>
      </c>
      <c r="Q3022" s="315" t="str">
        <f t="shared" si="259"/>
        <v>Parts</v>
      </c>
      <c r="R3022" s="315" t="str">
        <f t="shared" si="260"/>
        <v>PartsOther Expenses as % of Sales</v>
      </c>
      <c r="S3022" s="199"/>
      <c r="T3022" s="199"/>
      <c r="U3022" s="199"/>
    </row>
    <row r="3023" spans="1:21" x14ac:dyDescent="0.25">
      <c r="A3023" t="s">
        <v>996</v>
      </c>
      <c r="B3023" t="s">
        <v>997</v>
      </c>
      <c r="C3023" t="s">
        <v>1005</v>
      </c>
      <c r="D3023">
        <v>7650</v>
      </c>
      <c r="E3023">
        <v>240</v>
      </c>
      <c r="F3023" t="s">
        <v>1289</v>
      </c>
      <c r="G3023" t="s">
        <v>1290</v>
      </c>
      <c r="H3023" s="315" t="s">
        <v>17</v>
      </c>
      <c r="I3023" s="315" t="s">
        <v>1286</v>
      </c>
      <c r="J3023" s="315" t="str">
        <f t="shared" si="256"/>
        <v>ServiceOther Expenses as % of Sales</v>
      </c>
      <c r="K3023" s="315" t="str">
        <f t="shared" si="257"/>
        <v>240Service Other expenses - Toyota</v>
      </c>
      <c r="L3023" s="311">
        <f>+SUMIF('TUNZ Extracted TB'!M:M,$P3023,'TUNZ Extracted TB'!G:G)</f>
        <v>0</v>
      </c>
      <c r="M3023" s="311"/>
      <c r="N3023" s="311">
        <f>+SUMIF('Input Sheet'!$AE:$AE,P3023,'Input Sheet'!$X:$X)</f>
        <v>0</v>
      </c>
      <c r="O3023" s="311"/>
      <c r="P3023" t="str">
        <f t="shared" si="258"/>
        <v>240-7650</v>
      </c>
      <c r="Q3023" s="315" t="str">
        <f t="shared" si="259"/>
        <v>Service</v>
      </c>
      <c r="R3023" s="315" t="str">
        <f t="shared" si="260"/>
        <v>ServiceOther Expenses as % of Sales</v>
      </c>
      <c r="S3023" s="199"/>
      <c r="T3023" s="199"/>
      <c r="U3023" s="199"/>
    </row>
    <row r="3024" spans="1:21" x14ac:dyDescent="0.25">
      <c r="A3024" t="s">
        <v>996</v>
      </c>
      <c r="B3024" t="s">
        <v>997</v>
      </c>
      <c r="C3024" t="s">
        <v>1012</v>
      </c>
      <c r="D3024">
        <v>7650</v>
      </c>
      <c r="E3024">
        <v>440</v>
      </c>
      <c r="F3024" t="s">
        <v>1289</v>
      </c>
      <c r="G3024" t="s">
        <v>1290</v>
      </c>
      <c r="H3024" s="315" t="s">
        <v>17</v>
      </c>
      <c r="I3024" s="315" t="s">
        <v>1286</v>
      </c>
      <c r="J3024" s="315" t="str">
        <f t="shared" si="256"/>
        <v>ServiceOther Expenses as % of Sales</v>
      </c>
      <c r="K3024" s="315" t="str">
        <f t="shared" si="257"/>
        <v>440Service Other expenses - Toyota</v>
      </c>
      <c r="L3024" s="311">
        <f>+SUMIF('TUNZ Extracted TB'!M:M,$P3024,'TUNZ Extracted TB'!G:G)</f>
        <v>0</v>
      </c>
      <c r="M3024" s="311"/>
      <c r="N3024" s="311">
        <f>+SUMIF('Input Sheet'!$AE:$AE,P3024,'Input Sheet'!$X:$X)</f>
        <v>0</v>
      </c>
      <c r="O3024" s="311"/>
      <c r="P3024" t="str">
        <f t="shared" si="258"/>
        <v>440-7650</v>
      </c>
      <c r="Q3024" s="315" t="str">
        <f t="shared" si="259"/>
        <v>Service</v>
      </c>
      <c r="R3024" s="315" t="str">
        <f t="shared" si="260"/>
        <v>ServiceOther Expenses as % of Sales</v>
      </c>
      <c r="S3024" s="199"/>
      <c r="T3024" s="199"/>
      <c r="U3024" s="199"/>
    </row>
    <row r="3025" spans="1:21" x14ac:dyDescent="0.25">
      <c r="A3025" t="s">
        <v>996</v>
      </c>
      <c r="B3025" t="s">
        <v>997</v>
      </c>
      <c r="C3025" t="s">
        <v>1013</v>
      </c>
      <c r="D3025">
        <v>7650</v>
      </c>
      <c r="E3025">
        <v>340</v>
      </c>
      <c r="F3025" t="s">
        <v>1289</v>
      </c>
      <c r="G3025" t="s">
        <v>1290</v>
      </c>
      <c r="H3025" s="315" t="s">
        <v>17</v>
      </c>
      <c r="I3025" s="315" t="s">
        <v>1286</v>
      </c>
      <c r="J3025" s="315" t="str">
        <f t="shared" si="256"/>
        <v>ServiceOther Expenses as % of Sales</v>
      </c>
      <c r="K3025" s="315" t="str">
        <f t="shared" si="257"/>
        <v>340Service Other expenses - Toyota</v>
      </c>
      <c r="L3025" s="311">
        <f>+SUMIF('TUNZ Extracted TB'!M:M,$P3025,'TUNZ Extracted TB'!G:G)</f>
        <v>0</v>
      </c>
      <c r="M3025" s="311"/>
      <c r="N3025" s="311">
        <f>+SUMIF('Input Sheet'!$AE:$AE,P3025,'Input Sheet'!$X:$X)</f>
        <v>0</v>
      </c>
      <c r="O3025" s="311"/>
      <c r="P3025" t="str">
        <f t="shared" si="258"/>
        <v>340-7650</v>
      </c>
      <c r="Q3025" s="315" t="str">
        <f t="shared" si="259"/>
        <v>Service</v>
      </c>
      <c r="R3025" s="315" t="str">
        <f t="shared" si="260"/>
        <v>ServiceOther Expenses as % of Sales</v>
      </c>
      <c r="S3025" s="199"/>
      <c r="T3025" s="199"/>
      <c r="U3025" s="199"/>
    </row>
    <row r="3026" spans="1:21" x14ac:dyDescent="0.25">
      <c r="A3026" t="s">
        <v>996</v>
      </c>
      <c r="B3026" t="s">
        <v>997</v>
      </c>
      <c r="C3026" t="s">
        <v>997</v>
      </c>
      <c r="D3026">
        <v>7650</v>
      </c>
      <c r="E3026">
        <v>147</v>
      </c>
      <c r="F3026" t="s">
        <v>1289</v>
      </c>
      <c r="G3026" t="s">
        <v>1290</v>
      </c>
      <c r="H3026" s="315" t="s">
        <v>17</v>
      </c>
      <c r="I3026" s="315" t="s">
        <v>1286</v>
      </c>
      <c r="J3026" s="315" t="str">
        <f t="shared" si="256"/>
        <v>ServiceOther Expenses as % of Sales</v>
      </c>
      <c r="K3026" s="315" t="str">
        <f t="shared" si="257"/>
        <v>147Service Other expenses - Toyota</v>
      </c>
      <c r="L3026" s="311">
        <f>+SUMIF('TUNZ Extracted TB'!M:M,$P3026,'TUNZ Extracted TB'!G:G)</f>
        <v>0</v>
      </c>
      <c r="M3026" s="311"/>
      <c r="N3026" s="311">
        <f>+SUMIF('Input Sheet'!$AE:$AE,P3026,'Input Sheet'!$X:$X)</f>
        <v>0</v>
      </c>
      <c r="O3026" s="311"/>
      <c r="P3026" t="str">
        <f t="shared" si="258"/>
        <v>147-7650</v>
      </c>
      <c r="Q3026" s="315" t="str">
        <f t="shared" si="259"/>
        <v>Service</v>
      </c>
      <c r="R3026" s="315" t="str">
        <f t="shared" si="260"/>
        <v>ServiceOther Expenses as % of Sales</v>
      </c>
      <c r="S3026" s="199"/>
      <c r="T3026" s="199"/>
      <c r="U3026" s="199"/>
    </row>
    <row r="3027" spans="1:21" x14ac:dyDescent="0.25">
      <c r="A3027" t="s">
        <v>996</v>
      </c>
      <c r="B3027" t="s">
        <v>997</v>
      </c>
      <c r="C3027" t="s">
        <v>1005</v>
      </c>
      <c r="D3027">
        <v>7650</v>
      </c>
      <c r="E3027">
        <v>210</v>
      </c>
      <c r="F3027" t="s">
        <v>1328</v>
      </c>
      <c r="G3027" t="s">
        <v>1329</v>
      </c>
      <c r="H3027" s="315" t="s">
        <v>30</v>
      </c>
      <c r="I3027" s="315" t="s">
        <v>1327</v>
      </c>
      <c r="J3027" s="315" t="str">
        <f t="shared" si="256"/>
        <v>Used VehicleOther Semi-Fixed expenses per retail</v>
      </c>
      <c r="K3027" s="315" t="str">
        <f t="shared" si="257"/>
        <v>210Toyota UV Other Semi-Fixed expenses</v>
      </c>
      <c r="L3027" s="311">
        <f>+SUMIF('TUNZ Extracted TB'!M:M,$P3027,'TUNZ Extracted TB'!G:G)</f>
        <v>0</v>
      </c>
      <c r="M3027" s="311"/>
      <c r="N3027" s="311">
        <f>+SUMIF('Input Sheet'!$AE:$AE,P3027,'Input Sheet'!$X:$X)</f>
        <v>0</v>
      </c>
      <c r="O3027" s="311"/>
      <c r="P3027" t="str">
        <f t="shared" si="258"/>
        <v>210-7650</v>
      </c>
      <c r="Q3027" s="315" t="str">
        <f t="shared" si="259"/>
        <v>Used Vehicle</v>
      </c>
      <c r="R3027" s="315" t="str">
        <f t="shared" si="260"/>
        <v>Used VehicleOther Semi-Fixed expenses per retail</v>
      </c>
      <c r="S3027" s="199"/>
      <c r="T3027" s="199"/>
      <c r="U3027" s="199"/>
    </row>
    <row r="3028" spans="1:21" x14ac:dyDescent="0.25">
      <c r="A3028" t="s">
        <v>996</v>
      </c>
      <c r="B3028" t="s">
        <v>997</v>
      </c>
      <c r="C3028" t="s">
        <v>1005</v>
      </c>
      <c r="D3028">
        <v>7650</v>
      </c>
      <c r="E3028">
        <v>220</v>
      </c>
      <c r="F3028" t="s">
        <v>1328</v>
      </c>
      <c r="G3028" t="s">
        <v>1329</v>
      </c>
      <c r="H3028" s="315" t="s">
        <v>30</v>
      </c>
      <c r="I3028" s="315" t="s">
        <v>1327</v>
      </c>
      <c r="J3028" s="315" t="str">
        <f t="shared" si="256"/>
        <v>Used VehicleOther Semi-Fixed expenses per retail</v>
      </c>
      <c r="K3028" s="315" t="str">
        <f t="shared" si="257"/>
        <v>220Toyota UV Other Semi-Fixed expenses</v>
      </c>
      <c r="L3028" s="311">
        <f>+SUMIF('TUNZ Extracted TB'!M:M,$P3028,'TUNZ Extracted TB'!G:G)</f>
        <v>0</v>
      </c>
      <c r="M3028" s="311"/>
      <c r="N3028" s="311">
        <f>+SUMIF('Input Sheet'!$AE:$AE,P3028,'Input Sheet'!$X:$X)</f>
        <v>0</v>
      </c>
      <c r="O3028" s="311"/>
      <c r="P3028" t="str">
        <f t="shared" si="258"/>
        <v>220-7650</v>
      </c>
      <c r="Q3028" s="315" t="str">
        <f t="shared" si="259"/>
        <v>Used Vehicle</v>
      </c>
      <c r="R3028" s="315" t="str">
        <f t="shared" si="260"/>
        <v>Used VehicleOther Semi-Fixed expenses per retail</v>
      </c>
      <c r="S3028" s="199"/>
      <c r="T3028" s="199"/>
      <c r="U3028" s="199"/>
    </row>
    <row r="3029" spans="1:21" x14ac:dyDescent="0.25">
      <c r="A3029" t="s">
        <v>996</v>
      </c>
      <c r="B3029" t="s">
        <v>997</v>
      </c>
      <c r="C3029" t="s">
        <v>1005</v>
      </c>
      <c r="D3029">
        <v>7650</v>
      </c>
      <c r="E3029">
        <v>221</v>
      </c>
      <c r="F3029" t="s">
        <v>1328</v>
      </c>
      <c r="G3029" t="s">
        <v>1329</v>
      </c>
      <c r="H3029" s="315" t="s">
        <v>30</v>
      </c>
      <c r="I3029" s="315" t="s">
        <v>1327</v>
      </c>
      <c r="J3029" s="315" t="str">
        <f t="shared" si="256"/>
        <v>Used VehicleOther Semi-Fixed expenses per retail</v>
      </c>
      <c r="K3029" s="315" t="str">
        <f t="shared" si="257"/>
        <v>221Toyota UV Other Semi-Fixed expenses</v>
      </c>
      <c r="L3029" s="311">
        <f>+SUMIF('TUNZ Extracted TB'!M:M,$P3029,'TUNZ Extracted TB'!G:G)</f>
        <v>0</v>
      </c>
      <c r="M3029" s="311"/>
      <c r="N3029" s="311">
        <f>+SUMIF('Input Sheet'!$AE:$AE,P3029,'Input Sheet'!$X:$X)</f>
        <v>0</v>
      </c>
      <c r="O3029" s="311"/>
      <c r="P3029" t="str">
        <f t="shared" si="258"/>
        <v>221-7650</v>
      </c>
      <c r="Q3029" s="315" t="str">
        <f t="shared" si="259"/>
        <v>Used Vehicle</v>
      </c>
      <c r="R3029" s="315" t="str">
        <f t="shared" si="260"/>
        <v>Used VehicleOther Semi-Fixed expenses per retail</v>
      </c>
      <c r="S3029" s="199"/>
      <c r="T3029" s="199"/>
      <c r="U3029" s="199"/>
    </row>
    <row r="3030" spans="1:21" x14ac:dyDescent="0.25">
      <c r="A3030" t="s">
        <v>996</v>
      </c>
      <c r="B3030" t="s">
        <v>997</v>
      </c>
      <c r="C3030" t="s">
        <v>1012</v>
      </c>
      <c r="D3030">
        <v>7650</v>
      </c>
      <c r="E3030">
        <v>410</v>
      </c>
      <c r="F3030" t="s">
        <v>1328</v>
      </c>
      <c r="G3030" t="s">
        <v>1329</v>
      </c>
      <c r="H3030" s="315" t="s">
        <v>30</v>
      </c>
      <c r="I3030" s="315" t="s">
        <v>1327</v>
      </c>
      <c r="J3030" s="315" t="str">
        <f t="shared" si="256"/>
        <v>Used VehicleOther Semi-Fixed expenses per retail</v>
      </c>
      <c r="K3030" s="315" t="str">
        <f t="shared" si="257"/>
        <v>410Toyota UV Other Semi-Fixed expenses</v>
      </c>
      <c r="L3030" s="311">
        <f>+SUMIF('TUNZ Extracted TB'!M:M,$P3030,'TUNZ Extracted TB'!G:G)</f>
        <v>0</v>
      </c>
      <c r="M3030" s="311"/>
      <c r="N3030" s="311">
        <f>+SUMIF('Input Sheet'!$AE:$AE,P3030,'Input Sheet'!$X:$X)</f>
        <v>0</v>
      </c>
      <c r="O3030" s="311"/>
      <c r="P3030" t="str">
        <f t="shared" si="258"/>
        <v>410-7650</v>
      </c>
      <c r="Q3030" s="315" t="str">
        <f t="shared" si="259"/>
        <v>Used Vehicle</v>
      </c>
      <c r="R3030" s="315" t="str">
        <f t="shared" si="260"/>
        <v>Used VehicleOther Semi-Fixed expenses per retail</v>
      </c>
      <c r="S3030" s="199"/>
      <c r="T3030" s="199"/>
      <c r="U3030" s="199"/>
    </row>
    <row r="3031" spans="1:21" x14ac:dyDescent="0.25">
      <c r="A3031" t="s">
        <v>996</v>
      </c>
      <c r="B3031" t="s">
        <v>997</v>
      </c>
      <c r="C3031" t="s">
        <v>1012</v>
      </c>
      <c r="D3031">
        <v>7650</v>
      </c>
      <c r="E3031">
        <v>420</v>
      </c>
      <c r="F3031" t="s">
        <v>1328</v>
      </c>
      <c r="G3031" t="s">
        <v>1329</v>
      </c>
      <c r="H3031" s="315" t="s">
        <v>30</v>
      </c>
      <c r="I3031" s="315" t="s">
        <v>1327</v>
      </c>
      <c r="J3031" s="315" t="str">
        <f t="shared" si="256"/>
        <v>Used VehicleOther Semi-Fixed expenses per retail</v>
      </c>
      <c r="K3031" s="315" t="str">
        <f t="shared" si="257"/>
        <v>420Toyota UV Other Semi-Fixed expenses</v>
      </c>
      <c r="L3031" s="311">
        <f>+SUMIF('TUNZ Extracted TB'!M:M,$P3031,'TUNZ Extracted TB'!G:G)</f>
        <v>0</v>
      </c>
      <c r="M3031" s="311"/>
      <c r="N3031" s="311">
        <f>+SUMIF('Input Sheet'!$AE:$AE,P3031,'Input Sheet'!$X:$X)</f>
        <v>0</v>
      </c>
      <c r="O3031" s="311"/>
      <c r="P3031" t="str">
        <f t="shared" si="258"/>
        <v>420-7650</v>
      </c>
      <c r="Q3031" s="315" t="str">
        <f t="shared" si="259"/>
        <v>Used Vehicle</v>
      </c>
      <c r="R3031" s="315" t="str">
        <f t="shared" si="260"/>
        <v>Used VehicleOther Semi-Fixed expenses per retail</v>
      </c>
      <c r="S3031" s="199"/>
      <c r="T3031" s="199"/>
      <c r="U3031" s="199"/>
    </row>
    <row r="3032" spans="1:21" x14ac:dyDescent="0.25">
      <c r="A3032" t="s">
        <v>996</v>
      </c>
      <c r="B3032" t="s">
        <v>997</v>
      </c>
      <c r="C3032" t="s">
        <v>1012</v>
      </c>
      <c r="D3032">
        <v>7650</v>
      </c>
      <c r="E3032">
        <v>421</v>
      </c>
      <c r="F3032" t="s">
        <v>1328</v>
      </c>
      <c r="G3032" t="s">
        <v>1329</v>
      </c>
      <c r="H3032" s="315" t="s">
        <v>30</v>
      </c>
      <c r="I3032" s="315" t="s">
        <v>1327</v>
      </c>
      <c r="J3032" s="315" t="str">
        <f t="shared" si="256"/>
        <v>Used VehicleOther Semi-Fixed expenses per retail</v>
      </c>
      <c r="K3032" s="315" t="str">
        <f t="shared" si="257"/>
        <v>421Toyota UV Other Semi-Fixed expenses</v>
      </c>
      <c r="L3032" s="311">
        <f>+SUMIF('TUNZ Extracted TB'!M:M,$P3032,'TUNZ Extracted TB'!G:G)</f>
        <v>0</v>
      </c>
      <c r="M3032" s="311"/>
      <c r="N3032" s="311">
        <f>+SUMIF('Input Sheet'!$AE:$AE,P3032,'Input Sheet'!$X:$X)</f>
        <v>0</v>
      </c>
      <c r="O3032" s="311"/>
      <c r="P3032" t="str">
        <f t="shared" si="258"/>
        <v>421-7650</v>
      </c>
      <c r="Q3032" s="315" t="str">
        <f t="shared" si="259"/>
        <v>Used Vehicle</v>
      </c>
      <c r="R3032" s="315" t="str">
        <f t="shared" si="260"/>
        <v>Used VehicleOther Semi-Fixed expenses per retail</v>
      </c>
      <c r="S3032" s="199"/>
      <c r="T3032" s="199"/>
      <c r="U3032" s="199"/>
    </row>
    <row r="3033" spans="1:21" x14ac:dyDescent="0.25">
      <c r="A3033" t="s">
        <v>996</v>
      </c>
      <c r="B3033" t="s">
        <v>997</v>
      </c>
      <c r="C3033" t="s">
        <v>1013</v>
      </c>
      <c r="D3033">
        <v>7650</v>
      </c>
      <c r="E3033">
        <v>310</v>
      </c>
      <c r="F3033" t="s">
        <v>1328</v>
      </c>
      <c r="G3033" t="s">
        <v>1329</v>
      </c>
      <c r="H3033" s="315" t="s">
        <v>30</v>
      </c>
      <c r="I3033" s="315" t="s">
        <v>1327</v>
      </c>
      <c r="J3033" s="315" t="str">
        <f t="shared" si="256"/>
        <v>Used VehicleOther Semi-Fixed expenses per retail</v>
      </c>
      <c r="K3033" s="315" t="str">
        <f t="shared" si="257"/>
        <v>310Toyota UV Other Semi-Fixed expenses</v>
      </c>
      <c r="L3033" s="311">
        <f>+SUMIF('TUNZ Extracted TB'!M:M,$P3033,'TUNZ Extracted TB'!G:G)</f>
        <v>0</v>
      </c>
      <c r="M3033" s="311"/>
      <c r="N3033" s="311">
        <f>+SUMIF('Input Sheet'!$AE:$AE,P3033,'Input Sheet'!$X:$X)</f>
        <v>0</v>
      </c>
      <c r="O3033" s="311"/>
      <c r="P3033" t="str">
        <f t="shared" si="258"/>
        <v>310-7650</v>
      </c>
      <c r="Q3033" s="315" t="str">
        <f t="shared" si="259"/>
        <v>Used Vehicle</v>
      </c>
      <c r="R3033" s="315" t="str">
        <f t="shared" si="260"/>
        <v>Used VehicleOther Semi-Fixed expenses per retail</v>
      </c>
      <c r="S3033" s="199"/>
      <c r="T3033" s="199"/>
      <c r="U3033" s="199"/>
    </row>
    <row r="3034" spans="1:21" x14ac:dyDescent="0.25">
      <c r="A3034" t="s">
        <v>996</v>
      </c>
      <c r="B3034" t="s">
        <v>997</v>
      </c>
      <c r="C3034" t="s">
        <v>1013</v>
      </c>
      <c r="D3034">
        <v>7650</v>
      </c>
      <c r="E3034">
        <v>321</v>
      </c>
      <c r="F3034" t="s">
        <v>1328</v>
      </c>
      <c r="G3034" t="s">
        <v>1329</v>
      </c>
      <c r="H3034" s="315" t="s">
        <v>30</v>
      </c>
      <c r="I3034" s="315" t="s">
        <v>1327</v>
      </c>
      <c r="J3034" s="315" t="str">
        <f t="shared" si="256"/>
        <v>Used VehicleOther Semi-Fixed expenses per retail</v>
      </c>
      <c r="K3034" s="315" t="str">
        <f t="shared" si="257"/>
        <v>321Toyota UV Other Semi-Fixed expenses</v>
      </c>
      <c r="L3034" s="311">
        <f>+SUMIF('TUNZ Extracted TB'!M:M,$P3034,'TUNZ Extracted TB'!G:G)</f>
        <v>0</v>
      </c>
      <c r="M3034" s="311"/>
      <c r="N3034" s="311">
        <f>+SUMIF('Input Sheet'!$AE:$AE,P3034,'Input Sheet'!$X:$X)</f>
        <v>0</v>
      </c>
      <c r="O3034" s="311"/>
      <c r="P3034" t="str">
        <f t="shared" si="258"/>
        <v>321-7650</v>
      </c>
      <c r="Q3034" s="315" t="str">
        <f t="shared" si="259"/>
        <v>Used Vehicle</v>
      </c>
      <c r="R3034" s="315" t="str">
        <f t="shared" si="260"/>
        <v>Used VehicleOther Semi-Fixed expenses per retail</v>
      </c>
      <c r="S3034" s="199"/>
      <c r="T3034" s="199"/>
      <c r="U3034" s="199"/>
    </row>
    <row r="3035" spans="1:21" x14ac:dyDescent="0.25">
      <c r="A3035" t="s">
        <v>996</v>
      </c>
      <c r="B3035" t="s">
        <v>997</v>
      </c>
      <c r="C3035" t="s">
        <v>997</v>
      </c>
      <c r="D3035">
        <v>7650</v>
      </c>
      <c r="E3035">
        <v>120</v>
      </c>
      <c r="F3035" t="s">
        <v>1328</v>
      </c>
      <c r="G3035" t="s">
        <v>1329</v>
      </c>
      <c r="H3035" s="315" t="s">
        <v>30</v>
      </c>
      <c r="I3035" s="315" t="s">
        <v>1327</v>
      </c>
      <c r="J3035" s="315" t="str">
        <f t="shared" si="256"/>
        <v>Used VehicleOther Semi-Fixed expenses per retail</v>
      </c>
      <c r="K3035" s="315" t="str">
        <f t="shared" si="257"/>
        <v>120Toyota UV Other Semi-Fixed expenses</v>
      </c>
      <c r="L3035" s="311">
        <f>+SUMIF('TUNZ Extracted TB'!M:M,$P3035,'TUNZ Extracted TB'!G:G)</f>
        <v>0</v>
      </c>
      <c r="M3035" s="311"/>
      <c r="N3035" s="311">
        <f>+SUMIF('Input Sheet'!$AE:$AE,P3035,'Input Sheet'!$X:$X)</f>
        <v>0</v>
      </c>
      <c r="O3035" s="311"/>
      <c r="P3035" t="str">
        <f t="shared" si="258"/>
        <v>120-7650</v>
      </c>
      <c r="Q3035" s="315" t="str">
        <f t="shared" si="259"/>
        <v>Used Vehicle</v>
      </c>
      <c r="R3035" s="315" t="str">
        <f t="shared" si="260"/>
        <v>Used VehicleOther Semi-Fixed expenses per retail</v>
      </c>
      <c r="S3035" s="199"/>
      <c r="T3035" s="199"/>
      <c r="U3035" s="199"/>
    </row>
    <row r="3036" spans="1:21" x14ac:dyDescent="0.25">
      <c r="A3036" t="s">
        <v>996</v>
      </c>
      <c r="B3036" t="s">
        <v>997</v>
      </c>
      <c r="C3036" t="s">
        <v>997</v>
      </c>
      <c r="D3036">
        <v>7650</v>
      </c>
      <c r="E3036">
        <v>121</v>
      </c>
      <c r="F3036" t="s">
        <v>1328</v>
      </c>
      <c r="G3036" t="s">
        <v>1329</v>
      </c>
      <c r="H3036" s="315" t="s">
        <v>30</v>
      </c>
      <c r="I3036" s="315" t="s">
        <v>1327</v>
      </c>
      <c r="J3036" s="315" t="str">
        <f t="shared" si="256"/>
        <v>Used VehicleOther Semi-Fixed expenses per retail</v>
      </c>
      <c r="K3036" s="315" t="str">
        <f t="shared" si="257"/>
        <v>121Toyota UV Other Semi-Fixed expenses</v>
      </c>
      <c r="L3036" s="311">
        <f>+SUMIF('TUNZ Extracted TB'!M:M,$P3036,'TUNZ Extracted TB'!G:G)</f>
        <v>0</v>
      </c>
      <c r="M3036" s="311"/>
      <c r="N3036" s="311">
        <f>+SUMIF('Input Sheet'!$AE:$AE,P3036,'Input Sheet'!$X:$X)</f>
        <v>0</v>
      </c>
      <c r="O3036" s="311"/>
      <c r="P3036" t="str">
        <f t="shared" si="258"/>
        <v>121-7650</v>
      </c>
      <c r="Q3036" s="315" t="str">
        <f t="shared" si="259"/>
        <v>Used Vehicle</v>
      </c>
      <c r="R3036" s="315" t="str">
        <f t="shared" si="260"/>
        <v>Used VehicleOther Semi-Fixed expenses per retail</v>
      </c>
      <c r="S3036" s="199"/>
      <c r="T3036" s="199"/>
      <c r="U3036" s="199"/>
    </row>
    <row r="3037" spans="1:21" x14ac:dyDescent="0.25">
      <c r="A3037" t="s">
        <v>996</v>
      </c>
      <c r="B3037" t="s">
        <v>997</v>
      </c>
      <c r="C3037" t="s">
        <v>997</v>
      </c>
      <c r="D3037">
        <v>7650</v>
      </c>
      <c r="E3037">
        <v>140</v>
      </c>
      <c r="F3037" t="s">
        <v>1289</v>
      </c>
      <c r="G3037" t="s">
        <v>1290</v>
      </c>
      <c r="H3037" s="315" t="s">
        <v>17</v>
      </c>
      <c r="I3037" s="315" t="s">
        <v>1286</v>
      </c>
      <c r="J3037" s="315" t="str">
        <f t="shared" si="256"/>
        <v>ServiceOther Expenses as % of Sales</v>
      </c>
      <c r="K3037" s="315" t="str">
        <f t="shared" si="257"/>
        <v>140Service Other expenses - Toyota</v>
      </c>
      <c r="L3037" s="311">
        <f>+SUMIF('TUNZ Extracted TB'!M:M,$P3037,'TUNZ Extracted TB'!G:G)</f>
        <v>0</v>
      </c>
      <c r="M3037" s="311"/>
      <c r="N3037" s="311">
        <f>+SUMIF('Input Sheet'!$AE:$AE,P3037,'Input Sheet'!$X:$X)</f>
        <v>0</v>
      </c>
      <c r="O3037" s="311"/>
      <c r="P3037" t="str">
        <f t="shared" si="258"/>
        <v>140-7650</v>
      </c>
      <c r="Q3037" s="315" t="str">
        <f t="shared" si="259"/>
        <v>Service</v>
      </c>
      <c r="R3037" s="315" t="str">
        <f t="shared" si="260"/>
        <v>ServiceOther Expenses as % of Sales</v>
      </c>
      <c r="S3037" s="199"/>
      <c r="T3037" s="199"/>
      <c r="U3037" s="199"/>
    </row>
    <row r="3038" spans="1:21" x14ac:dyDescent="0.25">
      <c r="A3038" t="s">
        <v>996</v>
      </c>
      <c r="B3038" t="s">
        <v>997</v>
      </c>
      <c r="C3038" t="s">
        <v>997</v>
      </c>
      <c r="D3038">
        <v>7650</v>
      </c>
      <c r="E3038">
        <v>142</v>
      </c>
      <c r="F3038" t="s">
        <v>1284</v>
      </c>
      <c r="G3038" t="s">
        <v>1285</v>
      </c>
      <c r="H3038" s="315" t="s">
        <v>1022</v>
      </c>
      <c r="I3038" s="315" t="s">
        <v>1286</v>
      </c>
      <c r="J3038" s="315" t="str">
        <f t="shared" si="256"/>
        <v>Lex ServiceOther Expenses as % of Sales</v>
      </c>
      <c r="K3038" s="315" t="str">
        <f t="shared" si="257"/>
        <v>142Service Other expenses - Lexus</v>
      </c>
      <c r="L3038" s="311">
        <f>+SUMIF('TUNZ Extracted TB'!M:M,$P3038,'TUNZ Extracted TB'!G:G)</f>
        <v>0</v>
      </c>
      <c r="M3038" s="311"/>
      <c r="N3038" s="311">
        <f>+SUMIF('Input Sheet'!$AE:$AE,P3038,'Input Sheet'!$X:$X)</f>
        <v>0</v>
      </c>
      <c r="O3038" s="311"/>
      <c r="P3038" t="str">
        <f t="shared" si="258"/>
        <v>142-7650</v>
      </c>
      <c r="Q3038" s="315" t="str">
        <f t="shared" si="259"/>
        <v>Lex Service</v>
      </c>
      <c r="R3038" s="315" t="str">
        <f t="shared" si="260"/>
        <v>Lex ServiceOther Expenses as % of Sales</v>
      </c>
      <c r="S3038" s="199"/>
      <c r="T3038" s="199"/>
      <c r="U3038" s="199"/>
    </row>
    <row r="3039" spans="1:21" x14ac:dyDescent="0.25">
      <c r="A3039" t="s">
        <v>996</v>
      </c>
      <c r="B3039" t="s">
        <v>997</v>
      </c>
      <c r="C3039" t="s">
        <v>997</v>
      </c>
      <c r="D3039">
        <v>7650</v>
      </c>
      <c r="E3039">
        <v>132</v>
      </c>
      <c r="F3039" t="s">
        <v>1321</v>
      </c>
      <c r="G3039" t="s">
        <v>1322</v>
      </c>
      <c r="H3039" s="315" t="s">
        <v>1023</v>
      </c>
      <c r="I3039" s="315" t="s">
        <v>1286</v>
      </c>
      <c r="J3039" s="315" t="str">
        <f t="shared" si="256"/>
        <v>LEX Admin &amp; OtherOther Expenses as % of Sales</v>
      </c>
      <c r="K3039" s="315" t="str">
        <f t="shared" si="257"/>
        <v>132Parts Other Expenses - Lexus</v>
      </c>
      <c r="L3039" s="311">
        <f>+SUMIF('TUNZ Extracted TB'!M:M,$P3039,'TUNZ Extracted TB'!G:G)</f>
        <v>0</v>
      </c>
      <c r="M3039" s="311"/>
      <c r="N3039" s="311">
        <f>+SUMIF('Input Sheet'!$AE:$AE,P3039,'Input Sheet'!$X:$X)</f>
        <v>0</v>
      </c>
      <c r="O3039" s="311"/>
      <c r="P3039" t="str">
        <f t="shared" si="258"/>
        <v>132-7650</v>
      </c>
      <c r="Q3039" s="315" t="str">
        <f t="shared" si="259"/>
        <v>LEX Admin &amp; Other</v>
      </c>
      <c r="R3039" s="315" t="str">
        <f t="shared" si="260"/>
        <v>LEX Admin &amp; OtherOther Expenses as % of Sales</v>
      </c>
      <c r="S3039" s="199"/>
      <c r="T3039" s="199"/>
      <c r="U3039" s="199"/>
    </row>
    <row r="3040" spans="1:21" x14ac:dyDescent="0.25">
      <c r="A3040" t="s">
        <v>996</v>
      </c>
      <c r="B3040" t="s">
        <v>997</v>
      </c>
      <c r="C3040" t="s">
        <v>997</v>
      </c>
      <c r="D3040">
        <v>7650</v>
      </c>
      <c r="E3040">
        <v>130</v>
      </c>
      <c r="F3040" t="s">
        <v>1291</v>
      </c>
      <c r="G3040" t="s">
        <v>1292</v>
      </c>
      <c r="H3040" s="315" t="s">
        <v>5</v>
      </c>
      <c r="I3040" s="315" t="s">
        <v>1286</v>
      </c>
      <c r="J3040" s="315" t="str">
        <f t="shared" si="256"/>
        <v>PartsOther Expenses as % of Sales</v>
      </c>
      <c r="K3040" s="315" t="str">
        <f t="shared" si="257"/>
        <v>130Parts Other Expenses - Toyota</v>
      </c>
      <c r="L3040" s="311">
        <f>+SUMIF('TUNZ Extracted TB'!M:M,$P3040,'TUNZ Extracted TB'!G:G)</f>
        <v>0</v>
      </c>
      <c r="M3040" s="311"/>
      <c r="N3040" s="311">
        <f>+SUMIF('Input Sheet'!$AE:$AE,P3040,'Input Sheet'!$X:$X)</f>
        <v>0</v>
      </c>
      <c r="O3040" s="311"/>
      <c r="P3040" t="str">
        <f t="shared" si="258"/>
        <v>130-7650</v>
      </c>
      <c r="Q3040" s="315" t="str">
        <f t="shared" si="259"/>
        <v>Parts</v>
      </c>
      <c r="R3040" s="315" t="str">
        <f t="shared" si="260"/>
        <v>PartsOther Expenses as % of Sales</v>
      </c>
      <c r="S3040" s="199"/>
      <c r="T3040" s="199"/>
      <c r="U3040" s="199"/>
    </row>
    <row r="3041" spans="1:21" x14ac:dyDescent="0.25">
      <c r="A3041" t="s">
        <v>996</v>
      </c>
      <c r="B3041" t="s">
        <v>997</v>
      </c>
      <c r="C3041" t="s">
        <v>1013</v>
      </c>
      <c r="D3041">
        <v>7910</v>
      </c>
      <c r="E3041">
        <v>300</v>
      </c>
      <c r="F3041" t="s">
        <v>1296</v>
      </c>
      <c r="G3041" t="s">
        <v>1297</v>
      </c>
      <c r="H3041" s="315" t="s">
        <v>29</v>
      </c>
      <c r="I3041" s="315" t="s">
        <v>1298</v>
      </c>
      <c r="J3041" s="315" t="str">
        <f t="shared" si="256"/>
        <v>New VehicleAdvertising p.u.</v>
      </c>
      <c r="K3041" s="315" t="str">
        <f t="shared" si="257"/>
        <v>300NV Advertising &amp; Promotion - Toyota</v>
      </c>
      <c r="L3041" s="311">
        <f>+SUMIF('TUNZ Extracted TB'!M:M,$P3041,'TUNZ Extracted TB'!G:G)</f>
        <v>0</v>
      </c>
      <c r="M3041" s="311"/>
      <c r="N3041" s="311">
        <f>+SUMIF('Input Sheet'!$AE:$AE,P3041,'Input Sheet'!$X:$X)</f>
        <v>0</v>
      </c>
      <c r="O3041" s="311"/>
      <c r="P3041" t="str">
        <f t="shared" si="258"/>
        <v>300-7910</v>
      </c>
      <c r="Q3041" s="315" t="str">
        <f t="shared" si="259"/>
        <v>New Vehicle</v>
      </c>
      <c r="R3041" s="315" t="str">
        <f t="shared" si="260"/>
        <v>New VehicleAdvertising p.u.</v>
      </c>
      <c r="S3041" s="199"/>
      <c r="T3041" s="199"/>
      <c r="U3041" s="199"/>
    </row>
    <row r="3042" spans="1:21" x14ac:dyDescent="0.25">
      <c r="A3042" t="s">
        <v>996</v>
      </c>
      <c r="B3042" t="s">
        <v>997</v>
      </c>
      <c r="C3042" t="s">
        <v>997</v>
      </c>
      <c r="D3042">
        <v>7910</v>
      </c>
      <c r="E3042">
        <v>112</v>
      </c>
      <c r="F3042" t="s">
        <v>1302</v>
      </c>
      <c r="G3042" t="s">
        <v>1303</v>
      </c>
      <c r="H3042" s="315" t="s">
        <v>1011</v>
      </c>
      <c r="I3042" s="315" t="s">
        <v>1298</v>
      </c>
      <c r="J3042" s="315" t="str">
        <f t="shared" si="256"/>
        <v>LEX New VehicleAdvertising p.u.</v>
      </c>
      <c r="K3042" s="315" t="str">
        <f t="shared" si="257"/>
        <v>112NV Advertising &amp; Promotion - Lexus</v>
      </c>
      <c r="L3042" s="311">
        <f>+SUMIF('TUNZ Extracted TB'!M:M,$P3042,'TUNZ Extracted TB'!G:G)</f>
        <v>284.35000000000002</v>
      </c>
      <c r="M3042" s="311"/>
      <c r="N3042" s="311">
        <f>+SUMIF('Input Sheet'!$AE:$AE,P3042,'Input Sheet'!$X:$X)</f>
        <v>0</v>
      </c>
      <c r="O3042" s="311"/>
      <c r="P3042" t="str">
        <f t="shared" si="258"/>
        <v>112-7910</v>
      </c>
      <c r="Q3042" s="315" t="str">
        <f t="shared" si="259"/>
        <v>LEX New Vehicle</v>
      </c>
      <c r="R3042" s="315" t="str">
        <f t="shared" si="260"/>
        <v>LEX New VehicleAdvertising p.u.</v>
      </c>
      <c r="S3042" s="199"/>
      <c r="T3042" s="199"/>
      <c r="U3042" s="199"/>
    </row>
    <row r="3043" spans="1:21" x14ac:dyDescent="0.25">
      <c r="A3043" t="s">
        <v>996</v>
      </c>
      <c r="B3043" t="s">
        <v>997</v>
      </c>
      <c r="C3043" t="s">
        <v>997</v>
      </c>
      <c r="D3043">
        <v>7650</v>
      </c>
      <c r="E3043">
        <v>110</v>
      </c>
      <c r="F3043" t="s">
        <v>1328</v>
      </c>
      <c r="G3043" t="s">
        <v>1329</v>
      </c>
      <c r="H3043" s="315" t="s">
        <v>30</v>
      </c>
      <c r="I3043" s="315" t="s">
        <v>1327</v>
      </c>
      <c r="J3043" s="315" t="str">
        <f t="shared" si="256"/>
        <v>Used VehicleOther Semi-Fixed expenses per retail</v>
      </c>
      <c r="K3043" s="315" t="str">
        <f t="shared" si="257"/>
        <v>110Toyota UV Other Semi-Fixed expenses</v>
      </c>
      <c r="L3043" s="311">
        <f>+SUMIF('TUNZ Extracted TB'!M:M,$P3043,'TUNZ Extracted TB'!G:G)</f>
        <v>0</v>
      </c>
      <c r="M3043" s="311"/>
      <c r="N3043" s="311">
        <f>+SUMIF('Input Sheet'!$AE:$AE,P3043,'Input Sheet'!$X:$X)</f>
        <v>0</v>
      </c>
      <c r="O3043" s="311"/>
      <c r="P3043" t="str">
        <f t="shared" si="258"/>
        <v>110-7650</v>
      </c>
      <c r="Q3043" s="315" t="str">
        <f t="shared" si="259"/>
        <v>Used Vehicle</v>
      </c>
      <c r="R3043" s="315" t="str">
        <f t="shared" si="260"/>
        <v>Used VehicleOther Semi-Fixed expenses per retail</v>
      </c>
      <c r="S3043" s="199"/>
      <c r="T3043" s="199"/>
      <c r="U3043" s="199"/>
    </row>
    <row r="3044" spans="1:21" x14ac:dyDescent="0.25">
      <c r="A3044" t="s">
        <v>996</v>
      </c>
      <c r="B3044" t="s">
        <v>997</v>
      </c>
      <c r="C3044" t="s">
        <v>997</v>
      </c>
      <c r="D3044">
        <v>7690</v>
      </c>
      <c r="E3044">
        <v>120</v>
      </c>
      <c r="F3044" t="s">
        <v>1432</v>
      </c>
      <c r="G3044" t="s">
        <v>1433</v>
      </c>
      <c r="H3044" s="315" t="s">
        <v>1000</v>
      </c>
      <c r="I3044" s="315" t="s">
        <v>1434</v>
      </c>
      <c r="J3044" s="315" t="str">
        <f t="shared" si="256"/>
        <v>Admin &amp; OtherRent &amp; Rates as % of Total Gross Profit</v>
      </c>
      <c r="K3044" s="315" t="str">
        <f t="shared" si="257"/>
        <v>120Rent - Toyota</v>
      </c>
      <c r="L3044" s="311">
        <f>+SUMIF('TUNZ Extracted TB'!M:M,$P3044,'TUNZ Extracted TB'!G:G)</f>
        <v>20858.82</v>
      </c>
      <c r="M3044" s="311"/>
      <c r="N3044" s="311">
        <f>+SUMIF('Input Sheet'!$AE:$AE,P3044,'Input Sheet'!$X:$X)</f>
        <v>0</v>
      </c>
      <c r="O3044" s="311"/>
      <c r="P3044" t="str">
        <f t="shared" si="258"/>
        <v>120-7690</v>
      </c>
      <c r="Q3044" s="315" t="str">
        <f t="shared" si="259"/>
        <v>Admin &amp; Other</v>
      </c>
      <c r="R3044" s="315" t="str">
        <f t="shared" si="260"/>
        <v>Admin &amp; OtherRent &amp; Rates as % of Total Gross Profit</v>
      </c>
      <c r="S3044" s="199"/>
      <c r="T3044" s="199"/>
      <c r="U3044" s="199"/>
    </row>
    <row r="3045" spans="1:21" x14ac:dyDescent="0.25">
      <c r="A3045" t="s">
        <v>996</v>
      </c>
      <c r="B3045" t="s">
        <v>997</v>
      </c>
      <c r="C3045" t="s">
        <v>1005</v>
      </c>
      <c r="D3045">
        <v>7690</v>
      </c>
      <c r="E3045">
        <v>210</v>
      </c>
      <c r="F3045" t="s">
        <v>1432</v>
      </c>
      <c r="G3045" t="s">
        <v>1433</v>
      </c>
      <c r="H3045" s="315" t="s">
        <v>1000</v>
      </c>
      <c r="I3045" s="315" t="s">
        <v>1434</v>
      </c>
      <c r="J3045" s="315" t="str">
        <f t="shared" si="256"/>
        <v>Admin &amp; OtherRent &amp; Rates as % of Total Gross Profit</v>
      </c>
      <c r="K3045" s="315" t="str">
        <f t="shared" si="257"/>
        <v>210Rent - Toyota</v>
      </c>
      <c r="L3045" s="311">
        <f>+SUMIF('TUNZ Extracted TB'!M:M,$P3045,'TUNZ Extracted TB'!G:G)</f>
        <v>19457.05</v>
      </c>
      <c r="M3045" s="311"/>
      <c r="N3045" s="311">
        <f>+SUMIF('Input Sheet'!$AE:$AE,P3045,'Input Sheet'!$X:$X)</f>
        <v>0</v>
      </c>
      <c r="O3045" s="311"/>
      <c r="P3045" t="str">
        <f t="shared" si="258"/>
        <v>210-7690</v>
      </c>
      <c r="Q3045" s="315" t="str">
        <f t="shared" si="259"/>
        <v>Admin &amp; Other</v>
      </c>
      <c r="R3045" s="315" t="str">
        <f t="shared" si="260"/>
        <v>Admin &amp; OtherRent &amp; Rates as % of Total Gross Profit</v>
      </c>
      <c r="S3045" s="199"/>
      <c r="T3045" s="199"/>
      <c r="U3045" s="199"/>
    </row>
    <row r="3046" spans="1:21" x14ac:dyDescent="0.25">
      <c r="A3046" t="s">
        <v>996</v>
      </c>
      <c r="B3046" t="s">
        <v>997</v>
      </c>
      <c r="C3046" t="s">
        <v>1012</v>
      </c>
      <c r="D3046">
        <v>7690</v>
      </c>
      <c r="E3046">
        <v>440</v>
      </c>
      <c r="F3046" t="s">
        <v>1432</v>
      </c>
      <c r="G3046" t="s">
        <v>1433</v>
      </c>
      <c r="H3046" s="315" t="s">
        <v>1000</v>
      </c>
      <c r="I3046" s="315" t="s">
        <v>1434</v>
      </c>
      <c r="J3046" s="315" t="str">
        <f t="shared" si="256"/>
        <v>Admin &amp; OtherRent &amp; Rates as % of Total Gross Profit</v>
      </c>
      <c r="K3046" s="315" t="str">
        <f t="shared" si="257"/>
        <v>440Rent - Toyota</v>
      </c>
      <c r="L3046" s="311">
        <f>+SUMIF('TUNZ Extracted TB'!M:M,$P3046,'TUNZ Extracted TB'!G:G)</f>
        <v>17255.39</v>
      </c>
      <c r="M3046" s="311"/>
      <c r="N3046" s="311">
        <f>+SUMIF('Input Sheet'!$AE:$AE,P3046,'Input Sheet'!$X:$X)</f>
        <v>0</v>
      </c>
      <c r="O3046" s="311"/>
      <c r="P3046" t="str">
        <f t="shared" si="258"/>
        <v>440-7690</v>
      </c>
      <c r="Q3046" s="315" t="str">
        <f t="shared" si="259"/>
        <v>Admin &amp; Other</v>
      </c>
      <c r="R3046" s="315" t="str">
        <f t="shared" si="260"/>
        <v>Admin &amp; OtherRent &amp; Rates as % of Total Gross Profit</v>
      </c>
      <c r="S3046" s="199"/>
      <c r="T3046" s="199"/>
      <c r="U3046" s="199"/>
    </row>
    <row r="3047" spans="1:21" x14ac:dyDescent="0.25">
      <c r="A3047" t="s">
        <v>996</v>
      </c>
      <c r="B3047" t="s">
        <v>997</v>
      </c>
      <c r="C3047" t="s">
        <v>1005</v>
      </c>
      <c r="D3047">
        <v>7690</v>
      </c>
      <c r="E3047">
        <v>220</v>
      </c>
      <c r="F3047" t="s">
        <v>1432</v>
      </c>
      <c r="G3047" t="s">
        <v>1433</v>
      </c>
      <c r="H3047" s="315" t="s">
        <v>1000</v>
      </c>
      <c r="I3047" s="315" t="s">
        <v>1434</v>
      </c>
      <c r="J3047" s="315" t="str">
        <f t="shared" si="256"/>
        <v>Admin &amp; OtherRent &amp; Rates as % of Total Gross Profit</v>
      </c>
      <c r="K3047" s="315" t="str">
        <f t="shared" si="257"/>
        <v>220Rent - Toyota</v>
      </c>
      <c r="L3047" s="311">
        <f>+SUMIF('TUNZ Extracted TB'!M:M,$P3047,'TUNZ Extracted TB'!G:G)</f>
        <v>14371.85</v>
      </c>
      <c r="M3047" s="311"/>
      <c r="N3047" s="311">
        <f>+SUMIF('Input Sheet'!$AE:$AE,P3047,'Input Sheet'!$X:$X)</f>
        <v>0</v>
      </c>
      <c r="O3047" s="311"/>
      <c r="P3047" t="str">
        <f t="shared" si="258"/>
        <v>220-7690</v>
      </c>
      <c r="Q3047" s="315" t="str">
        <f t="shared" si="259"/>
        <v>Admin &amp; Other</v>
      </c>
      <c r="R3047" s="315" t="str">
        <f t="shared" si="260"/>
        <v>Admin &amp; OtherRent &amp; Rates as % of Total Gross Profit</v>
      </c>
      <c r="S3047" s="199"/>
      <c r="T3047" s="199"/>
      <c r="U3047" s="199"/>
    </row>
    <row r="3048" spans="1:21" x14ac:dyDescent="0.25">
      <c r="A3048" t="s">
        <v>996</v>
      </c>
      <c r="B3048" t="s">
        <v>997</v>
      </c>
      <c r="C3048" t="s">
        <v>1013</v>
      </c>
      <c r="D3048">
        <v>7690</v>
      </c>
      <c r="E3048">
        <v>340</v>
      </c>
      <c r="F3048" t="s">
        <v>1432</v>
      </c>
      <c r="G3048" t="s">
        <v>1433</v>
      </c>
      <c r="H3048" s="315" t="s">
        <v>1000</v>
      </c>
      <c r="I3048" s="315" t="s">
        <v>1434</v>
      </c>
      <c r="J3048" s="315" t="str">
        <f t="shared" si="256"/>
        <v>Admin &amp; OtherRent &amp; Rates as % of Total Gross Profit</v>
      </c>
      <c r="K3048" s="315" t="str">
        <f t="shared" si="257"/>
        <v>340Rent - Toyota</v>
      </c>
      <c r="L3048" s="311">
        <f>+SUMIF('TUNZ Extracted TB'!M:M,$P3048,'TUNZ Extracted TB'!G:G)</f>
        <v>8913.26</v>
      </c>
      <c r="M3048" s="311"/>
      <c r="N3048" s="311">
        <f>+SUMIF('Input Sheet'!$AE:$AE,P3048,'Input Sheet'!$X:$X)</f>
        <v>0</v>
      </c>
      <c r="O3048" s="311"/>
      <c r="P3048" t="str">
        <f t="shared" si="258"/>
        <v>340-7690</v>
      </c>
      <c r="Q3048" s="315" t="str">
        <f t="shared" si="259"/>
        <v>Admin &amp; Other</v>
      </c>
      <c r="R3048" s="315" t="str">
        <f t="shared" si="260"/>
        <v>Admin &amp; OtherRent &amp; Rates as % of Total Gross Profit</v>
      </c>
      <c r="S3048" s="199"/>
      <c r="T3048" s="199"/>
      <c r="U3048" s="199"/>
    </row>
    <row r="3049" spans="1:21" x14ac:dyDescent="0.25">
      <c r="A3049" t="s">
        <v>996</v>
      </c>
      <c r="B3049" t="s">
        <v>997</v>
      </c>
      <c r="C3049" t="s">
        <v>997</v>
      </c>
      <c r="D3049">
        <v>7690</v>
      </c>
      <c r="E3049">
        <v>122</v>
      </c>
      <c r="F3049" t="s">
        <v>1435</v>
      </c>
      <c r="G3049" t="s">
        <v>1436</v>
      </c>
      <c r="H3049" s="315" t="s">
        <v>1023</v>
      </c>
      <c r="I3049" s="315" t="s">
        <v>1434</v>
      </c>
      <c r="J3049" s="315" t="str">
        <f t="shared" si="256"/>
        <v>LEX Admin &amp; OtherRent &amp; Rates as % of Total Gross Profit</v>
      </c>
      <c r="K3049" s="315" t="str">
        <f t="shared" si="257"/>
        <v>122Rent - Lexus</v>
      </c>
      <c r="L3049" s="311">
        <f>+SUMIF('TUNZ Extracted TB'!M:M,$P3049,'TUNZ Extracted TB'!G:G)</f>
        <v>8350</v>
      </c>
      <c r="M3049" s="311"/>
      <c r="N3049" s="311">
        <f>+SUMIF('Input Sheet'!$AE:$AE,P3049,'Input Sheet'!$X:$X)</f>
        <v>0</v>
      </c>
      <c r="O3049" s="311"/>
      <c r="P3049" t="str">
        <f t="shared" si="258"/>
        <v>122-7690</v>
      </c>
      <c r="Q3049" s="315" t="str">
        <f t="shared" si="259"/>
        <v>LEX Admin &amp; Other</v>
      </c>
      <c r="R3049" s="315" t="str">
        <f t="shared" si="260"/>
        <v>LEX Admin &amp; OtherRent &amp; Rates as % of Total Gross Profit</v>
      </c>
      <c r="S3049" s="199"/>
      <c r="T3049" s="199"/>
      <c r="U3049" s="199"/>
    </row>
    <row r="3050" spans="1:21" x14ac:dyDescent="0.25">
      <c r="A3050" t="s">
        <v>996</v>
      </c>
      <c r="B3050" t="s">
        <v>997</v>
      </c>
      <c r="C3050" t="s">
        <v>997</v>
      </c>
      <c r="D3050">
        <v>7690</v>
      </c>
      <c r="E3050">
        <v>150</v>
      </c>
      <c r="F3050" t="s">
        <v>1432</v>
      </c>
      <c r="G3050" t="s">
        <v>1433</v>
      </c>
      <c r="H3050" s="315" t="s">
        <v>1023</v>
      </c>
      <c r="I3050" s="315" t="s">
        <v>1434</v>
      </c>
      <c r="J3050" s="315" t="str">
        <f t="shared" si="256"/>
        <v>LEX Admin &amp; OtherRent &amp; Rates as % of Total Gross Profit</v>
      </c>
      <c r="K3050" s="315" t="str">
        <f t="shared" si="257"/>
        <v>150Rent - Toyota</v>
      </c>
      <c r="L3050" s="311">
        <f>+SUMIF('TUNZ Extracted TB'!M:M,$P3050,'TUNZ Extracted TB'!G:G)</f>
        <v>5305.45</v>
      </c>
      <c r="M3050" s="311"/>
      <c r="N3050" s="311">
        <f>+SUMIF('Input Sheet'!$AE:$AE,P3050,'Input Sheet'!$X:$X)</f>
        <v>0</v>
      </c>
      <c r="O3050" s="311"/>
      <c r="P3050" t="str">
        <f t="shared" si="258"/>
        <v>150-7690</v>
      </c>
      <c r="Q3050" s="315" t="str">
        <f t="shared" si="259"/>
        <v>LEX Admin &amp; Other</v>
      </c>
      <c r="R3050" s="315" t="str">
        <f t="shared" si="260"/>
        <v>LEX Admin &amp; OtherRent &amp; Rates as % of Total Gross Profit</v>
      </c>
      <c r="S3050" s="199"/>
      <c r="T3050" s="199"/>
      <c r="U3050" s="199"/>
    </row>
    <row r="3051" spans="1:21" x14ac:dyDescent="0.25">
      <c r="A3051" t="s">
        <v>996</v>
      </c>
      <c r="B3051" t="s">
        <v>997</v>
      </c>
      <c r="C3051" t="s">
        <v>997</v>
      </c>
      <c r="D3051">
        <v>7690</v>
      </c>
      <c r="E3051">
        <v>935</v>
      </c>
      <c r="F3051" t="s">
        <v>1175</v>
      </c>
      <c r="G3051" t="s">
        <v>1176</v>
      </c>
      <c r="H3051" s="315" t="s">
        <v>1023</v>
      </c>
      <c r="I3051" s="315" t="s">
        <v>1434</v>
      </c>
      <c r="J3051" s="315" t="str">
        <f t="shared" si="256"/>
        <v>LEX Admin &amp; OtherRent &amp; Rates as % of Total Gross Profit</v>
      </c>
      <c r="K3051" s="315" t="str">
        <f t="shared" si="257"/>
        <v>935Other franchise/business expense</v>
      </c>
      <c r="L3051" s="311">
        <f>+SUMIF('TUNZ Extracted TB'!M:M,$P3051,'TUNZ Extracted TB'!G:G)</f>
        <v>5062.5</v>
      </c>
      <c r="M3051" s="311"/>
      <c r="N3051" s="311">
        <f>+SUMIF('Input Sheet'!$AE:$AE,P3051,'Input Sheet'!$X:$X)</f>
        <v>0</v>
      </c>
      <c r="O3051" s="311"/>
      <c r="P3051" t="str">
        <f t="shared" si="258"/>
        <v>935-7690</v>
      </c>
      <c r="Q3051" s="315" t="str">
        <f t="shared" si="259"/>
        <v>LEX Admin &amp; Other</v>
      </c>
      <c r="R3051" s="315" t="str">
        <f t="shared" si="260"/>
        <v>LEX Admin &amp; OtherRent &amp; Rates as % of Total Gross Profit</v>
      </c>
      <c r="S3051" s="199"/>
      <c r="T3051" s="199"/>
      <c r="U3051" s="199"/>
    </row>
    <row r="3052" spans="1:21" x14ac:dyDescent="0.25">
      <c r="A3052" t="s">
        <v>996</v>
      </c>
      <c r="B3052" t="s">
        <v>997</v>
      </c>
      <c r="C3052" t="s">
        <v>1005</v>
      </c>
      <c r="D3052">
        <v>7690</v>
      </c>
      <c r="E3052">
        <v>240</v>
      </c>
      <c r="F3052" t="s">
        <v>1432</v>
      </c>
      <c r="G3052" t="s">
        <v>1433</v>
      </c>
      <c r="H3052" s="315" t="s">
        <v>1000</v>
      </c>
      <c r="I3052" s="315" t="s">
        <v>1434</v>
      </c>
      <c r="J3052" s="315" t="str">
        <f t="shared" si="256"/>
        <v>Admin &amp; OtherRent &amp; Rates as % of Total Gross Profit</v>
      </c>
      <c r="K3052" s="315" t="str">
        <f t="shared" si="257"/>
        <v>240Rent - Toyota</v>
      </c>
      <c r="L3052" s="311">
        <f>+SUMIF('TUNZ Extracted TB'!M:M,$P3052,'TUNZ Extracted TB'!G:G)</f>
        <v>4967.84</v>
      </c>
      <c r="M3052" s="311"/>
      <c r="N3052" s="311">
        <f>+SUMIF('Input Sheet'!$AE:$AE,P3052,'Input Sheet'!$X:$X)</f>
        <v>0</v>
      </c>
      <c r="O3052" s="311"/>
      <c r="P3052" t="str">
        <f t="shared" si="258"/>
        <v>240-7690</v>
      </c>
      <c r="Q3052" s="315" t="str">
        <f t="shared" si="259"/>
        <v>Admin &amp; Other</v>
      </c>
      <c r="R3052" s="315" t="str">
        <f t="shared" si="260"/>
        <v>Admin &amp; OtherRent &amp; Rates as % of Total Gross Profit</v>
      </c>
      <c r="S3052" s="199"/>
      <c r="T3052" s="199"/>
      <c r="U3052" s="199"/>
    </row>
    <row r="3053" spans="1:21" x14ac:dyDescent="0.25">
      <c r="A3053" t="s">
        <v>996</v>
      </c>
      <c r="B3053" t="s">
        <v>997</v>
      </c>
      <c r="C3053" t="s">
        <v>997</v>
      </c>
      <c r="D3053">
        <v>7690</v>
      </c>
      <c r="E3053">
        <v>936</v>
      </c>
      <c r="F3053" t="s">
        <v>1175</v>
      </c>
      <c r="G3053" t="s">
        <v>1176</v>
      </c>
      <c r="H3053" s="315" t="s">
        <v>1023</v>
      </c>
      <c r="I3053" s="315" t="s">
        <v>1434</v>
      </c>
      <c r="J3053" s="315" t="str">
        <f t="shared" si="256"/>
        <v>LEX Admin &amp; OtherRent &amp; Rates as % of Total Gross Profit</v>
      </c>
      <c r="K3053" s="315" t="str">
        <f t="shared" si="257"/>
        <v>936Other franchise/business expense</v>
      </c>
      <c r="L3053" s="311">
        <f>+SUMIF('TUNZ Extracted TB'!M:M,$P3053,'TUNZ Extracted TB'!G:G)</f>
        <v>4743.75</v>
      </c>
      <c r="M3053" s="311"/>
      <c r="N3053" s="311">
        <f>+SUMIF('Input Sheet'!$AE:$AE,P3053,'Input Sheet'!$X:$X)</f>
        <v>0</v>
      </c>
      <c r="O3053" s="311"/>
      <c r="P3053" t="str">
        <f t="shared" si="258"/>
        <v>936-7690</v>
      </c>
      <c r="Q3053" s="315" t="str">
        <f t="shared" si="259"/>
        <v>LEX Admin &amp; Other</v>
      </c>
      <c r="R3053" s="315" t="str">
        <f t="shared" si="260"/>
        <v>LEX Admin &amp; OtherRent &amp; Rates as % of Total Gross Profit</v>
      </c>
      <c r="S3053" s="199"/>
      <c r="T3053" s="199"/>
      <c r="U3053" s="199"/>
    </row>
    <row r="3054" spans="1:21" x14ac:dyDescent="0.25">
      <c r="A3054" t="s">
        <v>996</v>
      </c>
      <c r="B3054" t="s">
        <v>997</v>
      </c>
      <c r="C3054" t="s">
        <v>1005</v>
      </c>
      <c r="D3054">
        <v>7690</v>
      </c>
      <c r="E3054">
        <v>230</v>
      </c>
      <c r="F3054" t="s">
        <v>1432</v>
      </c>
      <c r="G3054" t="s">
        <v>1433</v>
      </c>
      <c r="H3054" s="315" t="s">
        <v>1000</v>
      </c>
      <c r="I3054" s="315" t="s">
        <v>1434</v>
      </c>
      <c r="J3054" s="315" t="str">
        <f t="shared" si="256"/>
        <v>Admin &amp; OtherRent &amp; Rates as % of Total Gross Profit</v>
      </c>
      <c r="K3054" s="315" t="str">
        <f t="shared" si="257"/>
        <v>230Rent - Toyota</v>
      </c>
      <c r="L3054" s="311">
        <f>+SUMIF('TUNZ Extracted TB'!M:M,$P3054,'TUNZ Extracted TB'!G:G)</f>
        <v>3509.05</v>
      </c>
      <c r="M3054" s="311"/>
      <c r="N3054" s="311">
        <f>+SUMIF('Input Sheet'!$AE:$AE,P3054,'Input Sheet'!$X:$X)</f>
        <v>0</v>
      </c>
      <c r="O3054" s="311"/>
      <c r="P3054" t="str">
        <f t="shared" si="258"/>
        <v>230-7690</v>
      </c>
      <c r="Q3054" s="315" t="str">
        <f t="shared" si="259"/>
        <v>Admin &amp; Other</v>
      </c>
      <c r="R3054" s="315" t="str">
        <f t="shared" si="260"/>
        <v>Admin &amp; OtherRent &amp; Rates as % of Total Gross Profit</v>
      </c>
      <c r="S3054" s="199"/>
      <c r="T3054" s="199"/>
      <c r="U3054" s="199"/>
    </row>
    <row r="3055" spans="1:21" x14ac:dyDescent="0.25">
      <c r="A3055" t="s">
        <v>996</v>
      </c>
      <c r="B3055" t="s">
        <v>997</v>
      </c>
      <c r="C3055" t="s">
        <v>1012</v>
      </c>
      <c r="D3055">
        <v>7690</v>
      </c>
      <c r="E3055">
        <v>430</v>
      </c>
      <c r="F3055" t="s">
        <v>1432</v>
      </c>
      <c r="G3055" t="s">
        <v>1433</v>
      </c>
      <c r="H3055" s="315" t="s">
        <v>1000</v>
      </c>
      <c r="I3055" s="315" t="s">
        <v>1434</v>
      </c>
      <c r="J3055" s="315" t="str">
        <f t="shared" si="256"/>
        <v>Admin &amp; OtherRent &amp; Rates as % of Total Gross Profit</v>
      </c>
      <c r="K3055" s="315" t="str">
        <f t="shared" si="257"/>
        <v>430Rent - Toyota</v>
      </c>
      <c r="L3055" s="311">
        <f>+SUMIF('TUNZ Extracted TB'!M:M,$P3055,'TUNZ Extracted TB'!G:G)</f>
        <v>3334.38</v>
      </c>
      <c r="M3055" s="311"/>
      <c r="N3055" s="311">
        <f>+SUMIF('Input Sheet'!$AE:$AE,P3055,'Input Sheet'!$X:$X)</f>
        <v>0</v>
      </c>
      <c r="O3055" s="311"/>
      <c r="P3055" t="str">
        <f t="shared" si="258"/>
        <v>430-7690</v>
      </c>
      <c r="Q3055" s="315" t="str">
        <f t="shared" si="259"/>
        <v>Admin &amp; Other</v>
      </c>
      <c r="R3055" s="315" t="str">
        <f t="shared" si="260"/>
        <v>Admin &amp; OtherRent &amp; Rates as % of Total Gross Profit</v>
      </c>
      <c r="S3055" s="199"/>
      <c r="T3055" s="199"/>
      <c r="U3055" s="199"/>
    </row>
    <row r="3056" spans="1:21" x14ac:dyDescent="0.25">
      <c r="A3056" t="s">
        <v>996</v>
      </c>
      <c r="B3056" t="s">
        <v>997</v>
      </c>
      <c r="C3056" t="s">
        <v>1005</v>
      </c>
      <c r="D3056">
        <v>7690</v>
      </c>
      <c r="E3056">
        <v>260</v>
      </c>
      <c r="F3056" t="s">
        <v>1432</v>
      </c>
      <c r="G3056" t="s">
        <v>1433</v>
      </c>
      <c r="H3056" s="315" t="s">
        <v>1000</v>
      </c>
      <c r="I3056" s="315" t="s">
        <v>1434</v>
      </c>
      <c r="J3056" s="315" t="str">
        <f t="shared" si="256"/>
        <v>Admin &amp; OtherRent &amp; Rates as % of Total Gross Profit</v>
      </c>
      <c r="K3056" s="315" t="str">
        <f t="shared" si="257"/>
        <v>260Rent - Toyota</v>
      </c>
      <c r="L3056" s="311">
        <f>+SUMIF('TUNZ Extracted TB'!M:M,$P3056,'TUNZ Extracted TB'!G:G)</f>
        <v>1754.53</v>
      </c>
      <c r="M3056" s="311"/>
      <c r="N3056" s="311">
        <f>+SUMIF('Input Sheet'!$AE:$AE,P3056,'Input Sheet'!$X:$X)</f>
        <v>0</v>
      </c>
      <c r="O3056" s="311"/>
      <c r="P3056" t="str">
        <f t="shared" si="258"/>
        <v>260-7690</v>
      </c>
      <c r="Q3056" s="315" t="str">
        <f t="shared" si="259"/>
        <v>Admin &amp; Other</v>
      </c>
      <c r="R3056" s="315" t="str">
        <f t="shared" si="260"/>
        <v>Admin &amp; OtherRent &amp; Rates as % of Total Gross Profit</v>
      </c>
      <c r="S3056" s="199"/>
      <c r="T3056" s="199"/>
      <c r="U3056" s="199"/>
    </row>
    <row r="3057" spans="1:21" x14ac:dyDescent="0.25">
      <c r="A3057" t="s">
        <v>996</v>
      </c>
      <c r="B3057" t="s">
        <v>997</v>
      </c>
      <c r="C3057" t="s">
        <v>1013</v>
      </c>
      <c r="D3057">
        <v>7690</v>
      </c>
      <c r="E3057">
        <v>330</v>
      </c>
      <c r="F3057" t="s">
        <v>1432</v>
      </c>
      <c r="G3057" t="s">
        <v>1433</v>
      </c>
      <c r="H3057" s="315" t="s">
        <v>1000</v>
      </c>
      <c r="I3057" s="315" t="s">
        <v>1434</v>
      </c>
      <c r="J3057" s="315" t="str">
        <f t="shared" si="256"/>
        <v>Admin &amp; OtherRent &amp; Rates as % of Total Gross Profit</v>
      </c>
      <c r="K3057" s="315" t="str">
        <f t="shared" si="257"/>
        <v>330Rent - Toyota</v>
      </c>
      <c r="L3057" s="311">
        <f>+SUMIF('TUNZ Extracted TB'!M:M,$P3057,'TUNZ Extracted TB'!G:G)</f>
        <v>1355.36</v>
      </c>
      <c r="M3057" s="311"/>
      <c r="N3057" s="311">
        <f>+SUMIF('Input Sheet'!$AE:$AE,P3057,'Input Sheet'!$X:$X)</f>
        <v>0</v>
      </c>
      <c r="O3057" s="311"/>
      <c r="P3057" t="str">
        <f t="shared" si="258"/>
        <v>330-7690</v>
      </c>
      <c r="Q3057" s="315" t="str">
        <f t="shared" si="259"/>
        <v>Admin &amp; Other</v>
      </c>
      <c r="R3057" s="315" t="str">
        <f t="shared" si="260"/>
        <v>Admin &amp; OtherRent &amp; Rates as % of Total Gross Profit</v>
      </c>
      <c r="S3057" s="199"/>
      <c r="T3057" s="199"/>
      <c r="U3057" s="199"/>
    </row>
    <row r="3058" spans="1:21" x14ac:dyDescent="0.25">
      <c r="A3058" s="316">
        <v>44866</v>
      </c>
      <c r="B3058" t="s">
        <v>997</v>
      </c>
      <c r="C3058" t="s">
        <v>997</v>
      </c>
      <c r="D3058">
        <v>7690</v>
      </c>
      <c r="E3058">
        <v>190</v>
      </c>
      <c r="G3058" t="s">
        <v>126</v>
      </c>
      <c r="H3058" s="315" t="s">
        <v>1000</v>
      </c>
      <c r="I3058" s="315" t="s">
        <v>1434</v>
      </c>
      <c r="J3058" s="315" t="str">
        <f t="shared" si="256"/>
        <v>Admin &amp; OtherRent &amp; Rates as % of Total Gross Profit</v>
      </c>
      <c r="K3058" s="315" t="str">
        <f t="shared" si="257"/>
        <v>190Rent</v>
      </c>
      <c r="L3058" s="311">
        <f>+SUMIF('TUNZ Extracted TB'!M:M,$P3058,'TUNZ Extracted TB'!G:G)</f>
        <v>0</v>
      </c>
      <c r="M3058" s="311"/>
      <c r="N3058" s="311">
        <f>+SUMIF('Input Sheet'!$AE:$AE,P3058,'Input Sheet'!$X:$X)</f>
        <v>0</v>
      </c>
      <c r="O3058" s="311"/>
      <c r="P3058" t="str">
        <f t="shared" si="258"/>
        <v>190-7690</v>
      </c>
      <c r="Q3058" s="315" t="str">
        <f t="shared" si="259"/>
        <v>Admin &amp; Other</v>
      </c>
      <c r="R3058" s="315" t="str">
        <f t="shared" si="260"/>
        <v>Admin &amp; OtherRent &amp; Rates as % of Total Gross Profit</v>
      </c>
      <c r="S3058" s="199"/>
      <c r="T3058" s="199"/>
      <c r="U3058" s="199"/>
    </row>
    <row r="3059" spans="1:21" x14ac:dyDescent="0.25">
      <c r="A3059" t="s">
        <v>996</v>
      </c>
      <c r="B3059" t="s">
        <v>997</v>
      </c>
      <c r="C3059" t="s">
        <v>997</v>
      </c>
      <c r="D3059">
        <v>7690</v>
      </c>
      <c r="E3059">
        <v>162</v>
      </c>
      <c r="F3059" t="s">
        <v>1435</v>
      </c>
      <c r="G3059" t="s">
        <v>1436</v>
      </c>
      <c r="H3059" s="315" t="s">
        <v>1023</v>
      </c>
      <c r="I3059" s="315" t="s">
        <v>1434</v>
      </c>
      <c r="J3059" s="315" t="str">
        <f t="shared" si="256"/>
        <v>LEX Admin &amp; OtherRent &amp; Rates as % of Total Gross Profit</v>
      </c>
      <c r="K3059" s="315" t="str">
        <f t="shared" si="257"/>
        <v>162Rent - Lexus</v>
      </c>
      <c r="L3059" s="311">
        <f>+SUMIF('TUNZ Extracted TB'!M:M,$P3059,'TUNZ Extracted TB'!G:G)</f>
        <v>0</v>
      </c>
      <c r="M3059" s="311"/>
      <c r="N3059" s="311">
        <f>+SUMIF('Input Sheet'!$AE:$AE,P3059,'Input Sheet'!$X:$X)</f>
        <v>0</v>
      </c>
      <c r="O3059" s="311"/>
      <c r="P3059" t="str">
        <f t="shared" si="258"/>
        <v>162-7690</v>
      </c>
      <c r="Q3059" s="315" t="str">
        <f t="shared" si="259"/>
        <v>LEX Admin &amp; Other</v>
      </c>
      <c r="R3059" s="315" t="str">
        <f t="shared" si="260"/>
        <v>LEX Admin &amp; OtherRent &amp; Rates as % of Total Gross Profit</v>
      </c>
      <c r="S3059" s="199"/>
      <c r="T3059" s="199"/>
      <c r="U3059" s="199"/>
    </row>
    <row r="3060" spans="1:21" x14ac:dyDescent="0.25">
      <c r="A3060" t="s">
        <v>996</v>
      </c>
      <c r="B3060" t="s">
        <v>997</v>
      </c>
      <c r="C3060" t="s">
        <v>997</v>
      </c>
      <c r="D3060">
        <v>7690</v>
      </c>
      <c r="E3060">
        <v>147</v>
      </c>
      <c r="F3060" t="s">
        <v>1432</v>
      </c>
      <c r="G3060" t="s">
        <v>1433</v>
      </c>
      <c r="H3060" s="315" t="s">
        <v>1000</v>
      </c>
      <c r="I3060" s="315" t="s">
        <v>1434</v>
      </c>
      <c r="J3060" s="315" t="str">
        <f t="shared" si="256"/>
        <v>Admin &amp; OtherRent &amp; Rates as % of Total Gross Profit</v>
      </c>
      <c r="K3060" s="315" t="str">
        <f t="shared" si="257"/>
        <v>147Rent - Toyota</v>
      </c>
      <c r="L3060" s="311">
        <f>+SUMIF('TUNZ Extracted TB'!M:M,$P3060,'TUNZ Extracted TB'!G:G)</f>
        <v>0</v>
      </c>
      <c r="M3060" s="311"/>
      <c r="N3060" s="311">
        <f>+SUMIF('Input Sheet'!$AE:$AE,P3060,'Input Sheet'!$X:$X)</f>
        <v>0</v>
      </c>
      <c r="O3060" s="311"/>
      <c r="P3060" t="str">
        <f t="shared" si="258"/>
        <v>147-7690</v>
      </c>
      <c r="Q3060" s="315" t="str">
        <f t="shared" si="259"/>
        <v>Admin &amp; Other</v>
      </c>
      <c r="R3060" s="315" t="str">
        <f t="shared" si="260"/>
        <v>Admin &amp; OtherRent &amp; Rates as % of Total Gross Profit</v>
      </c>
      <c r="S3060" s="199"/>
      <c r="T3060" s="199"/>
      <c r="U3060" s="199"/>
    </row>
    <row r="3061" spans="1:21" x14ac:dyDescent="0.25">
      <c r="A3061" t="s">
        <v>996</v>
      </c>
      <c r="B3061" t="s">
        <v>997</v>
      </c>
      <c r="C3061" t="s">
        <v>997</v>
      </c>
      <c r="D3061">
        <v>7690</v>
      </c>
      <c r="E3061">
        <v>121</v>
      </c>
      <c r="F3061" t="s">
        <v>1432</v>
      </c>
      <c r="G3061" t="s">
        <v>1433</v>
      </c>
      <c r="H3061" s="315" t="s">
        <v>1000</v>
      </c>
      <c r="I3061" s="315" t="s">
        <v>1434</v>
      </c>
      <c r="J3061" s="315" t="str">
        <f t="shared" si="256"/>
        <v>Admin &amp; OtherRent &amp; Rates as % of Total Gross Profit</v>
      </c>
      <c r="K3061" s="315" t="str">
        <f t="shared" si="257"/>
        <v>121Rent - Toyota</v>
      </c>
      <c r="L3061" s="311">
        <f>+SUMIF('TUNZ Extracted TB'!M:M,$P3061,'TUNZ Extracted TB'!G:G)</f>
        <v>0</v>
      </c>
      <c r="M3061" s="311"/>
      <c r="N3061" s="311">
        <f>+SUMIF('Input Sheet'!$AE:$AE,P3061,'Input Sheet'!$X:$X)</f>
        <v>0</v>
      </c>
      <c r="O3061" s="311"/>
      <c r="P3061" t="str">
        <f t="shared" si="258"/>
        <v>121-7690</v>
      </c>
      <c r="Q3061" s="315" t="str">
        <f t="shared" si="259"/>
        <v>Admin &amp; Other</v>
      </c>
      <c r="R3061" s="315" t="str">
        <f t="shared" si="260"/>
        <v>Admin &amp; OtherRent &amp; Rates as % of Total Gross Profit</v>
      </c>
      <c r="S3061" s="199"/>
      <c r="T3061" s="199"/>
      <c r="U3061" s="199"/>
    </row>
    <row r="3062" spans="1:21" x14ac:dyDescent="0.25">
      <c r="A3062" t="s">
        <v>996</v>
      </c>
      <c r="B3062" t="s">
        <v>997</v>
      </c>
      <c r="C3062" t="s">
        <v>1005</v>
      </c>
      <c r="D3062">
        <v>7690</v>
      </c>
      <c r="E3062">
        <v>200</v>
      </c>
      <c r="F3062" t="s">
        <v>1432</v>
      </c>
      <c r="G3062" t="s">
        <v>1433</v>
      </c>
      <c r="H3062" s="315" t="s">
        <v>1000</v>
      </c>
      <c r="I3062" s="315" t="s">
        <v>1434</v>
      </c>
      <c r="J3062" s="315" t="str">
        <f t="shared" si="256"/>
        <v>Admin &amp; OtherRent &amp; Rates as % of Total Gross Profit</v>
      </c>
      <c r="K3062" s="315" t="str">
        <f t="shared" si="257"/>
        <v>200Rent - Toyota</v>
      </c>
      <c r="L3062" s="311">
        <f>+SUMIF('TUNZ Extracted TB'!M:M,$P3062,'TUNZ Extracted TB'!G:G)</f>
        <v>0</v>
      </c>
      <c r="M3062" s="311"/>
      <c r="N3062" s="311">
        <f>+SUMIF('Input Sheet'!$AE:$AE,P3062,'Input Sheet'!$X:$X)</f>
        <v>0</v>
      </c>
      <c r="O3062" s="311"/>
      <c r="P3062" t="str">
        <f t="shared" si="258"/>
        <v>200-7690</v>
      </c>
      <c r="Q3062" s="315" t="str">
        <f t="shared" si="259"/>
        <v>Admin &amp; Other</v>
      </c>
      <c r="R3062" s="315" t="str">
        <f t="shared" si="260"/>
        <v>Admin &amp; OtherRent &amp; Rates as % of Total Gross Profit</v>
      </c>
      <c r="S3062" s="199"/>
      <c r="T3062" s="199"/>
      <c r="U3062" s="199"/>
    </row>
    <row r="3063" spans="1:21" x14ac:dyDescent="0.25">
      <c r="A3063" t="s">
        <v>996</v>
      </c>
      <c r="B3063" t="s">
        <v>997</v>
      </c>
      <c r="C3063" t="s">
        <v>1005</v>
      </c>
      <c r="D3063">
        <v>7690</v>
      </c>
      <c r="E3063">
        <v>221</v>
      </c>
      <c r="F3063" t="s">
        <v>1432</v>
      </c>
      <c r="G3063" t="s">
        <v>1433</v>
      </c>
      <c r="H3063" s="315" t="s">
        <v>1000</v>
      </c>
      <c r="I3063" s="315" t="s">
        <v>1434</v>
      </c>
      <c r="J3063" s="315" t="str">
        <f t="shared" si="256"/>
        <v>Admin &amp; OtherRent &amp; Rates as % of Total Gross Profit</v>
      </c>
      <c r="K3063" s="315" t="str">
        <f t="shared" si="257"/>
        <v>221Rent - Toyota</v>
      </c>
      <c r="L3063" s="311">
        <f>+SUMIF('TUNZ Extracted TB'!M:M,$P3063,'TUNZ Extracted TB'!G:G)</f>
        <v>0</v>
      </c>
      <c r="M3063" s="311"/>
      <c r="N3063" s="311">
        <f>+SUMIF('Input Sheet'!$AE:$AE,P3063,'Input Sheet'!$X:$X)</f>
        <v>0</v>
      </c>
      <c r="O3063" s="311"/>
      <c r="P3063" t="str">
        <f t="shared" si="258"/>
        <v>221-7690</v>
      </c>
      <c r="Q3063" s="315" t="str">
        <f t="shared" si="259"/>
        <v>Admin &amp; Other</v>
      </c>
      <c r="R3063" s="315" t="str">
        <f t="shared" si="260"/>
        <v>Admin &amp; OtherRent &amp; Rates as % of Total Gross Profit</v>
      </c>
      <c r="S3063" s="199"/>
      <c r="T3063" s="199"/>
      <c r="U3063" s="199"/>
    </row>
    <row r="3064" spans="1:21" x14ac:dyDescent="0.25">
      <c r="A3064" t="s">
        <v>996</v>
      </c>
      <c r="B3064" t="s">
        <v>997</v>
      </c>
      <c r="C3064" t="s">
        <v>1012</v>
      </c>
      <c r="D3064">
        <v>7690</v>
      </c>
      <c r="E3064">
        <v>400</v>
      </c>
      <c r="F3064" t="s">
        <v>1432</v>
      </c>
      <c r="G3064" t="s">
        <v>1433</v>
      </c>
      <c r="H3064" s="315" t="s">
        <v>1000</v>
      </c>
      <c r="I3064" s="315" t="s">
        <v>1434</v>
      </c>
      <c r="J3064" s="315" t="str">
        <f t="shared" si="256"/>
        <v>Admin &amp; OtherRent &amp; Rates as % of Total Gross Profit</v>
      </c>
      <c r="K3064" s="315" t="str">
        <f t="shared" si="257"/>
        <v>400Rent - Toyota</v>
      </c>
      <c r="L3064" s="311">
        <f>+SUMIF('TUNZ Extracted TB'!M:M,$P3064,'TUNZ Extracted TB'!G:G)</f>
        <v>0</v>
      </c>
      <c r="M3064" s="311"/>
      <c r="N3064" s="311">
        <f>+SUMIF('Input Sheet'!$AE:$AE,P3064,'Input Sheet'!$X:$X)</f>
        <v>0</v>
      </c>
      <c r="O3064" s="311"/>
      <c r="P3064" t="str">
        <f t="shared" si="258"/>
        <v>400-7690</v>
      </c>
      <c r="Q3064" s="315" t="str">
        <f t="shared" si="259"/>
        <v>Admin &amp; Other</v>
      </c>
      <c r="R3064" s="315" t="str">
        <f t="shared" si="260"/>
        <v>Admin &amp; OtherRent &amp; Rates as % of Total Gross Profit</v>
      </c>
      <c r="S3064" s="199"/>
      <c r="T3064" s="199"/>
      <c r="U3064" s="199"/>
    </row>
    <row r="3065" spans="1:21" x14ac:dyDescent="0.25">
      <c r="A3065" t="s">
        <v>996</v>
      </c>
      <c r="B3065" t="s">
        <v>997</v>
      </c>
      <c r="C3065" t="s">
        <v>1012</v>
      </c>
      <c r="D3065">
        <v>7690</v>
      </c>
      <c r="E3065">
        <v>410</v>
      </c>
      <c r="F3065" t="s">
        <v>1432</v>
      </c>
      <c r="G3065" t="s">
        <v>1433</v>
      </c>
      <c r="H3065" s="315" t="s">
        <v>1000</v>
      </c>
      <c r="I3065" s="315" t="s">
        <v>1434</v>
      </c>
      <c r="J3065" s="315" t="str">
        <f t="shared" si="256"/>
        <v>Admin &amp; OtherRent &amp; Rates as % of Total Gross Profit</v>
      </c>
      <c r="K3065" s="315" t="str">
        <f t="shared" si="257"/>
        <v>410Rent - Toyota</v>
      </c>
      <c r="L3065" s="311">
        <f>+SUMIF('TUNZ Extracted TB'!M:M,$P3065,'TUNZ Extracted TB'!G:G)</f>
        <v>0</v>
      </c>
      <c r="M3065" s="311"/>
      <c r="N3065" s="311">
        <f>+SUMIF('Input Sheet'!$AE:$AE,P3065,'Input Sheet'!$X:$X)</f>
        <v>0</v>
      </c>
      <c r="O3065" s="311"/>
      <c r="P3065" t="str">
        <f t="shared" si="258"/>
        <v>410-7690</v>
      </c>
      <c r="Q3065" s="315" t="str">
        <f t="shared" si="259"/>
        <v>Admin &amp; Other</v>
      </c>
      <c r="R3065" s="315" t="str">
        <f t="shared" si="260"/>
        <v>Admin &amp; OtherRent &amp; Rates as % of Total Gross Profit</v>
      </c>
      <c r="S3065" s="199"/>
      <c r="T3065" s="199"/>
      <c r="U3065" s="199"/>
    </row>
    <row r="3066" spans="1:21" x14ac:dyDescent="0.25">
      <c r="A3066" t="s">
        <v>996</v>
      </c>
      <c r="B3066" t="s">
        <v>997</v>
      </c>
      <c r="C3066" t="s">
        <v>1012</v>
      </c>
      <c r="D3066">
        <v>7690</v>
      </c>
      <c r="E3066">
        <v>420</v>
      </c>
      <c r="F3066" t="s">
        <v>1432</v>
      </c>
      <c r="G3066" t="s">
        <v>1433</v>
      </c>
      <c r="H3066" s="315" t="s">
        <v>1000</v>
      </c>
      <c r="I3066" s="315" t="s">
        <v>1434</v>
      </c>
      <c r="J3066" s="315" t="str">
        <f t="shared" si="256"/>
        <v>Admin &amp; OtherRent &amp; Rates as % of Total Gross Profit</v>
      </c>
      <c r="K3066" s="315" t="str">
        <f t="shared" si="257"/>
        <v>420Rent - Toyota</v>
      </c>
      <c r="L3066" s="311">
        <f>+SUMIF('TUNZ Extracted TB'!M:M,$P3066,'TUNZ Extracted TB'!G:G)</f>
        <v>0</v>
      </c>
      <c r="M3066" s="311"/>
      <c r="N3066" s="311">
        <f>+SUMIF('Input Sheet'!$AE:$AE,P3066,'Input Sheet'!$X:$X)</f>
        <v>0</v>
      </c>
      <c r="O3066" s="311"/>
      <c r="P3066" t="str">
        <f t="shared" si="258"/>
        <v>420-7690</v>
      </c>
      <c r="Q3066" s="315" t="str">
        <f t="shared" si="259"/>
        <v>Admin &amp; Other</v>
      </c>
      <c r="R3066" s="315" t="str">
        <f t="shared" si="260"/>
        <v>Admin &amp; OtherRent &amp; Rates as % of Total Gross Profit</v>
      </c>
      <c r="S3066" s="199"/>
      <c r="T3066" s="199"/>
      <c r="U3066" s="199"/>
    </row>
    <row r="3067" spans="1:21" x14ac:dyDescent="0.25">
      <c r="A3067" t="s">
        <v>996</v>
      </c>
      <c r="B3067" t="s">
        <v>997</v>
      </c>
      <c r="C3067" t="s">
        <v>1012</v>
      </c>
      <c r="D3067">
        <v>7690</v>
      </c>
      <c r="E3067">
        <v>421</v>
      </c>
      <c r="F3067" t="s">
        <v>1432</v>
      </c>
      <c r="G3067" t="s">
        <v>1433</v>
      </c>
      <c r="H3067" s="315" t="s">
        <v>1000</v>
      </c>
      <c r="I3067" s="315" t="s">
        <v>1434</v>
      </c>
      <c r="J3067" s="315" t="str">
        <f t="shared" si="256"/>
        <v>Admin &amp; OtherRent &amp; Rates as % of Total Gross Profit</v>
      </c>
      <c r="K3067" s="315" t="str">
        <f t="shared" si="257"/>
        <v>421Rent - Toyota</v>
      </c>
      <c r="L3067" s="311">
        <f>+SUMIF('TUNZ Extracted TB'!M:M,$P3067,'TUNZ Extracted TB'!G:G)</f>
        <v>0</v>
      </c>
      <c r="M3067" s="311"/>
      <c r="N3067" s="311">
        <f>+SUMIF('Input Sheet'!$AE:$AE,P3067,'Input Sheet'!$X:$X)</f>
        <v>0</v>
      </c>
      <c r="O3067" s="311"/>
      <c r="P3067" t="str">
        <f t="shared" si="258"/>
        <v>421-7690</v>
      </c>
      <c r="Q3067" s="315" t="str">
        <f t="shared" si="259"/>
        <v>Admin &amp; Other</v>
      </c>
      <c r="R3067" s="315" t="str">
        <f t="shared" si="260"/>
        <v>Admin &amp; OtherRent &amp; Rates as % of Total Gross Profit</v>
      </c>
      <c r="S3067" s="199"/>
      <c r="T3067" s="199"/>
      <c r="U3067" s="199"/>
    </row>
    <row r="3068" spans="1:21" x14ac:dyDescent="0.25">
      <c r="A3068" t="s">
        <v>996</v>
      </c>
      <c r="B3068" t="s">
        <v>997</v>
      </c>
      <c r="C3068" t="s">
        <v>1012</v>
      </c>
      <c r="D3068">
        <v>7690</v>
      </c>
      <c r="E3068">
        <v>460</v>
      </c>
      <c r="F3068" t="s">
        <v>1432</v>
      </c>
      <c r="G3068" t="s">
        <v>1433</v>
      </c>
      <c r="H3068" s="315" t="s">
        <v>1000</v>
      </c>
      <c r="I3068" s="315" t="s">
        <v>1434</v>
      </c>
      <c r="J3068" s="315" t="str">
        <f t="shared" si="256"/>
        <v>Admin &amp; OtherRent &amp; Rates as % of Total Gross Profit</v>
      </c>
      <c r="K3068" s="315" t="str">
        <f t="shared" si="257"/>
        <v>460Rent - Toyota</v>
      </c>
      <c r="L3068" s="311">
        <f>+SUMIF('TUNZ Extracted TB'!M:M,$P3068,'TUNZ Extracted TB'!G:G)</f>
        <v>0</v>
      </c>
      <c r="M3068" s="311"/>
      <c r="N3068" s="311">
        <f>+SUMIF('Input Sheet'!$AE:$AE,P3068,'Input Sheet'!$X:$X)</f>
        <v>0</v>
      </c>
      <c r="O3068" s="311"/>
      <c r="P3068" t="str">
        <f t="shared" si="258"/>
        <v>460-7690</v>
      </c>
      <c r="Q3068" s="315" t="str">
        <f t="shared" si="259"/>
        <v>Admin &amp; Other</v>
      </c>
      <c r="R3068" s="315" t="str">
        <f t="shared" si="260"/>
        <v>Admin &amp; OtherRent &amp; Rates as % of Total Gross Profit</v>
      </c>
      <c r="S3068" s="199"/>
      <c r="T3068" s="199"/>
      <c r="U3068" s="199"/>
    </row>
    <row r="3069" spans="1:21" x14ac:dyDescent="0.25">
      <c r="A3069" t="s">
        <v>996</v>
      </c>
      <c r="B3069" t="s">
        <v>997</v>
      </c>
      <c r="C3069" t="s">
        <v>1013</v>
      </c>
      <c r="D3069">
        <v>7690</v>
      </c>
      <c r="E3069">
        <v>300</v>
      </c>
      <c r="F3069" t="s">
        <v>1432</v>
      </c>
      <c r="G3069" t="s">
        <v>1433</v>
      </c>
      <c r="H3069" s="315" t="s">
        <v>1000</v>
      </c>
      <c r="I3069" s="315" t="s">
        <v>1434</v>
      </c>
      <c r="J3069" s="315" t="str">
        <f t="shared" si="256"/>
        <v>Admin &amp; OtherRent &amp; Rates as % of Total Gross Profit</v>
      </c>
      <c r="K3069" s="315" t="str">
        <f t="shared" si="257"/>
        <v>300Rent - Toyota</v>
      </c>
      <c r="L3069" s="311">
        <f>+SUMIF('TUNZ Extracted TB'!M:M,$P3069,'TUNZ Extracted TB'!G:G)</f>
        <v>0</v>
      </c>
      <c r="M3069" s="311"/>
      <c r="N3069" s="311">
        <f>+SUMIF('Input Sheet'!$AE:$AE,P3069,'Input Sheet'!$X:$X)</f>
        <v>0</v>
      </c>
      <c r="O3069" s="311"/>
      <c r="P3069" t="str">
        <f t="shared" si="258"/>
        <v>300-7690</v>
      </c>
      <c r="Q3069" s="315" t="str">
        <f t="shared" si="259"/>
        <v>Admin &amp; Other</v>
      </c>
      <c r="R3069" s="315" t="str">
        <f t="shared" si="260"/>
        <v>Admin &amp; OtherRent &amp; Rates as % of Total Gross Profit</v>
      </c>
      <c r="S3069" s="199"/>
      <c r="T3069" s="199"/>
      <c r="U3069" s="199"/>
    </row>
    <row r="3070" spans="1:21" x14ac:dyDescent="0.25">
      <c r="A3070" t="s">
        <v>996</v>
      </c>
      <c r="B3070" t="s">
        <v>997</v>
      </c>
      <c r="C3070" t="s">
        <v>1013</v>
      </c>
      <c r="D3070">
        <v>7690</v>
      </c>
      <c r="E3070">
        <v>310</v>
      </c>
      <c r="F3070" t="s">
        <v>1432</v>
      </c>
      <c r="G3070" t="s">
        <v>1433</v>
      </c>
      <c r="H3070" s="315" t="s">
        <v>1000</v>
      </c>
      <c r="I3070" s="315" t="s">
        <v>1434</v>
      </c>
      <c r="J3070" s="315" t="str">
        <f t="shared" si="256"/>
        <v>Admin &amp; OtherRent &amp; Rates as % of Total Gross Profit</v>
      </c>
      <c r="K3070" s="315" t="str">
        <f t="shared" si="257"/>
        <v>310Rent - Toyota</v>
      </c>
      <c r="L3070" s="311">
        <f>+SUMIF('TUNZ Extracted TB'!M:M,$P3070,'TUNZ Extracted TB'!G:G)</f>
        <v>0</v>
      </c>
      <c r="M3070" s="311"/>
      <c r="N3070" s="311">
        <f>+SUMIF('Input Sheet'!$AE:$AE,P3070,'Input Sheet'!$X:$X)</f>
        <v>0</v>
      </c>
      <c r="O3070" s="311"/>
      <c r="P3070" t="str">
        <f t="shared" si="258"/>
        <v>310-7690</v>
      </c>
      <c r="Q3070" s="315" t="str">
        <f t="shared" si="259"/>
        <v>Admin &amp; Other</v>
      </c>
      <c r="R3070" s="315" t="str">
        <f t="shared" si="260"/>
        <v>Admin &amp; OtherRent &amp; Rates as % of Total Gross Profit</v>
      </c>
      <c r="S3070" s="199"/>
      <c r="T3070" s="199"/>
      <c r="U3070" s="199"/>
    </row>
    <row r="3071" spans="1:21" x14ac:dyDescent="0.25">
      <c r="A3071" t="s">
        <v>996</v>
      </c>
      <c r="B3071" t="s">
        <v>997</v>
      </c>
      <c r="C3071" t="s">
        <v>1013</v>
      </c>
      <c r="D3071">
        <v>7690</v>
      </c>
      <c r="E3071">
        <v>321</v>
      </c>
      <c r="F3071" t="s">
        <v>1432</v>
      </c>
      <c r="G3071" t="s">
        <v>1433</v>
      </c>
      <c r="H3071" s="315" t="s">
        <v>1000</v>
      </c>
      <c r="I3071" s="315" t="s">
        <v>1434</v>
      </c>
      <c r="J3071" s="315" t="str">
        <f t="shared" si="256"/>
        <v>Admin &amp; OtherRent &amp; Rates as % of Total Gross Profit</v>
      </c>
      <c r="K3071" s="315" t="str">
        <f t="shared" si="257"/>
        <v>321Rent - Toyota</v>
      </c>
      <c r="L3071" s="311">
        <f>+SUMIF('TUNZ Extracted TB'!M:M,$P3071,'TUNZ Extracted TB'!G:G)</f>
        <v>0</v>
      </c>
      <c r="M3071" s="311"/>
      <c r="N3071" s="311">
        <f>+SUMIF('Input Sheet'!$AE:$AE,P3071,'Input Sheet'!$X:$X)</f>
        <v>0</v>
      </c>
      <c r="O3071" s="311"/>
      <c r="P3071" t="str">
        <f t="shared" si="258"/>
        <v>321-7690</v>
      </c>
      <c r="Q3071" s="315" t="str">
        <f t="shared" si="259"/>
        <v>Admin &amp; Other</v>
      </c>
      <c r="R3071" s="315" t="str">
        <f t="shared" si="260"/>
        <v>Admin &amp; OtherRent &amp; Rates as % of Total Gross Profit</v>
      </c>
      <c r="S3071" s="199"/>
      <c r="T3071" s="199"/>
      <c r="U3071" s="199"/>
    </row>
    <row r="3072" spans="1:21" x14ac:dyDescent="0.25">
      <c r="A3072" t="s">
        <v>996</v>
      </c>
      <c r="B3072" t="s">
        <v>997</v>
      </c>
      <c r="C3072" t="s">
        <v>1013</v>
      </c>
      <c r="D3072">
        <v>7690</v>
      </c>
      <c r="E3072">
        <v>360</v>
      </c>
      <c r="F3072" t="s">
        <v>1432</v>
      </c>
      <c r="G3072" t="s">
        <v>1433</v>
      </c>
      <c r="H3072" s="315" t="s">
        <v>1000</v>
      </c>
      <c r="I3072" s="315" t="s">
        <v>1434</v>
      </c>
      <c r="J3072" s="315" t="str">
        <f t="shared" si="256"/>
        <v>Admin &amp; OtherRent &amp; Rates as % of Total Gross Profit</v>
      </c>
      <c r="K3072" s="315" t="str">
        <f t="shared" si="257"/>
        <v>360Rent - Toyota</v>
      </c>
      <c r="L3072" s="311">
        <f>+SUMIF('TUNZ Extracted TB'!M:M,$P3072,'TUNZ Extracted TB'!G:G)</f>
        <v>0</v>
      </c>
      <c r="M3072" s="311"/>
      <c r="N3072" s="311">
        <f>+SUMIF('Input Sheet'!$AE:$AE,P3072,'Input Sheet'!$X:$X)</f>
        <v>0</v>
      </c>
      <c r="O3072" s="311"/>
      <c r="P3072" t="str">
        <f t="shared" si="258"/>
        <v>360-7690</v>
      </c>
      <c r="Q3072" s="315" t="str">
        <f t="shared" si="259"/>
        <v>Admin &amp; Other</v>
      </c>
      <c r="R3072" s="315" t="str">
        <f t="shared" si="260"/>
        <v>Admin &amp; OtherRent &amp; Rates as % of Total Gross Profit</v>
      </c>
      <c r="S3072" s="199"/>
      <c r="T3072" s="199"/>
      <c r="U3072" s="199"/>
    </row>
    <row r="3073" spans="1:21" x14ac:dyDescent="0.25">
      <c r="A3073" t="s">
        <v>996</v>
      </c>
      <c r="B3073" t="s">
        <v>997</v>
      </c>
      <c r="C3073" t="s">
        <v>997</v>
      </c>
      <c r="D3073">
        <v>7690</v>
      </c>
      <c r="E3073">
        <v>160</v>
      </c>
      <c r="F3073" t="s">
        <v>1432</v>
      </c>
      <c r="G3073" t="s">
        <v>1433</v>
      </c>
      <c r="H3073" s="315" t="s">
        <v>1000</v>
      </c>
      <c r="I3073" s="315" t="s">
        <v>1434</v>
      </c>
      <c r="J3073" s="315" t="str">
        <f t="shared" si="256"/>
        <v>Admin &amp; OtherRent &amp; Rates as % of Total Gross Profit</v>
      </c>
      <c r="K3073" s="315" t="str">
        <f t="shared" si="257"/>
        <v>160Rent - Toyota</v>
      </c>
      <c r="L3073" s="311">
        <f>+SUMIF('TUNZ Extracted TB'!M:M,$P3073,'TUNZ Extracted TB'!G:G)</f>
        <v>0</v>
      </c>
      <c r="M3073" s="311"/>
      <c r="N3073" s="311">
        <f>+SUMIF('Input Sheet'!$AE:$AE,P3073,'Input Sheet'!$X:$X)</f>
        <v>0</v>
      </c>
      <c r="O3073" s="311"/>
      <c r="P3073" t="str">
        <f t="shared" si="258"/>
        <v>160-7690</v>
      </c>
      <c r="Q3073" s="315" t="str">
        <f t="shared" si="259"/>
        <v>Admin &amp; Other</v>
      </c>
      <c r="R3073" s="315" t="str">
        <f t="shared" si="260"/>
        <v>Admin &amp; OtherRent &amp; Rates as % of Total Gross Profit</v>
      </c>
      <c r="S3073" s="199"/>
      <c r="T3073" s="199"/>
      <c r="U3073" s="199"/>
    </row>
    <row r="3074" spans="1:21" x14ac:dyDescent="0.25">
      <c r="A3074" t="s">
        <v>996</v>
      </c>
      <c r="B3074" t="s">
        <v>997</v>
      </c>
      <c r="C3074" t="s">
        <v>997</v>
      </c>
      <c r="D3074">
        <v>7690</v>
      </c>
      <c r="E3074">
        <v>140</v>
      </c>
      <c r="F3074" t="s">
        <v>1432</v>
      </c>
      <c r="G3074" t="s">
        <v>1433</v>
      </c>
      <c r="H3074" s="315" t="s">
        <v>1000</v>
      </c>
      <c r="I3074" s="315" t="s">
        <v>1434</v>
      </c>
      <c r="J3074" s="315" t="str">
        <f t="shared" si="256"/>
        <v>Admin &amp; OtherRent &amp; Rates as % of Total Gross Profit</v>
      </c>
      <c r="K3074" s="315" t="str">
        <f t="shared" si="257"/>
        <v>140Rent - Toyota</v>
      </c>
      <c r="L3074" s="311">
        <f>+SUMIF('TUNZ Extracted TB'!M:M,$P3074,'TUNZ Extracted TB'!G:G)</f>
        <v>5328.2</v>
      </c>
      <c r="M3074" s="311"/>
      <c r="N3074" s="311">
        <f>+SUMIF('Input Sheet'!$AE:$AE,P3074,'Input Sheet'!$X:$X)</f>
        <v>0</v>
      </c>
      <c r="O3074" s="311"/>
      <c r="P3074" t="str">
        <f t="shared" si="258"/>
        <v>140-7690</v>
      </c>
      <c r="Q3074" s="315" t="str">
        <f t="shared" si="259"/>
        <v>Admin &amp; Other</v>
      </c>
      <c r="R3074" s="315" t="str">
        <f t="shared" si="260"/>
        <v>Admin &amp; OtherRent &amp; Rates as % of Total Gross Profit</v>
      </c>
      <c r="S3074" s="199"/>
      <c r="T3074" s="199"/>
      <c r="U3074" s="199"/>
    </row>
    <row r="3075" spans="1:21" x14ac:dyDescent="0.25">
      <c r="A3075" t="s">
        <v>996</v>
      </c>
      <c r="B3075" t="s">
        <v>997</v>
      </c>
      <c r="C3075" t="s">
        <v>997</v>
      </c>
      <c r="D3075">
        <v>7690</v>
      </c>
      <c r="E3075">
        <v>142</v>
      </c>
      <c r="F3075" t="s">
        <v>1435</v>
      </c>
      <c r="G3075" t="s">
        <v>1436</v>
      </c>
      <c r="H3075" s="315" t="s">
        <v>1023</v>
      </c>
      <c r="I3075" s="315" t="s">
        <v>1434</v>
      </c>
      <c r="J3075" s="315" t="str">
        <f t="shared" ref="J3075:J3138" si="261">+H3075&amp;I3075</f>
        <v>LEX Admin &amp; OtherRent &amp; Rates as % of Total Gross Profit</v>
      </c>
      <c r="K3075" s="315" t="str">
        <f t="shared" ref="K3075:K3138" si="262">+E3075&amp;G3075</f>
        <v>142Rent - Lexus</v>
      </c>
      <c r="L3075" s="311">
        <f>+SUMIF('TUNZ Extracted TB'!M:M,$P3075,'TUNZ Extracted TB'!G:G)</f>
        <v>15921.48</v>
      </c>
      <c r="M3075" s="311"/>
      <c r="N3075" s="311">
        <f>+SUMIF('Input Sheet'!$AE:$AE,P3075,'Input Sheet'!$X:$X)</f>
        <v>0</v>
      </c>
      <c r="O3075" s="311"/>
      <c r="P3075" t="str">
        <f t="shared" ref="P3075:P3138" si="263">+E3075&amp;"-"&amp;D3075</f>
        <v>142-7690</v>
      </c>
      <c r="Q3075" s="315" t="str">
        <f t="shared" ref="Q3075:Q3138" si="264">H3075</f>
        <v>LEX Admin &amp; Other</v>
      </c>
      <c r="R3075" s="315" t="str">
        <f t="shared" ref="R3075:R3138" si="265">J3075</f>
        <v>LEX Admin &amp; OtherRent &amp; Rates as % of Total Gross Profit</v>
      </c>
      <c r="S3075" s="199"/>
      <c r="T3075" s="199"/>
      <c r="U3075" s="199"/>
    </row>
    <row r="3076" spans="1:21" x14ac:dyDescent="0.25">
      <c r="A3076" t="s">
        <v>996</v>
      </c>
      <c r="B3076" t="s">
        <v>997</v>
      </c>
      <c r="C3076" t="s">
        <v>997</v>
      </c>
      <c r="D3076">
        <v>7690</v>
      </c>
      <c r="E3076">
        <v>130</v>
      </c>
      <c r="F3076" t="s">
        <v>1432</v>
      </c>
      <c r="G3076" t="s">
        <v>1433</v>
      </c>
      <c r="H3076" s="315" t="s">
        <v>1000</v>
      </c>
      <c r="I3076" s="315" t="s">
        <v>1434</v>
      </c>
      <c r="J3076" s="315" t="str">
        <f t="shared" si="261"/>
        <v>Admin &amp; OtherRent &amp; Rates as % of Total Gross Profit</v>
      </c>
      <c r="K3076" s="315" t="str">
        <f t="shared" si="262"/>
        <v>130Rent - Toyota</v>
      </c>
      <c r="L3076" s="311">
        <f>+SUMIF('TUNZ Extracted TB'!M:M,$P3076,'TUNZ Extracted TB'!G:G)</f>
        <v>6370.5</v>
      </c>
      <c r="M3076" s="311"/>
      <c r="N3076" s="311">
        <f>+SUMIF('Input Sheet'!$AE:$AE,P3076,'Input Sheet'!$X:$X)</f>
        <v>0</v>
      </c>
      <c r="O3076" s="311"/>
      <c r="P3076" t="str">
        <f t="shared" si="263"/>
        <v>130-7690</v>
      </c>
      <c r="Q3076" s="315" t="str">
        <f t="shared" si="264"/>
        <v>Admin &amp; Other</v>
      </c>
      <c r="R3076" s="315" t="str">
        <f t="shared" si="265"/>
        <v>Admin &amp; OtherRent &amp; Rates as % of Total Gross Profit</v>
      </c>
      <c r="S3076" s="199"/>
      <c r="T3076" s="199"/>
      <c r="U3076" s="199"/>
    </row>
    <row r="3077" spans="1:21" x14ac:dyDescent="0.25">
      <c r="A3077" t="s">
        <v>996</v>
      </c>
      <c r="B3077" t="s">
        <v>997</v>
      </c>
      <c r="C3077" t="s">
        <v>997</v>
      </c>
      <c r="D3077">
        <v>7690</v>
      </c>
      <c r="E3077">
        <v>132</v>
      </c>
      <c r="F3077" t="s">
        <v>1435</v>
      </c>
      <c r="G3077" t="s">
        <v>1436</v>
      </c>
      <c r="H3077" s="315" t="s">
        <v>1023</v>
      </c>
      <c r="I3077" s="315" t="s">
        <v>1434</v>
      </c>
      <c r="J3077" s="315" t="str">
        <f t="shared" si="261"/>
        <v>LEX Admin &amp; OtherRent &amp; Rates as % of Total Gross Profit</v>
      </c>
      <c r="K3077" s="315" t="str">
        <f t="shared" si="262"/>
        <v>132Rent - Lexus</v>
      </c>
      <c r="L3077" s="311">
        <f>+SUMIF('TUNZ Extracted TB'!M:M,$P3077,'TUNZ Extracted TB'!G:G)</f>
        <v>0</v>
      </c>
      <c r="M3077" s="311"/>
      <c r="N3077" s="311">
        <f>+SUMIF('Input Sheet'!$AE:$AE,P3077,'Input Sheet'!$X:$X)</f>
        <v>0</v>
      </c>
      <c r="O3077" s="311"/>
      <c r="P3077" t="str">
        <f t="shared" si="263"/>
        <v>132-7690</v>
      </c>
      <c r="Q3077" s="315" t="str">
        <f t="shared" si="264"/>
        <v>LEX Admin &amp; Other</v>
      </c>
      <c r="R3077" s="315" t="str">
        <f t="shared" si="265"/>
        <v>LEX Admin &amp; OtherRent &amp; Rates as % of Total Gross Profit</v>
      </c>
      <c r="S3077" s="199"/>
      <c r="T3077" s="199"/>
      <c r="U3077" s="199"/>
    </row>
    <row r="3078" spans="1:21" x14ac:dyDescent="0.25">
      <c r="A3078" t="s">
        <v>996</v>
      </c>
      <c r="B3078" t="s">
        <v>997</v>
      </c>
      <c r="C3078" t="s">
        <v>997</v>
      </c>
      <c r="D3078">
        <v>7690</v>
      </c>
      <c r="E3078">
        <v>110</v>
      </c>
      <c r="F3078" t="s">
        <v>1432</v>
      </c>
      <c r="G3078" t="s">
        <v>1433</v>
      </c>
      <c r="H3078" s="315" t="s">
        <v>1000</v>
      </c>
      <c r="I3078" s="315" t="s">
        <v>1434</v>
      </c>
      <c r="J3078" s="315" t="str">
        <f t="shared" si="261"/>
        <v>Admin &amp; OtherRent &amp; Rates as % of Total Gross Profit</v>
      </c>
      <c r="K3078" s="315" t="str">
        <f t="shared" si="262"/>
        <v>110Rent - Toyota</v>
      </c>
      <c r="L3078" s="311">
        <f>+SUMIF('TUNZ Extracted TB'!M:M,$P3078,'TUNZ Extracted TB'!G:G)</f>
        <v>22418.68</v>
      </c>
      <c r="M3078" s="311"/>
      <c r="N3078" s="311">
        <f>+SUMIF('Input Sheet'!$AE:$AE,P3078,'Input Sheet'!$X:$X)</f>
        <v>133212.95640522594</v>
      </c>
      <c r="O3078" s="311"/>
      <c r="P3078" t="str">
        <f t="shared" si="263"/>
        <v>110-7690</v>
      </c>
      <c r="Q3078" s="315" t="str">
        <f t="shared" si="264"/>
        <v>Admin &amp; Other</v>
      </c>
      <c r="R3078" s="315" t="str">
        <f t="shared" si="265"/>
        <v>Admin &amp; OtherRent &amp; Rates as % of Total Gross Profit</v>
      </c>
      <c r="S3078" s="199"/>
      <c r="T3078" s="199"/>
      <c r="U3078" s="199"/>
    </row>
    <row r="3079" spans="1:21" x14ac:dyDescent="0.25">
      <c r="A3079" t="s">
        <v>996</v>
      </c>
      <c r="B3079" t="s">
        <v>997</v>
      </c>
      <c r="C3079" t="s">
        <v>997</v>
      </c>
      <c r="D3079">
        <v>7690</v>
      </c>
      <c r="E3079">
        <v>112</v>
      </c>
      <c r="F3079" t="s">
        <v>1435</v>
      </c>
      <c r="G3079" t="s">
        <v>1436</v>
      </c>
      <c r="H3079" s="315" t="s">
        <v>1023</v>
      </c>
      <c r="I3079" s="315" t="s">
        <v>1434</v>
      </c>
      <c r="J3079" s="315" t="str">
        <f t="shared" si="261"/>
        <v>LEX Admin &amp; OtherRent &amp; Rates as % of Total Gross Profit</v>
      </c>
      <c r="K3079" s="315" t="str">
        <f t="shared" si="262"/>
        <v>112Rent - Lexus</v>
      </c>
      <c r="L3079" s="311">
        <f>+SUMIF('TUNZ Extracted TB'!M:M,$P3079,'TUNZ Extracted TB'!G:G)</f>
        <v>19483.59</v>
      </c>
      <c r="M3079" s="311"/>
      <c r="N3079" s="311">
        <f>+SUMIF('Input Sheet'!$AE:$AE,P3079,'Input Sheet'!$X:$X)</f>
        <v>17900.12098096222</v>
      </c>
      <c r="O3079" s="311"/>
      <c r="P3079" t="str">
        <f t="shared" si="263"/>
        <v>112-7690</v>
      </c>
      <c r="Q3079" s="315" t="str">
        <f t="shared" si="264"/>
        <v>LEX Admin &amp; Other</v>
      </c>
      <c r="R3079" s="315" t="str">
        <f t="shared" si="265"/>
        <v>LEX Admin &amp; OtherRent &amp; Rates as % of Total Gross Profit</v>
      </c>
      <c r="S3079" s="199"/>
      <c r="T3079" s="199"/>
      <c r="U3079" s="199"/>
    </row>
    <row r="3080" spans="1:21" x14ac:dyDescent="0.25">
      <c r="A3080" t="s">
        <v>996</v>
      </c>
      <c r="B3080" t="s">
        <v>997</v>
      </c>
      <c r="C3080" t="s">
        <v>997</v>
      </c>
      <c r="D3080">
        <v>7690</v>
      </c>
      <c r="E3080">
        <v>100</v>
      </c>
      <c r="F3080" t="s">
        <v>1432</v>
      </c>
      <c r="G3080" t="s">
        <v>1433</v>
      </c>
      <c r="H3080" s="315" t="s">
        <v>1000</v>
      </c>
      <c r="I3080" s="315" t="s">
        <v>1434</v>
      </c>
      <c r="J3080" s="315" t="str">
        <f t="shared" si="261"/>
        <v>Admin &amp; OtherRent &amp; Rates as % of Total Gross Profit</v>
      </c>
      <c r="K3080" s="315" t="str">
        <f t="shared" si="262"/>
        <v>100Rent - Toyota</v>
      </c>
      <c r="L3080" s="311">
        <f>+SUMIF('TUNZ Extracted TB'!M:M,$P3080,'TUNZ Extracted TB'!G:G)</f>
        <v>0</v>
      </c>
      <c r="M3080" s="311"/>
      <c r="N3080" s="311">
        <f>+SUMIF('Input Sheet'!$AE:$AE,P3080,'Input Sheet'!$X:$X)</f>
        <v>0</v>
      </c>
      <c r="O3080" s="311"/>
      <c r="P3080" t="str">
        <f t="shared" si="263"/>
        <v>100-7690</v>
      </c>
      <c r="Q3080" s="315" t="str">
        <f t="shared" si="264"/>
        <v>Admin &amp; Other</v>
      </c>
      <c r="R3080" s="315" t="str">
        <f t="shared" si="265"/>
        <v>Admin &amp; OtherRent &amp; Rates as % of Total Gross Profit</v>
      </c>
      <c r="S3080" s="199"/>
      <c r="T3080" s="199"/>
      <c r="U3080" s="199"/>
    </row>
    <row r="3081" spans="1:21" x14ac:dyDescent="0.25">
      <c r="A3081" t="s">
        <v>996</v>
      </c>
      <c r="B3081" t="s">
        <v>997</v>
      </c>
      <c r="C3081" t="s">
        <v>1005</v>
      </c>
      <c r="D3081">
        <v>7695</v>
      </c>
      <c r="E3081">
        <v>200</v>
      </c>
      <c r="F3081" t="s">
        <v>998</v>
      </c>
      <c r="G3081" t="s">
        <v>999</v>
      </c>
      <c r="H3081" s="315" t="s">
        <v>1000</v>
      </c>
      <c r="I3081" s="315" t="s">
        <v>1001</v>
      </c>
      <c r="J3081" s="315" t="str">
        <f t="shared" si="261"/>
        <v>Admin &amp; OtherOther Overheads as % of Total Gross Profit</v>
      </c>
      <c r="K3081" s="315" t="str">
        <f t="shared" si="262"/>
        <v>200Miscellaneous expenses - Toyota</v>
      </c>
      <c r="L3081" s="311">
        <f>+SUMIF('TUNZ Extracted TB'!M:M,$P3081,'TUNZ Extracted TB'!G:G)</f>
        <v>0</v>
      </c>
      <c r="M3081" s="311"/>
      <c r="N3081" s="311">
        <f>+SUMIF('Input Sheet'!$AE:$AE,P3081,'Input Sheet'!$X:$X)</f>
        <v>0</v>
      </c>
      <c r="O3081" s="311"/>
      <c r="P3081" t="str">
        <f t="shared" si="263"/>
        <v>200-7695</v>
      </c>
      <c r="Q3081" s="315" t="str">
        <f t="shared" si="264"/>
        <v>Admin &amp; Other</v>
      </c>
      <c r="R3081" s="315" t="str">
        <f t="shared" si="265"/>
        <v>Admin &amp; OtherOther Overheads as % of Total Gross Profit</v>
      </c>
      <c r="S3081" s="199"/>
      <c r="T3081" s="199"/>
      <c r="U3081" s="199"/>
    </row>
    <row r="3082" spans="1:21" x14ac:dyDescent="0.25">
      <c r="A3082" t="s">
        <v>996</v>
      </c>
      <c r="B3082" t="s">
        <v>997</v>
      </c>
      <c r="C3082" t="s">
        <v>1005</v>
      </c>
      <c r="D3082">
        <v>7695</v>
      </c>
      <c r="E3082">
        <v>210</v>
      </c>
      <c r="F3082" t="s">
        <v>998</v>
      </c>
      <c r="G3082" t="s">
        <v>999</v>
      </c>
      <c r="H3082" s="315" t="s">
        <v>1000</v>
      </c>
      <c r="I3082" s="315" t="s">
        <v>1001</v>
      </c>
      <c r="J3082" s="315" t="str">
        <f t="shared" si="261"/>
        <v>Admin &amp; OtherOther Overheads as % of Total Gross Profit</v>
      </c>
      <c r="K3082" s="315" t="str">
        <f t="shared" si="262"/>
        <v>210Miscellaneous expenses - Toyota</v>
      </c>
      <c r="L3082" s="311">
        <f>+SUMIF('TUNZ Extracted TB'!M:M,$P3082,'TUNZ Extracted TB'!G:G)</f>
        <v>0</v>
      </c>
      <c r="M3082" s="311"/>
      <c r="N3082" s="311">
        <f>+SUMIF('Input Sheet'!$AE:$AE,P3082,'Input Sheet'!$X:$X)</f>
        <v>0</v>
      </c>
      <c r="O3082" s="311"/>
      <c r="P3082" t="str">
        <f t="shared" si="263"/>
        <v>210-7695</v>
      </c>
      <c r="Q3082" s="315" t="str">
        <f t="shared" si="264"/>
        <v>Admin &amp; Other</v>
      </c>
      <c r="R3082" s="315" t="str">
        <f t="shared" si="265"/>
        <v>Admin &amp; OtherOther Overheads as % of Total Gross Profit</v>
      </c>
      <c r="S3082" s="199"/>
      <c r="T3082" s="199"/>
      <c r="U3082" s="199"/>
    </row>
    <row r="3083" spans="1:21" x14ac:dyDescent="0.25">
      <c r="A3083" t="s">
        <v>996</v>
      </c>
      <c r="B3083" t="s">
        <v>997</v>
      </c>
      <c r="C3083" t="s">
        <v>997</v>
      </c>
      <c r="D3083">
        <v>7695</v>
      </c>
      <c r="E3083">
        <v>120</v>
      </c>
      <c r="F3083" t="s">
        <v>998</v>
      </c>
      <c r="G3083" t="s">
        <v>999</v>
      </c>
      <c r="H3083" s="315" t="s">
        <v>1000</v>
      </c>
      <c r="I3083" s="315" t="s">
        <v>1001</v>
      </c>
      <c r="J3083" s="315" t="str">
        <f t="shared" si="261"/>
        <v>Admin &amp; OtherOther Overheads as % of Total Gross Profit</v>
      </c>
      <c r="K3083" s="315" t="str">
        <f t="shared" si="262"/>
        <v>120Miscellaneous expenses - Toyota</v>
      </c>
      <c r="L3083" s="311">
        <f>+SUMIF('TUNZ Extracted TB'!M:M,$P3083,'TUNZ Extracted TB'!G:G)</f>
        <v>0</v>
      </c>
      <c r="M3083" s="311"/>
      <c r="N3083" s="311">
        <f>+SUMIF('Input Sheet'!$AE:$AE,P3083,'Input Sheet'!$X:$X)</f>
        <v>0</v>
      </c>
      <c r="O3083" s="311"/>
      <c r="P3083" t="str">
        <f t="shared" si="263"/>
        <v>120-7695</v>
      </c>
      <c r="Q3083" s="315" t="str">
        <f t="shared" si="264"/>
        <v>Admin &amp; Other</v>
      </c>
      <c r="R3083" s="315" t="str">
        <f t="shared" si="265"/>
        <v>Admin &amp; OtherOther Overheads as % of Total Gross Profit</v>
      </c>
      <c r="S3083" s="199"/>
      <c r="T3083" s="199"/>
      <c r="U3083" s="199"/>
    </row>
    <row r="3084" spans="1:21" x14ac:dyDescent="0.25">
      <c r="A3084" t="s">
        <v>996</v>
      </c>
      <c r="B3084" t="s">
        <v>997</v>
      </c>
      <c r="C3084" t="s">
        <v>997</v>
      </c>
      <c r="D3084">
        <v>7695</v>
      </c>
      <c r="E3084">
        <v>147</v>
      </c>
      <c r="F3084" t="s">
        <v>998</v>
      </c>
      <c r="G3084" t="s">
        <v>999</v>
      </c>
      <c r="H3084" s="315" t="s">
        <v>1000</v>
      </c>
      <c r="I3084" s="315" t="s">
        <v>1001</v>
      </c>
      <c r="J3084" s="315" t="str">
        <f t="shared" si="261"/>
        <v>Admin &amp; OtherOther Overheads as % of Total Gross Profit</v>
      </c>
      <c r="K3084" s="315" t="str">
        <f t="shared" si="262"/>
        <v>147Miscellaneous expenses - Toyota</v>
      </c>
      <c r="L3084" s="311">
        <f>+SUMIF('TUNZ Extracted TB'!M:M,$P3084,'TUNZ Extracted TB'!G:G)</f>
        <v>0</v>
      </c>
      <c r="M3084" s="311"/>
      <c r="N3084" s="311">
        <f>+SUMIF('Input Sheet'!$AE:$AE,P3084,'Input Sheet'!$X:$X)</f>
        <v>0</v>
      </c>
      <c r="O3084" s="311"/>
      <c r="P3084" t="str">
        <f t="shared" si="263"/>
        <v>147-7695</v>
      </c>
      <c r="Q3084" s="315" t="str">
        <f t="shared" si="264"/>
        <v>Admin &amp; Other</v>
      </c>
      <c r="R3084" s="315" t="str">
        <f t="shared" si="265"/>
        <v>Admin &amp; OtherOther Overheads as % of Total Gross Profit</v>
      </c>
      <c r="S3084" s="199"/>
      <c r="T3084" s="199"/>
      <c r="U3084" s="199"/>
    </row>
    <row r="3085" spans="1:21" x14ac:dyDescent="0.25">
      <c r="A3085" t="s">
        <v>996</v>
      </c>
      <c r="B3085" t="s">
        <v>997</v>
      </c>
      <c r="C3085" t="s">
        <v>997</v>
      </c>
      <c r="D3085">
        <v>7695</v>
      </c>
      <c r="E3085">
        <v>160</v>
      </c>
      <c r="F3085" t="s">
        <v>998</v>
      </c>
      <c r="G3085" t="s">
        <v>999</v>
      </c>
      <c r="H3085" s="315" t="s">
        <v>1000</v>
      </c>
      <c r="I3085" s="315" t="s">
        <v>1001</v>
      </c>
      <c r="J3085" s="315" t="str">
        <f t="shared" si="261"/>
        <v>Admin &amp; OtherOther Overheads as % of Total Gross Profit</v>
      </c>
      <c r="K3085" s="315" t="str">
        <f t="shared" si="262"/>
        <v>160Miscellaneous expenses - Toyota</v>
      </c>
      <c r="L3085" s="311">
        <f>+SUMIF('TUNZ Extracted TB'!M:M,$P3085,'TUNZ Extracted TB'!G:G)</f>
        <v>0</v>
      </c>
      <c r="M3085" s="311"/>
      <c r="N3085" s="311">
        <f>+SUMIF('Input Sheet'!$AE:$AE,P3085,'Input Sheet'!$X:$X)</f>
        <v>0</v>
      </c>
      <c r="O3085" s="311"/>
      <c r="P3085" t="str">
        <f t="shared" si="263"/>
        <v>160-7695</v>
      </c>
      <c r="Q3085" s="315" t="str">
        <f t="shared" si="264"/>
        <v>Admin &amp; Other</v>
      </c>
      <c r="R3085" s="315" t="str">
        <f t="shared" si="265"/>
        <v>Admin &amp; OtherOther Overheads as % of Total Gross Profit</v>
      </c>
      <c r="S3085" s="199"/>
      <c r="T3085" s="199"/>
      <c r="U3085" s="199"/>
    </row>
    <row r="3086" spans="1:21" x14ac:dyDescent="0.25">
      <c r="A3086" t="s">
        <v>996</v>
      </c>
      <c r="B3086" t="s">
        <v>997</v>
      </c>
      <c r="C3086" t="s">
        <v>997</v>
      </c>
      <c r="D3086">
        <v>7695</v>
      </c>
      <c r="E3086">
        <v>140</v>
      </c>
      <c r="F3086" t="s">
        <v>998</v>
      </c>
      <c r="G3086" t="s">
        <v>999</v>
      </c>
      <c r="H3086" s="315" t="s">
        <v>1000</v>
      </c>
      <c r="I3086" s="315" t="s">
        <v>1001</v>
      </c>
      <c r="J3086" s="315" t="str">
        <f t="shared" si="261"/>
        <v>Admin &amp; OtherOther Overheads as % of Total Gross Profit</v>
      </c>
      <c r="K3086" s="315" t="str">
        <f t="shared" si="262"/>
        <v>140Miscellaneous expenses - Toyota</v>
      </c>
      <c r="L3086" s="311">
        <f>+SUMIF('TUNZ Extracted TB'!M:M,$P3086,'TUNZ Extracted TB'!G:G)</f>
        <v>0</v>
      </c>
      <c r="M3086" s="311"/>
      <c r="N3086" s="311">
        <f>+SUMIF('Input Sheet'!$AE:$AE,P3086,'Input Sheet'!$X:$X)</f>
        <v>0</v>
      </c>
      <c r="O3086" s="311"/>
      <c r="P3086" t="str">
        <f t="shared" si="263"/>
        <v>140-7695</v>
      </c>
      <c r="Q3086" s="315" t="str">
        <f t="shared" si="264"/>
        <v>Admin &amp; Other</v>
      </c>
      <c r="R3086" s="315" t="str">
        <f t="shared" si="265"/>
        <v>Admin &amp; OtherOther Overheads as % of Total Gross Profit</v>
      </c>
      <c r="S3086" s="199"/>
      <c r="T3086" s="199"/>
      <c r="U3086" s="199"/>
    </row>
    <row r="3087" spans="1:21" x14ac:dyDescent="0.25">
      <c r="A3087" t="s">
        <v>996</v>
      </c>
      <c r="B3087" t="s">
        <v>997</v>
      </c>
      <c r="C3087" t="s">
        <v>997</v>
      </c>
      <c r="D3087">
        <v>7695</v>
      </c>
      <c r="E3087">
        <v>142</v>
      </c>
      <c r="F3087" t="s">
        <v>1362</v>
      </c>
      <c r="G3087" t="s">
        <v>1363</v>
      </c>
      <c r="H3087" s="315" t="s">
        <v>1023</v>
      </c>
      <c r="I3087" s="315" t="s">
        <v>1001</v>
      </c>
      <c r="J3087" s="315" t="str">
        <f t="shared" si="261"/>
        <v>LEX Admin &amp; OtherOther Overheads as % of Total Gross Profit</v>
      </c>
      <c r="K3087" s="315" t="str">
        <f t="shared" si="262"/>
        <v>142Miscellaneous expenses - Lexus</v>
      </c>
      <c r="L3087" s="311">
        <f>+SUMIF('TUNZ Extracted TB'!M:M,$P3087,'TUNZ Extracted TB'!G:G)</f>
        <v>0</v>
      </c>
      <c r="M3087" s="311"/>
      <c r="N3087" s="311">
        <f>+SUMIF('Input Sheet'!$AE:$AE,P3087,'Input Sheet'!$X:$X)</f>
        <v>0</v>
      </c>
      <c r="O3087" s="311"/>
      <c r="P3087" t="str">
        <f t="shared" si="263"/>
        <v>142-7695</v>
      </c>
      <c r="Q3087" s="315" t="str">
        <f t="shared" si="264"/>
        <v>LEX Admin &amp; Other</v>
      </c>
      <c r="R3087" s="315" t="str">
        <f t="shared" si="265"/>
        <v>LEX Admin &amp; OtherOther Overheads as % of Total Gross Profit</v>
      </c>
      <c r="S3087" s="199"/>
      <c r="T3087" s="199"/>
      <c r="U3087" s="199"/>
    </row>
    <row r="3088" spans="1:21" x14ac:dyDescent="0.25">
      <c r="A3088" t="s">
        <v>996</v>
      </c>
      <c r="B3088" t="s">
        <v>997</v>
      </c>
      <c r="C3088" t="s">
        <v>997</v>
      </c>
      <c r="D3088">
        <v>7695</v>
      </c>
      <c r="E3088">
        <v>130</v>
      </c>
      <c r="F3088" t="s">
        <v>998</v>
      </c>
      <c r="G3088" t="s">
        <v>999</v>
      </c>
      <c r="H3088" s="315" t="s">
        <v>1000</v>
      </c>
      <c r="I3088" s="315" t="s">
        <v>1001</v>
      </c>
      <c r="J3088" s="315" t="str">
        <f t="shared" si="261"/>
        <v>Admin &amp; OtherOther Overheads as % of Total Gross Profit</v>
      </c>
      <c r="K3088" s="315" t="str">
        <f t="shared" si="262"/>
        <v>130Miscellaneous expenses - Toyota</v>
      </c>
      <c r="L3088" s="311">
        <f>+SUMIF('TUNZ Extracted TB'!M:M,$P3088,'TUNZ Extracted TB'!G:G)</f>
        <v>0</v>
      </c>
      <c r="M3088" s="311"/>
      <c r="N3088" s="311">
        <f>+SUMIF('Input Sheet'!$AE:$AE,P3088,'Input Sheet'!$X:$X)</f>
        <v>0</v>
      </c>
      <c r="O3088" s="311"/>
      <c r="P3088" t="str">
        <f t="shared" si="263"/>
        <v>130-7695</v>
      </c>
      <c r="Q3088" s="315" t="str">
        <f t="shared" si="264"/>
        <v>Admin &amp; Other</v>
      </c>
      <c r="R3088" s="315" t="str">
        <f t="shared" si="265"/>
        <v>Admin &amp; OtherOther Overheads as % of Total Gross Profit</v>
      </c>
      <c r="S3088" s="199"/>
      <c r="T3088" s="199"/>
      <c r="U3088" s="199"/>
    </row>
    <row r="3089" spans="1:21" x14ac:dyDescent="0.25">
      <c r="A3089" t="s">
        <v>996</v>
      </c>
      <c r="B3089" t="s">
        <v>997</v>
      </c>
      <c r="C3089" t="s">
        <v>997</v>
      </c>
      <c r="D3089">
        <v>7695</v>
      </c>
      <c r="E3089">
        <v>112</v>
      </c>
      <c r="F3089" t="s">
        <v>1362</v>
      </c>
      <c r="G3089" t="s">
        <v>1363</v>
      </c>
      <c r="H3089" s="315" t="s">
        <v>1023</v>
      </c>
      <c r="I3089" s="315" t="s">
        <v>1001</v>
      </c>
      <c r="J3089" s="315" t="str">
        <f t="shared" si="261"/>
        <v>LEX Admin &amp; OtherOther Overheads as % of Total Gross Profit</v>
      </c>
      <c r="K3089" s="315" t="str">
        <f t="shared" si="262"/>
        <v>112Miscellaneous expenses - Lexus</v>
      </c>
      <c r="L3089" s="311">
        <f>+SUMIF('TUNZ Extracted TB'!M:M,$P3089,'TUNZ Extracted TB'!G:G)</f>
        <v>0</v>
      </c>
      <c r="M3089" s="311"/>
      <c r="N3089" s="311">
        <f>+SUMIF('Input Sheet'!$AE:$AE,P3089,'Input Sheet'!$X:$X)</f>
        <v>0</v>
      </c>
      <c r="O3089" s="311"/>
      <c r="P3089" t="str">
        <f t="shared" si="263"/>
        <v>112-7695</v>
      </c>
      <c r="Q3089" s="315" t="str">
        <f t="shared" si="264"/>
        <v>LEX Admin &amp; Other</v>
      </c>
      <c r="R3089" s="315" t="str">
        <f t="shared" si="265"/>
        <v>LEX Admin &amp; OtherOther Overheads as % of Total Gross Profit</v>
      </c>
      <c r="S3089" s="199"/>
      <c r="T3089" s="199"/>
      <c r="U3089" s="199"/>
    </row>
    <row r="3090" spans="1:21" x14ac:dyDescent="0.25">
      <c r="A3090" t="s">
        <v>996</v>
      </c>
      <c r="B3090" t="s">
        <v>997</v>
      </c>
      <c r="C3090" t="s">
        <v>997</v>
      </c>
      <c r="D3090">
        <v>7695</v>
      </c>
      <c r="E3090">
        <v>100</v>
      </c>
      <c r="F3090" t="s">
        <v>998</v>
      </c>
      <c r="G3090" t="s">
        <v>999</v>
      </c>
      <c r="H3090" s="315" t="s">
        <v>1000</v>
      </c>
      <c r="I3090" s="315" t="s">
        <v>1001</v>
      </c>
      <c r="J3090" s="315" t="str">
        <f t="shared" si="261"/>
        <v>Admin &amp; OtherOther Overheads as % of Total Gross Profit</v>
      </c>
      <c r="K3090" s="315" t="str">
        <f t="shared" si="262"/>
        <v>100Miscellaneous expenses - Toyota</v>
      </c>
      <c r="L3090" s="311">
        <f>+SUMIF('TUNZ Extracted TB'!M:M,$P3090,'TUNZ Extracted TB'!G:G)</f>
        <v>0</v>
      </c>
      <c r="M3090" s="311"/>
      <c r="N3090" s="311">
        <f>+SUMIF('Input Sheet'!$AE:$AE,P3090,'Input Sheet'!$X:$X)</f>
        <v>0</v>
      </c>
      <c r="O3090" s="311"/>
      <c r="P3090" t="str">
        <f t="shared" si="263"/>
        <v>100-7695</v>
      </c>
      <c r="Q3090" s="315" t="str">
        <f t="shared" si="264"/>
        <v>Admin &amp; Other</v>
      </c>
      <c r="R3090" s="315" t="str">
        <f t="shared" si="265"/>
        <v>Admin &amp; OtherOther Overheads as % of Total Gross Profit</v>
      </c>
      <c r="S3090" s="199"/>
      <c r="T3090" s="199"/>
      <c r="U3090" s="199"/>
    </row>
    <row r="3091" spans="1:21" x14ac:dyDescent="0.25">
      <c r="A3091" t="s">
        <v>996</v>
      </c>
      <c r="B3091" t="s">
        <v>997</v>
      </c>
      <c r="C3091" t="s">
        <v>997</v>
      </c>
      <c r="D3091">
        <v>7695</v>
      </c>
      <c r="E3091">
        <v>110</v>
      </c>
      <c r="F3091" t="s">
        <v>998</v>
      </c>
      <c r="G3091" t="s">
        <v>999</v>
      </c>
      <c r="H3091" s="315" t="s">
        <v>1000</v>
      </c>
      <c r="I3091" s="315" t="s">
        <v>1001</v>
      </c>
      <c r="J3091" s="315" t="str">
        <f t="shared" si="261"/>
        <v>Admin &amp; OtherOther Overheads as % of Total Gross Profit</v>
      </c>
      <c r="K3091" s="315" t="str">
        <f t="shared" si="262"/>
        <v>110Miscellaneous expenses - Toyota</v>
      </c>
      <c r="L3091" s="311">
        <f>+SUMIF('TUNZ Extracted TB'!M:M,$P3091,'TUNZ Extracted TB'!G:G)</f>
        <v>0</v>
      </c>
      <c r="M3091" s="311"/>
      <c r="N3091" s="311">
        <f>+SUMIF('Input Sheet'!$AE:$AE,P3091,'Input Sheet'!$X:$X)</f>
        <v>0</v>
      </c>
      <c r="O3091" s="311"/>
      <c r="P3091" t="str">
        <f t="shared" si="263"/>
        <v>110-7695</v>
      </c>
      <c r="Q3091" s="315" t="str">
        <f t="shared" si="264"/>
        <v>Admin &amp; Other</v>
      </c>
      <c r="R3091" s="315" t="str">
        <f t="shared" si="265"/>
        <v>Admin &amp; OtherOther Overheads as % of Total Gross Profit</v>
      </c>
      <c r="S3091" s="199"/>
      <c r="T3091" s="199"/>
      <c r="U3091" s="199"/>
    </row>
    <row r="3092" spans="1:21" x14ac:dyDescent="0.25">
      <c r="A3092" t="s">
        <v>996</v>
      </c>
      <c r="B3092" t="s">
        <v>997</v>
      </c>
      <c r="C3092" t="s">
        <v>997</v>
      </c>
      <c r="D3092">
        <v>7710</v>
      </c>
      <c r="E3092">
        <v>147</v>
      </c>
      <c r="F3092" t="s">
        <v>1337</v>
      </c>
      <c r="G3092" t="s">
        <v>1338</v>
      </c>
      <c r="H3092" s="315" t="s">
        <v>1000</v>
      </c>
      <c r="I3092" s="315" t="s">
        <v>1336</v>
      </c>
      <c r="J3092" s="315" t="str">
        <f t="shared" si="261"/>
        <v>Admin &amp; Otherinterest &amp; Bank Charges as % of Total Gross Profit</v>
      </c>
      <c r="K3092" s="315" t="str">
        <f t="shared" si="262"/>
        <v>147Interest &amp; Bank Charges - Toyota</v>
      </c>
      <c r="L3092" s="311">
        <f>+SUMIF('TUNZ Extracted TB'!M:M,$P3092,'TUNZ Extracted TB'!G:G)</f>
        <v>0</v>
      </c>
      <c r="M3092" s="311"/>
      <c r="N3092" s="311">
        <f>+SUMIF('Input Sheet'!$AE:$AE,P3092,'Input Sheet'!$X:$X)</f>
        <v>0</v>
      </c>
      <c r="O3092" s="311"/>
      <c r="P3092" t="str">
        <f t="shared" si="263"/>
        <v>147-7710</v>
      </c>
      <c r="Q3092" s="315" t="str">
        <f t="shared" si="264"/>
        <v>Admin &amp; Other</v>
      </c>
      <c r="R3092" s="315" t="str">
        <f t="shared" si="265"/>
        <v>Admin &amp; Otherinterest &amp; Bank Charges as % of Total Gross Profit</v>
      </c>
      <c r="S3092" s="199"/>
      <c r="T3092" s="199"/>
      <c r="U3092" s="199"/>
    </row>
    <row r="3093" spans="1:21" x14ac:dyDescent="0.25">
      <c r="A3093" t="s">
        <v>996</v>
      </c>
      <c r="B3093" t="s">
        <v>997</v>
      </c>
      <c r="C3093" t="s">
        <v>997</v>
      </c>
      <c r="D3093">
        <v>7710</v>
      </c>
      <c r="E3093">
        <v>170</v>
      </c>
      <c r="F3093" t="s">
        <v>1337</v>
      </c>
      <c r="G3093" t="s">
        <v>1338</v>
      </c>
      <c r="H3093" s="315" t="s">
        <v>1000</v>
      </c>
      <c r="I3093" s="315" t="s">
        <v>1336</v>
      </c>
      <c r="J3093" s="315" t="str">
        <f t="shared" si="261"/>
        <v>Admin &amp; Otherinterest &amp; Bank Charges as % of Total Gross Profit</v>
      </c>
      <c r="K3093" s="315" t="str">
        <f t="shared" si="262"/>
        <v>170Interest &amp; Bank Charges - Toyota</v>
      </c>
      <c r="L3093" s="311">
        <f>+SUMIF('TUNZ Extracted TB'!M:M,$P3093,'TUNZ Extracted TB'!G:G)</f>
        <v>0</v>
      </c>
      <c r="M3093" s="311"/>
      <c r="N3093" s="311">
        <f>+SUMIF('Input Sheet'!$AE:$AE,P3093,'Input Sheet'!$X:$X)</f>
        <v>0</v>
      </c>
      <c r="O3093" s="311"/>
      <c r="P3093" t="str">
        <f t="shared" si="263"/>
        <v>170-7710</v>
      </c>
      <c r="Q3093" s="315" t="str">
        <f t="shared" si="264"/>
        <v>Admin &amp; Other</v>
      </c>
      <c r="R3093" s="315" t="str">
        <f t="shared" si="265"/>
        <v>Admin &amp; Otherinterest &amp; Bank Charges as % of Total Gross Profit</v>
      </c>
      <c r="S3093" s="199"/>
      <c r="T3093" s="199"/>
      <c r="U3093" s="199"/>
    </row>
    <row r="3094" spans="1:21" x14ac:dyDescent="0.25">
      <c r="A3094" t="s">
        <v>996</v>
      </c>
      <c r="B3094" t="s">
        <v>997</v>
      </c>
      <c r="C3094" t="s">
        <v>997</v>
      </c>
      <c r="D3094">
        <v>7720</v>
      </c>
      <c r="E3094">
        <v>147</v>
      </c>
      <c r="F3094" t="s">
        <v>1337</v>
      </c>
      <c r="G3094" t="s">
        <v>1338</v>
      </c>
      <c r="H3094" s="315" t="s">
        <v>1000</v>
      </c>
      <c r="I3094" s="315" t="s">
        <v>1336</v>
      </c>
      <c r="J3094" s="315" t="str">
        <f t="shared" si="261"/>
        <v>Admin &amp; Otherinterest &amp; Bank Charges as % of Total Gross Profit</v>
      </c>
      <c r="K3094" s="315" t="str">
        <f t="shared" si="262"/>
        <v>147Interest &amp; Bank Charges - Toyota</v>
      </c>
      <c r="L3094" s="311">
        <f>+SUMIF('TUNZ Extracted TB'!M:M,$P3094,'TUNZ Extracted TB'!G:G)</f>
        <v>0</v>
      </c>
      <c r="M3094" s="311"/>
      <c r="N3094" s="311">
        <f>+SUMIF('Input Sheet'!$AE:$AE,P3094,'Input Sheet'!$X:$X)</f>
        <v>0</v>
      </c>
      <c r="O3094" s="311"/>
      <c r="P3094" t="str">
        <f t="shared" si="263"/>
        <v>147-7720</v>
      </c>
      <c r="Q3094" s="315" t="str">
        <f t="shared" si="264"/>
        <v>Admin &amp; Other</v>
      </c>
      <c r="R3094" s="315" t="str">
        <f t="shared" si="265"/>
        <v>Admin &amp; Otherinterest &amp; Bank Charges as % of Total Gross Profit</v>
      </c>
      <c r="S3094" s="199"/>
      <c r="T3094" s="199"/>
      <c r="U3094" s="199"/>
    </row>
    <row r="3095" spans="1:21" x14ac:dyDescent="0.25">
      <c r="A3095" t="s">
        <v>996</v>
      </c>
      <c r="B3095" t="s">
        <v>997</v>
      </c>
      <c r="C3095" t="s">
        <v>997</v>
      </c>
      <c r="D3095">
        <v>7720</v>
      </c>
      <c r="E3095">
        <v>170</v>
      </c>
      <c r="F3095" t="s">
        <v>1337</v>
      </c>
      <c r="G3095" t="s">
        <v>1338</v>
      </c>
      <c r="H3095" s="315" t="s">
        <v>1000</v>
      </c>
      <c r="I3095" s="315" t="s">
        <v>1336</v>
      </c>
      <c r="J3095" s="315" t="str">
        <f t="shared" si="261"/>
        <v>Admin &amp; Otherinterest &amp; Bank Charges as % of Total Gross Profit</v>
      </c>
      <c r="K3095" s="315" t="str">
        <f t="shared" si="262"/>
        <v>170Interest &amp; Bank Charges - Toyota</v>
      </c>
      <c r="L3095" s="311">
        <f>+SUMIF('TUNZ Extracted TB'!M:M,$P3095,'TUNZ Extracted TB'!G:G)</f>
        <v>0</v>
      </c>
      <c r="M3095" s="311"/>
      <c r="N3095" s="311">
        <f>+SUMIF('Input Sheet'!$AE:$AE,P3095,'Input Sheet'!$X:$X)</f>
        <v>0</v>
      </c>
      <c r="O3095" s="311"/>
      <c r="P3095" t="str">
        <f t="shared" si="263"/>
        <v>170-7720</v>
      </c>
      <c r="Q3095" s="315" t="str">
        <f t="shared" si="264"/>
        <v>Admin &amp; Other</v>
      </c>
      <c r="R3095" s="315" t="str">
        <f t="shared" si="265"/>
        <v>Admin &amp; Otherinterest &amp; Bank Charges as % of Total Gross Profit</v>
      </c>
      <c r="S3095" s="199"/>
      <c r="T3095" s="199"/>
      <c r="U3095" s="199"/>
    </row>
    <row r="3096" spans="1:21" x14ac:dyDescent="0.25">
      <c r="A3096" t="s">
        <v>996</v>
      </c>
      <c r="B3096" t="s">
        <v>997</v>
      </c>
      <c r="C3096" t="s">
        <v>997</v>
      </c>
      <c r="D3096">
        <v>7730</v>
      </c>
      <c r="E3096">
        <v>170</v>
      </c>
      <c r="F3096" t="s">
        <v>1379</v>
      </c>
      <c r="G3096" t="s">
        <v>1380</v>
      </c>
      <c r="H3096" s="315" t="s">
        <v>1000</v>
      </c>
      <c r="I3096" s="315" t="s">
        <v>1001</v>
      </c>
      <c r="J3096" s="315" t="str">
        <f t="shared" si="261"/>
        <v>Admin &amp; OtherOther Overheads as % of Total Gross Profit</v>
      </c>
      <c r="K3096" s="315" t="str">
        <f t="shared" si="262"/>
        <v>170General Advertising &amp; Promotion - Toyota</v>
      </c>
      <c r="L3096" s="311">
        <f>+SUMIF('TUNZ Extracted TB'!M:M,$P3096,'TUNZ Extracted TB'!G:G)</f>
        <v>0</v>
      </c>
      <c r="M3096" s="311"/>
      <c r="N3096" s="311">
        <f>+SUMIF('Input Sheet'!$AE:$AE,P3096,'Input Sheet'!$X:$X)</f>
        <v>0</v>
      </c>
      <c r="O3096" s="311"/>
      <c r="P3096" t="str">
        <f t="shared" si="263"/>
        <v>170-7730</v>
      </c>
      <c r="Q3096" s="315" t="str">
        <f t="shared" si="264"/>
        <v>Admin &amp; Other</v>
      </c>
      <c r="R3096" s="315" t="str">
        <f t="shared" si="265"/>
        <v>Admin &amp; OtherOther Overheads as % of Total Gross Profit</v>
      </c>
      <c r="S3096" s="199"/>
      <c r="T3096" s="199"/>
      <c r="U3096" s="199"/>
    </row>
    <row r="3097" spans="1:21" x14ac:dyDescent="0.25">
      <c r="A3097" t="s">
        <v>996</v>
      </c>
      <c r="B3097" t="s">
        <v>997</v>
      </c>
      <c r="C3097" t="s">
        <v>997</v>
      </c>
      <c r="D3097">
        <v>7730</v>
      </c>
      <c r="E3097">
        <v>147</v>
      </c>
      <c r="F3097" t="s">
        <v>1306</v>
      </c>
      <c r="G3097" t="s">
        <v>1307</v>
      </c>
      <c r="H3097" s="315" t="s">
        <v>17</v>
      </c>
      <c r="I3097" s="315" t="s">
        <v>1286</v>
      </c>
      <c r="J3097" s="315" t="str">
        <f t="shared" si="261"/>
        <v>ServiceOther Expenses as % of Sales</v>
      </c>
      <c r="K3097" s="315" t="str">
        <f t="shared" si="262"/>
        <v>147Service Advertising &amp; Promotion - Toyota</v>
      </c>
      <c r="L3097" s="311">
        <f>+SUMIF('TUNZ Extracted TB'!M:M,$P3097,'TUNZ Extracted TB'!G:G)</f>
        <v>0</v>
      </c>
      <c r="M3097" s="311"/>
      <c r="N3097" s="311">
        <f>+SUMIF('Input Sheet'!$AE:$AE,P3097,'Input Sheet'!$X:$X)</f>
        <v>0</v>
      </c>
      <c r="O3097" s="311"/>
      <c r="P3097" t="str">
        <f t="shared" si="263"/>
        <v>147-7730</v>
      </c>
      <c r="Q3097" s="315" t="str">
        <f t="shared" si="264"/>
        <v>Service</v>
      </c>
      <c r="R3097" s="315" t="str">
        <f t="shared" si="265"/>
        <v>ServiceOther Expenses as % of Sales</v>
      </c>
      <c r="S3097" s="199"/>
      <c r="T3097" s="199"/>
      <c r="U3097" s="199"/>
    </row>
    <row r="3098" spans="1:21" x14ac:dyDescent="0.25">
      <c r="A3098" s="316">
        <v>44866</v>
      </c>
      <c r="B3098" t="s">
        <v>997</v>
      </c>
      <c r="C3098" t="s">
        <v>997</v>
      </c>
      <c r="D3098">
        <v>7750</v>
      </c>
      <c r="E3098">
        <v>190</v>
      </c>
      <c r="G3098" t="s">
        <v>977</v>
      </c>
      <c r="H3098" s="315" t="s">
        <v>1000</v>
      </c>
      <c r="I3098" s="315" t="s">
        <v>1370</v>
      </c>
      <c r="J3098" s="315" t="str">
        <f t="shared" si="261"/>
        <v>Admin &amp; OtherR&amp;M and Cleaning as % of Total Gross Profit</v>
      </c>
      <c r="K3098" s="315" t="str">
        <f t="shared" si="262"/>
        <v>190Property Maintenance</v>
      </c>
      <c r="L3098" s="311">
        <f>+SUMIF('TUNZ Extracted TB'!M:M,$P3098,'TUNZ Extracted TB'!G:G)</f>
        <v>203.79</v>
      </c>
      <c r="M3098" s="311"/>
      <c r="N3098" s="311">
        <f>+SUMIF('Input Sheet'!$AE:$AE,P3098,'Input Sheet'!$X:$X)</f>
        <v>0</v>
      </c>
      <c r="O3098" s="311"/>
      <c r="P3098" t="str">
        <f t="shared" si="263"/>
        <v>190-7750</v>
      </c>
      <c r="Q3098" s="315" t="str">
        <f t="shared" si="264"/>
        <v>Admin &amp; Other</v>
      </c>
      <c r="R3098" s="315" t="str">
        <f t="shared" si="265"/>
        <v>Admin &amp; OtherR&amp;M and Cleaning as % of Total Gross Profit</v>
      </c>
      <c r="S3098" s="199"/>
      <c r="T3098" s="199"/>
      <c r="U3098" s="199"/>
    </row>
    <row r="3099" spans="1:21" x14ac:dyDescent="0.25">
      <c r="A3099" t="s">
        <v>996</v>
      </c>
      <c r="B3099" t="s">
        <v>997</v>
      </c>
      <c r="C3099" t="s">
        <v>997</v>
      </c>
      <c r="D3099">
        <v>7750</v>
      </c>
      <c r="E3099">
        <v>936</v>
      </c>
      <c r="F3099" t="s">
        <v>1175</v>
      </c>
      <c r="G3099" t="s">
        <v>1176</v>
      </c>
      <c r="H3099" s="315" t="s">
        <v>1023</v>
      </c>
      <c r="I3099" s="315" t="s">
        <v>1370</v>
      </c>
      <c r="J3099" s="315" t="str">
        <f t="shared" si="261"/>
        <v>LEX Admin &amp; OtherR&amp;M and Cleaning as % of Total Gross Profit</v>
      </c>
      <c r="K3099" s="315" t="str">
        <f t="shared" si="262"/>
        <v>936Other franchise/business expense</v>
      </c>
      <c r="L3099" s="311">
        <f>+SUMIF('TUNZ Extracted TB'!M:M,$P3099,'TUNZ Extracted TB'!G:G)</f>
        <v>0</v>
      </c>
      <c r="M3099" s="311"/>
      <c r="N3099" s="311">
        <f>+SUMIF('Input Sheet'!$AE:$AE,P3099,'Input Sheet'!$X:$X)</f>
        <v>0</v>
      </c>
      <c r="O3099" s="311"/>
      <c r="P3099" t="str">
        <f t="shared" si="263"/>
        <v>936-7750</v>
      </c>
      <c r="Q3099" s="315" t="str">
        <f t="shared" si="264"/>
        <v>LEX Admin &amp; Other</v>
      </c>
      <c r="R3099" s="315" t="str">
        <f t="shared" si="265"/>
        <v>LEX Admin &amp; OtherR&amp;M and Cleaning as % of Total Gross Profit</v>
      </c>
      <c r="S3099" s="199"/>
      <c r="T3099" s="199"/>
      <c r="U3099" s="199"/>
    </row>
    <row r="3100" spans="1:21" x14ac:dyDescent="0.25">
      <c r="A3100" t="s">
        <v>996</v>
      </c>
      <c r="B3100" t="s">
        <v>997</v>
      </c>
      <c r="C3100" t="s">
        <v>1013</v>
      </c>
      <c r="D3100">
        <v>7750</v>
      </c>
      <c r="E3100">
        <v>340</v>
      </c>
      <c r="F3100" t="s">
        <v>1368</v>
      </c>
      <c r="G3100" t="s">
        <v>1369</v>
      </c>
      <c r="H3100" s="315" t="s">
        <v>1000</v>
      </c>
      <c r="I3100" s="315" t="s">
        <v>1370</v>
      </c>
      <c r="J3100" s="315" t="str">
        <f t="shared" si="261"/>
        <v>Admin &amp; OtherR&amp;M and Cleaning as % of Total Gross Profit</v>
      </c>
      <c r="K3100" s="315" t="str">
        <f t="shared" si="262"/>
        <v>340Repairs &amp; Maintenance - Toyota</v>
      </c>
      <c r="L3100" s="311">
        <f>+SUMIF('TUNZ Extracted TB'!M:M,$P3100,'TUNZ Extracted TB'!G:G)</f>
        <v>212.64</v>
      </c>
      <c r="M3100" s="311"/>
      <c r="N3100" s="311">
        <f>+SUMIF('Input Sheet'!$AE:$AE,P3100,'Input Sheet'!$X:$X)</f>
        <v>0</v>
      </c>
      <c r="O3100" s="311"/>
      <c r="P3100" t="str">
        <f t="shared" si="263"/>
        <v>340-7750</v>
      </c>
      <c r="Q3100" s="315" t="str">
        <f t="shared" si="264"/>
        <v>Admin &amp; Other</v>
      </c>
      <c r="R3100" s="315" t="str">
        <f t="shared" si="265"/>
        <v>Admin &amp; OtherR&amp;M and Cleaning as % of Total Gross Profit</v>
      </c>
      <c r="S3100" s="199"/>
      <c r="T3100" s="199"/>
      <c r="U3100" s="199"/>
    </row>
    <row r="3101" spans="1:21" x14ac:dyDescent="0.25">
      <c r="A3101" t="s">
        <v>996</v>
      </c>
      <c r="B3101" t="s">
        <v>997</v>
      </c>
      <c r="C3101" t="s">
        <v>1013</v>
      </c>
      <c r="D3101">
        <v>7750</v>
      </c>
      <c r="E3101">
        <v>330</v>
      </c>
      <c r="F3101" t="s">
        <v>1368</v>
      </c>
      <c r="G3101" t="s">
        <v>1369</v>
      </c>
      <c r="H3101" s="315" t="s">
        <v>1000</v>
      </c>
      <c r="I3101" s="315" t="s">
        <v>1370</v>
      </c>
      <c r="J3101" s="315" t="str">
        <f t="shared" si="261"/>
        <v>Admin &amp; OtherR&amp;M and Cleaning as % of Total Gross Profit</v>
      </c>
      <c r="K3101" s="315" t="str">
        <f t="shared" si="262"/>
        <v>330Repairs &amp; Maintenance - Toyota</v>
      </c>
      <c r="L3101" s="311">
        <f>+SUMIF('TUNZ Extracted TB'!M:M,$P3101,'TUNZ Extracted TB'!G:G)</f>
        <v>212.66</v>
      </c>
      <c r="M3101" s="311"/>
      <c r="N3101" s="311">
        <f>+SUMIF('Input Sheet'!$AE:$AE,P3101,'Input Sheet'!$X:$X)</f>
        <v>0</v>
      </c>
      <c r="O3101" s="311"/>
      <c r="P3101" t="str">
        <f t="shared" si="263"/>
        <v>330-7750</v>
      </c>
      <c r="Q3101" s="315" t="str">
        <f t="shared" si="264"/>
        <v>Admin &amp; Other</v>
      </c>
      <c r="R3101" s="315" t="str">
        <f t="shared" si="265"/>
        <v>Admin &amp; OtherR&amp;M and Cleaning as % of Total Gross Profit</v>
      </c>
      <c r="S3101" s="199"/>
      <c r="T3101" s="199"/>
      <c r="U3101" s="199"/>
    </row>
    <row r="3102" spans="1:21" x14ac:dyDescent="0.25">
      <c r="A3102" t="s">
        <v>996</v>
      </c>
      <c r="B3102" t="s">
        <v>997</v>
      </c>
      <c r="C3102" t="s">
        <v>997</v>
      </c>
      <c r="D3102">
        <v>7750</v>
      </c>
      <c r="E3102">
        <v>935</v>
      </c>
      <c r="F3102" t="s">
        <v>1175</v>
      </c>
      <c r="G3102" t="s">
        <v>1176</v>
      </c>
      <c r="H3102" s="315" t="s">
        <v>1023</v>
      </c>
      <c r="I3102" s="315" t="s">
        <v>1370</v>
      </c>
      <c r="J3102" s="315" t="str">
        <f t="shared" si="261"/>
        <v>LEX Admin &amp; OtherR&amp;M and Cleaning as % of Total Gross Profit</v>
      </c>
      <c r="K3102" s="315" t="str">
        <f t="shared" si="262"/>
        <v>935Other franchise/business expense</v>
      </c>
      <c r="L3102" s="311">
        <f>+SUMIF('TUNZ Extracted TB'!M:M,$P3102,'TUNZ Extracted TB'!G:G)</f>
        <v>55.42</v>
      </c>
      <c r="M3102" s="311"/>
      <c r="N3102" s="311">
        <f>+SUMIF('Input Sheet'!$AE:$AE,P3102,'Input Sheet'!$X:$X)</f>
        <v>0</v>
      </c>
      <c r="O3102" s="311"/>
      <c r="P3102" t="str">
        <f t="shared" si="263"/>
        <v>935-7750</v>
      </c>
      <c r="Q3102" s="315" t="str">
        <f t="shared" si="264"/>
        <v>LEX Admin &amp; Other</v>
      </c>
      <c r="R3102" s="315" t="str">
        <f t="shared" si="265"/>
        <v>LEX Admin &amp; OtherR&amp;M and Cleaning as % of Total Gross Profit</v>
      </c>
      <c r="S3102" s="199"/>
      <c r="T3102" s="199"/>
      <c r="U3102" s="199"/>
    </row>
    <row r="3103" spans="1:21" x14ac:dyDescent="0.25">
      <c r="A3103" t="s">
        <v>996</v>
      </c>
      <c r="B3103" t="s">
        <v>997</v>
      </c>
      <c r="C3103" t="s">
        <v>997</v>
      </c>
      <c r="D3103">
        <v>7750</v>
      </c>
      <c r="E3103">
        <v>120</v>
      </c>
      <c r="F3103" t="s">
        <v>1368</v>
      </c>
      <c r="G3103" t="s">
        <v>1369</v>
      </c>
      <c r="H3103" s="315" t="s">
        <v>1000</v>
      </c>
      <c r="I3103" s="315" t="s">
        <v>1370</v>
      </c>
      <c r="J3103" s="315" t="str">
        <f t="shared" si="261"/>
        <v>Admin &amp; OtherR&amp;M and Cleaning as % of Total Gross Profit</v>
      </c>
      <c r="K3103" s="315" t="str">
        <f t="shared" si="262"/>
        <v>120Repairs &amp; Maintenance - Toyota</v>
      </c>
      <c r="L3103" s="311">
        <f>+SUMIF('TUNZ Extracted TB'!M:M,$P3103,'TUNZ Extracted TB'!G:G)</f>
        <v>66</v>
      </c>
      <c r="M3103" s="311"/>
      <c r="N3103" s="311">
        <f>+SUMIF('Input Sheet'!$AE:$AE,P3103,'Input Sheet'!$X:$X)</f>
        <v>0</v>
      </c>
      <c r="O3103" s="311"/>
      <c r="P3103" t="str">
        <f t="shared" si="263"/>
        <v>120-7750</v>
      </c>
      <c r="Q3103" s="315" t="str">
        <f t="shared" si="264"/>
        <v>Admin &amp; Other</v>
      </c>
      <c r="R3103" s="315" t="str">
        <f t="shared" si="265"/>
        <v>Admin &amp; OtherR&amp;M and Cleaning as % of Total Gross Profit</v>
      </c>
      <c r="S3103" s="199"/>
      <c r="T3103" s="199"/>
      <c r="U3103" s="199"/>
    </row>
    <row r="3104" spans="1:21" x14ac:dyDescent="0.25">
      <c r="A3104" t="s">
        <v>996</v>
      </c>
      <c r="B3104" t="s">
        <v>997</v>
      </c>
      <c r="C3104" t="s">
        <v>1005</v>
      </c>
      <c r="D3104">
        <v>7750</v>
      </c>
      <c r="E3104">
        <v>240</v>
      </c>
      <c r="F3104" t="s">
        <v>1368</v>
      </c>
      <c r="G3104" t="s">
        <v>1369</v>
      </c>
      <c r="H3104" s="315" t="s">
        <v>1000</v>
      </c>
      <c r="I3104" s="315" t="s">
        <v>1370</v>
      </c>
      <c r="J3104" s="315" t="str">
        <f t="shared" si="261"/>
        <v>Admin &amp; OtherR&amp;M and Cleaning as % of Total Gross Profit</v>
      </c>
      <c r="K3104" s="315" t="str">
        <f t="shared" si="262"/>
        <v>240Repairs &amp; Maintenance - Toyota</v>
      </c>
      <c r="L3104" s="311">
        <f>+SUMIF('TUNZ Extracted TB'!M:M,$P3104,'TUNZ Extracted TB'!G:G)</f>
        <v>629.5</v>
      </c>
      <c r="M3104" s="311"/>
      <c r="N3104" s="311">
        <f>+SUMIF('Input Sheet'!$AE:$AE,P3104,'Input Sheet'!$X:$X)</f>
        <v>0</v>
      </c>
      <c r="O3104" s="311"/>
      <c r="P3104" t="str">
        <f t="shared" si="263"/>
        <v>240-7750</v>
      </c>
      <c r="Q3104" s="315" t="str">
        <f t="shared" si="264"/>
        <v>Admin &amp; Other</v>
      </c>
      <c r="R3104" s="315" t="str">
        <f t="shared" si="265"/>
        <v>Admin &amp; OtherR&amp;M and Cleaning as % of Total Gross Profit</v>
      </c>
      <c r="S3104" s="199"/>
      <c r="T3104" s="199"/>
      <c r="U3104" s="199"/>
    </row>
    <row r="3105" spans="1:21" x14ac:dyDescent="0.25">
      <c r="A3105" t="s">
        <v>996</v>
      </c>
      <c r="B3105" t="s">
        <v>997</v>
      </c>
      <c r="C3105" t="s">
        <v>1005</v>
      </c>
      <c r="D3105">
        <v>7750</v>
      </c>
      <c r="E3105">
        <v>210</v>
      </c>
      <c r="F3105" t="s">
        <v>1368</v>
      </c>
      <c r="G3105" t="s">
        <v>1369</v>
      </c>
      <c r="H3105" s="315" t="s">
        <v>1000</v>
      </c>
      <c r="I3105" s="315" t="s">
        <v>1370</v>
      </c>
      <c r="J3105" s="315" t="str">
        <f t="shared" si="261"/>
        <v>Admin &amp; OtherR&amp;M and Cleaning as % of Total Gross Profit</v>
      </c>
      <c r="K3105" s="315" t="str">
        <f t="shared" si="262"/>
        <v>210Repairs &amp; Maintenance - Toyota</v>
      </c>
      <c r="L3105" s="311">
        <f>+SUMIF('TUNZ Extracted TB'!M:M,$P3105,'TUNZ Extracted TB'!G:G)</f>
        <v>500.87</v>
      </c>
      <c r="M3105" s="311"/>
      <c r="N3105" s="311">
        <f>+SUMIF('Input Sheet'!$AE:$AE,P3105,'Input Sheet'!$X:$X)</f>
        <v>0</v>
      </c>
      <c r="O3105" s="311"/>
      <c r="P3105" t="str">
        <f t="shared" si="263"/>
        <v>210-7750</v>
      </c>
      <c r="Q3105" s="315" t="str">
        <f t="shared" si="264"/>
        <v>Admin &amp; Other</v>
      </c>
      <c r="R3105" s="315" t="str">
        <f t="shared" si="265"/>
        <v>Admin &amp; OtherR&amp;M and Cleaning as % of Total Gross Profit</v>
      </c>
      <c r="S3105" s="199"/>
      <c r="T3105" s="199"/>
      <c r="U3105" s="199"/>
    </row>
    <row r="3106" spans="1:21" x14ac:dyDescent="0.25">
      <c r="A3106" t="s">
        <v>996</v>
      </c>
      <c r="B3106" t="s">
        <v>997</v>
      </c>
      <c r="C3106" t="s">
        <v>1005</v>
      </c>
      <c r="D3106">
        <v>7750</v>
      </c>
      <c r="E3106">
        <v>230</v>
      </c>
      <c r="F3106" t="s">
        <v>1368</v>
      </c>
      <c r="G3106" t="s">
        <v>1369</v>
      </c>
      <c r="H3106" s="315" t="s">
        <v>1000</v>
      </c>
      <c r="I3106" s="315" t="s">
        <v>1370</v>
      </c>
      <c r="J3106" s="315" t="str">
        <f t="shared" si="261"/>
        <v>Admin &amp; OtherR&amp;M and Cleaning as % of Total Gross Profit</v>
      </c>
      <c r="K3106" s="315" t="str">
        <f t="shared" si="262"/>
        <v>230Repairs &amp; Maintenance - Toyota</v>
      </c>
      <c r="L3106" s="311">
        <f>+SUMIF('TUNZ Extracted TB'!M:M,$P3106,'TUNZ Extracted TB'!G:G)</f>
        <v>500.87</v>
      </c>
      <c r="M3106" s="311"/>
      <c r="N3106" s="311">
        <f>+SUMIF('Input Sheet'!$AE:$AE,P3106,'Input Sheet'!$X:$X)</f>
        <v>0</v>
      </c>
      <c r="O3106" s="311"/>
      <c r="P3106" t="str">
        <f t="shared" si="263"/>
        <v>230-7750</v>
      </c>
      <c r="Q3106" s="315" t="str">
        <f t="shared" si="264"/>
        <v>Admin &amp; Other</v>
      </c>
      <c r="R3106" s="315" t="str">
        <f t="shared" si="265"/>
        <v>Admin &amp; OtherR&amp;M and Cleaning as % of Total Gross Profit</v>
      </c>
      <c r="S3106" s="199"/>
      <c r="T3106" s="199"/>
      <c r="U3106" s="199"/>
    </row>
    <row r="3107" spans="1:21" x14ac:dyDescent="0.25">
      <c r="A3107" t="s">
        <v>996</v>
      </c>
      <c r="B3107" t="s">
        <v>997</v>
      </c>
      <c r="C3107" t="s">
        <v>1005</v>
      </c>
      <c r="D3107">
        <v>7750</v>
      </c>
      <c r="E3107">
        <v>220</v>
      </c>
      <c r="F3107" t="s">
        <v>1368</v>
      </c>
      <c r="G3107" t="s">
        <v>1369</v>
      </c>
      <c r="H3107" s="315" t="s">
        <v>1000</v>
      </c>
      <c r="I3107" s="315" t="s">
        <v>1370</v>
      </c>
      <c r="J3107" s="315" t="str">
        <f t="shared" si="261"/>
        <v>Admin &amp; OtherR&amp;M and Cleaning as % of Total Gross Profit</v>
      </c>
      <c r="K3107" s="315" t="str">
        <f t="shared" si="262"/>
        <v>220Repairs &amp; Maintenance - Toyota</v>
      </c>
      <c r="L3107" s="311">
        <f>+SUMIF('TUNZ Extracted TB'!M:M,$P3107,'TUNZ Extracted TB'!G:G)</f>
        <v>500.87</v>
      </c>
      <c r="M3107" s="311"/>
      <c r="N3107" s="311">
        <f>+SUMIF('Input Sheet'!$AE:$AE,P3107,'Input Sheet'!$X:$X)</f>
        <v>0</v>
      </c>
      <c r="O3107" s="311"/>
      <c r="P3107" t="str">
        <f t="shared" si="263"/>
        <v>220-7750</v>
      </c>
      <c r="Q3107" s="315" t="str">
        <f t="shared" si="264"/>
        <v>Admin &amp; Other</v>
      </c>
      <c r="R3107" s="315" t="str">
        <f t="shared" si="265"/>
        <v>Admin &amp; OtherR&amp;M and Cleaning as % of Total Gross Profit</v>
      </c>
      <c r="S3107" s="199"/>
      <c r="T3107" s="199"/>
      <c r="U3107" s="199"/>
    </row>
    <row r="3108" spans="1:21" x14ac:dyDescent="0.25">
      <c r="A3108" t="s">
        <v>996</v>
      </c>
      <c r="B3108" t="s">
        <v>997</v>
      </c>
      <c r="C3108" t="s">
        <v>1012</v>
      </c>
      <c r="D3108">
        <v>7750</v>
      </c>
      <c r="E3108">
        <v>440</v>
      </c>
      <c r="F3108" t="s">
        <v>1368</v>
      </c>
      <c r="G3108" t="s">
        <v>1369</v>
      </c>
      <c r="H3108" s="315" t="s">
        <v>1000</v>
      </c>
      <c r="I3108" s="315" t="s">
        <v>1370</v>
      </c>
      <c r="J3108" s="315" t="str">
        <f t="shared" si="261"/>
        <v>Admin &amp; OtherR&amp;M and Cleaning as % of Total Gross Profit</v>
      </c>
      <c r="K3108" s="315" t="str">
        <f t="shared" si="262"/>
        <v>440Repairs &amp; Maintenance - Toyota</v>
      </c>
      <c r="L3108" s="311">
        <f>+SUMIF('TUNZ Extracted TB'!M:M,$P3108,'TUNZ Extracted TB'!G:G)</f>
        <v>70.05</v>
      </c>
      <c r="M3108" s="311"/>
      <c r="N3108" s="311">
        <f>+SUMIF('Input Sheet'!$AE:$AE,P3108,'Input Sheet'!$X:$X)</f>
        <v>0</v>
      </c>
      <c r="O3108" s="311"/>
      <c r="P3108" t="str">
        <f t="shared" si="263"/>
        <v>440-7750</v>
      </c>
      <c r="Q3108" s="315" t="str">
        <f t="shared" si="264"/>
        <v>Admin &amp; Other</v>
      </c>
      <c r="R3108" s="315" t="str">
        <f t="shared" si="265"/>
        <v>Admin &amp; OtherR&amp;M and Cleaning as % of Total Gross Profit</v>
      </c>
      <c r="S3108" s="199"/>
      <c r="T3108" s="199"/>
      <c r="U3108" s="199"/>
    </row>
    <row r="3109" spans="1:21" x14ac:dyDescent="0.25">
      <c r="A3109" t="s">
        <v>996</v>
      </c>
      <c r="B3109" t="s">
        <v>997</v>
      </c>
      <c r="C3109" t="s">
        <v>1012</v>
      </c>
      <c r="D3109">
        <v>7750</v>
      </c>
      <c r="E3109">
        <v>430</v>
      </c>
      <c r="F3109" t="s">
        <v>1368</v>
      </c>
      <c r="G3109" t="s">
        <v>1369</v>
      </c>
      <c r="H3109" s="315" t="s">
        <v>1000</v>
      </c>
      <c r="I3109" s="315" t="s">
        <v>1370</v>
      </c>
      <c r="J3109" s="315" t="str">
        <f t="shared" si="261"/>
        <v>Admin &amp; OtherR&amp;M and Cleaning as % of Total Gross Profit</v>
      </c>
      <c r="K3109" s="315" t="str">
        <f t="shared" si="262"/>
        <v>430Repairs &amp; Maintenance - Toyota</v>
      </c>
      <c r="L3109" s="311">
        <f>+SUMIF('TUNZ Extracted TB'!M:M,$P3109,'TUNZ Extracted TB'!G:G)</f>
        <v>70.05</v>
      </c>
      <c r="M3109" s="311"/>
      <c r="N3109" s="311">
        <f>+SUMIF('Input Sheet'!$AE:$AE,P3109,'Input Sheet'!$X:$X)</f>
        <v>0</v>
      </c>
      <c r="O3109" s="311"/>
      <c r="P3109" t="str">
        <f t="shared" si="263"/>
        <v>430-7750</v>
      </c>
      <c r="Q3109" s="315" t="str">
        <f t="shared" si="264"/>
        <v>Admin &amp; Other</v>
      </c>
      <c r="R3109" s="315" t="str">
        <f t="shared" si="265"/>
        <v>Admin &amp; OtherR&amp;M and Cleaning as % of Total Gross Profit</v>
      </c>
      <c r="S3109" s="199"/>
      <c r="T3109" s="199"/>
      <c r="U3109" s="199"/>
    </row>
    <row r="3110" spans="1:21" x14ac:dyDescent="0.25">
      <c r="A3110" t="s">
        <v>996</v>
      </c>
      <c r="B3110" t="s">
        <v>997</v>
      </c>
      <c r="C3110" t="s">
        <v>997</v>
      </c>
      <c r="D3110">
        <v>7750</v>
      </c>
      <c r="E3110">
        <v>160</v>
      </c>
      <c r="F3110" t="s">
        <v>1368</v>
      </c>
      <c r="G3110" t="s">
        <v>1369</v>
      </c>
      <c r="H3110" s="315" t="s">
        <v>1000</v>
      </c>
      <c r="I3110" s="315" t="s">
        <v>1370</v>
      </c>
      <c r="J3110" s="315" t="str">
        <f t="shared" si="261"/>
        <v>Admin &amp; OtherR&amp;M and Cleaning as % of Total Gross Profit</v>
      </c>
      <c r="K3110" s="315" t="str">
        <f t="shared" si="262"/>
        <v>160Repairs &amp; Maintenance - Toyota</v>
      </c>
      <c r="L3110" s="311">
        <f>+SUMIF('TUNZ Extracted TB'!M:M,$P3110,'TUNZ Extracted TB'!G:G)</f>
        <v>18</v>
      </c>
      <c r="M3110" s="311"/>
      <c r="N3110" s="311">
        <f>+SUMIF('Input Sheet'!$AE:$AE,P3110,'Input Sheet'!$X:$X)</f>
        <v>0</v>
      </c>
      <c r="O3110" s="311"/>
      <c r="P3110" t="str">
        <f t="shared" si="263"/>
        <v>160-7750</v>
      </c>
      <c r="Q3110" s="315" t="str">
        <f t="shared" si="264"/>
        <v>Admin &amp; Other</v>
      </c>
      <c r="R3110" s="315" t="str">
        <f t="shared" si="265"/>
        <v>Admin &amp; OtherR&amp;M and Cleaning as % of Total Gross Profit</v>
      </c>
      <c r="S3110" s="199"/>
      <c r="T3110" s="199"/>
      <c r="U3110" s="199"/>
    </row>
    <row r="3111" spans="1:21" x14ac:dyDescent="0.25">
      <c r="A3111" s="316">
        <v>44866</v>
      </c>
      <c r="B3111" t="s">
        <v>997</v>
      </c>
      <c r="C3111" t="s">
        <v>997</v>
      </c>
      <c r="D3111">
        <v>7750</v>
      </c>
      <c r="E3111">
        <v>150</v>
      </c>
      <c r="G3111" t="s">
        <v>977</v>
      </c>
      <c r="H3111" s="315" t="s">
        <v>1023</v>
      </c>
      <c r="I3111" s="315" t="s">
        <v>1370</v>
      </c>
      <c r="J3111" s="315" t="str">
        <f t="shared" si="261"/>
        <v>LEX Admin &amp; OtherR&amp;M and Cleaning as % of Total Gross Profit</v>
      </c>
      <c r="K3111" s="315" t="str">
        <f t="shared" si="262"/>
        <v>150Property Maintenance</v>
      </c>
      <c r="L3111" s="311">
        <f>+SUMIF('TUNZ Extracted TB'!M:M,$P3111,'TUNZ Extracted TB'!G:G)</f>
        <v>215.66</v>
      </c>
      <c r="M3111" s="199"/>
      <c r="N3111" s="311">
        <f>+SUMIF('Input Sheet'!$AE:$AE,P3111,'Input Sheet'!$X:$X)</f>
        <v>0</v>
      </c>
      <c r="O3111" s="199"/>
      <c r="P3111" t="str">
        <f t="shared" si="263"/>
        <v>150-7750</v>
      </c>
      <c r="Q3111" s="315" t="str">
        <f t="shared" si="264"/>
        <v>LEX Admin &amp; Other</v>
      </c>
      <c r="R3111" s="315" t="str">
        <f t="shared" si="265"/>
        <v>LEX Admin &amp; OtherR&amp;M and Cleaning as % of Total Gross Profit</v>
      </c>
      <c r="S3111" s="199"/>
      <c r="T3111" s="199"/>
      <c r="U3111" s="199"/>
    </row>
    <row r="3112" spans="1:21" x14ac:dyDescent="0.25">
      <c r="A3112" t="s">
        <v>996</v>
      </c>
      <c r="B3112" t="s">
        <v>997</v>
      </c>
      <c r="C3112" t="s">
        <v>997</v>
      </c>
      <c r="D3112">
        <v>7750</v>
      </c>
      <c r="E3112">
        <v>122</v>
      </c>
      <c r="F3112" t="s">
        <v>1430</v>
      </c>
      <c r="G3112" t="s">
        <v>1431</v>
      </c>
      <c r="H3112" s="315" t="s">
        <v>1023</v>
      </c>
      <c r="I3112" s="315" t="s">
        <v>1370</v>
      </c>
      <c r="J3112" s="315" t="str">
        <f t="shared" si="261"/>
        <v>LEX Admin &amp; OtherR&amp;M and Cleaning as % of Total Gross Profit</v>
      </c>
      <c r="K3112" s="315" t="str">
        <f t="shared" si="262"/>
        <v>122Repairs &amp; Maintenance - Lexus</v>
      </c>
      <c r="L3112" s="311">
        <f>+SUMIF('TUNZ Extracted TB'!M:M,$P3112,'TUNZ Extracted TB'!G:G)</f>
        <v>0</v>
      </c>
      <c r="M3112" s="311"/>
      <c r="N3112" s="311">
        <f>+SUMIF('Input Sheet'!$AE:$AE,P3112,'Input Sheet'!$X:$X)</f>
        <v>0</v>
      </c>
      <c r="O3112" s="311"/>
      <c r="P3112" t="str">
        <f t="shared" si="263"/>
        <v>122-7750</v>
      </c>
      <c r="Q3112" s="315" t="str">
        <f t="shared" si="264"/>
        <v>LEX Admin &amp; Other</v>
      </c>
      <c r="R3112" s="315" t="str">
        <f t="shared" si="265"/>
        <v>LEX Admin &amp; OtherR&amp;M and Cleaning as % of Total Gross Profit</v>
      </c>
      <c r="S3112" s="199"/>
      <c r="T3112" s="199"/>
      <c r="U3112" s="199"/>
    </row>
    <row r="3113" spans="1:21" x14ac:dyDescent="0.25">
      <c r="A3113" t="s">
        <v>996</v>
      </c>
      <c r="B3113" t="s">
        <v>997</v>
      </c>
      <c r="C3113" t="s">
        <v>997</v>
      </c>
      <c r="D3113">
        <v>7750</v>
      </c>
      <c r="E3113">
        <v>162</v>
      </c>
      <c r="F3113" t="s">
        <v>1430</v>
      </c>
      <c r="G3113" t="s">
        <v>1431</v>
      </c>
      <c r="H3113" s="315" t="s">
        <v>1023</v>
      </c>
      <c r="I3113" s="315" t="s">
        <v>1370</v>
      </c>
      <c r="J3113" s="315" t="str">
        <f t="shared" si="261"/>
        <v>LEX Admin &amp; OtherR&amp;M and Cleaning as % of Total Gross Profit</v>
      </c>
      <c r="K3113" s="315" t="str">
        <f t="shared" si="262"/>
        <v>162Repairs &amp; Maintenance - Lexus</v>
      </c>
      <c r="L3113" s="311">
        <f>+SUMIF('TUNZ Extracted TB'!M:M,$P3113,'TUNZ Extracted TB'!G:G)</f>
        <v>0</v>
      </c>
      <c r="M3113" s="311"/>
      <c r="N3113" s="311">
        <f>+SUMIF('Input Sheet'!$AE:$AE,P3113,'Input Sheet'!$X:$X)</f>
        <v>0</v>
      </c>
      <c r="O3113" s="311"/>
      <c r="P3113" t="str">
        <f t="shared" si="263"/>
        <v>162-7750</v>
      </c>
      <c r="Q3113" s="315" t="str">
        <f t="shared" si="264"/>
        <v>LEX Admin &amp; Other</v>
      </c>
      <c r="R3113" s="315" t="str">
        <f t="shared" si="265"/>
        <v>LEX Admin &amp; OtherR&amp;M and Cleaning as % of Total Gross Profit</v>
      </c>
      <c r="S3113" s="199"/>
      <c r="T3113" s="199"/>
      <c r="U3113" s="199"/>
    </row>
    <row r="3114" spans="1:21" x14ac:dyDescent="0.25">
      <c r="A3114" t="s">
        <v>996</v>
      </c>
      <c r="B3114" t="s">
        <v>997</v>
      </c>
      <c r="C3114" t="s">
        <v>997</v>
      </c>
      <c r="D3114">
        <v>7750</v>
      </c>
      <c r="E3114">
        <v>121</v>
      </c>
      <c r="F3114" t="s">
        <v>1368</v>
      </c>
      <c r="G3114" t="s">
        <v>1369</v>
      </c>
      <c r="H3114" s="315" t="s">
        <v>1000</v>
      </c>
      <c r="I3114" s="315" t="s">
        <v>1370</v>
      </c>
      <c r="J3114" s="315" t="str">
        <f t="shared" si="261"/>
        <v>Admin &amp; OtherR&amp;M and Cleaning as % of Total Gross Profit</v>
      </c>
      <c r="K3114" s="315" t="str">
        <f t="shared" si="262"/>
        <v>121Repairs &amp; Maintenance - Toyota</v>
      </c>
      <c r="L3114" s="311">
        <f>+SUMIF('TUNZ Extracted TB'!M:M,$P3114,'TUNZ Extracted TB'!G:G)</f>
        <v>0</v>
      </c>
      <c r="M3114" s="311"/>
      <c r="N3114" s="311">
        <f>+SUMIF('Input Sheet'!$AE:$AE,P3114,'Input Sheet'!$X:$X)</f>
        <v>0</v>
      </c>
      <c r="O3114" s="311"/>
      <c r="P3114" t="str">
        <f t="shared" si="263"/>
        <v>121-7750</v>
      </c>
      <c r="Q3114" s="315" t="str">
        <f t="shared" si="264"/>
        <v>Admin &amp; Other</v>
      </c>
      <c r="R3114" s="315" t="str">
        <f t="shared" si="265"/>
        <v>Admin &amp; OtherR&amp;M and Cleaning as % of Total Gross Profit</v>
      </c>
      <c r="S3114" s="199"/>
      <c r="T3114" s="199"/>
      <c r="U3114" s="199"/>
    </row>
    <row r="3115" spans="1:21" x14ac:dyDescent="0.25">
      <c r="A3115" t="s">
        <v>996</v>
      </c>
      <c r="B3115" t="s">
        <v>997</v>
      </c>
      <c r="C3115" t="s">
        <v>1005</v>
      </c>
      <c r="D3115">
        <v>7750</v>
      </c>
      <c r="E3115">
        <v>260</v>
      </c>
      <c r="F3115" t="s">
        <v>1368</v>
      </c>
      <c r="G3115" t="s">
        <v>1369</v>
      </c>
      <c r="H3115" s="315" t="s">
        <v>1000</v>
      </c>
      <c r="I3115" s="315" t="s">
        <v>1370</v>
      </c>
      <c r="J3115" s="315" t="str">
        <f t="shared" si="261"/>
        <v>Admin &amp; OtherR&amp;M and Cleaning as % of Total Gross Profit</v>
      </c>
      <c r="K3115" s="315" t="str">
        <f t="shared" si="262"/>
        <v>260Repairs &amp; Maintenance - Toyota</v>
      </c>
      <c r="L3115" s="311">
        <f>+SUMIF('TUNZ Extracted TB'!M:M,$P3115,'TUNZ Extracted TB'!G:G)</f>
        <v>0</v>
      </c>
      <c r="M3115" s="311"/>
      <c r="N3115" s="311">
        <f>+SUMIF('Input Sheet'!$AE:$AE,P3115,'Input Sheet'!$X:$X)</f>
        <v>0</v>
      </c>
      <c r="O3115" s="311"/>
      <c r="P3115" t="str">
        <f t="shared" si="263"/>
        <v>260-7750</v>
      </c>
      <c r="Q3115" s="315" t="str">
        <f t="shared" si="264"/>
        <v>Admin &amp; Other</v>
      </c>
      <c r="R3115" s="315" t="str">
        <f t="shared" si="265"/>
        <v>Admin &amp; OtherR&amp;M and Cleaning as % of Total Gross Profit</v>
      </c>
      <c r="S3115" s="199"/>
      <c r="T3115" s="199"/>
      <c r="U3115" s="199"/>
    </row>
    <row r="3116" spans="1:21" x14ac:dyDescent="0.25">
      <c r="A3116" t="s">
        <v>996</v>
      </c>
      <c r="B3116" t="s">
        <v>997</v>
      </c>
      <c r="C3116" t="s">
        <v>1005</v>
      </c>
      <c r="D3116">
        <v>7750</v>
      </c>
      <c r="E3116">
        <v>200</v>
      </c>
      <c r="F3116" t="s">
        <v>1368</v>
      </c>
      <c r="G3116" t="s">
        <v>1369</v>
      </c>
      <c r="H3116" s="315" t="s">
        <v>1000</v>
      </c>
      <c r="I3116" s="315" t="s">
        <v>1370</v>
      </c>
      <c r="J3116" s="315" t="str">
        <f t="shared" si="261"/>
        <v>Admin &amp; OtherR&amp;M and Cleaning as % of Total Gross Profit</v>
      </c>
      <c r="K3116" s="315" t="str">
        <f t="shared" si="262"/>
        <v>200Repairs &amp; Maintenance - Toyota</v>
      </c>
      <c r="L3116" s="311">
        <f>+SUMIF('TUNZ Extracted TB'!M:M,$P3116,'TUNZ Extracted TB'!G:G)</f>
        <v>0</v>
      </c>
      <c r="M3116" s="311"/>
      <c r="N3116" s="311">
        <f>+SUMIF('Input Sheet'!$AE:$AE,P3116,'Input Sheet'!$X:$X)</f>
        <v>0</v>
      </c>
      <c r="O3116" s="311"/>
      <c r="P3116" t="str">
        <f t="shared" si="263"/>
        <v>200-7750</v>
      </c>
      <c r="Q3116" s="315" t="str">
        <f t="shared" si="264"/>
        <v>Admin &amp; Other</v>
      </c>
      <c r="R3116" s="315" t="str">
        <f t="shared" si="265"/>
        <v>Admin &amp; OtherR&amp;M and Cleaning as % of Total Gross Profit</v>
      </c>
      <c r="S3116" s="199"/>
      <c r="T3116" s="199"/>
      <c r="U3116" s="199"/>
    </row>
    <row r="3117" spans="1:21" x14ac:dyDescent="0.25">
      <c r="A3117" t="s">
        <v>996</v>
      </c>
      <c r="B3117" t="s">
        <v>997</v>
      </c>
      <c r="C3117" t="s">
        <v>1005</v>
      </c>
      <c r="D3117">
        <v>7750</v>
      </c>
      <c r="E3117">
        <v>221</v>
      </c>
      <c r="F3117" t="s">
        <v>1368</v>
      </c>
      <c r="G3117" t="s">
        <v>1369</v>
      </c>
      <c r="H3117" s="315" t="s">
        <v>1000</v>
      </c>
      <c r="I3117" s="315" t="s">
        <v>1370</v>
      </c>
      <c r="J3117" s="315" t="str">
        <f t="shared" si="261"/>
        <v>Admin &amp; OtherR&amp;M and Cleaning as % of Total Gross Profit</v>
      </c>
      <c r="K3117" s="315" t="str">
        <f t="shared" si="262"/>
        <v>221Repairs &amp; Maintenance - Toyota</v>
      </c>
      <c r="L3117" s="311">
        <f>+SUMIF('TUNZ Extracted TB'!M:M,$P3117,'TUNZ Extracted TB'!G:G)</f>
        <v>0</v>
      </c>
      <c r="M3117" s="311"/>
      <c r="N3117" s="311">
        <f>+SUMIF('Input Sheet'!$AE:$AE,P3117,'Input Sheet'!$X:$X)</f>
        <v>0</v>
      </c>
      <c r="O3117" s="311"/>
      <c r="P3117" t="str">
        <f t="shared" si="263"/>
        <v>221-7750</v>
      </c>
      <c r="Q3117" s="315" t="str">
        <f t="shared" si="264"/>
        <v>Admin &amp; Other</v>
      </c>
      <c r="R3117" s="315" t="str">
        <f t="shared" si="265"/>
        <v>Admin &amp; OtherR&amp;M and Cleaning as % of Total Gross Profit</v>
      </c>
      <c r="S3117" s="199"/>
      <c r="T3117" s="199"/>
      <c r="U3117" s="199"/>
    </row>
    <row r="3118" spans="1:21" x14ac:dyDescent="0.25">
      <c r="A3118" t="s">
        <v>996</v>
      </c>
      <c r="B3118" t="s">
        <v>997</v>
      </c>
      <c r="C3118" t="s">
        <v>1012</v>
      </c>
      <c r="D3118">
        <v>7750</v>
      </c>
      <c r="E3118">
        <v>400</v>
      </c>
      <c r="F3118" t="s">
        <v>1368</v>
      </c>
      <c r="G3118" t="s">
        <v>1369</v>
      </c>
      <c r="H3118" s="315" t="s">
        <v>1000</v>
      </c>
      <c r="I3118" s="315" t="s">
        <v>1370</v>
      </c>
      <c r="J3118" s="315" t="str">
        <f t="shared" si="261"/>
        <v>Admin &amp; OtherR&amp;M and Cleaning as % of Total Gross Profit</v>
      </c>
      <c r="K3118" s="315" t="str">
        <f t="shared" si="262"/>
        <v>400Repairs &amp; Maintenance - Toyota</v>
      </c>
      <c r="L3118" s="311">
        <f>+SUMIF('TUNZ Extracted TB'!M:M,$P3118,'TUNZ Extracted TB'!G:G)</f>
        <v>0</v>
      </c>
      <c r="M3118" s="311"/>
      <c r="N3118" s="311">
        <f>+SUMIF('Input Sheet'!$AE:$AE,P3118,'Input Sheet'!$X:$X)</f>
        <v>0</v>
      </c>
      <c r="O3118" s="311"/>
      <c r="P3118" t="str">
        <f t="shared" si="263"/>
        <v>400-7750</v>
      </c>
      <c r="Q3118" s="315" t="str">
        <f t="shared" si="264"/>
        <v>Admin &amp; Other</v>
      </c>
      <c r="R3118" s="315" t="str">
        <f t="shared" si="265"/>
        <v>Admin &amp; OtherR&amp;M and Cleaning as % of Total Gross Profit</v>
      </c>
      <c r="S3118" s="199"/>
      <c r="T3118" s="199"/>
      <c r="U3118" s="199"/>
    </row>
    <row r="3119" spans="1:21" x14ac:dyDescent="0.25">
      <c r="A3119" t="s">
        <v>996</v>
      </c>
      <c r="B3119" t="s">
        <v>997</v>
      </c>
      <c r="C3119" t="s">
        <v>1012</v>
      </c>
      <c r="D3119">
        <v>7750</v>
      </c>
      <c r="E3119">
        <v>410</v>
      </c>
      <c r="F3119" t="s">
        <v>1368</v>
      </c>
      <c r="G3119" t="s">
        <v>1369</v>
      </c>
      <c r="H3119" s="315" t="s">
        <v>1000</v>
      </c>
      <c r="I3119" s="315" t="s">
        <v>1370</v>
      </c>
      <c r="J3119" s="315" t="str">
        <f t="shared" si="261"/>
        <v>Admin &amp; OtherR&amp;M and Cleaning as % of Total Gross Profit</v>
      </c>
      <c r="K3119" s="315" t="str">
        <f t="shared" si="262"/>
        <v>410Repairs &amp; Maintenance - Toyota</v>
      </c>
      <c r="L3119" s="311">
        <f>+SUMIF('TUNZ Extracted TB'!M:M,$P3119,'TUNZ Extracted TB'!G:G)</f>
        <v>0</v>
      </c>
      <c r="M3119" s="311"/>
      <c r="N3119" s="311">
        <f>+SUMIF('Input Sheet'!$AE:$AE,P3119,'Input Sheet'!$X:$X)</f>
        <v>0</v>
      </c>
      <c r="O3119" s="311"/>
      <c r="P3119" t="str">
        <f t="shared" si="263"/>
        <v>410-7750</v>
      </c>
      <c r="Q3119" s="315" t="str">
        <f t="shared" si="264"/>
        <v>Admin &amp; Other</v>
      </c>
      <c r="R3119" s="315" t="str">
        <f t="shared" si="265"/>
        <v>Admin &amp; OtherR&amp;M and Cleaning as % of Total Gross Profit</v>
      </c>
      <c r="S3119" s="199"/>
      <c r="T3119" s="199"/>
      <c r="U3119" s="199"/>
    </row>
    <row r="3120" spans="1:21" x14ac:dyDescent="0.25">
      <c r="A3120" t="s">
        <v>996</v>
      </c>
      <c r="B3120" t="s">
        <v>997</v>
      </c>
      <c r="C3120" t="s">
        <v>1012</v>
      </c>
      <c r="D3120">
        <v>7750</v>
      </c>
      <c r="E3120">
        <v>420</v>
      </c>
      <c r="F3120" t="s">
        <v>1368</v>
      </c>
      <c r="G3120" t="s">
        <v>1369</v>
      </c>
      <c r="H3120" s="315" t="s">
        <v>1000</v>
      </c>
      <c r="I3120" s="315" t="s">
        <v>1370</v>
      </c>
      <c r="J3120" s="315" t="str">
        <f t="shared" si="261"/>
        <v>Admin &amp; OtherR&amp;M and Cleaning as % of Total Gross Profit</v>
      </c>
      <c r="K3120" s="315" t="str">
        <f t="shared" si="262"/>
        <v>420Repairs &amp; Maintenance - Toyota</v>
      </c>
      <c r="L3120" s="311">
        <f>+SUMIF('TUNZ Extracted TB'!M:M,$P3120,'TUNZ Extracted TB'!G:G)</f>
        <v>0</v>
      </c>
      <c r="M3120" s="311"/>
      <c r="N3120" s="311">
        <f>+SUMIF('Input Sheet'!$AE:$AE,P3120,'Input Sheet'!$X:$X)</f>
        <v>0</v>
      </c>
      <c r="O3120" s="311"/>
      <c r="P3120" t="str">
        <f t="shared" si="263"/>
        <v>420-7750</v>
      </c>
      <c r="Q3120" s="315" t="str">
        <f t="shared" si="264"/>
        <v>Admin &amp; Other</v>
      </c>
      <c r="R3120" s="315" t="str">
        <f t="shared" si="265"/>
        <v>Admin &amp; OtherR&amp;M and Cleaning as % of Total Gross Profit</v>
      </c>
      <c r="S3120" s="199"/>
      <c r="T3120" s="199"/>
      <c r="U3120" s="199"/>
    </row>
    <row r="3121" spans="1:21" x14ac:dyDescent="0.25">
      <c r="A3121" t="s">
        <v>996</v>
      </c>
      <c r="B3121" t="s">
        <v>997</v>
      </c>
      <c r="C3121" t="s">
        <v>1012</v>
      </c>
      <c r="D3121">
        <v>7750</v>
      </c>
      <c r="E3121">
        <v>421</v>
      </c>
      <c r="F3121" t="s">
        <v>1368</v>
      </c>
      <c r="G3121" t="s">
        <v>1369</v>
      </c>
      <c r="H3121" s="315" t="s">
        <v>1000</v>
      </c>
      <c r="I3121" s="315" t="s">
        <v>1370</v>
      </c>
      <c r="J3121" s="315" t="str">
        <f t="shared" si="261"/>
        <v>Admin &amp; OtherR&amp;M and Cleaning as % of Total Gross Profit</v>
      </c>
      <c r="K3121" s="315" t="str">
        <f t="shared" si="262"/>
        <v>421Repairs &amp; Maintenance - Toyota</v>
      </c>
      <c r="L3121" s="311">
        <f>+SUMIF('TUNZ Extracted TB'!M:M,$P3121,'TUNZ Extracted TB'!G:G)</f>
        <v>0</v>
      </c>
      <c r="M3121" s="311"/>
      <c r="N3121" s="311">
        <f>+SUMIF('Input Sheet'!$AE:$AE,P3121,'Input Sheet'!$X:$X)</f>
        <v>0</v>
      </c>
      <c r="O3121" s="311"/>
      <c r="P3121" t="str">
        <f t="shared" si="263"/>
        <v>421-7750</v>
      </c>
      <c r="Q3121" s="315" t="str">
        <f t="shared" si="264"/>
        <v>Admin &amp; Other</v>
      </c>
      <c r="R3121" s="315" t="str">
        <f t="shared" si="265"/>
        <v>Admin &amp; OtherR&amp;M and Cleaning as % of Total Gross Profit</v>
      </c>
      <c r="S3121" s="199"/>
      <c r="T3121" s="199"/>
      <c r="U3121" s="199"/>
    </row>
    <row r="3122" spans="1:21" x14ac:dyDescent="0.25">
      <c r="A3122" t="s">
        <v>996</v>
      </c>
      <c r="B3122" t="s">
        <v>997</v>
      </c>
      <c r="C3122" t="s">
        <v>1012</v>
      </c>
      <c r="D3122">
        <v>7750</v>
      </c>
      <c r="E3122">
        <v>460</v>
      </c>
      <c r="F3122" t="s">
        <v>1368</v>
      </c>
      <c r="G3122" t="s">
        <v>1369</v>
      </c>
      <c r="H3122" s="315" t="s">
        <v>1000</v>
      </c>
      <c r="I3122" s="315" t="s">
        <v>1370</v>
      </c>
      <c r="J3122" s="315" t="str">
        <f t="shared" si="261"/>
        <v>Admin &amp; OtherR&amp;M and Cleaning as % of Total Gross Profit</v>
      </c>
      <c r="K3122" s="315" t="str">
        <f t="shared" si="262"/>
        <v>460Repairs &amp; Maintenance - Toyota</v>
      </c>
      <c r="L3122" s="311">
        <f>+SUMIF('TUNZ Extracted TB'!M:M,$P3122,'TUNZ Extracted TB'!G:G)</f>
        <v>0</v>
      </c>
      <c r="M3122" s="311"/>
      <c r="N3122" s="311">
        <f>+SUMIF('Input Sheet'!$AE:$AE,P3122,'Input Sheet'!$X:$X)</f>
        <v>0</v>
      </c>
      <c r="O3122" s="311"/>
      <c r="P3122" t="str">
        <f t="shared" si="263"/>
        <v>460-7750</v>
      </c>
      <c r="Q3122" s="315" t="str">
        <f t="shared" si="264"/>
        <v>Admin &amp; Other</v>
      </c>
      <c r="R3122" s="315" t="str">
        <f t="shared" si="265"/>
        <v>Admin &amp; OtherR&amp;M and Cleaning as % of Total Gross Profit</v>
      </c>
      <c r="S3122" s="199"/>
      <c r="T3122" s="199"/>
      <c r="U3122" s="199"/>
    </row>
    <row r="3123" spans="1:21" x14ac:dyDescent="0.25">
      <c r="A3123" t="s">
        <v>996</v>
      </c>
      <c r="B3123" t="s">
        <v>997</v>
      </c>
      <c r="C3123" t="s">
        <v>1013</v>
      </c>
      <c r="D3123">
        <v>7750</v>
      </c>
      <c r="E3123">
        <v>300</v>
      </c>
      <c r="F3123" t="s">
        <v>1368</v>
      </c>
      <c r="G3123" t="s">
        <v>1369</v>
      </c>
      <c r="H3123" s="315" t="s">
        <v>1000</v>
      </c>
      <c r="I3123" s="315" t="s">
        <v>1370</v>
      </c>
      <c r="J3123" s="315" t="str">
        <f t="shared" si="261"/>
        <v>Admin &amp; OtherR&amp;M and Cleaning as % of Total Gross Profit</v>
      </c>
      <c r="K3123" s="315" t="str">
        <f t="shared" si="262"/>
        <v>300Repairs &amp; Maintenance - Toyota</v>
      </c>
      <c r="L3123" s="311">
        <f>+SUMIF('TUNZ Extracted TB'!M:M,$P3123,'TUNZ Extracted TB'!G:G)</f>
        <v>0</v>
      </c>
      <c r="M3123" s="311"/>
      <c r="N3123" s="311">
        <f>+SUMIF('Input Sheet'!$AE:$AE,P3123,'Input Sheet'!$X:$X)</f>
        <v>0</v>
      </c>
      <c r="O3123" s="311"/>
      <c r="P3123" t="str">
        <f t="shared" si="263"/>
        <v>300-7750</v>
      </c>
      <c r="Q3123" s="315" t="str">
        <f t="shared" si="264"/>
        <v>Admin &amp; Other</v>
      </c>
      <c r="R3123" s="315" t="str">
        <f t="shared" si="265"/>
        <v>Admin &amp; OtherR&amp;M and Cleaning as % of Total Gross Profit</v>
      </c>
      <c r="S3123" s="199"/>
      <c r="T3123" s="199"/>
      <c r="U3123" s="199"/>
    </row>
    <row r="3124" spans="1:21" x14ac:dyDescent="0.25">
      <c r="A3124" t="s">
        <v>996</v>
      </c>
      <c r="B3124" t="s">
        <v>997</v>
      </c>
      <c r="C3124" t="s">
        <v>1013</v>
      </c>
      <c r="D3124">
        <v>7750</v>
      </c>
      <c r="E3124">
        <v>310</v>
      </c>
      <c r="F3124" t="s">
        <v>1368</v>
      </c>
      <c r="G3124" t="s">
        <v>1369</v>
      </c>
      <c r="H3124" s="315" t="s">
        <v>1000</v>
      </c>
      <c r="I3124" s="315" t="s">
        <v>1370</v>
      </c>
      <c r="J3124" s="315" t="str">
        <f t="shared" si="261"/>
        <v>Admin &amp; OtherR&amp;M and Cleaning as % of Total Gross Profit</v>
      </c>
      <c r="K3124" s="315" t="str">
        <f t="shared" si="262"/>
        <v>310Repairs &amp; Maintenance - Toyota</v>
      </c>
      <c r="L3124" s="311">
        <f>+SUMIF('TUNZ Extracted TB'!M:M,$P3124,'TUNZ Extracted TB'!G:G)</f>
        <v>0</v>
      </c>
      <c r="M3124" s="311"/>
      <c r="N3124" s="311">
        <f>+SUMIF('Input Sheet'!$AE:$AE,P3124,'Input Sheet'!$X:$X)</f>
        <v>0</v>
      </c>
      <c r="O3124" s="311"/>
      <c r="P3124" t="str">
        <f t="shared" si="263"/>
        <v>310-7750</v>
      </c>
      <c r="Q3124" s="315" t="str">
        <f t="shared" si="264"/>
        <v>Admin &amp; Other</v>
      </c>
      <c r="R3124" s="315" t="str">
        <f t="shared" si="265"/>
        <v>Admin &amp; OtherR&amp;M and Cleaning as % of Total Gross Profit</v>
      </c>
      <c r="S3124" s="199"/>
      <c r="T3124" s="199"/>
      <c r="U3124" s="199"/>
    </row>
    <row r="3125" spans="1:21" x14ac:dyDescent="0.25">
      <c r="A3125" t="s">
        <v>996</v>
      </c>
      <c r="B3125" t="s">
        <v>997</v>
      </c>
      <c r="C3125" t="s">
        <v>1013</v>
      </c>
      <c r="D3125">
        <v>7750</v>
      </c>
      <c r="E3125">
        <v>321</v>
      </c>
      <c r="F3125" t="s">
        <v>1368</v>
      </c>
      <c r="G3125" t="s">
        <v>1369</v>
      </c>
      <c r="H3125" s="315" t="s">
        <v>1000</v>
      </c>
      <c r="I3125" s="315" t="s">
        <v>1370</v>
      </c>
      <c r="J3125" s="315" t="str">
        <f t="shared" si="261"/>
        <v>Admin &amp; OtherR&amp;M and Cleaning as % of Total Gross Profit</v>
      </c>
      <c r="K3125" s="315" t="str">
        <f t="shared" si="262"/>
        <v>321Repairs &amp; Maintenance - Toyota</v>
      </c>
      <c r="L3125" s="311">
        <f>+SUMIF('TUNZ Extracted TB'!M:M,$P3125,'TUNZ Extracted TB'!G:G)</f>
        <v>0</v>
      </c>
      <c r="M3125" s="311"/>
      <c r="N3125" s="311">
        <f>+SUMIF('Input Sheet'!$AE:$AE,P3125,'Input Sheet'!$X:$X)</f>
        <v>0</v>
      </c>
      <c r="O3125" s="311"/>
      <c r="P3125" t="str">
        <f t="shared" si="263"/>
        <v>321-7750</v>
      </c>
      <c r="Q3125" s="315" t="str">
        <f t="shared" si="264"/>
        <v>Admin &amp; Other</v>
      </c>
      <c r="R3125" s="315" t="str">
        <f t="shared" si="265"/>
        <v>Admin &amp; OtherR&amp;M and Cleaning as % of Total Gross Profit</v>
      </c>
      <c r="S3125" s="199"/>
      <c r="T3125" s="199"/>
      <c r="U3125" s="199"/>
    </row>
    <row r="3126" spans="1:21" x14ac:dyDescent="0.25">
      <c r="A3126" t="s">
        <v>996</v>
      </c>
      <c r="B3126" t="s">
        <v>997</v>
      </c>
      <c r="C3126" t="s">
        <v>1013</v>
      </c>
      <c r="D3126">
        <v>7750</v>
      </c>
      <c r="E3126">
        <v>360</v>
      </c>
      <c r="F3126" t="s">
        <v>1368</v>
      </c>
      <c r="G3126" t="s">
        <v>1369</v>
      </c>
      <c r="H3126" s="315" t="s">
        <v>1000</v>
      </c>
      <c r="I3126" s="315" t="s">
        <v>1370</v>
      </c>
      <c r="J3126" s="315" t="str">
        <f t="shared" si="261"/>
        <v>Admin &amp; OtherR&amp;M and Cleaning as % of Total Gross Profit</v>
      </c>
      <c r="K3126" s="315" t="str">
        <f t="shared" si="262"/>
        <v>360Repairs &amp; Maintenance - Toyota</v>
      </c>
      <c r="L3126" s="311">
        <f>+SUMIF('TUNZ Extracted TB'!M:M,$P3126,'TUNZ Extracted TB'!G:G)</f>
        <v>0</v>
      </c>
      <c r="M3126" s="311"/>
      <c r="N3126" s="311">
        <f>+SUMIF('Input Sheet'!$AE:$AE,P3126,'Input Sheet'!$X:$X)</f>
        <v>0</v>
      </c>
      <c r="O3126" s="311"/>
      <c r="P3126" t="str">
        <f t="shared" si="263"/>
        <v>360-7750</v>
      </c>
      <c r="Q3126" s="315" t="str">
        <f t="shared" si="264"/>
        <v>Admin &amp; Other</v>
      </c>
      <c r="R3126" s="315" t="str">
        <f t="shared" si="265"/>
        <v>Admin &amp; OtherR&amp;M and Cleaning as % of Total Gross Profit</v>
      </c>
      <c r="S3126" s="199"/>
      <c r="T3126" s="199"/>
      <c r="U3126" s="199"/>
    </row>
    <row r="3127" spans="1:21" x14ac:dyDescent="0.25">
      <c r="A3127" t="s">
        <v>996</v>
      </c>
      <c r="B3127" t="s">
        <v>997</v>
      </c>
      <c r="C3127" t="s">
        <v>997</v>
      </c>
      <c r="D3127">
        <v>7750</v>
      </c>
      <c r="E3127">
        <v>147</v>
      </c>
      <c r="F3127" t="s">
        <v>1368</v>
      </c>
      <c r="G3127" t="s">
        <v>1369</v>
      </c>
      <c r="H3127" s="315" t="s">
        <v>1000</v>
      </c>
      <c r="I3127" s="315" t="s">
        <v>1370</v>
      </c>
      <c r="J3127" s="315" t="str">
        <f t="shared" si="261"/>
        <v>Admin &amp; OtherR&amp;M and Cleaning as % of Total Gross Profit</v>
      </c>
      <c r="K3127" s="315" t="str">
        <f t="shared" si="262"/>
        <v>147Repairs &amp; Maintenance - Toyota</v>
      </c>
      <c r="L3127" s="311">
        <f>+SUMIF('TUNZ Extracted TB'!M:M,$P3127,'TUNZ Extracted TB'!G:G)</f>
        <v>0</v>
      </c>
      <c r="M3127" s="311"/>
      <c r="N3127" s="311">
        <f>+SUMIF('Input Sheet'!$AE:$AE,P3127,'Input Sheet'!$X:$X)</f>
        <v>0</v>
      </c>
      <c r="O3127" s="311"/>
      <c r="P3127" t="str">
        <f t="shared" si="263"/>
        <v>147-7750</v>
      </c>
      <c r="Q3127" s="315" t="str">
        <f t="shared" si="264"/>
        <v>Admin &amp; Other</v>
      </c>
      <c r="R3127" s="315" t="str">
        <f t="shared" si="265"/>
        <v>Admin &amp; OtherR&amp;M and Cleaning as % of Total Gross Profit</v>
      </c>
      <c r="S3127" s="199"/>
      <c r="T3127" s="199"/>
      <c r="U3127" s="199"/>
    </row>
    <row r="3128" spans="1:21" x14ac:dyDescent="0.25">
      <c r="A3128" t="s">
        <v>996</v>
      </c>
      <c r="B3128" t="s">
        <v>997</v>
      </c>
      <c r="C3128" t="s">
        <v>997</v>
      </c>
      <c r="D3128">
        <v>7750</v>
      </c>
      <c r="E3128">
        <v>140</v>
      </c>
      <c r="F3128" t="s">
        <v>1368</v>
      </c>
      <c r="G3128" t="s">
        <v>1369</v>
      </c>
      <c r="H3128" s="315" t="s">
        <v>1000</v>
      </c>
      <c r="I3128" s="315" t="s">
        <v>1370</v>
      </c>
      <c r="J3128" s="315" t="str">
        <f t="shared" si="261"/>
        <v>Admin &amp; OtherR&amp;M and Cleaning as % of Total Gross Profit</v>
      </c>
      <c r="K3128" s="315" t="str">
        <f t="shared" si="262"/>
        <v>140Repairs &amp; Maintenance - Toyota</v>
      </c>
      <c r="L3128" s="311">
        <f>+SUMIF('TUNZ Extracted TB'!M:M,$P3128,'TUNZ Extracted TB'!G:G)</f>
        <v>5668.18</v>
      </c>
      <c r="M3128" s="311"/>
      <c r="N3128" s="311">
        <f>+SUMIF('Input Sheet'!$AE:$AE,P3128,'Input Sheet'!$X:$X)</f>
        <v>0</v>
      </c>
      <c r="O3128" s="311"/>
      <c r="P3128" t="str">
        <f t="shared" si="263"/>
        <v>140-7750</v>
      </c>
      <c r="Q3128" s="315" t="str">
        <f t="shared" si="264"/>
        <v>Admin &amp; Other</v>
      </c>
      <c r="R3128" s="315" t="str">
        <f t="shared" si="265"/>
        <v>Admin &amp; OtherR&amp;M and Cleaning as % of Total Gross Profit</v>
      </c>
      <c r="S3128" s="199"/>
      <c r="T3128" s="199"/>
      <c r="U3128" s="199"/>
    </row>
    <row r="3129" spans="1:21" x14ac:dyDescent="0.25">
      <c r="A3129" t="s">
        <v>996</v>
      </c>
      <c r="B3129" t="s">
        <v>997</v>
      </c>
      <c r="C3129" t="s">
        <v>997</v>
      </c>
      <c r="D3129">
        <v>7750</v>
      </c>
      <c r="E3129">
        <v>142</v>
      </c>
      <c r="F3129" t="s">
        <v>1430</v>
      </c>
      <c r="G3129" t="s">
        <v>1431</v>
      </c>
      <c r="H3129" s="315" t="s">
        <v>1023</v>
      </c>
      <c r="I3129" s="315" t="s">
        <v>1370</v>
      </c>
      <c r="J3129" s="315" t="str">
        <f t="shared" si="261"/>
        <v>LEX Admin &amp; OtherR&amp;M and Cleaning as % of Total Gross Profit</v>
      </c>
      <c r="K3129" s="315" t="str">
        <f t="shared" si="262"/>
        <v>142Repairs &amp; Maintenance - Lexus</v>
      </c>
      <c r="L3129" s="311">
        <f>+SUMIF('TUNZ Extracted TB'!M:M,$P3129,'TUNZ Extracted TB'!G:G)</f>
        <v>0</v>
      </c>
      <c r="M3129" s="311"/>
      <c r="N3129" s="311">
        <f>+SUMIF('Input Sheet'!$AE:$AE,P3129,'Input Sheet'!$X:$X)</f>
        <v>0</v>
      </c>
      <c r="O3129" s="311"/>
      <c r="P3129" t="str">
        <f t="shared" si="263"/>
        <v>142-7750</v>
      </c>
      <c r="Q3129" s="315" t="str">
        <f t="shared" si="264"/>
        <v>LEX Admin &amp; Other</v>
      </c>
      <c r="R3129" s="315" t="str">
        <f t="shared" si="265"/>
        <v>LEX Admin &amp; OtherR&amp;M and Cleaning as % of Total Gross Profit</v>
      </c>
      <c r="S3129" s="199"/>
      <c r="T3129" s="199"/>
      <c r="U3129" s="199"/>
    </row>
    <row r="3130" spans="1:21" x14ac:dyDescent="0.25">
      <c r="A3130" t="s">
        <v>996</v>
      </c>
      <c r="B3130" t="s">
        <v>997</v>
      </c>
      <c r="C3130" t="s">
        <v>997</v>
      </c>
      <c r="D3130">
        <v>7750</v>
      </c>
      <c r="E3130">
        <v>130</v>
      </c>
      <c r="F3130" t="s">
        <v>1368</v>
      </c>
      <c r="G3130" t="s">
        <v>1369</v>
      </c>
      <c r="H3130" s="315" t="s">
        <v>1000</v>
      </c>
      <c r="I3130" s="315" t="s">
        <v>1370</v>
      </c>
      <c r="J3130" s="315" t="str">
        <f t="shared" si="261"/>
        <v>Admin &amp; OtherR&amp;M and Cleaning as % of Total Gross Profit</v>
      </c>
      <c r="K3130" s="315" t="str">
        <f t="shared" si="262"/>
        <v>130Repairs &amp; Maintenance - Toyota</v>
      </c>
      <c r="L3130" s="311">
        <f>+SUMIF('TUNZ Extracted TB'!M:M,$P3130,'TUNZ Extracted TB'!G:G)</f>
        <v>51</v>
      </c>
      <c r="M3130" s="311"/>
      <c r="N3130" s="311">
        <f>+SUMIF('Input Sheet'!$AE:$AE,P3130,'Input Sheet'!$X:$X)</f>
        <v>0</v>
      </c>
      <c r="O3130" s="311"/>
      <c r="P3130" t="str">
        <f t="shared" si="263"/>
        <v>130-7750</v>
      </c>
      <c r="Q3130" s="315" t="str">
        <f t="shared" si="264"/>
        <v>Admin &amp; Other</v>
      </c>
      <c r="R3130" s="315" t="str">
        <f t="shared" si="265"/>
        <v>Admin &amp; OtherR&amp;M and Cleaning as % of Total Gross Profit</v>
      </c>
      <c r="S3130" s="199"/>
      <c r="T3130" s="199"/>
      <c r="U3130" s="199"/>
    </row>
    <row r="3131" spans="1:21" x14ac:dyDescent="0.25">
      <c r="A3131" t="s">
        <v>996</v>
      </c>
      <c r="B3131" t="s">
        <v>997</v>
      </c>
      <c r="C3131" t="s">
        <v>997</v>
      </c>
      <c r="D3131">
        <v>7750</v>
      </c>
      <c r="E3131">
        <v>132</v>
      </c>
      <c r="F3131" t="s">
        <v>1430</v>
      </c>
      <c r="G3131" t="s">
        <v>1431</v>
      </c>
      <c r="H3131" s="315" t="s">
        <v>1023</v>
      </c>
      <c r="I3131" s="315" t="s">
        <v>1370</v>
      </c>
      <c r="J3131" s="315" t="str">
        <f t="shared" si="261"/>
        <v>LEX Admin &amp; OtherR&amp;M and Cleaning as % of Total Gross Profit</v>
      </c>
      <c r="K3131" s="315" t="str">
        <f t="shared" si="262"/>
        <v>132Repairs &amp; Maintenance - Lexus</v>
      </c>
      <c r="L3131" s="311">
        <f>+SUMIF('TUNZ Extracted TB'!M:M,$P3131,'TUNZ Extracted TB'!G:G)</f>
        <v>0</v>
      </c>
      <c r="M3131" s="311"/>
      <c r="N3131" s="311">
        <f>+SUMIF('Input Sheet'!$AE:$AE,P3131,'Input Sheet'!$X:$X)</f>
        <v>0</v>
      </c>
      <c r="O3131" s="311"/>
      <c r="P3131" t="str">
        <f t="shared" si="263"/>
        <v>132-7750</v>
      </c>
      <c r="Q3131" s="315" t="str">
        <f t="shared" si="264"/>
        <v>LEX Admin &amp; Other</v>
      </c>
      <c r="R3131" s="315" t="str">
        <f t="shared" si="265"/>
        <v>LEX Admin &amp; OtherR&amp;M and Cleaning as % of Total Gross Profit</v>
      </c>
      <c r="S3131" s="199"/>
      <c r="T3131" s="199"/>
      <c r="U3131" s="199"/>
    </row>
    <row r="3132" spans="1:21" x14ac:dyDescent="0.25">
      <c r="A3132" t="s">
        <v>996</v>
      </c>
      <c r="B3132" t="s">
        <v>997</v>
      </c>
      <c r="C3132" t="s">
        <v>997</v>
      </c>
      <c r="D3132">
        <v>7750</v>
      </c>
      <c r="E3132">
        <v>110</v>
      </c>
      <c r="F3132" t="s">
        <v>1368</v>
      </c>
      <c r="G3132" t="s">
        <v>1369</v>
      </c>
      <c r="H3132" s="315" t="s">
        <v>1000</v>
      </c>
      <c r="I3132" s="315" t="s">
        <v>1370</v>
      </c>
      <c r="J3132" s="315" t="str">
        <f t="shared" si="261"/>
        <v>Admin &amp; OtherR&amp;M and Cleaning as % of Total Gross Profit</v>
      </c>
      <c r="K3132" s="315" t="str">
        <f t="shared" si="262"/>
        <v>110Repairs &amp; Maintenance - Toyota</v>
      </c>
      <c r="L3132" s="311">
        <f>+SUMIF('TUNZ Extracted TB'!M:M,$P3132,'TUNZ Extracted TB'!G:G)</f>
        <v>463.95</v>
      </c>
      <c r="M3132" s="311"/>
      <c r="N3132" s="311">
        <f>+SUMIF('Input Sheet'!$AE:$AE,P3132,'Input Sheet'!$X:$X)</f>
        <v>0</v>
      </c>
      <c r="O3132" s="311"/>
      <c r="P3132" t="str">
        <f t="shared" si="263"/>
        <v>110-7750</v>
      </c>
      <c r="Q3132" s="315" t="str">
        <f t="shared" si="264"/>
        <v>Admin &amp; Other</v>
      </c>
      <c r="R3132" s="315" t="str">
        <f t="shared" si="265"/>
        <v>Admin &amp; OtherR&amp;M and Cleaning as % of Total Gross Profit</v>
      </c>
      <c r="S3132" s="199"/>
      <c r="T3132" s="199"/>
      <c r="U3132" s="199"/>
    </row>
    <row r="3133" spans="1:21" x14ac:dyDescent="0.25">
      <c r="A3133" t="s">
        <v>996</v>
      </c>
      <c r="B3133" t="s">
        <v>997</v>
      </c>
      <c r="C3133" t="s">
        <v>997</v>
      </c>
      <c r="D3133">
        <v>7750</v>
      </c>
      <c r="E3133">
        <v>112</v>
      </c>
      <c r="F3133" t="s">
        <v>1430</v>
      </c>
      <c r="G3133" t="s">
        <v>1431</v>
      </c>
      <c r="H3133" s="315" t="s">
        <v>1023</v>
      </c>
      <c r="I3133" s="315" t="s">
        <v>1370</v>
      </c>
      <c r="J3133" s="315" t="str">
        <f t="shared" si="261"/>
        <v>LEX Admin &amp; OtherR&amp;M and Cleaning as % of Total Gross Profit</v>
      </c>
      <c r="K3133" s="315" t="str">
        <f t="shared" si="262"/>
        <v>112Repairs &amp; Maintenance - Lexus</v>
      </c>
      <c r="L3133" s="311">
        <f>+SUMIF('TUNZ Extracted TB'!M:M,$P3133,'TUNZ Extracted TB'!G:G)</f>
        <v>910</v>
      </c>
      <c r="M3133" s="311"/>
      <c r="N3133" s="311">
        <f>+SUMIF('Input Sheet'!$AE:$AE,P3133,'Input Sheet'!$X:$X)</f>
        <v>0</v>
      </c>
      <c r="O3133" s="311"/>
      <c r="P3133" t="str">
        <f t="shared" si="263"/>
        <v>112-7750</v>
      </c>
      <c r="Q3133" s="315" t="str">
        <f t="shared" si="264"/>
        <v>LEX Admin &amp; Other</v>
      </c>
      <c r="R3133" s="315" t="str">
        <f t="shared" si="265"/>
        <v>LEX Admin &amp; OtherR&amp;M and Cleaning as % of Total Gross Profit</v>
      </c>
      <c r="S3133" s="199"/>
      <c r="T3133" s="199"/>
      <c r="U3133" s="199"/>
    </row>
    <row r="3134" spans="1:21" x14ac:dyDescent="0.25">
      <c r="A3134" t="s">
        <v>996</v>
      </c>
      <c r="B3134" t="s">
        <v>997</v>
      </c>
      <c r="C3134" t="s">
        <v>997</v>
      </c>
      <c r="D3134">
        <v>7750</v>
      </c>
      <c r="E3134">
        <v>100</v>
      </c>
      <c r="F3134" t="s">
        <v>1368</v>
      </c>
      <c r="G3134" t="s">
        <v>1369</v>
      </c>
      <c r="H3134" s="315" t="s">
        <v>1000</v>
      </c>
      <c r="I3134" s="315" t="s">
        <v>1370</v>
      </c>
      <c r="J3134" s="315" t="str">
        <f t="shared" si="261"/>
        <v>Admin &amp; OtherR&amp;M and Cleaning as % of Total Gross Profit</v>
      </c>
      <c r="K3134" s="315" t="str">
        <f t="shared" si="262"/>
        <v>100Repairs &amp; Maintenance - Toyota</v>
      </c>
      <c r="L3134" s="311">
        <f>+SUMIF('TUNZ Extracted TB'!M:M,$P3134,'TUNZ Extracted TB'!G:G)</f>
        <v>0</v>
      </c>
      <c r="M3134" s="311"/>
      <c r="N3134" s="311">
        <f>+SUMIF('Input Sheet'!$AE:$AE,P3134,'Input Sheet'!$X:$X)</f>
        <v>0</v>
      </c>
      <c r="O3134" s="311"/>
      <c r="P3134" t="str">
        <f t="shared" si="263"/>
        <v>100-7750</v>
      </c>
      <c r="Q3134" s="315" t="str">
        <f t="shared" si="264"/>
        <v>Admin &amp; Other</v>
      </c>
      <c r="R3134" s="315" t="str">
        <f t="shared" si="265"/>
        <v>Admin &amp; OtherR&amp;M and Cleaning as % of Total Gross Profit</v>
      </c>
      <c r="S3134" s="199"/>
      <c r="T3134" s="199"/>
      <c r="U3134" s="199"/>
    </row>
    <row r="3135" spans="1:21" x14ac:dyDescent="0.25">
      <c r="A3135" t="s">
        <v>996</v>
      </c>
      <c r="B3135" t="s">
        <v>997</v>
      </c>
      <c r="C3135" t="s">
        <v>1005</v>
      </c>
      <c r="D3135">
        <v>7755</v>
      </c>
      <c r="E3135">
        <v>221</v>
      </c>
      <c r="F3135" t="s">
        <v>1393</v>
      </c>
      <c r="G3135" t="s">
        <v>1394</v>
      </c>
      <c r="H3135" s="315" t="s">
        <v>1000</v>
      </c>
      <c r="I3135" s="315" t="s">
        <v>1001</v>
      </c>
      <c r="J3135" s="315" t="str">
        <f t="shared" si="261"/>
        <v>Admin &amp; OtherOther Overheads as % of Total Gross Profit</v>
      </c>
      <c r="K3135" s="315" t="str">
        <f t="shared" si="262"/>
        <v>221Environmental &amp; Health &amp; Safety expenses - Toyota</v>
      </c>
      <c r="L3135" s="311">
        <f>+SUMIF('TUNZ Extracted TB'!M:M,$P3135,'TUNZ Extracted TB'!G:G)</f>
        <v>0</v>
      </c>
      <c r="M3135" s="311"/>
      <c r="N3135" s="311">
        <f>+SUMIF('Input Sheet'!$AE:$AE,P3135,'Input Sheet'!$X:$X)</f>
        <v>0</v>
      </c>
      <c r="O3135" s="311"/>
      <c r="P3135" t="str">
        <f t="shared" si="263"/>
        <v>221-7755</v>
      </c>
      <c r="Q3135" s="315" t="str">
        <f t="shared" si="264"/>
        <v>Admin &amp; Other</v>
      </c>
      <c r="R3135" s="315" t="str">
        <f t="shared" si="265"/>
        <v>Admin &amp; OtherOther Overheads as % of Total Gross Profit</v>
      </c>
      <c r="S3135" s="199"/>
      <c r="T3135" s="199"/>
      <c r="U3135" s="199"/>
    </row>
    <row r="3136" spans="1:21" x14ac:dyDescent="0.25">
      <c r="A3136" t="s">
        <v>996</v>
      </c>
      <c r="B3136" t="s">
        <v>997</v>
      </c>
      <c r="C3136" t="s">
        <v>1005</v>
      </c>
      <c r="D3136">
        <v>7755</v>
      </c>
      <c r="E3136">
        <v>240</v>
      </c>
      <c r="F3136" t="s">
        <v>1393</v>
      </c>
      <c r="G3136" t="s">
        <v>1394</v>
      </c>
      <c r="H3136" s="315" t="s">
        <v>1000</v>
      </c>
      <c r="I3136" s="315" t="s">
        <v>1001</v>
      </c>
      <c r="J3136" s="315" t="str">
        <f t="shared" si="261"/>
        <v>Admin &amp; OtherOther Overheads as % of Total Gross Profit</v>
      </c>
      <c r="K3136" s="315" t="str">
        <f t="shared" si="262"/>
        <v>240Environmental &amp; Health &amp; Safety expenses - Toyota</v>
      </c>
      <c r="L3136" s="311">
        <f>+SUMIF('TUNZ Extracted TB'!M:M,$P3136,'TUNZ Extracted TB'!G:G)</f>
        <v>0</v>
      </c>
      <c r="M3136" s="311"/>
      <c r="N3136" s="311">
        <f>+SUMIF('Input Sheet'!$AE:$AE,P3136,'Input Sheet'!$X:$X)</f>
        <v>0</v>
      </c>
      <c r="O3136" s="311"/>
      <c r="P3136" t="str">
        <f t="shared" si="263"/>
        <v>240-7755</v>
      </c>
      <c r="Q3136" s="315" t="str">
        <f t="shared" si="264"/>
        <v>Admin &amp; Other</v>
      </c>
      <c r="R3136" s="315" t="str">
        <f t="shared" si="265"/>
        <v>Admin &amp; OtherOther Overheads as % of Total Gross Profit</v>
      </c>
      <c r="S3136" s="199"/>
      <c r="T3136" s="199"/>
      <c r="U3136" s="199"/>
    </row>
    <row r="3137" spans="1:21" x14ac:dyDescent="0.25">
      <c r="A3137" t="s">
        <v>996</v>
      </c>
      <c r="B3137" t="s">
        <v>997</v>
      </c>
      <c r="C3137" t="s">
        <v>1012</v>
      </c>
      <c r="D3137">
        <v>7755</v>
      </c>
      <c r="E3137">
        <v>421</v>
      </c>
      <c r="F3137" t="s">
        <v>1393</v>
      </c>
      <c r="G3137" t="s">
        <v>1394</v>
      </c>
      <c r="H3137" s="315" t="s">
        <v>1000</v>
      </c>
      <c r="I3137" s="315" t="s">
        <v>1001</v>
      </c>
      <c r="J3137" s="315" t="str">
        <f t="shared" si="261"/>
        <v>Admin &amp; OtherOther Overheads as % of Total Gross Profit</v>
      </c>
      <c r="K3137" s="315" t="str">
        <f t="shared" si="262"/>
        <v>421Environmental &amp; Health &amp; Safety expenses - Toyota</v>
      </c>
      <c r="L3137" s="311">
        <f>+SUMIF('TUNZ Extracted TB'!M:M,$P3137,'TUNZ Extracted TB'!G:G)</f>
        <v>0</v>
      </c>
      <c r="M3137" s="311"/>
      <c r="N3137" s="311">
        <f>+SUMIF('Input Sheet'!$AE:$AE,P3137,'Input Sheet'!$X:$X)</f>
        <v>0</v>
      </c>
      <c r="O3137" s="311"/>
      <c r="P3137" t="str">
        <f t="shared" si="263"/>
        <v>421-7755</v>
      </c>
      <c r="Q3137" s="315" t="str">
        <f t="shared" si="264"/>
        <v>Admin &amp; Other</v>
      </c>
      <c r="R3137" s="315" t="str">
        <f t="shared" si="265"/>
        <v>Admin &amp; OtherOther Overheads as % of Total Gross Profit</v>
      </c>
      <c r="S3137" s="199"/>
      <c r="T3137" s="199"/>
      <c r="U3137" s="199"/>
    </row>
    <row r="3138" spans="1:21" x14ac:dyDescent="0.25">
      <c r="A3138" t="s">
        <v>996</v>
      </c>
      <c r="B3138" t="s">
        <v>997</v>
      </c>
      <c r="C3138" t="s">
        <v>997</v>
      </c>
      <c r="D3138">
        <v>7755</v>
      </c>
      <c r="E3138">
        <v>147</v>
      </c>
      <c r="F3138" t="s">
        <v>1393</v>
      </c>
      <c r="G3138" t="s">
        <v>1394</v>
      </c>
      <c r="H3138" s="315" t="s">
        <v>1000</v>
      </c>
      <c r="I3138" s="315" t="s">
        <v>1001</v>
      </c>
      <c r="J3138" s="315" t="str">
        <f t="shared" si="261"/>
        <v>Admin &amp; OtherOther Overheads as % of Total Gross Profit</v>
      </c>
      <c r="K3138" s="315" t="str">
        <f t="shared" si="262"/>
        <v>147Environmental &amp; Health &amp; Safety expenses - Toyota</v>
      </c>
      <c r="L3138" s="311">
        <f>+SUMIF('TUNZ Extracted TB'!M:M,$P3138,'TUNZ Extracted TB'!G:G)</f>
        <v>0</v>
      </c>
      <c r="M3138" s="311"/>
      <c r="N3138" s="311">
        <f>+SUMIF('Input Sheet'!$AE:$AE,P3138,'Input Sheet'!$X:$X)</f>
        <v>0</v>
      </c>
      <c r="O3138" s="311"/>
      <c r="P3138" t="str">
        <f t="shared" si="263"/>
        <v>147-7755</v>
      </c>
      <c r="Q3138" s="315" t="str">
        <f t="shared" si="264"/>
        <v>Admin &amp; Other</v>
      </c>
      <c r="R3138" s="315" t="str">
        <f t="shared" si="265"/>
        <v>Admin &amp; OtherOther Overheads as % of Total Gross Profit</v>
      </c>
      <c r="S3138" s="199"/>
      <c r="T3138" s="199"/>
      <c r="U3138" s="199"/>
    </row>
    <row r="3139" spans="1:21" x14ac:dyDescent="0.25">
      <c r="A3139" t="s">
        <v>996</v>
      </c>
      <c r="B3139" t="s">
        <v>997</v>
      </c>
      <c r="C3139" t="s">
        <v>997</v>
      </c>
      <c r="D3139">
        <v>7755</v>
      </c>
      <c r="E3139">
        <v>140</v>
      </c>
      <c r="F3139" t="s">
        <v>1393</v>
      </c>
      <c r="G3139" t="s">
        <v>1394</v>
      </c>
      <c r="H3139" s="315" t="s">
        <v>1000</v>
      </c>
      <c r="I3139" s="315" t="s">
        <v>1001</v>
      </c>
      <c r="J3139" s="315" t="str">
        <f t="shared" ref="J3139:J3202" si="266">+H3139&amp;I3139</f>
        <v>Admin &amp; OtherOther Overheads as % of Total Gross Profit</v>
      </c>
      <c r="K3139" s="315" t="str">
        <f t="shared" ref="K3139:K3202" si="267">+E3139&amp;G3139</f>
        <v>140Environmental &amp; Health &amp; Safety expenses - Toyota</v>
      </c>
      <c r="L3139" s="311">
        <f>+SUMIF('TUNZ Extracted TB'!M:M,$P3139,'TUNZ Extracted TB'!G:G)</f>
        <v>0</v>
      </c>
      <c r="M3139" s="311"/>
      <c r="N3139" s="311">
        <f>+SUMIF('Input Sheet'!$AE:$AE,P3139,'Input Sheet'!$X:$X)</f>
        <v>0</v>
      </c>
      <c r="O3139" s="311"/>
      <c r="P3139" t="str">
        <f t="shared" ref="P3139:P3202" si="268">+E3139&amp;"-"&amp;D3139</f>
        <v>140-7755</v>
      </c>
      <c r="Q3139" s="315" t="str">
        <f t="shared" ref="Q3139:Q3202" si="269">H3139</f>
        <v>Admin &amp; Other</v>
      </c>
      <c r="R3139" s="315" t="str">
        <f t="shared" ref="R3139:R3202" si="270">J3139</f>
        <v>Admin &amp; OtherOther Overheads as % of Total Gross Profit</v>
      </c>
      <c r="S3139" s="199"/>
      <c r="T3139" s="199"/>
      <c r="U3139" s="199"/>
    </row>
    <row r="3140" spans="1:21" x14ac:dyDescent="0.25">
      <c r="A3140" t="s">
        <v>996</v>
      </c>
      <c r="B3140" t="s">
        <v>997</v>
      </c>
      <c r="C3140" t="s">
        <v>997</v>
      </c>
      <c r="D3140">
        <v>7755</v>
      </c>
      <c r="E3140">
        <v>142</v>
      </c>
      <c r="F3140" t="s">
        <v>1396</v>
      </c>
      <c r="G3140" t="s">
        <v>1397</v>
      </c>
      <c r="H3140" s="315" t="s">
        <v>1023</v>
      </c>
      <c r="I3140" s="315" t="s">
        <v>1001</v>
      </c>
      <c r="J3140" s="315" t="str">
        <f t="shared" si="266"/>
        <v>LEX Admin &amp; OtherOther Overheads as % of Total Gross Profit</v>
      </c>
      <c r="K3140" s="315" t="str">
        <f t="shared" si="267"/>
        <v>142Environmental &amp; Health &amp; Safety expenses - Lexus</v>
      </c>
      <c r="L3140" s="311">
        <f>+SUMIF('TUNZ Extracted TB'!M:M,$P3140,'TUNZ Extracted TB'!G:G)</f>
        <v>0</v>
      </c>
      <c r="M3140" s="311"/>
      <c r="N3140" s="311">
        <f>+SUMIF('Input Sheet'!$AE:$AE,P3140,'Input Sheet'!$X:$X)</f>
        <v>0</v>
      </c>
      <c r="O3140" s="311"/>
      <c r="P3140" t="str">
        <f t="shared" si="268"/>
        <v>142-7755</v>
      </c>
      <c r="Q3140" s="315" t="str">
        <f t="shared" si="269"/>
        <v>LEX Admin &amp; Other</v>
      </c>
      <c r="R3140" s="315" t="str">
        <f t="shared" si="270"/>
        <v>LEX Admin &amp; OtherOther Overheads as % of Total Gross Profit</v>
      </c>
      <c r="S3140" s="199"/>
      <c r="T3140" s="199"/>
      <c r="U3140" s="199"/>
    </row>
    <row r="3141" spans="1:21" x14ac:dyDescent="0.25">
      <c r="A3141" t="s">
        <v>996</v>
      </c>
      <c r="B3141" t="s">
        <v>997</v>
      </c>
      <c r="C3141" t="s">
        <v>1005</v>
      </c>
      <c r="D3141">
        <v>7760</v>
      </c>
      <c r="E3141">
        <v>210</v>
      </c>
      <c r="F3141" t="s">
        <v>1437</v>
      </c>
      <c r="G3141" t="s">
        <v>1438</v>
      </c>
      <c r="H3141" s="315" t="s">
        <v>1000</v>
      </c>
      <c r="I3141" s="315" t="s">
        <v>1434</v>
      </c>
      <c r="J3141" s="315" t="str">
        <f t="shared" si="266"/>
        <v>Admin &amp; OtherRent &amp; Rates as % of Total Gross Profit</v>
      </c>
      <c r="K3141" s="315" t="str">
        <f t="shared" si="267"/>
        <v>210Rates - Toyota</v>
      </c>
      <c r="L3141" s="311">
        <f>+SUMIF('TUNZ Extracted TB'!M:M,$P3141,'TUNZ Extracted TB'!G:G)</f>
        <v>1906.11</v>
      </c>
      <c r="M3141" s="311"/>
      <c r="N3141" s="311">
        <f>+SUMIF('Input Sheet'!$AE:$AE,P3141,'Input Sheet'!$X:$X)</f>
        <v>0</v>
      </c>
      <c r="O3141" s="311"/>
      <c r="P3141" t="str">
        <f t="shared" si="268"/>
        <v>210-7760</v>
      </c>
      <c r="Q3141" s="315" t="str">
        <f t="shared" si="269"/>
        <v>Admin &amp; Other</v>
      </c>
      <c r="R3141" s="315" t="str">
        <f t="shared" si="270"/>
        <v>Admin &amp; OtherRent &amp; Rates as % of Total Gross Profit</v>
      </c>
      <c r="S3141" s="199"/>
      <c r="T3141" s="199"/>
      <c r="U3141" s="199"/>
    </row>
    <row r="3142" spans="1:21" x14ac:dyDescent="0.25">
      <c r="A3142" t="s">
        <v>996</v>
      </c>
      <c r="B3142" t="s">
        <v>997</v>
      </c>
      <c r="C3142" t="s">
        <v>997</v>
      </c>
      <c r="D3142">
        <v>7760</v>
      </c>
      <c r="E3142">
        <v>120</v>
      </c>
      <c r="F3142" t="s">
        <v>1437</v>
      </c>
      <c r="G3142" t="s">
        <v>1438</v>
      </c>
      <c r="H3142" s="315" t="s">
        <v>1000</v>
      </c>
      <c r="I3142" s="315" t="s">
        <v>1434</v>
      </c>
      <c r="J3142" s="315" t="str">
        <f t="shared" si="266"/>
        <v>Admin &amp; OtherRent &amp; Rates as % of Total Gross Profit</v>
      </c>
      <c r="K3142" s="315" t="str">
        <f t="shared" si="267"/>
        <v>120Rates - Toyota</v>
      </c>
      <c r="L3142" s="311">
        <f>+SUMIF('TUNZ Extracted TB'!M:M,$P3142,'TUNZ Extracted TB'!G:G)</f>
        <v>1905.86</v>
      </c>
      <c r="M3142" s="311"/>
      <c r="N3142" s="311">
        <f>+SUMIF('Input Sheet'!$AE:$AE,P3142,'Input Sheet'!$X:$X)</f>
        <v>0</v>
      </c>
      <c r="O3142" s="311"/>
      <c r="P3142" t="str">
        <f t="shared" si="268"/>
        <v>120-7760</v>
      </c>
      <c r="Q3142" s="315" t="str">
        <f t="shared" si="269"/>
        <v>Admin &amp; Other</v>
      </c>
      <c r="R3142" s="315" t="str">
        <f t="shared" si="270"/>
        <v>Admin &amp; OtherRent &amp; Rates as % of Total Gross Profit</v>
      </c>
      <c r="S3142" s="199"/>
      <c r="T3142" s="199"/>
      <c r="U3142" s="199"/>
    </row>
    <row r="3143" spans="1:21" x14ac:dyDescent="0.25">
      <c r="A3143" t="s">
        <v>996</v>
      </c>
      <c r="B3143" t="s">
        <v>997</v>
      </c>
      <c r="C3143" t="s">
        <v>1012</v>
      </c>
      <c r="D3143">
        <v>7760</v>
      </c>
      <c r="E3143">
        <v>440</v>
      </c>
      <c r="F3143" t="s">
        <v>1437</v>
      </c>
      <c r="G3143" t="s">
        <v>1438</v>
      </c>
      <c r="H3143" s="315" t="s">
        <v>1000</v>
      </c>
      <c r="I3143" s="315" t="s">
        <v>1434</v>
      </c>
      <c r="J3143" s="315" t="str">
        <f t="shared" si="266"/>
        <v>Admin &amp; OtherRent &amp; Rates as % of Total Gross Profit</v>
      </c>
      <c r="K3143" s="315" t="str">
        <f t="shared" si="267"/>
        <v>440Rates - Toyota</v>
      </c>
      <c r="L3143" s="311">
        <f>+SUMIF('TUNZ Extracted TB'!M:M,$P3143,'TUNZ Extracted TB'!G:G)</f>
        <v>1871.25</v>
      </c>
      <c r="M3143" s="311"/>
      <c r="N3143" s="311">
        <f>+SUMIF('Input Sheet'!$AE:$AE,P3143,'Input Sheet'!$X:$X)</f>
        <v>0</v>
      </c>
      <c r="O3143" s="311"/>
      <c r="P3143" t="str">
        <f t="shared" si="268"/>
        <v>440-7760</v>
      </c>
      <c r="Q3143" s="315" t="str">
        <f t="shared" si="269"/>
        <v>Admin &amp; Other</v>
      </c>
      <c r="R3143" s="315" t="str">
        <f t="shared" si="270"/>
        <v>Admin &amp; OtherRent &amp; Rates as % of Total Gross Profit</v>
      </c>
      <c r="S3143" s="199"/>
      <c r="T3143" s="199"/>
      <c r="U3143" s="199"/>
    </row>
    <row r="3144" spans="1:21" x14ac:dyDescent="0.25">
      <c r="A3144" t="s">
        <v>996</v>
      </c>
      <c r="B3144" t="s">
        <v>997</v>
      </c>
      <c r="C3144" t="s">
        <v>1005</v>
      </c>
      <c r="D3144">
        <v>7760</v>
      </c>
      <c r="E3144">
        <v>220</v>
      </c>
      <c r="F3144" t="s">
        <v>1437</v>
      </c>
      <c r="G3144" t="s">
        <v>1438</v>
      </c>
      <c r="H3144" s="315" t="s">
        <v>1000</v>
      </c>
      <c r="I3144" s="315" t="s">
        <v>1434</v>
      </c>
      <c r="J3144" s="315" t="str">
        <f t="shared" si="266"/>
        <v>Admin &amp; OtherRent &amp; Rates as % of Total Gross Profit</v>
      </c>
      <c r="K3144" s="315" t="str">
        <f t="shared" si="267"/>
        <v>220Rates - Toyota</v>
      </c>
      <c r="L3144" s="311">
        <f>+SUMIF('TUNZ Extracted TB'!M:M,$P3144,'TUNZ Extracted TB'!G:G)</f>
        <v>1544.1</v>
      </c>
      <c r="M3144" s="311"/>
      <c r="N3144" s="311">
        <f>+SUMIF('Input Sheet'!$AE:$AE,P3144,'Input Sheet'!$X:$X)</f>
        <v>0</v>
      </c>
      <c r="O3144" s="311"/>
      <c r="P3144" t="str">
        <f t="shared" si="268"/>
        <v>220-7760</v>
      </c>
      <c r="Q3144" s="315" t="str">
        <f t="shared" si="269"/>
        <v>Admin &amp; Other</v>
      </c>
      <c r="R3144" s="315" t="str">
        <f t="shared" si="270"/>
        <v>Admin &amp; OtherRent &amp; Rates as % of Total Gross Profit</v>
      </c>
      <c r="S3144" s="199"/>
      <c r="T3144" s="199"/>
      <c r="U3144" s="199"/>
    </row>
    <row r="3145" spans="1:21" x14ac:dyDescent="0.25">
      <c r="A3145" t="s">
        <v>996</v>
      </c>
      <c r="B3145" t="s">
        <v>997</v>
      </c>
      <c r="C3145" t="s">
        <v>1013</v>
      </c>
      <c r="D3145">
        <v>7760</v>
      </c>
      <c r="E3145">
        <v>340</v>
      </c>
      <c r="F3145" t="s">
        <v>1437</v>
      </c>
      <c r="G3145" t="s">
        <v>1438</v>
      </c>
      <c r="H3145" s="315" t="s">
        <v>1000</v>
      </c>
      <c r="I3145" s="315" t="s">
        <v>1434</v>
      </c>
      <c r="J3145" s="315" t="str">
        <f t="shared" si="266"/>
        <v>Admin &amp; OtherRent &amp; Rates as % of Total Gross Profit</v>
      </c>
      <c r="K3145" s="315" t="str">
        <f t="shared" si="267"/>
        <v>340Rates - Toyota</v>
      </c>
      <c r="L3145" s="311">
        <f>+SUMIF('TUNZ Extracted TB'!M:M,$P3145,'TUNZ Extracted TB'!G:G)</f>
        <v>889.53</v>
      </c>
      <c r="M3145" s="311"/>
      <c r="N3145" s="311">
        <f>+SUMIF('Input Sheet'!$AE:$AE,P3145,'Input Sheet'!$X:$X)</f>
        <v>0</v>
      </c>
      <c r="O3145" s="311"/>
      <c r="P3145" t="str">
        <f t="shared" si="268"/>
        <v>340-7760</v>
      </c>
      <c r="Q3145" s="315" t="str">
        <f t="shared" si="269"/>
        <v>Admin &amp; Other</v>
      </c>
      <c r="R3145" s="315" t="str">
        <f t="shared" si="270"/>
        <v>Admin &amp; OtherRent &amp; Rates as % of Total Gross Profit</v>
      </c>
      <c r="S3145" s="199"/>
      <c r="T3145" s="199"/>
      <c r="U3145" s="199"/>
    </row>
    <row r="3146" spans="1:21" x14ac:dyDescent="0.25">
      <c r="A3146" t="s">
        <v>996</v>
      </c>
      <c r="B3146" t="s">
        <v>997</v>
      </c>
      <c r="C3146" t="s">
        <v>997</v>
      </c>
      <c r="D3146">
        <v>7760</v>
      </c>
      <c r="E3146">
        <v>150</v>
      </c>
      <c r="F3146" t="s">
        <v>1437</v>
      </c>
      <c r="G3146" t="s">
        <v>1438</v>
      </c>
      <c r="H3146" s="315" t="s">
        <v>1023</v>
      </c>
      <c r="I3146" s="315" t="s">
        <v>1434</v>
      </c>
      <c r="J3146" s="315" t="str">
        <f t="shared" si="266"/>
        <v>LEX Admin &amp; OtherRent &amp; Rates as % of Total Gross Profit</v>
      </c>
      <c r="K3146" s="315" t="str">
        <f t="shared" si="267"/>
        <v>150Rates - Toyota</v>
      </c>
      <c r="L3146" s="311">
        <f>+SUMIF('TUNZ Extracted TB'!M:M,$P3146,'TUNZ Extracted TB'!G:G)</f>
        <v>602.38</v>
      </c>
      <c r="M3146" s="311"/>
      <c r="N3146" s="311">
        <f>+SUMIF('Input Sheet'!$AE:$AE,P3146,'Input Sheet'!$X:$X)</f>
        <v>0</v>
      </c>
      <c r="O3146" s="311"/>
      <c r="P3146" t="str">
        <f t="shared" si="268"/>
        <v>150-7760</v>
      </c>
      <c r="Q3146" s="315" t="str">
        <f t="shared" si="269"/>
        <v>LEX Admin &amp; Other</v>
      </c>
      <c r="R3146" s="315" t="str">
        <f t="shared" si="270"/>
        <v>LEX Admin &amp; OtherRent &amp; Rates as % of Total Gross Profit</v>
      </c>
      <c r="S3146" s="199"/>
      <c r="T3146" s="199"/>
      <c r="U3146" s="199"/>
    </row>
    <row r="3147" spans="1:21" x14ac:dyDescent="0.25">
      <c r="A3147" t="s">
        <v>996</v>
      </c>
      <c r="B3147" t="s">
        <v>997</v>
      </c>
      <c r="C3147" t="s">
        <v>1005</v>
      </c>
      <c r="D3147">
        <v>7760</v>
      </c>
      <c r="E3147">
        <v>240</v>
      </c>
      <c r="F3147" t="s">
        <v>1437</v>
      </c>
      <c r="G3147" t="s">
        <v>1438</v>
      </c>
      <c r="H3147" s="315" t="s">
        <v>1000</v>
      </c>
      <c r="I3147" s="315" t="s">
        <v>1434</v>
      </c>
      <c r="J3147" s="315" t="str">
        <f t="shared" si="266"/>
        <v>Admin &amp; OtherRent &amp; Rates as % of Total Gross Profit</v>
      </c>
      <c r="K3147" s="315" t="str">
        <f t="shared" si="267"/>
        <v>240Rates - Toyota</v>
      </c>
      <c r="L3147" s="311">
        <f>+SUMIF('TUNZ Extracted TB'!M:M,$P3147,'TUNZ Extracted TB'!G:G)</f>
        <v>562.70000000000005</v>
      </c>
      <c r="M3147" s="311"/>
      <c r="N3147" s="311">
        <f>+SUMIF('Input Sheet'!$AE:$AE,P3147,'Input Sheet'!$X:$X)</f>
        <v>0</v>
      </c>
      <c r="O3147" s="311"/>
      <c r="P3147" t="str">
        <f t="shared" si="268"/>
        <v>240-7760</v>
      </c>
      <c r="Q3147" s="315" t="str">
        <f t="shared" si="269"/>
        <v>Admin &amp; Other</v>
      </c>
      <c r="R3147" s="315" t="str">
        <f t="shared" si="270"/>
        <v>Admin &amp; OtherRent &amp; Rates as % of Total Gross Profit</v>
      </c>
      <c r="S3147" s="199"/>
      <c r="T3147" s="199"/>
      <c r="U3147" s="199"/>
    </row>
    <row r="3148" spans="1:21" x14ac:dyDescent="0.25">
      <c r="A3148" t="s">
        <v>996</v>
      </c>
      <c r="B3148" t="s">
        <v>997</v>
      </c>
      <c r="C3148" t="s">
        <v>997</v>
      </c>
      <c r="D3148">
        <v>7760</v>
      </c>
      <c r="E3148">
        <v>936</v>
      </c>
      <c r="F3148" t="s">
        <v>1175</v>
      </c>
      <c r="G3148" t="s">
        <v>1176</v>
      </c>
      <c r="H3148" s="315" t="s">
        <v>1023</v>
      </c>
      <c r="I3148" s="315" t="s">
        <v>1434</v>
      </c>
      <c r="J3148" s="315" t="str">
        <f t="shared" si="266"/>
        <v>LEX Admin &amp; OtherRent &amp; Rates as % of Total Gross Profit</v>
      </c>
      <c r="K3148" s="315" t="str">
        <f t="shared" si="267"/>
        <v>936Other franchise/business expense</v>
      </c>
      <c r="L3148" s="311">
        <f>+SUMIF('TUNZ Extracted TB'!M:M,$P3148,'TUNZ Extracted TB'!G:G)</f>
        <v>464.98</v>
      </c>
      <c r="M3148" s="311"/>
      <c r="N3148" s="311">
        <f>+SUMIF('Input Sheet'!$AE:$AE,P3148,'Input Sheet'!$X:$X)</f>
        <v>0</v>
      </c>
      <c r="O3148" s="311"/>
      <c r="P3148" t="str">
        <f t="shared" si="268"/>
        <v>936-7760</v>
      </c>
      <c r="Q3148" s="315" t="str">
        <f t="shared" si="269"/>
        <v>LEX Admin &amp; Other</v>
      </c>
      <c r="R3148" s="315" t="str">
        <f t="shared" si="270"/>
        <v>LEX Admin &amp; OtherRent &amp; Rates as % of Total Gross Profit</v>
      </c>
      <c r="S3148" s="199"/>
      <c r="T3148" s="199"/>
      <c r="U3148" s="199"/>
    </row>
    <row r="3149" spans="1:21" x14ac:dyDescent="0.25">
      <c r="A3149" t="s">
        <v>996</v>
      </c>
      <c r="B3149" t="s">
        <v>997</v>
      </c>
      <c r="C3149" t="s">
        <v>997</v>
      </c>
      <c r="D3149">
        <v>7760</v>
      </c>
      <c r="E3149">
        <v>935</v>
      </c>
      <c r="F3149" t="s">
        <v>1175</v>
      </c>
      <c r="G3149" t="s">
        <v>1176</v>
      </c>
      <c r="H3149" s="315" t="s">
        <v>1023</v>
      </c>
      <c r="I3149" s="315" t="s">
        <v>1434</v>
      </c>
      <c r="J3149" s="315" t="str">
        <f t="shared" si="266"/>
        <v>LEX Admin &amp; OtherRent &amp; Rates as % of Total Gross Profit</v>
      </c>
      <c r="K3149" s="315" t="str">
        <f t="shared" si="267"/>
        <v>935Other franchise/business expense</v>
      </c>
      <c r="L3149" s="311">
        <f>+SUMIF('TUNZ Extracted TB'!M:M,$P3149,'TUNZ Extracted TB'!G:G)</f>
        <v>434.93</v>
      </c>
      <c r="M3149" s="311"/>
      <c r="N3149" s="311">
        <f>+SUMIF('Input Sheet'!$AE:$AE,P3149,'Input Sheet'!$X:$X)</f>
        <v>0</v>
      </c>
      <c r="O3149" s="311"/>
      <c r="P3149" t="str">
        <f t="shared" si="268"/>
        <v>935-7760</v>
      </c>
      <c r="Q3149" s="315" t="str">
        <f t="shared" si="269"/>
        <v>LEX Admin &amp; Other</v>
      </c>
      <c r="R3149" s="315" t="str">
        <f t="shared" si="270"/>
        <v>LEX Admin &amp; OtherRent &amp; Rates as % of Total Gross Profit</v>
      </c>
      <c r="S3149" s="199"/>
      <c r="T3149" s="199"/>
      <c r="U3149" s="199"/>
    </row>
    <row r="3150" spans="1:21" x14ac:dyDescent="0.25">
      <c r="A3150" t="s">
        <v>996</v>
      </c>
      <c r="B3150" t="s">
        <v>997</v>
      </c>
      <c r="C3150" t="s">
        <v>1005</v>
      </c>
      <c r="D3150">
        <v>7760</v>
      </c>
      <c r="E3150">
        <v>230</v>
      </c>
      <c r="F3150" t="s">
        <v>1437</v>
      </c>
      <c r="G3150" t="s">
        <v>1438</v>
      </c>
      <c r="H3150" s="315" t="s">
        <v>1000</v>
      </c>
      <c r="I3150" s="315" t="s">
        <v>1434</v>
      </c>
      <c r="J3150" s="315" t="str">
        <f t="shared" si="266"/>
        <v>Admin &amp; OtherRent &amp; Rates as % of Total Gross Profit</v>
      </c>
      <c r="K3150" s="315" t="str">
        <f t="shared" si="267"/>
        <v>230Rates - Toyota</v>
      </c>
      <c r="L3150" s="311">
        <f>+SUMIF('TUNZ Extracted TB'!M:M,$P3150,'TUNZ Extracted TB'!G:G)</f>
        <v>404.13</v>
      </c>
      <c r="M3150" s="311"/>
      <c r="N3150" s="311">
        <f>+SUMIF('Input Sheet'!$AE:$AE,P3150,'Input Sheet'!$X:$X)</f>
        <v>0</v>
      </c>
      <c r="O3150" s="311"/>
      <c r="P3150" t="str">
        <f t="shared" si="268"/>
        <v>230-7760</v>
      </c>
      <c r="Q3150" s="315" t="str">
        <f t="shared" si="269"/>
        <v>Admin &amp; Other</v>
      </c>
      <c r="R3150" s="315" t="str">
        <f t="shared" si="270"/>
        <v>Admin &amp; OtherRent &amp; Rates as % of Total Gross Profit</v>
      </c>
      <c r="S3150" s="199"/>
      <c r="T3150" s="199"/>
      <c r="U3150" s="199"/>
    </row>
    <row r="3151" spans="1:21" x14ac:dyDescent="0.25">
      <c r="A3151" t="s">
        <v>996</v>
      </c>
      <c r="B3151" t="s">
        <v>997</v>
      </c>
      <c r="C3151" t="s">
        <v>1012</v>
      </c>
      <c r="D3151">
        <v>7760</v>
      </c>
      <c r="E3151">
        <v>430</v>
      </c>
      <c r="F3151" t="s">
        <v>1437</v>
      </c>
      <c r="G3151" t="s">
        <v>1438</v>
      </c>
      <c r="H3151" s="315" t="s">
        <v>1000</v>
      </c>
      <c r="I3151" s="315" t="s">
        <v>1434</v>
      </c>
      <c r="J3151" s="315" t="str">
        <f t="shared" si="266"/>
        <v>Admin &amp; OtherRent &amp; Rates as % of Total Gross Profit</v>
      </c>
      <c r="K3151" s="315" t="str">
        <f t="shared" si="267"/>
        <v>430Rates - Toyota</v>
      </c>
      <c r="L3151" s="311">
        <f>+SUMIF('TUNZ Extracted TB'!M:M,$P3151,'TUNZ Extracted TB'!G:G)</f>
        <v>363.81</v>
      </c>
      <c r="M3151" s="311"/>
      <c r="N3151" s="311">
        <f>+SUMIF('Input Sheet'!$AE:$AE,P3151,'Input Sheet'!$X:$X)</f>
        <v>0</v>
      </c>
      <c r="O3151" s="311"/>
      <c r="P3151" t="str">
        <f t="shared" si="268"/>
        <v>430-7760</v>
      </c>
      <c r="Q3151" s="315" t="str">
        <f t="shared" si="269"/>
        <v>Admin &amp; Other</v>
      </c>
      <c r="R3151" s="315" t="str">
        <f t="shared" si="270"/>
        <v>Admin &amp; OtherRent &amp; Rates as % of Total Gross Profit</v>
      </c>
      <c r="S3151" s="199"/>
      <c r="T3151" s="199"/>
      <c r="U3151" s="199"/>
    </row>
    <row r="3152" spans="1:21" x14ac:dyDescent="0.25">
      <c r="A3152" t="s">
        <v>996</v>
      </c>
      <c r="B3152" t="s">
        <v>997</v>
      </c>
      <c r="C3152" t="s">
        <v>1005</v>
      </c>
      <c r="D3152">
        <v>7760</v>
      </c>
      <c r="E3152">
        <v>260</v>
      </c>
      <c r="F3152" t="s">
        <v>1437</v>
      </c>
      <c r="G3152" t="s">
        <v>1438</v>
      </c>
      <c r="H3152" s="315" t="s">
        <v>1000</v>
      </c>
      <c r="I3152" s="315" t="s">
        <v>1434</v>
      </c>
      <c r="J3152" s="315" t="str">
        <f t="shared" si="266"/>
        <v>Admin &amp; OtherRent &amp; Rates as % of Total Gross Profit</v>
      </c>
      <c r="K3152" s="315" t="str">
        <f t="shared" si="267"/>
        <v>260Rates - Toyota</v>
      </c>
      <c r="L3152" s="311">
        <f>+SUMIF('TUNZ Extracted TB'!M:M,$P3152,'TUNZ Extracted TB'!G:G)</f>
        <v>201.57</v>
      </c>
      <c r="M3152" s="311"/>
      <c r="N3152" s="311">
        <f>+SUMIF('Input Sheet'!$AE:$AE,P3152,'Input Sheet'!$X:$X)</f>
        <v>0</v>
      </c>
      <c r="O3152" s="311"/>
      <c r="P3152" t="str">
        <f t="shared" si="268"/>
        <v>260-7760</v>
      </c>
      <c r="Q3152" s="315" t="str">
        <f t="shared" si="269"/>
        <v>Admin &amp; Other</v>
      </c>
      <c r="R3152" s="315" t="str">
        <f t="shared" si="270"/>
        <v>Admin &amp; OtherRent &amp; Rates as % of Total Gross Profit</v>
      </c>
      <c r="S3152" s="199"/>
      <c r="T3152" s="199"/>
      <c r="U3152" s="199"/>
    </row>
    <row r="3153" spans="1:21" x14ac:dyDescent="0.25">
      <c r="A3153" t="s">
        <v>996</v>
      </c>
      <c r="B3153" t="s">
        <v>997</v>
      </c>
      <c r="C3153" t="s">
        <v>1013</v>
      </c>
      <c r="D3153">
        <v>7760</v>
      </c>
      <c r="E3153">
        <v>330</v>
      </c>
      <c r="F3153" t="s">
        <v>1437</v>
      </c>
      <c r="G3153" t="s">
        <v>1438</v>
      </c>
      <c r="H3153" s="315" t="s">
        <v>1000</v>
      </c>
      <c r="I3153" s="315" t="s">
        <v>1434</v>
      </c>
      <c r="J3153" s="315" t="str">
        <f t="shared" si="266"/>
        <v>Admin &amp; OtherRent &amp; Rates as % of Total Gross Profit</v>
      </c>
      <c r="K3153" s="315" t="str">
        <f t="shared" si="267"/>
        <v>330Rates - Toyota</v>
      </c>
      <c r="L3153" s="311">
        <f>+SUMIF('TUNZ Extracted TB'!M:M,$P3153,'TUNZ Extracted TB'!G:G)</f>
        <v>132.99</v>
      </c>
      <c r="M3153" s="311"/>
      <c r="N3153" s="311">
        <f>+SUMIF('Input Sheet'!$AE:$AE,P3153,'Input Sheet'!$X:$X)</f>
        <v>0</v>
      </c>
      <c r="O3153" s="311"/>
      <c r="P3153" t="str">
        <f t="shared" si="268"/>
        <v>330-7760</v>
      </c>
      <c r="Q3153" s="315" t="str">
        <f t="shared" si="269"/>
        <v>Admin &amp; Other</v>
      </c>
      <c r="R3153" s="315" t="str">
        <f t="shared" si="270"/>
        <v>Admin &amp; OtherRent &amp; Rates as % of Total Gross Profit</v>
      </c>
      <c r="S3153" s="199"/>
      <c r="T3153" s="199"/>
      <c r="U3153" s="199"/>
    </row>
    <row r="3154" spans="1:21" x14ac:dyDescent="0.25">
      <c r="A3154" s="316">
        <v>44866</v>
      </c>
      <c r="B3154" t="s">
        <v>997</v>
      </c>
      <c r="C3154" t="s">
        <v>997</v>
      </c>
      <c r="D3154">
        <v>7760</v>
      </c>
      <c r="E3154">
        <v>190</v>
      </c>
      <c r="G3154" t="s">
        <v>978</v>
      </c>
      <c r="H3154" s="315" t="s">
        <v>1000</v>
      </c>
      <c r="I3154" s="315" t="s">
        <v>1434</v>
      </c>
      <c r="J3154" s="315" t="str">
        <f t="shared" si="266"/>
        <v>Admin &amp; OtherRent &amp; Rates as % of Total Gross Profit</v>
      </c>
      <c r="K3154" s="315" t="str">
        <f t="shared" si="267"/>
        <v>190Property Rates</v>
      </c>
      <c r="L3154" s="311">
        <f>+SUMIF('TUNZ Extracted TB'!M:M,$P3154,'TUNZ Extracted TB'!G:G)</f>
        <v>0</v>
      </c>
      <c r="M3154" s="311"/>
      <c r="N3154" s="311">
        <f>+SUMIF('Input Sheet'!$AE:$AE,P3154,'Input Sheet'!$X:$X)</f>
        <v>0</v>
      </c>
      <c r="O3154" s="311"/>
      <c r="P3154" t="str">
        <f t="shared" si="268"/>
        <v>190-7760</v>
      </c>
      <c r="Q3154" s="315" t="str">
        <f t="shared" si="269"/>
        <v>Admin &amp; Other</v>
      </c>
      <c r="R3154" s="315" t="str">
        <f t="shared" si="270"/>
        <v>Admin &amp; OtherRent &amp; Rates as % of Total Gross Profit</v>
      </c>
      <c r="S3154" s="199"/>
      <c r="T3154" s="199"/>
      <c r="U3154" s="199"/>
    </row>
    <row r="3155" spans="1:21" x14ac:dyDescent="0.25">
      <c r="A3155" t="s">
        <v>996</v>
      </c>
      <c r="B3155" t="s">
        <v>997</v>
      </c>
      <c r="C3155" t="s">
        <v>997</v>
      </c>
      <c r="D3155">
        <v>7760</v>
      </c>
      <c r="E3155">
        <v>122</v>
      </c>
      <c r="F3155" t="s">
        <v>1439</v>
      </c>
      <c r="G3155" t="s">
        <v>1440</v>
      </c>
      <c r="H3155" s="315" t="s">
        <v>1023</v>
      </c>
      <c r="I3155" s="315" t="s">
        <v>1434</v>
      </c>
      <c r="J3155" s="315" t="str">
        <f t="shared" si="266"/>
        <v>LEX Admin &amp; OtherRent &amp; Rates as % of Total Gross Profit</v>
      </c>
      <c r="K3155" s="315" t="str">
        <f t="shared" si="267"/>
        <v>122Rates - Lexus</v>
      </c>
      <c r="L3155" s="311">
        <f>+SUMIF('TUNZ Extracted TB'!M:M,$P3155,'TUNZ Extracted TB'!G:G)</f>
        <v>0</v>
      </c>
      <c r="M3155" s="311"/>
      <c r="N3155" s="311">
        <f>+SUMIF('Input Sheet'!$AE:$AE,P3155,'Input Sheet'!$X:$X)</f>
        <v>0</v>
      </c>
      <c r="O3155" s="311"/>
      <c r="P3155" t="str">
        <f t="shared" si="268"/>
        <v>122-7760</v>
      </c>
      <c r="Q3155" s="315" t="str">
        <f t="shared" si="269"/>
        <v>LEX Admin &amp; Other</v>
      </c>
      <c r="R3155" s="315" t="str">
        <f t="shared" si="270"/>
        <v>LEX Admin &amp; OtherRent &amp; Rates as % of Total Gross Profit</v>
      </c>
      <c r="S3155" s="199"/>
      <c r="T3155" s="199"/>
      <c r="U3155" s="199"/>
    </row>
    <row r="3156" spans="1:21" x14ac:dyDescent="0.25">
      <c r="A3156" t="s">
        <v>996</v>
      </c>
      <c r="B3156" t="s">
        <v>997</v>
      </c>
      <c r="C3156" t="s">
        <v>997</v>
      </c>
      <c r="D3156">
        <v>7760</v>
      </c>
      <c r="E3156">
        <v>162</v>
      </c>
      <c r="F3156" t="s">
        <v>1439</v>
      </c>
      <c r="G3156" t="s">
        <v>1440</v>
      </c>
      <c r="H3156" s="315" t="s">
        <v>1023</v>
      </c>
      <c r="I3156" s="315" t="s">
        <v>1434</v>
      </c>
      <c r="J3156" s="315" t="str">
        <f t="shared" si="266"/>
        <v>LEX Admin &amp; OtherRent &amp; Rates as % of Total Gross Profit</v>
      </c>
      <c r="K3156" s="315" t="str">
        <f t="shared" si="267"/>
        <v>162Rates - Lexus</v>
      </c>
      <c r="L3156" s="311">
        <f>+SUMIF('TUNZ Extracted TB'!M:M,$P3156,'TUNZ Extracted TB'!G:G)</f>
        <v>0</v>
      </c>
      <c r="M3156" s="311"/>
      <c r="N3156" s="311">
        <f>+SUMIF('Input Sheet'!$AE:$AE,P3156,'Input Sheet'!$X:$X)</f>
        <v>0</v>
      </c>
      <c r="O3156" s="311"/>
      <c r="P3156" t="str">
        <f t="shared" si="268"/>
        <v>162-7760</v>
      </c>
      <c r="Q3156" s="315" t="str">
        <f t="shared" si="269"/>
        <v>LEX Admin &amp; Other</v>
      </c>
      <c r="R3156" s="315" t="str">
        <f t="shared" si="270"/>
        <v>LEX Admin &amp; OtherRent &amp; Rates as % of Total Gross Profit</v>
      </c>
      <c r="S3156" s="199"/>
      <c r="T3156" s="199"/>
      <c r="U3156" s="199"/>
    </row>
    <row r="3157" spans="1:21" x14ac:dyDescent="0.25">
      <c r="A3157" t="s">
        <v>996</v>
      </c>
      <c r="B3157" t="s">
        <v>997</v>
      </c>
      <c r="C3157" t="s">
        <v>997</v>
      </c>
      <c r="D3157">
        <v>7760</v>
      </c>
      <c r="E3157">
        <v>121</v>
      </c>
      <c r="F3157" t="s">
        <v>1437</v>
      </c>
      <c r="G3157" t="s">
        <v>1438</v>
      </c>
      <c r="H3157" s="315" t="s">
        <v>1000</v>
      </c>
      <c r="I3157" s="315" t="s">
        <v>1434</v>
      </c>
      <c r="J3157" s="315" t="str">
        <f t="shared" si="266"/>
        <v>Admin &amp; OtherRent &amp; Rates as % of Total Gross Profit</v>
      </c>
      <c r="K3157" s="315" t="str">
        <f t="shared" si="267"/>
        <v>121Rates - Toyota</v>
      </c>
      <c r="L3157" s="311">
        <f>+SUMIF('TUNZ Extracted TB'!M:M,$P3157,'TUNZ Extracted TB'!G:G)</f>
        <v>0</v>
      </c>
      <c r="M3157" s="311"/>
      <c r="N3157" s="311">
        <f>+SUMIF('Input Sheet'!$AE:$AE,P3157,'Input Sheet'!$X:$X)</f>
        <v>0</v>
      </c>
      <c r="O3157" s="311"/>
      <c r="P3157" t="str">
        <f t="shared" si="268"/>
        <v>121-7760</v>
      </c>
      <c r="Q3157" s="315" t="str">
        <f t="shared" si="269"/>
        <v>Admin &amp; Other</v>
      </c>
      <c r="R3157" s="315" t="str">
        <f t="shared" si="270"/>
        <v>Admin &amp; OtherRent &amp; Rates as % of Total Gross Profit</v>
      </c>
      <c r="S3157" s="199"/>
      <c r="T3157" s="199"/>
      <c r="U3157" s="199"/>
    </row>
    <row r="3158" spans="1:21" x14ac:dyDescent="0.25">
      <c r="A3158" t="s">
        <v>996</v>
      </c>
      <c r="B3158" t="s">
        <v>997</v>
      </c>
      <c r="C3158" t="s">
        <v>997</v>
      </c>
      <c r="D3158">
        <v>7760</v>
      </c>
      <c r="E3158">
        <v>160</v>
      </c>
      <c r="F3158" t="s">
        <v>1437</v>
      </c>
      <c r="G3158" t="s">
        <v>1438</v>
      </c>
      <c r="H3158" s="315" t="s">
        <v>1000</v>
      </c>
      <c r="I3158" s="315" t="s">
        <v>1434</v>
      </c>
      <c r="J3158" s="315" t="str">
        <f t="shared" si="266"/>
        <v>Admin &amp; OtherRent &amp; Rates as % of Total Gross Profit</v>
      </c>
      <c r="K3158" s="315" t="str">
        <f t="shared" si="267"/>
        <v>160Rates - Toyota</v>
      </c>
      <c r="L3158" s="311">
        <f>+SUMIF('TUNZ Extracted TB'!M:M,$P3158,'TUNZ Extracted TB'!G:G)</f>
        <v>0</v>
      </c>
      <c r="M3158" s="311"/>
      <c r="N3158" s="311">
        <f>+SUMIF('Input Sheet'!$AE:$AE,P3158,'Input Sheet'!$X:$X)</f>
        <v>0</v>
      </c>
      <c r="O3158" s="311"/>
      <c r="P3158" t="str">
        <f t="shared" si="268"/>
        <v>160-7760</v>
      </c>
      <c r="Q3158" s="315" t="str">
        <f t="shared" si="269"/>
        <v>Admin &amp; Other</v>
      </c>
      <c r="R3158" s="315" t="str">
        <f t="shared" si="270"/>
        <v>Admin &amp; OtherRent &amp; Rates as % of Total Gross Profit</v>
      </c>
      <c r="S3158" s="199"/>
      <c r="T3158" s="199"/>
      <c r="U3158" s="199"/>
    </row>
    <row r="3159" spans="1:21" x14ac:dyDescent="0.25">
      <c r="A3159" t="s">
        <v>996</v>
      </c>
      <c r="B3159" t="s">
        <v>997</v>
      </c>
      <c r="C3159" t="s">
        <v>1005</v>
      </c>
      <c r="D3159">
        <v>7760</v>
      </c>
      <c r="E3159">
        <v>200</v>
      </c>
      <c r="F3159" t="s">
        <v>1437</v>
      </c>
      <c r="G3159" t="s">
        <v>1438</v>
      </c>
      <c r="H3159" s="315" t="s">
        <v>1000</v>
      </c>
      <c r="I3159" s="315" t="s">
        <v>1434</v>
      </c>
      <c r="J3159" s="315" t="str">
        <f t="shared" si="266"/>
        <v>Admin &amp; OtherRent &amp; Rates as % of Total Gross Profit</v>
      </c>
      <c r="K3159" s="315" t="str">
        <f t="shared" si="267"/>
        <v>200Rates - Toyota</v>
      </c>
      <c r="L3159" s="311">
        <f>+SUMIF('TUNZ Extracted TB'!M:M,$P3159,'TUNZ Extracted TB'!G:G)</f>
        <v>0</v>
      </c>
      <c r="M3159" s="311"/>
      <c r="N3159" s="311">
        <f>+SUMIF('Input Sheet'!$AE:$AE,P3159,'Input Sheet'!$X:$X)</f>
        <v>0</v>
      </c>
      <c r="O3159" s="311"/>
      <c r="P3159" t="str">
        <f t="shared" si="268"/>
        <v>200-7760</v>
      </c>
      <c r="Q3159" s="315" t="str">
        <f t="shared" si="269"/>
        <v>Admin &amp; Other</v>
      </c>
      <c r="R3159" s="315" t="str">
        <f t="shared" si="270"/>
        <v>Admin &amp; OtherRent &amp; Rates as % of Total Gross Profit</v>
      </c>
      <c r="S3159" s="199"/>
      <c r="T3159" s="199"/>
      <c r="U3159" s="199"/>
    </row>
    <row r="3160" spans="1:21" x14ac:dyDescent="0.25">
      <c r="A3160" t="s">
        <v>996</v>
      </c>
      <c r="B3160" t="s">
        <v>997</v>
      </c>
      <c r="C3160" t="s">
        <v>1005</v>
      </c>
      <c r="D3160">
        <v>7760</v>
      </c>
      <c r="E3160">
        <v>221</v>
      </c>
      <c r="F3160" t="s">
        <v>1437</v>
      </c>
      <c r="G3160" t="s">
        <v>1438</v>
      </c>
      <c r="H3160" s="315" t="s">
        <v>1000</v>
      </c>
      <c r="I3160" s="315" t="s">
        <v>1434</v>
      </c>
      <c r="J3160" s="315" t="str">
        <f t="shared" si="266"/>
        <v>Admin &amp; OtherRent &amp; Rates as % of Total Gross Profit</v>
      </c>
      <c r="K3160" s="315" t="str">
        <f t="shared" si="267"/>
        <v>221Rates - Toyota</v>
      </c>
      <c r="L3160" s="311">
        <f>+SUMIF('TUNZ Extracted TB'!M:M,$P3160,'TUNZ Extracted TB'!G:G)</f>
        <v>0</v>
      </c>
      <c r="M3160" s="311"/>
      <c r="N3160" s="311">
        <f>+SUMIF('Input Sheet'!$AE:$AE,P3160,'Input Sheet'!$X:$X)</f>
        <v>0</v>
      </c>
      <c r="O3160" s="311"/>
      <c r="P3160" t="str">
        <f t="shared" si="268"/>
        <v>221-7760</v>
      </c>
      <c r="Q3160" s="315" t="str">
        <f t="shared" si="269"/>
        <v>Admin &amp; Other</v>
      </c>
      <c r="R3160" s="315" t="str">
        <f t="shared" si="270"/>
        <v>Admin &amp; OtherRent &amp; Rates as % of Total Gross Profit</v>
      </c>
      <c r="S3160" s="199"/>
      <c r="T3160" s="199"/>
      <c r="U3160" s="199"/>
    </row>
    <row r="3161" spans="1:21" x14ac:dyDescent="0.25">
      <c r="A3161" t="s">
        <v>996</v>
      </c>
      <c r="B3161" t="s">
        <v>997</v>
      </c>
      <c r="C3161" t="s">
        <v>1012</v>
      </c>
      <c r="D3161">
        <v>7760</v>
      </c>
      <c r="E3161">
        <v>400</v>
      </c>
      <c r="F3161" t="s">
        <v>1437</v>
      </c>
      <c r="G3161" t="s">
        <v>1438</v>
      </c>
      <c r="H3161" s="315" t="s">
        <v>1000</v>
      </c>
      <c r="I3161" s="315" t="s">
        <v>1434</v>
      </c>
      <c r="J3161" s="315" t="str">
        <f t="shared" si="266"/>
        <v>Admin &amp; OtherRent &amp; Rates as % of Total Gross Profit</v>
      </c>
      <c r="K3161" s="315" t="str">
        <f t="shared" si="267"/>
        <v>400Rates - Toyota</v>
      </c>
      <c r="L3161" s="311">
        <f>+SUMIF('TUNZ Extracted TB'!M:M,$P3161,'TUNZ Extracted TB'!G:G)</f>
        <v>0</v>
      </c>
      <c r="M3161" s="311"/>
      <c r="N3161" s="311">
        <f>+SUMIF('Input Sheet'!$AE:$AE,P3161,'Input Sheet'!$X:$X)</f>
        <v>0</v>
      </c>
      <c r="O3161" s="311"/>
      <c r="P3161" t="str">
        <f t="shared" si="268"/>
        <v>400-7760</v>
      </c>
      <c r="Q3161" s="315" t="str">
        <f t="shared" si="269"/>
        <v>Admin &amp; Other</v>
      </c>
      <c r="R3161" s="315" t="str">
        <f t="shared" si="270"/>
        <v>Admin &amp; OtherRent &amp; Rates as % of Total Gross Profit</v>
      </c>
      <c r="S3161" s="199"/>
      <c r="T3161" s="199"/>
      <c r="U3161" s="199"/>
    </row>
    <row r="3162" spans="1:21" x14ac:dyDescent="0.25">
      <c r="A3162" t="s">
        <v>996</v>
      </c>
      <c r="B3162" t="s">
        <v>997</v>
      </c>
      <c r="C3162" t="s">
        <v>1012</v>
      </c>
      <c r="D3162">
        <v>7760</v>
      </c>
      <c r="E3162">
        <v>410</v>
      </c>
      <c r="F3162" t="s">
        <v>1437</v>
      </c>
      <c r="G3162" t="s">
        <v>1438</v>
      </c>
      <c r="H3162" s="315" t="s">
        <v>1000</v>
      </c>
      <c r="I3162" s="315" t="s">
        <v>1434</v>
      </c>
      <c r="J3162" s="315" t="str">
        <f t="shared" si="266"/>
        <v>Admin &amp; OtherRent &amp; Rates as % of Total Gross Profit</v>
      </c>
      <c r="K3162" s="315" t="str">
        <f t="shared" si="267"/>
        <v>410Rates - Toyota</v>
      </c>
      <c r="L3162" s="311">
        <f>+SUMIF('TUNZ Extracted TB'!M:M,$P3162,'TUNZ Extracted TB'!G:G)</f>
        <v>0</v>
      </c>
      <c r="M3162" s="311"/>
      <c r="N3162" s="311">
        <f>+SUMIF('Input Sheet'!$AE:$AE,P3162,'Input Sheet'!$X:$X)</f>
        <v>0</v>
      </c>
      <c r="O3162" s="311"/>
      <c r="P3162" t="str">
        <f t="shared" si="268"/>
        <v>410-7760</v>
      </c>
      <c r="Q3162" s="315" t="str">
        <f t="shared" si="269"/>
        <v>Admin &amp; Other</v>
      </c>
      <c r="R3162" s="315" t="str">
        <f t="shared" si="270"/>
        <v>Admin &amp; OtherRent &amp; Rates as % of Total Gross Profit</v>
      </c>
      <c r="S3162" s="199"/>
      <c r="T3162" s="199"/>
      <c r="U3162" s="199"/>
    </row>
    <row r="3163" spans="1:21" x14ac:dyDescent="0.25">
      <c r="A3163" t="s">
        <v>996</v>
      </c>
      <c r="B3163" t="s">
        <v>997</v>
      </c>
      <c r="C3163" t="s">
        <v>1012</v>
      </c>
      <c r="D3163">
        <v>7760</v>
      </c>
      <c r="E3163">
        <v>420</v>
      </c>
      <c r="F3163" t="s">
        <v>1437</v>
      </c>
      <c r="G3163" t="s">
        <v>1438</v>
      </c>
      <c r="H3163" s="315" t="s">
        <v>1000</v>
      </c>
      <c r="I3163" s="315" t="s">
        <v>1434</v>
      </c>
      <c r="J3163" s="315" t="str">
        <f t="shared" si="266"/>
        <v>Admin &amp; OtherRent &amp; Rates as % of Total Gross Profit</v>
      </c>
      <c r="K3163" s="315" t="str">
        <f t="shared" si="267"/>
        <v>420Rates - Toyota</v>
      </c>
      <c r="L3163" s="311">
        <f>+SUMIF('TUNZ Extracted TB'!M:M,$P3163,'TUNZ Extracted TB'!G:G)</f>
        <v>0</v>
      </c>
      <c r="M3163" s="311"/>
      <c r="N3163" s="311">
        <f>+SUMIF('Input Sheet'!$AE:$AE,P3163,'Input Sheet'!$X:$X)</f>
        <v>0</v>
      </c>
      <c r="O3163" s="311"/>
      <c r="P3163" t="str">
        <f t="shared" si="268"/>
        <v>420-7760</v>
      </c>
      <c r="Q3163" s="315" t="str">
        <f t="shared" si="269"/>
        <v>Admin &amp; Other</v>
      </c>
      <c r="R3163" s="315" t="str">
        <f t="shared" si="270"/>
        <v>Admin &amp; OtherRent &amp; Rates as % of Total Gross Profit</v>
      </c>
      <c r="S3163" s="199"/>
      <c r="T3163" s="199"/>
      <c r="U3163" s="199"/>
    </row>
    <row r="3164" spans="1:21" x14ac:dyDescent="0.25">
      <c r="A3164" t="s">
        <v>996</v>
      </c>
      <c r="B3164" t="s">
        <v>997</v>
      </c>
      <c r="C3164" t="s">
        <v>1012</v>
      </c>
      <c r="D3164">
        <v>7760</v>
      </c>
      <c r="E3164">
        <v>421</v>
      </c>
      <c r="F3164" t="s">
        <v>1437</v>
      </c>
      <c r="G3164" t="s">
        <v>1438</v>
      </c>
      <c r="H3164" s="315" t="s">
        <v>1000</v>
      </c>
      <c r="I3164" s="315" t="s">
        <v>1434</v>
      </c>
      <c r="J3164" s="315" t="str">
        <f t="shared" si="266"/>
        <v>Admin &amp; OtherRent &amp; Rates as % of Total Gross Profit</v>
      </c>
      <c r="K3164" s="315" t="str">
        <f t="shared" si="267"/>
        <v>421Rates - Toyota</v>
      </c>
      <c r="L3164" s="311">
        <f>+SUMIF('TUNZ Extracted TB'!M:M,$P3164,'TUNZ Extracted TB'!G:G)</f>
        <v>0</v>
      </c>
      <c r="M3164" s="311"/>
      <c r="N3164" s="311">
        <f>+SUMIF('Input Sheet'!$AE:$AE,P3164,'Input Sheet'!$X:$X)</f>
        <v>0</v>
      </c>
      <c r="O3164" s="311"/>
      <c r="P3164" t="str">
        <f t="shared" si="268"/>
        <v>421-7760</v>
      </c>
      <c r="Q3164" s="315" t="str">
        <f t="shared" si="269"/>
        <v>Admin &amp; Other</v>
      </c>
      <c r="R3164" s="315" t="str">
        <f t="shared" si="270"/>
        <v>Admin &amp; OtherRent &amp; Rates as % of Total Gross Profit</v>
      </c>
      <c r="S3164" s="199"/>
      <c r="T3164" s="199"/>
      <c r="U3164" s="199"/>
    </row>
    <row r="3165" spans="1:21" x14ac:dyDescent="0.25">
      <c r="A3165" t="s">
        <v>996</v>
      </c>
      <c r="B3165" t="s">
        <v>997</v>
      </c>
      <c r="C3165" t="s">
        <v>1012</v>
      </c>
      <c r="D3165">
        <v>7760</v>
      </c>
      <c r="E3165">
        <v>460</v>
      </c>
      <c r="F3165" t="s">
        <v>1437</v>
      </c>
      <c r="G3165" t="s">
        <v>1438</v>
      </c>
      <c r="H3165" s="315" t="s">
        <v>1000</v>
      </c>
      <c r="I3165" s="315" t="s">
        <v>1434</v>
      </c>
      <c r="J3165" s="315" t="str">
        <f t="shared" si="266"/>
        <v>Admin &amp; OtherRent &amp; Rates as % of Total Gross Profit</v>
      </c>
      <c r="K3165" s="315" t="str">
        <f t="shared" si="267"/>
        <v>460Rates - Toyota</v>
      </c>
      <c r="L3165" s="311">
        <f>+SUMIF('TUNZ Extracted TB'!M:M,$P3165,'TUNZ Extracted TB'!G:G)</f>
        <v>0</v>
      </c>
      <c r="M3165" s="311"/>
      <c r="N3165" s="311">
        <f>+SUMIF('Input Sheet'!$AE:$AE,P3165,'Input Sheet'!$X:$X)</f>
        <v>0</v>
      </c>
      <c r="O3165" s="311"/>
      <c r="P3165" t="str">
        <f t="shared" si="268"/>
        <v>460-7760</v>
      </c>
      <c r="Q3165" s="315" t="str">
        <f t="shared" si="269"/>
        <v>Admin &amp; Other</v>
      </c>
      <c r="R3165" s="315" t="str">
        <f t="shared" si="270"/>
        <v>Admin &amp; OtherRent &amp; Rates as % of Total Gross Profit</v>
      </c>
      <c r="S3165" s="199"/>
      <c r="T3165" s="199"/>
      <c r="U3165" s="199"/>
    </row>
    <row r="3166" spans="1:21" x14ac:dyDescent="0.25">
      <c r="A3166" t="s">
        <v>996</v>
      </c>
      <c r="B3166" t="s">
        <v>997</v>
      </c>
      <c r="C3166" t="s">
        <v>1013</v>
      </c>
      <c r="D3166">
        <v>7760</v>
      </c>
      <c r="E3166">
        <v>300</v>
      </c>
      <c r="F3166" t="s">
        <v>1437</v>
      </c>
      <c r="G3166" t="s">
        <v>1438</v>
      </c>
      <c r="H3166" s="315" t="s">
        <v>1000</v>
      </c>
      <c r="I3166" s="315" t="s">
        <v>1434</v>
      </c>
      <c r="J3166" s="315" t="str">
        <f t="shared" si="266"/>
        <v>Admin &amp; OtherRent &amp; Rates as % of Total Gross Profit</v>
      </c>
      <c r="K3166" s="315" t="str">
        <f t="shared" si="267"/>
        <v>300Rates - Toyota</v>
      </c>
      <c r="L3166" s="311">
        <f>+SUMIF('TUNZ Extracted TB'!M:M,$P3166,'TUNZ Extracted TB'!G:G)</f>
        <v>0</v>
      </c>
      <c r="M3166" s="311"/>
      <c r="N3166" s="311">
        <f>+SUMIF('Input Sheet'!$AE:$AE,P3166,'Input Sheet'!$X:$X)</f>
        <v>0</v>
      </c>
      <c r="O3166" s="311"/>
      <c r="P3166" t="str">
        <f t="shared" si="268"/>
        <v>300-7760</v>
      </c>
      <c r="Q3166" s="315" t="str">
        <f t="shared" si="269"/>
        <v>Admin &amp; Other</v>
      </c>
      <c r="R3166" s="315" t="str">
        <f t="shared" si="270"/>
        <v>Admin &amp; OtherRent &amp; Rates as % of Total Gross Profit</v>
      </c>
      <c r="S3166" s="199"/>
      <c r="T3166" s="199"/>
      <c r="U3166" s="199"/>
    </row>
    <row r="3167" spans="1:21" x14ac:dyDescent="0.25">
      <c r="A3167" t="s">
        <v>996</v>
      </c>
      <c r="B3167" t="s">
        <v>997</v>
      </c>
      <c r="C3167" t="s">
        <v>1013</v>
      </c>
      <c r="D3167">
        <v>7760</v>
      </c>
      <c r="E3167">
        <v>310</v>
      </c>
      <c r="F3167" t="s">
        <v>1437</v>
      </c>
      <c r="G3167" t="s">
        <v>1438</v>
      </c>
      <c r="H3167" s="315" t="s">
        <v>1000</v>
      </c>
      <c r="I3167" s="315" t="s">
        <v>1434</v>
      </c>
      <c r="J3167" s="315" t="str">
        <f t="shared" si="266"/>
        <v>Admin &amp; OtherRent &amp; Rates as % of Total Gross Profit</v>
      </c>
      <c r="K3167" s="315" t="str">
        <f t="shared" si="267"/>
        <v>310Rates - Toyota</v>
      </c>
      <c r="L3167" s="311">
        <f>+SUMIF('TUNZ Extracted TB'!M:M,$P3167,'TUNZ Extracted TB'!G:G)</f>
        <v>0</v>
      </c>
      <c r="M3167" s="311"/>
      <c r="N3167" s="311">
        <f>+SUMIF('Input Sheet'!$AE:$AE,P3167,'Input Sheet'!$X:$X)</f>
        <v>0</v>
      </c>
      <c r="O3167" s="311"/>
      <c r="P3167" t="str">
        <f t="shared" si="268"/>
        <v>310-7760</v>
      </c>
      <c r="Q3167" s="315" t="str">
        <f t="shared" si="269"/>
        <v>Admin &amp; Other</v>
      </c>
      <c r="R3167" s="315" t="str">
        <f t="shared" si="270"/>
        <v>Admin &amp; OtherRent &amp; Rates as % of Total Gross Profit</v>
      </c>
      <c r="S3167" s="199"/>
      <c r="T3167" s="199"/>
      <c r="U3167" s="199"/>
    </row>
    <row r="3168" spans="1:21" x14ac:dyDescent="0.25">
      <c r="A3168" t="s">
        <v>996</v>
      </c>
      <c r="B3168" t="s">
        <v>997</v>
      </c>
      <c r="C3168" t="s">
        <v>1013</v>
      </c>
      <c r="D3168">
        <v>7760</v>
      </c>
      <c r="E3168">
        <v>321</v>
      </c>
      <c r="F3168" t="s">
        <v>1437</v>
      </c>
      <c r="G3168" t="s">
        <v>1438</v>
      </c>
      <c r="H3168" s="315" t="s">
        <v>1000</v>
      </c>
      <c r="I3168" s="315" t="s">
        <v>1434</v>
      </c>
      <c r="J3168" s="315" t="str">
        <f t="shared" si="266"/>
        <v>Admin &amp; OtherRent &amp; Rates as % of Total Gross Profit</v>
      </c>
      <c r="K3168" s="315" t="str">
        <f t="shared" si="267"/>
        <v>321Rates - Toyota</v>
      </c>
      <c r="L3168" s="311">
        <f>+SUMIF('TUNZ Extracted TB'!M:M,$P3168,'TUNZ Extracted TB'!G:G)</f>
        <v>0</v>
      </c>
      <c r="M3168" s="311"/>
      <c r="N3168" s="311">
        <f>+SUMIF('Input Sheet'!$AE:$AE,P3168,'Input Sheet'!$X:$X)</f>
        <v>0</v>
      </c>
      <c r="O3168" s="311"/>
      <c r="P3168" t="str">
        <f t="shared" si="268"/>
        <v>321-7760</v>
      </c>
      <c r="Q3168" s="315" t="str">
        <f t="shared" si="269"/>
        <v>Admin &amp; Other</v>
      </c>
      <c r="R3168" s="315" t="str">
        <f t="shared" si="270"/>
        <v>Admin &amp; OtherRent &amp; Rates as % of Total Gross Profit</v>
      </c>
      <c r="S3168" s="199"/>
      <c r="T3168" s="199"/>
      <c r="U3168" s="199"/>
    </row>
    <row r="3169" spans="1:21" x14ac:dyDescent="0.25">
      <c r="A3169" t="s">
        <v>996</v>
      </c>
      <c r="B3169" t="s">
        <v>997</v>
      </c>
      <c r="C3169" t="s">
        <v>1013</v>
      </c>
      <c r="D3169">
        <v>7760</v>
      </c>
      <c r="E3169">
        <v>360</v>
      </c>
      <c r="F3169" t="s">
        <v>1437</v>
      </c>
      <c r="G3169" t="s">
        <v>1438</v>
      </c>
      <c r="H3169" s="315" t="s">
        <v>1000</v>
      </c>
      <c r="I3169" s="315" t="s">
        <v>1434</v>
      </c>
      <c r="J3169" s="315" t="str">
        <f t="shared" si="266"/>
        <v>Admin &amp; OtherRent &amp; Rates as % of Total Gross Profit</v>
      </c>
      <c r="K3169" s="315" t="str">
        <f t="shared" si="267"/>
        <v>360Rates - Toyota</v>
      </c>
      <c r="L3169" s="311">
        <f>+SUMIF('TUNZ Extracted TB'!M:M,$P3169,'TUNZ Extracted TB'!G:G)</f>
        <v>0</v>
      </c>
      <c r="M3169" s="311"/>
      <c r="N3169" s="311">
        <f>+SUMIF('Input Sheet'!$AE:$AE,P3169,'Input Sheet'!$X:$X)</f>
        <v>0</v>
      </c>
      <c r="O3169" s="311"/>
      <c r="P3169" t="str">
        <f t="shared" si="268"/>
        <v>360-7760</v>
      </c>
      <c r="Q3169" s="315" t="str">
        <f t="shared" si="269"/>
        <v>Admin &amp; Other</v>
      </c>
      <c r="R3169" s="315" t="str">
        <f t="shared" si="270"/>
        <v>Admin &amp; OtherRent &amp; Rates as % of Total Gross Profit</v>
      </c>
      <c r="S3169" s="199"/>
      <c r="T3169" s="199"/>
      <c r="U3169" s="199"/>
    </row>
    <row r="3170" spans="1:21" x14ac:dyDescent="0.25">
      <c r="A3170" t="s">
        <v>996</v>
      </c>
      <c r="B3170" t="s">
        <v>997</v>
      </c>
      <c r="C3170" t="s">
        <v>997</v>
      </c>
      <c r="D3170">
        <v>7760</v>
      </c>
      <c r="E3170">
        <v>147</v>
      </c>
      <c r="F3170" t="s">
        <v>1437</v>
      </c>
      <c r="G3170" t="s">
        <v>1438</v>
      </c>
      <c r="H3170" s="315" t="s">
        <v>1000</v>
      </c>
      <c r="I3170" s="315" t="s">
        <v>1434</v>
      </c>
      <c r="J3170" s="315" t="str">
        <f t="shared" si="266"/>
        <v>Admin &amp; OtherRent &amp; Rates as % of Total Gross Profit</v>
      </c>
      <c r="K3170" s="315" t="str">
        <f t="shared" si="267"/>
        <v>147Rates - Toyota</v>
      </c>
      <c r="L3170" s="311">
        <f>+SUMIF('TUNZ Extracted TB'!M:M,$P3170,'TUNZ Extracted TB'!G:G)</f>
        <v>0</v>
      </c>
      <c r="M3170" s="311"/>
      <c r="N3170" s="311">
        <f>+SUMIF('Input Sheet'!$AE:$AE,P3170,'Input Sheet'!$X:$X)</f>
        <v>0</v>
      </c>
      <c r="O3170" s="311"/>
      <c r="P3170" t="str">
        <f t="shared" si="268"/>
        <v>147-7760</v>
      </c>
      <c r="Q3170" s="315" t="str">
        <f t="shared" si="269"/>
        <v>Admin &amp; Other</v>
      </c>
      <c r="R3170" s="315" t="str">
        <f t="shared" si="270"/>
        <v>Admin &amp; OtherRent &amp; Rates as % of Total Gross Profit</v>
      </c>
      <c r="S3170" s="199"/>
      <c r="T3170" s="199"/>
      <c r="U3170" s="199"/>
    </row>
    <row r="3171" spans="1:21" x14ac:dyDescent="0.25">
      <c r="A3171" t="s">
        <v>996</v>
      </c>
      <c r="B3171" t="s">
        <v>997</v>
      </c>
      <c r="C3171" t="s">
        <v>997</v>
      </c>
      <c r="D3171">
        <v>7760</v>
      </c>
      <c r="E3171">
        <v>130</v>
      </c>
      <c r="F3171" t="s">
        <v>1437</v>
      </c>
      <c r="G3171" t="s">
        <v>1438</v>
      </c>
      <c r="H3171" s="315" t="s">
        <v>1000</v>
      </c>
      <c r="I3171" s="315" t="s">
        <v>1434</v>
      </c>
      <c r="J3171" s="315" t="str">
        <f t="shared" si="266"/>
        <v>Admin &amp; OtherRent &amp; Rates as % of Total Gross Profit</v>
      </c>
      <c r="K3171" s="315" t="str">
        <f t="shared" si="267"/>
        <v>130Rates - Toyota</v>
      </c>
      <c r="L3171" s="311">
        <f>+SUMIF('TUNZ Extracted TB'!M:M,$P3171,'TUNZ Extracted TB'!G:G)</f>
        <v>707.36</v>
      </c>
      <c r="M3171" s="311"/>
      <c r="N3171" s="311">
        <f>+SUMIF('Input Sheet'!$AE:$AE,P3171,'Input Sheet'!$X:$X)</f>
        <v>0</v>
      </c>
      <c r="O3171" s="311"/>
      <c r="P3171" t="str">
        <f t="shared" si="268"/>
        <v>130-7760</v>
      </c>
      <c r="Q3171" s="315" t="str">
        <f t="shared" si="269"/>
        <v>Admin &amp; Other</v>
      </c>
      <c r="R3171" s="315" t="str">
        <f t="shared" si="270"/>
        <v>Admin &amp; OtherRent &amp; Rates as % of Total Gross Profit</v>
      </c>
      <c r="S3171" s="199"/>
      <c r="T3171" s="199"/>
      <c r="U3171" s="199"/>
    </row>
    <row r="3172" spans="1:21" x14ac:dyDescent="0.25">
      <c r="A3172" t="s">
        <v>996</v>
      </c>
      <c r="B3172" t="s">
        <v>997</v>
      </c>
      <c r="C3172" t="s">
        <v>997</v>
      </c>
      <c r="D3172">
        <v>7760</v>
      </c>
      <c r="E3172">
        <v>132</v>
      </c>
      <c r="F3172" t="s">
        <v>1439</v>
      </c>
      <c r="G3172" t="s">
        <v>1440</v>
      </c>
      <c r="H3172" s="315" t="s">
        <v>1023</v>
      </c>
      <c r="I3172" s="315" t="s">
        <v>1434</v>
      </c>
      <c r="J3172" s="315" t="str">
        <f t="shared" si="266"/>
        <v>LEX Admin &amp; OtherRent &amp; Rates as % of Total Gross Profit</v>
      </c>
      <c r="K3172" s="315" t="str">
        <f t="shared" si="267"/>
        <v>132Rates - Lexus</v>
      </c>
      <c r="L3172" s="311">
        <f>+SUMIF('TUNZ Extracted TB'!M:M,$P3172,'TUNZ Extracted TB'!G:G)</f>
        <v>0</v>
      </c>
      <c r="M3172" s="311"/>
      <c r="N3172" s="311">
        <f>+SUMIF('Input Sheet'!$AE:$AE,P3172,'Input Sheet'!$X:$X)</f>
        <v>0</v>
      </c>
      <c r="O3172" s="311"/>
      <c r="P3172" t="str">
        <f t="shared" si="268"/>
        <v>132-7760</v>
      </c>
      <c r="Q3172" s="315" t="str">
        <f t="shared" si="269"/>
        <v>LEX Admin &amp; Other</v>
      </c>
      <c r="R3172" s="315" t="str">
        <f t="shared" si="270"/>
        <v>LEX Admin &amp; OtherRent &amp; Rates as % of Total Gross Profit</v>
      </c>
      <c r="S3172" s="199"/>
      <c r="T3172" s="199"/>
      <c r="U3172" s="199"/>
    </row>
    <row r="3173" spans="1:21" x14ac:dyDescent="0.25">
      <c r="A3173" t="s">
        <v>996</v>
      </c>
      <c r="B3173" t="s">
        <v>997</v>
      </c>
      <c r="C3173" t="s">
        <v>997</v>
      </c>
      <c r="D3173">
        <v>7760</v>
      </c>
      <c r="E3173">
        <v>140</v>
      </c>
      <c r="F3173" t="s">
        <v>1437</v>
      </c>
      <c r="G3173" t="s">
        <v>1438</v>
      </c>
      <c r="H3173" s="315" t="s">
        <v>1000</v>
      </c>
      <c r="I3173" s="315" t="s">
        <v>1434</v>
      </c>
      <c r="J3173" s="315" t="str">
        <f t="shared" si="266"/>
        <v>Admin &amp; OtherRent &amp; Rates as % of Total Gross Profit</v>
      </c>
      <c r="K3173" s="315" t="str">
        <f t="shared" si="267"/>
        <v>140Rates - Toyota</v>
      </c>
      <c r="L3173" s="311">
        <f>+SUMIF('TUNZ Extracted TB'!M:M,$P3173,'TUNZ Extracted TB'!G:G)</f>
        <v>187.08</v>
      </c>
      <c r="M3173" s="311"/>
      <c r="N3173" s="311">
        <f>+SUMIF('Input Sheet'!$AE:$AE,P3173,'Input Sheet'!$X:$X)</f>
        <v>0</v>
      </c>
      <c r="O3173" s="311"/>
      <c r="P3173" t="str">
        <f t="shared" si="268"/>
        <v>140-7760</v>
      </c>
      <c r="Q3173" s="315" t="str">
        <f t="shared" si="269"/>
        <v>Admin &amp; Other</v>
      </c>
      <c r="R3173" s="315" t="str">
        <f t="shared" si="270"/>
        <v>Admin &amp; OtherRent &amp; Rates as % of Total Gross Profit</v>
      </c>
      <c r="S3173" s="199"/>
      <c r="T3173" s="199"/>
      <c r="U3173" s="199"/>
    </row>
    <row r="3174" spans="1:21" x14ac:dyDescent="0.25">
      <c r="A3174" t="s">
        <v>996</v>
      </c>
      <c r="B3174" t="s">
        <v>997</v>
      </c>
      <c r="C3174" t="s">
        <v>997</v>
      </c>
      <c r="D3174">
        <v>7760</v>
      </c>
      <c r="E3174">
        <v>142</v>
      </c>
      <c r="F3174" t="s">
        <v>1439</v>
      </c>
      <c r="G3174" t="s">
        <v>1440</v>
      </c>
      <c r="H3174" s="315" t="s">
        <v>1023</v>
      </c>
      <c r="I3174" s="315" t="s">
        <v>1434</v>
      </c>
      <c r="J3174" s="315" t="str">
        <f t="shared" si="266"/>
        <v>LEX Admin &amp; OtherRent &amp; Rates as % of Total Gross Profit</v>
      </c>
      <c r="K3174" s="315" t="str">
        <f t="shared" si="267"/>
        <v>142Rates - Lexus</v>
      </c>
      <c r="L3174" s="311">
        <f>+SUMIF('TUNZ Extracted TB'!M:M,$P3174,'TUNZ Extracted TB'!G:G)</f>
        <v>1944.65</v>
      </c>
      <c r="M3174" s="311"/>
      <c r="N3174" s="311">
        <f>+SUMIF('Input Sheet'!$AE:$AE,P3174,'Input Sheet'!$X:$X)</f>
        <v>0</v>
      </c>
      <c r="O3174" s="311"/>
      <c r="P3174" t="str">
        <f t="shared" si="268"/>
        <v>142-7760</v>
      </c>
      <c r="Q3174" s="315" t="str">
        <f t="shared" si="269"/>
        <v>LEX Admin &amp; Other</v>
      </c>
      <c r="R3174" s="315" t="str">
        <f t="shared" si="270"/>
        <v>LEX Admin &amp; OtherRent &amp; Rates as % of Total Gross Profit</v>
      </c>
      <c r="S3174" s="199"/>
      <c r="T3174" s="199"/>
      <c r="U3174" s="199"/>
    </row>
    <row r="3175" spans="1:21" x14ac:dyDescent="0.25">
      <c r="A3175" t="s">
        <v>996</v>
      </c>
      <c r="B3175" t="s">
        <v>997</v>
      </c>
      <c r="C3175" t="s">
        <v>997</v>
      </c>
      <c r="D3175">
        <v>7760</v>
      </c>
      <c r="E3175">
        <v>112</v>
      </c>
      <c r="F3175" t="s">
        <v>1439</v>
      </c>
      <c r="G3175" t="s">
        <v>1440</v>
      </c>
      <c r="H3175" s="315" t="s">
        <v>1023</v>
      </c>
      <c r="I3175" s="315" t="s">
        <v>1434</v>
      </c>
      <c r="J3175" s="315" t="str">
        <f t="shared" si="266"/>
        <v>LEX Admin &amp; OtherRent &amp; Rates as % of Total Gross Profit</v>
      </c>
      <c r="K3175" s="315" t="str">
        <f t="shared" si="267"/>
        <v>112Rates - Lexus</v>
      </c>
      <c r="L3175" s="311">
        <f>+SUMIF('TUNZ Extracted TB'!M:M,$P3175,'TUNZ Extracted TB'!G:G)</f>
        <v>4200</v>
      </c>
      <c r="M3175" s="311"/>
      <c r="N3175" s="311">
        <f>+SUMIF('Input Sheet'!$AE:$AE,P3175,'Input Sheet'!$X:$X)</f>
        <v>0</v>
      </c>
      <c r="O3175" s="311"/>
      <c r="P3175" t="str">
        <f t="shared" si="268"/>
        <v>112-7760</v>
      </c>
      <c r="Q3175" s="315" t="str">
        <f t="shared" si="269"/>
        <v>LEX Admin &amp; Other</v>
      </c>
      <c r="R3175" s="315" t="str">
        <f t="shared" si="270"/>
        <v>LEX Admin &amp; OtherRent &amp; Rates as % of Total Gross Profit</v>
      </c>
      <c r="S3175" s="199"/>
      <c r="T3175" s="199"/>
      <c r="U3175" s="199"/>
    </row>
    <row r="3176" spans="1:21" x14ac:dyDescent="0.25">
      <c r="A3176" t="s">
        <v>996</v>
      </c>
      <c r="B3176" t="s">
        <v>997</v>
      </c>
      <c r="C3176" t="s">
        <v>997</v>
      </c>
      <c r="D3176">
        <v>7760</v>
      </c>
      <c r="E3176">
        <v>110</v>
      </c>
      <c r="F3176" t="s">
        <v>1437</v>
      </c>
      <c r="G3176" t="s">
        <v>1438</v>
      </c>
      <c r="H3176" s="315" t="s">
        <v>1000</v>
      </c>
      <c r="I3176" s="315" t="s">
        <v>1434</v>
      </c>
      <c r="J3176" s="315" t="str">
        <f t="shared" si="266"/>
        <v>Admin &amp; OtherRent &amp; Rates as % of Total Gross Profit</v>
      </c>
      <c r="K3176" s="315" t="str">
        <f t="shared" si="267"/>
        <v>110Rates - Toyota</v>
      </c>
      <c r="L3176" s="311">
        <f>+SUMIF('TUNZ Extracted TB'!M:M,$P3176,'TUNZ Extracted TB'!G:G)</f>
        <v>1676.57</v>
      </c>
      <c r="M3176" s="311"/>
      <c r="N3176" s="311">
        <f>+SUMIF('Input Sheet'!$AE:$AE,P3176,'Input Sheet'!$X:$X)</f>
        <v>0</v>
      </c>
      <c r="O3176" s="311"/>
      <c r="P3176" t="str">
        <f t="shared" si="268"/>
        <v>110-7760</v>
      </c>
      <c r="Q3176" s="315" t="str">
        <f t="shared" si="269"/>
        <v>Admin &amp; Other</v>
      </c>
      <c r="R3176" s="315" t="str">
        <f t="shared" si="270"/>
        <v>Admin &amp; OtherRent &amp; Rates as % of Total Gross Profit</v>
      </c>
      <c r="S3176" s="199"/>
      <c r="T3176" s="199"/>
      <c r="U3176" s="199"/>
    </row>
    <row r="3177" spans="1:21" x14ac:dyDescent="0.25">
      <c r="A3177" t="s">
        <v>996</v>
      </c>
      <c r="B3177" t="s">
        <v>997</v>
      </c>
      <c r="C3177" t="s">
        <v>997</v>
      </c>
      <c r="D3177">
        <v>7760</v>
      </c>
      <c r="E3177">
        <v>100</v>
      </c>
      <c r="F3177" t="s">
        <v>1437</v>
      </c>
      <c r="G3177" t="s">
        <v>1438</v>
      </c>
      <c r="H3177" s="315" t="s">
        <v>1000</v>
      </c>
      <c r="I3177" s="315" t="s">
        <v>1434</v>
      </c>
      <c r="J3177" s="315" t="str">
        <f t="shared" si="266"/>
        <v>Admin &amp; OtherRent &amp; Rates as % of Total Gross Profit</v>
      </c>
      <c r="K3177" s="315" t="str">
        <f t="shared" si="267"/>
        <v>100Rates - Toyota</v>
      </c>
      <c r="L3177" s="311">
        <f>+SUMIF('TUNZ Extracted TB'!M:M,$P3177,'TUNZ Extracted TB'!G:G)</f>
        <v>0</v>
      </c>
      <c r="M3177" s="311"/>
      <c r="N3177" s="311">
        <f>+SUMIF('Input Sheet'!$AE:$AE,P3177,'Input Sheet'!$X:$X)</f>
        <v>0</v>
      </c>
      <c r="O3177" s="311"/>
      <c r="P3177" t="str">
        <f t="shared" si="268"/>
        <v>100-7760</v>
      </c>
      <c r="Q3177" s="315" t="str">
        <f t="shared" si="269"/>
        <v>Admin &amp; Other</v>
      </c>
      <c r="R3177" s="315" t="str">
        <f t="shared" si="270"/>
        <v>Admin &amp; OtherRent &amp; Rates as % of Total Gross Profit</v>
      </c>
      <c r="S3177" s="199"/>
      <c r="T3177" s="199"/>
      <c r="U3177" s="199"/>
    </row>
    <row r="3178" spans="1:21" x14ac:dyDescent="0.25">
      <c r="A3178" t="s">
        <v>996</v>
      </c>
      <c r="B3178" t="s">
        <v>997</v>
      </c>
      <c r="C3178" t="s">
        <v>997</v>
      </c>
      <c r="D3178">
        <v>7780</v>
      </c>
      <c r="E3178">
        <v>122</v>
      </c>
      <c r="F3178" t="s">
        <v>1441</v>
      </c>
      <c r="G3178" t="s">
        <v>1442</v>
      </c>
      <c r="H3178" s="315" t="s">
        <v>1023</v>
      </c>
      <c r="I3178" s="315" t="s">
        <v>1443</v>
      </c>
      <c r="J3178" s="315" t="str">
        <f t="shared" si="266"/>
        <v>LEX Admin &amp; OtherInsurance as % of Total Gross Profit</v>
      </c>
      <c r="K3178" s="315" t="str">
        <f t="shared" si="267"/>
        <v>122Insurance expense - Lexus</v>
      </c>
      <c r="L3178" s="311">
        <f>+SUMIF('TUNZ Extracted TB'!M:M,$P3178,'TUNZ Extracted TB'!G:G)</f>
        <v>0</v>
      </c>
      <c r="M3178" s="311"/>
      <c r="N3178" s="311">
        <f>+SUMIF('Input Sheet'!$AE:$AE,P3178,'Input Sheet'!$X:$X)</f>
        <v>0</v>
      </c>
      <c r="O3178" s="311"/>
      <c r="P3178" t="str">
        <f t="shared" si="268"/>
        <v>122-7780</v>
      </c>
      <c r="Q3178" s="315" t="str">
        <f t="shared" si="269"/>
        <v>LEX Admin &amp; Other</v>
      </c>
      <c r="R3178" s="315" t="str">
        <f t="shared" si="270"/>
        <v>LEX Admin &amp; OtherInsurance as % of Total Gross Profit</v>
      </c>
      <c r="S3178" s="199"/>
      <c r="T3178" s="199"/>
      <c r="U3178" s="199"/>
    </row>
    <row r="3179" spans="1:21" x14ac:dyDescent="0.25">
      <c r="A3179" t="s">
        <v>996</v>
      </c>
      <c r="B3179" t="s">
        <v>997</v>
      </c>
      <c r="C3179" t="s">
        <v>997</v>
      </c>
      <c r="D3179">
        <v>7780</v>
      </c>
      <c r="E3179">
        <v>162</v>
      </c>
      <c r="F3179" t="s">
        <v>1441</v>
      </c>
      <c r="G3179" t="s">
        <v>1442</v>
      </c>
      <c r="H3179" s="315" t="s">
        <v>1023</v>
      </c>
      <c r="I3179" s="315" t="s">
        <v>1443</v>
      </c>
      <c r="J3179" s="315" t="str">
        <f t="shared" si="266"/>
        <v>LEX Admin &amp; OtherInsurance as % of Total Gross Profit</v>
      </c>
      <c r="K3179" s="315" t="str">
        <f t="shared" si="267"/>
        <v>162Insurance expense - Lexus</v>
      </c>
      <c r="L3179" s="311">
        <f>+SUMIF('TUNZ Extracted TB'!M:M,$P3179,'TUNZ Extracted TB'!G:G)</f>
        <v>0</v>
      </c>
      <c r="M3179" s="311"/>
      <c r="N3179" s="311">
        <f>+SUMIF('Input Sheet'!$AE:$AE,P3179,'Input Sheet'!$X:$X)</f>
        <v>0</v>
      </c>
      <c r="O3179" s="311"/>
      <c r="P3179" t="str">
        <f t="shared" si="268"/>
        <v>162-7780</v>
      </c>
      <c r="Q3179" s="315" t="str">
        <f t="shared" si="269"/>
        <v>LEX Admin &amp; Other</v>
      </c>
      <c r="R3179" s="315" t="str">
        <f t="shared" si="270"/>
        <v>LEX Admin &amp; OtherInsurance as % of Total Gross Profit</v>
      </c>
      <c r="S3179" s="199"/>
      <c r="T3179" s="199"/>
      <c r="U3179" s="199"/>
    </row>
    <row r="3180" spans="1:21" x14ac:dyDescent="0.25">
      <c r="A3180" t="s">
        <v>996</v>
      </c>
      <c r="B3180" t="s">
        <v>997</v>
      </c>
      <c r="C3180" t="s">
        <v>1005</v>
      </c>
      <c r="D3180">
        <v>7780</v>
      </c>
      <c r="E3180">
        <v>200</v>
      </c>
      <c r="F3180" t="s">
        <v>1444</v>
      </c>
      <c r="G3180" t="s">
        <v>1445</v>
      </c>
      <c r="H3180" s="315" t="s">
        <v>1000</v>
      </c>
      <c r="I3180" s="315" t="s">
        <v>1443</v>
      </c>
      <c r="J3180" s="315" t="str">
        <f t="shared" si="266"/>
        <v>Admin &amp; OtherInsurance as % of Total Gross Profit</v>
      </c>
      <c r="K3180" s="315" t="str">
        <f t="shared" si="267"/>
        <v>200Insurance expense - Toyota</v>
      </c>
      <c r="L3180" s="311">
        <f>+SUMIF('TUNZ Extracted TB'!M:M,$P3180,'TUNZ Extracted TB'!G:G)</f>
        <v>0</v>
      </c>
      <c r="M3180" s="311"/>
      <c r="N3180" s="311">
        <f>+SUMIF('Input Sheet'!$AE:$AE,P3180,'Input Sheet'!$X:$X)</f>
        <v>0</v>
      </c>
      <c r="O3180" s="311"/>
      <c r="P3180" t="str">
        <f t="shared" si="268"/>
        <v>200-7780</v>
      </c>
      <c r="Q3180" s="315" t="str">
        <f t="shared" si="269"/>
        <v>Admin &amp; Other</v>
      </c>
      <c r="R3180" s="315" t="str">
        <f t="shared" si="270"/>
        <v>Admin &amp; OtherInsurance as % of Total Gross Profit</v>
      </c>
      <c r="S3180" s="199"/>
      <c r="T3180" s="199"/>
      <c r="U3180" s="199"/>
    </row>
    <row r="3181" spans="1:21" x14ac:dyDescent="0.25">
      <c r="A3181" t="s">
        <v>996</v>
      </c>
      <c r="B3181" t="s">
        <v>997</v>
      </c>
      <c r="C3181" t="s">
        <v>1005</v>
      </c>
      <c r="D3181">
        <v>7780</v>
      </c>
      <c r="E3181">
        <v>210</v>
      </c>
      <c r="F3181" t="s">
        <v>1444</v>
      </c>
      <c r="G3181" t="s">
        <v>1445</v>
      </c>
      <c r="H3181" s="315" t="s">
        <v>1000</v>
      </c>
      <c r="I3181" s="315" t="s">
        <v>1443</v>
      </c>
      <c r="J3181" s="315" t="str">
        <f t="shared" si="266"/>
        <v>Admin &amp; OtherInsurance as % of Total Gross Profit</v>
      </c>
      <c r="K3181" s="315" t="str">
        <f t="shared" si="267"/>
        <v>210Insurance expense - Toyota</v>
      </c>
      <c r="L3181" s="311">
        <f>+SUMIF('TUNZ Extracted TB'!M:M,$P3181,'TUNZ Extracted TB'!G:G)</f>
        <v>0</v>
      </c>
      <c r="M3181" s="311"/>
      <c r="N3181" s="311">
        <f>+SUMIF('Input Sheet'!$AE:$AE,P3181,'Input Sheet'!$X:$X)</f>
        <v>0</v>
      </c>
      <c r="O3181" s="311"/>
      <c r="P3181" t="str">
        <f t="shared" si="268"/>
        <v>210-7780</v>
      </c>
      <c r="Q3181" s="315" t="str">
        <f t="shared" si="269"/>
        <v>Admin &amp; Other</v>
      </c>
      <c r="R3181" s="315" t="str">
        <f t="shared" si="270"/>
        <v>Admin &amp; OtherInsurance as % of Total Gross Profit</v>
      </c>
      <c r="S3181" s="199"/>
      <c r="T3181" s="199"/>
      <c r="U3181" s="199"/>
    </row>
    <row r="3182" spans="1:21" x14ac:dyDescent="0.25">
      <c r="A3182" t="s">
        <v>996</v>
      </c>
      <c r="B3182" t="s">
        <v>997</v>
      </c>
      <c r="C3182" t="s">
        <v>1005</v>
      </c>
      <c r="D3182">
        <v>7780</v>
      </c>
      <c r="E3182">
        <v>220</v>
      </c>
      <c r="F3182" t="s">
        <v>1444</v>
      </c>
      <c r="G3182" t="s">
        <v>1445</v>
      </c>
      <c r="H3182" s="315" t="s">
        <v>1000</v>
      </c>
      <c r="I3182" s="315" t="s">
        <v>1443</v>
      </c>
      <c r="J3182" s="315" t="str">
        <f t="shared" si="266"/>
        <v>Admin &amp; OtherInsurance as % of Total Gross Profit</v>
      </c>
      <c r="K3182" s="315" t="str">
        <f t="shared" si="267"/>
        <v>220Insurance expense - Toyota</v>
      </c>
      <c r="L3182" s="311">
        <f>+SUMIF('TUNZ Extracted TB'!M:M,$P3182,'TUNZ Extracted TB'!G:G)</f>
        <v>0</v>
      </c>
      <c r="M3182" s="311"/>
      <c r="N3182" s="311">
        <f>+SUMIF('Input Sheet'!$AE:$AE,P3182,'Input Sheet'!$X:$X)</f>
        <v>0</v>
      </c>
      <c r="O3182" s="311"/>
      <c r="P3182" t="str">
        <f t="shared" si="268"/>
        <v>220-7780</v>
      </c>
      <c r="Q3182" s="315" t="str">
        <f t="shared" si="269"/>
        <v>Admin &amp; Other</v>
      </c>
      <c r="R3182" s="315" t="str">
        <f t="shared" si="270"/>
        <v>Admin &amp; OtherInsurance as % of Total Gross Profit</v>
      </c>
      <c r="S3182" s="199"/>
      <c r="T3182" s="199"/>
      <c r="U3182" s="199"/>
    </row>
    <row r="3183" spans="1:21" x14ac:dyDescent="0.25">
      <c r="A3183" t="s">
        <v>996</v>
      </c>
      <c r="B3183" t="s">
        <v>997</v>
      </c>
      <c r="C3183" t="s">
        <v>1005</v>
      </c>
      <c r="D3183">
        <v>7780</v>
      </c>
      <c r="E3183">
        <v>221</v>
      </c>
      <c r="F3183" t="s">
        <v>1444</v>
      </c>
      <c r="G3183" t="s">
        <v>1445</v>
      </c>
      <c r="H3183" s="315" t="s">
        <v>1000</v>
      </c>
      <c r="I3183" s="315" t="s">
        <v>1443</v>
      </c>
      <c r="J3183" s="315" t="str">
        <f t="shared" si="266"/>
        <v>Admin &amp; OtherInsurance as % of Total Gross Profit</v>
      </c>
      <c r="K3183" s="315" t="str">
        <f t="shared" si="267"/>
        <v>221Insurance expense - Toyota</v>
      </c>
      <c r="L3183" s="311">
        <f>+SUMIF('TUNZ Extracted TB'!M:M,$P3183,'TUNZ Extracted TB'!G:G)</f>
        <v>0</v>
      </c>
      <c r="M3183" s="311"/>
      <c r="N3183" s="311">
        <f>+SUMIF('Input Sheet'!$AE:$AE,P3183,'Input Sheet'!$X:$X)</f>
        <v>0</v>
      </c>
      <c r="O3183" s="311"/>
      <c r="P3183" t="str">
        <f t="shared" si="268"/>
        <v>221-7780</v>
      </c>
      <c r="Q3183" s="315" t="str">
        <f t="shared" si="269"/>
        <v>Admin &amp; Other</v>
      </c>
      <c r="R3183" s="315" t="str">
        <f t="shared" si="270"/>
        <v>Admin &amp; OtherInsurance as % of Total Gross Profit</v>
      </c>
      <c r="S3183" s="199"/>
      <c r="T3183" s="199"/>
      <c r="U3183" s="199"/>
    </row>
    <row r="3184" spans="1:21" x14ac:dyDescent="0.25">
      <c r="A3184" t="s">
        <v>996</v>
      </c>
      <c r="B3184" t="s">
        <v>997</v>
      </c>
      <c r="C3184" t="s">
        <v>1005</v>
      </c>
      <c r="D3184">
        <v>7780</v>
      </c>
      <c r="E3184">
        <v>230</v>
      </c>
      <c r="F3184" t="s">
        <v>1444</v>
      </c>
      <c r="G3184" t="s">
        <v>1445</v>
      </c>
      <c r="H3184" s="315" t="s">
        <v>1000</v>
      </c>
      <c r="I3184" s="315" t="s">
        <v>1443</v>
      </c>
      <c r="J3184" s="315" t="str">
        <f t="shared" si="266"/>
        <v>Admin &amp; OtherInsurance as % of Total Gross Profit</v>
      </c>
      <c r="K3184" s="315" t="str">
        <f t="shared" si="267"/>
        <v>230Insurance expense - Toyota</v>
      </c>
      <c r="L3184" s="311">
        <f>+SUMIF('TUNZ Extracted TB'!M:M,$P3184,'TUNZ Extracted TB'!G:G)</f>
        <v>0</v>
      </c>
      <c r="M3184" s="311"/>
      <c r="N3184" s="311">
        <f>+SUMIF('Input Sheet'!$AE:$AE,P3184,'Input Sheet'!$X:$X)</f>
        <v>0</v>
      </c>
      <c r="O3184" s="311"/>
      <c r="P3184" t="str">
        <f t="shared" si="268"/>
        <v>230-7780</v>
      </c>
      <c r="Q3184" s="315" t="str">
        <f t="shared" si="269"/>
        <v>Admin &amp; Other</v>
      </c>
      <c r="R3184" s="315" t="str">
        <f t="shared" si="270"/>
        <v>Admin &amp; OtherInsurance as % of Total Gross Profit</v>
      </c>
      <c r="S3184" s="199"/>
      <c r="T3184" s="199"/>
      <c r="U3184" s="199"/>
    </row>
    <row r="3185" spans="1:21" x14ac:dyDescent="0.25">
      <c r="A3185" t="s">
        <v>996</v>
      </c>
      <c r="B3185" t="s">
        <v>997</v>
      </c>
      <c r="C3185" t="s">
        <v>1005</v>
      </c>
      <c r="D3185">
        <v>7780</v>
      </c>
      <c r="E3185">
        <v>240</v>
      </c>
      <c r="F3185" t="s">
        <v>1444</v>
      </c>
      <c r="G3185" t="s">
        <v>1445</v>
      </c>
      <c r="H3185" s="315" t="s">
        <v>1000</v>
      </c>
      <c r="I3185" s="315" t="s">
        <v>1443</v>
      </c>
      <c r="J3185" s="315" t="str">
        <f t="shared" si="266"/>
        <v>Admin &amp; OtherInsurance as % of Total Gross Profit</v>
      </c>
      <c r="K3185" s="315" t="str">
        <f t="shared" si="267"/>
        <v>240Insurance expense - Toyota</v>
      </c>
      <c r="L3185" s="311">
        <f>+SUMIF('TUNZ Extracted TB'!M:M,$P3185,'TUNZ Extracted TB'!G:G)</f>
        <v>0</v>
      </c>
      <c r="M3185" s="311"/>
      <c r="N3185" s="311">
        <f>+SUMIF('Input Sheet'!$AE:$AE,P3185,'Input Sheet'!$X:$X)</f>
        <v>0</v>
      </c>
      <c r="O3185" s="311"/>
      <c r="P3185" t="str">
        <f t="shared" si="268"/>
        <v>240-7780</v>
      </c>
      <c r="Q3185" s="315" t="str">
        <f t="shared" si="269"/>
        <v>Admin &amp; Other</v>
      </c>
      <c r="R3185" s="315" t="str">
        <f t="shared" si="270"/>
        <v>Admin &amp; OtherInsurance as % of Total Gross Profit</v>
      </c>
      <c r="S3185" s="199"/>
      <c r="T3185" s="199"/>
      <c r="U3185" s="199"/>
    </row>
    <row r="3186" spans="1:21" x14ac:dyDescent="0.25">
      <c r="A3186" t="s">
        <v>996</v>
      </c>
      <c r="B3186" t="s">
        <v>997</v>
      </c>
      <c r="C3186" t="s">
        <v>1005</v>
      </c>
      <c r="D3186">
        <v>7780</v>
      </c>
      <c r="E3186">
        <v>260</v>
      </c>
      <c r="F3186" t="s">
        <v>1444</v>
      </c>
      <c r="G3186" t="s">
        <v>1445</v>
      </c>
      <c r="H3186" s="315" t="s">
        <v>1000</v>
      </c>
      <c r="I3186" s="315" t="s">
        <v>1443</v>
      </c>
      <c r="J3186" s="315" t="str">
        <f t="shared" si="266"/>
        <v>Admin &amp; OtherInsurance as % of Total Gross Profit</v>
      </c>
      <c r="K3186" s="315" t="str">
        <f t="shared" si="267"/>
        <v>260Insurance expense - Toyota</v>
      </c>
      <c r="L3186" s="311">
        <f>+SUMIF('TUNZ Extracted TB'!M:M,$P3186,'TUNZ Extracted TB'!G:G)</f>
        <v>0</v>
      </c>
      <c r="M3186" s="311"/>
      <c r="N3186" s="311">
        <f>+SUMIF('Input Sheet'!$AE:$AE,P3186,'Input Sheet'!$X:$X)</f>
        <v>0</v>
      </c>
      <c r="O3186" s="311"/>
      <c r="P3186" t="str">
        <f t="shared" si="268"/>
        <v>260-7780</v>
      </c>
      <c r="Q3186" s="315" t="str">
        <f t="shared" si="269"/>
        <v>Admin &amp; Other</v>
      </c>
      <c r="R3186" s="315" t="str">
        <f t="shared" si="270"/>
        <v>Admin &amp; OtherInsurance as % of Total Gross Profit</v>
      </c>
      <c r="S3186" s="199"/>
      <c r="T3186" s="199"/>
      <c r="U3186" s="199"/>
    </row>
    <row r="3187" spans="1:21" x14ac:dyDescent="0.25">
      <c r="A3187" t="s">
        <v>996</v>
      </c>
      <c r="B3187" t="s">
        <v>997</v>
      </c>
      <c r="C3187" t="s">
        <v>1012</v>
      </c>
      <c r="D3187">
        <v>7780</v>
      </c>
      <c r="E3187">
        <v>400</v>
      </c>
      <c r="F3187" t="s">
        <v>1444</v>
      </c>
      <c r="G3187" t="s">
        <v>1445</v>
      </c>
      <c r="H3187" s="315" t="s">
        <v>1000</v>
      </c>
      <c r="I3187" s="315" t="s">
        <v>1443</v>
      </c>
      <c r="J3187" s="315" t="str">
        <f t="shared" si="266"/>
        <v>Admin &amp; OtherInsurance as % of Total Gross Profit</v>
      </c>
      <c r="K3187" s="315" t="str">
        <f t="shared" si="267"/>
        <v>400Insurance expense - Toyota</v>
      </c>
      <c r="L3187" s="311">
        <f>+SUMIF('TUNZ Extracted TB'!M:M,$P3187,'TUNZ Extracted TB'!G:G)</f>
        <v>0</v>
      </c>
      <c r="M3187" s="311"/>
      <c r="N3187" s="311">
        <f>+SUMIF('Input Sheet'!$AE:$AE,P3187,'Input Sheet'!$X:$X)</f>
        <v>0</v>
      </c>
      <c r="O3187" s="311"/>
      <c r="P3187" t="str">
        <f t="shared" si="268"/>
        <v>400-7780</v>
      </c>
      <c r="Q3187" s="315" t="str">
        <f t="shared" si="269"/>
        <v>Admin &amp; Other</v>
      </c>
      <c r="R3187" s="315" t="str">
        <f t="shared" si="270"/>
        <v>Admin &amp; OtherInsurance as % of Total Gross Profit</v>
      </c>
      <c r="S3187" s="199"/>
      <c r="T3187" s="199"/>
      <c r="U3187" s="199"/>
    </row>
    <row r="3188" spans="1:21" x14ac:dyDescent="0.25">
      <c r="A3188" t="s">
        <v>996</v>
      </c>
      <c r="B3188" t="s">
        <v>997</v>
      </c>
      <c r="C3188" t="s">
        <v>1012</v>
      </c>
      <c r="D3188">
        <v>7780</v>
      </c>
      <c r="E3188">
        <v>410</v>
      </c>
      <c r="F3188" t="s">
        <v>1444</v>
      </c>
      <c r="G3188" t="s">
        <v>1445</v>
      </c>
      <c r="H3188" s="315" t="s">
        <v>1000</v>
      </c>
      <c r="I3188" s="315" t="s">
        <v>1443</v>
      </c>
      <c r="J3188" s="315" t="str">
        <f t="shared" si="266"/>
        <v>Admin &amp; OtherInsurance as % of Total Gross Profit</v>
      </c>
      <c r="K3188" s="315" t="str">
        <f t="shared" si="267"/>
        <v>410Insurance expense - Toyota</v>
      </c>
      <c r="L3188" s="311">
        <f>+SUMIF('TUNZ Extracted TB'!M:M,$P3188,'TUNZ Extracted TB'!G:G)</f>
        <v>0</v>
      </c>
      <c r="M3188" s="311"/>
      <c r="N3188" s="311">
        <f>+SUMIF('Input Sheet'!$AE:$AE,P3188,'Input Sheet'!$X:$X)</f>
        <v>0</v>
      </c>
      <c r="O3188" s="311"/>
      <c r="P3188" t="str">
        <f t="shared" si="268"/>
        <v>410-7780</v>
      </c>
      <c r="Q3188" s="315" t="str">
        <f t="shared" si="269"/>
        <v>Admin &amp; Other</v>
      </c>
      <c r="R3188" s="315" t="str">
        <f t="shared" si="270"/>
        <v>Admin &amp; OtherInsurance as % of Total Gross Profit</v>
      </c>
      <c r="S3188" s="199"/>
      <c r="T3188" s="199"/>
      <c r="U3188" s="199"/>
    </row>
    <row r="3189" spans="1:21" x14ac:dyDescent="0.25">
      <c r="A3189" t="s">
        <v>996</v>
      </c>
      <c r="B3189" t="s">
        <v>997</v>
      </c>
      <c r="C3189" t="s">
        <v>1012</v>
      </c>
      <c r="D3189">
        <v>7780</v>
      </c>
      <c r="E3189">
        <v>420</v>
      </c>
      <c r="F3189" t="s">
        <v>1444</v>
      </c>
      <c r="G3189" t="s">
        <v>1445</v>
      </c>
      <c r="H3189" s="315" t="s">
        <v>1000</v>
      </c>
      <c r="I3189" s="315" t="s">
        <v>1443</v>
      </c>
      <c r="J3189" s="315" t="str">
        <f t="shared" si="266"/>
        <v>Admin &amp; OtherInsurance as % of Total Gross Profit</v>
      </c>
      <c r="K3189" s="315" t="str">
        <f t="shared" si="267"/>
        <v>420Insurance expense - Toyota</v>
      </c>
      <c r="L3189" s="311">
        <f>+SUMIF('TUNZ Extracted TB'!M:M,$P3189,'TUNZ Extracted TB'!G:G)</f>
        <v>0</v>
      </c>
      <c r="M3189" s="311"/>
      <c r="N3189" s="311">
        <f>+SUMIF('Input Sheet'!$AE:$AE,P3189,'Input Sheet'!$X:$X)</f>
        <v>0</v>
      </c>
      <c r="O3189" s="311"/>
      <c r="P3189" t="str">
        <f t="shared" si="268"/>
        <v>420-7780</v>
      </c>
      <c r="Q3189" s="315" t="str">
        <f t="shared" si="269"/>
        <v>Admin &amp; Other</v>
      </c>
      <c r="R3189" s="315" t="str">
        <f t="shared" si="270"/>
        <v>Admin &amp; OtherInsurance as % of Total Gross Profit</v>
      </c>
      <c r="S3189" s="199"/>
      <c r="T3189" s="199"/>
      <c r="U3189" s="199"/>
    </row>
    <row r="3190" spans="1:21" x14ac:dyDescent="0.25">
      <c r="A3190" t="s">
        <v>996</v>
      </c>
      <c r="B3190" t="s">
        <v>997</v>
      </c>
      <c r="C3190" t="s">
        <v>1012</v>
      </c>
      <c r="D3190">
        <v>7780</v>
      </c>
      <c r="E3190">
        <v>421</v>
      </c>
      <c r="F3190" t="s">
        <v>1444</v>
      </c>
      <c r="G3190" t="s">
        <v>1445</v>
      </c>
      <c r="H3190" s="315" t="s">
        <v>1000</v>
      </c>
      <c r="I3190" s="315" t="s">
        <v>1443</v>
      </c>
      <c r="J3190" s="315" t="str">
        <f t="shared" si="266"/>
        <v>Admin &amp; OtherInsurance as % of Total Gross Profit</v>
      </c>
      <c r="K3190" s="315" t="str">
        <f t="shared" si="267"/>
        <v>421Insurance expense - Toyota</v>
      </c>
      <c r="L3190" s="311">
        <f>+SUMIF('TUNZ Extracted TB'!M:M,$P3190,'TUNZ Extracted TB'!G:G)</f>
        <v>0</v>
      </c>
      <c r="M3190" s="311"/>
      <c r="N3190" s="311">
        <f>+SUMIF('Input Sheet'!$AE:$AE,P3190,'Input Sheet'!$X:$X)</f>
        <v>0</v>
      </c>
      <c r="O3190" s="311"/>
      <c r="P3190" t="str">
        <f t="shared" si="268"/>
        <v>421-7780</v>
      </c>
      <c r="Q3190" s="315" t="str">
        <f t="shared" si="269"/>
        <v>Admin &amp; Other</v>
      </c>
      <c r="R3190" s="315" t="str">
        <f t="shared" si="270"/>
        <v>Admin &amp; OtherInsurance as % of Total Gross Profit</v>
      </c>
      <c r="S3190" s="199"/>
      <c r="T3190" s="199"/>
      <c r="U3190" s="199"/>
    </row>
    <row r="3191" spans="1:21" x14ac:dyDescent="0.25">
      <c r="A3191" t="s">
        <v>996</v>
      </c>
      <c r="B3191" t="s">
        <v>997</v>
      </c>
      <c r="C3191" t="s">
        <v>1012</v>
      </c>
      <c r="D3191">
        <v>7780</v>
      </c>
      <c r="E3191">
        <v>430</v>
      </c>
      <c r="F3191" t="s">
        <v>1444</v>
      </c>
      <c r="G3191" t="s">
        <v>1445</v>
      </c>
      <c r="H3191" s="315" t="s">
        <v>1000</v>
      </c>
      <c r="I3191" s="315" t="s">
        <v>1443</v>
      </c>
      <c r="J3191" s="315" t="str">
        <f t="shared" si="266"/>
        <v>Admin &amp; OtherInsurance as % of Total Gross Profit</v>
      </c>
      <c r="K3191" s="315" t="str">
        <f t="shared" si="267"/>
        <v>430Insurance expense - Toyota</v>
      </c>
      <c r="L3191" s="311">
        <f>+SUMIF('TUNZ Extracted TB'!M:M,$P3191,'TUNZ Extracted TB'!G:G)</f>
        <v>0</v>
      </c>
      <c r="M3191" s="311"/>
      <c r="N3191" s="311">
        <f>+SUMIF('Input Sheet'!$AE:$AE,P3191,'Input Sheet'!$X:$X)</f>
        <v>0</v>
      </c>
      <c r="O3191" s="311"/>
      <c r="P3191" t="str">
        <f t="shared" si="268"/>
        <v>430-7780</v>
      </c>
      <c r="Q3191" s="315" t="str">
        <f t="shared" si="269"/>
        <v>Admin &amp; Other</v>
      </c>
      <c r="R3191" s="315" t="str">
        <f t="shared" si="270"/>
        <v>Admin &amp; OtherInsurance as % of Total Gross Profit</v>
      </c>
      <c r="S3191" s="199"/>
      <c r="T3191" s="199"/>
      <c r="U3191" s="199"/>
    </row>
    <row r="3192" spans="1:21" x14ac:dyDescent="0.25">
      <c r="A3192" t="s">
        <v>996</v>
      </c>
      <c r="B3192" t="s">
        <v>997</v>
      </c>
      <c r="C3192" t="s">
        <v>1012</v>
      </c>
      <c r="D3192">
        <v>7780</v>
      </c>
      <c r="E3192">
        <v>440</v>
      </c>
      <c r="F3192" t="s">
        <v>1444</v>
      </c>
      <c r="G3192" t="s">
        <v>1445</v>
      </c>
      <c r="H3192" s="315" t="s">
        <v>1000</v>
      </c>
      <c r="I3192" s="315" t="s">
        <v>1443</v>
      </c>
      <c r="J3192" s="315" t="str">
        <f t="shared" si="266"/>
        <v>Admin &amp; OtherInsurance as % of Total Gross Profit</v>
      </c>
      <c r="K3192" s="315" t="str">
        <f t="shared" si="267"/>
        <v>440Insurance expense - Toyota</v>
      </c>
      <c r="L3192" s="311">
        <f>+SUMIF('TUNZ Extracted TB'!M:M,$P3192,'TUNZ Extracted TB'!G:G)</f>
        <v>0</v>
      </c>
      <c r="M3192" s="311"/>
      <c r="N3192" s="311">
        <f>+SUMIF('Input Sheet'!$AE:$AE,P3192,'Input Sheet'!$X:$X)</f>
        <v>0</v>
      </c>
      <c r="O3192" s="311"/>
      <c r="P3192" t="str">
        <f t="shared" si="268"/>
        <v>440-7780</v>
      </c>
      <c r="Q3192" s="315" t="str">
        <f t="shared" si="269"/>
        <v>Admin &amp; Other</v>
      </c>
      <c r="R3192" s="315" t="str">
        <f t="shared" si="270"/>
        <v>Admin &amp; OtherInsurance as % of Total Gross Profit</v>
      </c>
      <c r="S3192" s="199"/>
      <c r="T3192" s="199"/>
      <c r="U3192" s="199"/>
    </row>
    <row r="3193" spans="1:21" x14ac:dyDescent="0.25">
      <c r="A3193" t="s">
        <v>996</v>
      </c>
      <c r="B3193" t="s">
        <v>997</v>
      </c>
      <c r="C3193" t="s">
        <v>1012</v>
      </c>
      <c r="D3193">
        <v>7780</v>
      </c>
      <c r="E3193">
        <v>460</v>
      </c>
      <c r="F3193" t="s">
        <v>1444</v>
      </c>
      <c r="G3193" t="s">
        <v>1445</v>
      </c>
      <c r="H3193" s="315" t="s">
        <v>1000</v>
      </c>
      <c r="I3193" s="315" t="s">
        <v>1443</v>
      </c>
      <c r="J3193" s="315" t="str">
        <f t="shared" si="266"/>
        <v>Admin &amp; OtherInsurance as % of Total Gross Profit</v>
      </c>
      <c r="K3193" s="315" t="str">
        <f t="shared" si="267"/>
        <v>460Insurance expense - Toyota</v>
      </c>
      <c r="L3193" s="311">
        <f>+SUMIF('TUNZ Extracted TB'!M:M,$P3193,'TUNZ Extracted TB'!G:G)</f>
        <v>0</v>
      </c>
      <c r="M3193" s="311"/>
      <c r="N3193" s="311">
        <f>+SUMIF('Input Sheet'!$AE:$AE,P3193,'Input Sheet'!$X:$X)</f>
        <v>0</v>
      </c>
      <c r="O3193" s="311"/>
      <c r="P3193" t="str">
        <f t="shared" si="268"/>
        <v>460-7780</v>
      </c>
      <c r="Q3193" s="315" t="str">
        <f t="shared" si="269"/>
        <v>Admin &amp; Other</v>
      </c>
      <c r="R3193" s="315" t="str">
        <f t="shared" si="270"/>
        <v>Admin &amp; OtherInsurance as % of Total Gross Profit</v>
      </c>
      <c r="S3193" s="199"/>
      <c r="T3193" s="199"/>
      <c r="U3193" s="199"/>
    </row>
    <row r="3194" spans="1:21" x14ac:dyDescent="0.25">
      <c r="A3194" t="s">
        <v>996</v>
      </c>
      <c r="B3194" t="s">
        <v>997</v>
      </c>
      <c r="C3194" t="s">
        <v>1013</v>
      </c>
      <c r="D3194">
        <v>7780</v>
      </c>
      <c r="E3194">
        <v>300</v>
      </c>
      <c r="F3194" t="s">
        <v>1444</v>
      </c>
      <c r="G3194" t="s">
        <v>1445</v>
      </c>
      <c r="H3194" s="315" t="s">
        <v>1000</v>
      </c>
      <c r="I3194" s="315" t="s">
        <v>1443</v>
      </c>
      <c r="J3194" s="315" t="str">
        <f t="shared" si="266"/>
        <v>Admin &amp; OtherInsurance as % of Total Gross Profit</v>
      </c>
      <c r="K3194" s="315" t="str">
        <f t="shared" si="267"/>
        <v>300Insurance expense - Toyota</v>
      </c>
      <c r="L3194" s="311">
        <f>+SUMIF('TUNZ Extracted TB'!M:M,$P3194,'TUNZ Extracted TB'!G:G)</f>
        <v>0</v>
      </c>
      <c r="M3194" s="311"/>
      <c r="N3194" s="311">
        <f>+SUMIF('Input Sheet'!$AE:$AE,P3194,'Input Sheet'!$X:$X)</f>
        <v>0</v>
      </c>
      <c r="O3194" s="311"/>
      <c r="P3194" t="str">
        <f t="shared" si="268"/>
        <v>300-7780</v>
      </c>
      <c r="Q3194" s="315" t="str">
        <f t="shared" si="269"/>
        <v>Admin &amp; Other</v>
      </c>
      <c r="R3194" s="315" t="str">
        <f t="shared" si="270"/>
        <v>Admin &amp; OtherInsurance as % of Total Gross Profit</v>
      </c>
      <c r="S3194" s="199"/>
      <c r="T3194" s="199"/>
      <c r="U3194" s="199"/>
    </row>
    <row r="3195" spans="1:21" x14ac:dyDescent="0.25">
      <c r="A3195" t="s">
        <v>996</v>
      </c>
      <c r="B3195" t="s">
        <v>997</v>
      </c>
      <c r="C3195" t="s">
        <v>1013</v>
      </c>
      <c r="D3195">
        <v>7780</v>
      </c>
      <c r="E3195">
        <v>310</v>
      </c>
      <c r="F3195" t="s">
        <v>1444</v>
      </c>
      <c r="G3195" t="s">
        <v>1445</v>
      </c>
      <c r="H3195" s="315" t="s">
        <v>1000</v>
      </c>
      <c r="I3195" s="315" t="s">
        <v>1443</v>
      </c>
      <c r="J3195" s="315" t="str">
        <f t="shared" si="266"/>
        <v>Admin &amp; OtherInsurance as % of Total Gross Profit</v>
      </c>
      <c r="K3195" s="315" t="str">
        <f t="shared" si="267"/>
        <v>310Insurance expense - Toyota</v>
      </c>
      <c r="L3195" s="311">
        <f>+SUMIF('TUNZ Extracted TB'!M:M,$P3195,'TUNZ Extracted TB'!G:G)</f>
        <v>0</v>
      </c>
      <c r="M3195" s="311"/>
      <c r="N3195" s="311">
        <f>+SUMIF('Input Sheet'!$AE:$AE,P3195,'Input Sheet'!$X:$X)</f>
        <v>0</v>
      </c>
      <c r="O3195" s="311"/>
      <c r="P3195" t="str">
        <f t="shared" si="268"/>
        <v>310-7780</v>
      </c>
      <c r="Q3195" s="315" t="str">
        <f t="shared" si="269"/>
        <v>Admin &amp; Other</v>
      </c>
      <c r="R3195" s="315" t="str">
        <f t="shared" si="270"/>
        <v>Admin &amp; OtherInsurance as % of Total Gross Profit</v>
      </c>
      <c r="S3195" s="199"/>
      <c r="T3195" s="199"/>
      <c r="U3195" s="199"/>
    </row>
    <row r="3196" spans="1:21" x14ac:dyDescent="0.25">
      <c r="A3196" t="s">
        <v>996</v>
      </c>
      <c r="B3196" t="s">
        <v>997</v>
      </c>
      <c r="C3196" t="s">
        <v>1013</v>
      </c>
      <c r="D3196">
        <v>7780</v>
      </c>
      <c r="E3196">
        <v>321</v>
      </c>
      <c r="F3196" t="s">
        <v>1444</v>
      </c>
      <c r="G3196" t="s">
        <v>1445</v>
      </c>
      <c r="H3196" s="315" t="s">
        <v>1000</v>
      </c>
      <c r="I3196" s="315" t="s">
        <v>1443</v>
      </c>
      <c r="J3196" s="315" t="str">
        <f t="shared" si="266"/>
        <v>Admin &amp; OtherInsurance as % of Total Gross Profit</v>
      </c>
      <c r="K3196" s="315" t="str">
        <f t="shared" si="267"/>
        <v>321Insurance expense - Toyota</v>
      </c>
      <c r="L3196" s="311">
        <f>+SUMIF('TUNZ Extracted TB'!M:M,$P3196,'TUNZ Extracted TB'!G:G)</f>
        <v>0</v>
      </c>
      <c r="M3196" s="311"/>
      <c r="N3196" s="311">
        <f>+SUMIF('Input Sheet'!$AE:$AE,P3196,'Input Sheet'!$X:$X)</f>
        <v>0</v>
      </c>
      <c r="O3196" s="311"/>
      <c r="P3196" t="str">
        <f t="shared" si="268"/>
        <v>321-7780</v>
      </c>
      <c r="Q3196" s="315" t="str">
        <f t="shared" si="269"/>
        <v>Admin &amp; Other</v>
      </c>
      <c r="R3196" s="315" t="str">
        <f t="shared" si="270"/>
        <v>Admin &amp; OtherInsurance as % of Total Gross Profit</v>
      </c>
      <c r="S3196" s="199"/>
      <c r="T3196" s="199"/>
      <c r="U3196" s="199"/>
    </row>
    <row r="3197" spans="1:21" x14ac:dyDescent="0.25">
      <c r="A3197" t="s">
        <v>996</v>
      </c>
      <c r="B3197" t="s">
        <v>997</v>
      </c>
      <c r="C3197" t="s">
        <v>1013</v>
      </c>
      <c r="D3197">
        <v>7780</v>
      </c>
      <c r="E3197">
        <v>330</v>
      </c>
      <c r="F3197" t="s">
        <v>1444</v>
      </c>
      <c r="G3197" t="s">
        <v>1445</v>
      </c>
      <c r="H3197" s="315" t="s">
        <v>1000</v>
      </c>
      <c r="I3197" s="315" t="s">
        <v>1443</v>
      </c>
      <c r="J3197" s="315" t="str">
        <f t="shared" si="266"/>
        <v>Admin &amp; OtherInsurance as % of Total Gross Profit</v>
      </c>
      <c r="K3197" s="315" t="str">
        <f t="shared" si="267"/>
        <v>330Insurance expense - Toyota</v>
      </c>
      <c r="L3197" s="311">
        <f>+SUMIF('TUNZ Extracted TB'!M:M,$P3197,'TUNZ Extracted TB'!G:G)</f>
        <v>0</v>
      </c>
      <c r="M3197" s="311"/>
      <c r="N3197" s="311">
        <f>+SUMIF('Input Sheet'!$AE:$AE,P3197,'Input Sheet'!$X:$X)</f>
        <v>0</v>
      </c>
      <c r="O3197" s="311"/>
      <c r="P3197" t="str">
        <f t="shared" si="268"/>
        <v>330-7780</v>
      </c>
      <c r="Q3197" s="315" t="str">
        <f t="shared" si="269"/>
        <v>Admin &amp; Other</v>
      </c>
      <c r="R3197" s="315" t="str">
        <f t="shared" si="270"/>
        <v>Admin &amp; OtherInsurance as % of Total Gross Profit</v>
      </c>
      <c r="S3197" s="199"/>
      <c r="T3197" s="199"/>
      <c r="U3197" s="199"/>
    </row>
    <row r="3198" spans="1:21" x14ac:dyDescent="0.25">
      <c r="A3198" t="s">
        <v>996</v>
      </c>
      <c r="B3198" t="s">
        <v>997</v>
      </c>
      <c r="C3198" t="s">
        <v>1013</v>
      </c>
      <c r="D3198">
        <v>7780</v>
      </c>
      <c r="E3198">
        <v>340</v>
      </c>
      <c r="F3198" t="s">
        <v>1444</v>
      </c>
      <c r="G3198" t="s">
        <v>1445</v>
      </c>
      <c r="H3198" s="315" t="s">
        <v>1000</v>
      </c>
      <c r="I3198" s="315" t="s">
        <v>1443</v>
      </c>
      <c r="J3198" s="315" t="str">
        <f t="shared" si="266"/>
        <v>Admin &amp; OtherInsurance as % of Total Gross Profit</v>
      </c>
      <c r="K3198" s="315" t="str">
        <f t="shared" si="267"/>
        <v>340Insurance expense - Toyota</v>
      </c>
      <c r="L3198" s="311">
        <f>+SUMIF('TUNZ Extracted TB'!M:M,$P3198,'TUNZ Extracted TB'!G:G)</f>
        <v>0</v>
      </c>
      <c r="M3198" s="311"/>
      <c r="N3198" s="311">
        <f>+SUMIF('Input Sheet'!$AE:$AE,P3198,'Input Sheet'!$X:$X)</f>
        <v>0</v>
      </c>
      <c r="O3198" s="311"/>
      <c r="P3198" t="str">
        <f t="shared" si="268"/>
        <v>340-7780</v>
      </c>
      <c r="Q3198" s="315" t="str">
        <f t="shared" si="269"/>
        <v>Admin &amp; Other</v>
      </c>
      <c r="R3198" s="315" t="str">
        <f t="shared" si="270"/>
        <v>Admin &amp; OtherInsurance as % of Total Gross Profit</v>
      </c>
      <c r="S3198" s="199"/>
      <c r="T3198" s="199"/>
      <c r="U3198" s="199"/>
    </row>
    <row r="3199" spans="1:21" x14ac:dyDescent="0.25">
      <c r="A3199" t="s">
        <v>996</v>
      </c>
      <c r="B3199" t="s">
        <v>997</v>
      </c>
      <c r="C3199" t="s">
        <v>1013</v>
      </c>
      <c r="D3199">
        <v>7780</v>
      </c>
      <c r="E3199">
        <v>360</v>
      </c>
      <c r="F3199" t="s">
        <v>1444</v>
      </c>
      <c r="G3199" t="s">
        <v>1445</v>
      </c>
      <c r="H3199" s="315" t="s">
        <v>1000</v>
      </c>
      <c r="I3199" s="315" t="s">
        <v>1443</v>
      </c>
      <c r="J3199" s="315" t="str">
        <f t="shared" si="266"/>
        <v>Admin &amp; OtherInsurance as % of Total Gross Profit</v>
      </c>
      <c r="K3199" s="315" t="str">
        <f t="shared" si="267"/>
        <v>360Insurance expense - Toyota</v>
      </c>
      <c r="L3199" s="311">
        <f>+SUMIF('TUNZ Extracted TB'!M:M,$P3199,'TUNZ Extracted TB'!G:G)</f>
        <v>0</v>
      </c>
      <c r="M3199" s="311"/>
      <c r="N3199" s="311">
        <f>+SUMIF('Input Sheet'!$AE:$AE,P3199,'Input Sheet'!$X:$X)</f>
        <v>0</v>
      </c>
      <c r="O3199" s="311"/>
      <c r="P3199" t="str">
        <f t="shared" si="268"/>
        <v>360-7780</v>
      </c>
      <c r="Q3199" s="315" t="str">
        <f t="shared" si="269"/>
        <v>Admin &amp; Other</v>
      </c>
      <c r="R3199" s="315" t="str">
        <f t="shared" si="270"/>
        <v>Admin &amp; OtherInsurance as % of Total Gross Profit</v>
      </c>
      <c r="S3199" s="199"/>
      <c r="T3199" s="199"/>
      <c r="U3199" s="199"/>
    </row>
    <row r="3200" spans="1:21" x14ac:dyDescent="0.25">
      <c r="A3200" t="s">
        <v>996</v>
      </c>
      <c r="B3200" t="s">
        <v>997</v>
      </c>
      <c r="C3200" t="s">
        <v>997</v>
      </c>
      <c r="D3200">
        <v>7780</v>
      </c>
      <c r="E3200">
        <v>121</v>
      </c>
      <c r="F3200" t="s">
        <v>1444</v>
      </c>
      <c r="G3200" t="s">
        <v>1445</v>
      </c>
      <c r="H3200" s="315" t="s">
        <v>1000</v>
      </c>
      <c r="I3200" s="315" t="s">
        <v>1443</v>
      </c>
      <c r="J3200" s="315" t="str">
        <f t="shared" si="266"/>
        <v>Admin &amp; OtherInsurance as % of Total Gross Profit</v>
      </c>
      <c r="K3200" s="315" t="str">
        <f t="shared" si="267"/>
        <v>121Insurance expense - Toyota</v>
      </c>
      <c r="L3200" s="311">
        <f>+SUMIF('TUNZ Extracted TB'!M:M,$P3200,'TUNZ Extracted TB'!G:G)</f>
        <v>0</v>
      </c>
      <c r="M3200" s="311"/>
      <c r="N3200" s="311">
        <f>+SUMIF('Input Sheet'!$AE:$AE,P3200,'Input Sheet'!$X:$X)</f>
        <v>0</v>
      </c>
      <c r="O3200" s="311"/>
      <c r="P3200" t="str">
        <f t="shared" si="268"/>
        <v>121-7780</v>
      </c>
      <c r="Q3200" s="315" t="str">
        <f t="shared" si="269"/>
        <v>Admin &amp; Other</v>
      </c>
      <c r="R3200" s="315" t="str">
        <f t="shared" si="270"/>
        <v>Admin &amp; OtherInsurance as % of Total Gross Profit</v>
      </c>
      <c r="S3200" s="199"/>
      <c r="T3200" s="199"/>
      <c r="U3200" s="199"/>
    </row>
    <row r="3201" spans="1:21" x14ac:dyDescent="0.25">
      <c r="A3201" t="s">
        <v>996</v>
      </c>
      <c r="B3201" t="s">
        <v>997</v>
      </c>
      <c r="C3201" t="s">
        <v>997</v>
      </c>
      <c r="D3201">
        <v>7780</v>
      </c>
      <c r="E3201">
        <v>147</v>
      </c>
      <c r="F3201" t="s">
        <v>1444</v>
      </c>
      <c r="G3201" t="s">
        <v>1445</v>
      </c>
      <c r="H3201" s="315" t="s">
        <v>1000</v>
      </c>
      <c r="I3201" s="315" t="s">
        <v>1443</v>
      </c>
      <c r="J3201" s="315" t="str">
        <f t="shared" si="266"/>
        <v>Admin &amp; OtherInsurance as % of Total Gross Profit</v>
      </c>
      <c r="K3201" s="315" t="str">
        <f t="shared" si="267"/>
        <v>147Insurance expense - Toyota</v>
      </c>
      <c r="L3201" s="311">
        <f>+SUMIF('TUNZ Extracted TB'!M:M,$P3201,'TUNZ Extracted TB'!G:G)</f>
        <v>0</v>
      </c>
      <c r="M3201" s="311"/>
      <c r="N3201" s="311">
        <f>+SUMIF('Input Sheet'!$AE:$AE,P3201,'Input Sheet'!$X:$X)</f>
        <v>0</v>
      </c>
      <c r="O3201" s="311"/>
      <c r="P3201" t="str">
        <f t="shared" si="268"/>
        <v>147-7780</v>
      </c>
      <c r="Q3201" s="315" t="str">
        <f t="shared" si="269"/>
        <v>Admin &amp; Other</v>
      </c>
      <c r="R3201" s="315" t="str">
        <f t="shared" si="270"/>
        <v>Admin &amp; OtherInsurance as % of Total Gross Profit</v>
      </c>
      <c r="S3201" s="199"/>
      <c r="T3201" s="199"/>
      <c r="U3201" s="199"/>
    </row>
    <row r="3202" spans="1:21" x14ac:dyDescent="0.25">
      <c r="A3202" t="s">
        <v>996</v>
      </c>
      <c r="B3202" t="s">
        <v>997</v>
      </c>
      <c r="C3202" t="s">
        <v>997</v>
      </c>
      <c r="D3202">
        <v>7780</v>
      </c>
      <c r="E3202">
        <v>160</v>
      </c>
      <c r="F3202" t="s">
        <v>1444</v>
      </c>
      <c r="G3202" t="s">
        <v>1445</v>
      </c>
      <c r="H3202" s="315" t="s">
        <v>1000</v>
      </c>
      <c r="I3202" s="315" t="s">
        <v>1443</v>
      </c>
      <c r="J3202" s="315" t="str">
        <f t="shared" si="266"/>
        <v>Admin &amp; OtherInsurance as % of Total Gross Profit</v>
      </c>
      <c r="K3202" s="315" t="str">
        <f t="shared" si="267"/>
        <v>160Insurance expense - Toyota</v>
      </c>
      <c r="L3202" s="311">
        <f>+SUMIF('TUNZ Extracted TB'!M:M,$P3202,'TUNZ Extracted TB'!G:G)</f>
        <v>0</v>
      </c>
      <c r="M3202" s="311"/>
      <c r="N3202" s="311">
        <f>+SUMIF('Input Sheet'!$AE:$AE,P3202,'Input Sheet'!$X:$X)</f>
        <v>0</v>
      </c>
      <c r="O3202" s="311"/>
      <c r="P3202" t="str">
        <f t="shared" si="268"/>
        <v>160-7780</v>
      </c>
      <c r="Q3202" s="315" t="str">
        <f t="shared" si="269"/>
        <v>Admin &amp; Other</v>
      </c>
      <c r="R3202" s="315" t="str">
        <f t="shared" si="270"/>
        <v>Admin &amp; OtherInsurance as % of Total Gross Profit</v>
      </c>
      <c r="S3202" s="199"/>
      <c r="T3202" s="199"/>
      <c r="U3202" s="199"/>
    </row>
    <row r="3203" spans="1:21" x14ac:dyDescent="0.25">
      <c r="A3203" t="s">
        <v>996</v>
      </c>
      <c r="B3203" t="s">
        <v>997</v>
      </c>
      <c r="C3203" t="s">
        <v>997</v>
      </c>
      <c r="D3203">
        <v>7780</v>
      </c>
      <c r="E3203">
        <v>170</v>
      </c>
      <c r="F3203" t="s">
        <v>1444</v>
      </c>
      <c r="G3203" t="s">
        <v>1445</v>
      </c>
      <c r="H3203" s="315" t="s">
        <v>1000</v>
      </c>
      <c r="I3203" s="315" t="s">
        <v>1443</v>
      </c>
      <c r="J3203" s="315" t="str">
        <f t="shared" ref="J3203:J3266" si="271">+H3203&amp;I3203</f>
        <v>Admin &amp; OtherInsurance as % of Total Gross Profit</v>
      </c>
      <c r="K3203" s="315" t="str">
        <f t="shared" ref="K3203:K3266" si="272">+E3203&amp;G3203</f>
        <v>170Insurance expense - Toyota</v>
      </c>
      <c r="L3203" s="311">
        <f>+SUMIF('TUNZ Extracted TB'!M:M,$P3203,'TUNZ Extracted TB'!G:G)</f>
        <v>0</v>
      </c>
      <c r="M3203" s="311"/>
      <c r="N3203" s="311">
        <f>+SUMIF('Input Sheet'!$AE:$AE,P3203,'Input Sheet'!$X:$X)</f>
        <v>0</v>
      </c>
      <c r="O3203" s="311"/>
      <c r="P3203" t="str">
        <f t="shared" ref="P3203:P3266" si="273">+E3203&amp;"-"&amp;D3203</f>
        <v>170-7780</v>
      </c>
      <c r="Q3203" s="315" t="str">
        <f t="shared" ref="Q3203:Q3266" si="274">H3203</f>
        <v>Admin &amp; Other</v>
      </c>
      <c r="R3203" s="315" t="str">
        <f t="shared" ref="R3203:R3266" si="275">J3203</f>
        <v>Admin &amp; OtherInsurance as % of Total Gross Profit</v>
      </c>
      <c r="S3203" s="199"/>
      <c r="T3203" s="199"/>
      <c r="U3203" s="199"/>
    </row>
    <row r="3204" spans="1:21" x14ac:dyDescent="0.25">
      <c r="A3204" t="s">
        <v>996</v>
      </c>
      <c r="B3204" t="s">
        <v>997</v>
      </c>
      <c r="C3204" t="s">
        <v>997</v>
      </c>
      <c r="D3204">
        <v>7780</v>
      </c>
      <c r="E3204">
        <v>936</v>
      </c>
      <c r="F3204" t="s">
        <v>1175</v>
      </c>
      <c r="G3204" t="s">
        <v>1176</v>
      </c>
      <c r="H3204" s="315" t="s">
        <v>1023</v>
      </c>
      <c r="I3204" s="315" t="s">
        <v>1443</v>
      </c>
      <c r="J3204" s="315" t="str">
        <f t="shared" si="271"/>
        <v>LEX Admin &amp; OtherInsurance as % of Total Gross Profit</v>
      </c>
      <c r="K3204" s="315" t="str">
        <f t="shared" si="272"/>
        <v>936Other franchise/business expense</v>
      </c>
      <c r="L3204" s="311">
        <f>+SUMIF('TUNZ Extracted TB'!M:M,$P3204,'TUNZ Extracted TB'!G:G)</f>
        <v>0</v>
      </c>
      <c r="M3204" s="311"/>
      <c r="N3204" s="311">
        <f>+SUMIF('Input Sheet'!$AE:$AE,P3204,'Input Sheet'!$X:$X)</f>
        <v>0</v>
      </c>
      <c r="O3204" s="311"/>
      <c r="P3204" t="str">
        <f t="shared" si="273"/>
        <v>936-7780</v>
      </c>
      <c r="Q3204" s="315" t="str">
        <f t="shared" si="274"/>
        <v>LEX Admin &amp; Other</v>
      </c>
      <c r="R3204" s="315" t="str">
        <f t="shared" si="275"/>
        <v>LEX Admin &amp; OtherInsurance as % of Total Gross Profit</v>
      </c>
      <c r="S3204" s="199"/>
      <c r="T3204" s="199"/>
      <c r="U3204" s="199"/>
    </row>
    <row r="3205" spans="1:21" x14ac:dyDescent="0.25">
      <c r="A3205" t="s">
        <v>996</v>
      </c>
      <c r="B3205" t="s">
        <v>997</v>
      </c>
      <c r="C3205" t="s">
        <v>997</v>
      </c>
      <c r="D3205">
        <v>7780</v>
      </c>
      <c r="E3205">
        <v>935</v>
      </c>
      <c r="F3205" t="s">
        <v>1175</v>
      </c>
      <c r="G3205" t="s">
        <v>1176</v>
      </c>
      <c r="H3205" s="315" t="s">
        <v>1023</v>
      </c>
      <c r="I3205" s="315" t="s">
        <v>1443</v>
      </c>
      <c r="J3205" s="315" t="str">
        <f t="shared" si="271"/>
        <v>LEX Admin &amp; OtherInsurance as % of Total Gross Profit</v>
      </c>
      <c r="K3205" s="315" t="str">
        <f t="shared" si="272"/>
        <v>935Other franchise/business expense</v>
      </c>
      <c r="L3205" s="311">
        <f>+SUMIF('TUNZ Extracted TB'!M:M,$P3205,'TUNZ Extracted TB'!G:G)</f>
        <v>0</v>
      </c>
      <c r="M3205" s="311"/>
      <c r="N3205" s="311">
        <f>+SUMIF('Input Sheet'!$AE:$AE,P3205,'Input Sheet'!$X:$X)</f>
        <v>0</v>
      </c>
      <c r="O3205" s="311"/>
      <c r="P3205" t="str">
        <f t="shared" si="273"/>
        <v>935-7780</v>
      </c>
      <c r="Q3205" s="315" t="str">
        <f t="shared" si="274"/>
        <v>LEX Admin &amp; Other</v>
      </c>
      <c r="R3205" s="315" t="str">
        <f t="shared" si="275"/>
        <v>LEX Admin &amp; OtherInsurance as % of Total Gross Profit</v>
      </c>
      <c r="S3205" s="199"/>
      <c r="T3205" s="199"/>
      <c r="U3205" s="199"/>
    </row>
    <row r="3206" spans="1:21" x14ac:dyDescent="0.25">
      <c r="A3206" t="s">
        <v>996</v>
      </c>
      <c r="B3206" t="s">
        <v>997</v>
      </c>
      <c r="C3206" t="s">
        <v>997</v>
      </c>
      <c r="D3206">
        <v>7780</v>
      </c>
      <c r="E3206">
        <v>132</v>
      </c>
      <c r="F3206" t="s">
        <v>1441</v>
      </c>
      <c r="G3206" t="s">
        <v>1442</v>
      </c>
      <c r="H3206" s="315" t="s">
        <v>1023</v>
      </c>
      <c r="I3206" s="315" t="s">
        <v>1443</v>
      </c>
      <c r="J3206" s="315" t="str">
        <f t="shared" si="271"/>
        <v>LEX Admin &amp; OtherInsurance as % of Total Gross Profit</v>
      </c>
      <c r="K3206" s="315" t="str">
        <f t="shared" si="272"/>
        <v>132Insurance expense - Lexus</v>
      </c>
      <c r="L3206" s="311">
        <f>+SUMIF('TUNZ Extracted TB'!M:M,$P3206,'TUNZ Extracted TB'!G:G)</f>
        <v>0</v>
      </c>
      <c r="M3206" s="311"/>
      <c r="N3206" s="311">
        <f>+SUMIF('Input Sheet'!$AE:$AE,P3206,'Input Sheet'!$X:$X)</f>
        <v>0</v>
      </c>
      <c r="O3206" s="311"/>
      <c r="P3206" t="str">
        <f t="shared" si="273"/>
        <v>132-7780</v>
      </c>
      <c r="Q3206" s="315" t="str">
        <f t="shared" si="274"/>
        <v>LEX Admin &amp; Other</v>
      </c>
      <c r="R3206" s="315" t="str">
        <f t="shared" si="275"/>
        <v>LEX Admin &amp; OtherInsurance as % of Total Gross Profit</v>
      </c>
      <c r="S3206" s="199"/>
      <c r="T3206" s="199"/>
      <c r="U3206" s="199"/>
    </row>
    <row r="3207" spans="1:21" x14ac:dyDescent="0.25">
      <c r="A3207" t="s">
        <v>996</v>
      </c>
      <c r="B3207" t="s">
        <v>997</v>
      </c>
      <c r="C3207" t="s">
        <v>997</v>
      </c>
      <c r="D3207">
        <v>7780</v>
      </c>
      <c r="E3207">
        <v>130</v>
      </c>
      <c r="F3207" t="s">
        <v>1444</v>
      </c>
      <c r="G3207" t="s">
        <v>1445</v>
      </c>
      <c r="H3207" s="315" t="s">
        <v>1000</v>
      </c>
      <c r="I3207" s="315" t="s">
        <v>1443</v>
      </c>
      <c r="J3207" s="315" t="str">
        <f t="shared" si="271"/>
        <v>Admin &amp; OtherInsurance as % of Total Gross Profit</v>
      </c>
      <c r="K3207" s="315" t="str">
        <f t="shared" si="272"/>
        <v>130Insurance expense - Toyota</v>
      </c>
      <c r="L3207" s="311">
        <f>+SUMIF('TUNZ Extracted TB'!M:M,$P3207,'TUNZ Extracted TB'!G:G)</f>
        <v>0</v>
      </c>
      <c r="M3207" s="311"/>
      <c r="N3207" s="311">
        <f>+SUMIF('Input Sheet'!$AE:$AE,P3207,'Input Sheet'!$X:$X)</f>
        <v>0</v>
      </c>
      <c r="O3207" s="311"/>
      <c r="P3207" t="str">
        <f t="shared" si="273"/>
        <v>130-7780</v>
      </c>
      <c r="Q3207" s="315" t="str">
        <f t="shared" si="274"/>
        <v>Admin &amp; Other</v>
      </c>
      <c r="R3207" s="315" t="str">
        <f t="shared" si="275"/>
        <v>Admin &amp; OtherInsurance as % of Total Gross Profit</v>
      </c>
      <c r="S3207" s="199"/>
      <c r="T3207" s="199"/>
      <c r="U3207" s="199"/>
    </row>
    <row r="3208" spans="1:21" x14ac:dyDescent="0.25">
      <c r="A3208" t="s">
        <v>996</v>
      </c>
      <c r="B3208" t="s">
        <v>997</v>
      </c>
      <c r="C3208" t="s">
        <v>997</v>
      </c>
      <c r="D3208">
        <v>7780</v>
      </c>
      <c r="E3208">
        <v>140</v>
      </c>
      <c r="F3208" t="s">
        <v>1444</v>
      </c>
      <c r="G3208" t="s">
        <v>1445</v>
      </c>
      <c r="H3208" s="315" t="s">
        <v>1000</v>
      </c>
      <c r="I3208" s="315" t="s">
        <v>1443</v>
      </c>
      <c r="J3208" s="315" t="str">
        <f t="shared" si="271"/>
        <v>Admin &amp; OtherInsurance as % of Total Gross Profit</v>
      </c>
      <c r="K3208" s="315" t="str">
        <f t="shared" si="272"/>
        <v>140Insurance expense - Toyota</v>
      </c>
      <c r="L3208" s="311">
        <f>+SUMIF('TUNZ Extracted TB'!M:M,$P3208,'TUNZ Extracted TB'!G:G)</f>
        <v>0</v>
      </c>
      <c r="M3208" s="311"/>
      <c r="N3208" s="311">
        <f>+SUMIF('Input Sheet'!$AE:$AE,P3208,'Input Sheet'!$X:$X)</f>
        <v>0</v>
      </c>
      <c r="O3208" s="311"/>
      <c r="P3208" t="str">
        <f t="shared" si="273"/>
        <v>140-7780</v>
      </c>
      <c r="Q3208" s="315" t="str">
        <f t="shared" si="274"/>
        <v>Admin &amp; Other</v>
      </c>
      <c r="R3208" s="315" t="str">
        <f t="shared" si="275"/>
        <v>Admin &amp; OtherInsurance as % of Total Gross Profit</v>
      </c>
      <c r="S3208" s="199"/>
      <c r="T3208" s="199"/>
      <c r="U3208" s="199"/>
    </row>
    <row r="3209" spans="1:21" x14ac:dyDescent="0.25">
      <c r="A3209" t="s">
        <v>996</v>
      </c>
      <c r="B3209" t="s">
        <v>997</v>
      </c>
      <c r="C3209" t="s">
        <v>997</v>
      </c>
      <c r="D3209">
        <v>7780</v>
      </c>
      <c r="E3209">
        <v>142</v>
      </c>
      <c r="F3209" t="s">
        <v>1441</v>
      </c>
      <c r="G3209" t="s">
        <v>1442</v>
      </c>
      <c r="H3209" s="315" t="s">
        <v>1023</v>
      </c>
      <c r="I3209" s="315" t="s">
        <v>1443</v>
      </c>
      <c r="J3209" s="315" t="str">
        <f t="shared" si="271"/>
        <v>LEX Admin &amp; OtherInsurance as % of Total Gross Profit</v>
      </c>
      <c r="K3209" s="315" t="str">
        <f t="shared" si="272"/>
        <v>142Insurance expense - Lexus</v>
      </c>
      <c r="L3209" s="311">
        <f>+SUMIF('TUNZ Extracted TB'!M:M,$P3209,'TUNZ Extracted TB'!G:G)</f>
        <v>0</v>
      </c>
      <c r="M3209" s="311"/>
      <c r="N3209" s="311">
        <f>+SUMIF('Input Sheet'!$AE:$AE,P3209,'Input Sheet'!$X:$X)</f>
        <v>0</v>
      </c>
      <c r="O3209" s="311"/>
      <c r="P3209" t="str">
        <f t="shared" si="273"/>
        <v>142-7780</v>
      </c>
      <c r="Q3209" s="315" t="str">
        <f t="shared" si="274"/>
        <v>LEX Admin &amp; Other</v>
      </c>
      <c r="R3209" s="315" t="str">
        <f t="shared" si="275"/>
        <v>LEX Admin &amp; OtherInsurance as % of Total Gross Profit</v>
      </c>
      <c r="S3209" s="199"/>
      <c r="T3209" s="199"/>
      <c r="U3209" s="199"/>
    </row>
    <row r="3210" spans="1:21" x14ac:dyDescent="0.25">
      <c r="A3210" t="s">
        <v>996</v>
      </c>
      <c r="B3210" t="s">
        <v>997</v>
      </c>
      <c r="C3210" t="s">
        <v>997</v>
      </c>
      <c r="D3210">
        <v>7780</v>
      </c>
      <c r="E3210">
        <v>100</v>
      </c>
      <c r="F3210" t="s">
        <v>1444</v>
      </c>
      <c r="G3210" t="s">
        <v>1445</v>
      </c>
      <c r="H3210" s="315" t="s">
        <v>1000</v>
      </c>
      <c r="I3210" s="315" t="s">
        <v>1443</v>
      </c>
      <c r="J3210" s="315" t="str">
        <f t="shared" si="271"/>
        <v>Admin &amp; OtherInsurance as % of Total Gross Profit</v>
      </c>
      <c r="K3210" s="315" t="str">
        <f t="shared" si="272"/>
        <v>100Insurance expense - Toyota</v>
      </c>
      <c r="L3210" s="311">
        <f>+SUMIF('TUNZ Extracted TB'!M:M,$P3210,'TUNZ Extracted TB'!G:G)</f>
        <v>0</v>
      </c>
      <c r="M3210" s="311"/>
      <c r="N3210" s="311">
        <f>+SUMIF('Input Sheet'!$AE:$AE,P3210,'Input Sheet'!$X:$X)</f>
        <v>0</v>
      </c>
      <c r="O3210" s="311"/>
      <c r="P3210" t="str">
        <f t="shared" si="273"/>
        <v>100-7780</v>
      </c>
      <c r="Q3210" s="315" t="str">
        <f t="shared" si="274"/>
        <v>Admin &amp; Other</v>
      </c>
      <c r="R3210" s="315" t="str">
        <f t="shared" si="275"/>
        <v>Admin &amp; OtherInsurance as % of Total Gross Profit</v>
      </c>
      <c r="S3210" s="199"/>
      <c r="T3210" s="199"/>
      <c r="U3210" s="199"/>
    </row>
    <row r="3211" spans="1:21" x14ac:dyDescent="0.25">
      <c r="A3211" t="s">
        <v>996</v>
      </c>
      <c r="B3211" t="s">
        <v>997</v>
      </c>
      <c r="C3211" t="s">
        <v>997</v>
      </c>
      <c r="D3211">
        <v>7780</v>
      </c>
      <c r="E3211">
        <v>110</v>
      </c>
      <c r="F3211" t="s">
        <v>1444</v>
      </c>
      <c r="G3211" t="s">
        <v>1445</v>
      </c>
      <c r="H3211" s="315" t="s">
        <v>1000</v>
      </c>
      <c r="I3211" s="315" t="s">
        <v>1443</v>
      </c>
      <c r="J3211" s="315" t="str">
        <f t="shared" si="271"/>
        <v>Admin &amp; OtherInsurance as % of Total Gross Profit</v>
      </c>
      <c r="K3211" s="315" t="str">
        <f t="shared" si="272"/>
        <v>110Insurance expense - Toyota</v>
      </c>
      <c r="L3211" s="311">
        <f>+SUMIF('TUNZ Extracted TB'!M:M,$P3211,'TUNZ Extracted TB'!G:G)</f>
        <v>0</v>
      </c>
      <c r="M3211" s="311"/>
      <c r="N3211" s="311">
        <f>+SUMIF('Input Sheet'!$AE:$AE,P3211,'Input Sheet'!$X:$X)</f>
        <v>0</v>
      </c>
      <c r="O3211" s="311"/>
      <c r="P3211" t="str">
        <f t="shared" si="273"/>
        <v>110-7780</v>
      </c>
      <c r="Q3211" s="315" t="str">
        <f t="shared" si="274"/>
        <v>Admin &amp; Other</v>
      </c>
      <c r="R3211" s="315" t="str">
        <f t="shared" si="275"/>
        <v>Admin &amp; OtherInsurance as % of Total Gross Profit</v>
      </c>
      <c r="S3211" s="199"/>
      <c r="T3211" s="199"/>
      <c r="U3211" s="199"/>
    </row>
    <row r="3212" spans="1:21" x14ac:dyDescent="0.25">
      <c r="A3212" t="s">
        <v>996</v>
      </c>
      <c r="B3212" t="s">
        <v>997</v>
      </c>
      <c r="C3212" t="s">
        <v>1012</v>
      </c>
      <c r="D3212">
        <v>7790</v>
      </c>
      <c r="E3212">
        <v>440</v>
      </c>
      <c r="F3212" t="s">
        <v>1446</v>
      </c>
      <c r="G3212" t="s">
        <v>1447</v>
      </c>
      <c r="H3212" s="315" t="s">
        <v>1000</v>
      </c>
      <c r="I3212" s="315" t="s">
        <v>1448</v>
      </c>
      <c r="J3212" s="315" t="str">
        <f t="shared" si="271"/>
        <v>Admin &amp; OtherDepreciation as % of Total Gross Profit</v>
      </c>
      <c r="K3212" s="315" t="str">
        <f t="shared" si="272"/>
        <v>440Depreciation - Toyota</v>
      </c>
      <c r="L3212" s="311">
        <f>+SUMIF('TUNZ Extracted TB'!M:M,$P3212,'TUNZ Extracted TB'!G:G)</f>
        <v>4288</v>
      </c>
      <c r="M3212" s="311"/>
      <c r="N3212" s="311">
        <f>+SUMIF('Input Sheet'!$AE:$AE,P3212,'Input Sheet'!$X:$X)</f>
        <v>0</v>
      </c>
      <c r="O3212" s="311"/>
      <c r="P3212" t="str">
        <f t="shared" si="273"/>
        <v>440-7790</v>
      </c>
      <c r="Q3212" s="315" t="str">
        <f t="shared" si="274"/>
        <v>Admin &amp; Other</v>
      </c>
      <c r="R3212" s="315" t="str">
        <f t="shared" si="275"/>
        <v>Admin &amp; OtherDepreciation as % of Total Gross Profit</v>
      </c>
      <c r="S3212" s="199"/>
      <c r="T3212" s="199"/>
      <c r="U3212" s="199"/>
    </row>
    <row r="3213" spans="1:21" x14ac:dyDescent="0.25">
      <c r="A3213" t="s">
        <v>996</v>
      </c>
      <c r="B3213" t="s">
        <v>997</v>
      </c>
      <c r="C3213" t="s">
        <v>997</v>
      </c>
      <c r="D3213">
        <v>7790</v>
      </c>
      <c r="E3213">
        <v>935</v>
      </c>
      <c r="F3213" t="s">
        <v>1175</v>
      </c>
      <c r="G3213" t="s">
        <v>1176</v>
      </c>
      <c r="H3213" s="315" t="s">
        <v>1023</v>
      </c>
      <c r="I3213" s="315" t="s">
        <v>1448</v>
      </c>
      <c r="J3213" s="315" t="str">
        <f t="shared" si="271"/>
        <v>LEX Admin &amp; OtherDepreciation as % of Total Gross Profit</v>
      </c>
      <c r="K3213" s="315" t="str">
        <f t="shared" si="272"/>
        <v>935Other franchise/business expense</v>
      </c>
      <c r="L3213" s="311">
        <f>+SUMIF('TUNZ Extracted TB'!M:M,$P3213,'TUNZ Extracted TB'!G:G)</f>
        <v>3357</v>
      </c>
      <c r="M3213" s="311"/>
      <c r="N3213" s="311">
        <f>+SUMIF('Input Sheet'!$AE:$AE,P3213,'Input Sheet'!$X:$X)</f>
        <v>0</v>
      </c>
      <c r="O3213" s="311"/>
      <c r="P3213" t="str">
        <f t="shared" si="273"/>
        <v>935-7790</v>
      </c>
      <c r="Q3213" s="315" t="str">
        <f t="shared" si="274"/>
        <v>LEX Admin &amp; Other</v>
      </c>
      <c r="R3213" s="315" t="str">
        <f t="shared" si="275"/>
        <v>LEX Admin &amp; OtherDepreciation as % of Total Gross Profit</v>
      </c>
      <c r="S3213" s="199"/>
      <c r="T3213" s="199"/>
      <c r="U3213" s="199"/>
    </row>
    <row r="3214" spans="1:21" x14ac:dyDescent="0.25">
      <c r="A3214" t="s">
        <v>996</v>
      </c>
      <c r="B3214" t="s">
        <v>997</v>
      </c>
      <c r="C3214" t="s">
        <v>1005</v>
      </c>
      <c r="D3214">
        <v>7790</v>
      </c>
      <c r="E3214">
        <v>240</v>
      </c>
      <c r="F3214" t="s">
        <v>1446</v>
      </c>
      <c r="G3214" t="s">
        <v>1447</v>
      </c>
      <c r="H3214" s="315" t="s">
        <v>1000</v>
      </c>
      <c r="I3214" s="315" t="s">
        <v>1448</v>
      </c>
      <c r="J3214" s="315" t="str">
        <f t="shared" si="271"/>
        <v>Admin &amp; OtherDepreciation as % of Total Gross Profit</v>
      </c>
      <c r="K3214" s="315" t="str">
        <f t="shared" si="272"/>
        <v>240Depreciation - Toyota</v>
      </c>
      <c r="L3214" s="311">
        <f>+SUMIF('TUNZ Extracted TB'!M:M,$P3214,'TUNZ Extracted TB'!G:G)</f>
        <v>3779</v>
      </c>
      <c r="M3214" s="311"/>
      <c r="N3214" s="311">
        <f>+SUMIF('Input Sheet'!$AE:$AE,P3214,'Input Sheet'!$X:$X)</f>
        <v>0</v>
      </c>
      <c r="O3214" s="311"/>
      <c r="P3214" t="str">
        <f t="shared" si="273"/>
        <v>240-7790</v>
      </c>
      <c r="Q3214" s="315" t="str">
        <f t="shared" si="274"/>
        <v>Admin &amp; Other</v>
      </c>
      <c r="R3214" s="315" t="str">
        <f t="shared" si="275"/>
        <v>Admin &amp; OtherDepreciation as % of Total Gross Profit</v>
      </c>
      <c r="S3214" s="199"/>
      <c r="T3214" s="199"/>
      <c r="U3214" s="199"/>
    </row>
    <row r="3215" spans="1:21" x14ac:dyDescent="0.25">
      <c r="A3215" t="s">
        <v>996</v>
      </c>
      <c r="B3215" t="s">
        <v>997</v>
      </c>
      <c r="C3215" t="s">
        <v>997</v>
      </c>
      <c r="D3215">
        <v>7790</v>
      </c>
      <c r="E3215">
        <v>120</v>
      </c>
      <c r="F3215" t="s">
        <v>1446</v>
      </c>
      <c r="G3215" t="s">
        <v>1447</v>
      </c>
      <c r="H3215" s="315" t="s">
        <v>1000</v>
      </c>
      <c r="I3215" s="315" t="s">
        <v>1448</v>
      </c>
      <c r="J3215" s="315" t="str">
        <f t="shared" si="271"/>
        <v>Admin &amp; OtherDepreciation as % of Total Gross Profit</v>
      </c>
      <c r="K3215" s="315" t="str">
        <f t="shared" si="272"/>
        <v>120Depreciation - Toyota</v>
      </c>
      <c r="L3215" s="311">
        <f>+SUMIF('TUNZ Extracted TB'!M:M,$P3215,'TUNZ Extracted TB'!G:G)</f>
        <v>4113</v>
      </c>
      <c r="M3215" s="311"/>
      <c r="N3215" s="311">
        <f>+SUMIF('Input Sheet'!$AE:$AE,P3215,'Input Sheet'!$X:$X)</f>
        <v>0</v>
      </c>
      <c r="O3215" s="311"/>
      <c r="P3215" t="str">
        <f t="shared" si="273"/>
        <v>120-7790</v>
      </c>
      <c r="Q3215" s="315" t="str">
        <f t="shared" si="274"/>
        <v>Admin &amp; Other</v>
      </c>
      <c r="R3215" s="315" t="str">
        <f t="shared" si="275"/>
        <v>Admin &amp; OtherDepreciation as % of Total Gross Profit</v>
      </c>
      <c r="S3215" s="199"/>
      <c r="T3215" s="199"/>
      <c r="U3215" s="199"/>
    </row>
    <row r="3216" spans="1:21" x14ac:dyDescent="0.25">
      <c r="A3216" t="s">
        <v>996</v>
      </c>
      <c r="B3216" t="s">
        <v>997</v>
      </c>
      <c r="C3216" t="s">
        <v>1013</v>
      </c>
      <c r="D3216">
        <v>7790</v>
      </c>
      <c r="E3216">
        <v>340</v>
      </c>
      <c r="F3216" t="s">
        <v>1446</v>
      </c>
      <c r="G3216" t="s">
        <v>1447</v>
      </c>
      <c r="H3216" s="315" t="s">
        <v>1000</v>
      </c>
      <c r="I3216" s="315" t="s">
        <v>1448</v>
      </c>
      <c r="J3216" s="315" t="str">
        <f t="shared" si="271"/>
        <v>Admin &amp; OtherDepreciation as % of Total Gross Profit</v>
      </c>
      <c r="K3216" s="315" t="str">
        <f t="shared" si="272"/>
        <v>340Depreciation - Toyota</v>
      </c>
      <c r="L3216" s="311">
        <f>+SUMIF('TUNZ Extracted TB'!M:M,$P3216,'TUNZ Extracted TB'!G:G)</f>
        <v>3705</v>
      </c>
      <c r="M3216" s="311"/>
      <c r="N3216" s="311">
        <f>+SUMIF('Input Sheet'!$AE:$AE,P3216,'Input Sheet'!$X:$X)</f>
        <v>0</v>
      </c>
      <c r="O3216" s="311"/>
      <c r="P3216" t="str">
        <f t="shared" si="273"/>
        <v>340-7790</v>
      </c>
      <c r="Q3216" s="315" t="str">
        <f t="shared" si="274"/>
        <v>Admin &amp; Other</v>
      </c>
      <c r="R3216" s="315" t="str">
        <f t="shared" si="275"/>
        <v>Admin &amp; OtherDepreciation as % of Total Gross Profit</v>
      </c>
      <c r="S3216" s="199"/>
      <c r="T3216" s="199"/>
      <c r="U3216" s="199"/>
    </row>
    <row r="3217" spans="1:21" x14ac:dyDescent="0.25">
      <c r="A3217" t="s">
        <v>996</v>
      </c>
      <c r="B3217" t="s">
        <v>997</v>
      </c>
      <c r="C3217" t="s">
        <v>1012</v>
      </c>
      <c r="D3217">
        <v>7790</v>
      </c>
      <c r="E3217">
        <v>430</v>
      </c>
      <c r="F3217" t="s">
        <v>1446</v>
      </c>
      <c r="G3217" t="s">
        <v>1447</v>
      </c>
      <c r="H3217" s="315" t="s">
        <v>1000</v>
      </c>
      <c r="I3217" s="315" t="s">
        <v>1448</v>
      </c>
      <c r="J3217" s="315" t="str">
        <f t="shared" si="271"/>
        <v>Admin &amp; OtherDepreciation as % of Total Gross Profit</v>
      </c>
      <c r="K3217" s="315" t="str">
        <f t="shared" si="272"/>
        <v>430Depreciation - Toyota</v>
      </c>
      <c r="L3217" s="311">
        <f>+SUMIF('TUNZ Extracted TB'!M:M,$P3217,'TUNZ Extracted TB'!G:G)</f>
        <v>2815</v>
      </c>
      <c r="M3217" s="311"/>
      <c r="N3217" s="311">
        <f>+SUMIF('Input Sheet'!$AE:$AE,P3217,'Input Sheet'!$X:$X)</f>
        <v>0</v>
      </c>
      <c r="O3217" s="311"/>
      <c r="P3217" t="str">
        <f t="shared" si="273"/>
        <v>430-7790</v>
      </c>
      <c r="Q3217" s="315" t="str">
        <f t="shared" si="274"/>
        <v>Admin &amp; Other</v>
      </c>
      <c r="R3217" s="315" t="str">
        <f t="shared" si="275"/>
        <v>Admin &amp; OtherDepreciation as % of Total Gross Profit</v>
      </c>
      <c r="S3217" s="199"/>
      <c r="T3217" s="199"/>
      <c r="U3217" s="199"/>
    </row>
    <row r="3218" spans="1:21" x14ac:dyDescent="0.25">
      <c r="A3218" t="s">
        <v>996</v>
      </c>
      <c r="B3218" t="s">
        <v>997</v>
      </c>
      <c r="C3218" t="s">
        <v>997</v>
      </c>
      <c r="D3218">
        <v>7790</v>
      </c>
      <c r="E3218">
        <v>121</v>
      </c>
      <c r="F3218" t="s">
        <v>1446</v>
      </c>
      <c r="G3218" t="s">
        <v>1447</v>
      </c>
      <c r="H3218" s="315" t="s">
        <v>1000</v>
      </c>
      <c r="I3218" s="315" t="s">
        <v>1448</v>
      </c>
      <c r="J3218" s="315" t="str">
        <f t="shared" si="271"/>
        <v>Admin &amp; OtherDepreciation as % of Total Gross Profit</v>
      </c>
      <c r="K3218" s="315" t="str">
        <f t="shared" si="272"/>
        <v>121Depreciation - Toyota</v>
      </c>
      <c r="L3218" s="311">
        <f>+SUMIF('TUNZ Extracted TB'!M:M,$P3218,'TUNZ Extracted TB'!G:G)</f>
        <v>3072</v>
      </c>
      <c r="M3218" s="311"/>
      <c r="N3218" s="311">
        <f>+SUMIF('Input Sheet'!$AE:$AE,P3218,'Input Sheet'!$X:$X)</f>
        <v>0</v>
      </c>
      <c r="O3218" s="311"/>
      <c r="P3218" t="str">
        <f t="shared" si="273"/>
        <v>121-7790</v>
      </c>
      <c r="Q3218" s="315" t="str">
        <f t="shared" si="274"/>
        <v>Admin &amp; Other</v>
      </c>
      <c r="R3218" s="315" t="str">
        <f t="shared" si="275"/>
        <v>Admin &amp; OtherDepreciation as % of Total Gross Profit</v>
      </c>
      <c r="S3218" s="199"/>
      <c r="T3218" s="199"/>
      <c r="U3218" s="199"/>
    </row>
    <row r="3219" spans="1:21" x14ac:dyDescent="0.25">
      <c r="A3219" t="s">
        <v>996</v>
      </c>
      <c r="B3219" t="s">
        <v>997</v>
      </c>
      <c r="C3219" t="s">
        <v>1005</v>
      </c>
      <c r="D3219">
        <v>7790</v>
      </c>
      <c r="E3219">
        <v>210</v>
      </c>
      <c r="F3219" t="s">
        <v>1446</v>
      </c>
      <c r="G3219" t="s">
        <v>1447</v>
      </c>
      <c r="H3219" s="315" t="s">
        <v>1000</v>
      </c>
      <c r="I3219" s="315" t="s">
        <v>1448</v>
      </c>
      <c r="J3219" s="315" t="str">
        <f t="shared" si="271"/>
        <v>Admin &amp; OtherDepreciation as % of Total Gross Profit</v>
      </c>
      <c r="K3219" s="315" t="str">
        <f t="shared" si="272"/>
        <v>210Depreciation - Toyota</v>
      </c>
      <c r="L3219" s="311">
        <f>+SUMIF('TUNZ Extracted TB'!M:M,$P3219,'TUNZ Extracted TB'!G:G)</f>
        <v>2386</v>
      </c>
      <c r="M3219" s="311"/>
      <c r="N3219" s="311">
        <f>+SUMIF('Input Sheet'!$AE:$AE,P3219,'Input Sheet'!$X:$X)</f>
        <v>0</v>
      </c>
      <c r="O3219" s="311"/>
      <c r="P3219" t="str">
        <f t="shared" si="273"/>
        <v>210-7790</v>
      </c>
      <c r="Q3219" s="315" t="str">
        <f t="shared" si="274"/>
        <v>Admin &amp; Other</v>
      </c>
      <c r="R3219" s="315" t="str">
        <f t="shared" si="275"/>
        <v>Admin &amp; OtherDepreciation as % of Total Gross Profit</v>
      </c>
      <c r="S3219" s="199"/>
      <c r="T3219" s="199"/>
      <c r="U3219" s="199"/>
    </row>
    <row r="3220" spans="1:21" x14ac:dyDescent="0.25">
      <c r="A3220" t="s">
        <v>996</v>
      </c>
      <c r="B3220" t="s">
        <v>997</v>
      </c>
      <c r="C3220" t="s">
        <v>1005</v>
      </c>
      <c r="D3220">
        <v>7790</v>
      </c>
      <c r="E3220">
        <v>220</v>
      </c>
      <c r="F3220" t="s">
        <v>1446</v>
      </c>
      <c r="G3220" t="s">
        <v>1447</v>
      </c>
      <c r="H3220" s="315" t="s">
        <v>1000</v>
      </c>
      <c r="I3220" s="315" t="s">
        <v>1448</v>
      </c>
      <c r="J3220" s="315" t="str">
        <f t="shared" si="271"/>
        <v>Admin &amp; OtherDepreciation as % of Total Gross Profit</v>
      </c>
      <c r="K3220" s="315" t="str">
        <f t="shared" si="272"/>
        <v>220Depreciation - Toyota</v>
      </c>
      <c r="L3220" s="311">
        <f>+SUMIF('TUNZ Extracted TB'!M:M,$P3220,'TUNZ Extracted TB'!G:G)</f>
        <v>2364</v>
      </c>
      <c r="M3220" s="311"/>
      <c r="N3220" s="311">
        <f>+SUMIF('Input Sheet'!$AE:$AE,P3220,'Input Sheet'!$X:$X)</f>
        <v>0</v>
      </c>
      <c r="O3220" s="311"/>
      <c r="P3220" t="str">
        <f t="shared" si="273"/>
        <v>220-7790</v>
      </c>
      <c r="Q3220" s="315" t="str">
        <f t="shared" si="274"/>
        <v>Admin &amp; Other</v>
      </c>
      <c r="R3220" s="315" t="str">
        <f t="shared" si="275"/>
        <v>Admin &amp; OtherDepreciation as % of Total Gross Profit</v>
      </c>
      <c r="S3220" s="199"/>
      <c r="T3220" s="199"/>
      <c r="U3220" s="199"/>
    </row>
    <row r="3221" spans="1:21" x14ac:dyDescent="0.25">
      <c r="A3221" t="s">
        <v>996</v>
      </c>
      <c r="B3221" t="s">
        <v>997</v>
      </c>
      <c r="C3221" t="s">
        <v>1005</v>
      </c>
      <c r="D3221">
        <v>7790</v>
      </c>
      <c r="E3221">
        <v>230</v>
      </c>
      <c r="F3221" t="s">
        <v>1446</v>
      </c>
      <c r="G3221" t="s">
        <v>1447</v>
      </c>
      <c r="H3221" s="315" t="s">
        <v>1000</v>
      </c>
      <c r="I3221" s="315" t="s">
        <v>1448</v>
      </c>
      <c r="J3221" s="315" t="str">
        <f t="shared" si="271"/>
        <v>Admin &amp; OtherDepreciation as % of Total Gross Profit</v>
      </c>
      <c r="K3221" s="315" t="str">
        <f t="shared" si="272"/>
        <v>230Depreciation - Toyota</v>
      </c>
      <c r="L3221" s="311">
        <f>+SUMIF('TUNZ Extracted TB'!M:M,$P3221,'TUNZ Extracted TB'!G:G)</f>
        <v>1500</v>
      </c>
      <c r="M3221" s="311"/>
      <c r="N3221" s="311">
        <f>+SUMIF('Input Sheet'!$AE:$AE,P3221,'Input Sheet'!$X:$X)</f>
        <v>0</v>
      </c>
      <c r="O3221" s="311"/>
      <c r="P3221" t="str">
        <f t="shared" si="273"/>
        <v>230-7790</v>
      </c>
      <c r="Q3221" s="315" t="str">
        <f t="shared" si="274"/>
        <v>Admin &amp; Other</v>
      </c>
      <c r="R3221" s="315" t="str">
        <f t="shared" si="275"/>
        <v>Admin &amp; OtherDepreciation as % of Total Gross Profit</v>
      </c>
      <c r="S3221" s="199"/>
      <c r="T3221" s="199"/>
      <c r="U3221" s="199"/>
    </row>
    <row r="3222" spans="1:21" x14ac:dyDescent="0.25">
      <c r="A3222" t="s">
        <v>996</v>
      </c>
      <c r="B3222" t="s">
        <v>997</v>
      </c>
      <c r="C3222" t="s">
        <v>997</v>
      </c>
      <c r="D3222">
        <v>7790</v>
      </c>
      <c r="E3222">
        <v>936</v>
      </c>
      <c r="F3222" t="s">
        <v>1175</v>
      </c>
      <c r="G3222" t="s">
        <v>1176</v>
      </c>
      <c r="H3222" s="315" t="s">
        <v>1023</v>
      </c>
      <c r="I3222" s="315" t="s">
        <v>1448</v>
      </c>
      <c r="J3222" s="315" t="str">
        <f t="shared" si="271"/>
        <v>LEX Admin &amp; OtherDepreciation as % of Total Gross Profit</v>
      </c>
      <c r="K3222" s="315" t="str">
        <f t="shared" si="272"/>
        <v>936Other franchise/business expense</v>
      </c>
      <c r="L3222" s="311">
        <f>+SUMIF('TUNZ Extracted TB'!M:M,$P3222,'TUNZ Extracted TB'!G:G)</f>
        <v>988</v>
      </c>
      <c r="M3222" s="311"/>
      <c r="N3222" s="311">
        <f>+SUMIF('Input Sheet'!$AE:$AE,P3222,'Input Sheet'!$X:$X)</f>
        <v>0</v>
      </c>
      <c r="O3222" s="311"/>
      <c r="P3222" t="str">
        <f t="shared" si="273"/>
        <v>936-7790</v>
      </c>
      <c r="Q3222" s="315" t="str">
        <f t="shared" si="274"/>
        <v>LEX Admin &amp; Other</v>
      </c>
      <c r="R3222" s="315" t="str">
        <f t="shared" si="275"/>
        <v>LEX Admin &amp; OtherDepreciation as % of Total Gross Profit</v>
      </c>
      <c r="S3222" s="199"/>
      <c r="T3222" s="199"/>
      <c r="U3222" s="199"/>
    </row>
    <row r="3223" spans="1:21" x14ac:dyDescent="0.25">
      <c r="A3223" t="s">
        <v>996</v>
      </c>
      <c r="B3223" t="s">
        <v>997</v>
      </c>
      <c r="C3223" t="s">
        <v>1013</v>
      </c>
      <c r="D3223">
        <v>7790</v>
      </c>
      <c r="E3223">
        <v>330</v>
      </c>
      <c r="F3223" t="s">
        <v>1446</v>
      </c>
      <c r="G3223" t="s">
        <v>1447</v>
      </c>
      <c r="H3223" s="315" t="s">
        <v>1000</v>
      </c>
      <c r="I3223" s="315" t="s">
        <v>1448</v>
      </c>
      <c r="J3223" s="315" t="str">
        <f t="shared" si="271"/>
        <v>Admin &amp; OtherDepreciation as % of Total Gross Profit</v>
      </c>
      <c r="K3223" s="315" t="str">
        <f t="shared" si="272"/>
        <v>330Depreciation - Toyota</v>
      </c>
      <c r="L3223" s="311">
        <f>+SUMIF('TUNZ Extracted TB'!M:M,$P3223,'TUNZ Extracted TB'!G:G)</f>
        <v>829</v>
      </c>
      <c r="M3223" s="311"/>
      <c r="N3223" s="311">
        <f>+SUMIF('Input Sheet'!$AE:$AE,P3223,'Input Sheet'!$X:$X)</f>
        <v>0</v>
      </c>
      <c r="O3223" s="311"/>
      <c r="P3223" t="str">
        <f t="shared" si="273"/>
        <v>330-7790</v>
      </c>
      <c r="Q3223" s="315" t="str">
        <f t="shared" si="274"/>
        <v>Admin &amp; Other</v>
      </c>
      <c r="R3223" s="315" t="str">
        <f t="shared" si="275"/>
        <v>Admin &amp; OtherDepreciation as % of Total Gross Profit</v>
      </c>
      <c r="S3223" s="199"/>
      <c r="T3223" s="199"/>
      <c r="U3223" s="199"/>
    </row>
    <row r="3224" spans="1:21" x14ac:dyDescent="0.25">
      <c r="A3224" s="316">
        <v>44866</v>
      </c>
      <c r="B3224" t="s">
        <v>997</v>
      </c>
      <c r="C3224" t="s">
        <v>997</v>
      </c>
      <c r="D3224">
        <v>7790</v>
      </c>
      <c r="E3224">
        <v>190</v>
      </c>
      <c r="G3224" t="s">
        <v>127</v>
      </c>
      <c r="H3224" s="315" t="s">
        <v>1000</v>
      </c>
      <c r="I3224" s="315" t="s">
        <v>1448</v>
      </c>
      <c r="J3224" s="315" t="str">
        <f t="shared" si="271"/>
        <v>Admin &amp; OtherDepreciation as % of Total Gross Profit</v>
      </c>
      <c r="K3224" s="315" t="str">
        <f t="shared" si="272"/>
        <v>190Depreciation</v>
      </c>
      <c r="L3224" s="311">
        <f>+SUMIF('TUNZ Extracted TB'!M:M,$P3224,'TUNZ Extracted TB'!G:G)</f>
        <v>0</v>
      </c>
      <c r="M3224" s="311"/>
      <c r="N3224" s="311">
        <f>+SUMIF('Input Sheet'!$AE:$AE,P3224,'Input Sheet'!$X:$X)</f>
        <v>0</v>
      </c>
      <c r="O3224" s="311"/>
      <c r="P3224" t="str">
        <f t="shared" si="273"/>
        <v>190-7790</v>
      </c>
      <c r="Q3224" s="315" t="str">
        <f t="shared" si="274"/>
        <v>Admin &amp; Other</v>
      </c>
      <c r="R3224" s="315" t="str">
        <f t="shared" si="275"/>
        <v>Admin &amp; OtherDepreciation as % of Total Gross Profit</v>
      </c>
      <c r="S3224" s="199"/>
      <c r="T3224" s="199"/>
      <c r="U3224" s="199"/>
    </row>
    <row r="3225" spans="1:21" x14ac:dyDescent="0.25">
      <c r="A3225" t="s">
        <v>996</v>
      </c>
      <c r="B3225" t="s">
        <v>997</v>
      </c>
      <c r="C3225" t="s">
        <v>997</v>
      </c>
      <c r="D3225">
        <v>7790</v>
      </c>
      <c r="E3225">
        <v>122</v>
      </c>
      <c r="F3225" t="s">
        <v>1449</v>
      </c>
      <c r="G3225" t="s">
        <v>1450</v>
      </c>
      <c r="H3225" s="315" t="s">
        <v>1023</v>
      </c>
      <c r="I3225" s="315" t="s">
        <v>1448</v>
      </c>
      <c r="J3225" s="315" t="str">
        <f t="shared" si="271"/>
        <v>LEX Admin &amp; OtherDepreciation as % of Total Gross Profit</v>
      </c>
      <c r="K3225" s="315" t="str">
        <f t="shared" si="272"/>
        <v>122Depreciation - Lexus</v>
      </c>
      <c r="L3225" s="311">
        <f>+SUMIF('TUNZ Extracted TB'!M:M,$P3225,'TUNZ Extracted TB'!G:G)</f>
        <v>0</v>
      </c>
      <c r="M3225" s="311"/>
      <c r="N3225" s="311">
        <f>+SUMIF('Input Sheet'!$AE:$AE,P3225,'Input Sheet'!$X:$X)</f>
        <v>0</v>
      </c>
      <c r="O3225" s="311"/>
      <c r="P3225" t="str">
        <f t="shared" si="273"/>
        <v>122-7790</v>
      </c>
      <c r="Q3225" s="315" t="str">
        <f t="shared" si="274"/>
        <v>LEX Admin &amp; Other</v>
      </c>
      <c r="R3225" s="315" t="str">
        <f t="shared" si="275"/>
        <v>LEX Admin &amp; OtherDepreciation as % of Total Gross Profit</v>
      </c>
      <c r="S3225" s="199"/>
      <c r="T3225" s="199"/>
      <c r="U3225" s="199"/>
    </row>
    <row r="3226" spans="1:21" x14ac:dyDescent="0.25">
      <c r="A3226" t="s">
        <v>996</v>
      </c>
      <c r="B3226" t="s">
        <v>997</v>
      </c>
      <c r="C3226" t="s">
        <v>997</v>
      </c>
      <c r="D3226">
        <v>7790</v>
      </c>
      <c r="E3226">
        <v>162</v>
      </c>
      <c r="F3226" t="s">
        <v>1449</v>
      </c>
      <c r="G3226" t="s">
        <v>1450</v>
      </c>
      <c r="H3226" s="315" t="s">
        <v>1023</v>
      </c>
      <c r="I3226" s="315" t="s">
        <v>1448</v>
      </c>
      <c r="J3226" s="315" t="str">
        <f t="shared" si="271"/>
        <v>LEX Admin &amp; OtherDepreciation as % of Total Gross Profit</v>
      </c>
      <c r="K3226" s="315" t="str">
        <f t="shared" si="272"/>
        <v>162Depreciation - Lexus</v>
      </c>
      <c r="L3226" s="311">
        <f>+SUMIF('TUNZ Extracted TB'!M:M,$P3226,'TUNZ Extracted TB'!G:G)</f>
        <v>0</v>
      </c>
      <c r="M3226" s="311"/>
      <c r="N3226" s="311">
        <f>+SUMIF('Input Sheet'!$AE:$AE,P3226,'Input Sheet'!$X:$X)</f>
        <v>0</v>
      </c>
      <c r="O3226" s="311"/>
      <c r="P3226" t="str">
        <f t="shared" si="273"/>
        <v>162-7790</v>
      </c>
      <c r="Q3226" s="315" t="str">
        <f t="shared" si="274"/>
        <v>LEX Admin &amp; Other</v>
      </c>
      <c r="R3226" s="315" t="str">
        <f t="shared" si="275"/>
        <v>LEX Admin &amp; OtherDepreciation as % of Total Gross Profit</v>
      </c>
      <c r="S3226" s="199"/>
      <c r="T3226" s="199"/>
      <c r="U3226" s="199"/>
    </row>
    <row r="3227" spans="1:21" x14ac:dyDescent="0.25">
      <c r="A3227" t="s">
        <v>996</v>
      </c>
      <c r="B3227" t="s">
        <v>997</v>
      </c>
      <c r="C3227" t="s">
        <v>1005</v>
      </c>
      <c r="D3227">
        <v>7790</v>
      </c>
      <c r="E3227">
        <v>200</v>
      </c>
      <c r="F3227" t="s">
        <v>1446</v>
      </c>
      <c r="G3227" t="s">
        <v>1447</v>
      </c>
      <c r="H3227" s="315" t="s">
        <v>1000</v>
      </c>
      <c r="I3227" s="315" t="s">
        <v>1448</v>
      </c>
      <c r="J3227" s="315" t="str">
        <f t="shared" si="271"/>
        <v>Admin &amp; OtherDepreciation as % of Total Gross Profit</v>
      </c>
      <c r="K3227" s="315" t="str">
        <f t="shared" si="272"/>
        <v>200Depreciation - Toyota</v>
      </c>
      <c r="L3227" s="311">
        <f>+SUMIF('TUNZ Extracted TB'!M:M,$P3227,'TUNZ Extracted TB'!G:G)</f>
        <v>0</v>
      </c>
      <c r="M3227" s="311"/>
      <c r="N3227" s="311">
        <f>+SUMIF('Input Sheet'!$AE:$AE,P3227,'Input Sheet'!$X:$X)</f>
        <v>0</v>
      </c>
      <c r="O3227" s="311"/>
      <c r="P3227" t="str">
        <f t="shared" si="273"/>
        <v>200-7790</v>
      </c>
      <c r="Q3227" s="315" t="str">
        <f t="shared" si="274"/>
        <v>Admin &amp; Other</v>
      </c>
      <c r="R3227" s="315" t="str">
        <f t="shared" si="275"/>
        <v>Admin &amp; OtherDepreciation as % of Total Gross Profit</v>
      </c>
      <c r="S3227" s="199"/>
      <c r="T3227" s="199"/>
      <c r="U3227" s="199"/>
    </row>
    <row r="3228" spans="1:21" x14ac:dyDescent="0.25">
      <c r="A3228" t="s">
        <v>996</v>
      </c>
      <c r="B3228" t="s">
        <v>997</v>
      </c>
      <c r="C3228" t="s">
        <v>1005</v>
      </c>
      <c r="D3228">
        <v>7790</v>
      </c>
      <c r="E3228">
        <v>221</v>
      </c>
      <c r="F3228" t="s">
        <v>1446</v>
      </c>
      <c r="G3228" t="s">
        <v>1447</v>
      </c>
      <c r="H3228" s="315" t="s">
        <v>1000</v>
      </c>
      <c r="I3228" s="315" t="s">
        <v>1448</v>
      </c>
      <c r="J3228" s="315" t="str">
        <f t="shared" si="271"/>
        <v>Admin &amp; OtherDepreciation as % of Total Gross Profit</v>
      </c>
      <c r="K3228" s="315" t="str">
        <f t="shared" si="272"/>
        <v>221Depreciation - Toyota</v>
      </c>
      <c r="L3228" s="311">
        <f>+SUMIF('TUNZ Extracted TB'!M:M,$P3228,'TUNZ Extracted TB'!G:G)</f>
        <v>0</v>
      </c>
      <c r="M3228" s="311"/>
      <c r="N3228" s="311">
        <f>+SUMIF('Input Sheet'!$AE:$AE,P3228,'Input Sheet'!$X:$X)</f>
        <v>0</v>
      </c>
      <c r="O3228" s="311"/>
      <c r="P3228" t="str">
        <f t="shared" si="273"/>
        <v>221-7790</v>
      </c>
      <c r="Q3228" s="315" t="str">
        <f t="shared" si="274"/>
        <v>Admin &amp; Other</v>
      </c>
      <c r="R3228" s="315" t="str">
        <f t="shared" si="275"/>
        <v>Admin &amp; OtherDepreciation as % of Total Gross Profit</v>
      </c>
      <c r="S3228" s="199"/>
      <c r="T3228" s="199"/>
      <c r="U3228" s="199"/>
    </row>
    <row r="3229" spans="1:21" x14ac:dyDescent="0.25">
      <c r="A3229" t="s">
        <v>996</v>
      </c>
      <c r="B3229" t="s">
        <v>997</v>
      </c>
      <c r="C3229" t="s">
        <v>1005</v>
      </c>
      <c r="D3229">
        <v>7790</v>
      </c>
      <c r="E3229">
        <v>260</v>
      </c>
      <c r="F3229" t="s">
        <v>1446</v>
      </c>
      <c r="G3229" t="s">
        <v>1447</v>
      </c>
      <c r="H3229" s="315" t="s">
        <v>1000</v>
      </c>
      <c r="I3229" s="315" t="s">
        <v>1448</v>
      </c>
      <c r="J3229" s="315" t="str">
        <f t="shared" si="271"/>
        <v>Admin &amp; OtherDepreciation as % of Total Gross Profit</v>
      </c>
      <c r="K3229" s="315" t="str">
        <f t="shared" si="272"/>
        <v>260Depreciation - Toyota</v>
      </c>
      <c r="L3229" s="311">
        <f>+SUMIF('TUNZ Extracted TB'!M:M,$P3229,'TUNZ Extracted TB'!G:G)</f>
        <v>0</v>
      </c>
      <c r="M3229" s="311"/>
      <c r="N3229" s="311">
        <f>+SUMIF('Input Sheet'!$AE:$AE,P3229,'Input Sheet'!$X:$X)</f>
        <v>0</v>
      </c>
      <c r="O3229" s="311"/>
      <c r="P3229" t="str">
        <f t="shared" si="273"/>
        <v>260-7790</v>
      </c>
      <c r="Q3229" s="315" t="str">
        <f t="shared" si="274"/>
        <v>Admin &amp; Other</v>
      </c>
      <c r="R3229" s="315" t="str">
        <f t="shared" si="275"/>
        <v>Admin &amp; OtherDepreciation as % of Total Gross Profit</v>
      </c>
      <c r="S3229" s="199"/>
      <c r="T3229" s="199"/>
      <c r="U3229" s="199"/>
    </row>
    <row r="3230" spans="1:21" x14ac:dyDescent="0.25">
      <c r="A3230" t="s">
        <v>996</v>
      </c>
      <c r="B3230" t="s">
        <v>997</v>
      </c>
      <c r="C3230" t="s">
        <v>1012</v>
      </c>
      <c r="D3230">
        <v>7790</v>
      </c>
      <c r="E3230">
        <v>400</v>
      </c>
      <c r="F3230" t="s">
        <v>1446</v>
      </c>
      <c r="G3230" t="s">
        <v>1447</v>
      </c>
      <c r="H3230" s="315" t="s">
        <v>1000</v>
      </c>
      <c r="I3230" s="315" t="s">
        <v>1448</v>
      </c>
      <c r="J3230" s="315" t="str">
        <f t="shared" si="271"/>
        <v>Admin &amp; OtherDepreciation as % of Total Gross Profit</v>
      </c>
      <c r="K3230" s="315" t="str">
        <f t="shared" si="272"/>
        <v>400Depreciation - Toyota</v>
      </c>
      <c r="L3230" s="311">
        <f>+SUMIF('TUNZ Extracted TB'!M:M,$P3230,'TUNZ Extracted TB'!G:G)</f>
        <v>0</v>
      </c>
      <c r="M3230" s="311"/>
      <c r="N3230" s="311">
        <f>+SUMIF('Input Sheet'!$AE:$AE,P3230,'Input Sheet'!$X:$X)</f>
        <v>0</v>
      </c>
      <c r="O3230" s="311"/>
      <c r="P3230" t="str">
        <f t="shared" si="273"/>
        <v>400-7790</v>
      </c>
      <c r="Q3230" s="315" t="str">
        <f t="shared" si="274"/>
        <v>Admin &amp; Other</v>
      </c>
      <c r="R3230" s="315" t="str">
        <f t="shared" si="275"/>
        <v>Admin &amp; OtherDepreciation as % of Total Gross Profit</v>
      </c>
      <c r="S3230" s="199"/>
      <c r="T3230" s="199"/>
      <c r="U3230" s="199"/>
    </row>
    <row r="3231" spans="1:21" x14ac:dyDescent="0.25">
      <c r="A3231" t="s">
        <v>996</v>
      </c>
      <c r="B3231" t="s">
        <v>997</v>
      </c>
      <c r="C3231" t="s">
        <v>1012</v>
      </c>
      <c r="D3231">
        <v>7790</v>
      </c>
      <c r="E3231">
        <v>410</v>
      </c>
      <c r="F3231" t="s">
        <v>1446</v>
      </c>
      <c r="G3231" t="s">
        <v>1447</v>
      </c>
      <c r="H3231" s="315" t="s">
        <v>1000</v>
      </c>
      <c r="I3231" s="315" t="s">
        <v>1448</v>
      </c>
      <c r="J3231" s="315" t="str">
        <f t="shared" si="271"/>
        <v>Admin &amp; OtherDepreciation as % of Total Gross Profit</v>
      </c>
      <c r="K3231" s="315" t="str">
        <f t="shared" si="272"/>
        <v>410Depreciation - Toyota</v>
      </c>
      <c r="L3231" s="311">
        <f>+SUMIF('TUNZ Extracted TB'!M:M,$P3231,'TUNZ Extracted TB'!G:G)</f>
        <v>0</v>
      </c>
      <c r="M3231" s="311"/>
      <c r="N3231" s="311">
        <f>+SUMIF('Input Sheet'!$AE:$AE,P3231,'Input Sheet'!$X:$X)</f>
        <v>0</v>
      </c>
      <c r="O3231" s="311"/>
      <c r="P3231" t="str">
        <f t="shared" si="273"/>
        <v>410-7790</v>
      </c>
      <c r="Q3231" s="315" t="str">
        <f t="shared" si="274"/>
        <v>Admin &amp; Other</v>
      </c>
      <c r="R3231" s="315" t="str">
        <f t="shared" si="275"/>
        <v>Admin &amp; OtherDepreciation as % of Total Gross Profit</v>
      </c>
      <c r="S3231" s="199"/>
      <c r="T3231" s="199"/>
      <c r="U3231" s="199"/>
    </row>
    <row r="3232" spans="1:21" x14ac:dyDescent="0.25">
      <c r="A3232" t="s">
        <v>996</v>
      </c>
      <c r="B3232" t="s">
        <v>997</v>
      </c>
      <c r="C3232" t="s">
        <v>1012</v>
      </c>
      <c r="D3232">
        <v>7790</v>
      </c>
      <c r="E3232">
        <v>420</v>
      </c>
      <c r="F3232" t="s">
        <v>1446</v>
      </c>
      <c r="G3232" t="s">
        <v>1447</v>
      </c>
      <c r="H3232" s="315" t="s">
        <v>1000</v>
      </c>
      <c r="I3232" s="315" t="s">
        <v>1448</v>
      </c>
      <c r="J3232" s="315" t="str">
        <f t="shared" si="271"/>
        <v>Admin &amp; OtherDepreciation as % of Total Gross Profit</v>
      </c>
      <c r="K3232" s="315" t="str">
        <f t="shared" si="272"/>
        <v>420Depreciation - Toyota</v>
      </c>
      <c r="L3232" s="311">
        <f>+SUMIF('TUNZ Extracted TB'!M:M,$P3232,'TUNZ Extracted TB'!G:G)</f>
        <v>0</v>
      </c>
      <c r="M3232" s="311"/>
      <c r="N3232" s="311">
        <f>+SUMIF('Input Sheet'!$AE:$AE,P3232,'Input Sheet'!$X:$X)</f>
        <v>0</v>
      </c>
      <c r="O3232" s="311"/>
      <c r="P3232" t="str">
        <f t="shared" si="273"/>
        <v>420-7790</v>
      </c>
      <c r="Q3232" s="315" t="str">
        <f t="shared" si="274"/>
        <v>Admin &amp; Other</v>
      </c>
      <c r="R3232" s="315" t="str">
        <f t="shared" si="275"/>
        <v>Admin &amp; OtherDepreciation as % of Total Gross Profit</v>
      </c>
      <c r="S3232" s="199"/>
      <c r="T3232" s="199"/>
      <c r="U3232" s="199"/>
    </row>
    <row r="3233" spans="1:21" x14ac:dyDescent="0.25">
      <c r="A3233" t="s">
        <v>996</v>
      </c>
      <c r="B3233" t="s">
        <v>997</v>
      </c>
      <c r="C3233" t="s">
        <v>1012</v>
      </c>
      <c r="D3233">
        <v>7790</v>
      </c>
      <c r="E3233">
        <v>421</v>
      </c>
      <c r="F3233" t="s">
        <v>1446</v>
      </c>
      <c r="G3233" t="s">
        <v>1447</v>
      </c>
      <c r="H3233" s="315" t="s">
        <v>1000</v>
      </c>
      <c r="I3233" s="315" t="s">
        <v>1448</v>
      </c>
      <c r="J3233" s="315" t="str">
        <f t="shared" si="271"/>
        <v>Admin &amp; OtherDepreciation as % of Total Gross Profit</v>
      </c>
      <c r="K3233" s="315" t="str">
        <f t="shared" si="272"/>
        <v>421Depreciation - Toyota</v>
      </c>
      <c r="L3233" s="311">
        <f>+SUMIF('TUNZ Extracted TB'!M:M,$P3233,'TUNZ Extracted TB'!G:G)</f>
        <v>0</v>
      </c>
      <c r="M3233" s="311"/>
      <c r="N3233" s="311">
        <f>+SUMIF('Input Sheet'!$AE:$AE,P3233,'Input Sheet'!$X:$X)</f>
        <v>0</v>
      </c>
      <c r="O3233" s="311"/>
      <c r="P3233" t="str">
        <f t="shared" si="273"/>
        <v>421-7790</v>
      </c>
      <c r="Q3233" s="315" t="str">
        <f t="shared" si="274"/>
        <v>Admin &amp; Other</v>
      </c>
      <c r="R3233" s="315" t="str">
        <f t="shared" si="275"/>
        <v>Admin &amp; OtherDepreciation as % of Total Gross Profit</v>
      </c>
      <c r="S3233" s="199"/>
      <c r="T3233" s="199"/>
      <c r="U3233" s="199"/>
    </row>
    <row r="3234" spans="1:21" x14ac:dyDescent="0.25">
      <c r="A3234" t="s">
        <v>996</v>
      </c>
      <c r="B3234" t="s">
        <v>997</v>
      </c>
      <c r="C3234" t="s">
        <v>1012</v>
      </c>
      <c r="D3234">
        <v>7790</v>
      </c>
      <c r="E3234">
        <v>460</v>
      </c>
      <c r="F3234" t="s">
        <v>1446</v>
      </c>
      <c r="G3234" t="s">
        <v>1447</v>
      </c>
      <c r="H3234" s="315" t="s">
        <v>1000</v>
      </c>
      <c r="I3234" s="315" t="s">
        <v>1448</v>
      </c>
      <c r="J3234" s="315" t="str">
        <f t="shared" si="271"/>
        <v>Admin &amp; OtherDepreciation as % of Total Gross Profit</v>
      </c>
      <c r="K3234" s="315" t="str">
        <f t="shared" si="272"/>
        <v>460Depreciation - Toyota</v>
      </c>
      <c r="L3234" s="311">
        <f>+SUMIF('TUNZ Extracted TB'!M:M,$P3234,'TUNZ Extracted TB'!G:G)</f>
        <v>0</v>
      </c>
      <c r="M3234" s="311"/>
      <c r="N3234" s="311">
        <f>+SUMIF('Input Sheet'!$AE:$AE,P3234,'Input Sheet'!$X:$X)</f>
        <v>0</v>
      </c>
      <c r="O3234" s="311"/>
      <c r="P3234" t="str">
        <f t="shared" si="273"/>
        <v>460-7790</v>
      </c>
      <c r="Q3234" s="315" t="str">
        <f t="shared" si="274"/>
        <v>Admin &amp; Other</v>
      </c>
      <c r="R3234" s="315" t="str">
        <f t="shared" si="275"/>
        <v>Admin &amp; OtherDepreciation as % of Total Gross Profit</v>
      </c>
      <c r="S3234" s="199"/>
      <c r="T3234" s="199"/>
      <c r="U3234" s="199"/>
    </row>
    <row r="3235" spans="1:21" x14ac:dyDescent="0.25">
      <c r="A3235" t="s">
        <v>996</v>
      </c>
      <c r="B3235" t="s">
        <v>997</v>
      </c>
      <c r="C3235" t="s">
        <v>1013</v>
      </c>
      <c r="D3235">
        <v>7790</v>
      </c>
      <c r="E3235">
        <v>300</v>
      </c>
      <c r="F3235" t="s">
        <v>1446</v>
      </c>
      <c r="G3235" t="s">
        <v>1447</v>
      </c>
      <c r="H3235" s="315" t="s">
        <v>1000</v>
      </c>
      <c r="I3235" s="315" t="s">
        <v>1448</v>
      </c>
      <c r="J3235" s="315" t="str">
        <f t="shared" si="271"/>
        <v>Admin &amp; OtherDepreciation as % of Total Gross Profit</v>
      </c>
      <c r="K3235" s="315" t="str">
        <f t="shared" si="272"/>
        <v>300Depreciation - Toyota</v>
      </c>
      <c r="L3235" s="311">
        <f>+SUMIF('TUNZ Extracted TB'!M:M,$P3235,'TUNZ Extracted TB'!G:G)</f>
        <v>0</v>
      </c>
      <c r="M3235" s="311"/>
      <c r="N3235" s="311">
        <f>+SUMIF('Input Sheet'!$AE:$AE,P3235,'Input Sheet'!$X:$X)</f>
        <v>0</v>
      </c>
      <c r="O3235" s="311"/>
      <c r="P3235" t="str">
        <f t="shared" si="273"/>
        <v>300-7790</v>
      </c>
      <c r="Q3235" s="315" t="str">
        <f t="shared" si="274"/>
        <v>Admin &amp; Other</v>
      </c>
      <c r="R3235" s="315" t="str">
        <f t="shared" si="275"/>
        <v>Admin &amp; OtherDepreciation as % of Total Gross Profit</v>
      </c>
      <c r="S3235" s="199"/>
      <c r="T3235" s="199"/>
      <c r="U3235" s="199"/>
    </row>
    <row r="3236" spans="1:21" x14ac:dyDescent="0.25">
      <c r="A3236" t="s">
        <v>996</v>
      </c>
      <c r="B3236" t="s">
        <v>997</v>
      </c>
      <c r="C3236" t="s">
        <v>1013</v>
      </c>
      <c r="D3236">
        <v>7790</v>
      </c>
      <c r="E3236">
        <v>310</v>
      </c>
      <c r="F3236" t="s">
        <v>1446</v>
      </c>
      <c r="G3236" t="s">
        <v>1447</v>
      </c>
      <c r="H3236" s="315" t="s">
        <v>1000</v>
      </c>
      <c r="I3236" s="315" t="s">
        <v>1448</v>
      </c>
      <c r="J3236" s="315" t="str">
        <f t="shared" si="271"/>
        <v>Admin &amp; OtherDepreciation as % of Total Gross Profit</v>
      </c>
      <c r="K3236" s="315" t="str">
        <f t="shared" si="272"/>
        <v>310Depreciation - Toyota</v>
      </c>
      <c r="L3236" s="311">
        <f>+SUMIF('TUNZ Extracted TB'!M:M,$P3236,'TUNZ Extracted TB'!G:G)</f>
        <v>0</v>
      </c>
      <c r="M3236" s="311"/>
      <c r="N3236" s="311">
        <f>+SUMIF('Input Sheet'!$AE:$AE,P3236,'Input Sheet'!$X:$X)</f>
        <v>0</v>
      </c>
      <c r="O3236" s="311"/>
      <c r="P3236" t="str">
        <f t="shared" si="273"/>
        <v>310-7790</v>
      </c>
      <c r="Q3236" s="315" t="str">
        <f t="shared" si="274"/>
        <v>Admin &amp; Other</v>
      </c>
      <c r="R3236" s="315" t="str">
        <f t="shared" si="275"/>
        <v>Admin &amp; OtherDepreciation as % of Total Gross Profit</v>
      </c>
      <c r="S3236" s="199"/>
      <c r="T3236" s="199"/>
      <c r="U3236" s="199"/>
    </row>
    <row r="3237" spans="1:21" x14ac:dyDescent="0.25">
      <c r="A3237" t="s">
        <v>996</v>
      </c>
      <c r="B3237" t="s">
        <v>997</v>
      </c>
      <c r="C3237" t="s">
        <v>1013</v>
      </c>
      <c r="D3237">
        <v>7790</v>
      </c>
      <c r="E3237">
        <v>321</v>
      </c>
      <c r="F3237" t="s">
        <v>1446</v>
      </c>
      <c r="G3237" t="s">
        <v>1447</v>
      </c>
      <c r="H3237" s="315" t="s">
        <v>1000</v>
      </c>
      <c r="I3237" s="315" t="s">
        <v>1448</v>
      </c>
      <c r="J3237" s="315" t="str">
        <f t="shared" si="271"/>
        <v>Admin &amp; OtherDepreciation as % of Total Gross Profit</v>
      </c>
      <c r="K3237" s="315" t="str">
        <f t="shared" si="272"/>
        <v>321Depreciation - Toyota</v>
      </c>
      <c r="L3237" s="311">
        <f>+SUMIF('TUNZ Extracted TB'!M:M,$P3237,'TUNZ Extracted TB'!G:G)</f>
        <v>0</v>
      </c>
      <c r="M3237" s="311"/>
      <c r="N3237" s="311">
        <f>+SUMIF('Input Sheet'!$AE:$AE,P3237,'Input Sheet'!$X:$X)</f>
        <v>0</v>
      </c>
      <c r="O3237" s="311"/>
      <c r="P3237" t="str">
        <f t="shared" si="273"/>
        <v>321-7790</v>
      </c>
      <c r="Q3237" s="315" t="str">
        <f t="shared" si="274"/>
        <v>Admin &amp; Other</v>
      </c>
      <c r="R3237" s="315" t="str">
        <f t="shared" si="275"/>
        <v>Admin &amp; OtherDepreciation as % of Total Gross Profit</v>
      </c>
      <c r="S3237" s="199"/>
      <c r="T3237" s="199"/>
      <c r="U3237" s="199"/>
    </row>
    <row r="3238" spans="1:21" x14ac:dyDescent="0.25">
      <c r="A3238" t="s">
        <v>996</v>
      </c>
      <c r="B3238" t="s">
        <v>997</v>
      </c>
      <c r="C3238" t="s">
        <v>1013</v>
      </c>
      <c r="D3238">
        <v>7790</v>
      </c>
      <c r="E3238">
        <v>360</v>
      </c>
      <c r="F3238" t="s">
        <v>1446</v>
      </c>
      <c r="G3238" t="s">
        <v>1447</v>
      </c>
      <c r="H3238" s="315" t="s">
        <v>1000</v>
      </c>
      <c r="I3238" s="315" t="s">
        <v>1448</v>
      </c>
      <c r="J3238" s="315" t="str">
        <f t="shared" si="271"/>
        <v>Admin &amp; OtherDepreciation as % of Total Gross Profit</v>
      </c>
      <c r="K3238" s="315" t="str">
        <f t="shared" si="272"/>
        <v>360Depreciation - Toyota</v>
      </c>
      <c r="L3238" s="311">
        <f>+SUMIF('TUNZ Extracted TB'!M:M,$P3238,'TUNZ Extracted TB'!G:G)</f>
        <v>0</v>
      </c>
      <c r="M3238" s="311"/>
      <c r="N3238" s="311">
        <f>+SUMIF('Input Sheet'!$AE:$AE,P3238,'Input Sheet'!$X:$X)</f>
        <v>0</v>
      </c>
      <c r="O3238" s="311"/>
      <c r="P3238" t="str">
        <f t="shared" si="273"/>
        <v>360-7790</v>
      </c>
      <c r="Q3238" s="315" t="str">
        <f t="shared" si="274"/>
        <v>Admin &amp; Other</v>
      </c>
      <c r="R3238" s="315" t="str">
        <f t="shared" si="275"/>
        <v>Admin &amp; OtherDepreciation as % of Total Gross Profit</v>
      </c>
      <c r="S3238" s="199"/>
      <c r="T3238" s="199"/>
      <c r="U3238" s="199"/>
    </row>
    <row r="3239" spans="1:21" x14ac:dyDescent="0.25">
      <c r="A3239" t="s">
        <v>996</v>
      </c>
      <c r="B3239" t="s">
        <v>997</v>
      </c>
      <c r="C3239" t="s">
        <v>997</v>
      </c>
      <c r="D3239">
        <v>7790</v>
      </c>
      <c r="E3239">
        <v>160</v>
      </c>
      <c r="F3239" t="s">
        <v>1446</v>
      </c>
      <c r="G3239" t="s">
        <v>1447</v>
      </c>
      <c r="H3239" s="315" t="s">
        <v>1000</v>
      </c>
      <c r="I3239" s="315" t="s">
        <v>1448</v>
      </c>
      <c r="J3239" s="315" t="str">
        <f t="shared" si="271"/>
        <v>Admin &amp; OtherDepreciation as % of Total Gross Profit</v>
      </c>
      <c r="K3239" s="315" t="str">
        <f t="shared" si="272"/>
        <v>160Depreciation - Toyota</v>
      </c>
      <c r="L3239" s="311">
        <f>+SUMIF('TUNZ Extracted TB'!M:M,$P3239,'TUNZ Extracted TB'!G:G)</f>
        <v>0</v>
      </c>
      <c r="M3239" s="311"/>
      <c r="N3239" s="311">
        <f>+SUMIF('Input Sheet'!$AE:$AE,P3239,'Input Sheet'!$X:$X)</f>
        <v>0</v>
      </c>
      <c r="O3239" s="311"/>
      <c r="P3239" t="str">
        <f t="shared" si="273"/>
        <v>160-7790</v>
      </c>
      <c r="Q3239" s="315" t="str">
        <f t="shared" si="274"/>
        <v>Admin &amp; Other</v>
      </c>
      <c r="R3239" s="315" t="str">
        <f t="shared" si="275"/>
        <v>Admin &amp; OtherDepreciation as % of Total Gross Profit</v>
      </c>
      <c r="S3239" s="199"/>
      <c r="T3239" s="199"/>
      <c r="U3239" s="199"/>
    </row>
    <row r="3240" spans="1:21" x14ac:dyDescent="0.25">
      <c r="A3240" t="s">
        <v>996</v>
      </c>
      <c r="B3240" t="s">
        <v>997</v>
      </c>
      <c r="C3240" t="s">
        <v>997</v>
      </c>
      <c r="D3240">
        <v>7790</v>
      </c>
      <c r="E3240">
        <v>147</v>
      </c>
      <c r="F3240" t="s">
        <v>1446</v>
      </c>
      <c r="G3240" t="s">
        <v>1447</v>
      </c>
      <c r="H3240" s="315" t="s">
        <v>1000</v>
      </c>
      <c r="I3240" s="315" t="s">
        <v>1448</v>
      </c>
      <c r="J3240" s="315" t="str">
        <f t="shared" si="271"/>
        <v>Admin &amp; OtherDepreciation as % of Total Gross Profit</v>
      </c>
      <c r="K3240" s="315" t="str">
        <f t="shared" si="272"/>
        <v>147Depreciation - Toyota</v>
      </c>
      <c r="L3240" s="311">
        <f>+SUMIF('TUNZ Extracted TB'!M:M,$P3240,'TUNZ Extracted TB'!G:G)</f>
        <v>0</v>
      </c>
      <c r="M3240" s="311"/>
      <c r="N3240" s="311">
        <f>+SUMIF('Input Sheet'!$AE:$AE,P3240,'Input Sheet'!$X:$X)</f>
        <v>0</v>
      </c>
      <c r="O3240" s="311"/>
      <c r="P3240" t="str">
        <f t="shared" si="273"/>
        <v>147-7790</v>
      </c>
      <c r="Q3240" s="315" t="str">
        <f t="shared" si="274"/>
        <v>Admin &amp; Other</v>
      </c>
      <c r="R3240" s="315" t="str">
        <f t="shared" si="275"/>
        <v>Admin &amp; OtherDepreciation as % of Total Gross Profit</v>
      </c>
      <c r="S3240" s="199"/>
      <c r="T3240" s="199"/>
      <c r="U3240" s="199"/>
    </row>
    <row r="3241" spans="1:21" x14ac:dyDescent="0.25">
      <c r="A3241" t="s">
        <v>996</v>
      </c>
      <c r="B3241" t="s">
        <v>997</v>
      </c>
      <c r="C3241" t="s">
        <v>997</v>
      </c>
      <c r="D3241">
        <v>7790</v>
      </c>
      <c r="E3241">
        <v>130</v>
      </c>
      <c r="F3241" t="s">
        <v>1446</v>
      </c>
      <c r="G3241" t="s">
        <v>1447</v>
      </c>
      <c r="H3241" s="315" t="s">
        <v>1000</v>
      </c>
      <c r="I3241" s="315" t="s">
        <v>1448</v>
      </c>
      <c r="J3241" s="315" t="str">
        <f t="shared" si="271"/>
        <v>Admin &amp; OtherDepreciation as % of Total Gross Profit</v>
      </c>
      <c r="K3241" s="315" t="str">
        <f t="shared" si="272"/>
        <v>130Depreciation - Toyota</v>
      </c>
      <c r="L3241" s="311">
        <f>+SUMIF('TUNZ Extracted TB'!M:M,$P3241,'TUNZ Extracted TB'!G:G)</f>
        <v>6356</v>
      </c>
      <c r="M3241" s="311"/>
      <c r="N3241" s="311">
        <f>+SUMIF('Input Sheet'!$AE:$AE,P3241,'Input Sheet'!$X:$X)</f>
        <v>0</v>
      </c>
      <c r="O3241" s="311"/>
      <c r="P3241" t="str">
        <f t="shared" si="273"/>
        <v>130-7790</v>
      </c>
      <c r="Q3241" s="315" t="str">
        <f t="shared" si="274"/>
        <v>Admin &amp; Other</v>
      </c>
      <c r="R3241" s="315" t="str">
        <f t="shared" si="275"/>
        <v>Admin &amp; OtherDepreciation as % of Total Gross Profit</v>
      </c>
      <c r="S3241" s="199"/>
      <c r="T3241" s="199"/>
      <c r="U3241" s="199"/>
    </row>
    <row r="3242" spans="1:21" x14ac:dyDescent="0.25">
      <c r="A3242" t="s">
        <v>996</v>
      </c>
      <c r="B3242" t="s">
        <v>997</v>
      </c>
      <c r="C3242" t="s">
        <v>997</v>
      </c>
      <c r="D3242">
        <v>7790</v>
      </c>
      <c r="E3242">
        <v>132</v>
      </c>
      <c r="F3242" t="s">
        <v>1449</v>
      </c>
      <c r="G3242" t="s">
        <v>1450</v>
      </c>
      <c r="H3242" s="315" t="s">
        <v>1023</v>
      </c>
      <c r="I3242" s="315" t="s">
        <v>1448</v>
      </c>
      <c r="J3242" s="315" t="str">
        <f t="shared" si="271"/>
        <v>LEX Admin &amp; OtherDepreciation as % of Total Gross Profit</v>
      </c>
      <c r="K3242" s="315" t="str">
        <f t="shared" si="272"/>
        <v>132Depreciation - Lexus</v>
      </c>
      <c r="L3242" s="311">
        <f>+SUMIF('TUNZ Extracted TB'!M:M,$P3242,'TUNZ Extracted TB'!G:G)</f>
        <v>0</v>
      </c>
      <c r="M3242" s="311"/>
      <c r="N3242" s="311">
        <f>+SUMIF('Input Sheet'!$AE:$AE,P3242,'Input Sheet'!$X:$X)</f>
        <v>0</v>
      </c>
      <c r="O3242" s="311"/>
      <c r="P3242" t="str">
        <f t="shared" si="273"/>
        <v>132-7790</v>
      </c>
      <c r="Q3242" s="315" t="str">
        <f t="shared" si="274"/>
        <v>LEX Admin &amp; Other</v>
      </c>
      <c r="R3242" s="315" t="str">
        <f t="shared" si="275"/>
        <v>LEX Admin &amp; OtherDepreciation as % of Total Gross Profit</v>
      </c>
      <c r="S3242" s="199"/>
      <c r="T3242" s="199"/>
      <c r="U3242" s="199"/>
    </row>
    <row r="3243" spans="1:21" x14ac:dyDescent="0.25">
      <c r="A3243" t="s">
        <v>996</v>
      </c>
      <c r="B3243" t="s">
        <v>997</v>
      </c>
      <c r="C3243" t="s">
        <v>997</v>
      </c>
      <c r="D3243">
        <v>7790</v>
      </c>
      <c r="E3243">
        <v>140</v>
      </c>
      <c r="F3243" t="s">
        <v>1446</v>
      </c>
      <c r="G3243" t="s">
        <v>1447</v>
      </c>
      <c r="H3243" s="315" t="s">
        <v>1000</v>
      </c>
      <c r="I3243" s="315" t="s">
        <v>1448</v>
      </c>
      <c r="J3243" s="315" t="str">
        <f t="shared" si="271"/>
        <v>Admin &amp; OtherDepreciation as % of Total Gross Profit</v>
      </c>
      <c r="K3243" s="315" t="str">
        <f t="shared" si="272"/>
        <v>140Depreciation - Toyota</v>
      </c>
      <c r="L3243" s="311">
        <f>+SUMIF('TUNZ Extracted TB'!M:M,$P3243,'TUNZ Extracted TB'!G:G)</f>
        <v>14705</v>
      </c>
      <c r="M3243" s="311"/>
      <c r="N3243" s="311">
        <f>+SUMIF('Input Sheet'!$AE:$AE,P3243,'Input Sheet'!$X:$X)</f>
        <v>0</v>
      </c>
      <c r="O3243" s="311"/>
      <c r="P3243" t="str">
        <f t="shared" si="273"/>
        <v>140-7790</v>
      </c>
      <c r="Q3243" s="315" t="str">
        <f t="shared" si="274"/>
        <v>Admin &amp; Other</v>
      </c>
      <c r="R3243" s="315" t="str">
        <f t="shared" si="275"/>
        <v>Admin &amp; OtherDepreciation as % of Total Gross Profit</v>
      </c>
      <c r="S3243" s="199"/>
      <c r="T3243" s="199"/>
      <c r="U3243" s="199"/>
    </row>
    <row r="3244" spans="1:21" x14ac:dyDescent="0.25">
      <c r="A3244" t="s">
        <v>996</v>
      </c>
      <c r="B3244" t="s">
        <v>997</v>
      </c>
      <c r="C3244" t="s">
        <v>997</v>
      </c>
      <c r="D3244">
        <v>7790</v>
      </c>
      <c r="E3244">
        <v>142</v>
      </c>
      <c r="F3244" t="s">
        <v>1449</v>
      </c>
      <c r="G3244" t="s">
        <v>1450</v>
      </c>
      <c r="H3244" s="315" t="s">
        <v>1023</v>
      </c>
      <c r="I3244" s="315" t="s">
        <v>1448</v>
      </c>
      <c r="J3244" s="315" t="str">
        <f t="shared" si="271"/>
        <v>LEX Admin &amp; OtherDepreciation as % of Total Gross Profit</v>
      </c>
      <c r="K3244" s="315" t="str">
        <f t="shared" si="272"/>
        <v>142Depreciation - Lexus</v>
      </c>
      <c r="L3244" s="311">
        <f>+SUMIF('TUNZ Extracted TB'!M:M,$P3244,'TUNZ Extracted TB'!G:G)</f>
        <v>6302</v>
      </c>
      <c r="M3244" s="311"/>
      <c r="N3244" s="311">
        <f>+SUMIF('Input Sheet'!$AE:$AE,P3244,'Input Sheet'!$X:$X)</f>
        <v>0</v>
      </c>
      <c r="O3244" s="311"/>
      <c r="P3244" t="str">
        <f t="shared" si="273"/>
        <v>142-7790</v>
      </c>
      <c r="Q3244" s="315" t="str">
        <f t="shared" si="274"/>
        <v>LEX Admin &amp; Other</v>
      </c>
      <c r="R3244" s="315" t="str">
        <f t="shared" si="275"/>
        <v>LEX Admin &amp; OtherDepreciation as % of Total Gross Profit</v>
      </c>
      <c r="S3244" s="199"/>
      <c r="T3244" s="199"/>
      <c r="U3244" s="199"/>
    </row>
    <row r="3245" spans="1:21" x14ac:dyDescent="0.25">
      <c r="A3245" t="s">
        <v>996</v>
      </c>
      <c r="B3245" t="s">
        <v>997</v>
      </c>
      <c r="C3245" t="s">
        <v>997</v>
      </c>
      <c r="D3245">
        <v>7790</v>
      </c>
      <c r="E3245">
        <v>112</v>
      </c>
      <c r="F3245" t="s">
        <v>1449</v>
      </c>
      <c r="G3245" t="s">
        <v>1450</v>
      </c>
      <c r="H3245" s="315" t="s">
        <v>1023</v>
      </c>
      <c r="I3245" s="315" t="s">
        <v>1448</v>
      </c>
      <c r="J3245" s="315" t="str">
        <f t="shared" si="271"/>
        <v>LEX Admin &amp; OtherDepreciation as % of Total Gross Profit</v>
      </c>
      <c r="K3245" s="315" t="str">
        <f t="shared" si="272"/>
        <v>112Depreciation - Lexus</v>
      </c>
      <c r="L3245" s="311">
        <f>+SUMIF('TUNZ Extracted TB'!M:M,$P3245,'TUNZ Extracted TB'!G:G)</f>
        <v>16183</v>
      </c>
      <c r="M3245" s="311"/>
      <c r="N3245" s="311">
        <f>+SUMIF('Input Sheet'!$AE:$AE,P3245,'Input Sheet'!$X:$X)</f>
        <v>8380.3407054953586</v>
      </c>
      <c r="O3245" s="311"/>
      <c r="P3245" t="str">
        <f t="shared" si="273"/>
        <v>112-7790</v>
      </c>
      <c r="Q3245" s="315" t="str">
        <f t="shared" si="274"/>
        <v>LEX Admin &amp; Other</v>
      </c>
      <c r="R3245" s="315" t="str">
        <f t="shared" si="275"/>
        <v>LEX Admin &amp; OtherDepreciation as % of Total Gross Profit</v>
      </c>
      <c r="S3245" s="199"/>
      <c r="T3245" s="199"/>
      <c r="U3245" s="199"/>
    </row>
    <row r="3246" spans="1:21" x14ac:dyDescent="0.25">
      <c r="A3246" t="s">
        <v>996</v>
      </c>
      <c r="B3246" t="s">
        <v>997</v>
      </c>
      <c r="C3246" t="s">
        <v>997</v>
      </c>
      <c r="D3246">
        <v>7790</v>
      </c>
      <c r="E3246">
        <v>110</v>
      </c>
      <c r="F3246" t="s">
        <v>1446</v>
      </c>
      <c r="G3246" t="s">
        <v>1447</v>
      </c>
      <c r="H3246" s="315" t="s">
        <v>1000</v>
      </c>
      <c r="I3246" s="315" t="s">
        <v>1448</v>
      </c>
      <c r="J3246" s="315" t="str">
        <f t="shared" si="271"/>
        <v>Admin &amp; OtherDepreciation as % of Total Gross Profit</v>
      </c>
      <c r="K3246" s="315" t="str">
        <f t="shared" si="272"/>
        <v>110Depreciation - Toyota</v>
      </c>
      <c r="L3246" s="311">
        <f>+SUMIF('TUNZ Extracted TB'!M:M,$P3246,'TUNZ Extracted TB'!G:G)</f>
        <v>4290</v>
      </c>
      <c r="M3246" s="311"/>
      <c r="N3246" s="311">
        <f>+SUMIF('Input Sheet'!$AE:$AE,P3246,'Input Sheet'!$X:$X)</f>
        <v>62366.615412790532</v>
      </c>
      <c r="O3246" s="311"/>
      <c r="P3246" t="str">
        <f t="shared" si="273"/>
        <v>110-7790</v>
      </c>
      <c r="Q3246" s="315" t="str">
        <f t="shared" si="274"/>
        <v>Admin &amp; Other</v>
      </c>
      <c r="R3246" s="315" t="str">
        <f t="shared" si="275"/>
        <v>Admin &amp; OtherDepreciation as % of Total Gross Profit</v>
      </c>
      <c r="S3246" s="199"/>
      <c r="T3246" s="199"/>
      <c r="U3246" s="199"/>
    </row>
    <row r="3247" spans="1:21" x14ac:dyDescent="0.25">
      <c r="A3247" t="s">
        <v>996</v>
      </c>
      <c r="B3247" t="s">
        <v>997</v>
      </c>
      <c r="C3247" t="s">
        <v>997</v>
      </c>
      <c r="D3247">
        <v>7790</v>
      </c>
      <c r="E3247">
        <v>100</v>
      </c>
      <c r="F3247" t="s">
        <v>1446</v>
      </c>
      <c r="G3247" t="s">
        <v>1447</v>
      </c>
      <c r="H3247" s="315" t="s">
        <v>1000</v>
      </c>
      <c r="I3247" s="315" t="s">
        <v>1448</v>
      </c>
      <c r="J3247" s="315" t="str">
        <f t="shared" si="271"/>
        <v>Admin &amp; OtherDepreciation as % of Total Gross Profit</v>
      </c>
      <c r="K3247" s="315" t="str">
        <f t="shared" si="272"/>
        <v>100Depreciation - Toyota</v>
      </c>
      <c r="L3247" s="311">
        <f>+SUMIF('TUNZ Extracted TB'!M:M,$P3247,'TUNZ Extracted TB'!G:G)</f>
        <v>0</v>
      </c>
      <c r="M3247" s="311"/>
      <c r="N3247" s="311">
        <f>+SUMIF('Input Sheet'!$AE:$AE,P3247,'Input Sheet'!$X:$X)</f>
        <v>0</v>
      </c>
      <c r="O3247" s="311"/>
      <c r="P3247" t="str">
        <f t="shared" si="273"/>
        <v>100-7790</v>
      </c>
      <c r="Q3247" s="315" t="str">
        <f t="shared" si="274"/>
        <v>Admin &amp; Other</v>
      </c>
      <c r="R3247" s="315" t="str">
        <f t="shared" si="275"/>
        <v>Admin &amp; OtherDepreciation as % of Total Gross Profit</v>
      </c>
      <c r="S3247" s="199"/>
      <c r="T3247" s="199"/>
      <c r="U3247" s="199"/>
    </row>
    <row r="3248" spans="1:21" x14ac:dyDescent="0.25">
      <c r="A3248" s="316">
        <v>44866</v>
      </c>
      <c r="B3248" t="s">
        <v>997</v>
      </c>
      <c r="C3248" t="s">
        <v>997</v>
      </c>
      <c r="D3248">
        <v>7795</v>
      </c>
      <c r="E3248">
        <v>190</v>
      </c>
      <c r="G3248" t="s">
        <v>979</v>
      </c>
      <c r="H3248" s="315" t="s">
        <v>1000</v>
      </c>
      <c r="I3248" s="315" t="s">
        <v>1448</v>
      </c>
      <c r="J3248" s="315" t="str">
        <f t="shared" si="271"/>
        <v>Admin &amp; OtherDepreciation as % of Total Gross Profit</v>
      </c>
      <c r="K3248" s="315" t="str">
        <f t="shared" si="272"/>
        <v>190Low value assets</v>
      </c>
      <c r="L3248" s="311">
        <f>+SUMIF('TUNZ Extracted TB'!M:M,$P3248,'TUNZ Extracted TB'!G:G)</f>
        <v>0</v>
      </c>
      <c r="M3248" s="311"/>
      <c r="N3248" s="311">
        <f>+SUMIF('Input Sheet'!$AE:$AE,P3248,'Input Sheet'!$X:$X)</f>
        <v>0</v>
      </c>
      <c r="O3248" s="311"/>
      <c r="P3248" t="str">
        <f t="shared" si="273"/>
        <v>190-7795</v>
      </c>
      <c r="Q3248" s="315" t="str">
        <f t="shared" si="274"/>
        <v>Admin &amp; Other</v>
      </c>
      <c r="R3248" s="315" t="str">
        <f t="shared" si="275"/>
        <v>Admin &amp; OtherDepreciation as % of Total Gross Profit</v>
      </c>
      <c r="S3248" s="199"/>
      <c r="T3248" s="199"/>
      <c r="U3248" s="199"/>
    </row>
    <row r="3249" spans="1:21" x14ac:dyDescent="0.25">
      <c r="A3249" s="316">
        <v>44927</v>
      </c>
      <c r="B3249" t="s">
        <v>997</v>
      </c>
      <c r="C3249" t="s">
        <v>997</v>
      </c>
      <c r="D3249">
        <v>7795</v>
      </c>
      <c r="E3249">
        <v>150</v>
      </c>
      <c r="G3249" t="s">
        <v>979</v>
      </c>
      <c r="H3249" s="315" t="s">
        <v>1023</v>
      </c>
      <c r="I3249" s="315" t="s">
        <v>1448</v>
      </c>
      <c r="J3249" s="315" t="str">
        <f t="shared" si="271"/>
        <v>LEX Admin &amp; OtherDepreciation as % of Total Gross Profit</v>
      </c>
      <c r="K3249" s="315" t="str">
        <f t="shared" si="272"/>
        <v>150Low value assets</v>
      </c>
      <c r="L3249" s="311">
        <f>+SUMIF('TUNZ Extracted TB'!M:M,$P3249,'TUNZ Extracted TB'!G:G)</f>
        <v>0</v>
      </c>
      <c r="M3249" s="311"/>
      <c r="N3249" s="311">
        <f>+SUMIF('Input Sheet'!$AE:$AE,P3249,'Input Sheet'!$X:$X)</f>
        <v>0</v>
      </c>
      <c r="O3249" s="311"/>
      <c r="P3249" t="str">
        <f t="shared" si="273"/>
        <v>150-7795</v>
      </c>
      <c r="Q3249" s="315" t="str">
        <f t="shared" si="274"/>
        <v>LEX Admin &amp; Other</v>
      </c>
      <c r="R3249" s="315" t="str">
        <f t="shared" si="275"/>
        <v>LEX Admin &amp; OtherDepreciation as % of Total Gross Profit</v>
      </c>
      <c r="S3249" s="199"/>
      <c r="T3249" s="199"/>
      <c r="U3249" s="199"/>
    </row>
    <row r="3250" spans="1:21" x14ac:dyDescent="0.25">
      <c r="A3250" t="s">
        <v>996</v>
      </c>
      <c r="B3250" t="s">
        <v>997</v>
      </c>
      <c r="C3250" t="s">
        <v>1012</v>
      </c>
      <c r="D3250">
        <v>7795</v>
      </c>
      <c r="E3250">
        <v>440</v>
      </c>
      <c r="F3250" t="s">
        <v>1446</v>
      </c>
      <c r="G3250" t="s">
        <v>1447</v>
      </c>
      <c r="H3250" s="315" t="s">
        <v>1000</v>
      </c>
      <c r="I3250" s="315" t="s">
        <v>1448</v>
      </c>
      <c r="J3250" s="315" t="str">
        <f t="shared" si="271"/>
        <v>Admin &amp; OtherDepreciation as % of Total Gross Profit</v>
      </c>
      <c r="K3250" s="315" t="str">
        <f t="shared" si="272"/>
        <v>440Depreciation - Toyota</v>
      </c>
      <c r="L3250" s="311">
        <f>+SUMIF('TUNZ Extracted TB'!M:M,$P3250,'TUNZ Extracted TB'!G:G)</f>
        <v>0</v>
      </c>
      <c r="M3250" s="311"/>
      <c r="N3250" s="311">
        <f>+SUMIF('Input Sheet'!$AE:$AE,P3250,'Input Sheet'!$X:$X)</f>
        <v>0</v>
      </c>
      <c r="O3250" s="311"/>
      <c r="P3250" t="str">
        <f t="shared" si="273"/>
        <v>440-7795</v>
      </c>
      <c r="Q3250" s="315" t="str">
        <f t="shared" si="274"/>
        <v>Admin &amp; Other</v>
      </c>
      <c r="R3250" s="315" t="str">
        <f t="shared" si="275"/>
        <v>Admin &amp; OtherDepreciation as % of Total Gross Profit</v>
      </c>
      <c r="S3250" s="199"/>
      <c r="T3250" s="199"/>
      <c r="U3250" s="199"/>
    </row>
    <row r="3251" spans="1:21" x14ac:dyDescent="0.25">
      <c r="A3251" t="s">
        <v>996</v>
      </c>
      <c r="B3251" t="s">
        <v>997</v>
      </c>
      <c r="C3251" t="s">
        <v>1012</v>
      </c>
      <c r="D3251">
        <v>7795</v>
      </c>
      <c r="E3251">
        <v>430</v>
      </c>
      <c r="F3251" t="s">
        <v>1446</v>
      </c>
      <c r="G3251" t="s">
        <v>1447</v>
      </c>
      <c r="H3251" s="315" t="s">
        <v>1000</v>
      </c>
      <c r="I3251" s="315" t="s">
        <v>1448</v>
      </c>
      <c r="J3251" s="315" t="str">
        <f t="shared" si="271"/>
        <v>Admin &amp; OtherDepreciation as % of Total Gross Profit</v>
      </c>
      <c r="K3251" s="315" t="str">
        <f t="shared" si="272"/>
        <v>430Depreciation - Toyota</v>
      </c>
      <c r="L3251" s="311">
        <f>+SUMIF('TUNZ Extracted TB'!M:M,$P3251,'TUNZ Extracted TB'!G:G)</f>
        <v>0</v>
      </c>
      <c r="M3251" s="311"/>
      <c r="N3251" s="311">
        <f>+SUMIF('Input Sheet'!$AE:$AE,P3251,'Input Sheet'!$X:$X)</f>
        <v>0</v>
      </c>
      <c r="O3251" s="311"/>
      <c r="P3251" t="str">
        <f t="shared" si="273"/>
        <v>430-7795</v>
      </c>
      <c r="Q3251" s="315" t="str">
        <f t="shared" si="274"/>
        <v>Admin &amp; Other</v>
      </c>
      <c r="R3251" s="315" t="str">
        <f t="shared" si="275"/>
        <v>Admin &amp; OtherDepreciation as % of Total Gross Profit</v>
      </c>
      <c r="S3251" s="199"/>
      <c r="T3251" s="199"/>
      <c r="U3251" s="199"/>
    </row>
    <row r="3252" spans="1:21" x14ac:dyDescent="0.25">
      <c r="A3252" t="s">
        <v>996</v>
      </c>
      <c r="B3252" t="s">
        <v>997</v>
      </c>
      <c r="C3252" t="s">
        <v>1005</v>
      </c>
      <c r="D3252">
        <v>7795</v>
      </c>
      <c r="E3252">
        <v>240</v>
      </c>
      <c r="F3252" t="s">
        <v>1446</v>
      </c>
      <c r="G3252" t="s">
        <v>1447</v>
      </c>
      <c r="H3252" s="315" t="s">
        <v>1000</v>
      </c>
      <c r="I3252" s="315" t="s">
        <v>1448</v>
      </c>
      <c r="J3252" s="315" t="str">
        <f t="shared" si="271"/>
        <v>Admin &amp; OtherDepreciation as % of Total Gross Profit</v>
      </c>
      <c r="K3252" s="315" t="str">
        <f t="shared" si="272"/>
        <v>240Depreciation - Toyota</v>
      </c>
      <c r="L3252" s="311">
        <f>+SUMIF('TUNZ Extracted TB'!M:M,$P3252,'TUNZ Extracted TB'!G:G)</f>
        <v>0</v>
      </c>
      <c r="M3252" s="311"/>
      <c r="N3252" s="311">
        <f>+SUMIF('Input Sheet'!$AE:$AE,P3252,'Input Sheet'!$X:$X)</f>
        <v>0</v>
      </c>
      <c r="O3252" s="311"/>
      <c r="P3252" t="str">
        <f t="shared" si="273"/>
        <v>240-7795</v>
      </c>
      <c r="Q3252" s="315" t="str">
        <f t="shared" si="274"/>
        <v>Admin &amp; Other</v>
      </c>
      <c r="R3252" s="315" t="str">
        <f t="shared" si="275"/>
        <v>Admin &amp; OtherDepreciation as % of Total Gross Profit</v>
      </c>
      <c r="S3252" s="199"/>
      <c r="T3252" s="199"/>
      <c r="U3252" s="199"/>
    </row>
    <row r="3253" spans="1:21" x14ac:dyDescent="0.25">
      <c r="A3253" t="s">
        <v>996</v>
      </c>
      <c r="B3253" t="s">
        <v>997</v>
      </c>
      <c r="C3253" t="s">
        <v>1005</v>
      </c>
      <c r="D3253">
        <v>7795</v>
      </c>
      <c r="E3253">
        <v>210</v>
      </c>
      <c r="F3253" t="s">
        <v>1446</v>
      </c>
      <c r="G3253" t="s">
        <v>1447</v>
      </c>
      <c r="H3253" s="315" t="s">
        <v>1000</v>
      </c>
      <c r="I3253" s="315" t="s">
        <v>1448</v>
      </c>
      <c r="J3253" s="315" t="str">
        <f t="shared" si="271"/>
        <v>Admin &amp; OtherDepreciation as % of Total Gross Profit</v>
      </c>
      <c r="K3253" s="315" t="str">
        <f t="shared" si="272"/>
        <v>210Depreciation - Toyota</v>
      </c>
      <c r="L3253" s="311">
        <f>+SUMIF('TUNZ Extracted TB'!M:M,$P3253,'TUNZ Extracted TB'!G:G)</f>
        <v>0</v>
      </c>
      <c r="M3253" s="311"/>
      <c r="N3253" s="311">
        <f>+SUMIF('Input Sheet'!$AE:$AE,P3253,'Input Sheet'!$X:$X)</f>
        <v>0</v>
      </c>
      <c r="O3253" s="311"/>
      <c r="P3253" t="str">
        <f t="shared" si="273"/>
        <v>210-7795</v>
      </c>
      <c r="Q3253" s="315" t="str">
        <f t="shared" si="274"/>
        <v>Admin &amp; Other</v>
      </c>
      <c r="R3253" s="315" t="str">
        <f t="shared" si="275"/>
        <v>Admin &amp; OtherDepreciation as % of Total Gross Profit</v>
      </c>
      <c r="S3253" s="199"/>
      <c r="T3253" s="199"/>
      <c r="U3253" s="199"/>
    </row>
    <row r="3254" spans="1:21" x14ac:dyDescent="0.25">
      <c r="A3254" t="s">
        <v>996</v>
      </c>
      <c r="B3254" t="s">
        <v>997</v>
      </c>
      <c r="C3254" t="s">
        <v>1005</v>
      </c>
      <c r="D3254">
        <v>7795</v>
      </c>
      <c r="E3254">
        <v>220</v>
      </c>
      <c r="F3254" t="s">
        <v>1446</v>
      </c>
      <c r="G3254" t="s">
        <v>1447</v>
      </c>
      <c r="H3254" s="315" t="s">
        <v>1000</v>
      </c>
      <c r="I3254" s="315" t="s">
        <v>1448</v>
      </c>
      <c r="J3254" s="315" t="str">
        <f t="shared" si="271"/>
        <v>Admin &amp; OtherDepreciation as % of Total Gross Profit</v>
      </c>
      <c r="K3254" s="315" t="str">
        <f t="shared" si="272"/>
        <v>220Depreciation - Toyota</v>
      </c>
      <c r="L3254" s="311">
        <f>+SUMIF('TUNZ Extracted TB'!M:M,$P3254,'TUNZ Extracted TB'!G:G)</f>
        <v>0</v>
      </c>
      <c r="M3254" s="311"/>
      <c r="N3254" s="311">
        <f>+SUMIF('Input Sheet'!$AE:$AE,P3254,'Input Sheet'!$X:$X)</f>
        <v>0</v>
      </c>
      <c r="O3254" s="311"/>
      <c r="P3254" t="str">
        <f t="shared" si="273"/>
        <v>220-7795</v>
      </c>
      <c r="Q3254" s="315" t="str">
        <f t="shared" si="274"/>
        <v>Admin &amp; Other</v>
      </c>
      <c r="R3254" s="315" t="str">
        <f t="shared" si="275"/>
        <v>Admin &amp; OtherDepreciation as % of Total Gross Profit</v>
      </c>
      <c r="S3254" s="199"/>
      <c r="T3254" s="199"/>
      <c r="U3254" s="199"/>
    </row>
    <row r="3255" spans="1:21" x14ac:dyDescent="0.25">
      <c r="A3255" t="s">
        <v>996</v>
      </c>
      <c r="B3255" t="s">
        <v>997</v>
      </c>
      <c r="C3255" t="s">
        <v>1005</v>
      </c>
      <c r="D3255">
        <v>7795</v>
      </c>
      <c r="E3255">
        <v>230</v>
      </c>
      <c r="F3255" t="s">
        <v>1446</v>
      </c>
      <c r="G3255" t="s">
        <v>1447</v>
      </c>
      <c r="H3255" s="315" t="s">
        <v>1000</v>
      </c>
      <c r="I3255" s="315" t="s">
        <v>1448</v>
      </c>
      <c r="J3255" s="315" t="str">
        <f t="shared" si="271"/>
        <v>Admin &amp; OtherDepreciation as % of Total Gross Profit</v>
      </c>
      <c r="K3255" s="315" t="str">
        <f t="shared" si="272"/>
        <v>230Depreciation - Toyota</v>
      </c>
      <c r="L3255" s="311">
        <f>+SUMIF('TUNZ Extracted TB'!M:M,$P3255,'TUNZ Extracted TB'!G:G)</f>
        <v>0</v>
      </c>
      <c r="M3255" s="311"/>
      <c r="N3255" s="311">
        <f>+SUMIF('Input Sheet'!$AE:$AE,P3255,'Input Sheet'!$X:$X)</f>
        <v>0</v>
      </c>
      <c r="O3255" s="311"/>
      <c r="P3255" t="str">
        <f t="shared" si="273"/>
        <v>230-7795</v>
      </c>
      <c r="Q3255" s="315" t="str">
        <f t="shared" si="274"/>
        <v>Admin &amp; Other</v>
      </c>
      <c r="R3255" s="315" t="str">
        <f t="shared" si="275"/>
        <v>Admin &amp; OtherDepreciation as % of Total Gross Profit</v>
      </c>
      <c r="S3255" s="199"/>
      <c r="T3255" s="199"/>
      <c r="U3255" s="199"/>
    </row>
    <row r="3256" spans="1:21" x14ac:dyDescent="0.25">
      <c r="A3256" t="s">
        <v>996</v>
      </c>
      <c r="B3256" t="s">
        <v>997</v>
      </c>
      <c r="C3256" t="s">
        <v>1005</v>
      </c>
      <c r="D3256">
        <v>7795</v>
      </c>
      <c r="E3256">
        <v>260</v>
      </c>
      <c r="F3256" t="s">
        <v>1446</v>
      </c>
      <c r="G3256" t="s">
        <v>1447</v>
      </c>
      <c r="H3256" s="315" t="s">
        <v>1000</v>
      </c>
      <c r="I3256" s="315" t="s">
        <v>1448</v>
      </c>
      <c r="J3256" s="315" t="str">
        <f t="shared" si="271"/>
        <v>Admin &amp; OtherDepreciation as % of Total Gross Profit</v>
      </c>
      <c r="K3256" s="315" t="str">
        <f t="shared" si="272"/>
        <v>260Depreciation - Toyota</v>
      </c>
      <c r="L3256" s="311">
        <f>+SUMIF('TUNZ Extracted TB'!M:M,$P3256,'TUNZ Extracted TB'!G:G)</f>
        <v>0</v>
      </c>
      <c r="M3256" s="311"/>
      <c r="N3256" s="311">
        <f>+SUMIF('Input Sheet'!$AE:$AE,P3256,'Input Sheet'!$X:$X)</f>
        <v>0</v>
      </c>
      <c r="O3256" s="311"/>
      <c r="P3256" t="str">
        <f t="shared" si="273"/>
        <v>260-7795</v>
      </c>
      <c r="Q3256" s="315" t="str">
        <f t="shared" si="274"/>
        <v>Admin &amp; Other</v>
      </c>
      <c r="R3256" s="315" t="str">
        <f t="shared" si="275"/>
        <v>Admin &amp; OtherDepreciation as % of Total Gross Profit</v>
      </c>
      <c r="S3256" s="199"/>
      <c r="T3256" s="199"/>
      <c r="U3256" s="199"/>
    </row>
    <row r="3257" spans="1:21" x14ac:dyDescent="0.25">
      <c r="A3257" t="s">
        <v>996</v>
      </c>
      <c r="B3257" t="s">
        <v>997</v>
      </c>
      <c r="C3257" t="s">
        <v>1012</v>
      </c>
      <c r="D3257">
        <v>7795</v>
      </c>
      <c r="E3257">
        <v>410</v>
      </c>
      <c r="F3257" t="s">
        <v>1446</v>
      </c>
      <c r="G3257" t="s">
        <v>1447</v>
      </c>
      <c r="H3257" s="315" t="s">
        <v>1000</v>
      </c>
      <c r="I3257" s="315" t="s">
        <v>1448</v>
      </c>
      <c r="J3257" s="315" t="str">
        <f t="shared" si="271"/>
        <v>Admin &amp; OtherDepreciation as % of Total Gross Profit</v>
      </c>
      <c r="K3257" s="315" t="str">
        <f t="shared" si="272"/>
        <v>410Depreciation - Toyota</v>
      </c>
      <c r="L3257" s="311">
        <f>+SUMIF('TUNZ Extracted TB'!M:M,$P3257,'TUNZ Extracted TB'!G:G)</f>
        <v>0</v>
      </c>
      <c r="M3257" s="311"/>
      <c r="N3257" s="311">
        <f>+SUMIF('Input Sheet'!$AE:$AE,P3257,'Input Sheet'!$X:$X)</f>
        <v>0</v>
      </c>
      <c r="O3257" s="311"/>
      <c r="P3257" t="str">
        <f t="shared" si="273"/>
        <v>410-7795</v>
      </c>
      <c r="Q3257" s="315" t="str">
        <f t="shared" si="274"/>
        <v>Admin &amp; Other</v>
      </c>
      <c r="R3257" s="315" t="str">
        <f t="shared" si="275"/>
        <v>Admin &amp; OtherDepreciation as % of Total Gross Profit</v>
      </c>
      <c r="S3257" s="199"/>
      <c r="T3257" s="199"/>
      <c r="U3257" s="199"/>
    </row>
    <row r="3258" spans="1:21" x14ac:dyDescent="0.25">
      <c r="A3258" t="s">
        <v>996</v>
      </c>
      <c r="B3258" t="s">
        <v>997</v>
      </c>
      <c r="C3258" t="s">
        <v>1012</v>
      </c>
      <c r="D3258">
        <v>7795</v>
      </c>
      <c r="E3258">
        <v>420</v>
      </c>
      <c r="F3258" t="s">
        <v>1446</v>
      </c>
      <c r="G3258" t="s">
        <v>1447</v>
      </c>
      <c r="H3258" s="315" t="s">
        <v>1000</v>
      </c>
      <c r="I3258" s="315" t="s">
        <v>1448</v>
      </c>
      <c r="J3258" s="315" t="str">
        <f t="shared" si="271"/>
        <v>Admin &amp; OtherDepreciation as % of Total Gross Profit</v>
      </c>
      <c r="K3258" s="315" t="str">
        <f t="shared" si="272"/>
        <v>420Depreciation - Toyota</v>
      </c>
      <c r="L3258" s="311">
        <f>+SUMIF('TUNZ Extracted TB'!M:M,$P3258,'TUNZ Extracted TB'!G:G)</f>
        <v>0</v>
      </c>
      <c r="M3258" s="311"/>
      <c r="N3258" s="311">
        <f>+SUMIF('Input Sheet'!$AE:$AE,P3258,'Input Sheet'!$X:$X)</f>
        <v>0</v>
      </c>
      <c r="O3258" s="311"/>
      <c r="P3258" t="str">
        <f t="shared" si="273"/>
        <v>420-7795</v>
      </c>
      <c r="Q3258" s="315" t="str">
        <f t="shared" si="274"/>
        <v>Admin &amp; Other</v>
      </c>
      <c r="R3258" s="315" t="str">
        <f t="shared" si="275"/>
        <v>Admin &amp; OtherDepreciation as % of Total Gross Profit</v>
      </c>
      <c r="S3258" s="199"/>
      <c r="T3258" s="199"/>
      <c r="U3258" s="199"/>
    </row>
    <row r="3259" spans="1:21" x14ac:dyDescent="0.25">
      <c r="A3259" t="s">
        <v>996</v>
      </c>
      <c r="B3259" t="s">
        <v>997</v>
      </c>
      <c r="C3259" t="s">
        <v>1013</v>
      </c>
      <c r="D3259">
        <v>7795</v>
      </c>
      <c r="E3259">
        <v>340</v>
      </c>
      <c r="F3259" t="s">
        <v>1446</v>
      </c>
      <c r="G3259" t="s">
        <v>1447</v>
      </c>
      <c r="H3259" s="315" t="s">
        <v>1000</v>
      </c>
      <c r="I3259" s="315" t="s">
        <v>1448</v>
      </c>
      <c r="J3259" s="315" t="str">
        <f t="shared" si="271"/>
        <v>Admin &amp; OtherDepreciation as % of Total Gross Profit</v>
      </c>
      <c r="K3259" s="315" t="str">
        <f t="shared" si="272"/>
        <v>340Depreciation - Toyota</v>
      </c>
      <c r="L3259" s="311">
        <f>+SUMIF('TUNZ Extracted TB'!M:M,$P3259,'TUNZ Extracted TB'!G:G)</f>
        <v>0</v>
      </c>
      <c r="M3259" s="311"/>
      <c r="N3259" s="311">
        <f>+SUMIF('Input Sheet'!$AE:$AE,P3259,'Input Sheet'!$X:$X)</f>
        <v>0</v>
      </c>
      <c r="O3259" s="311"/>
      <c r="P3259" t="str">
        <f t="shared" si="273"/>
        <v>340-7795</v>
      </c>
      <c r="Q3259" s="315" t="str">
        <f t="shared" si="274"/>
        <v>Admin &amp; Other</v>
      </c>
      <c r="R3259" s="315" t="str">
        <f t="shared" si="275"/>
        <v>Admin &amp; OtherDepreciation as % of Total Gross Profit</v>
      </c>
      <c r="S3259" s="199"/>
      <c r="T3259" s="199"/>
      <c r="U3259" s="199"/>
    </row>
    <row r="3260" spans="1:21" x14ac:dyDescent="0.25">
      <c r="A3260" t="s">
        <v>996</v>
      </c>
      <c r="B3260" t="s">
        <v>997</v>
      </c>
      <c r="C3260" t="s">
        <v>997</v>
      </c>
      <c r="D3260">
        <v>7795</v>
      </c>
      <c r="E3260">
        <v>121</v>
      </c>
      <c r="F3260" t="s">
        <v>1446</v>
      </c>
      <c r="G3260" t="s">
        <v>1447</v>
      </c>
      <c r="H3260" s="315" t="s">
        <v>1000</v>
      </c>
      <c r="I3260" s="315" t="s">
        <v>1448</v>
      </c>
      <c r="J3260" s="315" t="str">
        <f t="shared" si="271"/>
        <v>Admin &amp; OtherDepreciation as % of Total Gross Profit</v>
      </c>
      <c r="K3260" s="315" t="str">
        <f t="shared" si="272"/>
        <v>121Depreciation - Toyota</v>
      </c>
      <c r="L3260" s="311">
        <f>+SUMIF('TUNZ Extracted TB'!M:M,$P3260,'TUNZ Extracted TB'!G:G)</f>
        <v>0</v>
      </c>
      <c r="M3260" s="311"/>
      <c r="N3260" s="311">
        <f>+SUMIF('Input Sheet'!$AE:$AE,P3260,'Input Sheet'!$X:$X)</f>
        <v>0</v>
      </c>
      <c r="O3260" s="311"/>
      <c r="P3260" t="str">
        <f t="shared" si="273"/>
        <v>121-7795</v>
      </c>
      <c r="Q3260" s="315" t="str">
        <f t="shared" si="274"/>
        <v>Admin &amp; Other</v>
      </c>
      <c r="R3260" s="315" t="str">
        <f t="shared" si="275"/>
        <v>Admin &amp; OtherDepreciation as % of Total Gross Profit</v>
      </c>
      <c r="S3260" s="199"/>
      <c r="T3260" s="199"/>
      <c r="U3260" s="199"/>
    </row>
    <row r="3261" spans="1:21" x14ac:dyDescent="0.25">
      <c r="A3261" t="s">
        <v>996</v>
      </c>
      <c r="B3261" t="s">
        <v>997</v>
      </c>
      <c r="C3261" t="s">
        <v>997</v>
      </c>
      <c r="D3261">
        <v>7795</v>
      </c>
      <c r="E3261">
        <v>147</v>
      </c>
      <c r="F3261" t="s">
        <v>1446</v>
      </c>
      <c r="G3261" t="s">
        <v>1447</v>
      </c>
      <c r="H3261" s="315" t="s">
        <v>1000</v>
      </c>
      <c r="I3261" s="315" t="s">
        <v>1448</v>
      </c>
      <c r="J3261" s="315" t="str">
        <f t="shared" si="271"/>
        <v>Admin &amp; OtherDepreciation as % of Total Gross Profit</v>
      </c>
      <c r="K3261" s="315" t="str">
        <f t="shared" si="272"/>
        <v>147Depreciation - Toyota</v>
      </c>
      <c r="L3261" s="311">
        <f>+SUMIF('TUNZ Extracted TB'!M:M,$P3261,'TUNZ Extracted TB'!G:G)</f>
        <v>0</v>
      </c>
      <c r="M3261" s="311"/>
      <c r="N3261" s="311">
        <f>+SUMIF('Input Sheet'!$AE:$AE,P3261,'Input Sheet'!$X:$X)</f>
        <v>0</v>
      </c>
      <c r="O3261" s="311"/>
      <c r="P3261" t="str">
        <f t="shared" si="273"/>
        <v>147-7795</v>
      </c>
      <c r="Q3261" s="315" t="str">
        <f t="shared" si="274"/>
        <v>Admin &amp; Other</v>
      </c>
      <c r="R3261" s="315" t="str">
        <f t="shared" si="275"/>
        <v>Admin &amp; OtherDepreciation as % of Total Gross Profit</v>
      </c>
      <c r="S3261" s="199"/>
      <c r="T3261" s="199"/>
      <c r="U3261" s="199"/>
    </row>
    <row r="3262" spans="1:21" x14ac:dyDescent="0.25">
      <c r="A3262" t="s">
        <v>996</v>
      </c>
      <c r="B3262" t="s">
        <v>997</v>
      </c>
      <c r="C3262" t="s">
        <v>997</v>
      </c>
      <c r="D3262">
        <v>7795</v>
      </c>
      <c r="E3262">
        <v>160</v>
      </c>
      <c r="F3262" t="s">
        <v>1446</v>
      </c>
      <c r="G3262" t="s">
        <v>1447</v>
      </c>
      <c r="H3262" s="315" t="s">
        <v>1000</v>
      </c>
      <c r="I3262" s="315" t="s">
        <v>1448</v>
      </c>
      <c r="J3262" s="315" t="str">
        <f t="shared" si="271"/>
        <v>Admin &amp; OtherDepreciation as % of Total Gross Profit</v>
      </c>
      <c r="K3262" s="315" t="str">
        <f t="shared" si="272"/>
        <v>160Depreciation - Toyota</v>
      </c>
      <c r="L3262" s="311">
        <f>+SUMIF('TUNZ Extracted TB'!M:M,$P3262,'TUNZ Extracted TB'!G:G)</f>
        <v>0</v>
      </c>
      <c r="M3262" s="311"/>
      <c r="N3262" s="311">
        <f>+SUMIF('Input Sheet'!$AE:$AE,P3262,'Input Sheet'!$X:$X)</f>
        <v>0</v>
      </c>
      <c r="O3262" s="311"/>
      <c r="P3262" t="str">
        <f t="shared" si="273"/>
        <v>160-7795</v>
      </c>
      <c r="Q3262" s="315" t="str">
        <f t="shared" si="274"/>
        <v>Admin &amp; Other</v>
      </c>
      <c r="R3262" s="315" t="str">
        <f t="shared" si="275"/>
        <v>Admin &amp; OtherDepreciation as % of Total Gross Profit</v>
      </c>
      <c r="S3262" s="199"/>
      <c r="T3262" s="199"/>
      <c r="U3262" s="199"/>
    </row>
    <row r="3263" spans="1:21" x14ac:dyDescent="0.25">
      <c r="A3263" t="s">
        <v>996</v>
      </c>
      <c r="B3263" t="s">
        <v>997</v>
      </c>
      <c r="C3263" t="s">
        <v>997</v>
      </c>
      <c r="D3263">
        <v>7795</v>
      </c>
      <c r="E3263">
        <v>120</v>
      </c>
      <c r="F3263" t="s">
        <v>1446</v>
      </c>
      <c r="G3263" t="s">
        <v>1447</v>
      </c>
      <c r="H3263" s="315" t="s">
        <v>1000</v>
      </c>
      <c r="I3263" s="315" t="s">
        <v>1448</v>
      </c>
      <c r="J3263" s="315" t="str">
        <f t="shared" si="271"/>
        <v>Admin &amp; OtherDepreciation as % of Total Gross Profit</v>
      </c>
      <c r="K3263" s="315" t="str">
        <f t="shared" si="272"/>
        <v>120Depreciation - Toyota</v>
      </c>
      <c r="L3263" s="311">
        <f>+SUMIF('TUNZ Extracted TB'!M:M,$P3263,'TUNZ Extracted TB'!G:G)</f>
        <v>0</v>
      </c>
      <c r="M3263" s="311"/>
      <c r="N3263" s="311">
        <f>+SUMIF('Input Sheet'!$AE:$AE,P3263,'Input Sheet'!$X:$X)</f>
        <v>0</v>
      </c>
      <c r="O3263" s="311"/>
      <c r="P3263" t="str">
        <f t="shared" si="273"/>
        <v>120-7795</v>
      </c>
      <c r="Q3263" s="315" t="str">
        <f t="shared" si="274"/>
        <v>Admin &amp; Other</v>
      </c>
      <c r="R3263" s="315" t="str">
        <f t="shared" si="275"/>
        <v>Admin &amp; OtherDepreciation as % of Total Gross Profit</v>
      </c>
      <c r="S3263" s="199"/>
      <c r="T3263" s="199"/>
      <c r="U3263" s="199"/>
    </row>
    <row r="3264" spans="1:21" x14ac:dyDescent="0.25">
      <c r="A3264" t="s">
        <v>996</v>
      </c>
      <c r="B3264" t="s">
        <v>997</v>
      </c>
      <c r="C3264" t="s">
        <v>997</v>
      </c>
      <c r="D3264">
        <v>7795</v>
      </c>
      <c r="E3264">
        <v>170</v>
      </c>
      <c r="F3264" t="s">
        <v>998</v>
      </c>
      <c r="G3264" t="s">
        <v>999</v>
      </c>
      <c r="H3264" s="315" t="s">
        <v>1000</v>
      </c>
      <c r="I3264" s="315" t="s">
        <v>1001</v>
      </c>
      <c r="J3264" s="315" t="str">
        <f t="shared" si="271"/>
        <v>Admin &amp; OtherOther Overheads as % of Total Gross Profit</v>
      </c>
      <c r="K3264" s="315" t="str">
        <f t="shared" si="272"/>
        <v>170Miscellaneous expenses - Toyota</v>
      </c>
      <c r="L3264" s="311">
        <f>+SUMIF('TUNZ Extracted TB'!M:M,$P3264,'TUNZ Extracted TB'!G:G)</f>
        <v>0</v>
      </c>
      <c r="M3264" s="311"/>
      <c r="N3264" s="311">
        <f>+SUMIF('Input Sheet'!$AE:$AE,P3264,'Input Sheet'!$X:$X)</f>
        <v>0</v>
      </c>
      <c r="O3264" s="311"/>
      <c r="P3264" t="str">
        <f t="shared" si="273"/>
        <v>170-7795</v>
      </c>
      <c r="Q3264" s="315" t="str">
        <f t="shared" si="274"/>
        <v>Admin &amp; Other</v>
      </c>
      <c r="R3264" s="315" t="str">
        <f t="shared" si="275"/>
        <v>Admin &amp; OtherOther Overheads as % of Total Gross Profit</v>
      </c>
      <c r="S3264" s="199"/>
      <c r="T3264" s="199"/>
      <c r="U3264" s="199"/>
    </row>
    <row r="3265" spans="1:21" x14ac:dyDescent="0.25">
      <c r="A3265" t="s">
        <v>996</v>
      </c>
      <c r="B3265" t="s">
        <v>997</v>
      </c>
      <c r="C3265" t="s">
        <v>997</v>
      </c>
      <c r="D3265">
        <v>7795</v>
      </c>
      <c r="E3265">
        <v>936</v>
      </c>
      <c r="F3265" t="s">
        <v>1175</v>
      </c>
      <c r="G3265" t="s">
        <v>1176</v>
      </c>
      <c r="H3265" s="315" t="s">
        <v>1023</v>
      </c>
      <c r="I3265" s="315" t="s">
        <v>1448</v>
      </c>
      <c r="J3265" s="315" t="str">
        <f t="shared" si="271"/>
        <v>LEX Admin &amp; OtherDepreciation as % of Total Gross Profit</v>
      </c>
      <c r="K3265" s="315" t="str">
        <f t="shared" si="272"/>
        <v>936Other franchise/business expense</v>
      </c>
      <c r="L3265" s="311">
        <f>+SUMIF('TUNZ Extracted TB'!M:M,$P3265,'TUNZ Extracted TB'!G:G)</f>
        <v>0</v>
      </c>
      <c r="M3265" s="311"/>
      <c r="N3265" s="311">
        <f>+SUMIF('Input Sheet'!$AE:$AE,P3265,'Input Sheet'!$X:$X)</f>
        <v>0</v>
      </c>
      <c r="O3265" s="311"/>
      <c r="P3265" t="str">
        <f t="shared" si="273"/>
        <v>936-7795</v>
      </c>
      <c r="Q3265" s="315" t="str">
        <f t="shared" si="274"/>
        <v>LEX Admin &amp; Other</v>
      </c>
      <c r="R3265" s="315" t="str">
        <f t="shared" si="275"/>
        <v>LEX Admin &amp; OtherDepreciation as % of Total Gross Profit</v>
      </c>
      <c r="S3265" s="199"/>
      <c r="T3265" s="199"/>
      <c r="U3265" s="199"/>
    </row>
    <row r="3266" spans="1:21" x14ac:dyDescent="0.25">
      <c r="A3266" t="s">
        <v>996</v>
      </c>
      <c r="B3266" t="s">
        <v>997</v>
      </c>
      <c r="C3266" t="s">
        <v>997</v>
      </c>
      <c r="D3266">
        <v>7795</v>
      </c>
      <c r="E3266">
        <v>935</v>
      </c>
      <c r="F3266" t="s">
        <v>1175</v>
      </c>
      <c r="G3266" t="s">
        <v>1176</v>
      </c>
      <c r="H3266" s="315" t="s">
        <v>1023</v>
      </c>
      <c r="I3266" s="315" t="s">
        <v>1448</v>
      </c>
      <c r="J3266" s="315" t="str">
        <f t="shared" si="271"/>
        <v>LEX Admin &amp; OtherDepreciation as % of Total Gross Profit</v>
      </c>
      <c r="K3266" s="315" t="str">
        <f t="shared" si="272"/>
        <v>935Other franchise/business expense</v>
      </c>
      <c r="L3266" s="311">
        <f>+SUMIF('TUNZ Extracted TB'!M:M,$P3266,'TUNZ Extracted TB'!G:G)</f>
        <v>0</v>
      </c>
      <c r="M3266" s="311"/>
      <c r="N3266" s="311">
        <f>+SUMIF('Input Sheet'!$AE:$AE,P3266,'Input Sheet'!$X:$X)</f>
        <v>0</v>
      </c>
      <c r="O3266" s="311"/>
      <c r="P3266" t="str">
        <f t="shared" si="273"/>
        <v>935-7795</v>
      </c>
      <c r="Q3266" s="315" t="str">
        <f t="shared" si="274"/>
        <v>LEX Admin &amp; Other</v>
      </c>
      <c r="R3266" s="315" t="str">
        <f t="shared" si="275"/>
        <v>LEX Admin &amp; OtherDepreciation as % of Total Gross Profit</v>
      </c>
      <c r="S3266" s="199"/>
      <c r="T3266" s="199"/>
      <c r="U3266" s="199"/>
    </row>
    <row r="3267" spans="1:21" x14ac:dyDescent="0.25">
      <c r="A3267" t="s">
        <v>996</v>
      </c>
      <c r="B3267" t="s">
        <v>997</v>
      </c>
      <c r="C3267" t="s">
        <v>997</v>
      </c>
      <c r="D3267">
        <v>7795</v>
      </c>
      <c r="E3267">
        <v>130</v>
      </c>
      <c r="F3267" t="s">
        <v>1446</v>
      </c>
      <c r="G3267" t="s">
        <v>1447</v>
      </c>
      <c r="H3267" s="315" t="s">
        <v>1000</v>
      </c>
      <c r="I3267" s="315" t="s">
        <v>1448</v>
      </c>
      <c r="J3267" s="315" t="str">
        <f t="shared" ref="J3267:J3330" si="276">+H3267&amp;I3267</f>
        <v>Admin &amp; OtherDepreciation as % of Total Gross Profit</v>
      </c>
      <c r="K3267" s="315" t="str">
        <f t="shared" ref="K3267:K3330" si="277">+E3267&amp;G3267</f>
        <v>130Depreciation - Toyota</v>
      </c>
      <c r="L3267" s="311">
        <f>+SUMIF('TUNZ Extracted TB'!M:M,$P3267,'TUNZ Extracted TB'!G:G)</f>
        <v>0</v>
      </c>
      <c r="M3267" s="311"/>
      <c r="N3267" s="311">
        <f>+SUMIF('Input Sheet'!$AE:$AE,P3267,'Input Sheet'!$X:$X)</f>
        <v>0</v>
      </c>
      <c r="O3267" s="311"/>
      <c r="P3267" t="str">
        <f t="shared" ref="P3267:P3330" si="278">+E3267&amp;"-"&amp;D3267</f>
        <v>130-7795</v>
      </c>
      <c r="Q3267" s="315" t="str">
        <f t="shared" ref="Q3267:Q3330" si="279">H3267</f>
        <v>Admin &amp; Other</v>
      </c>
      <c r="R3267" s="315" t="str">
        <f t="shared" ref="R3267:R3330" si="280">J3267</f>
        <v>Admin &amp; OtherDepreciation as % of Total Gross Profit</v>
      </c>
      <c r="S3267" s="199"/>
      <c r="T3267" s="199"/>
      <c r="U3267" s="199"/>
    </row>
    <row r="3268" spans="1:21" x14ac:dyDescent="0.25">
      <c r="A3268" t="s">
        <v>996</v>
      </c>
      <c r="B3268" t="s">
        <v>997</v>
      </c>
      <c r="C3268" t="s">
        <v>997</v>
      </c>
      <c r="D3268">
        <v>7795</v>
      </c>
      <c r="E3268">
        <v>140</v>
      </c>
      <c r="F3268" t="s">
        <v>1446</v>
      </c>
      <c r="G3268" t="s">
        <v>1447</v>
      </c>
      <c r="H3268" s="315" t="s">
        <v>1000</v>
      </c>
      <c r="I3268" s="315" t="s">
        <v>1448</v>
      </c>
      <c r="J3268" s="315" t="str">
        <f t="shared" si="276"/>
        <v>Admin &amp; OtherDepreciation as % of Total Gross Profit</v>
      </c>
      <c r="K3268" s="315" t="str">
        <f t="shared" si="277"/>
        <v>140Depreciation - Toyota</v>
      </c>
      <c r="L3268" s="311">
        <f>+SUMIF('TUNZ Extracted TB'!M:M,$P3268,'TUNZ Extracted TB'!G:G)</f>
        <v>0</v>
      </c>
      <c r="M3268" s="311"/>
      <c r="N3268" s="311">
        <f>+SUMIF('Input Sheet'!$AE:$AE,P3268,'Input Sheet'!$X:$X)</f>
        <v>0</v>
      </c>
      <c r="O3268" s="311"/>
      <c r="P3268" t="str">
        <f t="shared" si="278"/>
        <v>140-7795</v>
      </c>
      <c r="Q3268" s="315" t="str">
        <f t="shared" si="279"/>
        <v>Admin &amp; Other</v>
      </c>
      <c r="R3268" s="315" t="str">
        <f t="shared" si="280"/>
        <v>Admin &amp; OtherDepreciation as % of Total Gross Profit</v>
      </c>
      <c r="S3268" s="199"/>
      <c r="T3268" s="199"/>
      <c r="U3268" s="199"/>
    </row>
    <row r="3269" spans="1:21" x14ac:dyDescent="0.25">
      <c r="A3269" t="s">
        <v>996</v>
      </c>
      <c r="B3269" t="s">
        <v>997</v>
      </c>
      <c r="C3269" t="s">
        <v>997</v>
      </c>
      <c r="D3269">
        <v>7795</v>
      </c>
      <c r="E3269">
        <v>142</v>
      </c>
      <c r="F3269" t="s">
        <v>1284</v>
      </c>
      <c r="G3269" t="s">
        <v>1285</v>
      </c>
      <c r="H3269" s="315" t="s">
        <v>1023</v>
      </c>
      <c r="I3269" s="315" t="s">
        <v>1448</v>
      </c>
      <c r="J3269" s="315" t="str">
        <f t="shared" si="276"/>
        <v>LEX Admin &amp; OtherDepreciation as % of Total Gross Profit</v>
      </c>
      <c r="K3269" s="315" t="str">
        <f t="shared" si="277"/>
        <v>142Service Other expenses - Lexus</v>
      </c>
      <c r="L3269" s="311">
        <f>+SUMIF('TUNZ Extracted TB'!M:M,$P3269,'TUNZ Extracted TB'!G:G)</f>
        <v>0</v>
      </c>
      <c r="M3269" s="311"/>
      <c r="N3269" s="311">
        <f>+SUMIF('Input Sheet'!$AE:$AE,P3269,'Input Sheet'!$X:$X)</f>
        <v>0</v>
      </c>
      <c r="O3269" s="311"/>
      <c r="P3269" t="str">
        <f t="shared" si="278"/>
        <v>142-7795</v>
      </c>
      <c r="Q3269" s="315" t="str">
        <f t="shared" si="279"/>
        <v>LEX Admin &amp; Other</v>
      </c>
      <c r="R3269" s="315" t="str">
        <f t="shared" si="280"/>
        <v>LEX Admin &amp; OtherDepreciation as % of Total Gross Profit</v>
      </c>
      <c r="S3269" s="199"/>
      <c r="T3269" s="199"/>
      <c r="U3269" s="199"/>
    </row>
    <row r="3270" spans="1:21" x14ac:dyDescent="0.25">
      <c r="A3270" t="s">
        <v>996</v>
      </c>
      <c r="B3270" t="s">
        <v>997</v>
      </c>
      <c r="C3270" t="s">
        <v>997</v>
      </c>
      <c r="D3270">
        <v>7795</v>
      </c>
      <c r="E3270">
        <v>112</v>
      </c>
      <c r="F3270" t="s">
        <v>1449</v>
      </c>
      <c r="G3270" t="s">
        <v>1450</v>
      </c>
      <c r="H3270" s="315" t="s">
        <v>1023</v>
      </c>
      <c r="I3270" s="315" t="s">
        <v>1448</v>
      </c>
      <c r="J3270" s="315" t="str">
        <f t="shared" si="276"/>
        <v>LEX Admin &amp; OtherDepreciation as % of Total Gross Profit</v>
      </c>
      <c r="K3270" s="315" t="str">
        <f t="shared" si="277"/>
        <v>112Depreciation - Lexus</v>
      </c>
      <c r="L3270" s="311">
        <f>+SUMIF('TUNZ Extracted TB'!M:M,$P3270,'TUNZ Extracted TB'!G:G)</f>
        <v>0</v>
      </c>
      <c r="M3270" s="311"/>
      <c r="N3270" s="311">
        <f>+SUMIF('Input Sheet'!$AE:$AE,P3270,'Input Sheet'!$X:$X)</f>
        <v>0</v>
      </c>
      <c r="O3270" s="311"/>
      <c r="P3270" t="str">
        <f t="shared" si="278"/>
        <v>112-7795</v>
      </c>
      <c r="Q3270" s="315" t="str">
        <f t="shared" si="279"/>
        <v>LEX Admin &amp; Other</v>
      </c>
      <c r="R3270" s="315" t="str">
        <f t="shared" si="280"/>
        <v>LEX Admin &amp; OtherDepreciation as % of Total Gross Profit</v>
      </c>
      <c r="S3270" s="199"/>
      <c r="T3270" s="199"/>
      <c r="U3270" s="199"/>
    </row>
    <row r="3271" spans="1:21" x14ac:dyDescent="0.25">
      <c r="A3271" t="s">
        <v>996</v>
      </c>
      <c r="B3271" t="s">
        <v>997</v>
      </c>
      <c r="C3271" t="s">
        <v>997</v>
      </c>
      <c r="D3271">
        <v>7795</v>
      </c>
      <c r="E3271">
        <v>110</v>
      </c>
      <c r="F3271" t="s">
        <v>1446</v>
      </c>
      <c r="G3271" t="s">
        <v>1447</v>
      </c>
      <c r="H3271" s="315" t="s">
        <v>1000</v>
      </c>
      <c r="I3271" s="315" t="s">
        <v>1448</v>
      </c>
      <c r="J3271" s="315" t="str">
        <f t="shared" si="276"/>
        <v>Admin &amp; OtherDepreciation as % of Total Gross Profit</v>
      </c>
      <c r="K3271" s="315" t="str">
        <f t="shared" si="277"/>
        <v>110Depreciation - Toyota</v>
      </c>
      <c r="L3271" s="311">
        <f>+SUMIF('TUNZ Extracted TB'!M:M,$P3271,'TUNZ Extracted TB'!G:G)</f>
        <v>0</v>
      </c>
      <c r="M3271" s="311"/>
      <c r="N3271" s="311">
        <f>+SUMIF('Input Sheet'!$AE:$AE,P3271,'Input Sheet'!$X:$X)</f>
        <v>0</v>
      </c>
      <c r="O3271" s="311"/>
      <c r="P3271" t="str">
        <f t="shared" si="278"/>
        <v>110-7795</v>
      </c>
      <c r="Q3271" s="315" t="str">
        <f t="shared" si="279"/>
        <v>Admin &amp; Other</v>
      </c>
      <c r="R3271" s="315" t="str">
        <f t="shared" si="280"/>
        <v>Admin &amp; OtherDepreciation as % of Total Gross Profit</v>
      </c>
      <c r="S3271" s="199"/>
      <c r="T3271" s="199"/>
      <c r="U3271" s="199"/>
    </row>
    <row r="3272" spans="1:21" x14ac:dyDescent="0.25">
      <c r="A3272" t="s">
        <v>996</v>
      </c>
      <c r="B3272" t="s">
        <v>997</v>
      </c>
      <c r="C3272" t="s">
        <v>997</v>
      </c>
      <c r="D3272">
        <v>7820</v>
      </c>
      <c r="E3272">
        <v>120</v>
      </c>
      <c r="F3272" t="s">
        <v>1451</v>
      </c>
      <c r="G3272" t="s">
        <v>1452</v>
      </c>
      <c r="H3272" s="315" t="s">
        <v>1000</v>
      </c>
      <c r="I3272" s="315" t="s">
        <v>1001</v>
      </c>
      <c r="J3272" s="315" t="str">
        <f t="shared" si="276"/>
        <v>Admin &amp; OtherOther Overheads as % of Total Gross Profit</v>
      </c>
      <c r="K3272" s="315" t="str">
        <f t="shared" si="277"/>
        <v>120Heat/Light/Power - Toyota</v>
      </c>
      <c r="L3272" s="311">
        <f>+SUMIF('TUNZ Extracted TB'!M:M,$P3272,'TUNZ Extracted TB'!G:G)</f>
        <v>543.37</v>
      </c>
      <c r="M3272" s="311"/>
      <c r="N3272" s="311">
        <f>+SUMIF('Input Sheet'!$AE:$AE,P3272,'Input Sheet'!$X:$X)</f>
        <v>0</v>
      </c>
      <c r="O3272" s="311"/>
      <c r="P3272" t="str">
        <f t="shared" si="278"/>
        <v>120-7820</v>
      </c>
      <c r="Q3272" s="315" t="str">
        <f t="shared" si="279"/>
        <v>Admin &amp; Other</v>
      </c>
      <c r="R3272" s="315" t="str">
        <f t="shared" si="280"/>
        <v>Admin &amp; OtherOther Overheads as % of Total Gross Profit</v>
      </c>
      <c r="S3272" s="199"/>
      <c r="T3272" s="199"/>
      <c r="U3272" s="199"/>
    </row>
    <row r="3273" spans="1:21" x14ac:dyDescent="0.25">
      <c r="A3273" t="s">
        <v>996</v>
      </c>
      <c r="B3273" t="s">
        <v>997</v>
      </c>
      <c r="C3273" t="s">
        <v>1013</v>
      </c>
      <c r="D3273">
        <v>7820</v>
      </c>
      <c r="E3273">
        <v>340</v>
      </c>
      <c r="F3273" t="s">
        <v>1451</v>
      </c>
      <c r="G3273" t="s">
        <v>1452</v>
      </c>
      <c r="H3273" s="315" t="s">
        <v>1000</v>
      </c>
      <c r="I3273" s="315" t="s">
        <v>1001</v>
      </c>
      <c r="J3273" s="315" t="str">
        <f t="shared" si="276"/>
        <v>Admin &amp; OtherOther Overheads as % of Total Gross Profit</v>
      </c>
      <c r="K3273" s="315" t="str">
        <f t="shared" si="277"/>
        <v>340Heat/Light/Power - Toyota</v>
      </c>
      <c r="L3273" s="311">
        <f>+SUMIF('TUNZ Extracted TB'!M:M,$P3273,'TUNZ Extracted TB'!G:G)</f>
        <v>285.37</v>
      </c>
      <c r="M3273" s="311"/>
      <c r="N3273" s="311">
        <f>+SUMIF('Input Sheet'!$AE:$AE,P3273,'Input Sheet'!$X:$X)</f>
        <v>0</v>
      </c>
      <c r="O3273" s="311"/>
      <c r="P3273" t="str">
        <f t="shared" si="278"/>
        <v>340-7820</v>
      </c>
      <c r="Q3273" s="315" t="str">
        <f t="shared" si="279"/>
        <v>Admin &amp; Other</v>
      </c>
      <c r="R3273" s="315" t="str">
        <f t="shared" si="280"/>
        <v>Admin &amp; OtherOther Overheads as % of Total Gross Profit</v>
      </c>
      <c r="S3273" s="199"/>
      <c r="T3273" s="199"/>
      <c r="U3273" s="199"/>
    </row>
    <row r="3274" spans="1:21" x14ac:dyDescent="0.25">
      <c r="A3274" t="s">
        <v>996</v>
      </c>
      <c r="B3274" t="s">
        <v>997</v>
      </c>
      <c r="C3274" t="s">
        <v>1005</v>
      </c>
      <c r="D3274">
        <v>7820</v>
      </c>
      <c r="E3274">
        <v>240</v>
      </c>
      <c r="F3274" t="s">
        <v>1451</v>
      </c>
      <c r="G3274" t="s">
        <v>1452</v>
      </c>
      <c r="H3274" s="315" t="s">
        <v>1000</v>
      </c>
      <c r="I3274" s="315" t="s">
        <v>1001</v>
      </c>
      <c r="J3274" s="315" t="str">
        <f t="shared" si="276"/>
        <v>Admin &amp; OtherOther Overheads as % of Total Gross Profit</v>
      </c>
      <c r="K3274" s="315" t="str">
        <f t="shared" si="277"/>
        <v>240Heat/Light/Power - Toyota</v>
      </c>
      <c r="L3274" s="311">
        <f>+SUMIF('TUNZ Extracted TB'!M:M,$P3274,'TUNZ Extracted TB'!G:G)</f>
        <v>375.93</v>
      </c>
      <c r="M3274" s="311"/>
      <c r="N3274" s="311">
        <f>+SUMIF('Input Sheet'!$AE:$AE,P3274,'Input Sheet'!$X:$X)</f>
        <v>0</v>
      </c>
      <c r="O3274" s="311"/>
      <c r="P3274" t="str">
        <f t="shared" si="278"/>
        <v>240-7820</v>
      </c>
      <c r="Q3274" s="315" t="str">
        <f t="shared" si="279"/>
        <v>Admin &amp; Other</v>
      </c>
      <c r="R3274" s="315" t="str">
        <f t="shared" si="280"/>
        <v>Admin &amp; OtherOther Overheads as % of Total Gross Profit</v>
      </c>
      <c r="S3274" s="199"/>
      <c r="T3274" s="199"/>
      <c r="U3274" s="199"/>
    </row>
    <row r="3275" spans="1:21" x14ac:dyDescent="0.25">
      <c r="A3275" t="s">
        <v>996</v>
      </c>
      <c r="B3275" t="s">
        <v>997</v>
      </c>
      <c r="C3275" t="s">
        <v>997</v>
      </c>
      <c r="D3275">
        <v>7820</v>
      </c>
      <c r="E3275">
        <v>936</v>
      </c>
      <c r="F3275" t="s">
        <v>1175</v>
      </c>
      <c r="G3275" t="s">
        <v>1176</v>
      </c>
      <c r="H3275" s="315" t="s">
        <v>1023</v>
      </c>
      <c r="I3275" s="315" t="s">
        <v>1001</v>
      </c>
      <c r="J3275" s="315" t="str">
        <f t="shared" si="276"/>
        <v>LEX Admin &amp; OtherOther Overheads as % of Total Gross Profit</v>
      </c>
      <c r="K3275" s="315" t="str">
        <f t="shared" si="277"/>
        <v>936Other franchise/business expense</v>
      </c>
      <c r="L3275" s="311">
        <f>+SUMIF('TUNZ Extracted TB'!M:M,$P3275,'TUNZ Extracted TB'!G:G)</f>
        <v>253.38</v>
      </c>
      <c r="M3275" s="311"/>
      <c r="N3275" s="311">
        <f>+SUMIF('Input Sheet'!$AE:$AE,P3275,'Input Sheet'!$X:$X)</f>
        <v>0</v>
      </c>
      <c r="O3275" s="311"/>
      <c r="P3275" t="str">
        <f t="shared" si="278"/>
        <v>936-7820</v>
      </c>
      <c r="Q3275" s="315" t="str">
        <f t="shared" si="279"/>
        <v>LEX Admin &amp; Other</v>
      </c>
      <c r="R3275" s="315" t="str">
        <f t="shared" si="280"/>
        <v>LEX Admin &amp; OtherOther Overheads as % of Total Gross Profit</v>
      </c>
      <c r="S3275" s="199"/>
      <c r="T3275" s="199"/>
      <c r="U3275" s="199"/>
    </row>
    <row r="3276" spans="1:21" x14ac:dyDescent="0.25">
      <c r="A3276" t="s">
        <v>996</v>
      </c>
      <c r="B3276" t="s">
        <v>997</v>
      </c>
      <c r="C3276" t="s">
        <v>1005</v>
      </c>
      <c r="D3276">
        <v>7820</v>
      </c>
      <c r="E3276">
        <v>220</v>
      </c>
      <c r="F3276" t="s">
        <v>1451</v>
      </c>
      <c r="G3276" t="s">
        <v>1452</v>
      </c>
      <c r="H3276" s="315" t="s">
        <v>1000</v>
      </c>
      <c r="I3276" s="315" t="s">
        <v>1001</v>
      </c>
      <c r="J3276" s="315" t="str">
        <f t="shared" si="276"/>
        <v>Admin &amp; OtherOther Overheads as % of Total Gross Profit</v>
      </c>
      <c r="K3276" s="315" t="str">
        <f t="shared" si="277"/>
        <v>220Heat/Light/Power - Toyota</v>
      </c>
      <c r="L3276" s="311">
        <f>+SUMIF('TUNZ Extracted TB'!M:M,$P3276,'TUNZ Extracted TB'!G:G)</f>
        <v>330.68</v>
      </c>
      <c r="M3276" s="311"/>
      <c r="N3276" s="311">
        <f>+SUMIF('Input Sheet'!$AE:$AE,P3276,'Input Sheet'!$X:$X)</f>
        <v>0</v>
      </c>
      <c r="O3276" s="311"/>
      <c r="P3276" t="str">
        <f t="shared" si="278"/>
        <v>220-7820</v>
      </c>
      <c r="Q3276" s="315" t="str">
        <f t="shared" si="279"/>
        <v>Admin &amp; Other</v>
      </c>
      <c r="R3276" s="315" t="str">
        <f t="shared" si="280"/>
        <v>Admin &amp; OtherOther Overheads as % of Total Gross Profit</v>
      </c>
      <c r="S3276" s="199"/>
      <c r="T3276" s="199"/>
      <c r="U3276" s="199"/>
    </row>
    <row r="3277" spans="1:21" x14ac:dyDescent="0.25">
      <c r="A3277" s="316">
        <v>45108</v>
      </c>
      <c r="B3277" t="s">
        <v>997</v>
      </c>
      <c r="C3277" t="s">
        <v>997</v>
      </c>
      <c r="D3277">
        <v>7820</v>
      </c>
      <c r="E3277">
        <v>150</v>
      </c>
      <c r="G3277" t="s">
        <v>957</v>
      </c>
      <c r="H3277" s="315" t="s">
        <v>1023</v>
      </c>
      <c r="I3277" s="315" t="s">
        <v>1001</v>
      </c>
      <c r="J3277" s="315" t="str">
        <f t="shared" si="276"/>
        <v>LEX Admin &amp; OtherOther Overheads as % of Total Gross Profit</v>
      </c>
      <c r="K3277" s="315" t="str">
        <f t="shared" si="277"/>
        <v>150Heat/Light/Power</v>
      </c>
      <c r="L3277" s="311">
        <f>+SUMIF('TUNZ Extracted TB'!M:M,$P3277,'TUNZ Extracted TB'!G:G)</f>
        <v>243.73</v>
      </c>
      <c r="M3277" s="311"/>
      <c r="N3277" s="311">
        <f>+SUMIF('Input Sheet'!$AE:$AE,P3277,'Input Sheet'!$X:$X)</f>
        <v>0</v>
      </c>
      <c r="O3277" s="311"/>
      <c r="P3277" t="str">
        <f t="shared" si="278"/>
        <v>150-7820</v>
      </c>
      <c r="Q3277" s="315" t="str">
        <f t="shared" si="279"/>
        <v>LEX Admin &amp; Other</v>
      </c>
      <c r="R3277" s="315" t="str">
        <f t="shared" si="280"/>
        <v>LEX Admin &amp; OtherOther Overheads as % of Total Gross Profit</v>
      </c>
      <c r="S3277" s="199"/>
      <c r="T3277" s="199"/>
      <c r="U3277" s="199"/>
    </row>
    <row r="3278" spans="1:21" x14ac:dyDescent="0.25">
      <c r="A3278" t="s">
        <v>996</v>
      </c>
      <c r="B3278" t="s">
        <v>997</v>
      </c>
      <c r="C3278" t="s">
        <v>1005</v>
      </c>
      <c r="D3278">
        <v>7820</v>
      </c>
      <c r="E3278">
        <v>210</v>
      </c>
      <c r="F3278" t="s">
        <v>1451</v>
      </c>
      <c r="G3278" t="s">
        <v>1452</v>
      </c>
      <c r="H3278" s="315" t="s">
        <v>1000</v>
      </c>
      <c r="I3278" s="315" t="s">
        <v>1001</v>
      </c>
      <c r="J3278" s="315" t="str">
        <f t="shared" si="276"/>
        <v>Admin &amp; OtherOther Overheads as % of Total Gross Profit</v>
      </c>
      <c r="K3278" s="315" t="str">
        <f t="shared" si="277"/>
        <v>210Heat/Light/Power - Toyota</v>
      </c>
      <c r="L3278" s="311">
        <f>+SUMIF('TUNZ Extracted TB'!M:M,$P3278,'TUNZ Extracted TB'!G:G)</f>
        <v>312.54000000000002</v>
      </c>
      <c r="M3278" s="311"/>
      <c r="N3278" s="311">
        <f>+SUMIF('Input Sheet'!$AE:$AE,P3278,'Input Sheet'!$X:$X)</f>
        <v>0</v>
      </c>
      <c r="O3278" s="311"/>
      <c r="P3278" t="str">
        <f t="shared" si="278"/>
        <v>210-7820</v>
      </c>
      <c r="Q3278" s="315" t="str">
        <f t="shared" si="279"/>
        <v>Admin &amp; Other</v>
      </c>
      <c r="R3278" s="315" t="str">
        <f t="shared" si="280"/>
        <v>Admin &amp; OtherOther Overheads as % of Total Gross Profit</v>
      </c>
      <c r="S3278" s="199"/>
      <c r="T3278" s="199"/>
      <c r="U3278" s="199"/>
    </row>
    <row r="3279" spans="1:21" x14ac:dyDescent="0.25">
      <c r="A3279" t="s">
        <v>996</v>
      </c>
      <c r="B3279" t="s">
        <v>997</v>
      </c>
      <c r="C3279" t="s">
        <v>1005</v>
      </c>
      <c r="D3279">
        <v>7820</v>
      </c>
      <c r="E3279">
        <v>230</v>
      </c>
      <c r="F3279" t="s">
        <v>1451</v>
      </c>
      <c r="G3279" t="s">
        <v>1452</v>
      </c>
      <c r="H3279" s="315" t="s">
        <v>1000</v>
      </c>
      <c r="I3279" s="315" t="s">
        <v>1001</v>
      </c>
      <c r="J3279" s="315" t="str">
        <f t="shared" si="276"/>
        <v>Admin &amp; OtherOther Overheads as % of Total Gross Profit</v>
      </c>
      <c r="K3279" s="315" t="str">
        <f t="shared" si="277"/>
        <v>230Heat/Light/Power - Toyota</v>
      </c>
      <c r="L3279" s="311">
        <f>+SUMIF('TUNZ Extracted TB'!M:M,$P3279,'TUNZ Extracted TB'!G:G)</f>
        <v>312</v>
      </c>
      <c r="M3279" s="311"/>
      <c r="N3279" s="311">
        <f>+SUMIF('Input Sheet'!$AE:$AE,P3279,'Input Sheet'!$X:$X)</f>
        <v>0</v>
      </c>
      <c r="O3279" s="311"/>
      <c r="P3279" t="str">
        <f t="shared" si="278"/>
        <v>230-7820</v>
      </c>
      <c r="Q3279" s="315" t="str">
        <f t="shared" si="279"/>
        <v>Admin &amp; Other</v>
      </c>
      <c r="R3279" s="315" t="str">
        <f t="shared" si="280"/>
        <v>Admin &amp; OtherOther Overheads as % of Total Gross Profit</v>
      </c>
      <c r="S3279" s="199"/>
      <c r="T3279" s="199"/>
      <c r="U3279" s="199"/>
    </row>
    <row r="3280" spans="1:21" x14ac:dyDescent="0.25">
      <c r="A3280" t="s">
        <v>996</v>
      </c>
      <c r="B3280" t="s">
        <v>997</v>
      </c>
      <c r="C3280" t="s">
        <v>997</v>
      </c>
      <c r="D3280">
        <v>7820</v>
      </c>
      <c r="E3280">
        <v>160</v>
      </c>
      <c r="F3280" t="s">
        <v>1451</v>
      </c>
      <c r="G3280" t="s">
        <v>1452</v>
      </c>
      <c r="H3280" s="315" t="s">
        <v>1000</v>
      </c>
      <c r="I3280" s="315" t="s">
        <v>1001</v>
      </c>
      <c r="J3280" s="315" t="str">
        <f t="shared" si="276"/>
        <v>Admin &amp; OtherOther Overheads as % of Total Gross Profit</v>
      </c>
      <c r="K3280" s="315" t="str">
        <f t="shared" si="277"/>
        <v>160Heat/Light/Power - Toyota</v>
      </c>
      <c r="L3280" s="311">
        <f>+SUMIF('TUNZ Extracted TB'!M:M,$P3280,'TUNZ Extracted TB'!G:G)</f>
        <v>206.82</v>
      </c>
      <c r="M3280" s="311"/>
      <c r="N3280" s="311">
        <f>+SUMIF('Input Sheet'!$AE:$AE,P3280,'Input Sheet'!$X:$X)</f>
        <v>0</v>
      </c>
      <c r="O3280" s="311"/>
      <c r="P3280" t="str">
        <f t="shared" si="278"/>
        <v>160-7820</v>
      </c>
      <c r="Q3280" s="315" t="str">
        <f t="shared" si="279"/>
        <v>Admin &amp; Other</v>
      </c>
      <c r="R3280" s="315" t="str">
        <f t="shared" si="280"/>
        <v>Admin &amp; OtherOther Overheads as % of Total Gross Profit</v>
      </c>
      <c r="S3280" s="199"/>
      <c r="T3280" s="199"/>
      <c r="U3280" s="199"/>
    </row>
    <row r="3281" spans="1:21" x14ac:dyDescent="0.25">
      <c r="A3281" t="s">
        <v>996</v>
      </c>
      <c r="B3281" t="s">
        <v>997</v>
      </c>
      <c r="C3281" t="s">
        <v>1012</v>
      </c>
      <c r="D3281">
        <v>7820</v>
      </c>
      <c r="E3281">
        <v>430</v>
      </c>
      <c r="F3281" t="s">
        <v>1451</v>
      </c>
      <c r="G3281" t="s">
        <v>1452</v>
      </c>
      <c r="H3281" s="315" t="s">
        <v>1000</v>
      </c>
      <c r="I3281" s="315" t="s">
        <v>1001</v>
      </c>
      <c r="J3281" s="315" t="str">
        <f t="shared" si="276"/>
        <v>Admin &amp; OtherOther Overheads as % of Total Gross Profit</v>
      </c>
      <c r="K3281" s="315" t="str">
        <f t="shared" si="277"/>
        <v>430Heat/Light/Power - Toyota</v>
      </c>
      <c r="L3281" s="311">
        <f>+SUMIF('TUNZ Extracted TB'!M:M,$P3281,'TUNZ Extracted TB'!G:G)</f>
        <v>186.23</v>
      </c>
      <c r="M3281" s="311"/>
      <c r="N3281" s="311">
        <f>+SUMIF('Input Sheet'!$AE:$AE,P3281,'Input Sheet'!$X:$X)</f>
        <v>0</v>
      </c>
      <c r="O3281" s="311"/>
      <c r="P3281" t="str">
        <f t="shared" si="278"/>
        <v>430-7820</v>
      </c>
      <c r="Q3281" s="315" t="str">
        <f t="shared" si="279"/>
        <v>Admin &amp; Other</v>
      </c>
      <c r="R3281" s="315" t="str">
        <f t="shared" si="280"/>
        <v>Admin &amp; OtherOther Overheads as % of Total Gross Profit</v>
      </c>
      <c r="S3281" s="199"/>
      <c r="T3281" s="199"/>
      <c r="U3281" s="199"/>
    </row>
    <row r="3282" spans="1:21" x14ac:dyDescent="0.25">
      <c r="A3282" t="s">
        <v>996</v>
      </c>
      <c r="B3282" t="s">
        <v>997</v>
      </c>
      <c r="C3282" t="s">
        <v>1012</v>
      </c>
      <c r="D3282">
        <v>7820</v>
      </c>
      <c r="E3282">
        <v>440</v>
      </c>
      <c r="F3282" t="s">
        <v>1451</v>
      </c>
      <c r="G3282" t="s">
        <v>1452</v>
      </c>
      <c r="H3282" s="315" t="s">
        <v>1000</v>
      </c>
      <c r="I3282" s="315" t="s">
        <v>1001</v>
      </c>
      <c r="J3282" s="315" t="str">
        <f t="shared" si="276"/>
        <v>Admin &amp; OtherOther Overheads as % of Total Gross Profit</v>
      </c>
      <c r="K3282" s="315" t="str">
        <f t="shared" si="277"/>
        <v>440Heat/Light/Power - Toyota</v>
      </c>
      <c r="L3282" s="311">
        <f>+SUMIF('TUNZ Extracted TB'!M:M,$P3282,'TUNZ Extracted TB'!G:G)</f>
        <v>173.91</v>
      </c>
      <c r="M3282" s="311"/>
      <c r="N3282" s="311">
        <f>+SUMIF('Input Sheet'!$AE:$AE,P3282,'Input Sheet'!$X:$X)</f>
        <v>0</v>
      </c>
      <c r="O3282" s="311"/>
      <c r="P3282" t="str">
        <f t="shared" si="278"/>
        <v>440-7820</v>
      </c>
      <c r="Q3282" s="315" t="str">
        <f t="shared" si="279"/>
        <v>Admin &amp; Other</v>
      </c>
      <c r="R3282" s="315" t="str">
        <f t="shared" si="280"/>
        <v>Admin &amp; OtherOther Overheads as % of Total Gross Profit</v>
      </c>
      <c r="S3282" s="199"/>
      <c r="T3282" s="199"/>
      <c r="U3282" s="199"/>
    </row>
    <row r="3283" spans="1:21" x14ac:dyDescent="0.25">
      <c r="A3283" t="s">
        <v>996</v>
      </c>
      <c r="B3283" t="s">
        <v>997</v>
      </c>
      <c r="C3283" t="s">
        <v>997</v>
      </c>
      <c r="D3283">
        <v>7820</v>
      </c>
      <c r="E3283">
        <v>935</v>
      </c>
      <c r="F3283" t="s">
        <v>1175</v>
      </c>
      <c r="G3283" t="s">
        <v>1176</v>
      </c>
      <c r="H3283" s="315" t="s">
        <v>1023</v>
      </c>
      <c r="I3283" s="315" t="s">
        <v>1001</v>
      </c>
      <c r="J3283" s="315" t="str">
        <f t="shared" si="276"/>
        <v>LEX Admin &amp; OtherOther Overheads as % of Total Gross Profit</v>
      </c>
      <c r="K3283" s="315" t="str">
        <f t="shared" si="277"/>
        <v>935Other franchise/business expense</v>
      </c>
      <c r="L3283" s="311">
        <f>+SUMIF('TUNZ Extracted TB'!M:M,$P3283,'TUNZ Extracted TB'!G:G)</f>
        <v>156.38999999999999</v>
      </c>
      <c r="M3283" s="311"/>
      <c r="N3283" s="311">
        <f>+SUMIF('Input Sheet'!$AE:$AE,P3283,'Input Sheet'!$X:$X)</f>
        <v>0</v>
      </c>
      <c r="O3283" s="311"/>
      <c r="P3283" t="str">
        <f t="shared" si="278"/>
        <v>935-7820</v>
      </c>
      <c r="Q3283" s="315" t="str">
        <f t="shared" si="279"/>
        <v>LEX Admin &amp; Other</v>
      </c>
      <c r="R3283" s="315" t="str">
        <f t="shared" si="280"/>
        <v>LEX Admin &amp; OtherOther Overheads as % of Total Gross Profit</v>
      </c>
      <c r="S3283" s="199"/>
      <c r="T3283" s="199"/>
      <c r="U3283" s="199"/>
    </row>
    <row r="3284" spans="1:21" x14ac:dyDescent="0.25">
      <c r="A3284" t="s">
        <v>996</v>
      </c>
      <c r="B3284" t="s">
        <v>997</v>
      </c>
      <c r="C3284" t="s">
        <v>997</v>
      </c>
      <c r="D3284">
        <v>7820</v>
      </c>
      <c r="E3284">
        <v>122</v>
      </c>
      <c r="F3284" t="s">
        <v>1453</v>
      </c>
      <c r="G3284" t="s">
        <v>1454</v>
      </c>
      <c r="H3284" s="315" t="s">
        <v>1023</v>
      </c>
      <c r="I3284" s="315" t="s">
        <v>1001</v>
      </c>
      <c r="J3284" s="315" t="str">
        <f t="shared" si="276"/>
        <v>LEX Admin &amp; OtherOther Overheads as % of Total Gross Profit</v>
      </c>
      <c r="K3284" s="315" t="str">
        <f t="shared" si="277"/>
        <v>122Heat/Light/Power - Lexus</v>
      </c>
      <c r="L3284" s="311">
        <f>+SUMIF('TUNZ Extracted TB'!M:M,$P3284,'TUNZ Extracted TB'!G:G)</f>
        <v>126.92</v>
      </c>
      <c r="M3284" s="311"/>
      <c r="N3284" s="311">
        <f>+SUMIF('Input Sheet'!$AE:$AE,P3284,'Input Sheet'!$X:$X)</f>
        <v>0</v>
      </c>
      <c r="O3284" s="311"/>
      <c r="P3284" t="str">
        <f t="shared" si="278"/>
        <v>122-7820</v>
      </c>
      <c r="Q3284" s="315" t="str">
        <f t="shared" si="279"/>
        <v>LEX Admin &amp; Other</v>
      </c>
      <c r="R3284" s="315" t="str">
        <f t="shared" si="280"/>
        <v>LEX Admin &amp; OtherOther Overheads as % of Total Gross Profit</v>
      </c>
      <c r="S3284" s="199"/>
      <c r="T3284" s="199"/>
      <c r="U3284" s="199"/>
    </row>
    <row r="3285" spans="1:21" x14ac:dyDescent="0.25">
      <c r="A3285" t="s">
        <v>996</v>
      </c>
      <c r="B3285" t="s">
        <v>997</v>
      </c>
      <c r="C3285" t="s">
        <v>997</v>
      </c>
      <c r="D3285">
        <v>7820</v>
      </c>
      <c r="E3285">
        <v>162</v>
      </c>
      <c r="F3285" t="s">
        <v>1453</v>
      </c>
      <c r="G3285" t="s">
        <v>1454</v>
      </c>
      <c r="H3285" s="315" t="s">
        <v>1023</v>
      </c>
      <c r="I3285" s="315" t="s">
        <v>1001</v>
      </c>
      <c r="J3285" s="315" t="str">
        <f t="shared" si="276"/>
        <v>LEX Admin &amp; OtherOther Overheads as % of Total Gross Profit</v>
      </c>
      <c r="K3285" s="315" t="str">
        <f t="shared" si="277"/>
        <v>162Heat/Light/Power - Lexus</v>
      </c>
      <c r="L3285" s="311">
        <f>+SUMIF('TUNZ Extracted TB'!M:M,$P3285,'TUNZ Extracted TB'!G:G)</f>
        <v>126.92</v>
      </c>
      <c r="M3285" s="311"/>
      <c r="N3285" s="311">
        <f>+SUMIF('Input Sheet'!$AE:$AE,P3285,'Input Sheet'!$X:$X)</f>
        <v>0</v>
      </c>
      <c r="O3285" s="311"/>
      <c r="P3285" t="str">
        <f t="shared" si="278"/>
        <v>162-7820</v>
      </c>
      <c r="Q3285" s="315" t="str">
        <f t="shared" si="279"/>
        <v>LEX Admin &amp; Other</v>
      </c>
      <c r="R3285" s="315" t="str">
        <f t="shared" si="280"/>
        <v>LEX Admin &amp; OtherOther Overheads as % of Total Gross Profit</v>
      </c>
      <c r="S3285" s="199"/>
      <c r="T3285" s="199"/>
      <c r="U3285" s="199"/>
    </row>
    <row r="3286" spans="1:21" x14ac:dyDescent="0.25">
      <c r="A3286" s="316">
        <v>44866</v>
      </c>
      <c r="B3286" t="s">
        <v>997</v>
      </c>
      <c r="C3286" t="s">
        <v>997</v>
      </c>
      <c r="D3286">
        <v>7820</v>
      </c>
      <c r="E3286">
        <v>190</v>
      </c>
      <c r="G3286" t="s">
        <v>957</v>
      </c>
      <c r="H3286" s="315" t="s">
        <v>1000</v>
      </c>
      <c r="I3286" s="315" t="s">
        <v>1001</v>
      </c>
      <c r="J3286" s="315" t="str">
        <f t="shared" si="276"/>
        <v>Admin &amp; OtherOther Overheads as % of Total Gross Profit</v>
      </c>
      <c r="K3286" s="315" t="str">
        <f t="shared" si="277"/>
        <v>190Heat/Light/Power</v>
      </c>
      <c r="L3286" s="311">
        <f>+SUMIF('TUNZ Extracted TB'!M:M,$P3286,'TUNZ Extracted TB'!G:G)</f>
        <v>0</v>
      </c>
      <c r="M3286" s="311"/>
      <c r="N3286" s="311">
        <f>+SUMIF('Input Sheet'!$AE:$AE,P3286,'Input Sheet'!$X:$X)</f>
        <v>0</v>
      </c>
      <c r="O3286" s="311"/>
      <c r="P3286" t="str">
        <f t="shared" si="278"/>
        <v>190-7820</v>
      </c>
      <c r="Q3286" s="315" t="str">
        <f t="shared" si="279"/>
        <v>Admin &amp; Other</v>
      </c>
      <c r="R3286" s="315" t="str">
        <f t="shared" si="280"/>
        <v>Admin &amp; OtherOther Overheads as % of Total Gross Profit</v>
      </c>
      <c r="S3286" s="199"/>
      <c r="T3286" s="199"/>
      <c r="U3286" s="199"/>
    </row>
    <row r="3287" spans="1:21" x14ac:dyDescent="0.25">
      <c r="A3287" t="s">
        <v>996</v>
      </c>
      <c r="B3287" t="s">
        <v>997</v>
      </c>
      <c r="C3287" t="s">
        <v>997</v>
      </c>
      <c r="D3287">
        <v>7820</v>
      </c>
      <c r="E3287">
        <v>121</v>
      </c>
      <c r="F3287" t="s">
        <v>1451</v>
      </c>
      <c r="G3287" t="s">
        <v>1452</v>
      </c>
      <c r="H3287" s="315" t="s">
        <v>1000</v>
      </c>
      <c r="I3287" s="315" t="s">
        <v>1001</v>
      </c>
      <c r="J3287" s="315" t="str">
        <f t="shared" si="276"/>
        <v>Admin &amp; OtherOther Overheads as % of Total Gross Profit</v>
      </c>
      <c r="K3287" s="315" t="str">
        <f t="shared" si="277"/>
        <v>121Heat/Light/Power - Toyota</v>
      </c>
      <c r="L3287" s="311">
        <f>+SUMIF('TUNZ Extracted TB'!M:M,$P3287,'TUNZ Extracted TB'!G:G)</f>
        <v>346.72</v>
      </c>
      <c r="M3287" s="311"/>
      <c r="N3287" s="311">
        <f>+SUMIF('Input Sheet'!$AE:$AE,P3287,'Input Sheet'!$X:$X)</f>
        <v>0</v>
      </c>
      <c r="O3287" s="311"/>
      <c r="P3287" t="str">
        <f t="shared" si="278"/>
        <v>121-7820</v>
      </c>
      <c r="Q3287" s="315" t="str">
        <f t="shared" si="279"/>
        <v>Admin &amp; Other</v>
      </c>
      <c r="R3287" s="315" t="str">
        <f t="shared" si="280"/>
        <v>Admin &amp; OtherOther Overheads as % of Total Gross Profit</v>
      </c>
      <c r="S3287" s="199"/>
      <c r="T3287" s="199"/>
      <c r="U3287" s="199"/>
    </row>
    <row r="3288" spans="1:21" x14ac:dyDescent="0.25">
      <c r="A3288" t="s">
        <v>996</v>
      </c>
      <c r="B3288" t="s">
        <v>997</v>
      </c>
      <c r="C3288" t="s">
        <v>1005</v>
      </c>
      <c r="D3288">
        <v>7820</v>
      </c>
      <c r="E3288">
        <v>200</v>
      </c>
      <c r="F3288" t="s">
        <v>1451</v>
      </c>
      <c r="G3288" t="s">
        <v>1452</v>
      </c>
      <c r="H3288" s="315" t="s">
        <v>1000</v>
      </c>
      <c r="I3288" s="315" t="s">
        <v>1001</v>
      </c>
      <c r="J3288" s="315" t="str">
        <f t="shared" si="276"/>
        <v>Admin &amp; OtherOther Overheads as % of Total Gross Profit</v>
      </c>
      <c r="K3288" s="315" t="str">
        <f t="shared" si="277"/>
        <v>200Heat/Light/Power - Toyota</v>
      </c>
      <c r="L3288" s="311">
        <f>+SUMIF('TUNZ Extracted TB'!M:M,$P3288,'TUNZ Extracted TB'!G:G)</f>
        <v>0</v>
      </c>
      <c r="M3288" s="311"/>
      <c r="N3288" s="311">
        <f>+SUMIF('Input Sheet'!$AE:$AE,P3288,'Input Sheet'!$X:$X)</f>
        <v>0</v>
      </c>
      <c r="O3288" s="311"/>
      <c r="P3288" t="str">
        <f t="shared" si="278"/>
        <v>200-7820</v>
      </c>
      <c r="Q3288" s="315" t="str">
        <f t="shared" si="279"/>
        <v>Admin &amp; Other</v>
      </c>
      <c r="R3288" s="315" t="str">
        <f t="shared" si="280"/>
        <v>Admin &amp; OtherOther Overheads as % of Total Gross Profit</v>
      </c>
      <c r="S3288" s="199"/>
      <c r="T3288" s="199"/>
      <c r="U3288" s="199"/>
    </row>
    <row r="3289" spans="1:21" x14ac:dyDescent="0.25">
      <c r="A3289" t="s">
        <v>996</v>
      </c>
      <c r="B3289" t="s">
        <v>997</v>
      </c>
      <c r="C3289" t="s">
        <v>1005</v>
      </c>
      <c r="D3289">
        <v>7820</v>
      </c>
      <c r="E3289">
        <v>221</v>
      </c>
      <c r="F3289" t="s">
        <v>1451</v>
      </c>
      <c r="G3289" t="s">
        <v>1452</v>
      </c>
      <c r="H3289" s="315" t="s">
        <v>1000</v>
      </c>
      <c r="I3289" s="315" t="s">
        <v>1001</v>
      </c>
      <c r="J3289" s="315" t="str">
        <f t="shared" si="276"/>
        <v>Admin &amp; OtherOther Overheads as % of Total Gross Profit</v>
      </c>
      <c r="K3289" s="315" t="str">
        <f t="shared" si="277"/>
        <v>221Heat/Light/Power - Toyota</v>
      </c>
      <c r="L3289" s="311">
        <f>+SUMIF('TUNZ Extracted TB'!M:M,$P3289,'TUNZ Extracted TB'!G:G)</f>
        <v>0</v>
      </c>
      <c r="M3289" s="311"/>
      <c r="N3289" s="311">
        <f>+SUMIF('Input Sheet'!$AE:$AE,P3289,'Input Sheet'!$X:$X)</f>
        <v>0</v>
      </c>
      <c r="O3289" s="311"/>
      <c r="P3289" t="str">
        <f t="shared" si="278"/>
        <v>221-7820</v>
      </c>
      <c r="Q3289" s="315" t="str">
        <f t="shared" si="279"/>
        <v>Admin &amp; Other</v>
      </c>
      <c r="R3289" s="315" t="str">
        <f t="shared" si="280"/>
        <v>Admin &amp; OtherOther Overheads as % of Total Gross Profit</v>
      </c>
      <c r="S3289" s="199"/>
      <c r="T3289" s="199"/>
      <c r="U3289" s="199"/>
    </row>
    <row r="3290" spans="1:21" x14ac:dyDescent="0.25">
      <c r="A3290" t="s">
        <v>996</v>
      </c>
      <c r="B3290" t="s">
        <v>997</v>
      </c>
      <c r="C3290" t="s">
        <v>1005</v>
      </c>
      <c r="D3290">
        <v>7820</v>
      </c>
      <c r="E3290">
        <v>260</v>
      </c>
      <c r="F3290" t="s">
        <v>1451</v>
      </c>
      <c r="G3290" t="s">
        <v>1452</v>
      </c>
      <c r="H3290" s="315" t="s">
        <v>1000</v>
      </c>
      <c r="I3290" s="315" t="s">
        <v>1001</v>
      </c>
      <c r="J3290" s="315" t="str">
        <f t="shared" si="276"/>
        <v>Admin &amp; OtherOther Overheads as % of Total Gross Profit</v>
      </c>
      <c r="K3290" s="315" t="str">
        <f t="shared" si="277"/>
        <v>260Heat/Light/Power - Toyota</v>
      </c>
      <c r="L3290" s="311">
        <f>+SUMIF('TUNZ Extracted TB'!M:M,$P3290,'TUNZ Extracted TB'!G:G)</f>
        <v>0</v>
      </c>
      <c r="M3290" s="311"/>
      <c r="N3290" s="311">
        <f>+SUMIF('Input Sheet'!$AE:$AE,P3290,'Input Sheet'!$X:$X)</f>
        <v>0</v>
      </c>
      <c r="O3290" s="311"/>
      <c r="P3290" t="str">
        <f t="shared" si="278"/>
        <v>260-7820</v>
      </c>
      <c r="Q3290" s="315" t="str">
        <f t="shared" si="279"/>
        <v>Admin &amp; Other</v>
      </c>
      <c r="R3290" s="315" t="str">
        <f t="shared" si="280"/>
        <v>Admin &amp; OtherOther Overheads as % of Total Gross Profit</v>
      </c>
      <c r="S3290" s="199"/>
      <c r="T3290" s="199"/>
      <c r="U3290" s="199"/>
    </row>
    <row r="3291" spans="1:21" x14ac:dyDescent="0.25">
      <c r="A3291" t="s">
        <v>996</v>
      </c>
      <c r="B3291" t="s">
        <v>997</v>
      </c>
      <c r="C3291" t="s">
        <v>1012</v>
      </c>
      <c r="D3291">
        <v>7820</v>
      </c>
      <c r="E3291">
        <v>400</v>
      </c>
      <c r="F3291" t="s">
        <v>1451</v>
      </c>
      <c r="G3291" t="s">
        <v>1452</v>
      </c>
      <c r="H3291" s="315" t="s">
        <v>1000</v>
      </c>
      <c r="I3291" s="315" t="s">
        <v>1001</v>
      </c>
      <c r="J3291" s="315" t="str">
        <f t="shared" si="276"/>
        <v>Admin &amp; OtherOther Overheads as % of Total Gross Profit</v>
      </c>
      <c r="K3291" s="315" t="str">
        <f t="shared" si="277"/>
        <v>400Heat/Light/Power - Toyota</v>
      </c>
      <c r="L3291" s="311">
        <f>+SUMIF('TUNZ Extracted TB'!M:M,$P3291,'TUNZ Extracted TB'!G:G)</f>
        <v>0</v>
      </c>
      <c r="M3291" s="311"/>
      <c r="N3291" s="311">
        <f>+SUMIF('Input Sheet'!$AE:$AE,P3291,'Input Sheet'!$X:$X)</f>
        <v>0</v>
      </c>
      <c r="O3291" s="311"/>
      <c r="P3291" t="str">
        <f t="shared" si="278"/>
        <v>400-7820</v>
      </c>
      <c r="Q3291" s="315" t="str">
        <f t="shared" si="279"/>
        <v>Admin &amp; Other</v>
      </c>
      <c r="R3291" s="315" t="str">
        <f t="shared" si="280"/>
        <v>Admin &amp; OtherOther Overheads as % of Total Gross Profit</v>
      </c>
      <c r="S3291" s="199"/>
      <c r="T3291" s="199"/>
      <c r="U3291" s="199"/>
    </row>
    <row r="3292" spans="1:21" x14ac:dyDescent="0.25">
      <c r="A3292" t="s">
        <v>996</v>
      </c>
      <c r="B3292" t="s">
        <v>997</v>
      </c>
      <c r="C3292" t="s">
        <v>1012</v>
      </c>
      <c r="D3292">
        <v>7820</v>
      </c>
      <c r="E3292">
        <v>410</v>
      </c>
      <c r="F3292" t="s">
        <v>1451</v>
      </c>
      <c r="G3292" t="s">
        <v>1452</v>
      </c>
      <c r="H3292" s="315" t="s">
        <v>1000</v>
      </c>
      <c r="I3292" s="315" t="s">
        <v>1001</v>
      </c>
      <c r="J3292" s="315" t="str">
        <f t="shared" si="276"/>
        <v>Admin &amp; OtherOther Overheads as % of Total Gross Profit</v>
      </c>
      <c r="K3292" s="315" t="str">
        <f t="shared" si="277"/>
        <v>410Heat/Light/Power - Toyota</v>
      </c>
      <c r="L3292" s="311">
        <f>+SUMIF('TUNZ Extracted TB'!M:M,$P3292,'TUNZ Extracted TB'!G:G)</f>
        <v>0</v>
      </c>
      <c r="M3292" s="311"/>
      <c r="N3292" s="311">
        <f>+SUMIF('Input Sheet'!$AE:$AE,P3292,'Input Sheet'!$X:$X)</f>
        <v>0</v>
      </c>
      <c r="O3292" s="311"/>
      <c r="P3292" t="str">
        <f t="shared" si="278"/>
        <v>410-7820</v>
      </c>
      <c r="Q3292" s="315" t="str">
        <f t="shared" si="279"/>
        <v>Admin &amp; Other</v>
      </c>
      <c r="R3292" s="315" t="str">
        <f t="shared" si="280"/>
        <v>Admin &amp; OtherOther Overheads as % of Total Gross Profit</v>
      </c>
      <c r="S3292" s="199"/>
      <c r="T3292" s="199"/>
      <c r="U3292" s="199"/>
    </row>
    <row r="3293" spans="1:21" x14ac:dyDescent="0.25">
      <c r="A3293" t="s">
        <v>996</v>
      </c>
      <c r="B3293" t="s">
        <v>997</v>
      </c>
      <c r="C3293" t="s">
        <v>1012</v>
      </c>
      <c r="D3293">
        <v>7820</v>
      </c>
      <c r="E3293">
        <v>420</v>
      </c>
      <c r="F3293" t="s">
        <v>1451</v>
      </c>
      <c r="G3293" t="s">
        <v>1452</v>
      </c>
      <c r="H3293" s="315" t="s">
        <v>1000</v>
      </c>
      <c r="I3293" s="315" t="s">
        <v>1001</v>
      </c>
      <c r="J3293" s="315" t="str">
        <f t="shared" si="276"/>
        <v>Admin &amp; OtherOther Overheads as % of Total Gross Profit</v>
      </c>
      <c r="K3293" s="315" t="str">
        <f t="shared" si="277"/>
        <v>420Heat/Light/Power - Toyota</v>
      </c>
      <c r="L3293" s="311">
        <f>+SUMIF('TUNZ Extracted TB'!M:M,$P3293,'TUNZ Extracted TB'!G:G)</f>
        <v>0</v>
      </c>
      <c r="M3293" s="311"/>
      <c r="N3293" s="311">
        <f>+SUMIF('Input Sheet'!$AE:$AE,P3293,'Input Sheet'!$X:$X)</f>
        <v>0</v>
      </c>
      <c r="O3293" s="311"/>
      <c r="P3293" t="str">
        <f t="shared" si="278"/>
        <v>420-7820</v>
      </c>
      <c r="Q3293" s="315" t="str">
        <f t="shared" si="279"/>
        <v>Admin &amp; Other</v>
      </c>
      <c r="R3293" s="315" t="str">
        <f t="shared" si="280"/>
        <v>Admin &amp; OtherOther Overheads as % of Total Gross Profit</v>
      </c>
      <c r="S3293" s="199"/>
      <c r="T3293" s="199"/>
      <c r="U3293" s="199"/>
    </row>
    <row r="3294" spans="1:21" x14ac:dyDescent="0.25">
      <c r="A3294" t="s">
        <v>996</v>
      </c>
      <c r="B3294" t="s">
        <v>997</v>
      </c>
      <c r="C3294" t="s">
        <v>1012</v>
      </c>
      <c r="D3294">
        <v>7820</v>
      </c>
      <c r="E3294">
        <v>421</v>
      </c>
      <c r="F3294" t="s">
        <v>1451</v>
      </c>
      <c r="G3294" t="s">
        <v>1452</v>
      </c>
      <c r="H3294" s="315" t="s">
        <v>1000</v>
      </c>
      <c r="I3294" s="315" t="s">
        <v>1001</v>
      </c>
      <c r="J3294" s="315" t="str">
        <f t="shared" si="276"/>
        <v>Admin &amp; OtherOther Overheads as % of Total Gross Profit</v>
      </c>
      <c r="K3294" s="315" t="str">
        <f t="shared" si="277"/>
        <v>421Heat/Light/Power - Toyota</v>
      </c>
      <c r="L3294" s="311">
        <f>+SUMIF('TUNZ Extracted TB'!M:M,$P3294,'TUNZ Extracted TB'!G:G)</f>
        <v>0</v>
      </c>
      <c r="M3294" s="311"/>
      <c r="N3294" s="311">
        <f>+SUMIF('Input Sheet'!$AE:$AE,P3294,'Input Sheet'!$X:$X)</f>
        <v>0</v>
      </c>
      <c r="O3294" s="311"/>
      <c r="P3294" t="str">
        <f t="shared" si="278"/>
        <v>421-7820</v>
      </c>
      <c r="Q3294" s="315" t="str">
        <f t="shared" si="279"/>
        <v>Admin &amp; Other</v>
      </c>
      <c r="R3294" s="315" t="str">
        <f t="shared" si="280"/>
        <v>Admin &amp; OtherOther Overheads as % of Total Gross Profit</v>
      </c>
      <c r="S3294" s="199"/>
      <c r="T3294" s="199"/>
      <c r="U3294" s="199"/>
    </row>
    <row r="3295" spans="1:21" x14ac:dyDescent="0.25">
      <c r="A3295" t="s">
        <v>996</v>
      </c>
      <c r="B3295" t="s">
        <v>997</v>
      </c>
      <c r="C3295" t="s">
        <v>1012</v>
      </c>
      <c r="D3295">
        <v>7820</v>
      </c>
      <c r="E3295">
        <v>460</v>
      </c>
      <c r="F3295" t="s">
        <v>1451</v>
      </c>
      <c r="G3295" t="s">
        <v>1452</v>
      </c>
      <c r="H3295" s="315" t="s">
        <v>1000</v>
      </c>
      <c r="I3295" s="315" t="s">
        <v>1001</v>
      </c>
      <c r="J3295" s="315" t="str">
        <f t="shared" si="276"/>
        <v>Admin &amp; OtherOther Overheads as % of Total Gross Profit</v>
      </c>
      <c r="K3295" s="315" t="str">
        <f t="shared" si="277"/>
        <v>460Heat/Light/Power - Toyota</v>
      </c>
      <c r="L3295" s="311">
        <f>+SUMIF('TUNZ Extracted TB'!M:M,$P3295,'TUNZ Extracted TB'!G:G)</f>
        <v>0</v>
      </c>
      <c r="M3295" s="311"/>
      <c r="N3295" s="311">
        <f>+SUMIF('Input Sheet'!$AE:$AE,P3295,'Input Sheet'!$X:$X)</f>
        <v>0</v>
      </c>
      <c r="O3295" s="311"/>
      <c r="P3295" t="str">
        <f t="shared" si="278"/>
        <v>460-7820</v>
      </c>
      <c r="Q3295" s="315" t="str">
        <f t="shared" si="279"/>
        <v>Admin &amp; Other</v>
      </c>
      <c r="R3295" s="315" t="str">
        <f t="shared" si="280"/>
        <v>Admin &amp; OtherOther Overheads as % of Total Gross Profit</v>
      </c>
      <c r="S3295" s="199"/>
      <c r="T3295" s="199"/>
      <c r="U3295" s="199"/>
    </row>
    <row r="3296" spans="1:21" x14ac:dyDescent="0.25">
      <c r="A3296" t="s">
        <v>996</v>
      </c>
      <c r="B3296" t="s">
        <v>997</v>
      </c>
      <c r="C3296" t="s">
        <v>1013</v>
      </c>
      <c r="D3296">
        <v>7820</v>
      </c>
      <c r="E3296">
        <v>300</v>
      </c>
      <c r="F3296" t="s">
        <v>1451</v>
      </c>
      <c r="G3296" t="s">
        <v>1452</v>
      </c>
      <c r="H3296" s="315" t="s">
        <v>1000</v>
      </c>
      <c r="I3296" s="315" t="s">
        <v>1001</v>
      </c>
      <c r="J3296" s="315" t="str">
        <f t="shared" si="276"/>
        <v>Admin &amp; OtherOther Overheads as % of Total Gross Profit</v>
      </c>
      <c r="K3296" s="315" t="str">
        <f t="shared" si="277"/>
        <v>300Heat/Light/Power - Toyota</v>
      </c>
      <c r="L3296" s="311">
        <f>+SUMIF('TUNZ Extracted TB'!M:M,$P3296,'TUNZ Extracted TB'!G:G)</f>
        <v>0</v>
      </c>
      <c r="M3296" s="311"/>
      <c r="N3296" s="311">
        <f>+SUMIF('Input Sheet'!$AE:$AE,P3296,'Input Sheet'!$X:$X)</f>
        <v>0</v>
      </c>
      <c r="O3296" s="311"/>
      <c r="P3296" t="str">
        <f t="shared" si="278"/>
        <v>300-7820</v>
      </c>
      <c r="Q3296" s="315" t="str">
        <f t="shared" si="279"/>
        <v>Admin &amp; Other</v>
      </c>
      <c r="R3296" s="315" t="str">
        <f t="shared" si="280"/>
        <v>Admin &amp; OtherOther Overheads as % of Total Gross Profit</v>
      </c>
      <c r="S3296" s="199"/>
      <c r="T3296" s="199"/>
      <c r="U3296" s="199"/>
    </row>
    <row r="3297" spans="1:21" x14ac:dyDescent="0.25">
      <c r="A3297" t="s">
        <v>996</v>
      </c>
      <c r="B3297" t="s">
        <v>997</v>
      </c>
      <c r="C3297" t="s">
        <v>1013</v>
      </c>
      <c r="D3297">
        <v>7820</v>
      </c>
      <c r="E3297">
        <v>310</v>
      </c>
      <c r="F3297" t="s">
        <v>1451</v>
      </c>
      <c r="G3297" t="s">
        <v>1452</v>
      </c>
      <c r="H3297" s="315" t="s">
        <v>1000</v>
      </c>
      <c r="I3297" s="315" t="s">
        <v>1001</v>
      </c>
      <c r="J3297" s="315" t="str">
        <f t="shared" si="276"/>
        <v>Admin &amp; OtherOther Overheads as % of Total Gross Profit</v>
      </c>
      <c r="K3297" s="315" t="str">
        <f t="shared" si="277"/>
        <v>310Heat/Light/Power - Toyota</v>
      </c>
      <c r="L3297" s="311">
        <f>+SUMIF('TUNZ Extracted TB'!M:M,$P3297,'TUNZ Extracted TB'!G:G)</f>
        <v>0</v>
      </c>
      <c r="M3297" s="311"/>
      <c r="N3297" s="311">
        <f>+SUMIF('Input Sheet'!$AE:$AE,P3297,'Input Sheet'!$X:$X)</f>
        <v>0</v>
      </c>
      <c r="O3297" s="311"/>
      <c r="P3297" t="str">
        <f t="shared" si="278"/>
        <v>310-7820</v>
      </c>
      <c r="Q3297" s="315" t="str">
        <f t="shared" si="279"/>
        <v>Admin &amp; Other</v>
      </c>
      <c r="R3297" s="315" t="str">
        <f t="shared" si="280"/>
        <v>Admin &amp; OtherOther Overheads as % of Total Gross Profit</v>
      </c>
      <c r="S3297" s="199"/>
      <c r="T3297" s="199"/>
      <c r="U3297" s="199"/>
    </row>
    <row r="3298" spans="1:21" x14ac:dyDescent="0.25">
      <c r="A3298" t="s">
        <v>996</v>
      </c>
      <c r="B3298" t="s">
        <v>997</v>
      </c>
      <c r="C3298" t="s">
        <v>1013</v>
      </c>
      <c r="D3298">
        <v>7820</v>
      </c>
      <c r="E3298">
        <v>321</v>
      </c>
      <c r="F3298" t="s">
        <v>1451</v>
      </c>
      <c r="G3298" t="s">
        <v>1452</v>
      </c>
      <c r="H3298" s="315" t="s">
        <v>1000</v>
      </c>
      <c r="I3298" s="315" t="s">
        <v>1001</v>
      </c>
      <c r="J3298" s="315" t="str">
        <f t="shared" si="276"/>
        <v>Admin &amp; OtherOther Overheads as % of Total Gross Profit</v>
      </c>
      <c r="K3298" s="315" t="str">
        <f t="shared" si="277"/>
        <v>321Heat/Light/Power - Toyota</v>
      </c>
      <c r="L3298" s="311">
        <f>+SUMIF('TUNZ Extracted TB'!M:M,$P3298,'TUNZ Extracted TB'!G:G)</f>
        <v>0</v>
      </c>
      <c r="M3298" s="311"/>
      <c r="N3298" s="311">
        <f>+SUMIF('Input Sheet'!$AE:$AE,P3298,'Input Sheet'!$X:$X)</f>
        <v>0</v>
      </c>
      <c r="O3298" s="311"/>
      <c r="P3298" t="str">
        <f t="shared" si="278"/>
        <v>321-7820</v>
      </c>
      <c r="Q3298" s="315" t="str">
        <f t="shared" si="279"/>
        <v>Admin &amp; Other</v>
      </c>
      <c r="R3298" s="315" t="str">
        <f t="shared" si="280"/>
        <v>Admin &amp; OtherOther Overheads as % of Total Gross Profit</v>
      </c>
      <c r="S3298" s="199"/>
      <c r="T3298" s="199"/>
      <c r="U3298" s="199"/>
    </row>
    <row r="3299" spans="1:21" x14ac:dyDescent="0.25">
      <c r="A3299" t="s">
        <v>996</v>
      </c>
      <c r="B3299" t="s">
        <v>997</v>
      </c>
      <c r="C3299" t="s">
        <v>1013</v>
      </c>
      <c r="D3299">
        <v>7820</v>
      </c>
      <c r="E3299">
        <v>330</v>
      </c>
      <c r="F3299" t="s">
        <v>1451</v>
      </c>
      <c r="G3299" t="s">
        <v>1452</v>
      </c>
      <c r="H3299" s="315" t="s">
        <v>1000</v>
      </c>
      <c r="I3299" s="315" t="s">
        <v>1001</v>
      </c>
      <c r="J3299" s="315" t="str">
        <f t="shared" si="276"/>
        <v>Admin &amp; OtherOther Overheads as % of Total Gross Profit</v>
      </c>
      <c r="K3299" s="315" t="str">
        <f t="shared" si="277"/>
        <v>330Heat/Light/Power - Toyota</v>
      </c>
      <c r="L3299" s="311">
        <f>+SUMIF('TUNZ Extracted TB'!M:M,$P3299,'TUNZ Extracted TB'!G:G)</f>
        <v>0</v>
      </c>
      <c r="M3299" s="311"/>
      <c r="N3299" s="311">
        <f>+SUMIF('Input Sheet'!$AE:$AE,P3299,'Input Sheet'!$X:$X)</f>
        <v>0</v>
      </c>
      <c r="O3299" s="311"/>
      <c r="P3299" t="str">
        <f t="shared" si="278"/>
        <v>330-7820</v>
      </c>
      <c r="Q3299" s="315" t="str">
        <f t="shared" si="279"/>
        <v>Admin &amp; Other</v>
      </c>
      <c r="R3299" s="315" t="str">
        <f t="shared" si="280"/>
        <v>Admin &amp; OtherOther Overheads as % of Total Gross Profit</v>
      </c>
      <c r="S3299" s="199"/>
      <c r="T3299" s="199"/>
      <c r="U3299" s="199"/>
    </row>
    <row r="3300" spans="1:21" x14ac:dyDescent="0.25">
      <c r="A3300" t="s">
        <v>996</v>
      </c>
      <c r="B3300" t="s">
        <v>997</v>
      </c>
      <c r="C3300" t="s">
        <v>1013</v>
      </c>
      <c r="D3300">
        <v>7820</v>
      </c>
      <c r="E3300">
        <v>360</v>
      </c>
      <c r="F3300" t="s">
        <v>1451</v>
      </c>
      <c r="G3300" t="s">
        <v>1452</v>
      </c>
      <c r="H3300" s="315" t="s">
        <v>1000</v>
      </c>
      <c r="I3300" s="315" t="s">
        <v>1001</v>
      </c>
      <c r="J3300" s="315" t="str">
        <f t="shared" si="276"/>
        <v>Admin &amp; OtherOther Overheads as % of Total Gross Profit</v>
      </c>
      <c r="K3300" s="315" t="str">
        <f t="shared" si="277"/>
        <v>360Heat/Light/Power - Toyota</v>
      </c>
      <c r="L3300" s="311">
        <f>+SUMIF('TUNZ Extracted TB'!M:M,$P3300,'TUNZ Extracted TB'!G:G)</f>
        <v>0</v>
      </c>
      <c r="M3300" s="311"/>
      <c r="N3300" s="311">
        <f>+SUMIF('Input Sheet'!$AE:$AE,P3300,'Input Sheet'!$X:$X)</f>
        <v>0</v>
      </c>
      <c r="O3300" s="311"/>
      <c r="P3300" t="str">
        <f t="shared" si="278"/>
        <v>360-7820</v>
      </c>
      <c r="Q3300" s="315" t="str">
        <f t="shared" si="279"/>
        <v>Admin &amp; Other</v>
      </c>
      <c r="R3300" s="315" t="str">
        <f t="shared" si="280"/>
        <v>Admin &amp; OtherOther Overheads as % of Total Gross Profit</v>
      </c>
      <c r="S3300" s="199"/>
      <c r="T3300" s="199"/>
      <c r="U3300" s="199"/>
    </row>
    <row r="3301" spans="1:21" x14ac:dyDescent="0.25">
      <c r="A3301" t="s">
        <v>996</v>
      </c>
      <c r="B3301" t="s">
        <v>997</v>
      </c>
      <c r="C3301" t="s">
        <v>997</v>
      </c>
      <c r="D3301">
        <v>7820</v>
      </c>
      <c r="E3301">
        <v>147</v>
      </c>
      <c r="F3301" t="s">
        <v>1451</v>
      </c>
      <c r="G3301" t="s">
        <v>1452</v>
      </c>
      <c r="H3301" s="315" t="s">
        <v>1000</v>
      </c>
      <c r="I3301" s="315" t="s">
        <v>1001</v>
      </c>
      <c r="J3301" s="315" t="str">
        <f t="shared" si="276"/>
        <v>Admin &amp; OtherOther Overheads as % of Total Gross Profit</v>
      </c>
      <c r="K3301" s="315" t="str">
        <f t="shared" si="277"/>
        <v>147Heat/Light/Power - Toyota</v>
      </c>
      <c r="L3301" s="311">
        <f>+SUMIF('TUNZ Extracted TB'!M:M,$P3301,'TUNZ Extracted TB'!G:G)</f>
        <v>0</v>
      </c>
      <c r="M3301" s="311"/>
      <c r="N3301" s="311">
        <f>+SUMIF('Input Sheet'!$AE:$AE,P3301,'Input Sheet'!$X:$X)</f>
        <v>0</v>
      </c>
      <c r="O3301" s="311"/>
      <c r="P3301" t="str">
        <f t="shared" si="278"/>
        <v>147-7820</v>
      </c>
      <c r="Q3301" s="315" t="str">
        <f t="shared" si="279"/>
        <v>Admin &amp; Other</v>
      </c>
      <c r="R3301" s="315" t="str">
        <f t="shared" si="280"/>
        <v>Admin &amp; OtherOther Overheads as % of Total Gross Profit</v>
      </c>
      <c r="S3301" s="199"/>
      <c r="T3301" s="199"/>
      <c r="U3301" s="199"/>
    </row>
    <row r="3302" spans="1:21" x14ac:dyDescent="0.25">
      <c r="A3302" t="s">
        <v>996</v>
      </c>
      <c r="B3302" t="s">
        <v>997</v>
      </c>
      <c r="C3302" t="s">
        <v>997</v>
      </c>
      <c r="D3302">
        <v>7820</v>
      </c>
      <c r="E3302">
        <v>130</v>
      </c>
      <c r="F3302" t="s">
        <v>1451</v>
      </c>
      <c r="G3302" t="s">
        <v>1452</v>
      </c>
      <c r="H3302" s="315" t="s">
        <v>1000</v>
      </c>
      <c r="I3302" s="315" t="s">
        <v>1001</v>
      </c>
      <c r="J3302" s="315" t="str">
        <f t="shared" si="276"/>
        <v>Admin &amp; OtherOther Overheads as % of Total Gross Profit</v>
      </c>
      <c r="K3302" s="315" t="str">
        <f t="shared" si="277"/>
        <v>130Heat/Light/Power - Toyota</v>
      </c>
      <c r="L3302" s="311">
        <f>+SUMIF('TUNZ Extracted TB'!M:M,$P3302,'TUNZ Extracted TB'!G:G)</f>
        <v>487.76</v>
      </c>
      <c r="M3302" s="311"/>
      <c r="N3302" s="311">
        <f>+SUMIF('Input Sheet'!$AE:$AE,P3302,'Input Sheet'!$X:$X)</f>
        <v>0</v>
      </c>
      <c r="O3302" s="311"/>
      <c r="P3302" t="str">
        <f t="shared" si="278"/>
        <v>130-7820</v>
      </c>
      <c r="Q3302" s="315" t="str">
        <f t="shared" si="279"/>
        <v>Admin &amp; Other</v>
      </c>
      <c r="R3302" s="315" t="str">
        <f t="shared" si="280"/>
        <v>Admin &amp; OtherOther Overheads as % of Total Gross Profit</v>
      </c>
      <c r="S3302" s="199"/>
      <c r="T3302" s="199"/>
      <c r="U3302" s="199"/>
    </row>
    <row r="3303" spans="1:21" x14ac:dyDescent="0.25">
      <c r="A3303" t="s">
        <v>996</v>
      </c>
      <c r="B3303" t="s">
        <v>997</v>
      </c>
      <c r="C3303" t="s">
        <v>997</v>
      </c>
      <c r="D3303">
        <v>7820</v>
      </c>
      <c r="E3303">
        <v>132</v>
      </c>
      <c r="F3303" t="s">
        <v>1453</v>
      </c>
      <c r="G3303" t="s">
        <v>1454</v>
      </c>
      <c r="H3303" s="315" t="s">
        <v>1023</v>
      </c>
      <c r="I3303" s="315" t="s">
        <v>1001</v>
      </c>
      <c r="J3303" s="315" t="str">
        <f t="shared" si="276"/>
        <v>LEX Admin &amp; OtherOther Overheads as % of Total Gross Profit</v>
      </c>
      <c r="K3303" s="315" t="str">
        <f t="shared" si="277"/>
        <v>132Heat/Light/Power - Lexus</v>
      </c>
      <c r="L3303" s="311">
        <f>+SUMIF('TUNZ Extracted TB'!M:M,$P3303,'TUNZ Extracted TB'!G:G)</f>
        <v>126.92</v>
      </c>
      <c r="M3303" s="311"/>
      <c r="N3303" s="311">
        <f>+SUMIF('Input Sheet'!$AE:$AE,P3303,'Input Sheet'!$X:$X)</f>
        <v>0</v>
      </c>
      <c r="O3303" s="311"/>
      <c r="P3303" t="str">
        <f t="shared" si="278"/>
        <v>132-7820</v>
      </c>
      <c r="Q3303" s="315" t="str">
        <f t="shared" si="279"/>
        <v>LEX Admin &amp; Other</v>
      </c>
      <c r="R3303" s="315" t="str">
        <f t="shared" si="280"/>
        <v>LEX Admin &amp; OtherOther Overheads as % of Total Gross Profit</v>
      </c>
      <c r="S3303" s="199"/>
      <c r="T3303" s="199"/>
      <c r="U3303" s="199"/>
    </row>
    <row r="3304" spans="1:21" x14ac:dyDescent="0.25">
      <c r="A3304" t="s">
        <v>996</v>
      </c>
      <c r="B3304" t="s">
        <v>997</v>
      </c>
      <c r="C3304" t="s">
        <v>997</v>
      </c>
      <c r="D3304">
        <v>7820</v>
      </c>
      <c r="E3304">
        <v>140</v>
      </c>
      <c r="F3304" t="s">
        <v>1451</v>
      </c>
      <c r="G3304" t="s">
        <v>1452</v>
      </c>
      <c r="H3304" s="315" t="s">
        <v>1000</v>
      </c>
      <c r="I3304" s="315" t="s">
        <v>1001</v>
      </c>
      <c r="J3304" s="315" t="str">
        <f t="shared" si="276"/>
        <v>Admin &amp; OtherOther Overheads as % of Total Gross Profit</v>
      </c>
      <c r="K3304" s="315" t="str">
        <f t="shared" si="277"/>
        <v>140Heat/Light/Power - Toyota</v>
      </c>
      <c r="L3304" s="311">
        <f>+SUMIF('TUNZ Extracted TB'!M:M,$P3304,'TUNZ Extracted TB'!G:G)</f>
        <v>822.25</v>
      </c>
      <c r="M3304" s="311"/>
      <c r="N3304" s="311">
        <f>+SUMIF('Input Sheet'!$AE:$AE,P3304,'Input Sheet'!$X:$X)</f>
        <v>0</v>
      </c>
      <c r="O3304" s="311"/>
      <c r="P3304" t="str">
        <f t="shared" si="278"/>
        <v>140-7820</v>
      </c>
      <c r="Q3304" s="315" t="str">
        <f t="shared" si="279"/>
        <v>Admin &amp; Other</v>
      </c>
      <c r="R3304" s="315" t="str">
        <f t="shared" si="280"/>
        <v>Admin &amp; OtherOther Overheads as % of Total Gross Profit</v>
      </c>
      <c r="S3304" s="199"/>
      <c r="T3304" s="199"/>
      <c r="U3304" s="199"/>
    </row>
    <row r="3305" spans="1:21" x14ac:dyDescent="0.25">
      <c r="A3305" t="s">
        <v>996</v>
      </c>
      <c r="B3305" t="s">
        <v>997</v>
      </c>
      <c r="C3305" t="s">
        <v>997</v>
      </c>
      <c r="D3305">
        <v>7820</v>
      </c>
      <c r="E3305">
        <v>142</v>
      </c>
      <c r="F3305" t="s">
        <v>1453</v>
      </c>
      <c r="G3305" t="s">
        <v>1454</v>
      </c>
      <c r="H3305" s="315" t="s">
        <v>1023</v>
      </c>
      <c r="I3305" s="315" t="s">
        <v>1001</v>
      </c>
      <c r="J3305" s="315" t="str">
        <f t="shared" si="276"/>
        <v>LEX Admin &amp; OtherOther Overheads as % of Total Gross Profit</v>
      </c>
      <c r="K3305" s="315" t="str">
        <f t="shared" si="277"/>
        <v>142Heat/Light/Power - Lexus</v>
      </c>
      <c r="L3305" s="311">
        <f>+SUMIF('TUNZ Extracted TB'!M:M,$P3305,'TUNZ Extracted TB'!G:G)</f>
        <v>0</v>
      </c>
      <c r="M3305" s="311"/>
      <c r="N3305" s="311">
        <f>+SUMIF('Input Sheet'!$AE:$AE,P3305,'Input Sheet'!$X:$X)</f>
        <v>0</v>
      </c>
      <c r="O3305" s="311"/>
      <c r="P3305" t="str">
        <f t="shared" si="278"/>
        <v>142-7820</v>
      </c>
      <c r="Q3305" s="315" t="str">
        <f t="shared" si="279"/>
        <v>LEX Admin &amp; Other</v>
      </c>
      <c r="R3305" s="315" t="str">
        <f t="shared" si="280"/>
        <v>LEX Admin &amp; OtherOther Overheads as % of Total Gross Profit</v>
      </c>
      <c r="S3305" s="199"/>
      <c r="T3305" s="199"/>
      <c r="U3305" s="199"/>
    </row>
    <row r="3306" spans="1:21" x14ac:dyDescent="0.25">
      <c r="A3306" t="s">
        <v>996</v>
      </c>
      <c r="B3306" t="s">
        <v>997</v>
      </c>
      <c r="C3306" t="s">
        <v>997</v>
      </c>
      <c r="D3306">
        <v>7820</v>
      </c>
      <c r="E3306">
        <v>112</v>
      </c>
      <c r="F3306" t="s">
        <v>1453</v>
      </c>
      <c r="G3306" t="s">
        <v>1454</v>
      </c>
      <c r="H3306" s="315" t="s">
        <v>1023</v>
      </c>
      <c r="I3306" s="315" t="s">
        <v>1001</v>
      </c>
      <c r="J3306" s="315" t="str">
        <f t="shared" si="276"/>
        <v>LEX Admin &amp; OtherOther Overheads as % of Total Gross Profit</v>
      </c>
      <c r="K3306" s="315" t="str">
        <f t="shared" si="277"/>
        <v>112Heat/Light/Power - Lexus</v>
      </c>
      <c r="L3306" s="311">
        <f>+SUMIF('TUNZ Extracted TB'!M:M,$P3306,'TUNZ Extracted TB'!G:G)</f>
        <v>1732.97</v>
      </c>
      <c r="M3306" s="311"/>
      <c r="N3306" s="311">
        <f>+SUMIF('Input Sheet'!$AE:$AE,P3306,'Input Sheet'!$X:$X)</f>
        <v>0</v>
      </c>
      <c r="O3306" s="311"/>
      <c r="P3306" t="str">
        <f t="shared" si="278"/>
        <v>112-7820</v>
      </c>
      <c r="Q3306" s="315" t="str">
        <f t="shared" si="279"/>
        <v>LEX Admin &amp; Other</v>
      </c>
      <c r="R3306" s="315" t="str">
        <f t="shared" si="280"/>
        <v>LEX Admin &amp; OtherOther Overheads as % of Total Gross Profit</v>
      </c>
      <c r="S3306" s="199"/>
      <c r="T3306" s="199"/>
      <c r="U3306" s="199"/>
    </row>
    <row r="3307" spans="1:21" x14ac:dyDescent="0.25">
      <c r="A3307" t="s">
        <v>996</v>
      </c>
      <c r="B3307" t="s">
        <v>997</v>
      </c>
      <c r="C3307" t="s">
        <v>997</v>
      </c>
      <c r="D3307">
        <v>7820</v>
      </c>
      <c r="E3307">
        <v>110</v>
      </c>
      <c r="F3307" t="s">
        <v>1451</v>
      </c>
      <c r="G3307" t="s">
        <v>1452</v>
      </c>
      <c r="H3307" s="315" t="s">
        <v>1000</v>
      </c>
      <c r="I3307" s="315" t="s">
        <v>1001</v>
      </c>
      <c r="J3307" s="315" t="str">
        <f t="shared" si="276"/>
        <v>Admin &amp; OtherOther Overheads as % of Total Gross Profit</v>
      </c>
      <c r="K3307" s="315" t="str">
        <f t="shared" si="277"/>
        <v>110Heat/Light/Power - Toyota</v>
      </c>
      <c r="L3307" s="311">
        <f>+SUMIF('TUNZ Extracted TB'!M:M,$P3307,'TUNZ Extracted TB'!G:G)</f>
        <v>466.5</v>
      </c>
      <c r="M3307" s="311"/>
      <c r="N3307" s="311">
        <f>+SUMIF('Input Sheet'!$AE:$AE,P3307,'Input Sheet'!$X:$X)</f>
        <v>0</v>
      </c>
      <c r="O3307" s="311"/>
      <c r="P3307" t="str">
        <f t="shared" si="278"/>
        <v>110-7820</v>
      </c>
      <c r="Q3307" s="315" t="str">
        <f t="shared" si="279"/>
        <v>Admin &amp; Other</v>
      </c>
      <c r="R3307" s="315" t="str">
        <f t="shared" si="280"/>
        <v>Admin &amp; OtherOther Overheads as % of Total Gross Profit</v>
      </c>
      <c r="S3307" s="199"/>
      <c r="T3307" s="199"/>
      <c r="U3307" s="199"/>
    </row>
    <row r="3308" spans="1:21" x14ac:dyDescent="0.25">
      <c r="A3308" t="s">
        <v>996</v>
      </c>
      <c r="B3308" t="s">
        <v>997</v>
      </c>
      <c r="C3308" t="s">
        <v>997</v>
      </c>
      <c r="D3308">
        <v>7820</v>
      </c>
      <c r="E3308">
        <v>100</v>
      </c>
      <c r="F3308" t="s">
        <v>1451</v>
      </c>
      <c r="G3308" t="s">
        <v>1452</v>
      </c>
      <c r="H3308" s="315" t="s">
        <v>1000</v>
      </c>
      <c r="I3308" s="315" t="s">
        <v>1001</v>
      </c>
      <c r="J3308" s="315" t="str">
        <f t="shared" si="276"/>
        <v>Admin &amp; OtherOther Overheads as % of Total Gross Profit</v>
      </c>
      <c r="K3308" s="315" t="str">
        <f t="shared" si="277"/>
        <v>100Heat/Light/Power - Toyota</v>
      </c>
      <c r="L3308" s="311">
        <f>+SUMIF('TUNZ Extracted TB'!M:M,$P3308,'TUNZ Extracted TB'!G:G)</f>
        <v>0</v>
      </c>
      <c r="M3308" s="311"/>
      <c r="N3308" s="311">
        <f>+SUMIF('Input Sheet'!$AE:$AE,P3308,'Input Sheet'!$X:$X)</f>
        <v>0</v>
      </c>
      <c r="O3308" s="311"/>
      <c r="P3308" t="str">
        <f t="shared" si="278"/>
        <v>100-7820</v>
      </c>
      <c r="Q3308" s="315" t="str">
        <f t="shared" si="279"/>
        <v>Admin &amp; Other</v>
      </c>
      <c r="R3308" s="315" t="str">
        <f t="shared" si="280"/>
        <v>Admin &amp; OtherOther Overheads as % of Total Gross Profit</v>
      </c>
      <c r="S3308" s="199"/>
      <c r="T3308" s="199"/>
      <c r="U3308" s="199"/>
    </row>
    <row r="3309" spans="1:21" x14ac:dyDescent="0.25">
      <c r="A3309" t="s">
        <v>996</v>
      </c>
      <c r="B3309" t="s">
        <v>997</v>
      </c>
      <c r="C3309" t="s">
        <v>997</v>
      </c>
      <c r="D3309">
        <v>7840</v>
      </c>
      <c r="E3309">
        <v>120</v>
      </c>
      <c r="F3309" t="s">
        <v>1444</v>
      </c>
      <c r="G3309" t="s">
        <v>1445</v>
      </c>
      <c r="H3309" s="315" t="s">
        <v>1000</v>
      </c>
      <c r="I3309" s="315" t="s">
        <v>1443</v>
      </c>
      <c r="J3309" s="315" t="str">
        <f t="shared" si="276"/>
        <v>Admin &amp; OtherInsurance as % of Total Gross Profit</v>
      </c>
      <c r="K3309" s="315" t="str">
        <f t="shared" si="277"/>
        <v>120Insurance expense - Toyota</v>
      </c>
      <c r="L3309" s="311">
        <f>+SUMIF('TUNZ Extracted TB'!M:M,$P3309,'TUNZ Extracted TB'!G:G)</f>
        <v>5765.66</v>
      </c>
      <c r="M3309" s="311"/>
      <c r="N3309" s="311">
        <f>+SUMIF('Input Sheet'!$AE:$AE,P3309,'Input Sheet'!$X:$X)</f>
        <v>0</v>
      </c>
      <c r="O3309" s="311"/>
      <c r="P3309" t="str">
        <f t="shared" si="278"/>
        <v>120-7840</v>
      </c>
      <c r="Q3309" s="315" t="str">
        <f t="shared" si="279"/>
        <v>Admin &amp; Other</v>
      </c>
      <c r="R3309" s="315" t="str">
        <f t="shared" si="280"/>
        <v>Admin &amp; OtherInsurance as % of Total Gross Profit</v>
      </c>
      <c r="S3309" s="199"/>
      <c r="T3309" s="199"/>
      <c r="U3309" s="199"/>
    </row>
    <row r="3310" spans="1:21" x14ac:dyDescent="0.25">
      <c r="A3310" t="s">
        <v>996</v>
      </c>
      <c r="B3310" t="s">
        <v>997</v>
      </c>
      <c r="C3310" t="s">
        <v>1005</v>
      </c>
      <c r="D3310">
        <v>7840</v>
      </c>
      <c r="E3310">
        <v>210</v>
      </c>
      <c r="F3310" t="s">
        <v>1444</v>
      </c>
      <c r="G3310" t="s">
        <v>1445</v>
      </c>
      <c r="H3310" s="315" t="s">
        <v>1000</v>
      </c>
      <c r="I3310" s="315" t="s">
        <v>1443</v>
      </c>
      <c r="J3310" s="315" t="str">
        <f t="shared" si="276"/>
        <v>Admin &amp; OtherInsurance as % of Total Gross Profit</v>
      </c>
      <c r="K3310" s="315" t="str">
        <f t="shared" si="277"/>
        <v>210Insurance expense - Toyota</v>
      </c>
      <c r="L3310" s="311">
        <f>+SUMIF('TUNZ Extracted TB'!M:M,$P3310,'TUNZ Extracted TB'!G:G)</f>
        <v>3841.7</v>
      </c>
      <c r="M3310" s="311"/>
      <c r="N3310" s="311">
        <f>+SUMIF('Input Sheet'!$AE:$AE,P3310,'Input Sheet'!$X:$X)</f>
        <v>0</v>
      </c>
      <c r="O3310" s="311"/>
      <c r="P3310" t="str">
        <f t="shared" si="278"/>
        <v>210-7840</v>
      </c>
      <c r="Q3310" s="315" t="str">
        <f t="shared" si="279"/>
        <v>Admin &amp; Other</v>
      </c>
      <c r="R3310" s="315" t="str">
        <f t="shared" si="280"/>
        <v>Admin &amp; OtherInsurance as % of Total Gross Profit</v>
      </c>
      <c r="S3310" s="199"/>
      <c r="T3310" s="199"/>
      <c r="U3310" s="199"/>
    </row>
    <row r="3311" spans="1:21" x14ac:dyDescent="0.25">
      <c r="A3311" t="s">
        <v>996</v>
      </c>
      <c r="B3311" t="s">
        <v>997</v>
      </c>
      <c r="C3311" t="s">
        <v>1005</v>
      </c>
      <c r="D3311">
        <v>7840</v>
      </c>
      <c r="E3311">
        <v>220</v>
      </c>
      <c r="F3311" t="s">
        <v>1444</v>
      </c>
      <c r="G3311" t="s">
        <v>1445</v>
      </c>
      <c r="H3311" s="315" t="s">
        <v>1000</v>
      </c>
      <c r="I3311" s="315" t="s">
        <v>1443</v>
      </c>
      <c r="J3311" s="315" t="str">
        <f t="shared" si="276"/>
        <v>Admin &amp; OtherInsurance as % of Total Gross Profit</v>
      </c>
      <c r="K3311" s="315" t="str">
        <f t="shared" si="277"/>
        <v>220Insurance expense - Toyota</v>
      </c>
      <c r="L3311" s="311">
        <f>+SUMIF('TUNZ Extracted TB'!M:M,$P3311,'TUNZ Extracted TB'!G:G)</f>
        <v>3803.83</v>
      </c>
      <c r="M3311" s="311"/>
      <c r="N3311" s="311">
        <f>+SUMIF('Input Sheet'!$AE:$AE,P3311,'Input Sheet'!$X:$X)</f>
        <v>0</v>
      </c>
      <c r="O3311" s="311"/>
      <c r="P3311" t="str">
        <f t="shared" si="278"/>
        <v>220-7840</v>
      </c>
      <c r="Q3311" s="315" t="str">
        <f t="shared" si="279"/>
        <v>Admin &amp; Other</v>
      </c>
      <c r="R3311" s="315" t="str">
        <f t="shared" si="280"/>
        <v>Admin &amp; OtherInsurance as % of Total Gross Profit</v>
      </c>
      <c r="S3311" s="199"/>
      <c r="T3311" s="199"/>
      <c r="U3311" s="199"/>
    </row>
    <row r="3312" spans="1:21" x14ac:dyDescent="0.25">
      <c r="A3312" t="s">
        <v>996</v>
      </c>
      <c r="B3312" t="s">
        <v>997</v>
      </c>
      <c r="C3312" t="s">
        <v>997</v>
      </c>
      <c r="D3312">
        <v>7840</v>
      </c>
      <c r="E3312">
        <v>936</v>
      </c>
      <c r="F3312" t="s">
        <v>1175</v>
      </c>
      <c r="G3312" t="s">
        <v>1176</v>
      </c>
      <c r="H3312" s="315" t="s">
        <v>1023</v>
      </c>
      <c r="I3312" s="315" t="s">
        <v>1443</v>
      </c>
      <c r="J3312" s="315" t="str">
        <f t="shared" si="276"/>
        <v>LEX Admin &amp; OtherInsurance as % of Total Gross Profit</v>
      </c>
      <c r="K3312" s="315" t="str">
        <f t="shared" si="277"/>
        <v>936Other franchise/business expense</v>
      </c>
      <c r="L3312" s="311">
        <f>+SUMIF('TUNZ Extracted TB'!M:M,$P3312,'TUNZ Extracted TB'!G:G)</f>
        <v>1729.3</v>
      </c>
      <c r="M3312" s="311"/>
      <c r="N3312" s="311">
        <f>+SUMIF('Input Sheet'!$AE:$AE,P3312,'Input Sheet'!$X:$X)</f>
        <v>0</v>
      </c>
      <c r="O3312" s="311"/>
      <c r="P3312" t="str">
        <f t="shared" si="278"/>
        <v>936-7840</v>
      </c>
      <c r="Q3312" s="315" t="str">
        <f t="shared" si="279"/>
        <v>LEX Admin &amp; Other</v>
      </c>
      <c r="R3312" s="315" t="str">
        <f t="shared" si="280"/>
        <v>LEX Admin &amp; OtherInsurance as % of Total Gross Profit</v>
      </c>
      <c r="S3312" s="199"/>
      <c r="T3312" s="199"/>
      <c r="U3312" s="199"/>
    </row>
    <row r="3313" spans="1:21" x14ac:dyDescent="0.25">
      <c r="A3313" t="s">
        <v>996</v>
      </c>
      <c r="B3313" t="s">
        <v>997</v>
      </c>
      <c r="C3313" t="s">
        <v>1013</v>
      </c>
      <c r="D3313">
        <v>7840</v>
      </c>
      <c r="E3313">
        <v>340</v>
      </c>
      <c r="F3313" t="s">
        <v>1444</v>
      </c>
      <c r="G3313" t="s">
        <v>1445</v>
      </c>
      <c r="H3313" s="315" t="s">
        <v>1000</v>
      </c>
      <c r="I3313" s="315" t="s">
        <v>1443</v>
      </c>
      <c r="J3313" s="315" t="str">
        <f t="shared" si="276"/>
        <v>Admin &amp; OtherInsurance as % of Total Gross Profit</v>
      </c>
      <c r="K3313" s="315" t="str">
        <f t="shared" si="277"/>
        <v>340Insurance expense - Toyota</v>
      </c>
      <c r="L3313" s="311">
        <f>+SUMIF('TUNZ Extracted TB'!M:M,$P3313,'TUNZ Extracted TB'!G:G)</f>
        <v>1628.47</v>
      </c>
      <c r="M3313" s="311"/>
      <c r="N3313" s="311">
        <f>+SUMIF('Input Sheet'!$AE:$AE,P3313,'Input Sheet'!$X:$X)</f>
        <v>0</v>
      </c>
      <c r="O3313" s="311"/>
      <c r="P3313" t="str">
        <f t="shared" si="278"/>
        <v>340-7840</v>
      </c>
      <c r="Q3313" s="315" t="str">
        <f t="shared" si="279"/>
        <v>Admin &amp; Other</v>
      </c>
      <c r="R3313" s="315" t="str">
        <f t="shared" si="280"/>
        <v>Admin &amp; OtherInsurance as % of Total Gross Profit</v>
      </c>
      <c r="S3313" s="199"/>
      <c r="T3313" s="199"/>
      <c r="U3313" s="199"/>
    </row>
    <row r="3314" spans="1:21" x14ac:dyDescent="0.25">
      <c r="A3314" t="s">
        <v>996</v>
      </c>
      <c r="B3314" t="s">
        <v>997</v>
      </c>
      <c r="C3314" t="s">
        <v>1005</v>
      </c>
      <c r="D3314">
        <v>7840</v>
      </c>
      <c r="E3314">
        <v>240</v>
      </c>
      <c r="F3314" t="s">
        <v>1444</v>
      </c>
      <c r="G3314" t="s">
        <v>1445</v>
      </c>
      <c r="H3314" s="315" t="s">
        <v>1000</v>
      </c>
      <c r="I3314" s="315" t="s">
        <v>1443</v>
      </c>
      <c r="J3314" s="315" t="str">
        <f t="shared" si="276"/>
        <v>Admin &amp; OtherInsurance as % of Total Gross Profit</v>
      </c>
      <c r="K3314" s="315" t="str">
        <f t="shared" si="277"/>
        <v>240Insurance expense - Toyota</v>
      </c>
      <c r="L3314" s="311">
        <f>+SUMIF('TUNZ Extracted TB'!M:M,$P3314,'TUNZ Extracted TB'!G:G)</f>
        <v>2801.21</v>
      </c>
      <c r="M3314" s="311"/>
      <c r="N3314" s="311">
        <f>+SUMIF('Input Sheet'!$AE:$AE,P3314,'Input Sheet'!$X:$X)</f>
        <v>0</v>
      </c>
      <c r="O3314" s="311"/>
      <c r="P3314" t="str">
        <f t="shared" si="278"/>
        <v>240-7840</v>
      </c>
      <c r="Q3314" s="315" t="str">
        <f t="shared" si="279"/>
        <v>Admin &amp; Other</v>
      </c>
      <c r="R3314" s="315" t="str">
        <f t="shared" si="280"/>
        <v>Admin &amp; OtherInsurance as % of Total Gross Profit</v>
      </c>
      <c r="S3314" s="199"/>
      <c r="T3314" s="199"/>
      <c r="U3314" s="199"/>
    </row>
    <row r="3315" spans="1:21" x14ac:dyDescent="0.25">
      <c r="A3315" t="s">
        <v>996</v>
      </c>
      <c r="B3315" t="s">
        <v>997</v>
      </c>
      <c r="C3315" t="s">
        <v>1005</v>
      </c>
      <c r="D3315">
        <v>7840</v>
      </c>
      <c r="E3315">
        <v>230</v>
      </c>
      <c r="F3315" t="s">
        <v>1444</v>
      </c>
      <c r="G3315" t="s">
        <v>1445</v>
      </c>
      <c r="H3315" s="315" t="s">
        <v>1000</v>
      </c>
      <c r="I3315" s="315" t="s">
        <v>1443</v>
      </c>
      <c r="J3315" s="315" t="str">
        <f t="shared" si="276"/>
        <v>Admin &amp; OtherInsurance as % of Total Gross Profit</v>
      </c>
      <c r="K3315" s="315" t="str">
        <f t="shared" si="277"/>
        <v>230Insurance expense - Toyota</v>
      </c>
      <c r="L3315" s="311">
        <f>+SUMIF('TUNZ Extracted TB'!M:M,$P3315,'TUNZ Extracted TB'!G:G)</f>
        <v>956.51</v>
      </c>
      <c r="M3315" s="311"/>
      <c r="N3315" s="311">
        <f>+SUMIF('Input Sheet'!$AE:$AE,P3315,'Input Sheet'!$X:$X)</f>
        <v>0</v>
      </c>
      <c r="O3315" s="311"/>
      <c r="P3315" t="str">
        <f t="shared" si="278"/>
        <v>230-7840</v>
      </c>
      <c r="Q3315" s="315" t="str">
        <f t="shared" si="279"/>
        <v>Admin &amp; Other</v>
      </c>
      <c r="R3315" s="315" t="str">
        <f t="shared" si="280"/>
        <v>Admin &amp; OtherInsurance as % of Total Gross Profit</v>
      </c>
      <c r="S3315" s="199"/>
      <c r="T3315" s="199"/>
      <c r="U3315" s="199"/>
    </row>
    <row r="3316" spans="1:21" x14ac:dyDescent="0.25">
      <c r="A3316" t="s">
        <v>996</v>
      </c>
      <c r="B3316" t="s">
        <v>997</v>
      </c>
      <c r="C3316" t="s">
        <v>997</v>
      </c>
      <c r="D3316">
        <v>7840</v>
      </c>
      <c r="E3316">
        <v>121</v>
      </c>
      <c r="F3316" t="s">
        <v>1444</v>
      </c>
      <c r="G3316" t="s">
        <v>1445</v>
      </c>
      <c r="H3316" s="315" t="s">
        <v>1000</v>
      </c>
      <c r="I3316" s="315" t="s">
        <v>1443</v>
      </c>
      <c r="J3316" s="315" t="str">
        <f t="shared" si="276"/>
        <v>Admin &amp; OtherInsurance as % of Total Gross Profit</v>
      </c>
      <c r="K3316" s="315" t="str">
        <f t="shared" si="277"/>
        <v>121Insurance expense - Toyota</v>
      </c>
      <c r="L3316" s="311">
        <f>+SUMIF('TUNZ Extracted TB'!M:M,$P3316,'TUNZ Extracted TB'!G:G)</f>
        <v>1773.11</v>
      </c>
      <c r="M3316" s="311"/>
      <c r="N3316" s="311">
        <f>+SUMIF('Input Sheet'!$AE:$AE,P3316,'Input Sheet'!$X:$X)</f>
        <v>0</v>
      </c>
      <c r="O3316" s="311"/>
      <c r="P3316" t="str">
        <f t="shared" si="278"/>
        <v>121-7840</v>
      </c>
      <c r="Q3316" s="315" t="str">
        <f t="shared" si="279"/>
        <v>Admin &amp; Other</v>
      </c>
      <c r="R3316" s="315" t="str">
        <f t="shared" si="280"/>
        <v>Admin &amp; OtherInsurance as % of Total Gross Profit</v>
      </c>
      <c r="S3316" s="199"/>
      <c r="T3316" s="199"/>
      <c r="U3316" s="199"/>
    </row>
    <row r="3317" spans="1:21" x14ac:dyDescent="0.25">
      <c r="A3317" t="s">
        <v>996</v>
      </c>
      <c r="B3317" t="s">
        <v>997</v>
      </c>
      <c r="C3317" t="s">
        <v>997</v>
      </c>
      <c r="D3317">
        <v>7840</v>
      </c>
      <c r="E3317">
        <v>160</v>
      </c>
      <c r="F3317" t="s">
        <v>1444</v>
      </c>
      <c r="G3317" t="s">
        <v>1445</v>
      </c>
      <c r="H3317" s="315" t="s">
        <v>1000</v>
      </c>
      <c r="I3317" s="315" t="s">
        <v>1443</v>
      </c>
      <c r="J3317" s="315" t="str">
        <f t="shared" si="276"/>
        <v>Admin &amp; OtherInsurance as % of Total Gross Profit</v>
      </c>
      <c r="K3317" s="315" t="str">
        <f t="shared" si="277"/>
        <v>160Insurance expense - Toyota</v>
      </c>
      <c r="L3317" s="311">
        <f>+SUMIF('TUNZ Extracted TB'!M:M,$P3317,'TUNZ Extracted TB'!G:G)</f>
        <v>75.739999999999995</v>
      </c>
      <c r="M3317" s="311"/>
      <c r="N3317" s="311">
        <f>+SUMIF('Input Sheet'!$AE:$AE,P3317,'Input Sheet'!$X:$X)</f>
        <v>0</v>
      </c>
      <c r="O3317" s="311"/>
      <c r="P3317" t="str">
        <f t="shared" si="278"/>
        <v>160-7840</v>
      </c>
      <c r="Q3317" s="315" t="str">
        <f t="shared" si="279"/>
        <v>Admin &amp; Other</v>
      </c>
      <c r="R3317" s="315" t="str">
        <f t="shared" si="280"/>
        <v>Admin &amp; OtherInsurance as % of Total Gross Profit</v>
      </c>
      <c r="S3317" s="199"/>
      <c r="T3317" s="199"/>
      <c r="U3317" s="199"/>
    </row>
    <row r="3318" spans="1:21" x14ac:dyDescent="0.25">
      <c r="A3318" t="s">
        <v>996</v>
      </c>
      <c r="B3318" t="s">
        <v>997</v>
      </c>
      <c r="C3318" t="s">
        <v>1005</v>
      </c>
      <c r="D3318">
        <v>7840</v>
      </c>
      <c r="E3318">
        <v>260</v>
      </c>
      <c r="F3318" t="s">
        <v>1444</v>
      </c>
      <c r="G3318" t="s">
        <v>1445</v>
      </c>
      <c r="H3318" s="315" t="s">
        <v>1000</v>
      </c>
      <c r="I3318" s="315" t="s">
        <v>1443</v>
      </c>
      <c r="J3318" s="315" t="str">
        <f t="shared" si="276"/>
        <v>Admin &amp; OtherInsurance as % of Total Gross Profit</v>
      </c>
      <c r="K3318" s="315" t="str">
        <f t="shared" si="277"/>
        <v>260Insurance expense - Toyota</v>
      </c>
      <c r="L3318" s="311">
        <f>+SUMIF('TUNZ Extracted TB'!M:M,$P3318,'TUNZ Extracted TB'!G:G)</f>
        <v>37.869999999999997</v>
      </c>
      <c r="M3318" s="311"/>
      <c r="N3318" s="311">
        <f>+SUMIF('Input Sheet'!$AE:$AE,P3318,'Input Sheet'!$X:$X)</f>
        <v>0</v>
      </c>
      <c r="O3318" s="311"/>
      <c r="P3318" t="str">
        <f t="shared" si="278"/>
        <v>260-7840</v>
      </c>
      <c r="Q3318" s="315" t="str">
        <f t="shared" si="279"/>
        <v>Admin &amp; Other</v>
      </c>
      <c r="R3318" s="315" t="str">
        <f t="shared" si="280"/>
        <v>Admin &amp; OtherInsurance as % of Total Gross Profit</v>
      </c>
      <c r="S3318" s="199"/>
      <c r="T3318" s="199"/>
      <c r="U3318" s="199"/>
    </row>
    <row r="3319" spans="1:21" x14ac:dyDescent="0.25">
      <c r="A3319" t="s">
        <v>996</v>
      </c>
      <c r="B3319" t="s">
        <v>997</v>
      </c>
      <c r="C3319" t="s">
        <v>997</v>
      </c>
      <c r="D3319">
        <v>7840</v>
      </c>
      <c r="E3319">
        <v>935</v>
      </c>
      <c r="F3319" t="s">
        <v>1175</v>
      </c>
      <c r="G3319" t="s">
        <v>1176</v>
      </c>
      <c r="H3319" s="315" t="s">
        <v>1023</v>
      </c>
      <c r="I3319" s="315" t="s">
        <v>1443</v>
      </c>
      <c r="J3319" s="315" t="str">
        <f t="shared" si="276"/>
        <v>LEX Admin &amp; OtherInsurance as % of Total Gross Profit</v>
      </c>
      <c r="K3319" s="315" t="str">
        <f t="shared" si="277"/>
        <v>935Other franchise/business expense</v>
      </c>
      <c r="L3319" s="311">
        <f>+SUMIF('TUNZ Extracted TB'!M:M,$P3319,'TUNZ Extracted TB'!G:G)</f>
        <v>311.13</v>
      </c>
      <c r="M3319" s="311"/>
      <c r="N3319" s="311">
        <f>+SUMIF('Input Sheet'!$AE:$AE,P3319,'Input Sheet'!$X:$X)</f>
        <v>0</v>
      </c>
      <c r="O3319" s="311"/>
      <c r="P3319" t="str">
        <f t="shared" si="278"/>
        <v>935-7840</v>
      </c>
      <c r="Q3319" s="315" t="str">
        <f t="shared" si="279"/>
        <v>LEX Admin &amp; Other</v>
      </c>
      <c r="R3319" s="315" t="str">
        <f t="shared" si="280"/>
        <v>LEX Admin &amp; OtherInsurance as % of Total Gross Profit</v>
      </c>
      <c r="S3319" s="199"/>
      <c r="T3319" s="199"/>
      <c r="U3319" s="199"/>
    </row>
    <row r="3320" spans="1:21" x14ac:dyDescent="0.25">
      <c r="A3320" t="s">
        <v>996</v>
      </c>
      <c r="B3320" t="s">
        <v>997</v>
      </c>
      <c r="C3320" t="s">
        <v>997</v>
      </c>
      <c r="D3320">
        <v>7840</v>
      </c>
      <c r="E3320">
        <v>150</v>
      </c>
      <c r="F3320" t="s">
        <v>1444</v>
      </c>
      <c r="G3320" t="s">
        <v>1445</v>
      </c>
      <c r="H3320" s="315" t="s">
        <v>1023</v>
      </c>
      <c r="I3320" s="315" t="s">
        <v>1443</v>
      </c>
      <c r="J3320" s="315" t="str">
        <f t="shared" si="276"/>
        <v>LEX Admin &amp; OtherInsurance as % of Total Gross Profit</v>
      </c>
      <c r="K3320" s="315" t="str">
        <f t="shared" si="277"/>
        <v>150Insurance expense - Toyota</v>
      </c>
      <c r="L3320" s="311">
        <f>+SUMIF('TUNZ Extracted TB'!M:M,$P3320,'TUNZ Extracted TB'!G:G)</f>
        <v>82.11</v>
      </c>
      <c r="M3320" s="311"/>
      <c r="N3320" s="311">
        <f>+SUMIF('Input Sheet'!$AE:$AE,P3320,'Input Sheet'!$X:$X)</f>
        <v>0</v>
      </c>
      <c r="O3320" s="311"/>
      <c r="P3320" t="str">
        <f t="shared" si="278"/>
        <v>150-7840</v>
      </c>
      <c r="Q3320" s="315" t="str">
        <f t="shared" si="279"/>
        <v>LEX Admin &amp; Other</v>
      </c>
      <c r="R3320" s="315" t="str">
        <f t="shared" si="280"/>
        <v>LEX Admin &amp; OtherInsurance as % of Total Gross Profit</v>
      </c>
      <c r="S3320" s="199"/>
      <c r="T3320" s="199"/>
      <c r="U3320" s="199"/>
    </row>
    <row r="3321" spans="1:21" x14ac:dyDescent="0.25">
      <c r="A3321" s="316">
        <v>44866</v>
      </c>
      <c r="B3321" t="s">
        <v>997</v>
      </c>
      <c r="C3321" t="s">
        <v>997</v>
      </c>
      <c r="D3321">
        <v>7840</v>
      </c>
      <c r="E3321">
        <v>190</v>
      </c>
      <c r="G3321" t="s">
        <v>129</v>
      </c>
      <c r="H3321" s="315" t="s">
        <v>1000</v>
      </c>
      <c r="I3321" s="315" t="s">
        <v>1443</v>
      </c>
      <c r="J3321" s="315" t="str">
        <f t="shared" si="276"/>
        <v>Admin &amp; OtherInsurance as % of Total Gross Profit</v>
      </c>
      <c r="K3321" s="315" t="str">
        <f t="shared" si="277"/>
        <v>190Insurance General</v>
      </c>
      <c r="L3321" s="311">
        <f>+SUMIF('TUNZ Extracted TB'!M:M,$P3321,'TUNZ Extracted TB'!G:G)</f>
        <v>0</v>
      </c>
      <c r="M3321" s="311"/>
      <c r="N3321" s="311">
        <f>+SUMIF('Input Sheet'!$AE:$AE,P3321,'Input Sheet'!$X:$X)</f>
        <v>0</v>
      </c>
      <c r="O3321" s="311"/>
      <c r="P3321" t="str">
        <f t="shared" si="278"/>
        <v>190-7840</v>
      </c>
      <c r="Q3321" s="315" t="str">
        <f t="shared" si="279"/>
        <v>Admin &amp; Other</v>
      </c>
      <c r="R3321" s="315" t="str">
        <f t="shared" si="280"/>
        <v>Admin &amp; OtherInsurance as % of Total Gross Profit</v>
      </c>
      <c r="S3321" s="199"/>
      <c r="T3321" s="199"/>
      <c r="U3321" s="199"/>
    </row>
    <row r="3322" spans="1:21" x14ac:dyDescent="0.25">
      <c r="A3322" t="s">
        <v>996</v>
      </c>
      <c r="B3322" t="s">
        <v>997</v>
      </c>
      <c r="C3322" t="s">
        <v>997</v>
      </c>
      <c r="D3322">
        <v>7840</v>
      </c>
      <c r="E3322">
        <v>122</v>
      </c>
      <c r="F3322" t="s">
        <v>1441</v>
      </c>
      <c r="G3322" t="s">
        <v>1442</v>
      </c>
      <c r="H3322" s="315" t="s">
        <v>1023</v>
      </c>
      <c r="I3322" s="315" t="s">
        <v>1443</v>
      </c>
      <c r="J3322" s="315" t="str">
        <f t="shared" si="276"/>
        <v>LEX Admin &amp; OtherInsurance as % of Total Gross Profit</v>
      </c>
      <c r="K3322" s="315" t="str">
        <f t="shared" si="277"/>
        <v>122Insurance expense - Lexus</v>
      </c>
      <c r="L3322" s="311">
        <f>+SUMIF('TUNZ Extracted TB'!M:M,$P3322,'TUNZ Extracted TB'!G:G)</f>
        <v>0</v>
      </c>
      <c r="M3322" s="311"/>
      <c r="N3322" s="311">
        <f>+SUMIF('Input Sheet'!$AE:$AE,P3322,'Input Sheet'!$X:$X)</f>
        <v>0</v>
      </c>
      <c r="O3322" s="311"/>
      <c r="P3322" t="str">
        <f t="shared" si="278"/>
        <v>122-7840</v>
      </c>
      <c r="Q3322" s="315" t="str">
        <f t="shared" si="279"/>
        <v>LEX Admin &amp; Other</v>
      </c>
      <c r="R3322" s="315" t="str">
        <f t="shared" si="280"/>
        <v>LEX Admin &amp; OtherInsurance as % of Total Gross Profit</v>
      </c>
      <c r="S3322" s="199"/>
      <c r="T3322" s="199"/>
      <c r="U3322" s="199"/>
    </row>
    <row r="3323" spans="1:21" x14ac:dyDescent="0.25">
      <c r="A3323" t="s">
        <v>996</v>
      </c>
      <c r="B3323" t="s">
        <v>997</v>
      </c>
      <c r="C3323" t="s">
        <v>997</v>
      </c>
      <c r="D3323">
        <v>7840</v>
      </c>
      <c r="E3323">
        <v>162</v>
      </c>
      <c r="F3323" t="s">
        <v>1441</v>
      </c>
      <c r="G3323" t="s">
        <v>1442</v>
      </c>
      <c r="H3323" s="315" t="s">
        <v>1023</v>
      </c>
      <c r="I3323" s="315" t="s">
        <v>1443</v>
      </c>
      <c r="J3323" s="315" t="str">
        <f t="shared" si="276"/>
        <v>LEX Admin &amp; OtherInsurance as % of Total Gross Profit</v>
      </c>
      <c r="K3323" s="315" t="str">
        <f t="shared" si="277"/>
        <v>162Insurance expense - Lexus</v>
      </c>
      <c r="L3323" s="311">
        <f>+SUMIF('TUNZ Extracted TB'!M:M,$P3323,'TUNZ Extracted TB'!G:G)</f>
        <v>0</v>
      </c>
      <c r="M3323" s="311"/>
      <c r="N3323" s="311">
        <f>+SUMIF('Input Sheet'!$AE:$AE,P3323,'Input Sheet'!$X:$X)</f>
        <v>0</v>
      </c>
      <c r="O3323" s="311"/>
      <c r="P3323" t="str">
        <f t="shared" si="278"/>
        <v>162-7840</v>
      </c>
      <c r="Q3323" s="315" t="str">
        <f t="shared" si="279"/>
        <v>LEX Admin &amp; Other</v>
      </c>
      <c r="R3323" s="315" t="str">
        <f t="shared" si="280"/>
        <v>LEX Admin &amp; OtherInsurance as % of Total Gross Profit</v>
      </c>
      <c r="S3323" s="199"/>
      <c r="T3323" s="199"/>
      <c r="U3323" s="199"/>
    </row>
    <row r="3324" spans="1:21" x14ac:dyDescent="0.25">
      <c r="A3324" t="s">
        <v>996</v>
      </c>
      <c r="B3324" t="s">
        <v>997</v>
      </c>
      <c r="C3324" t="s">
        <v>1005</v>
      </c>
      <c r="D3324">
        <v>7840</v>
      </c>
      <c r="E3324">
        <v>200</v>
      </c>
      <c r="F3324" t="s">
        <v>1444</v>
      </c>
      <c r="G3324" t="s">
        <v>1445</v>
      </c>
      <c r="H3324" s="315" t="s">
        <v>1000</v>
      </c>
      <c r="I3324" s="315" t="s">
        <v>1443</v>
      </c>
      <c r="J3324" s="315" t="str">
        <f t="shared" si="276"/>
        <v>Admin &amp; OtherInsurance as % of Total Gross Profit</v>
      </c>
      <c r="K3324" s="315" t="str">
        <f t="shared" si="277"/>
        <v>200Insurance expense - Toyota</v>
      </c>
      <c r="L3324" s="311">
        <f>+SUMIF('TUNZ Extracted TB'!M:M,$P3324,'TUNZ Extracted TB'!G:G)</f>
        <v>0</v>
      </c>
      <c r="M3324" s="311"/>
      <c r="N3324" s="311">
        <f>+SUMIF('Input Sheet'!$AE:$AE,P3324,'Input Sheet'!$X:$X)</f>
        <v>0</v>
      </c>
      <c r="O3324" s="311"/>
      <c r="P3324" t="str">
        <f t="shared" si="278"/>
        <v>200-7840</v>
      </c>
      <c r="Q3324" s="315" t="str">
        <f t="shared" si="279"/>
        <v>Admin &amp; Other</v>
      </c>
      <c r="R3324" s="315" t="str">
        <f t="shared" si="280"/>
        <v>Admin &amp; OtherInsurance as % of Total Gross Profit</v>
      </c>
      <c r="S3324" s="199"/>
      <c r="T3324" s="199"/>
      <c r="U3324" s="199"/>
    </row>
    <row r="3325" spans="1:21" x14ac:dyDescent="0.25">
      <c r="A3325" t="s">
        <v>996</v>
      </c>
      <c r="B3325" t="s">
        <v>997</v>
      </c>
      <c r="C3325" t="s">
        <v>1005</v>
      </c>
      <c r="D3325">
        <v>7840</v>
      </c>
      <c r="E3325">
        <v>221</v>
      </c>
      <c r="F3325" t="s">
        <v>1444</v>
      </c>
      <c r="G3325" t="s">
        <v>1445</v>
      </c>
      <c r="H3325" s="315" t="s">
        <v>1000</v>
      </c>
      <c r="I3325" s="315" t="s">
        <v>1443</v>
      </c>
      <c r="J3325" s="315" t="str">
        <f t="shared" si="276"/>
        <v>Admin &amp; OtherInsurance as % of Total Gross Profit</v>
      </c>
      <c r="K3325" s="315" t="str">
        <f t="shared" si="277"/>
        <v>221Insurance expense - Toyota</v>
      </c>
      <c r="L3325" s="311">
        <f>+SUMIF('TUNZ Extracted TB'!M:M,$P3325,'TUNZ Extracted TB'!G:G)</f>
        <v>0</v>
      </c>
      <c r="M3325" s="311"/>
      <c r="N3325" s="311">
        <f>+SUMIF('Input Sheet'!$AE:$AE,P3325,'Input Sheet'!$X:$X)</f>
        <v>0</v>
      </c>
      <c r="O3325" s="311"/>
      <c r="P3325" t="str">
        <f t="shared" si="278"/>
        <v>221-7840</v>
      </c>
      <c r="Q3325" s="315" t="str">
        <f t="shared" si="279"/>
        <v>Admin &amp; Other</v>
      </c>
      <c r="R3325" s="315" t="str">
        <f t="shared" si="280"/>
        <v>Admin &amp; OtherInsurance as % of Total Gross Profit</v>
      </c>
      <c r="S3325" s="199"/>
      <c r="T3325" s="199"/>
      <c r="U3325" s="199"/>
    </row>
    <row r="3326" spans="1:21" x14ac:dyDescent="0.25">
      <c r="A3326" t="s">
        <v>996</v>
      </c>
      <c r="B3326" t="s">
        <v>997</v>
      </c>
      <c r="C3326" t="s">
        <v>1012</v>
      </c>
      <c r="D3326">
        <v>7840</v>
      </c>
      <c r="E3326">
        <v>400</v>
      </c>
      <c r="F3326" t="s">
        <v>1444</v>
      </c>
      <c r="G3326" t="s">
        <v>1445</v>
      </c>
      <c r="H3326" s="315" t="s">
        <v>1000</v>
      </c>
      <c r="I3326" s="315" t="s">
        <v>1443</v>
      </c>
      <c r="J3326" s="315" t="str">
        <f t="shared" si="276"/>
        <v>Admin &amp; OtherInsurance as % of Total Gross Profit</v>
      </c>
      <c r="K3326" s="315" t="str">
        <f t="shared" si="277"/>
        <v>400Insurance expense - Toyota</v>
      </c>
      <c r="L3326" s="311">
        <f>+SUMIF('TUNZ Extracted TB'!M:M,$P3326,'TUNZ Extracted TB'!G:G)</f>
        <v>0</v>
      </c>
      <c r="M3326" s="311"/>
      <c r="N3326" s="311">
        <f>+SUMIF('Input Sheet'!$AE:$AE,P3326,'Input Sheet'!$X:$X)</f>
        <v>0</v>
      </c>
      <c r="O3326" s="311"/>
      <c r="P3326" t="str">
        <f t="shared" si="278"/>
        <v>400-7840</v>
      </c>
      <c r="Q3326" s="315" t="str">
        <f t="shared" si="279"/>
        <v>Admin &amp; Other</v>
      </c>
      <c r="R3326" s="315" t="str">
        <f t="shared" si="280"/>
        <v>Admin &amp; OtherInsurance as % of Total Gross Profit</v>
      </c>
      <c r="S3326" s="199"/>
      <c r="T3326" s="199"/>
      <c r="U3326" s="199"/>
    </row>
    <row r="3327" spans="1:21" x14ac:dyDescent="0.25">
      <c r="A3327" t="s">
        <v>996</v>
      </c>
      <c r="B3327" t="s">
        <v>997</v>
      </c>
      <c r="C3327" t="s">
        <v>1012</v>
      </c>
      <c r="D3327">
        <v>7840</v>
      </c>
      <c r="E3327">
        <v>410</v>
      </c>
      <c r="F3327" t="s">
        <v>1444</v>
      </c>
      <c r="G3327" t="s">
        <v>1445</v>
      </c>
      <c r="H3327" s="315" t="s">
        <v>1000</v>
      </c>
      <c r="I3327" s="315" t="s">
        <v>1443</v>
      </c>
      <c r="J3327" s="315" t="str">
        <f t="shared" si="276"/>
        <v>Admin &amp; OtherInsurance as % of Total Gross Profit</v>
      </c>
      <c r="K3327" s="315" t="str">
        <f t="shared" si="277"/>
        <v>410Insurance expense - Toyota</v>
      </c>
      <c r="L3327" s="311">
        <f>+SUMIF('TUNZ Extracted TB'!M:M,$P3327,'TUNZ Extracted TB'!G:G)</f>
        <v>0</v>
      </c>
      <c r="M3327" s="311"/>
      <c r="N3327" s="311">
        <f>+SUMIF('Input Sheet'!$AE:$AE,P3327,'Input Sheet'!$X:$X)</f>
        <v>0</v>
      </c>
      <c r="O3327" s="311"/>
      <c r="P3327" t="str">
        <f t="shared" si="278"/>
        <v>410-7840</v>
      </c>
      <c r="Q3327" s="315" t="str">
        <f t="shared" si="279"/>
        <v>Admin &amp; Other</v>
      </c>
      <c r="R3327" s="315" t="str">
        <f t="shared" si="280"/>
        <v>Admin &amp; OtherInsurance as % of Total Gross Profit</v>
      </c>
      <c r="S3327" s="199"/>
      <c r="T3327" s="199"/>
      <c r="U3327" s="199"/>
    </row>
    <row r="3328" spans="1:21" x14ac:dyDescent="0.25">
      <c r="A3328" t="s">
        <v>996</v>
      </c>
      <c r="B3328" t="s">
        <v>997</v>
      </c>
      <c r="C3328" t="s">
        <v>1012</v>
      </c>
      <c r="D3328">
        <v>7840</v>
      </c>
      <c r="E3328">
        <v>420</v>
      </c>
      <c r="F3328" t="s">
        <v>1444</v>
      </c>
      <c r="G3328" t="s">
        <v>1445</v>
      </c>
      <c r="H3328" s="315" t="s">
        <v>1000</v>
      </c>
      <c r="I3328" s="315" t="s">
        <v>1443</v>
      </c>
      <c r="J3328" s="315" t="str">
        <f t="shared" si="276"/>
        <v>Admin &amp; OtherInsurance as % of Total Gross Profit</v>
      </c>
      <c r="K3328" s="315" t="str">
        <f t="shared" si="277"/>
        <v>420Insurance expense - Toyota</v>
      </c>
      <c r="L3328" s="311">
        <f>+SUMIF('TUNZ Extracted TB'!M:M,$P3328,'TUNZ Extracted TB'!G:G)</f>
        <v>0</v>
      </c>
      <c r="M3328" s="311"/>
      <c r="N3328" s="311">
        <f>+SUMIF('Input Sheet'!$AE:$AE,P3328,'Input Sheet'!$X:$X)</f>
        <v>0</v>
      </c>
      <c r="O3328" s="311"/>
      <c r="P3328" t="str">
        <f t="shared" si="278"/>
        <v>420-7840</v>
      </c>
      <c r="Q3328" s="315" t="str">
        <f t="shared" si="279"/>
        <v>Admin &amp; Other</v>
      </c>
      <c r="R3328" s="315" t="str">
        <f t="shared" si="280"/>
        <v>Admin &amp; OtherInsurance as % of Total Gross Profit</v>
      </c>
      <c r="S3328" s="199"/>
      <c r="T3328" s="199"/>
      <c r="U3328" s="199"/>
    </row>
    <row r="3329" spans="1:21" x14ac:dyDescent="0.25">
      <c r="A3329" t="s">
        <v>996</v>
      </c>
      <c r="B3329" t="s">
        <v>997</v>
      </c>
      <c r="C3329" t="s">
        <v>1012</v>
      </c>
      <c r="D3329">
        <v>7840</v>
      </c>
      <c r="E3329">
        <v>421</v>
      </c>
      <c r="F3329" t="s">
        <v>1444</v>
      </c>
      <c r="G3329" t="s">
        <v>1445</v>
      </c>
      <c r="H3329" s="315" t="s">
        <v>1000</v>
      </c>
      <c r="I3329" s="315" t="s">
        <v>1443</v>
      </c>
      <c r="J3329" s="315" t="str">
        <f t="shared" si="276"/>
        <v>Admin &amp; OtherInsurance as % of Total Gross Profit</v>
      </c>
      <c r="K3329" s="315" t="str">
        <f t="shared" si="277"/>
        <v>421Insurance expense - Toyota</v>
      </c>
      <c r="L3329" s="311">
        <f>+SUMIF('TUNZ Extracted TB'!M:M,$P3329,'TUNZ Extracted TB'!G:G)</f>
        <v>0</v>
      </c>
      <c r="M3329" s="311"/>
      <c r="N3329" s="311">
        <f>+SUMIF('Input Sheet'!$AE:$AE,P3329,'Input Sheet'!$X:$X)</f>
        <v>0</v>
      </c>
      <c r="O3329" s="311"/>
      <c r="P3329" t="str">
        <f t="shared" si="278"/>
        <v>421-7840</v>
      </c>
      <c r="Q3329" s="315" t="str">
        <f t="shared" si="279"/>
        <v>Admin &amp; Other</v>
      </c>
      <c r="R3329" s="315" t="str">
        <f t="shared" si="280"/>
        <v>Admin &amp; OtherInsurance as % of Total Gross Profit</v>
      </c>
      <c r="S3329" s="199"/>
      <c r="T3329" s="199"/>
      <c r="U3329" s="199"/>
    </row>
    <row r="3330" spans="1:21" x14ac:dyDescent="0.25">
      <c r="A3330" t="s">
        <v>996</v>
      </c>
      <c r="B3330" t="s">
        <v>997</v>
      </c>
      <c r="C3330" t="s">
        <v>1012</v>
      </c>
      <c r="D3330">
        <v>7840</v>
      </c>
      <c r="E3330">
        <v>460</v>
      </c>
      <c r="F3330" t="s">
        <v>1444</v>
      </c>
      <c r="G3330" t="s">
        <v>1445</v>
      </c>
      <c r="H3330" s="315" t="s">
        <v>1000</v>
      </c>
      <c r="I3330" s="315" t="s">
        <v>1443</v>
      </c>
      <c r="J3330" s="315" t="str">
        <f t="shared" si="276"/>
        <v>Admin &amp; OtherInsurance as % of Total Gross Profit</v>
      </c>
      <c r="K3330" s="315" t="str">
        <f t="shared" si="277"/>
        <v>460Insurance expense - Toyota</v>
      </c>
      <c r="L3330" s="311">
        <f>+SUMIF('TUNZ Extracted TB'!M:M,$P3330,'TUNZ Extracted TB'!G:G)</f>
        <v>0</v>
      </c>
      <c r="M3330" s="311"/>
      <c r="N3330" s="311">
        <f>+SUMIF('Input Sheet'!$AE:$AE,P3330,'Input Sheet'!$X:$X)</f>
        <v>0</v>
      </c>
      <c r="O3330" s="311"/>
      <c r="P3330" t="str">
        <f t="shared" si="278"/>
        <v>460-7840</v>
      </c>
      <c r="Q3330" s="315" t="str">
        <f t="shared" si="279"/>
        <v>Admin &amp; Other</v>
      </c>
      <c r="R3330" s="315" t="str">
        <f t="shared" si="280"/>
        <v>Admin &amp; OtherInsurance as % of Total Gross Profit</v>
      </c>
      <c r="S3330" s="199"/>
      <c r="T3330" s="199"/>
      <c r="U3330" s="199"/>
    </row>
    <row r="3331" spans="1:21" x14ac:dyDescent="0.25">
      <c r="A3331" t="s">
        <v>996</v>
      </c>
      <c r="B3331" t="s">
        <v>997</v>
      </c>
      <c r="C3331" t="s">
        <v>1013</v>
      </c>
      <c r="D3331">
        <v>7840</v>
      </c>
      <c r="E3331">
        <v>300</v>
      </c>
      <c r="F3331" t="s">
        <v>1444</v>
      </c>
      <c r="G3331" t="s">
        <v>1445</v>
      </c>
      <c r="H3331" s="315" t="s">
        <v>1000</v>
      </c>
      <c r="I3331" s="315" t="s">
        <v>1443</v>
      </c>
      <c r="J3331" s="315" t="str">
        <f t="shared" ref="J3331:J3394" si="281">+H3331&amp;I3331</f>
        <v>Admin &amp; OtherInsurance as % of Total Gross Profit</v>
      </c>
      <c r="K3331" s="315" t="str">
        <f t="shared" ref="K3331:K3394" si="282">+E3331&amp;G3331</f>
        <v>300Insurance expense - Toyota</v>
      </c>
      <c r="L3331" s="311">
        <f>+SUMIF('TUNZ Extracted TB'!M:M,$P3331,'TUNZ Extracted TB'!G:G)</f>
        <v>0</v>
      </c>
      <c r="M3331" s="311"/>
      <c r="N3331" s="311">
        <f>+SUMIF('Input Sheet'!$AE:$AE,P3331,'Input Sheet'!$X:$X)</f>
        <v>0</v>
      </c>
      <c r="O3331" s="311"/>
      <c r="P3331" t="str">
        <f t="shared" ref="P3331:P3394" si="283">+E3331&amp;"-"&amp;D3331</f>
        <v>300-7840</v>
      </c>
      <c r="Q3331" s="315" t="str">
        <f t="shared" ref="Q3331:Q3394" si="284">H3331</f>
        <v>Admin &amp; Other</v>
      </c>
      <c r="R3331" s="315" t="str">
        <f t="shared" ref="R3331:R3394" si="285">J3331</f>
        <v>Admin &amp; OtherInsurance as % of Total Gross Profit</v>
      </c>
      <c r="S3331" s="199"/>
      <c r="T3331" s="199"/>
      <c r="U3331" s="199"/>
    </row>
    <row r="3332" spans="1:21" x14ac:dyDescent="0.25">
      <c r="A3332" t="s">
        <v>996</v>
      </c>
      <c r="B3332" t="s">
        <v>997</v>
      </c>
      <c r="C3332" t="s">
        <v>1013</v>
      </c>
      <c r="D3332">
        <v>7840</v>
      </c>
      <c r="E3332">
        <v>310</v>
      </c>
      <c r="F3332" t="s">
        <v>1444</v>
      </c>
      <c r="G3332" t="s">
        <v>1445</v>
      </c>
      <c r="H3332" s="315" t="s">
        <v>1000</v>
      </c>
      <c r="I3332" s="315" t="s">
        <v>1443</v>
      </c>
      <c r="J3332" s="315" t="str">
        <f t="shared" si="281"/>
        <v>Admin &amp; OtherInsurance as % of Total Gross Profit</v>
      </c>
      <c r="K3332" s="315" t="str">
        <f t="shared" si="282"/>
        <v>310Insurance expense - Toyota</v>
      </c>
      <c r="L3332" s="311">
        <f>+SUMIF('TUNZ Extracted TB'!M:M,$P3332,'TUNZ Extracted TB'!G:G)</f>
        <v>0</v>
      </c>
      <c r="M3332" s="311"/>
      <c r="N3332" s="311">
        <f>+SUMIF('Input Sheet'!$AE:$AE,P3332,'Input Sheet'!$X:$X)</f>
        <v>0</v>
      </c>
      <c r="O3332" s="311"/>
      <c r="P3332" t="str">
        <f t="shared" si="283"/>
        <v>310-7840</v>
      </c>
      <c r="Q3332" s="315" t="str">
        <f t="shared" si="284"/>
        <v>Admin &amp; Other</v>
      </c>
      <c r="R3332" s="315" t="str">
        <f t="shared" si="285"/>
        <v>Admin &amp; OtherInsurance as % of Total Gross Profit</v>
      </c>
      <c r="S3332" s="199"/>
      <c r="T3332" s="199"/>
      <c r="U3332" s="199"/>
    </row>
    <row r="3333" spans="1:21" x14ac:dyDescent="0.25">
      <c r="A3333" t="s">
        <v>996</v>
      </c>
      <c r="B3333" t="s">
        <v>997</v>
      </c>
      <c r="C3333" t="s">
        <v>1013</v>
      </c>
      <c r="D3333">
        <v>7840</v>
      </c>
      <c r="E3333">
        <v>321</v>
      </c>
      <c r="F3333" t="s">
        <v>1444</v>
      </c>
      <c r="G3333" t="s">
        <v>1445</v>
      </c>
      <c r="H3333" s="315" t="s">
        <v>1000</v>
      </c>
      <c r="I3333" s="315" t="s">
        <v>1443</v>
      </c>
      <c r="J3333" s="315" t="str">
        <f t="shared" si="281"/>
        <v>Admin &amp; OtherInsurance as % of Total Gross Profit</v>
      </c>
      <c r="K3333" s="315" t="str">
        <f t="shared" si="282"/>
        <v>321Insurance expense - Toyota</v>
      </c>
      <c r="L3333" s="311">
        <f>+SUMIF('TUNZ Extracted TB'!M:M,$P3333,'TUNZ Extracted TB'!G:G)</f>
        <v>0</v>
      </c>
      <c r="M3333" s="311"/>
      <c r="N3333" s="311">
        <f>+SUMIF('Input Sheet'!$AE:$AE,P3333,'Input Sheet'!$X:$X)</f>
        <v>0</v>
      </c>
      <c r="O3333" s="311"/>
      <c r="P3333" t="str">
        <f t="shared" si="283"/>
        <v>321-7840</v>
      </c>
      <c r="Q3333" s="315" t="str">
        <f t="shared" si="284"/>
        <v>Admin &amp; Other</v>
      </c>
      <c r="R3333" s="315" t="str">
        <f t="shared" si="285"/>
        <v>Admin &amp; OtherInsurance as % of Total Gross Profit</v>
      </c>
      <c r="S3333" s="199"/>
      <c r="T3333" s="199"/>
      <c r="U3333" s="199"/>
    </row>
    <row r="3334" spans="1:21" x14ac:dyDescent="0.25">
      <c r="A3334" t="s">
        <v>996</v>
      </c>
      <c r="B3334" t="s">
        <v>997</v>
      </c>
      <c r="C3334" t="s">
        <v>1013</v>
      </c>
      <c r="D3334">
        <v>7840</v>
      </c>
      <c r="E3334">
        <v>360</v>
      </c>
      <c r="F3334" t="s">
        <v>1444</v>
      </c>
      <c r="G3334" t="s">
        <v>1445</v>
      </c>
      <c r="H3334" s="315" t="s">
        <v>1000</v>
      </c>
      <c r="I3334" s="315" t="s">
        <v>1443</v>
      </c>
      <c r="J3334" s="315" t="str">
        <f t="shared" si="281"/>
        <v>Admin &amp; OtherInsurance as % of Total Gross Profit</v>
      </c>
      <c r="K3334" s="315" t="str">
        <f t="shared" si="282"/>
        <v>360Insurance expense - Toyota</v>
      </c>
      <c r="L3334" s="311">
        <f>+SUMIF('TUNZ Extracted TB'!M:M,$P3334,'TUNZ Extracted TB'!G:G)</f>
        <v>0</v>
      </c>
      <c r="M3334" s="311"/>
      <c r="N3334" s="311">
        <f>+SUMIF('Input Sheet'!$AE:$AE,P3334,'Input Sheet'!$X:$X)</f>
        <v>0</v>
      </c>
      <c r="O3334" s="311"/>
      <c r="P3334" t="str">
        <f t="shared" si="283"/>
        <v>360-7840</v>
      </c>
      <c r="Q3334" s="315" t="str">
        <f t="shared" si="284"/>
        <v>Admin &amp; Other</v>
      </c>
      <c r="R3334" s="315" t="str">
        <f t="shared" si="285"/>
        <v>Admin &amp; OtherInsurance as % of Total Gross Profit</v>
      </c>
      <c r="S3334" s="199"/>
      <c r="T3334" s="199"/>
      <c r="U3334" s="199"/>
    </row>
    <row r="3335" spans="1:21" x14ac:dyDescent="0.25">
      <c r="A3335" t="s">
        <v>996</v>
      </c>
      <c r="B3335" t="s">
        <v>997</v>
      </c>
      <c r="C3335" t="s">
        <v>997</v>
      </c>
      <c r="D3335">
        <v>7840</v>
      </c>
      <c r="E3335">
        <v>147</v>
      </c>
      <c r="F3335" t="s">
        <v>1444</v>
      </c>
      <c r="G3335" t="s">
        <v>1445</v>
      </c>
      <c r="H3335" s="315" t="s">
        <v>1000</v>
      </c>
      <c r="I3335" s="315" t="s">
        <v>1443</v>
      </c>
      <c r="J3335" s="315" t="str">
        <f t="shared" si="281"/>
        <v>Admin &amp; OtherInsurance as % of Total Gross Profit</v>
      </c>
      <c r="K3335" s="315" t="str">
        <f t="shared" si="282"/>
        <v>147Insurance expense - Toyota</v>
      </c>
      <c r="L3335" s="311">
        <f>+SUMIF('TUNZ Extracted TB'!M:M,$P3335,'TUNZ Extracted TB'!G:G)</f>
        <v>0</v>
      </c>
      <c r="M3335" s="311"/>
      <c r="N3335" s="311">
        <f>+SUMIF('Input Sheet'!$AE:$AE,P3335,'Input Sheet'!$X:$X)</f>
        <v>0</v>
      </c>
      <c r="O3335" s="311"/>
      <c r="P3335" t="str">
        <f t="shared" si="283"/>
        <v>147-7840</v>
      </c>
      <c r="Q3335" s="315" t="str">
        <f t="shared" si="284"/>
        <v>Admin &amp; Other</v>
      </c>
      <c r="R3335" s="315" t="str">
        <f t="shared" si="285"/>
        <v>Admin &amp; OtherInsurance as % of Total Gross Profit</v>
      </c>
      <c r="S3335" s="199"/>
      <c r="T3335" s="199"/>
      <c r="U3335" s="199"/>
    </row>
    <row r="3336" spans="1:21" x14ac:dyDescent="0.25">
      <c r="A3336" t="s">
        <v>996</v>
      </c>
      <c r="B3336" t="s">
        <v>997</v>
      </c>
      <c r="C3336" t="s">
        <v>997</v>
      </c>
      <c r="D3336">
        <v>7840</v>
      </c>
      <c r="E3336">
        <v>130</v>
      </c>
      <c r="F3336" t="s">
        <v>1444</v>
      </c>
      <c r="G3336" t="s">
        <v>1445</v>
      </c>
      <c r="H3336" s="315" t="s">
        <v>1000</v>
      </c>
      <c r="I3336" s="315" t="s">
        <v>1443</v>
      </c>
      <c r="J3336" s="315" t="str">
        <f t="shared" si="281"/>
        <v>Admin &amp; OtherInsurance as % of Total Gross Profit</v>
      </c>
      <c r="K3336" s="315" t="str">
        <f t="shared" si="282"/>
        <v>130Insurance expense - Toyota</v>
      </c>
      <c r="L3336" s="311">
        <f>+SUMIF('TUNZ Extracted TB'!M:M,$P3336,'TUNZ Extracted TB'!G:G)</f>
        <v>2307.8000000000002</v>
      </c>
      <c r="M3336" s="311"/>
      <c r="N3336" s="311">
        <f>+SUMIF('Input Sheet'!$AE:$AE,P3336,'Input Sheet'!$X:$X)</f>
        <v>0</v>
      </c>
      <c r="O3336" s="311"/>
      <c r="P3336" t="str">
        <f t="shared" si="283"/>
        <v>130-7840</v>
      </c>
      <c r="Q3336" s="315" t="str">
        <f t="shared" si="284"/>
        <v>Admin &amp; Other</v>
      </c>
      <c r="R3336" s="315" t="str">
        <f t="shared" si="285"/>
        <v>Admin &amp; OtherInsurance as % of Total Gross Profit</v>
      </c>
      <c r="S3336" s="199"/>
      <c r="T3336" s="199"/>
      <c r="U3336" s="199"/>
    </row>
    <row r="3337" spans="1:21" x14ac:dyDescent="0.25">
      <c r="A3337" t="s">
        <v>996</v>
      </c>
      <c r="B3337" t="s">
        <v>997</v>
      </c>
      <c r="C3337" t="s">
        <v>997</v>
      </c>
      <c r="D3337">
        <v>7840</v>
      </c>
      <c r="E3337">
        <v>132</v>
      </c>
      <c r="F3337" t="s">
        <v>1441</v>
      </c>
      <c r="G3337" t="s">
        <v>1442</v>
      </c>
      <c r="H3337" s="315" t="s">
        <v>1023</v>
      </c>
      <c r="I3337" s="315" t="s">
        <v>1443</v>
      </c>
      <c r="J3337" s="315" t="str">
        <f t="shared" si="281"/>
        <v>LEX Admin &amp; OtherInsurance as % of Total Gross Profit</v>
      </c>
      <c r="K3337" s="315" t="str">
        <f t="shared" si="282"/>
        <v>132Insurance expense - Lexus</v>
      </c>
      <c r="L3337" s="311">
        <f>+SUMIF('TUNZ Extracted TB'!M:M,$P3337,'TUNZ Extracted TB'!G:G)</f>
        <v>0</v>
      </c>
      <c r="M3337" s="311"/>
      <c r="N3337" s="311">
        <f>+SUMIF('Input Sheet'!$AE:$AE,P3337,'Input Sheet'!$X:$X)</f>
        <v>0</v>
      </c>
      <c r="O3337" s="311"/>
      <c r="P3337" t="str">
        <f t="shared" si="283"/>
        <v>132-7840</v>
      </c>
      <c r="Q3337" s="315" t="str">
        <f t="shared" si="284"/>
        <v>LEX Admin &amp; Other</v>
      </c>
      <c r="R3337" s="315" t="str">
        <f t="shared" si="285"/>
        <v>LEX Admin &amp; OtherInsurance as % of Total Gross Profit</v>
      </c>
      <c r="S3337" s="199"/>
      <c r="T3337" s="199"/>
      <c r="U3337" s="199"/>
    </row>
    <row r="3338" spans="1:21" x14ac:dyDescent="0.25">
      <c r="A3338" t="s">
        <v>996</v>
      </c>
      <c r="B3338" t="s">
        <v>997</v>
      </c>
      <c r="C3338" t="s">
        <v>997</v>
      </c>
      <c r="D3338">
        <v>7840</v>
      </c>
      <c r="E3338">
        <v>140</v>
      </c>
      <c r="F3338" t="s">
        <v>1444</v>
      </c>
      <c r="G3338" t="s">
        <v>1445</v>
      </c>
      <c r="H3338" s="315" t="s">
        <v>1000</v>
      </c>
      <c r="I3338" s="315" t="s">
        <v>1443</v>
      </c>
      <c r="J3338" s="315" t="str">
        <f t="shared" si="281"/>
        <v>Admin &amp; OtherInsurance as % of Total Gross Profit</v>
      </c>
      <c r="K3338" s="315" t="str">
        <f t="shared" si="282"/>
        <v>140Insurance expense - Toyota</v>
      </c>
      <c r="L3338" s="311">
        <f>+SUMIF('TUNZ Extracted TB'!M:M,$P3338,'TUNZ Extracted TB'!G:G)</f>
        <v>3132.12</v>
      </c>
      <c r="M3338" s="311"/>
      <c r="N3338" s="311">
        <f>+SUMIF('Input Sheet'!$AE:$AE,P3338,'Input Sheet'!$X:$X)</f>
        <v>0</v>
      </c>
      <c r="O3338" s="311"/>
      <c r="P3338" t="str">
        <f t="shared" si="283"/>
        <v>140-7840</v>
      </c>
      <c r="Q3338" s="315" t="str">
        <f t="shared" si="284"/>
        <v>Admin &amp; Other</v>
      </c>
      <c r="R3338" s="315" t="str">
        <f t="shared" si="285"/>
        <v>Admin &amp; OtherInsurance as % of Total Gross Profit</v>
      </c>
      <c r="S3338" s="199"/>
      <c r="T3338" s="199"/>
      <c r="U3338" s="199"/>
    </row>
    <row r="3339" spans="1:21" x14ac:dyDescent="0.25">
      <c r="A3339" t="s">
        <v>996</v>
      </c>
      <c r="B3339" t="s">
        <v>997</v>
      </c>
      <c r="C3339" t="s">
        <v>997</v>
      </c>
      <c r="D3339">
        <v>7840</v>
      </c>
      <c r="E3339">
        <v>142</v>
      </c>
      <c r="F3339" t="s">
        <v>1441</v>
      </c>
      <c r="G3339" t="s">
        <v>1442</v>
      </c>
      <c r="H3339" s="315" t="s">
        <v>1023</v>
      </c>
      <c r="I3339" s="315" t="s">
        <v>1443</v>
      </c>
      <c r="J3339" s="315" t="str">
        <f t="shared" si="281"/>
        <v>LEX Admin &amp; OtherInsurance as % of Total Gross Profit</v>
      </c>
      <c r="K3339" s="315" t="str">
        <f t="shared" si="282"/>
        <v>142Insurance expense - Lexus</v>
      </c>
      <c r="L3339" s="311">
        <f>+SUMIF('TUNZ Extracted TB'!M:M,$P3339,'TUNZ Extracted TB'!G:G)</f>
        <v>1088.33</v>
      </c>
      <c r="M3339" s="311"/>
      <c r="N3339" s="311">
        <f>+SUMIF('Input Sheet'!$AE:$AE,P3339,'Input Sheet'!$X:$X)</f>
        <v>0</v>
      </c>
      <c r="O3339" s="311"/>
      <c r="P3339" t="str">
        <f t="shared" si="283"/>
        <v>142-7840</v>
      </c>
      <c r="Q3339" s="315" t="str">
        <f t="shared" si="284"/>
        <v>LEX Admin &amp; Other</v>
      </c>
      <c r="R3339" s="315" t="str">
        <f t="shared" si="285"/>
        <v>LEX Admin &amp; OtherInsurance as % of Total Gross Profit</v>
      </c>
      <c r="S3339" s="199"/>
      <c r="T3339" s="199"/>
      <c r="U3339" s="199"/>
    </row>
    <row r="3340" spans="1:21" x14ac:dyDescent="0.25">
      <c r="A3340" t="s">
        <v>996</v>
      </c>
      <c r="B3340" t="s">
        <v>997</v>
      </c>
      <c r="C3340" t="s">
        <v>997</v>
      </c>
      <c r="D3340">
        <v>7840</v>
      </c>
      <c r="E3340">
        <v>110</v>
      </c>
      <c r="F3340" t="s">
        <v>1444</v>
      </c>
      <c r="G3340" t="s">
        <v>1445</v>
      </c>
      <c r="H3340" s="315" t="s">
        <v>1000</v>
      </c>
      <c r="I3340" s="315" t="s">
        <v>1443</v>
      </c>
      <c r="J3340" s="315" t="str">
        <f t="shared" si="281"/>
        <v>Admin &amp; OtherInsurance as % of Total Gross Profit</v>
      </c>
      <c r="K3340" s="315" t="str">
        <f t="shared" si="282"/>
        <v>110Insurance expense - Toyota</v>
      </c>
      <c r="L3340" s="311">
        <f>+SUMIF('TUNZ Extracted TB'!M:M,$P3340,'TUNZ Extracted TB'!G:G)</f>
        <v>7853.17</v>
      </c>
      <c r="M3340" s="311"/>
      <c r="N3340" s="311">
        <f>+SUMIF('Input Sheet'!$AE:$AE,P3340,'Input Sheet'!$X:$X)</f>
        <v>10187.307708018892</v>
      </c>
      <c r="O3340" s="311"/>
      <c r="P3340" t="str">
        <f t="shared" si="283"/>
        <v>110-7840</v>
      </c>
      <c r="Q3340" s="315" t="str">
        <f t="shared" si="284"/>
        <v>Admin &amp; Other</v>
      </c>
      <c r="R3340" s="315" t="str">
        <f t="shared" si="285"/>
        <v>Admin &amp; OtherInsurance as % of Total Gross Profit</v>
      </c>
      <c r="S3340" s="199"/>
      <c r="T3340" s="199"/>
      <c r="U3340" s="199"/>
    </row>
    <row r="3341" spans="1:21" x14ac:dyDescent="0.25">
      <c r="A3341" t="s">
        <v>996</v>
      </c>
      <c r="B3341" t="s">
        <v>997</v>
      </c>
      <c r="C3341" t="s">
        <v>997</v>
      </c>
      <c r="D3341">
        <v>7840</v>
      </c>
      <c r="E3341">
        <v>112</v>
      </c>
      <c r="F3341" t="s">
        <v>1441</v>
      </c>
      <c r="G3341" t="s">
        <v>1442</v>
      </c>
      <c r="H3341" s="315" t="s">
        <v>1023</v>
      </c>
      <c r="I3341" s="315" t="s">
        <v>1443</v>
      </c>
      <c r="J3341" s="315" t="str">
        <f t="shared" si="281"/>
        <v>LEX Admin &amp; OtherInsurance as % of Total Gross Profit</v>
      </c>
      <c r="K3341" s="315" t="str">
        <f t="shared" si="282"/>
        <v>112Insurance expense - Lexus</v>
      </c>
      <c r="L3341" s="311">
        <f>+SUMIF('TUNZ Extracted TB'!M:M,$P3341,'TUNZ Extracted TB'!G:G)</f>
        <v>2289.35</v>
      </c>
      <c r="M3341" s="311"/>
      <c r="N3341" s="311">
        <f>+SUMIF('Input Sheet'!$AE:$AE,P3341,'Input Sheet'!$X:$X)</f>
        <v>1368.8911751880719</v>
      </c>
      <c r="O3341" s="311"/>
      <c r="P3341" t="str">
        <f t="shared" si="283"/>
        <v>112-7840</v>
      </c>
      <c r="Q3341" s="315" t="str">
        <f t="shared" si="284"/>
        <v>LEX Admin &amp; Other</v>
      </c>
      <c r="R3341" s="315" t="str">
        <f t="shared" si="285"/>
        <v>LEX Admin &amp; OtherInsurance as % of Total Gross Profit</v>
      </c>
      <c r="S3341" s="199"/>
      <c r="T3341" s="199"/>
      <c r="U3341" s="199"/>
    </row>
    <row r="3342" spans="1:21" x14ac:dyDescent="0.25">
      <c r="A3342" t="s">
        <v>996</v>
      </c>
      <c r="B3342" t="s">
        <v>997</v>
      </c>
      <c r="C3342" t="s">
        <v>997</v>
      </c>
      <c r="D3342">
        <v>7840</v>
      </c>
      <c r="E3342">
        <v>100</v>
      </c>
      <c r="F3342" t="s">
        <v>1444</v>
      </c>
      <c r="G3342" t="s">
        <v>1445</v>
      </c>
      <c r="H3342" s="315" t="s">
        <v>1000</v>
      </c>
      <c r="I3342" s="315" t="s">
        <v>1443</v>
      </c>
      <c r="J3342" s="315" t="str">
        <f t="shared" si="281"/>
        <v>Admin &amp; OtherInsurance as % of Total Gross Profit</v>
      </c>
      <c r="K3342" s="315" t="str">
        <f t="shared" si="282"/>
        <v>100Insurance expense - Toyota</v>
      </c>
      <c r="L3342" s="311">
        <f>+SUMIF('TUNZ Extracted TB'!M:M,$P3342,'TUNZ Extracted TB'!G:G)</f>
        <v>0</v>
      </c>
      <c r="M3342" s="311"/>
      <c r="N3342" s="311">
        <f>+SUMIF('Input Sheet'!$AE:$AE,P3342,'Input Sheet'!$X:$X)</f>
        <v>0</v>
      </c>
      <c r="O3342" s="311"/>
      <c r="P3342" t="str">
        <f t="shared" si="283"/>
        <v>100-7840</v>
      </c>
      <c r="Q3342" s="315" t="str">
        <f t="shared" si="284"/>
        <v>Admin &amp; Other</v>
      </c>
      <c r="R3342" s="315" t="str">
        <f t="shared" si="285"/>
        <v>Admin &amp; OtherInsurance as % of Total Gross Profit</v>
      </c>
      <c r="S3342" s="199"/>
      <c r="T3342" s="199"/>
      <c r="U3342" s="199"/>
    </row>
    <row r="3343" spans="1:21" x14ac:dyDescent="0.25">
      <c r="A3343" t="s">
        <v>996</v>
      </c>
      <c r="B3343" t="s">
        <v>997</v>
      </c>
      <c r="C3343" t="s">
        <v>1012</v>
      </c>
      <c r="D3343">
        <v>7840</v>
      </c>
      <c r="E3343">
        <v>430</v>
      </c>
      <c r="F3343" t="s">
        <v>1444</v>
      </c>
      <c r="G3343" t="s">
        <v>1445</v>
      </c>
      <c r="H3343" s="315" t="s">
        <v>1000</v>
      </c>
      <c r="I3343" s="315" t="s">
        <v>1443</v>
      </c>
      <c r="J3343" s="315" t="str">
        <f t="shared" si="281"/>
        <v>Admin &amp; OtherInsurance as % of Total Gross Profit</v>
      </c>
      <c r="K3343" s="315" t="str">
        <f t="shared" si="282"/>
        <v>430Insurance expense - Toyota</v>
      </c>
      <c r="L3343" s="311">
        <f>+SUMIF('TUNZ Extracted TB'!M:M,$P3343,'TUNZ Extracted TB'!G:G)</f>
        <v>0.93</v>
      </c>
      <c r="M3343" s="311"/>
      <c r="N3343" s="311">
        <f>+SUMIF('Input Sheet'!$AE:$AE,P3343,'Input Sheet'!$X:$X)</f>
        <v>0</v>
      </c>
      <c r="O3343" s="311"/>
      <c r="P3343" t="str">
        <f t="shared" si="283"/>
        <v>430-7840</v>
      </c>
      <c r="Q3343" s="315" t="str">
        <f t="shared" si="284"/>
        <v>Admin &amp; Other</v>
      </c>
      <c r="R3343" s="315" t="str">
        <f t="shared" si="285"/>
        <v>Admin &amp; OtherInsurance as % of Total Gross Profit</v>
      </c>
      <c r="S3343" s="199"/>
      <c r="T3343" s="199"/>
      <c r="U3343" s="199"/>
    </row>
    <row r="3344" spans="1:21" x14ac:dyDescent="0.25">
      <c r="A3344" t="s">
        <v>996</v>
      </c>
      <c r="B3344" t="s">
        <v>997</v>
      </c>
      <c r="C3344" t="s">
        <v>1013</v>
      </c>
      <c r="D3344">
        <v>7840</v>
      </c>
      <c r="E3344">
        <v>330</v>
      </c>
      <c r="F3344" t="s">
        <v>1444</v>
      </c>
      <c r="G3344" t="s">
        <v>1445</v>
      </c>
      <c r="H3344" s="315" t="s">
        <v>1000</v>
      </c>
      <c r="I3344" s="315" t="s">
        <v>1443</v>
      </c>
      <c r="J3344" s="315" t="str">
        <f t="shared" si="281"/>
        <v>Admin &amp; OtherInsurance as % of Total Gross Profit</v>
      </c>
      <c r="K3344" s="315" t="str">
        <f t="shared" si="282"/>
        <v>330Insurance expense - Toyota</v>
      </c>
      <c r="L3344" s="311">
        <f>+SUMIF('TUNZ Extracted TB'!M:M,$P3344,'TUNZ Extracted TB'!G:G)</f>
        <v>36</v>
      </c>
      <c r="M3344" s="311"/>
      <c r="N3344" s="311">
        <f>+SUMIF('Input Sheet'!$AE:$AE,P3344,'Input Sheet'!$X:$X)</f>
        <v>0</v>
      </c>
      <c r="O3344" s="311"/>
      <c r="P3344" t="str">
        <f t="shared" si="283"/>
        <v>330-7840</v>
      </c>
      <c r="Q3344" s="315" t="str">
        <f t="shared" si="284"/>
        <v>Admin &amp; Other</v>
      </c>
      <c r="R3344" s="315" t="str">
        <f t="shared" si="285"/>
        <v>Admin &amp; OtherInsurance as % of Total Gross Profit</v>
      </c>
      <c r="S3344" s="199"/>
      <c r="T3344" s="199"/>
      <c r="U3344" s="199"/>
    </row>
    <row r="3345" spans="1:21" x14ac:dyDescent="0.25">
      <c r="A3345" t="s">
        <v>996</v>
      </c>
      <c r="B3345" t="s">
        <v>997</v>
      </c>
      <c r="C3345" t="s">
        <v>1012</v>
      </c>
      <c r="D3345">
        <v>7840</v>
      </c>
      <c r="E3345">
        <v>440</v>
      </c>
      <c r="F3345" t="s">
        <v>1444</v>
      </c>
      <c r="G3345" t="s">
        <v>1445</v>
      </c>
      <c r="H3345" s="315" t="s">
        <v>1000</v>
      </c>
      <c r="I3345" s="315" t="s">
        <v>1443</v>
      </c>
      <c r="J3345" s="315" t="str">
        <f t="shared" si="281"/>
        <v>Admin &amp; OtherInsurance as % of Total Gross Profit</v>
      </c>
      <c r="K3345" s="315" t="str">
        <f t="shared" si="282"/>
        <v>440Insurance expense - Toyota</v>
      </c>
      <c r="L3345" s="311">
        <f>+SUMIF('TUNZ Extracted TB'!M:M,$P3345,'TUNZ Extracted TB'!G:G)</f>
        <v>1.85</v>
      </c>
      <c r="M3345" s="311"/>
      <c r="N3345" s="311">
        <f>+SUMIF('Input Sheet'!$AE:$AE,P3345,'Input Sheet'!$X:$X)</f>
        <v>0</v>
      </c>
      <c r="O3345" s="311"/>
      <c r="P3345" t="str">
        <f t="shared" si="283"/>
        <v>440-7840</v>
      </c>
      <c r="Q3345" s="315" t="str">
        <f t="shared" si="284"/>
        <v>Admin &amp; Other</v>
      </c>
      <c r="R3345" s="315" t="str">
        <f t="shared" si="285"/>
        <v>Admin &amp; OtherInsurance as % of Total Gross Profit</v>
      </c>
      <c r="S3345" s="199"/>
      <c r="T3345" s="199"/>
      <c r="U3345" s="199"/>
    </row>
    <row r="3346" spans="1:21" x14ac:dyDescent="0.25">
      <c r="A3346" s="316">
        <v>44866</v>
      </c>
      <c r="B3346" t="s">
        <v>997</v>
      </c>
      <c r="C3346" t="s">
        <v>997</v>
      </c>
      <c r="D3346">
        <v>7845</v>
      </c>
      <c r="E3346">
        <v>190</v>
      </c>
      <c r="G3346" t="s">
        <v>980</v>
      </c>
      <c r="H3346" s="315" t="s">
        <v>1000</v>
      </c>
      <c r="I3346" s="315" t="s">
        <v>1443</v>
      </c>
      <c r="J3346" s="315" t="str">
        <f t="shared" si="281"/>
        <v>Admin &amp; OtherInsurance as % of Total Gross Profit</v>
      </c>
      <c r="K3346" s="315" t="str">
        <f t="shared" si="282"/>
        <v>190Uninsured Losses</v>
      </c>
      <c r="L3346" s="311">
        <f>+SUMIF('TUNZ Extracted TB'!M:M,$P3346,'TUNZ Extracted TB'!G:G)</f>
        <v>0</v>
      </c>
      <c r="M3346" s="311"/>
      <c r="N3346" s="311">
        <f>+SUMIF('Input Sheet'!$AE:$AE,P3346,'Input Sheet'!$X:$X)</f>
        <v>0</v>
      </c>
      <c r="O3346" s="311"/>
      <c r="P3346" t="str">
        <f t="shared" si="283"/>
        <v>190-7845</v>
      </c>
      <c r="Q3346" s="315" t="str">
        <f t="shared" si="284"/>
        <v>Admin &amp; Other</v>
      </c>
      <c r="R3346" s="315" t="str">
        <f t="shared" si="285"/>
        <v>Admin &amp; OtherInsurance as % of Total Gross Profit</v>
      </c>
      <c r="S3346" s="199"/>
      <c r="T3346" s="199"/>
      <c r="U3346" s="199"/>
    </row>
    <row r="3347" spans="1:21" x14ac:dyDescent="0.25">
      <c r="A3347" t="s">
        <v>996</v>
      </c>
      <c r="B3347" t="s">
        <v>997</v>
      </c>
      <c r="C3347" t="s">
        <v>997</v>
      </c>
      <c r="D3347">
        <v>7845</v>
      </c>
      <c r="E3347">
        <v>122</v>
      </c>
      <c r="F3347" t="s">
        <v>1441</v>
      </c>
      <c r="G3347" t="s">
        <v>1442</v>
      </c>
      <c r="H3347" s="315" t="s">
        <v>1023</v>
      </c>
      <c r="I3347" s="315" t="s">
        <v>1443</v>
      </c>
      <c r="J3347" s="315" t="str">
        <f t="shared" si="281"/>
        <v>LEX Admin &amp; OtherInsurance as % of Total Gross Profit</v>
      </c>
      <c r="K3347" s="315" t="str">
        <f t="shared" si="282"/>
        <v>122Insurance expense - Lexus</v>
      </c>
      <c r="L3347" s="311">
        <f>+SUMIF('TUNZ Extracted TB'!M:M,$P3347,'TUNZ Extracted TB'!G:G)</f>
        <v>0</v>
      </c>
      <c r="M3347" s="311"/>
      <c r="N3347" s="311">
        <f>+SUMIF('Input Sheet'!$AE:$AE,P3347,'Input Sheet'!$X:$X)</f>
        <v>0</v>
      </c>
      <c r="O3347" s="311"/>
      <c r="P3347" t="str">
        <f t="shared" si="283"/>
        <v>122-7845</v>
      </c>
      <c r="Q3347" s="315" t="str">
        <f t="shared" si="284"/>
        <v>LEX Admin &amp; Other</v>
      </c>
      <c r="R3347" s="315" t="str">
        <f t="shared" si="285"/>
        <v>LEX Admin &amp; OtherInsurance as % of Total Gross Profit</v>
      </c>
      <c r="S3347" s="199"/>
      <c r="T3347" s="199"/>
      <c r="U3347" s="199"/>
    </row>
    <row r="3348" spans="1:21" x14ac:dyDescent="0.25">
      <c r="A3348" t="s">
        <v>996</v>
      </c>
      <c r="B3348" t="s">
        <v>997</v>
      </c>
      <c r="C3348" t="s">
        <v>997</v>
      </c>
      <c r="D3348">
        <v>7845</v>
      </c>
      <c r="E3348">
        <v>162</v>
      </c>
      <c r="F3348" t="s">
        <v>1441</v>
      </c>
      <c r="G3348" t="s">
        <v>1442</v>
      </c>
      <c r="H3348" s="315" t="s">
        <v>1023</v>
      </c>
      <c r="I3348" s="315" t="s">
        <v>1443</v>
      </c>
      <c r="J3348" s="315" t="str">
        <f t="shared" si="281"/>
        <v>LEX Admin &amp; OtherInsurance as % of Total Gross Profit</v>
      </c>
      <c r="K3348" s="315" t="str">
        <f t="shared" si="282"/>
        <v>162Insurance expense - Lexus</v>
      </c>
      <c r="L3348" s="311">
        <f>+SUMIF('TUNZ Extracted TB'!M:M,$P3348,'TUNZ Extracted TB'!G:G)</f>
        <v>0</v>
      </c>
      <c r="M3348" s="311"/>
      <c r="N3348" s="311">
        <f>+SUMIF('Input Sheet'!$AE:$AE,P3348,'Input Sheet'!$X:$X)</f>
        <v>0</v>
      </c>
      <c r="O3348" s="311"/>
      <c r="P3348" t="str">
        <f t="shared" si="283"/>
        <v>162-7845</v>
      </c>
      <c r="Q3348" s="315" t="str">
        <f t="shared" si="284"/>
        <v>LEX Admin &amp; Other</v>
      </c>
      <c r="R3348" s="315" t="str">
        <f t="shared" si="285"/>
        <v>LEX Admin &amp; OtherInsurance as % of Total Gross Profit</v>
      </c>
      <c r="S3348" s="199"/>
      <c r="T3348" s="199"/>
      <c r="U3348" s="199"/>
    </row>
    <row r="3349" spans="1:21" x14ac:dyDescent="0.25">
      <c r="A3349" t="s">
        <v>996</v>
      </c>
      <c r="B3349" t="s">
        <v>997</v>
      </c>
      <c r="C3349" t="s">
        <v>1005</v>
      </c>
      <c r="D3349">
        <v>7845</v>
      </c>
      <c r="E3349">
        <v>210</v>
      </c>
      <c r="F3349" t="s">
        <v>1444</v>
      </c>
      <c r="G3349" t="s">
        <v>1445</v>
      </c>
      <c r="H3349" s="315" t="s">
        <v>1000</v>
      </c>
      <c r="I3349" s="315" t="s">
        <v>1443</v>
      </c>
      <c r="J3349" s="315" t="str">
        <f t="shared" si="281"/>
        <v>Admin &amp; OtherInsurance as % of Total Gross Profit</v>
      </c>
      <c r="K3349" s="315" t="str">
        <f t="shared" si="282"/>
        <v>210Insurance expense - Toyota</v>
      </c>
      <c r="L3349" s="311">
        <f>+SUMIF('TUNZ Extracted TB'!M:M,$P3349,'TUNZ Extracted TB'!G:G)</f>
        <v>0</v>
      </c>
      <c r="M3349" s="311"/>
      <c r="N3349" s="311">
        <f>+SUMIF('Input Sheet'!$AE:$AE,P3349,'Input Sheet'!$X:$X)</f>
        <v>0</v>
      </c>
      <c r="O3349" s="311"/>
      <c r="P3349" t="str">
        <f t="shared" si="283"/>
        <v>210-7845</v>
      </c>
      <c r="Q3349" s="315" t="str">
        <f t="shared" si="284"/>
        <v>Admin &amp; Other</v>
      </c>
      <c r="R3349" s="315" t="str">
        <f t="shared" si="285"/>
        <v>Admin &amp; OtherInsurance as % of Total Gross Profit</v>
      </c>
      <c r="S3349" s="199"/>
      <c r="T3349" s="199"/>
      <c r="U3349" s="199"/>
    </row>
    <row r="3350" spans="1:21" x14ac:dyDescent="0.25">
      <c r="A3350" t="s">
        <v>996</v>
      </c>
      <c r="B3350" t="s">
        <v>997</v>
      </c>
      <c r="C3350" t="s">
        <v>997</v>
      </c>
      <c r="D3350">
        <v>7845</v>
      </c>
      <c r="E3350">
        <v>120</v>
      </c>
      <c r="F3350" t="s">
        <v>1444</v>
      </c>
      <c r="G3350" t="s">
        <v>1445</v>
      </c>
      <c r="H3350" s="315" t="s">
        <v>1000</v>
      </c>
      <c r="I3350" s="315" t="s">
        <v>1443</v>
      </c>
      <c r="J3350" s="315" t="str">
        <f t="shared" si="281"/>
        <v>Admin &amp; OtherInsurance as % of Total Gross Profit</v>
      </c>
      <c r="K3350" s="315" t="str">
        <f t="shared" si="282"/>
        <v>120Insurance expense - Toyota</v>
      </c>
      <c r="L3350" s="311">
        <f>+SUMIF('TUNZ Extracted TB'!M:M,$P3350,'TUNZ Extracted TB'!G:G)</f>
        <v>0</v>
      </c>
      <c r="M3350" s="311"/>
      <c r="N3350" s="311">
        <f>+SUMIF('Input Sheet'!$AE:$AE,P3350,'Input Sheet'!$X:$X)</f>
        <v>0</v>
      </c>
      <c r="O3350" s="311"/>
      <c r="P3350" t="str">
        <f t="shared" si="283"/>
        <v>120-7845</v>
      </c>
      <c r="Q3350" s="315" t="str">
        <f t="shared" si="284"/>
        <v>Admin &amp; Other</v>
      </c>
      <c r="R3350" s="315" t="str">
        <f t="shared" si="285"/>
        <v>Admin &amp; OtherInsurance as % of Total Gross Profit</v>
      </c>
      <c r="S3350" s="199"/>
      <c r="T3350" s="199"/>
      <c r="U3350" s="199"/>
    </row>
    <row r="3351" spans="1:21" x14ac:dyDescent="0.25">
      <c r="A3351" t="s">
        <v>996</v>
      </c>
      <c r="B3351" t="s">
        <v>997</v>
      </c>
      <c r="C3351" t="s">
        <v>1005</v>
      </c>
      <c r="D3351">
        <v>7845</v>
      </c>
      <c r="E3351">
        <v>220</v>
      </c>
      <c r="F3351" t="s">
        <v>1444</v>
      </c>
      <c r="G3351" t="s">
        <v>1445</v>
      </c>
      <c r="H3351" s="315" t="s">
        <v>1000</v>
      </c>
      <c r="I3351" s="315" t="s">
        <v>1443</v>
      </c>
      <c r="J3351" s="315" t="str">
        <f t="shared" si="281"/>
        <v>Admin &amp; OtherInsurance as % of Total Gross Profit</v>
      </c>
      <c r="K3351" s="315" t="str">
        <f t="shared" si="282"/>
        <v>220Insurance expense - Toyota</v>
      </c>
      <c r="L3351" s="311">
        <f>+SUMIF('TUNZ Extracted TB'!M:M,$P3351,'TUNZ Extracted TB'!G:G)</f>
        <v>0</v>
      </c>
      <c r="M3351" s="311"/>
      <c r="N3351" s="311">
        <f>+SUMIF('Input Sheet'!$AE:$AE,P3351,'Input Sheet'!$X:$X)</f>
        <v>0</v>
      </c>
      <c r="O3351" s="311"/>
      <c r="P3351" t="str">
        <f t="shared" si="283"/>
        <v>220-7845</v>
      </c>
      <c r="Q3351" s="315" t="str">
        <f t="shared" si="284"/>
        <v>Admin &amp; Other</v>
      </c>
      <c r="R3351" s="315" t="str">
        <f t="shared" si="285"/>
        <v>Admin &amp; OtherInsurance as % of Total Gross Profit</v>
      </c>
      <c r="S3351" s="199"/>
      <c r="T3351" s="199"/>
      <c r="U3351" s="199"/>
    </row>
    <row r="3352" spans="1:21" x14ac:dyDescent="0.25">
      <c r="A3352" t="s">
        <v>996</v>
      </c>
      <c r="B3352" t="s">
        <v>997</v>
      </c>
      <c r="C3352" t="s">
        <v>1005</v>
      </c>
      <c r="D3352">
        <v>7845</v>
      </c>
      <c r="E3352">
        <v>230</v>
      </c>
      <c r="F3352" t="s">
        <v>1444</v>
      </c>
      <c r="G3352" t="s">
        <v>1445</v>
      </c>
      <c r="H3352" s="315" t="s">
        <v>1000</v>
      </c>
      <c r="I3352" s="315" t="s">
        <v>1443</v>
      </c>
      <c r="J3352" s="315" t="str">
        <f t="shared" si="281"/>
        <v>Admin &amp; OtherInsurance as % of Total Gross Profit</v>
      </c>
      <c r="K3352" s="315" t="str">
        <f t="shared" si="282"/>
        <v>230Insurance expense - Toyota</v>
      </c>
      <c r="L3352" s="311">
        <f>+SUMIF('TUNZ Extracted TB'!M:M,$P3352,'TUNZ Extracted TB'!G:G)</f>
        <v>0</v>
      </c>
      <c r="M3352" s="311"/>
      <c r="N3352" s="311">
        <f>+SUMIF('Input Sheet'!$AE:$AE,P3352,'Input Sheet'!$X:$X)</f>
        <v>0</v>
      </c>
      <c r="O3352" s="311"/>
      <c r="P3352" t="str">
        <f t="shared" si="283"/>
        <v>230-7845</v>
      </c>
      <c r="Q3352" s="315" t="str">
        <f t="shared" si="284"/>
        <v>Admin &amp; Other</v>
      </c>
      <c r="R3352" s="315" t="str">
        <f t="shared" si="285"/>
        <v>Admin &amp; OtherInsurance as % of Total Gross Profit</v>
      </c>
      <c r="S3352" s="199"/>
      <c r="T3352" s="199"/>
      <c r="U3352" s="199"/>
    </row>
    <row r="3353" spans="1:21" x14ac:dyDescent="0.25">
      <c r="A3353" t="s">
        <v>996</v>
      </c>
      <c r="B3353" t="s">
        <v>997</v>
      </c>
      <c r="C3353" t="s">
        <v>997</v>
      </c>
      <c r="D3353">
        <v>7845</v>
      </c>
      <c r="E3353">
        <v>121</v>
      </c>
      <c r="F3353" t="s">
        <v>1444</v>
      </c>
      <c r="G3353" t="s">
        <v>1445</v>
      </c>
      <c r="H3353" s="315" t="s">
        <v>1000</v>
      </c>
      <c r="I3353" s="315" t="s">
        <v>1443</v>
      </c>
      <c r="J3353" s="315" t="str">
        <f t="shared" si="281"/>
        <v>Admin &amp; OtherInsurance as % of Total Gross Profit</v>
      </c>
      <c r="K3353" s="315" t="str">
        <f t="shared" si="282"/>
        <v>121Insurance expense - Toyota</v>
      </c>
      <c r="L3353" s="311">
        <f>+SUMIF('TUNZ Extracted TB'!M:M,$P3353,'TUNZ Extracted TB'!G:G)</f>
        <v>0</v>
      </c>
      <c r="M3353" s="311"/>
      <c r="N3353" s="311">
        <f>+SUMIF('Input Sheet'!$AE:$AE,P3353,'Input Sheet'!$X:$X)</f>
        <v>0</v>
      </c>
      <c r="O3353" s="311"/>
      <c r="P3353" t="str">
        <f t="shared" si="283"/>
        <v>121-7845</v>
      </c>
      <c r="Q3353" s="315" t="str">
        <f t="shared" si="284"/>
        <v>Admin &amp; Other</v>
      </c>
      <c r="R3353" s="315" t="str">
        <f t="shared" si="285"/>
        <v>Admin &amp; OtherInsurance as % of Total Gross Profit</v>
      </c>
      <c r="S3353" s="199"/>
      <c r="T3353" s="199"/>
      <c r="U3353" s="199"/>
    </row>
    <row r="3354" spans="1:21" x14ac:dyDescent="0.25">
      <c r="A3354" t="s">
        <v>996</v>
      </c>
      <c r="B3354" t="s">
        <v>997</v>
      </c>
      <c r="C3354" t="s">
        <v>997</v>
      </c>
      <c r="D3354">
        <v>7845</v>
      </c>
      <c r="E3354">
        <v>147</v>
      </c>
      <c r="F3354" t="s">
        <v>1444</v>
      </c>
      <c r="G3354" t="s">
        <v>1445</v>
      </c>
      <c r="H3354" s="315" t="s">
        <v>1000</v>
      </c>
      <c r="I3354" s="315" t="s">
        <v>1443</v>
      </c>
      <c r="J3354" s="315" t="str">
        <f t="shared" si="281"/>
        <v>Admin &amp; OtherInsurance as % of Total Gross Profit</v>
      </c>
      <c r="K3354" s="315" t="str">
        <f t="shared" si="282"/>
        <v>147Insurance expense - Toyota</v>
      </c>
      <c r="L3354" s="311">
        <f>+SUMIF('TUNZ Extracted TB'!M:M,$P3354,'TUNZ Extracted TB'!G:G)</f>
        <v>0</v>
      </c>
      <c r="M3354" s="311"/>
      <c r="N3354" s="311">
        <f>+SUMIF('Input Sheet'!$AE:$AE,P3354,'Input Sheet'!$X:$X)</f>
        <v>0</v>
      </c>
      <c r="O3354" s="311"/>
      <c r="P3354" t="str">
        <f t="shared" si="283"/>
        <v>147-7845</v>
      </c>
      <c r="Q3354" s="315" t="str">
        <f t="shared" si="284"/>
        <v>Admin &amp; Other</v>
      </c>
      <c r="R3354" s="315" t="str">
        <f t="shared" si="285"/>
        <v>Admin &amp; OtherInsurance as % of Total Gross Profit</v>
      </c>
      <c r="S3354" s="199"/>
      <c r="T3354" s="199"/>
      <c r="U3354" s="199"/>
    </row>
    <row r="3355" spans="1:21" x14ac:dyDescent="0.25">
      <c r="A3355" t="s">
        <v>996</v>
      </c>
      <c r="B3355" t="s">
        <v>997</v>
      </c>
      <c r="C3355" t="s">
        <v>1013</v>
      </c>
      <c r="D3355">
        <v>7845</v>
      </c>
      <c r="E3355">
        <v>340</v>
      </c>
      <c r="F3355" t="s">
        <v>1444</v>
      </c>
      <c r="G3355" t="s">
        <v>1445</v>
      </c>
      <c r="H3355" s="315" t="s">
        <v>1000</v>
      </c>
      <c r="I3355" s="315" t="s">
        <v>1443</v>
      </c>
      <c r="J3355" s="315" t="str">
        <f t="shared" si="281"/>
        <v>Admin &amp; OtherInsurance as % of Total Gross Profit</v>
      </c>
      <c r="K3355" s="315" t="str">
        <f t="shared" si="282"/>
        <v>340Insurance expense - Toyota</v>
      </c>
      <c r="L3355" s="311">
        <f>+SUMIF('TUNZ Extracted TB'!M:M,$P3355,'TUNZ Extracted TB'!G:G)</f>
        <v>0</v>
      </c>
      <c r="M3355" s="311"/>
      <c r="N3355" s="311">
        <f>+SUMIF('Input Sheet'!$AE:$AE,P3355,'Input Sheet'!$X:$X)</f>
        <v>0</v>
      </c>
      <c r="O3355" s="311"/>
      <c r="P3355" t="str">
        <f t="shared" si="283"/>
        <v>340-7845</v>
      </c>
      <c r="Q3355" s="315" t="str">
        <f t="shared" si="284"/>
        <v>Admin &amp; Other</v>
      </c>
      <c r="R3355" s="315" t="str">
        <f t="shared" si="285"/>
        <v>Admin &amp; OtherInsurance as % of Total Gross Profit</v>
      </c>
      <c r="S3355" s="199"/>
      <c r="T3355" s="199"/>
      <c r="U3355" s="199"/>
    </row>
    <row r="3356" spans="1:21" x14ac:dyDescent="0.25">
      <c r="A3356" t="s">
        <v>996</v>
      </c>
      <c r="B3356" t="s">
        <v>997</v>
      </c>
      <c r="C3356" t="s">
        <v>1005</v>
      </c>
      <c r="D3356">
        <v>7845</v>
      </c>
      <c r="E3356">
        <v>200</v>
      </c>
      <c r="F3356" t="s">
        <v>1444</v>
      </c>
      <c r="G3356" t="s">
        <v>1445</v>
      </c>
      <c r="H3356" s="315" t="s">
        <v>1000</v>
      </c>
      <c r="I3356" s="315" t="s">
        <v>1443</v>
      </c>
      <c r="J3356" s="315" t="str">
        <f t="shared" si="281"/>
        <v>Admin &amp; OtherInsurance as % of Total Gross Profit</v>
      </c>
      <c r="K3356" s="315" t="str">
        <f t="shared" si="282"/>
        <v>200Insurance expense - Toyota</v>
      </c>
      <c r="L3356" s="311">
        <f>+SUMIF('TUNZ Extracted TB'!M:M,$P3356,'TUNZ Extracted TB'!G:G)</f>
        <v>0</v>
      </c>
      <c r="M3356" s="311"/>
      <c r="N3356" s="311">
        <f>+SUMIF('Input Sheet'!$AE:$AE,P3356,'Input Sheet'!$X:$X)</f>
        <v>0</v>
      </c>
      <c r="O3356" s="311"/>
      <c r="P3356" t="str">
        <f t="shared" si="283"/>
        <v>200-7845</v>
      </c>
      <c r="Q3356" s="315" t="str">
        <f t="shared" si="284"/>
        <v>Admin &amp; Other</v>
      </c>
      <c r="R3356" s="315" t="str">
        <f t="shared" si="285"/>
        <v>Admin &amp; OtherInsurance as % of Total Gross Profit</v>
      </c>
      <c r="S3356" s="199"/>
      <c r="T3356" s="199"/>
      <c r="U3356" s="199"/>
    </row>
    <row r="3357" spans="1:21" x14ac:dyDescent="0.25">
      <c r="A3357" t="s">
        <v>996</v>
      </c>
      <c r="B3357" t="s">
        <v>997</v>
      </c>
      <c r="C3357" t="s">
        <v>1005</v>
      </c>
      <c r="D3357">
        <v>7845</v>
      </c>
      <c r="E3357">
        <v>221</v>
      </c>
      <c r="F3357" t="s">
        <v>1444</v>
      </c>
      <c r="G3357" t="s">
        <v>1445</v>
      </c>
      <c r="H3357" s="315" t="s">
        <v>1000</v>
      </c>
      <c r="I3357" s="315" t="s">
        <v>1443</v>
      </c>
      <c r="J3357" s="315" t="str">
        <f t="shared" si="281"/>
        <v>Admin &amp; OtherInsurance as % of Total Gross Profit</v>
      </c>
      <c r="K3357" s="315" t="str">
        <f t="shared" si="282"/>
        <v>221Insurance expense - Toyota</v>
      </c>
      <c r="L3357" s="311">
        <f>+SUMIF('TUNZ Extracted TB'!M:M,$P3357,'TUNZ Extracted TB'!G:G)</f>
        <v>0</v>
      </c>
      <c r="M3357" s="311"/>
      <c r="N3357" s="311">
        <f>+SUMIF('Input Sheet'!$AE:$AE,P3357,'Input Sheet'!$X:$X)</f>
        <v>0</v>
      </c>
      <c r="O3357" s="311"/>
      <c r="P3357" t="str">
        <f t="shared" si="283"/>
        <v>221-7845</v>
      </c>
      <c r="Q3357" s="315" t="str">
        <f t="shared" si="284"/>
        <v>Admin &amp; Other</v>
      </c>
      <c r="R3357" s="315" t="str">
        <f t="shared" si="285"/>
        <v>Admin &amp; OtherInsurance as % of Total Gross Profit</v>
      </c>
      <c r="S3357" s="199"/>
      <c r="T3357" s="199"/>
      <c r="U3357" s="199"/>
    </row>
    <row r="3358" spans="1:21" x14ac:dyDescent="0.25">
      <c r="A3358" t="s">
        <v>996</v>
      </c>
      <c r="B3358" t="s">
        <v>997</v>
      </c>
      <c r="C3358" t="s">
        <v>1005</v>
      </c>
      <c r="D3358">
        <v>7845</v>
      </c>
      <c r="E3358">
        <v>260</v>
      </c>
      <c r="F3358" t="s">
        <v>1444</v>
      </c>
      <c r="G3358" t="s">
        <v>1445</v>
      </c>
      <c r="H3358" s="315" t="s">
        <v>1000</v>
      </c>
      <c r="I3358" s="315" t="s">
        <v>1443</v>
      </c>
      <c r="J3358" s="315" t="str">
        <f t="shared" si="281"/>
        <v>Admin &amp; OtherInsurance as % of Total Gross Profit</v>
      </c>
      <c r="K3358" s="315" t="str">
        <f t="shared" si="282"/>
        <v>260Insurance expense - Toyota</v>
      </c>
      <c r="L3358" s="311">
        <f>+SUMIF('TUNZ Extracted TB'!M:M,$P3358,'TUNZ Extracted TB'!G:G)</f>
        <v>0</v>
      </c>
      <c r="M3358" s="311"/>
      <c r="N3358" s="311">
        <f>+SUMIF('Input Sheet'!$AE:$AE,P3358,'Input Sheet'!$X:$X)</f>
        <v>0</v>
      </c>
      <c r="O3358" s="311"/>
      <c r="P3358" t="str">
        <f t="shared" si="283"/>
        <v>260-7845</v>
      </c>
      <c r="Q3358" s="315" t="str">
        <f t="shared" si="284"/>
        <v>Admin &amp; Other</v>
      </c>
      <c r="R3358" s="315" t="str">
        <f t="shared" si="285"/>
        <v>Admin &amp; OtherInsurance as % of Total Gross Profit</v>
      </c>
      <c r="S3358" s="199"/>
      <c r="T3358" s="199"/>
      <c r="U3358" s="199"/>
    </row>
    <row r="3359" spans="1:21" x14ac:dyDescent="0.25">
      <c r="A3359" t="s">
        <v>996</v>
      </c>
      <c r="B3359" t="s">
        <v>997</v>
      </c>
      <c r="C3359" t="s">
        <v>1012</v>
      </c>
      <c r="D3359">
        <v>7845</v>
      </c>
      <c r="E3359">
        <v>400</v>
      </c>
      <c r="F3359" t="s">
        <v>1444</v>
      </c>
      <c r="G3359" t="s">
        <v>1445</v>
      </c>
      <c r="H3359" s="315" t="s">
        <v>1000</v>
      </c>
      <c r="I3359" s="315" t="s">
        <v>1443</v>
      </c>
      <c r="J3359" s="315" t="str">
        <f t="shared" si="281"/>
        <v>Admin &amp; OtherInsurance as % of Total Gross Profit</v>
      </c>
      <c r="K3359" s="315" t="str">
        <f t="shared" si="282"/>
        <v>400Insurance expense - Toyota</v>
      </c>
      <c r="L3359" s="311">
        <f>+SUMIF('TUNZ Extracted TB'!M:M,$P3359,'TUNZ Extracted TB'!G:G)</f>
        <v>0</v>
      </c>
      <c r="M3359" s="311"/>
      <c r="N3359" s="311">
        <f>+SUMIF('Input Sheet'!$AE:$AE,P3359,'Input Sheet'!$X:$X)</f>
        <v>0</v>
      </c>
      <c r="O3359" s="311"/>
      <c r="P3359" t="str">
        <f t="shared" si="283"/>
        <v>400-7845</v>
      </c>
      <c r="Q3359" s="315" t="str">
        <f t="shared" si="284"/>
        <v>Admin &amp; Other</v>
      </c>
      <c r="R3359" s="315" t="str">
        <f t="shared" si="285"/>
        <v>Admin &amp; OtherInsurance as % of Total Gross Profit</v>
      </c>
      <c r="S3359" s="199"/>
      <c r="T3359" s="199"/>
      <c r="U3359" s="199"/>
    </row>
    <row r="3360" spans="1:21" x14ac:dyDescent="0.25">
      <c r="A3360" t="s">
        <v>996</v>
      </c>
      <c r="B3360" t="s">
        <v>997</v>
      </c>
      <c r="C3360" t="s">
        <v>1012</v>
      </c>
      <c r="D3360">
        <v>7845</v>
      </c>
      <c r="E3360">
        <v>410</v>
      </c>
      <c r="F3360" t="s">
        <v>1444</v>
      </c>
      <c r="G3360" t="s">
        <v>1445</v>
      </c>
      <c r="H3360" s="315" t="s">
        <v>1000</v>
      </c>
      <c r="I3360" s="315" t="s">
        <v>1443</v>
      </c>
      <c r="J3360" s="315" t="str">
        <f t="shared" si="281"/>
        <v>Admin &amp; OtherInsurance as % of Total Gross Profit</v>
      </c>
      <c r="K3360" s="315" t="str">
        <f t="shared" si="282"/>
        <v>410Insurance expense - Toyota</v>
      </c>
      <c r="L3360" s="311">
        <f>+SUMIF('TUNZ Extracted TB'!M:M,$P3360,'TUNZ Extracted TB'!G:G)</f>
        <v>0</v>
      </c>
      <c r="M3360" s="311"/>
      <c r="N3360" s="311">
        <f>+SUMIF('Input Sheet'!$AE:$AE,P3360,'Input Sheet'!$X:$X)</f>
        <v>0</v>
      </c>
      <c r="O3360" s="311"/>
      <c r="P3360" t="str">
        <f t="shared" si="283"/>
        <v>410-7845</v>
      </c>
      <c r="Q3360" s="315" t="str">
        <f t="shared" si="284"/>
        <v>Admin &amp; Other</v>
      </c>
      <c r="R3360" s="315" t="str">
        <f t="shared" si="285"/>
        <v>Admin &amp; OtherInsurance as % of Total Gross Profit</v>
      </c>
      <c r="S3360" s="199"/>
      <c r="T3360" s="199"/>
      <c r="U3360" s="199"/>
    </row>
    <row r="3361" spans="1:21" x14ac:dyDescent="0.25">
      <c r="A3361" t="s">
        <v>996</v>
      </c>
      <c r="B3361" t="s">
        <v>997</v>
      </c>
      <c r="C3361" t="s">
        <v>1012</v>
      </c>
      <c r="D3361">
        <v>7845</v>
      </c>
      <c r="E3361">
        <v>420</v>
      </c>
      <c r="F3361" t="s">
        <v>1444</v>
      </c>
      <c r="G3361" t="s">
        <v>1445</v>
      </c>
      <c r="H3361" s="315" t="s">
        <v>1000</v>
      </c>
      <c r="I3361" s="315" t="s">
        <v>1443</v>
      </c>
      <c r="J3361" s="315" t="str">
        <f t="shared" si="281"/>
        <v>Admin &amp; OtherInsurance as % of Total Gross Profit</v>
      </c>
      <c r="K3361" s="315" t="str">
        <f t="shared" si="282"/>
        <v>420Insurance expense - Toyota</v>
      </c>
      <c r="L3361" s="311">
        <f>+SUMIF('TUNZ Extracted TB'!M:M,$P3361,'TUNZ Extracted TB'!G:G)</f>
        <v>0</v>
      </c>
      <c r="M3361" s="311"/>
      <c r="N3361" s="311">
        <f>+SUMIF('Input Sheet'!$AE:$AE,P3361,'Input Sheet'!$X:$X)</f>
        <v>0</v>
      </c>
      <c r="O3361" s="311"/>
      <c r="P3361" t="str">
        <f t="shared" si="283"/>
        <v>420-7845</v>
      </c>
      <c r="Q3361" s="315" t="str">
        <f t="shared" si="284"/>
        <v>Admin &amp; Other</v>
      </c>
      <c r="R3361" s="315" t="str">
        <f t="shared" si="285"/>
        <v>Admin &amp; OtherInsurance as % of Total Gross Profit</v>
      </c>
      <c r="S3361" s="199"/>
      <c r="T3361" s="199"/>
      <c r="U3361" s="199"/>
    </row>
    <row r="3362" spans="1:21" x14ac:dyDescent="0.25">
      <c r="A3362" t="s">
        <v>996</v>
      </c>
      <c r="B3362" t="s">
        <v>997</v>
      </c>
      <c r="C3362" t="s">
        <v>1012</v>
      </c>
      <c r="D3362">
        <v>7845</v>
      </c>
      <c r="E3362">
        <v>421</v>
      </c>
      <c r="F3362" t="s">
        <v>1444</v>
      </c>
      <c r="G3362" t="s">
        <v>1445</v>
      </c>
      <c r="H3362" s="315" t="s">
        <v>1000</v>
      </c>
      <c r="I3362" s="315" t="s">
        <v>1443</v>
      </c>
      <c r="J3362" s="315" t="str">
        <f t="shared" si="281"/>
        <v>Admin &amp; OtherInsurance as % of Total Gross Profit</v>
      </c>
      <c r="K3362" s="315" t="str">
        <f t="shared" si="282"/>
        <v>421Insurance expense - Toyota</v>
      </c>
      <c r="L3362" s="311">
        <f>+SUMIF('TUNZ Extracted TB'!M:M,$P3362,'TUNZ Extracted TB'!G:G)</f>
        <v>0</v>
      </c>
      <c r="M3362" s="311"/>
      <c r="N3362" s="311">
        <f>+SUMIF('Input Sheet'!$AE:$AE,P3362,'Input Sheet'!$X:$X)</f>
        <v>0</v>
      </c>
      <c r="O3362" s="311"/>
      <c r="P3362" t="str">
        <f t="shared" si="283"/>
        <v>421-7845</v>
      </c>
      <c r="Q3362" s="315" t="str">
        <f t="shared" si="284"/>
        <v>Admin &amp; Other</v>
      </c>
      <c r="R3362" s="315" t="str">
        <f t="shared" si="285"/>
        <v>Admin &amp; OtherInsurance as % of Total Gross Profit</v>
      </c>
      <c r="S3362" s="199"/>
      <c r="T3362" s="199"/>
      <c r="U3362" s="199"/>
    </row>
    <row r="3363" spans="1:21" x14ac:dyDescent="0.25">
      <c r="A3363" t="s">
        <v>996</v>
      </c>
      <c r="B3363" t="s">
        <v>997</v>
      </c>
      <c r="C3363" t="s">
        <v>1012</v>
      </c>
      <c r="D3363">
        <v>7845</v>
      </c>
      <c r="E3363">
        <v>430</v>
      </c>
      <c r="F3363" t="s">
        <v>1444</v>
      </c>
      <c r="G3363" t="s">
        <v>1445</v>
      </c>
      <c r="H3363" s="315" t="s">
        <v>1000</v>
      </c>
      <c r="I3363" s="315" t="s">
        <v>1443</v>
      </c>
      <c r="J3363" s="315" t="str">
        <f t="shared" si="281"/>
        <v>Admin &amp; OtherInsurance as % of Total Gross Profit</v>
      </c>
      <c r="K3363" s="315" t="str">
        <f t="shared" si="282"/>
        <v>430Insurance expense - Toyota</v>
      </c>
      <c r="L3363" s="311">
        <f>+SUMIF('TUNZ Extracted TB'!M:M,$P3363,'TUNZ Extracted TB'!G:G)</f>
        <v>0</v>
      </c>
      <c r="M3363" s="311"/>
      <c r="N3363" s="311">
        <f>+SUMIF('Input Sheet'!$AE:$AE,P3363,'Input Sheet'!$X:$X)</f>
        <v>0</v>
      </c>
      <c r="O3363" s="311"/>
      <c r="P3363" t="str">
        <f t="shared" si="283"/>
        <v>430-7845</v>
      </c>
      <c r="Q3363" s="315" t="str">
        <f t="shared" si="284"/>
        <v>Admin &amp; Other</v>
      </c>
      <c r="R3363" s="315" t="str">
        <f t="shared" si="285"/>
        <v>Admin &amp; OtherInsurance as % of Total Gross Profit</v>
      </c>
      <c r="S3363" s="199"/>
      <c r="T3363" s="199"/>
      <c r="U3363" s="199"/>
    </row>
    <row r="3364" spans="1:21" x14ac:dyDescent="0.25">
      <c r="A3364" t="s">
        <v>996</v>
      </c>
      <c r="B3364" t="s">
        <v>997</v>
      </c>
      <c r="C3364" t="s">
        <v>1012</v>
      </c>
      <c r="D3364">
        <v>7845</v>
      </c>
      <c r="E3364">
        <v>440</v>
      </c>
      <c r="F3364" t="s">
        <v>1444</v>
      </c>
      <c r="G3364" t="s">
        <v>1445</v>
      </c>
      <c r="H3364" s="315" t="s">
        <v>1000</v>
      </c>
      <c r="I3364" s="315" t="s">
        <v>1443</v>
      </c>
      <c r="J3364" s="315" t="str">
        <f t="shared" si="281"/>
        <v>Admin &amp; OtherInsurance as % of Total Gross Profit</v>
      </c>
      <c r="K3364" s="315" t="str">
        <f t="shared" si="282"/>
        <v>440Insurance expense - Toyota</v>
      </c>
      <c r="L3364" s="311">
        <f>+SUMIF('TUNZ Extracted TB'!M:M,$P3364,'TUNZ Extracted TB'!G:G)</f>
        <v>0</v>
      </c>
      <c r="M3364" s="311"/>
      <c r="N3364" s="311">
        <f>+SUMIF('Input Sheet'!$AE:$AE,P3364,'Input Sheet'!$X:$X)</f>
        <v>0</v>
      </c>
      <c r="O3364" s="311"/>
      <c r="P3364" t="str">
        <f t="shared" si="283"/>
        <v>440-7845</v>
      </c>
      <c r="Q3364" s="315" t="str">
        <f t="shared" si="284"/>
        <v>Admin &amp; Other</v>
      </c>
      <c r="R3364" s="315" t="str">
        <f t="shared" si="285"/>
        <v>Admin &amp; OtherInsurance as % of Total Gross Profit</v>
      </c>
      <c r="S3364" s="199"/>
      <c r="T3364" s="199"/>
      <c r="U3364" s="199"/>
    </row>
    <row r="3365" spans="1:21" x14ac:dyDescent="0.25">
      <c r="A3365" t="s">
        <v>996</v>
      </c>
      <c r="B3365" t="s">
        <v>997</v>
      </c>
      <c r="C3365" t="s">
        <v>1012</v>
      </c>
      <c r="D3365">
        <v>7845</v>
      </c>
      <c r="E3365">
        <v>460</v>
      </c>
      <c r="F3365" t="s">
        <v>1444</v>
      </c>
      <c r="G3365" t="s">
        <v>1445</v>
      </c>
      <c r="H3365" s="315" t="s">
        <v>1000</v>
      </c>
      <c r="I3365" s="315" t="s">
        <v>1443</v>
      </c>
      <c r="J3365" s="315" t="str">
        <f t="shared" si="281"/>
        <v>Admin &amp; OtherInsurance as % of Total Gross Profit</v>
      </c>
      <c r="K3365" s="315" t="str">
        <f t="shared" si="282"/>
        <v>460Insurance expense - Toyota</v>
      </c>
      <c r="L3365" s="311">
        <f>+SUMIF('TUNZ Extracted TB'!M:M,$P3365,'TUNZ Extracted TB'!G:G)</f>
        <v>0</v>
      </c>
      <c r="M3365" s="311"/>
      <c r="N3365" s="311">
        <f>+SUMIF('Input Sheet'!$AE:$AE,P3365,'Input Sheet'!$X:$X)</f>
        <v>0</v>
      </c>
      <c r="O3365" s="311"/>
      <c r="P3365" t="str">
        <f t="shared" si="283"/>
        <v>460-7845</v>
      </c>
      <c r="Q3365" s="315" t="str">
        <f t="shared" si="284"/>
        <v>Admin &amp; Other</v>
      </c>
      <c r="R3365" s="315" t="str">
        <f t="shared" si="285"/>
        <v>Admin &amp; OtherInsurance as % of Total Gross Profit</v>
      </c>
      <c r="S3365" s="199"/>
      <c r="T3365" s="199"/>
      <c r="U3365" s="199"/>
    </row>
    <row r="3366" spans="1:21" x14ac:dyDescent="0.25">
      <c r="A3366" t="s">
        <v>996</v>
      </c>
      <c r="B3366" t="s">
        <v>997</v>
      </c>
      <c r="C3366" t="s">
        <v>1013</v>
      </c>
      <c r="D3366">
        <v>7845</v>
      </c>
      <c r="E3366">
        <v>300</v>
      </c>
      <c r="F3366" t="s">
        <v>1444</v>
      </c>
      <c r="G3366" t="s">
        <v>1445</v>
      </c>
      <c r="H3366" s="315" t="s">
        <v>1000</v>
      </c>
      <c r="I3366" s="315" t="s">
        <v>1443</v>
      </c>
      <c r="J3366" s="315" t="str">
        <f t="shared" si="281"/>
        <v>Admin &amp; OtherInsurance as % of Total Gross Profit</v>
      </c>
      <c r="K3366" s="315" t="str">
        <f t="shared" si="282"/>
        <v>300Insurance expense - Toyota</v>
      </c>
      <c r="L3366" s="311">
        <f>+SUMIF('TUNZ Extracted TB'!M:M,$P3366,'TUNZ Extracted TB'!G:G)</f>
        <v>0</v>
      </c>
      <c r="M3366" s="311"/>
      <c r="N3366" s="311">
        <f>+SUMIF('Input Sheet'!$AE:$AE,P3366,'Input Sheet'!$X:$X)</f>
        <v>0</v>
      </c>
      <c r="O3366" s="311"/>
      <c r="P3366" t="str">
        <f t="shared" si="283"/>
        <v>300-7845</v>
      </c>
      <c r="Q3366" s="315" t="str">
        <f t="shared" si="284"/>
        <v>Admin &amp; Other</v>
      </c>
      <c r="R3366" s="315" t="str">
        <f t="shared" si="285"/>
        <v>Admin &amp; OtherInsurance as % of Total Gross Profit</v>
      </c>
      <c r="S3366" s="199"/>
      <c r="T3366" s="199"/>
      <c r="U3366" s="199"/>
    </row>
    <row r="3367" spans="1:21" x14ac:dyDescent="0.25">
      <c r="A3367" t="s">
        <v>996</v>
      </c>
      <c r="B3367" t="s">
        <v>997</v>
      </c>
      <c r="C3367" t="s">
        <v>1013</v>
      </c>
      <c r="D3367">
        <v>7845</v>
      </c>
      <c r="E3367">
        <v>310</v>
      </c>
      <c r="F3367" t="s">
        <v>1444</v>
      </c>
      <c r="G3367" t="s">
        <v>1445</v>
      </c>
      <c r="H3367" s="315" t="s">
        <v>1000</v>
      </c>
      <c r="I3367" s="315" t="s">
        <v>1443</v>
      </c>
      <c r="J3367" s="315" t="str">
        <f t="shared" si="281"/>
        <v>Admin &amp; OtherInsurance as % of Total Gross Profit</v>
      </c>
      <c r="K3367" s="315" t="str">
        <f t="shared" si="282"/>
        <v>310Insurance expense - Toyota</v>
      </c>
      <c r="L3367" s="311">
        <f>+SUMIF('TUNZ Extracted TB'!M:M,$P3367,'TUNZ Extracted TB'!G:G)</f>
        <v>0</v>
      </c>
      <c r="M3367" s="311"/>
      <c r="N3367" s="311">
        <f>+SUMIF('Input Sheet'!$AE:$AE,P3367,'Input Sheet'!$X:$X)</f>
        <v>0</v>
      </c>
      <c r="O3367" s="311"/>
      <c r="P3367" t="str">
        <f t="shared" si="283"/>
        <v>310-7845</v>
      </c>
      <c r="Q3367" s="315" t="str">
        <f t="shared" si="284"/>
        <v>Admin &amp; Other</v>
      </c>
      <c r="R3367" s="315" t="str">
        <f t="shared" si="285"/>
        <v>Admin &amp; OtherInsurance as % of Total Gross Profit</v>
      </c>
      <c r="S3367" s="199"/>
      <c r="T3367" s="199"/>
      <c r="U3367" s="199"/>
    </row>
    <row r="3368" spans="1:21" x14ac:dyDescent="0.25">
      <c r="A3368" t="s">
        <v>996</v>
      </c>
      <c r="B3368" t="s">
        <v>997</v>
      </c>
      <c r="C3368" t="s">
        <v>1013</v>
      </c>
      <c r="D3368">
        <v>7845</v>
      </c>
      <c r="E3368">
        <v>321</v>
      </c>
      <c r="F3368" t="s">
        <v>1444</v>
      </c>
      <c r="G3368" t="s">
        <v>1445</v>
      </c>
      <c r="H3368" s="315" t="s">
        <v>1000</v>
      </c>
      <c r="I3368" s="315" t="s">
        <v>1443</v>
      </c>
      <c r="J3368" s="315" t="str">
        <f t="shared" si="281"/>
        <v>Admin &amp; OtherInsurance as % of Total Gross Profit</v>
      </c>
      <c r="K3368" s="315" t="str">
        <f t="shared" si="282"/>
        <v>321Insurance expense - Toyota</v>
      </c>
      <c r="L3368" s="311">
        <f>+SUMIF('TUNZ Extracted TB'!M:M,$P3368,'TUNZ Extracted TB'!G:G)</f>
        <v>0</v>
      </c>
      <c r="M3368" s="311"/>
      <c r="N3368" s="311">
        <f>+SUMIF('Input Sheet'!$AE:$AE,P3368,'Input Sheet'!$X:$X)</f>
        <v>0</v>
      </c>
      <c r="O3368" s="311"/>
      <c r="P3368" t="str">
        <f t="shared" si="283"/>
        <v>321-7845</v>
      </c>
      <c r="Q3368" s="315" t="str">
        <f t="shared" si="284"/>
        <v>Admin &amp; Other</v>
      </c>
      <c r="R3368" s="315" t="str">
        <f t="shared" si="285"/>
        <v>Admin &amp; OtherInsurance as % of Total Gross Profit</v>
      </c>
      <c r="S3368" s="199"/>
      <c r="T3368" s="199"/>
      <c r="U3368" s="199"/>
    </row>
    <row r="3369" spans="1:21" x14ac:dyDescent="0.25">
      <c r="A3369" t="s">
        <v>996</v>
      </c>
      <c r="B3369" t="s">
        <v>997</v>
      </c>
      <c r="C3369" t="s">
        <v>1013</v>
      </c>
      <c r="D3369">
        <v>7845</v>
      </c>
      <c r="E3369">
        <v>330</v>
      </c>
      <c r="F3369" t="s">
        <v>1444</v>
      </c>
      <c r="G3369" t="s">
        <v>1445</v>
      </c>
      <c r="H3369" s="315" t="s">
        <v>1000</v>
      </c>
      <c r="I3369" s="315" t="s">
        <v>1443</v>
      </c>
      <c r="J3369" s="315" t="str">
        <f t="shared" si="281"/>
        <v>Admin &amp; OtherInsurance as % of Total Gross Profit</v>
      </c>
      <c r="K3369" s="315" t="str">
        <f t="shared" si="282"/>
        <v>330Insurance expense - Toyota</v>
      </c>
      <c r="L3369" s="311">
        <f>+SUMIF('TUNZ Extracted TB'!M:M,$P3369,'TUNZ Extracted TB'!G:G)</f>
        <v>0</v>
      </c>
      <c r="M3369" s="311"/>
      <c r="N3369" s="311">
        <f>+SUMIF('Input Sheet'!$AE:$AE,P3369,'Input Sheet'!$X:$X)</f>
        <v>0</v>
      </c>
      <c r="O3369" s="311"/>
      <c r="P3369" t="str">
        <f t="shared" si="283"/>
        <v>330-7845</v>
      </c>
      <c r="Q3369" s="315" t="str">
        <f t="shared" si="284"/>
        <v>Admin &amp; Other</v>
      </c>
      <c r="R3369" s="315" t="str">
        <f t="shared" si="285"/>
        <v>Admin &amp; OtherInsurance as % of Total Gross Profit</v>
      </c>
      <c r="S3369" s="199"/>
      <c r="T3369" s="199"/>
      <c r="U3369" s="199"/>
    </row>
    <row r="3370" spans="1:21" x14ac:dyDescent="0.25">
      <c r="A3370" t="s">
        <v>996</v>
      </c>
      <c r="B3370" t="s">
        <v>997</v>
      </c>
      <c r="C3370" t="s">
        <v>1013</v>
      </c>
      <c r="D3370">
        <v>7845</v>
      </c>
      <c r="E3370">
        <v>360</v>
      </c>
      <c r="F3370" t="s">
        <v>1444</v>
      </c>
      <c r="G3370" t="s">
        <v>1445</v>
      </c>
      <c r="H3370" s="315" t="s">
        <v>1000</v>
      </c>
      <c r="I3370" s="315" t="s">
        <v>1443</v>
      </c>
      <c r="J3370" s="315" t="str">
        <f t="shared" si="281"/>
        <v>Admin &amp; OtherInsurance as % of Total Gross Profit</v>
      </c>
      <c r="K3370" s="315" t="str">
        <f t="shared" si="282"/>
        <v>360Insurance expense - Toyota</v>
      </c>
      <c r="L3370" s="311">
        <f>+SUMIF('TUNZ Extracted TB'!M:M,$P3370,'TUNZ Extracted TB'!G:G)</f>
        <v>0</v>
      </c>
      <c r="M3370" s="311"/>
      <c r="N3370" s="311">
        <f>+SUMIF('Input Sheet'!$AE:$AE,P3370,'Input Sheet'!$X:$X)</f>
        <v>0</v>
      </c>
      <c r="O3370" s="311"/>
      <c r="P3370" t="str">
        <f t="shared" si="283"/>
        <v>360-7845</v>
      </c>
      <c r="Q3370" s="315" t="str">
        <f t="shared" si="284"/>
        <v>Admin &amp; Other</v>
      </c>
      <c r="R3370" s="315" t="str">
        <f t="shared" si="285"/>
        <v>Admin &amp; OtherInsurance as % of Total Gross Profit</v>
      </c>
      <c r="S3370" s="199"/>
      <c r="T3370" s="199"/>
      <c r="U3370" s="199"/>
    </row>
    <row r="3371" spans="1:21" x14ac:dyDescent="0.25">
      <c r="A3371" t="s">
        <v>996</v>
      </c>
      <c r="B3371" t="s">
        <v>997</v>
      </c>
      <c r="C3371" t="s">
        <v>997</v>
      </c>
      <c r="D3371">
        <v>7845</v>
      </c>
      <c r="E3371">
        <v>160</v>
      </c>
      <c r="F3371" t="s">
        <v>1444</v>
      </c>
      <c r="G3371" t="s">
        <v>1445</v>
      </c>
      <c r="H3371" s="315" t="s">
        <v>1000</v>
      </c>
      <c r="I3371" s="315" t="s">
        <v>1443</v>
      </c>
      <c r="J3371" s="315" t="str">
        <f t="shared" si="281"/>
        <v>Admin &amp; OtherInsurance as % of Total Gross Profit</v>
      </c>
      <c r="K3371" s="315" t="str">
        <f t="shared" si="282"/>
        <v>160Insurance expense - Toyota</v>
      </c>
      <c r="L3371" s="311">
        <f>+SUMIF('TUNZ Extracted TB'!M:M,$P3371,'TUNZ Extracted TB'!G:G)</f>
        <v>0</v>
      </c>
      <c r="M3371" s="311"/>
      <c r="N3371" s="311">
        <f>+SUMIF('Input Sheet'!$AE:$AE,P3371,'Input Sheet'!$X:$X)</f>
        <v>0</v>
      </c>
      <c r="O3371" s="311"/>
      <c r="P3371" t="str">
        <f t="shared" si="283"/>
        <v>160-7845</v>
      </c>
      <c r="Q3371" s="315" t="str">
        <f t="shared" si="284"/>
        <v>Admin &amp; Other</v>
      </c>
      <c r="R3371" s="315" t="str">
        <f t="shared" si="285"/>
        <v>Admin &amp; OtherInsurance as % of Total Gross Profit</v>
      </c>
      <c r="S3371" s="199"/>
      <c r="T3371" s="199"/>
      <c r="U3371" s="199"/>
    </row>
    <row r="3372" spans="1:21" x14ac:dyDescent="0.25">
      <c r="A3372" t="s">
        <v>996</v>
      </c>
      <c r="B3372" t="s">
        <v>997</v>
      </c>
      <c r="C3372" t="s">
        <v>1005</v>
      </c>
      <c r="D3372">
        <v>7845</v>
      </c>
      <c r="E3372">
        <v>240</v>
      </c>
      <c r="F3372" t="s">
        <v>1444</v>
      </c>
      <c r="G3372" t="s">
        <v>1445</v>
      </c>
      <c r="H3372" s="315" t="s">
        <v>1000</v>
      </c>
      <c r="I3372" s="315" t="s">
        <v>1443</v>
      </c>
      <c r="J3372" s="315" t="str">
        <f t="shared" si="281"/>
        <v>Admin &amp; OtherInsurance as % of Total Gross Profit</v>
      </c>
      <c r="K3372" s="315" t="str">
        <f t="shared" si="282"/>
        <v>240Insurance expense - Toyota</v>
      </c>
      <c r="L3372" s="311">
        <f>+SUMIF('TUNZ Extracted TB'!M:M,$P3372,'TUNZ Extracted TB'!G:G)</f>
        <v>0</v>
      </c>
      <c r="M3372" s="311"/>
      <c r="N3372" s="311">
        <f>+SUMIF('Input Sheet'!$AE:$AE,P3372,'Input Sheet'!$X:$X)</f>
        <v>0</v>
      </c>
      <c r="O3372" s="311"/>
      <c r="P3372" t="str">
        <f t="shared" si="283"/>
        <v>240-7845</v>
      </c>
      <c r="Q3372" s="315" t="str">
        <f t="shared" si="284"/>
        <v>Admin &amp; Other</v>
      </c>
      <c r="R3372" s="315" t="str">
        <f t="shared" si="285"/>
        <v>Admin &amp; OtherInsurance as % of Total Gross Profit</v>
      </c>
      <c r="S3372" s="199"/>
      <c r="T3372" s="199"/>
      <c r="U3372" s="199"/>
    </row>
    <row r="3373" spans="1:21" x14ac:dyDescent="0.25">
      <c r="A3373" t="s">
        <v>996</v>
      </c>
      <c r="B3373" t="s">
        <v>997</v>
      </c>
      <c r="C3373" t="s">
        <v>997</v>
      </c>
      <c r="D3373">
        <v>7845</v>
      </c>
      <c r="E3373">
        <v>936</v>
      </c>
      <c r="F3373" t="s">
        <v>1175</v>
      </c>
      <c r="G3373" t="s">
        <v>1176</v>
      </c>
      <c r="H3373" s="315" t="s">
        <v>1023</v>
      </c>
      <c r="I3373" s="315" t="s">
        <v>1443</v>
      </c>
      <c r="J3373" s="315" t="str">
        <f t="shared" si="281"/>
        <v>LEX Admin &amp; OtherInsurance as % of Total Gross Profit</v>
      </c>
      <c r="K3373" s="315" t="str">
        <f t="shared" si="282"/>
        <v>936Other franchise/business expense</v>
      </c>
      <c r="L3373" s="311">
        <f>+SUMIF('TUNZ Extracted TB'!M:M,$P3373,'TUNZ Extracted TB'!G:G)</f>
        <v>0</v>
      </c>
      <c r="M3373" s="311"/>
      <c r="N3373" s="311">
        <f>+SUMIF('Input Sheet'!$AE:$AE,P3373,'Input Sheet'!$X:$X)</f>
        <v>0</v>
      </c>
      <c r="O3373" s="311"/>
      <c r="P3373" t="str">
        <f t="shared" si="283"/>
        <v>936-7845</v>
      </c>
      <c r="Q3373" s="315" t="str">
        <f t="shared" si="284"/>
        <v>LEX Admin &amp; Other</v>
      </c>
      <c r="R3373" s="315" t="str">
        <f t="shared" si="285"/>
        <v>LEX Admin &amp; OtherInsurance as % of Total Gross Profit</v>
      </c>
      <c r="S3373" s="199"/>
      <c r="T3373" s="199"/>
      <c r="U3373" s="199"/>
    </row>
    <row r="3374" spans="1:21" x14ac:dyDescent="0.25">
      <c r="A3374" t="s">
        <v>996</v>
      </c>
      <c r="B3374" t="s">
        <v>997</v>
      </c>
      <c r="C3374" t="s">
        <v>997</v>
      </c>
      <c r="D3374">
        <v>7845</v>
      </c>
      <c r="E3374">
        <v>935</v>
      </c>
      <c r="F3374" t="s">
        <v>1175</v>
      </c>
      <c r="G3374" t="s">
        <v>1176</v>
      </c>
      <c r="H3374" s="315" t="s">
        <v>1023</v>
      </c>
      <c r="I3374" s="315" t="s">
        <v>1443</v>
      </c>
      <c r="J3374" s="315" t="str">
        <f t="shared" si="281"/>
        <v>LEX Admin &amp; OtherInsurance as % of Total Gross Profit</v>
      </c>
      <c r="K3374" s="315" t="str">
        <f t="shared" si="282"/>
        <v>935Other franchise/business expense</v>
      </c>
      <c r="L3374" s="311">
        <f>+SUMIF('TUNZ Extracted TB'!M:M,$P3374,'TUNZ Extracted TB'!G:G)</f>
        <v>0</v>
      </c>
      <c r="M3374" s="311"/>
      <c r="N3374" s="311">
        <f>+SUMIF('Input Sheet'!$AE:$AE,P3374,'Input Sheet'!$X:$X)</f>
        <v>0</v>
      </c>
      <c r="O3374" s="311"/>
      <c r="P3374" t="str">
        <f t="shared" si="283"/>
        <v>935-7845</v>
      </c>
      <c r="Q3374" s="315" t="str">
        <f t="shared" si="284"/>
        <v>LEX Admin &amp; Other</v>
      </c>
      <c r="R3374" s="315" t="str">
        <f t="shared" si="285"/>
        <v>LEX Admin &amp; OtherInsurance as % of Total Gross Profit</v>
      </c>
      <c r="S3374" s="199"/>
      <c r="T3374" s="199"/>
      <c r="U3374" s="199"/>
    </row>
    <row r="3375" spans="1:21" x14ac:dyDescent="0.25">
      <c r="A3375" t="s">
        <v>996</v>
      </c>
      <c r="B3375" t="s">
        <v>997</v>
      </c>
      <c r="C3375" t="s">
        <v>997</v>
      </c>
      <c r="D3375">
        <v>7845</v>
      </c>
      <c r="E3375">
        <v>132</v>
      </c>
      <c r="F3375" t="s">
        <v>1441</v>
      </c>
      <c r="G3375" t="s">
        <v>1442</v>
      </c>
      <c r="H3375" s="315" t="s">
        <v>1023</v>
      </c>
      <c r="I3375" s="315" t="s">
        <v>1443</v>
      </c>
      <c r="J3375" s="315" t="str">
        <f t="shared" si="281"/>
        <v>LEX Admin &amp; OtherInsurance as % of Total Gross Profit</v>
      </c>
      <c r="K3375" s="315" t="str">
        <f t="shared" si="282"/>
        <v>132Insurance expense - Lexus</v>
      </c>
      <c r="L3375" s="311">
        <f>+SUMIF('TUNZ Extracted TB'!M:M,$P3375,'TUNZ Extracted TB'!G:G)</f>
        <v>0</v>
      </c>
      <c r="M3375" s="311"/>
      <c r="N3375" s="311">
        <f>+SUMIF('Input Sheet'!$AE:$AE,P3375,'Input Sheet'!$X:$X)</f>
        <v>0</v>
      </c>
      <c r="O3375" s="311"/>
      <c r="P3375" t="str">
        <f t="shared" si="283"/>
        <v>132-7845</v>
      </c>
      <c r="Q3375" s="315" t="str">
        <f t="shared" si="284"/>
        <v>LEX Admin &amp; Other</v>
      </c>
      <c r="R3375" s="315" t="str">
        <f t="shared" si="285"/>
        <v>LEX Admin &amp; OtherInsurance as % of Total Gross Profit</v>
      </c>
      <c r="S3375" s="199"/>
      <c r="T3375" s="199"/>
      <c r="U3375" s="199"/>
    </row>
    <row r="3376" spans="1:21" x14ac:dyDescent="0.25">
      <c r="A3376" t="s">
        <v>996</v>
      </c>
      <c r="B3376" t="s">
        <v>997</v>
      </c>
      <c r="C3376" t="s">
        <v>997</v>
      </c>
      <c r="D3376">
        <v>7845</v>
      </c>
      <c r="E3376">
        <v>130</v>
      </c>
      <c r="F3376" t="s">
        <v>1444</v>
      </c>
      <c r="G3376" t="s">
        <v>1445</v>
      </c>
      <c r="H3376" s="315" t="s">
        <v>1000</v>
      </c>
      <c r="I3376" s="315" t="s">
        <v>1443</v>
      </c>
      <c r="J3376" s="315" t="str">
        <f t="shared" si="281"/>
        <v>Admin &amp; OtherInsurance as % of Total Gross Profit</v>
      </c>
      <c r="K3376" s="315" t="str">
        <f t="shared" si="282"/>
        <v>130Insurance expense - Toyota</v>
      </c>
      <c r="L3376" s="311">
        <f>+SUMIF('TUNZ Extracted TB'!M:M,$P3376,'TUNZ Extracted TB'!G:G)</f>
        <v>0</v>
      </c>
      <c r="M3376" s="311"/>
      <c r="N3376" s="311">
        <f>+SUMIF('Input Sheet'!$AE:$AE,P3376,'Input Sheet'!$X:$X)</f>
        <v>0</v>
      </c>
      <c r="O3376" s="311"/>
      <c r="P3376" t="str">
        <f t="shared" si="283"/>
        <v>130-7845</v>
      </c>
      <c r="Q3376" s="315" t="str">
        <f t="shared" si="284"/>
        <v>Admin &amp; Other</v>
      </c>
      <c r="R3376" s="315" t="str">
        <f t="shared" si="285"/>
        <v>Admin &amp; OtherInsurance as % of Total Gross Profit</v>
      </c>
      <c r="S3376" s="199"/>
      <c r="T3376" s="199"/>
      <c r="U3376" s="199"/>
    </row>
    <row r="3377" spans="1:21" x14ac:dyDescent="0.25">
      <c r="A3377" t="s">
        <v>996</v>
      </c>
      <c r="B3377" t="s">
        <v>997</v>
      </c>
      <c r="C3377" t="s">
        <v>997</v>
      </c>
      <c r="D3377">
        <v>7845</v>
      </c>
      <c r="E3377">
        <v>140</v>
      </c>
      <c r="F3377" t="s">
        <v>1444</v>
      </c>
      <c r="G3377" t="s">
        <v>1445</v>
      </c>
      <c r="H3377" s="315" t="s">
        <v>1000</v>
      </c>
      <c r="I3377" s="315" t="s">
        <v>1443</v>
      </c>
      <c r="J3377" s="315" t="str">
        <f t="shared" si="281"/>
        <v>Admin &amp; OtherInsurance as % of Total Gross Profit</v>
      </c>
      <c r="K3377" s="315" t="str">
        <f t="shared" si="282"/>
        <v>140Insurance expense - Toyota</v>
      </c>
      <c r="L3377" s="311">
        <f>+SUMIF('TUNZ Extracted TB'!M:M,$P3377,'TUNZ Extracted TB'!G:G)</f>
        <v>0</v>
      </c>
      <c r="M3377" s="311"/>
      <c r="N3377" s="311">
        <f>+SUMIF('Input Sheet'!$AE:$AE,P3377,'Input Sheet'!$X:$X)</f>
        <v>0</v>
      </c>
      <c r="O3377" s="311"/>
      <c r="P3377" t="str">
        <f t="shared" si="283"/>
        <v>140-7845</v>
      </c>
      <c r="Q3377" s="315" t="str">
        <f t="shared" si="284"/>
        <v>Admin &amp; Other</v>
      </c>
      <c r="R3377" s="315" t="str">
        <f t="shared" si="285"/>
        <v>Admin &amp; OtherInsurance as % of Total Gross Profit</v>
      </c>
      <c r="S3377" s="199"/>
      <c r="T3377" s="199"/>
      <c r="U3377" s="199"/>
    </row>
    <row r="3378" spans="1:21" x14ac:dyDescent="0.25">
      <c r="A3378" t="s">
        <v>996</v>
      </c>
      <c r="B3378" t="s">
        <v>997</v>
      </c>
      <c r="C3378" t="s">
        <v>997</v>
      </c>
      <c r="D3378">
        <v>7845</v>
      </c>
      <c r="E3378">
        <v>142</v>
      </c>
      <c r="F3378" t="s">
        <v>1441</v>
      </c>
      <c r="G3378" t="s">
        <v>1442</v>
      </c>
      <c r="H3378" s="315" t="s">
        <v>1023</v>
      </c>
      <c r="I3378" s="315" t="s">
        <v>1443</v>
      </c>
      <c r="J3378" s="315" t="str">
        <f t="shared" si="281"/>
        <v>LEX Admin &amp; OtherInsurance as % of Total Gross Profit</v>
      </c>
      <c r="K3378" s="315" t="str">
        <f t="shared" si="282"/>
        <v>142Insurance expense - Lexus</v>
      </c>
      <c r="L3378" s="311">
        <f>+SUMIF('TUNZ Extracted TB'!M:M,$P3378,'TUNZ Extracted TB'!G:G)</f>
        <v>0</v>
      </c>
      <c r="M3378" s="311"/>
      <c r="N3378" s="311">
        <f>+SUMIF('Input Sheet'!$AE:$AE,P3378,'Input Sheet'!$X:$X)</f>
        <v>0</v>
      </c>
      <c r="O3378" s="311"/>
      <c r="P3378" t="str">
        <f t="shared" si="283"/>
        <v>142-7845</v>
      </c>
      <c r="Q3378" s="315" t="str">
        <f t="shared" si="284"/>
        <v>LEX Admin &amp; Other</v>
      </c>
      <c r="R3378" s="315" t="str">
        <f t="shared" si="285"/>
        <v>LEX Admin &amp; OtherInsurance as % of Total Gross Profit</v>
      </c>
      <c r="S3378" s="199"/>
      <c r="T3378" s="199"/>
      <c r="U3378" s="199"/>
    </row>
    <row r="3379" spans="1:21" x14ac:dyDescent="0.25">
      <c r="A3379" t="s">
        <v>996</v>
      </c>
      <c r="B3379" t="s">
        <v>997</v>
      </c>
      <c r="C3379" t="s">
        <v>997</v>
      </c>
      <c r="D3379">
        <v>7845</v>
      </c>
      <c r="E3379">
        <v>112</v>
      </c>
      <c r="F3379" t="s">
        <v>1441</v>
      </c>
      <c r="G3379" t="s">
        <v>1442</v>
      </c>
      <c r="H3379" s="315" t="s">
        <v>1023</v>
      </c>
      <c r="I3379" s="315" t="s">
        <v>1443</v>
      </c>
      <c r="J3379" s="315" t="str">
        <f t="shared" si="281"/>
        <v>LEX Admin &amp; OtherInsurance as % of Total Gross Profit</v>
      </c>
      <c r="K3379" s="315" t="str">
        <f t="shared" si="282"/>
        <v>112Insurance expense - Lexus</v>
      </c>
      <c r="L3379" s="311">
        <f>+SUMIF('TUNZ Extracted TB'!M:M,$P3379,'TUNZ Extracted TB'!G:G)</f>
        <v>0</v>
      </c>
      <c r="M3379" s="311"/>
      <c r="N3379" s="311">
        <f>+SUMIF('Input Sheet'!$AE:$AE,P3379,'Input Sheet'!$X:$X)</f>
        <v>0</v>
      </c>
      <c r="O3379" s="311"/>
      <c r="P3379" t="str">
        <f t="shared" si="283"/>
        <v>112-7845</v>
      </c>
      <c r="Q3379" s="315" t="str">
        <f t="shared" si="284"/>
        <v>LEX Admin &amp; Other</v>
      </c>
      <c r="R3379" s="315" t="str">
        <f t="shared" si="285"/>
        <v>LEX Admin &amp; OtherInsurance as % of Total Gross Profit</v>
      </c>
      <c r="S3379" s="199"/>
      <c r="T3379" s="199"/>
      <c r="U3379" s="199"/>
    </row>
    <row r="3380" spans="1:21" x14ac:dyDescent="0.25">
      <c r="A3380" t="s">
        <v>996</v>
      </c>
      <c r="B3380" t="s">
        <v>997</v>
      </c>
      <c r="C3380" t="s">
        <v>997</v>
      </c>
      <c r="D3380">
        <v>7845</v>
      </c>
      <c r="E3380">
        <v>110</v>
      </c>
      <c r="F3380" t="s">
        <v>1444</v>
      </c>
      <c r="G3380" t="s">
        <v>1445</v>
      </c>
      <c r="H3380" s="315" t="s">
        <v>1000</v>
      </c>
      <c r="I3380" s="315" t="s">
        <v>1443</v>
      </c>
      <c r="J3380" s="315" t="str">
        <f t="shared" si="281"/>
        <v>Admin &amp; OtherInsurance as % of Total Gross Profit</v>
      </c>
      <c r="K3380" s="315" t="str">
        <f t="shared" si="282"/>
        <v>110Insurance expense - Toyota</v>
      </c>
      <c r="L3380" s="311">
        <f>+SUMIF('TUNZ Extracted TB'!M:M,$P3380,'TUNZ Extracted TB'!G:G)</f>
        <v>0</v>
      </c>
      <c r="M3380" s="311"/>
      <c r="N3380" s="311">
        <f>+SUMIF('Input Sheet'!$AE:$AE,P3380,'Input Sheet'!$X:$X)</f>
        <v>0</v>
      </c>
      <c r="O3380" s="311"/>
      <c r="P3380" t="str">
        <f t="shared" si="283"/>
        <v>110-7845</v>
      </c>
      <c r="Q3380" s="315" t="str">
        <f t="shared" si="284"/>
        <v>Admin &amp; Other</v>
      </c>
      <c r="R3380" s="315" t="str">
        <f t="shared" si="285"/>
        <v>Admin &amp; OtherInsurance as % of Total Gross Profit</v>
      </c>
      <c r="S3380" s="199"/>
      <c r="T3380" s="199"/>
      <c r="U3380" s="199"/>
    </row>
    <row r="3381" spans="1:21" x14ac:dyDescent="0.25">
      <c r="A3381" t="s">
        <v>996</v>
      </c>
      <c r="B3381" t="s">
        <v>997</v>
      </c>
      <c r="C3381" t="s">
        <v>997</v>
      </c>
      <c r="D3381">
        <v>7845</v>
      </c>
      <c r="E3381">
        <v>100</v>
      </c>
      <c r="F3381" t="s">
        <v>1444</v>
      </c>
      <c r="G3381" t="s">
        <v>1445</v>
      </c>
      <c r="H3381" s="315" t="s">
        <v>1000</v>
      </c>
      <c r="I3381" s="315" t="s">
        <v>1443</v>
      </c>
      <c r="J3381" s="315" t="str">
        <f t="shared" si="281"/>
        <v>Admin &amp; OtherInsurance as % of Total Gross Profit</v>
      </c>
      <c r="K3381" s="315" t="str">
        <f t="shared" si="282"/>
        <v>100Insurance expense - Toyota</v>
      </c>
      <c r="L3381" s="311">
        <f>+SUMIF('TUNZ Extracted TB'!M:M,$P3381,'TUNZ Extracted TB'!G:G)</f>
        <v>0</v>
      </c>
      <c r="M3381" s="311"/>
      <c r="N3381" s="311">
        <f>+SUMIF('Input Sheet'!$AE:$AE,P3381,'Input Sheet'!$X:$X)</f>
        <v>0</v>
      </c>
      <c r="O3381" s="311"/>
      <c r="P3381" t="str">
        <f t="shared" si="283"/>
        <v>100-7845</v>
      </c>
      <c r="Q3381" s="315" t="str">
        <f t="shared" si="284"/>
        <v>Admin &amp; Other</v>
      </c>
      <c r="R3381" s="315" t="str">
        <f t="shared" si="285"/>
        <v>Admin &amp; OtherInsurance as % of Total Gross Profit</v>
      </c>
      <c r="S3381" s="199"/>
      <c r="T3381" s="199"/>
      <c r="U3381" s="199"/>
    </row>
    <row r="3382" spans="1:21" x14ac:dyDescent="0.25">
      <c r="A3382" t="s">
        <v>996</v>
      </c>
      <c r="B3382" t="s">
        <v>997</v>
      </c>
      <c r="C3382" t="s">
        <v>1005</v>
      </c>
      <c r="D3382">
        <v>7860</v>
      </c>
      <c r="E3382">
        <v>240</v>
      </c>
      <c r="F3382" t="s">
        <v>998</v>
      </c>
      <c r="G3382" t="s">
        <v>999</v>
      </c>
      <c r="H3382" s="315" t="s">
        <v>1000</v>
      </c>
      <c r="I3382" s="315" t="s">
        <v>1001</v>
      </c>
      <c r="J3382" s="315" t="str">
        <f t="shared" si="281"/>
        <v>Admin &amp; OtherOther Overheads as % of Total Gross Profit</v>
      </c>
      <c r="K3382" s="315" t="str">
        <f t="shared" si="282"/>
        <v>240Miscellaneous expenses - Toyota</v>
      </c>
      <c r="L3382" s="311">
        <f>+SUMIF('TUNZ Extracted TB'!M:M,$P3382,'TUNZ Extracted TB'!G:G)</f>
        <v>542.08000000000004</v>
      </c>
      <c r="M3382" s="311"/>
      <c r="N3382" s="311">
        <f>+SUMIF('Input Sheet'!$AE:$AE,P3382,'Input Sheet'!$X:$X)</f>
        <v>0</v>
      </c>
      <c r="O3382" s="311"/>
      <c r="P3382" t="str">
        <f t="shared" si="283"/>
        <v>240-7860</v>
      </c>
      <c r="Q3382" s="315" t="str">
        <f t="shared" si="284"/>
        <v>Admin &amp; Other</v>
      </c>
      <c r="R3382" s="315" t="str">
        <f t="shared" si="285"/>
        <v>Admin &amp; OtherOther Overheads as % of Total Gross Profit</v>
      </c>
      <c r="S3382" s="199"/>
      <c r="T3382" s="199"/>
      <c r="U3382" s="199"/>
    </row>
    <row r="3383" spans="1:21" x14ac:dyDescent="0.25">
      <c r="A3383" t="s">
        <v>996</v>
      </c>
      <c r="B3383" t="s">
        <v>997</v>
      </c>
      <c r="C3383" t="s">
        <v>1013</v>
      </c>
      <c r="D3383">
        <v>7860</v>
      </c>
      <c r="E3383">
        <v>340</v>
      </c>
      <c r="F3383" t="s">
        <v>998</v>
      </c>
      <c r="G3383" t="s">
        <v>999</v>
      </c>
      <c r="H3383" s="315" t="s">
        <v>1000</v>
      </c>
      <c r="I3383" s="315" t="s">
        <v>1001</v>
      </c>
      <c r="J3383" s="315" t="str">
        <f t="shared" si="281"/>
        <v>Admin &amp; OtherOther Overheads as % of Total Gross Profit</v>
      </c>
      <c r="K3383" s="315" t="str">
        <f t="shared" si="282"/>
        <v>340Miscellaneous expenses - Toyota</v>
      </c>
      <c r="L3383" s="311">
        <f>+SUMIF('TUNZ Extracted TB'!M:M,$P3383,'TUNZ Extracted TB'!G:G)</f>
        <v>0</v>
      </c>
      <c r="M3383" s="311"/>
      <c r="N3383" s="311">
        <f>+SUMIF('Input Sheet'!$AE:$AE,P3383,'Input Sheet'!$X:$X)</f>
        <v>0</v>
      </c>
      <c r="O3383" s="311"/>
      <c r="P3383" t="str">
        <f t="shared" si="283"/>
        <v>340-7860</v>
      </c>
      <c r="Q3383" s="315" t="str">
        <f t="shared" si="284"/>
        <v>Admin &amp; Other</v>
      </c>
      <c r="R3383" s="315" t="str">
        <f t="shared" si="285"/>
        <v>Admin &amp; OtherOther Overheads as % of Total Gross Profit</v>
      </c>
      <c r="S3383" s="199"/>
      <c r="T3383" s="199"/>
      <c r="U3383" s="199"/>
    </row>
    <row r="3384" spans="1:21" x14ac:dyDescent="0.25">
      <c r="A3384" t="s">
        <v>996</v>
      </c>
      <c r="B3384" t="s">
        <v>997</v>
      </c>
      <c r="C3384" t="s">
        <v>1012</v>
      </c>
      <c r="D3384">
        <v>7860</v>
      </c>
      <c r="E3384">
        <v>440</v>
      </c>
      <c r="F3384" t="s">
        <v>998</v>
      </c>
      <c r="G3384" t="s">
        <v>999</v>
      </c>
      <c r="H3384" s="315" t="s">
        <v>1000</v>
      </c>
      <c r="I3384" s="315" t="s">
        <v>1001</v>
      </c>
      <c r="J3384" s="315" t="str">
        <f t="shared" si="281"/>
        <v>Admin &amp; OtherOther Overheads as % of Total Gross Profit</v>
      </c>
      <c r="K3384" s="315" t="str">
        <f t="shared" si="282"/>
        <v>440Miscellaneous expenses - Toyota</v>
      </c>
      <c r="L3384" s="311">
        <f>+SUMIF('TUNZ Extracted TB'!M:M,$P3384,'TUNZ Extracted TB'!G:G)</f>
        <v>0</v>
      </c>
      <c r="M3384" s="311"/>
      <c r="N3384" s="311">
        <f>+SUMIF('Input Sheet'!$AE:$AE,P3384,'Input Sheet'!$X:$X)</f>
        <v>0</v>
      </c>
      <c r="O3384" s="311"/>
      <c r="P3384" t="str">
        <f t="shared" si="283"/>
        <v>440-7860</v>
      </c>
      <c r="Q3384" s="315" t="str">
        <f t="shared" si="284"/>
        <v>Admin &amp; Other</v>
      </c>
      <c r="R3384" s="315" t="str">
        <f t="shared" si="285"/>
        <v>Admin &amp; OtherOther Overheads as % of Total Gross Profit</v>
      </c>
      <c r="S3384" s="199"/>
      <c r="T3384" s="199"/>
      <c r="U3384" s="199"/>
    </row>
    <row r="3385" spans="1:21" x14ac:dyDescent="0.25">
      <c r="A3385" t="s">
        <v>996</v>
      </c>
      <c r="B3385" t="s">
        <v>997</v>
      </c>
      <c r="C3385" t="s">
        <v>997</v>
      </c>
      <c r="D3385">
        <v>7860</v>
      </c>
      <c r="E3385">
        <v>935</v>
      </c>
      <c r="F3385" t="s">
        <v>1175</v>
      </c>
      <c r="G3385" t="s">
        <v>1176</v>
      </c>
      <c r="H3385" s="315" t="s">
        <v>1023</v>
      </c>
      <c r="I3385" s="315" t="s">
        <v>1001</v>
      </c>
      <c r="J3385" s="315" t="str">
        <f t="shared" si="281"/>
        <v>LEX Admin &amp; OtherOther Overheads as % of Total Gross Profit</v>
      </c>
      <c r="K3385" s="315" t="str">
        <f t="shared" si="282"/>
        <v>935Other franchise/business expense</v>
      </c>
      <c r="L3385" s="311">
        <f>+SUMIF('TUNZ Extracted TB'!M:M,$P3385,'TUNZ Extracted TB'!G:G)</f>
        <v>698</v>
      </c>
      <c r="M3385" s="311"/>
      <c r="N3385" s="311">
        <f>+SUMIF('Input Sheet'!$AE:$AE,P3385,'Input Sheet'!$X:$X)</f>
        <v>0</v>
      </c>
      <c r="O3385" s="311"/>
      <c r="P3385" t="str">
        <f t="shared" si="283"/>
        <v>935-7860</v>
      </c>
      <c r="Q3385" s="315" t="str">
        <f t="shared" si="284"/>
        <v>LEX Admin &amp; Other</v>
      </c>
      <c r="R3385" s="315" t="str">
        <f t="shared" si="285"/>
        <v>LEX Admin &amp; OtherOther Overheads as % of Total Gross Profit</v>
      </c>
      <c r="S3385" s="199"/>
      <c r="T3385" s="199"/>
      <c r="U3385" s="199"/>
    </row>
    <row r="3386" spans="1:21" x14ac:dyDescent="0.25">
      <c r="A3386" t="s">
        <v>996</v>
      </c>
      <c r="B3386" t="s">
        <v>997</v>
      </c>
      <c r="C3386" t="s">
        <v>997</v>
      </c>
      <c r="D3386">
        <v>7860</v>
      </c>
      <c r="E3386">
        <v>122</v>
      </c>
      <c r="F3386" t="s">
        <v>1362</v>
      </c>
      <c r="G3386" t="s">
        <v>1363</v>
      </c>
      <c r="H3386" s="315" t="s">
        <v>1023</v>
      </c>
      <c r="I3386" s="315" t="s">
        <v>1001</v>
      </c>
      <c r="J3386" s="315" t="str">
        <f t="shared" si="281"/>
        <v>LEX Admin &amp; OtherOther Overheads as % of Total Gross Profit</v>
      </c>
      <c r="K3386" s="315" t="str">
        <f t="shared" si="282"/>
        <v>122Miscellaneous expenses - Lexus</v>
      </c>
      <c r="L3386" s="311">
        <f>+SUMIF('TUNZ Extracted TB'!M:M,$P3386,'TUNZ Extracted TB'!G:G)</f>
        <v>0</v>
      </c>
      <c r="M3386" s="311"/>
      <c r="N3386" s="311">
        <f>+SUMIF('Input Sheet'!$AE:$AE,P3386,'Input Sheet'!$X:$X)</f>
        <v>0</v>
      </c>
      <c r="O3386" s="311"/>
      <c r="P3386" t="str">
        <f t="shared" si="283"/>
        <v>122-7860</v>
      </c>
      <c r="Q3386" s="315" t="str">
        <f t="shared" si="284"/>
        <v>LEX Admin &amp; Other</v>
      </c>
      <c r="R3386" s="315" t="str">
        <f t="shared" si="285"/>
        <v>LEX Admin &amp; OtherOther Overheads as % of Total Gross Profit</v>
      </c>
      <c r="S3386" s="199"/>
      <c r="T3386" s="199"/>
      <c r="U3386" s="199"/>
    </row>
    <row r="3387" spans="1:21" x14ac:dyDescent="0.25">
      <c r="A3387" t="s">
        <v>996</v>
      </c>
      <c r="B3387" t="s">
        <v>997</v>
      </c>
      <c r="C3387" t="s">
        <v>997</v>
      </c>
      <c r="D3387">
        <v>7860</v>
      </c>
      <c r="E3387">
        <v>162</v>
      </c>
      <c r="F3387" t="s">
        <v>1362</v>
      </c>
      <c r="G3387" t="s">
        <v>1363</v>
      </c>
      <c r="H3387" s="315" t="s">
        <v>1023</v>
      </c>
      <c r="I3387" s="315" t="s">
        <v>1001</v>
      </c>
      <c r="J3387" s="315" t="str">
        <f t="shared" si="281"/>
        <v>LEX Admin &amp; OtherOther Overheads as % of Total Gross Profit</v>
      </c>
      <c r="K3387" s="315" t="str">
        <f t="shared" si="282"/>
        <v>162Miscellaneous expenses - Lexus</v>
      </c>
      <c r="L3387" s="311">
        <f>+SUMIF('TUNZ Extracted TB'!M:M,$P3387,'TUNZ Extracted TB'!G:G)</f>
        <v>0</v>
      </c>
      <c r="M3387" s="311"/>
      <c r="N3387" s="311">
        <f>+SUMIF('Input Sheet'!$AE:$AE,P3387,'Input Sheet'!$X:$X)</f>
        <v>0</v>
      </c>
      <c r="O3387" s="311"/>
      <c r="P3387" t="str">
        <f t="shared" si="283"/>
        <v>162-7860</v>
      </c>
      <c r="Q3387" s="315" t="str">
        <f t="shared" si="284"/>
        <v>LEX Admin &amp; Other</v>
      </c>
      <c r="R3387" s="315" t="str">
        <f t="shared" si="285"/>
        <v>LEX Admin &amp; OtherOther Overheads as % of Total Gross Profit</v>
      </c>
      <c r="S3387" s="199"/>
      <c r="T3387" s="199"/>
      <c r="U3387" s="199"/>
    </row>
    <row r="3388" spans="1:21" x14ac:dyDescent="0.25">
      <c r="A3388" t="s">
        <v>996</v>
      </c>
      <c r="B3388" t="s">
        <v>997</v>
      </c>
      <c r="C3388" t="s">
        <v>997</v>
      </c>
      <c r="D3388">
        <v>7860</v>
      </c>
      <c r="E3388">
        <v>120</v>
      </c>
      <c r="F3388" t="s">
        <v>998</v>
      </c>
      <c r="G3388" t="s">
        <v>999</v>
      </c>
      <c r="H3388" s="315" t="s">
        <v>1000</v>
      </c>
      <c r="I3388" s="315" t="s">
        <v>1001</v>
      </c>
      <c r="J3388" s="315" t="str">
        <f t="shared" si="281"/>
        <v>Admin &amp; OtherOther Overheads as % of Total Gross Profit</v>
      </c>
      <c r="K3388" s="315" t="str">
        <f t="shared" si="282"/>
        <v>120Miscellaneous expenses - Toyota</v>
      </c>
      <c r="L3388" s="311">
        <f>+SUMIF('TUNZ Extracted TB'!M:M,$P3388,'TUNZ Extracted TB'!G:G)</f>
        <v>542.08000000000004</v>
      </c>
      <c r="M3388" s="311"/>
      <c r="N3388" s="311">
        <f>+SUMIF('Input Sheet'!$AE:$AE,P3388,'Input Sheet'!$X:$X)</f>
        <v>0</v>
      </c>
      <c r="O3388" s="311"/>
      <c r="P3388" t="str">
        <f t="shared" si="283"/>
        <v>120-7860</v>
      </c>
      <c r="Q3388" s="315" t="str">
        <f t="shared" si="284"/>
        <v>Admin &amp; Other</v>
      </c>
      <c r="R3388" s="315" t="str">
        <f t="shared" si="285"/>
        <v>Admin &amp; OtherOther Overheads as % of Total Gross Profit</v>
      </c>
      <c r="S3388" s="199"/>
      <c r="T3388" s="199"/>
      <c r="U3388" s="199"/>
    </row>
    <row r="3389" spans="1:21" x14ac:dyDescent="0.25">
      <c r="A3389" t="s">
        <v>996</v>
      </c>
      <c r="B3389" t="s">
        <v>997</v>
      </c>
      <c r="C3389" t="s">
        <v>997</v>
      </c>
      <c r="D3389">
        <v>7860</v>
      </c>
      <c r="E3389">
        <v>121</v>
      </c>
      <c r="F3389" t="s">
        <v>998</v>
      </c>
      <c r="G3389" t="s">
        <v>999</v>
      </c>
      <c r="H3389" s="315" t="s">
        <v>1000</v>
      </c>
      <c r="I3389" s="315" t="s">
        <v>1001</v>
      </c>
      <c r="J3389" s="315" t="str">
        <f t="shared" si="281"/>
        <v>Admin &amp; OtherOther Overheads as % of Total Gross Profit</v>
      </c>
      <c r="K3389" s="315" t="str">
        <f t="shared" si="282"/>
        <v>121Miscellaneous expenses - Toyota</v>
      </c>
      <c r="L3389" s="311">
        <f>+SUMIF('TUNZ Extracted TB'!M:M,$P3389,'TUNZ Extracted TB'!G:G)</f>
        <v>0</v>
      </c>
      <c r="M3389" s="311"/>
      <c r="N3389" s="311">
        <f>+SUMIF('Input Sheet'!$AE:$AE,P3389,'Input Sheet'!$X:$X)</f>
        <v>0</v>
      </c>
      <c r="O3389" s="311"/>
      <c r="P3389" t="str">
        <f t="shared" si="283"/>
        <v>121-7860</v>
      </c>
      <c r="Q3389" s="315" t="str">
        <f t="shared" si="284"/>
        <v>Admin &amp; Other</v>
      </c>
      <c r="R3389" s="315" t="str">
        <f t="shared" si="285"/>
        <v>Admin &amp; OtherOther Overheads as % of Total Gross Profit</v>
      </c>
      <c r="S3389" s="199"/>
      <c r="T3389" s="199"/>
      <c r="U3389" s="199"/>
    </row>
    <row r="3390" spans="1:21" x14ac:dyDescent="0.25">
      <c r="A3390" t="s">
        <v>996</v>
      </c>
      <c r="B3390" t="s">
        <v>997</v>
      </c>
      <c r="C3390" t="s">
        <v>1005</v>
      </c>
      <c r="D3390">
        <v>7860</v>
      </c>
      <c r="E3390">
        <v>210</v>
      </c>
      <c r="F3390" t="s">
        <v>998</v>
      </c>
      <c r="G3390" t="s">
        <v>999</v>
      </c>
      <c r="H3390" s="315" t="s">
        <v>1000</v>
      </c>
      <c r="I3390" s="315" t="s">
        <v>1001</v>
      </c>
      <c r="J3390" s="315" t="str">
        <f t="shared" si="281"/>
        <v>Admin &amp; OtherOther Overheads as % of Total Gross Profit</v>
      </c>
      <c r="K3390" s="315" t="str">
        <f t="shared" si="282"/>
        <v>210Miscellaneous expenses - Toyota</v>
      </c>
      <c r="L3390" s="311">
        <f>+SUMIF('TUNZ Extracted TB'!M:M,$P3390,'TUNZ Extracted TB'!G:G)</f>
        <v>542.08000000000004</v>
      </c>
      <c r="M3390" s="311"/>
      <c r="N3390" s="311">
        <f>+SUMIF('Input Sheet'!$AE:$AE,P3390,'Input Sheet'!$X:$X)</f>
        <v>0</v>
      </c>
      <c r="O3390" s="311"/>
      <c r="P3390" t="str">
        <f t="shared" si="283"/>
        <v>210-7860</v>
      </c>
      <c r="Q3390" s="315" t="str">
        <f t="shared" si="284"/>
        <v>Admin &amp; Other</v>
      </c>
      <c r="R3390" s="315" t="str">
        <f t="shared" si="285"/>
        <v>Admin &amp; OtherOther Overheads as % of Total Gross Profit</v>
      </c>
      <c r="S3390" s="199"/>
      <c r="T3390" s="199"/>
      <c r="U3390" s="199"/>
    </row>
    <row r="3391" spans="1:21" x14ac:dyDescent="0.25">
      <c r="A3391" t="s">
        <v>996</v>
      </c>
      <c r="B3391" t="s">
        <v>997</v>
      </c>
      <c r="C3391" t="s">
        <v>1005</v>
      </c>
      <c r="D3391">
        <v>7860</v>
      </c>
      <c r="E3391">
        <v>220</v>
      </c>
      <c r="F3391" t="s">
        <v>998</v>
      </c>
      <c r="G3391" t="s">
        <v>999</v>
      </c>
      <c r="H3391" s="315" t="s">
        <v>1000</v>
      </c>
      <c r="I3391" s="315" t="s">
        <v>1001</v>
      </c>
      <c r="J3391" s="315" t="str">
        <f t="shared" si="281"/>
        <v>Admin &amp; OtherOther Overheads as % of Total Gross Profit</v>
      </c>
      <c r="K3391" s="315" t="str">
        <f t="shared" si="282"/>
        <v>220Miscellaneous expenses - Toyota</v>
      </c>
      <c r="L3391" s="311">
        <f>+SUMIF('TUNZ Extracted TB'!M:M,$P3391,'TUNZ Extracted TB'!G:G)</f>
        <v>542.08000000000004</v>
      </c>
      <c r="M3391" s="311"/>
      <c r="N3391" s="311">
        <f>+SUMIF('Input Sheet'!$AE:$AE,P3391,'Input Sheet'!$X:$X)</f>
        <v>0</v>
      </c>
      <c r="O3391" s="311"/>
      <c r="P3391" t="str">
        <f t="shared" si="283"/>
        <v>220-7860</v>
      </c>
      <c r="Q3391" s="315" t="str">
        <f t="shared" si="284"/>
        <v>Admin &amp; Other</v>
      </c>
      <c r="R3391" s="315" t="str">
        <f t="shared" si="285"/>
        <v>Admin &amp; OtherOther Overheads as % of Total Gross Profit</v>
      </c>
      <c r="S3391" s="199"/>
      <c r="T3391" s="199"/>
      <c r="U3391" s="199"/>
    </row>
    <row r="3392" spans="1:21" x14ac:dyDescent="0.25">
      <c r="A3392" t="s">
        <v>996</v>
      </c>
      <c r="B3392" t="s">
        <v>997</v>
      </c>
      <c r="C3392" t="s">
        <v>1005</v>
      </c>
      <c r="D3392">
        <v>7860</v>
      </c>
      <c r="E3392">
        <v>230</v>
      </c>
      <c r="F3392" t="s">
        <v>998</v>
      </c>
      <c r="G3392" t="s">
        <v>999</v>
      </c>
      <c r="H3392" s="315" t="s">
        <v>1000</v>
      </c>
      <c r="I3392" s="315" t="s">
        <v>1001</v>
      </c>
      <c r="J3392" s="315" t="str">
        <f t="shared" si="281"/>
        <v>Admin &amp; OtherOther Overheads as % of Total Gross Profit</v>
      </c>
      <c r="K3392" s="315" t="str">
        <f t="shared" si="282"/>
        <v>230Miscellaneous expenses - Toyota</v>
      </c>
      <c r="L3392" s="311">
        <f>+SUMIF('TUNZ Extracted TB'!M:M,$P3392,'TUNZ Extracted TB'!G:G)</f>
        <v>542.08000000000004</v>
      </c>
      <c r="M3392" s="311"/>
      <c r="N3392" s="311">
        <f>+SUMIF('Input Sheet'!$AE:$AE,P3392,'Input Sheet'!$X:$X)</f>
        <v>0</v>
      </c>
      <c r="O3392" s="311"/>
      <c r="P3392" t="str">
        <f t="shared" si="283"/>
        <v>230-7860</v>
      </c>
      <c r="Q3392" s="315" t="str">
        <f t="shared" si="284"/>
        <v>Admin &amp; Other</v>
      </c>
      <c r="R3392" s="315" t="str">
        <f t="shared" si="285"/>
        <v>Admin &amp; OtherOther Overheads as % of Total Gross Profit</v>
      </c>
      <c r="S3392" s="199"/>
      <c r="T3392" s="199"/>
      <c r="U3392" s="199"/>
    </row>
    <row r="3393" spans="1:21" x14ac:dyDescent="0.25">
      <c r="A3393" t="s">
        <v>996</v>
      </c>
      <c r="B3393" t="s">
        <v>997</v>
      </c>
      <c r="C3393" t="s">
        <v>997</v>
      </c>
      <c r="D3393">
        <v>7860</v>
      </c>
      <c r="E3393">
        <v>160</v>
      </c>
      <c r="F3393" t="s">
        <v>998</v>
      </c>
      <c r="G3393" t="s">
        <v>999</v>
      </c>
      <c r="H3393" s="315" t="s">
        <v>1000</v>
      </c>
      <c r="I3393" s="315" t="s">
        <v>1001</v>
      </c>
      <c r="J3393" s="315" t="str">
        <f t="shared" si="281"/>
        <v>Admin &amp; OtherOther Overheads as % of Total Gross Profit</v>
      </c>
      <c r="K3393" s="315" t="str">
        <f t="shared" si="282"/>
        <v>160Miscellaneous expenses - Toyota</v>
      </c>
      <c r="L3393" s="311">
        <f>+SUMIF('TUNZ Extracted TB'!M:M,$P3393,'TUNZ Extracted TB'!G:G)</f>
        <v>0</v>
      </c>
      <c r="M3393" s="311"/>
      <c r="N3393" s="311">
        <f>+SUMIF('Input Sheet'!$AE:$AE,P3393,'Input Sheet'!$X:$X)</f>
        <v>0</v>
      </c>
      <c r="O3393" s="311"/>
      <c r="P3393" t="str">
        <f t="shared" si="283"/>
        <v>160-7860</v>
      </c>
      <c r="Q3393" s="315" t="str">
        <f t="shared" si="284"/>
        <v>Admin &amp; Other</v>
      </c>
      <c r="R3393" s="315" t="str">
        <f t="shared" si="285"/>
        <v>Admin &amp; OtherOther Overheads as % of Total Gross Profit</v>
      </c>
      <c r="S3393" s="199"/>
      <c r="T3393" s="199"/>
      <c r="U3393" s="199"/>
    </row>
    <row r="3394" spans="1:21" x14ac:dyDescent="0.25">
      <c r="A3394" t="s">
        <v>996</v>
      </c>
      <c r="B3394" t="s">
        <v>997</v>
      </c>
      <c r="C3394" t="s">
        <v>1005</v>
      </c>
      <c r="D3394">
        <v>7860</v>
      </c>
      <c r="E3394">
        <v>200</v>
      </c>
      <c r="F3394" t="s">
        <v>998</v>
      </c>
      <c r="G3394" t="s">
        <v>999</v>
      </c>
      <c r="H3394" s="315" t="s">
        <v>1000</v>
      </c>
      <c r="I3394" s="315" t="s">
        <v>1001</v>
      </c>
      <c r="J3394" s="315" t="str">
        <f t="shared" si="281"/>
        <v>Admin &amp; OtherOther Overheads as % of Total Gross Profit</v>
      </c>
      <c r="K3394" s="315" t="str">
        <f t="shared" si="282"/>
        <v>200Miscellaneous expenses - Toyota</v>
      </c>
      <c r="L3394" s="311">
        <f>+SUMIF('TUNZ Extracted TB'!M:M,$P3394,'TUNZ Extracted TB'!G:G)</f>
        <v>0</v>
      </c>
      <c r="M3394" s="311"/>
      <c r="N3394" s="311">
        <f>+SUMIF('Input Sheet'!$AE:$AE,P3394,'Input Sheet'!$X:$X)</f>
        <v>0</v>
      </c>
      <c r="O3394" s="311"/>
      <c r="P3394" t="str">
        <f t="shared" si="283"/>
        <v>200-7860</v>
      </c>
      <c r="Q3394" s="315" t="str">
        <f t="shared" si="284"/>
        <v>Admin &amp; Other</v>
      </c>
      <c r="R3394" s="315" t="str">
        <f t="shared" si="285"/>
        <v>Admin &amp; OtherOther Overheads as % of Total Gross Profit</v>
      </c>
      <c r="S3394" s="199"/>
      <c r="T3394" s="199"/>
      <c r="U3394" s="199"/>
    </row>
    <row r="3395" spans="1:21" x14ac:dyDescent="0.25">
      <c r="A3395" t="s">
        <v>996</v>
      </c>
      <c r="B3395" t="s">
        <v>997</v>
      </c>
      <c r="C3395" t="s">
        <v>1005</v>
      </c>
      <c r="D3395">
        <v>7860</v>
      </c>
      <c r="E3395">
        <v>221</v>
      </c>
      <c r="F3395" t="s">
        <v>998</v>
      </c>
      <c r="G3395" t="s">
        <v>999</v>
      </c>
      <c r="H3395" s="315" t="s">
        <v>1000</v>
      </c>
      <c r="I3395" s="315" t="s">
        <v>1001</v>
      </c>
      <c r="J3395" s="315" t="str">
        <f t="shared" ref="J3395:J3458" si="286">+H3395&amp;I3395</f>
        <v>Admin &amp; OtherOther Overheads as % of Total Gross Profit</v>
      </c>
      <c r="K3395" s="315" t="str">
        <f t="shared" ref="K3395:K3458" si="287">+E3395&amp;G3395</f>
        <v>221Miscellaneous expenses - Toyota</v>
      </c>
      <c r="L3395" s="311">
        <f>+SUMIF('TUNZ Extracted TB'!M:M,$P3395,'TUNZ Extracted TB'!G:G)</f>
        <v>0</v>
      </c>
      <c r="M3395" s="311"/>
      <c r="N3395" s="311">
        <f>+SUMIF('Input Sheet'!$AE:$AE,P3395,'Input Sheet'!$X:$X)</f>
        <v>0</v>
      </c>
      <c r="O3395" s="311"/>
      <c r="P3395" t="str">
        <f t="shared" ref="P3395:P3458" si="288">+E3395&amp;"-"&amp;D3395</f>
        <v>221-7860</v>
      </c>
      <c r="Q3395" s="315" t="str">
        <f t="shared" ref="Q3395:Q3458" si="289">H3395</f>
        <v>Admin &amp; Other</v>
      </c>
      <c r="R3395" s="315" t="str">
        <f t="shared" ref="R3395:R3458" si="290">J3395</f>
        <v>Admin &amp; OtherOther Overheads as % of Total Gross Profit</v>
      </c>
      <c r="S3395" s="199"/>
      <c r="T3395" s="199"/>
      <c r="U3395" s="199"/>
    </row>
    <row r="3396" spans="1:21" x14ac:dyDescent="0.25">
      <c r="A3396" t="s">
        <v>996</v>
      </c>
      <c r="B3396" t="s">
        <v>997</v>
      </c>
      <c r="C3396" t="s">
        <v>1005</v>
      </c>
      <c r="D3396">
        <v>7860</v>
      </c>
      <c r="E3396">
        <v>260</v>
      </c>
      <c r="F3396" t="s">
        <v>998</v>
      </c>
      <c r="G3396" t="s">
        <v>999</v>
      </c>
      <c r="H3396" s="315" t="s">
        <v>1000</v>
      </c>
      <c r="I3396" s="315" t="s">
        <v>1001</v>
      </c>
      <c r="J3396" s="315" t="str">
        <f t="shared" si="286"/>
        <v>Admin &amp; OtherOther Overheads as % of Total Gross Profit</v>
      </c>
      <c r="K3396" s="315" t="str">
        <f t="shared" si="287"/>
        <v>260Miscellaneous expenses - Toyota</v>
      </c>
      <c r="L3396" s="311">
        <f>+SUMIF('TUNZ Extracted TB'!M:M,$P3396,'TUNZ Extracted TB'!G:G)</f>
        <v>0</v>
      </c>
      <c r="M3396" s="311"/>
      <c r="N3396" s="311">
        <f>+SUMIF('Input Sheet'!$AE:$AE,P3396,'Input Sheet'!$X:$X)</f>
        <v>0</v>
      </c>
      <c r="O3396" s="311"/>
      <c r="P3396" t="str">
        <f t="shared" si="288"/>
        <v>260-7860</v>
      </c>
      <c r="Q3396" s="315" t="str">
        <f t="shared" si="289"/>
        <v>Admin &amp; Other</v>
      </c>
      <c r="R3396" s="315" t="str">
        <f t="shared" si="290"/>
        <v>Admin &amp; OtherOther Overheads as % of Total Gross Profit</v>
      </c>
      <c r="S3396" s="199"/>
      <c r="T3396" s="199"/>
      <c r="U3396" s="199"/>
    </row>
    <row r="3397" spans="1:21" x14ac:dyDescent="0.25">
      <c r="A3397" t="s">
        <v>996</v>
      </c>
      <c r="B3397" t="s">
        <v>997</v>
      </c>
      <c r="C3397" t="s">
        <v>1012</v>
      </c>
      <c r="D3397">
        <v>7860</v>
      </c>
      <c r="E3397">
        <v>400</v>
      </c>
      <c r="F3397" t="s">
        <v>998</v>
      </c>
      <c r="G3397" t="s">
        <v>999</v>
      </c>
      <c r="H3397" s="315" t="s">
        <v>1000</v>
      </c>
      <c r="I3397" s="315" t="s">
        <v>1001</v>
      </c>
      <c r="J3397" s="315" t="str">
        <f t="shared" si="286"/>
        <v>Admin &amp; OtherOther Overheads as % of Total Gross Profit</v>
      </c>
      <c r="K3397" s="315" t="str">
        <f t="shared" si="287"/>
        <v>400Miscellaneous expenses - Toyota</v>
      </c>
      <c r="L3397" s="311">
        <f>+SUMIF('TUNZ Extracted TB'!M:M,$P3397,'TUNZ Extracted TB'!G:G)</f>
        <v>0</v>
      </c>
      <c r="M3397" s="311"/>
      <c r="N3397" s="311">
        <f>+SUMIF('Input Sheet'!$AE:$AE,P3397,'Input Sheet'!$X:$X)</f>
        <v>0</v>
      </c>
      <c r="O3397" s="311"/>
      <c r="P3397" t="str">
        <f t="shared" si="288"/>
        <v>400-7860</v>
      </c>
      <c r="Q3397" s="315" t="str">
        <f t="shared" si="289"/>
        <v>Admin &amp; Other</v>
      </c>
      <c r="R3397" s="315" t="str">
        <f t="shared" si="290"/>
        <v>Admin &amp; OtherOther Overheads as % of Total Gross Profit</v>
      </c>
      <c r="S3397" s="199"/>
      <c r="T3397" s="199"/>
      <c r="U3397" s="199"/>
    </row>
    <row r="3398" spans="1:21" x14ac:dyDescent="0.25">
      <c r="A3398" t="s">
        <v>996</v>
      </c>
      <c r="B3398" t="s">
        <v>997</v>
      </c>
      <c r="C3398" t="s">
        <v>1012</v>
      </c>
      <c r="D3398">
        <v>7860</v>
      </c>
      <c r="E3398">
        <v>410</v>
      </c>
      <c r="F3398" t="s">
        <v>998</v>
      </c>
      <c r="G3398" t="s">
        <v>999</v>
      </c>
      <c r="H3398" s="315" t="s">
        <v>1000</v>
      </c>
      <c r="I3398" s="315" t="s">
        <v>1001</v>
      </c>
      <c r="J3398" s="315" t="str">
        <f t="shared" si="286"/>
        <v>Admin &amp; OtherOther Overheads as % of Total Gross Profit</v>
      </c>
      <c r="K3398" s="315" t="str">
        <f t="shared" si="287"/>
        <v>410Miscellaneous expenses - Toyota</v>
      </c>
      <c r="L3398" s="311">
        <f>+SUMIF('TUNZ Extracted TB'!M:M,$P3398,'TUNZ Extracted TB'!G:G)</f>
        <v>0</v>
      </c>
      <c r="M3398" s="311"/>
      <c r="N3398" s="311">
        <f>+SUMIF('Input Sheet'!$AE:$AE,P3398,'Input Sheet'!$X:$X)</f>
        <v>0</v>
      </c>
      <c r="O3398" s="311"/>
      <c r="P3398" t="str">
        <f t="shared" si="288"/>
        <v>410-7860</v>
      </c>
      <c r="Q3398" s="315" t="str">
        <f t="shared" si="289"/>
        <v>Admin &amp; Other</v>
      </c>
      <c r="R3398" s="315" t="str">
        <f t="shared" si="290"/>
        <v>Admin &amp; OtherOther Overheads as % of Total Gross Profit</v>
      </c>
      <c r="S3398" s="199"/>
      <c r="T3398" s="199"/>
      <c r="U3398" s="199"/>
    </row>
    <row r="3399" spans="1:21" x14ac:dyDescent="0.25">
      <c r="A3399" t="s">
        <v>996</v>
      </c>
      <c r="B3399" t="s">
        <v>997</v>
      </c>
      <c r="C3399" t="s">
        <v>1012</v>
      </c>
      <c r="D3399">
        <v>7860</v>
      </c>
      <c r="E3399">
        <v>420</v>
      </c>
      <c r="F3399" t="s">
        <v>998</v>
      </c>
      <c r="G3399" t="s">
        <v>999</v>
      </c>
      <c r="H3399" s="315" t="s">
        <v>1000</v>
      </c>
      <c r="I3399" s="315" t="s">
        <v>1001</v>
      </c>
      <c r="J3399" s="315" t="str">
        <f t="shared" si="286"/>
        <v>Admin &amp; OtherOther Overheads as % of Total Gross Profit</v>
      </c>
      <c r="K3399" s="315" t="str">
        <f t="shared" si="287"/>
        <v>420Miscellaneous expenses - Toyota</v>
      </c>
      <c r="L3399" s="311">
        <f>+SUMIF('TUNZ Extracted TB'!M:M,$P3399,'TUNZ Extracted TB'!G:G)</f>
        <v>0</v>
      </c>
      <c r="M3399" s="311"/>
      <c r="N3399" s="311">
        <f>+SUMIF('Input Sheet'!$AE:$AE,P3399,'Input Sheet'!$X:$X)</f>
        <v>0</v>
      </c>
      <c r="O3399" s="311"/>
      <c r="P3399" t="str">
        <f t="shared" si="288"/>
        <v>420-7860</v>
      </c>
      <c r="Q3399" s="315" t="str">
        <f t="shared" si="289"/>
        <v>Admin &amp; Other</v>
      </c>
      <c r="R3399" s="315" t="str">
        <f t="shared" si="290"/>
        <v>Admin &amp; OtherOther Overheads as % of Total Gross Profit</v>
      </c>
      <c r="S3399" s="199"/>
      <c r="T3399" s="199"/>
      <c r="U3399" s="199"/>
    </row>
    <row r="3400" spans="1:21" x14ac:dyDescent="0.25">
      <c r="A3400" t="s">
        <v>996</v>
      </c>
      <c r="B3400" t="s">
        <v>997</v>
      </c>
      <c r="C3400" t="s">
        <v>1012</v>
      </c>
      <c r="D3400">
        <v>7860</v>
      </c>
      <c r="E3400">
        <v>421</v>
      </c>
      <c r="F3400" t="s">
        <v>998</v>
      </c>
      <c r="G3400" t="s">
        <v>999</v>
      </c>
      <c r="H3400" s="315" t="s">
        <v>1000</v>
      </c>
      <c r="I3400" s="315" t="s">
        <v>1001</v>
      </c>
      <c r="J3400" s="315" t="str">
        <f t="shared" si="286"/>
        <v>Admin &amp; OtherOther Overheads as % of Total Gross Profit</v>
      </c>
      <c r="K3400" s="315" t="str">
        <f t="shared" si="287"/>
        <v>421Miscellaneous expenses - Toyota</v>
      </c>
      <c r="L3400" s="311">
        <f>+SUMIF('TUNZ Extracted TB'!M:M,$P3400,'TUNZ Extracted TB'!G:G)</f>
        <v>0</v>
      </c>
      <c r="M3400" s="311"/>
      <c r="N3400" s="311">
        <f>+SUMIF('Input Sheet'!$AE:$AE,P3400,'Input Sheet'!$X:$X)</f>
        <v>0</v>
      </c>
      <c r="O3400" s="311"/>
      <c r="P3400" t="str">
        <f t="shared" si="288"/>
        <v>421-7860</v>
      </c>
      <c r="Q3400" s="315" t="str">
        <f t="shared" si="289"/>
        <v>Admin &amp; Other</v>
      </c>
      <c r="R3400" s="315" t="str">
        <f t="shared" si="290"/>
        <v>Admin &amp; OtherOther Overheads as % of Total Gross Profit</v>
      </c>
      <c r="S3400" s="199"/>
      <c r="T3400" s="199"/>
      <c r="U3400" s="199"/>
    </row>
    <row r="3401" spans="1:21" x14ac:dyDescent="0.25">
      <c r="A3401" t="s">
        <v>996</v>
      </c>
      <c r="B3401" t="s">
        <v>997</v>
      </c>
      <c r="C3401" t="s">
        <v>1012</v>
      </c>
      <c r="D3401">
        <v>7860</v>
      </c>
      <c r="E3401">
        <v>430</v>
      </c>
      <c r="F3401" t="s">
        <v>998</v>
      </c>
      <c r="G3401" t="s">
        <v>999</v>
      </c>
      <c r="H3401" s="315" t="s">
        <v>1000</v>
      </c>
      <c r="I3401" s="315" t="s">
        <v>1001</v>
      </c>
      <c r="J3401" s="315" t="str">
        <f t="shared" si="286"/>
        <v>Admin &amp; OtherOther Overheads as % of Total Gross Profit</v>
      </c>
      <c r="K3401" s="315" t="str">
        <f t="shared" si="287"/>
        <v>430Miscellaneous expenses - Toyota</v>
      </c>
      <c r="L3401" s="311">
        <f>+SUMIF('TUNZ Extracted TB'!M:M,$P3401,'TUNZ Extracted TB'!G:G)</f>
        <v>0</v>
      </c>
      <c r="M3401" s="311"/>
      <c r="N3401" s="311">
        <f>+SUMIF('Input Sheet'!$AE:$AE,P3401,'Input Sheet'!$X:$X)</f>
        <v>0</v>
      </c>
      <c r="O3401" s="311"/>
      <c r="P3401" t="str">
        <f t="shared" si="288"/>
        <v>430-7860</v>
      </c>
      <c r="Q3401" s="315" t="str">
        <f t="shared" si="289"/>
        <v>Admin &amp; Other</v>
      </c>
      <c r="R3401" s="315" t="str">
        <f t="shared" si="290"/>
        <v>Admin &amp; OtherOther Overheads as % of Total Gross Profit</v>
      </c>
      <c r="S3401" s="199"/>
      <c r="T3401" s="199"/>
      <c r="U3401" s="199"/>
    </row>
    <row r="3402" spans="1:21" x14ac:dyDescent="0.25">
      <c r="A3402" t="s">
        <v>996</v>
      </c>
      <c r="B3402" t="s">
        <v>997</v>
      </c>
      <c r="C3402" t="s">
        <v>1012</v>
      </c>
      <c r="D3402">
        <v>7860</v>
      </c>
      <c r="E3402">
        <v>460</v>
      </c>
      <c r="F3402" t="s">
        <v>998</v>
      </c>
      <c r="G3402" t="s">
        <v>999</v>
      </c>
      <c r="H3402" s="315" t="s">
        <v>1000</v>
      </c>
      <c r="I3402" s="315" t="s">
        <v>1001</v>
      </c>
      <c r="J3402" s="315" t="str">
        <f t="shared" si="286"/>
        <v>Admin &amp; OtherOther Overheads as % of Total Gross Profit</v>
      </c>
      <c r="K3402" s="315" t="str">
        <f t="shared" si="287"/>
        <v>460Miscellaneous expenses - Toyota</v>
      </c>
      <c r="L3402" s="311">
        <f>+SUMIF('TUNZ Extracted TB'!M:M,$P3402,'TUNZ Extracted TB'!G:G)</f>
        <v>0</v>
      </c>
      <c r="M3402" s="311"/>
      <c r="N3402" s="311">
        <f>+SUMIF('Input Sheet'!$AE:$AE,P3402,'Input Sheet'!$X:$X)</f>
        <v>0</v>
      </c>
      <c r="O3402" s="311"/>
      <c r="P3402" t="str">
        <f t="shared" si="288"/>
        <v>460-7860</v>
      </c>
      <c r="Q3402" s="315" t="str">
        <f t="shared" si="289"/>
        <v>Admin &amp; Other</v>
      </c>
      <c r="R3402" s="315" t="str">
        <f t="shared" si="290"/>
        <v>Admin &amp; OtherOther Overheads as % of Total Gross Profit</v>
      </c>
      <c r="S3402" s="199"/>
      <c r="T3402" s="199"/>
      <c r="U3402" s="199"/>
    </row>
    <row r="3403" spans="1:21" x14ac:dyDescent="0.25">
      <c r="A3403" t="s">
        <v>996</v>
      </c>
      <c r="B3403" t="s">
        <v>997</v>
      </c>
      <c r="C3403" t="s">
        <v>1013</v>
      </c>
      <c r="D3403">
        <v>7860</v>
      </c>
      <c r="E3403">
        <v>300</v>
      </c>
      <c r="F3403" t="s">
        <v>998</v>
      </c>
      <c r="G3403" t="s">
        <v>999</v>
      </c>
      <c r="H3403" s="315" t="s">
        <v>1000</v>
      </c>
      <c r="I3403" s="315" t="s">
        <v>1001</v>
      </c>
      <c r="J3403" s="315" t="str">
        <f t="shared" si="286"/>
        <v>Admin &amp; OtherOther Overheads as % of Total Gross Profit</v>
      </c>
      <c r="K3403" s="315" t="str">
        <f t="shared" si="287"/>
        <v>300Miscellaneous expenses - Toyota</v>
      </c>
      <c r="L3403" s="311">
        <f>+SUMIF('TUNZ Extracted TB'!M:M,$P3403,'TUNZ Extracted TB'!G:G)</f>
        <v>0</v>
      </c>
      <c r="M3403" s="311"/>
      <c r="N3403" s="311">
        <f>+SUMIF('Input Sheet'!$AE:$AE,P3403,'Input Sheet'!$X:$X)</f>
        <v>0</v>
      </c>
      <c r="O3403" s="311"/>
      <c r="P3403" t="str">
        <f t="shared" si="288"/>
        <v>300-7860</v>
      </c>
      <c r="Q3403" s="315" t="str">
        <f t="shared" si="289"/>
        <v>Admin &amp; Other</v>
      </c>
      <c r="R3403" s="315" t="str">
        <f t="shared" si="290"/>
        <v>Admin &amp; OtherOther Overheads as % of Total Gross Profit</v>
      </c>
      <c r="S3403" s="199"/>
      <c r="T3403" s="199"/>
      <c r="U3403" s="199"/>
    </row>
    <row r="3404" spans="1:21" x14ac:dyDescent="0.25">
      <c r="A3404" t="s">
        <v>996</v>
      </c>
      <c r="B3404" t="s">
        <v>997</v>
      </c>
      <c r="C3404" t="s">
        <v>1013</v>
      </c>
      <c r="D3404">
        <v>7860</v>
      </c>
      <c r="E3404">
        <v>310</v>
      </c>
      <c r="F3404" t="s">
        <v>998</v>
      </c>
      <c r="G3404" t="s">
        <v>999</v>
      </c>
      <c r="H3404" s="315" t="s">
        <v>1000</v>
      </c>
      <c r="I3404" s="315" t="s">
        <v>1001</v>
      </c>
      <c r="J3404" s="315" t="str">
        <f t="shared" si="286"/>
        <v>Admin &amp; OtherOther Overheads as % of Total Gross Profit</v>
      </c>
      <c r="K3404" s="315" t="str">
        <f t="shared" si="287"/>
        <v>310Miscellaneous expenses - Toyota</v>
      </c>
      <c r="L3404" s="311">
        <f>+SUMIF('TUNZ Extracted TB'!M:M,$P3404,'TUNZ Extracted TB'!G:G)</f>
        <v>0</v>
      </c>
      <c r="M3404" s="311"/>
      <c r="N3404" s="311">
        <f>+SUMIF('Input Sheet'!$AE:$AE,P3404,'Input Sheet'!$X:$X)</f>
        <v>0</v>
      </c>
      <c r="O3404" s="311"/>
      <c r="P3404" t="str">
        <f t="shared" si="288"/>
        <v>310-7860</v>
      </c>
      <c r="Q3404" s="315" t="str">
        <f t="shared" si="289"/>
        <v>Admin &amp; Other</v>
      </c>
      <c r="R3404" s="315" t="str">
        <f t="shared" si="290"/>
        <v>Admin &amp; OtherOther Overheads as % of Total Gross Profit</v>
      </c>
      <c r="S3404" s="199"/>
      <c r="T3404" s="199"/>
      <c r="U3404" s="199"/>
    </row>
    <row r="3405" spans="1:21" x14ac:dyDescent="0.25">
      <c r="A3405" t="s">
        <v>996</v>
      </c>
      <c r="B3405" t="s">
        <v>997</v>
      </c>
      <c r="C3405" t="s">
        <v>1013</v>
      </c>
      <c r="D3405">
        <v>7860</v>
      </c>
      <c r="E3405">
        <v>320</v>
      </c>
      <c r="F3405" t="s">
        <v>998</v>
      </c>
      <c r="G3405" t="s">
        <v>999</v>
      </c>
      <c r="H3405" s="315" t="s">
        <v>1000</v>
      </c>
      <c r="I3405" s="315" t="s">
        <v>1001</v>
      </c>
      <c r="J3405" s="315" t="str">
        <f t="shared" si="286"/>
        <v>Admin &amp; OtherOther Overheads as % of Total Gross Profit</v>
      </c>
      <c r="K3405" s="315" t="str">
        <f t="shared" si="287"/>
        <v>320Miscellaneous expenses - Toyota</v>
      </c>
      <c r="L3405" s="311">
        <f>+SUMIF('TUNZ Extracted TB'!M:M,$P3405,'TUNZ Extracted TB'!G:G)</f>
        <v>0</v>
      </c>
      <c r="M3405" s="311"/>
      <c r="N3405" s="311">
        <f>+SUMIF('Input Sheet'!$AE:$AE,P3405,'Input Sheet'!$X:$X)</f>
        <v>0</v>
      </c>
      <c r="O3405" s="311"/>
      <c r="P3405" t="str">
        <f t="shared" si="288"/>
        <v>320-7860</v>
      </c>
      <c r="Q3405" s="315" t="str">
        <f t="shared" si="289"/>
        <v>Admin &amp; Other</v>
      </c>
      <c r="R3405" s="315" t="str">
        <f t="shared" si="290"/>
        <v>Admin &amp; OtherOther Overheads as % of Total Gross Profit</v>
      </c>
      <c r="S3405" s="199"/>
      <c r="T3405" s="199"/>
      <c r="U3405" s="199"/>
    </row>
    <row r="3406" spans="1:21" x14ac:dyDescent="0.25">
      <c r="A3406" t="s">
        <v>996</v>
      </c>
      <c r="B3406" t="s">
        <v>997</v>
      </c>
      <c r="C3406" t="s">
        <v>1013</v>
      </c>
      <c r="D3406">
        <v>7860</v>
      </c>
      <c r="E3406">
        <v>321</v>
      </c>
      <c r="F3406" t="s">
        <v>998</v>
      </c>
      <c r="G3406" t="s">
        <v>999</v>
      </c>
      <c r="H3406" s="315" t="s">
        <v>1000</v>
      </c>
      <c r="I3406" s="315" t="s">
        <v>1001</v>
      </c>
      <c r="J3406" s="315" t="str">
        <f t="shared" si="286"/>
        <v>Admin &amp; OtherOther Overheads as % of Total Gross Profit</v>
      </c>
      <c r="K3406" s="315" t="str">
        <f t="shared" si="287"/>
        <v>321Miscellaneous expenses - Toyota</v>
      </c>
      <c r="L3406" s="311">
        <f>+SUMIF('TUNZ Extracted TB'!M:M,$P3406,'TUNZ Extracted TB'!G:G)</f>
        <v>0</v>
      </c>
      <c r="M3406" s="311"/>
      <c r="N3406" s="311">
        <f>+SUMIF('Input Sheet'!$AE:$AE,P3406,'Input Sheet'!$X:$X)</f>
        <v>0</v>
      </c>
      <c r="O3406" s="311"/>
      <c r="P3406" t="str">
        <f t="shared" si="288"/>
        <v>321-7860</v>
      </c>
      <c r="Q3406" s="315" t="str">
        <f t="shared" si="289"/>
        <v>Admin &amp; Other</v>
      </c>
      <c r="R3406" s="315" t="str">
        <f t="shared" si="290"/>
        <v>Admin &amp; OtherOther Overheads as % of Total Gross Profit</v>
      </c>
      <c r="S3406" s="199"/>
      <c r="T3406" s="199"/>
      <c r="U3406" s="199"/>
    </row>
    <row r="3407" spans="1:21" x14ac:dyDescent="0.25">
      <c r="A3407" t="s">
        <v>996</v>
      </c>
      <c r="B3407" t="s">
        <v>997</v>
      </c>
      <c r="C3407" t="s">
        <v>1013</v>
      </c>
      <c r="D3407">
        <v>7860</v>
      </c>
      <c r="E3407">
        <v>330</v>
      </c>
      <c r="F3407" t="s">
        <v>998</v>
      </c>
      <c r="G3407" t="s">
        <v>999</v>
      </c>
      <c r="H3407" s="315" t="s">
        <v>1000</v>
      </c>
      <c r="I3407" s="315" t="s">
        <v>1001</v>
      </c>
      <c r="J3407" s="315" t="str">
        <f t="shared" si="286"/>
        <v>Admin &amp; OtherOther Overheads as % of Total Gross Profit</v>
      </c>
      <c r="K3407" s="315" t="str">
        <f t="shared" si="287"/>
        <v>330Miscellaneous expenses - Toyota</v>
      </c>
      <c r="L3407" s="311">
        <f>+SUMIF('TUNZ Extracted TB'!M:M,$P3407,'TUNZ Extracted TB'!G:G)</f>
        <v>0</v>
      </c>
      <c r="M3407" s="311"/>
      <c r="N3407" s="311">
        <f>+SUMIF('Input Sheet'!$AE:$AE,P3407,'Input Sheet'!$X:$X)</f>
        <v>0</v>
      </c>
      <c r="O3407" s="311"/>
      <c r="P3407" t="str">
        <f t="shared" si="288"/>
        <v>330-7860</v>
      </c>
      <c r="Q3407" s="315" t="str">
        <f t="shared" si="289"/>
        <v>Admin &amp; Other</v>
      </c>
      <c r="R3407" s="315" t="str">
        <f t="shared" si="290"/>
        <v>Admin &amp; OtherOther Overheads as % of Total Gross Profit</v>
      </c>
      <c r="S3407" s="199"/>
      <c r="T3407" s="199"/>
      <c r="U3407" s="199"/>
    </row>
    <row r="3408" spans="1:21" x14ac:dyDescent="0.25">
      <c r="A3408" t="s">
        <v>996</v>
      </c>
      <c r="B3408" t="s">
        <v>997</v>
      </c>
      <c r="C3408" t="s">
        <v>1013</v>
      </c>
      <c r="D3408">
        <v>7860</v>
      </c>
      <c r="E3408">
        <v>360</v>
      </c>
      <c r="F3408" t="s">
        <v>998</v>
      </c>
      <c r="G3408" t="s">
        <v>999</v>
      </c>
      <c r="H3408" s="315" t="s">
        <v>1000</v>
      </c>
      <c r="I3408" s="315" t="s">
        <v>1001</v>
      </c>
      <c r="J3408" s="315" t="str">
        <f t="shared" si="286"/>
        <v>Admin &amp; OtherOther Overheads as % of Total Gross Profit</v>
      </c>
      <c r="K3408" s="315" t="str">
        <f t="shared" si="287"/>
        <v>360Miscellaneous expenses - Toyota</v>
      </c>
      <c r="L3408" s="311">
        <f>+SUMIF('TUNZ Extracted TB'!M:M,$P3408,'TUNZ Extracted TB'!G:G)</f>
        <v>0</v>
      </c>
      <c r="M3408" s="311"/>
      <c r="N3408" s="311">
        <f>+SUMIF('Input Sheet'!$AE:$AE,P3408,'Input Sheet'!$X:$X)</f>
        <v>0</v>
      </c>
      <c r="O3408" s="311"/>
      <c r="P3408" t="str">
        <f t="shared" si="288"/>
        <v>360-7860</v>
      </c>
      <c r="Q3408" s="315" t="str">
        <f t="shared" si="289"/>
        <v>Admin &amp; Other</v>
      </c>
      <c r="R3408" s="315" t="str">
        <f t="shared" si="290"/>
        <v>Admin &amp; OtherOther Overheads as % of Total Gross Profit</v>
      </c>
      <c r="S3408" s="199"/>
      <c r="T3408" s="199"/>
      <c r="U3408" s="199"/>
    </row>
    <row r="3409" spans="1:21" x14ac:dyDescent="0.25">
      <c r="A3409" t="s">
        <v>996</v>
      </c>
      <c r="B3409" t="s">
        <v>997</v>
      </c>
      <c r="C3409" t="s">
        <v>997</v>
      </c>
      <c r="D3409">
        <v>7860</v>
      </c>
      <c r="E3409">
        <v>147</v>
      </c>
      <c r="F3409" t="s">
        <v>998</v>
      </c>
      <c r="G3409" t="s">
        <v>999</v>
      </c>
      <c r="H3409" s="315" t="s">
        <v>1000</v>
      </c>
      <c r="I3409" s="315" t="s">
        <v>1001</v>
      </c>
      <c r="J3409" s="315" t="str">
        <f t="shared" si="286"/>
        <v>Admin &amp; OtherOther Overheads as % of Total Gross Profit</v>
      </c>
      <c r="K3409" s="315" t="str">
        <f t="shared" si="287"/>
        <v>147Miscellaneous expenses - Toyota</v>
      </c>
      <c r="L3409" s="311">
        <f>+SUMIF('TUNZ Extracted TB'!M:M,$P3409,'TUNZ Extracted TB'!G:G)</f>
        <v>0</v>
      </c>
      <c r="M3409" s="311"/>
      <c r="N3409" s="311">
        <f>+SUMIF('Input Sheet'!$AE:$AE,P3409,'Input Sheet'!$X:$X)</f>
        <v>0</v>
      </c>
      <c r="O3409" s="311"/>
      <c r="P3409" t="str">
        <f t="shared" si="288"/>
        <v>147-7860</v>
      </c>
      <c r="Q3409" s="315" t="str">
        <f t="shared" si="289"/>
        <v>Admin &amp; Other</v>
      </c>
      <c r="R3409" s="315" t="str">
        <f t="shared" si="290"/>
        <v>Admin &amp; OtherOther Overheads as % of Total Gross Profit</v>
      </c>
      <c r="S3409" s="199"/>
      <c r="T3409" s="199"/>
      <c r="U3409" s="199"/>
    </row>
    <row r="3410" spans="1:21" x14ac:dyDescent="0.25">
      <c r="A3410" t="s">
        <v>996</v>
      </c>
      <c r="B3410" t="s">
        <v>997</v>
      </c>
      <c r="C3410" t="s">
        <v>997</v>
      </c>
      <c r="D3410">
        <v>7860</v>
      </c>
      <c r="E3410">
        <v>936</v>
      </c>
      <c r="F3410" t="s">
        <v>1175</v>
      </c>
      <c r="G3410" t="s">
        <v>1176</v>
      </c>
      <c r="H3410" s="315" t="s">
        <v>1023</v>
      </c>
      <c r="I3410" s="315" t="s">
        <v>1001</v>
      </c>
      <c r="J3410" s="315" t="str">
        <f t="shared" si="286"/>
        <v>LEX Admin &amp; OtherOther Overheads as % of Total Gross Profit</v>
      </c>
      <c r="K3410" s="315" t="str">
        <f t="shared" si="287"/>
        <v>936Other franchise/business expense</v>
      </c>
      <c r="L3410" s="311">
        <f>+SUMIF('TUNZ Extracted TB'!M:M,$P3410,'TUNZ Extracted TB'!G:G)</f>
        <v>543</v>
      </c>
      <c r="M3410" s="311"/>
      <c r="N3410" s="311">
        <f>+SUMIF('Input Sheet'!$AE:$AE,P3410,'Input Sheet'!$X:$X)</f>
        <v>0</v>
      </c>
      <c r="O3410" s="311"/>
      <c r="P3410" t="str">
        <f t="shared" si="288"/>
        <v>936-7860</v>
      </c>
      <c r="Q3410" s="315" t="str">
        <f t="shared" si="289"/>
        <v>LEX Admin &amp; Other</v>
      </c>
      <c r="R3410" s="315" t="str">
        <f t="shared" si="290"/>
        <v>LEX Admin &amp; OtherOther Overheads as % of Total Gross Profit</v>
      </c>
      <c r="S3410" s="199"/>
      <c r="T3410" s="199"/>
      <c r="U3410" s="199"/>
    </row>
    <row r="3411" spans="1:21" x14ac:dyDescent="0.25">
      <c r="A3411" t="s">
        <v>996</v>
      </c>
      <c r="B3411" t="s">
        <v>997</v>
      </c>
      <c r="C3411" t="s">
        <v>997</v>
      </c>
      <c r="D3411">
        <v>7860</v>
      </c>
      <c r="E3411">
        <v>132</v>
      </c>
      <c r="F3411" t="s">
        <v>1362</v>
      </c>
      <c r="G3411" t="s">
        <v>1363</v>
      </c>
      <c r="H3411" s="315" t="s">
        <v>1023</v>
      </c>
      <c r="I3411" s="315" t="s">
        <v>1001</v>
      </c>
      <c r="J3411" s="315" t="str">
        <f t="shared" si="286"/>
        <v>LEX Admin &amp; OtherOther Overheads as % of Total Gross Profit</v>
      </c>
      <c r="K3411" s="315" t="str">
        <f t="shared" si="287"/>
        <v>132Miscellaneous expenses - Lexus</v>
      </c>
      <c r="L3411" s="311">
        <f>+SUMIF('TUNZ Extracted TB'!M:M,$P3411,'TUNZ Extracted TB'!G:G)</f>
        <v>0</v>
      </c>
      <c r="M3411" s="311"/>
      <c r="N3411" s="311">
        <f>+SUMIF('Input Sheet'!$AE:$AE,P3411,'Input Sheet'!$X:$X)</f>
        <v>0</v>
      </c>
      <c r="O3411" s="311"/>
      <c r="P3411" t="str">
        <f t="shared" si="288"/>
        <v>132-7860</v>
      </c>
      <c r="Q3411" s="315" t="str">
        <f t="shared" si="289"/>
        <v>LEX Admin &amp; Other</v>
      </c>
      <c r="R3411" s="315" t="str">
        <f t="shared" si="290"/>
        <v>LEX Admin &amp; OtherOther Overheads as % of Total Gross Profit</v>
      </c>
      <c r="S3411" s="199"/>
      <c r="T3411" s="199"/>
      <c r="U3411" s="199"/>
    </row>
    <row r="3412" spans="1:21" x14ac:dyDescent="0.25">
      <c r="A3412" t="s">
        <v>996</v>
      </c>
      <c r="B3412" t="s">
        <v>997</v>
      </c>
      <c r="C3412" t="s">
        <v>997</v>
      </c>
      <c r="D3412">
        <v>7860</v>
      </c>
      <c r="E3412">
        <v>130</v>
      </c>
      <c r="F3412" t="s">
        <v>998</v>
      </c>
      <c r="G3412" t="s">
        <v>999</v>
      </c>
      <c r="H3412" s="315" t="s">
        <v>1000</v>
      </c>
      <c r="I3412" s="315" t="s">
        <v>1001</v>
      </c>
      <c r="J3412" s="315" t="str">
        <f t="shared" si="286"/>
        <v>Admin &amp; OtherOther Overheads as % of Total Gross Profit</v>
      </c>
      <c r="K3412" s="315" t="str">
        <f t="shared" si="287"/>
        <v>130Miscellaneous expenses - Toyota</v>
      </c>
      <c r="L3412" s="311">
        <f>+SUMIF('TUNZ Extracted TB'!M:M,$P3412,'TUNZ Extracted TB'!G:G)</f>
        <v>542.08000000000004</v>
      </c>
      <c r="M3412" s="311"/>
      <c r="N3412" s="311">
        <f>+SUMIF('Input Sheet'!$AE:$AE,P3412,'Input Sheet'!$X:$X)</f>
        <v>0</v>
      </c>
      <c r="O3412" s="311"/>
      <c r="P3412" t="str">
        <f t="shared" si="288"/>
        <v>130-7860</v>
      </c>
      <c r="Q3412" s="315" t="str">
        <f t="shared" si="289"/>
        <v>Admin &amp; Other</v>
      </c>
      <c r="R3412" s="315" t="str">
        <f t="shared" si="290"/>
        <v>Admin &amp; OtherOther Overheads as % of Total Gross Profit</v>
      </c>
      <c r="S3412" s="199"/>
      <c r="T3412" s="199"/>
      <c r="U3412" s="199"/>
    </row>
    <row r="3413" spans="1:21" x14ac:dyDescent="0.25">
      <c r="A3413" t="s">
        <v>996</v>
      </c>
      <c r="B3413" t="s">
        <v>997</v>
      </c>
      <c r="C3413" t="s">
        <v>997</v>
      </c>
      <c r="D3413">
        <v>7860</v>
      </c>
      <c r="E3413">
        <v>140</v>
      </c>
      <c r="F3413" t="s">
        <v>998</v>
      </c>
      <c r="G3413" t="s">
        <v>999</v>
      </c>
      <c r="H3413" s="315" t="s">
        <v>1000</v>
      </c>
      <c r="I3413" s="315" t="s">
        <v>1001</v>
      </c>
      <c r="J3413" s="315" t="str">
        <f t="shared" si="286"/>
        <v>Admin &amp; OtherOther Overheads as % of Total Gross Profit</v>
      </c>
      <c r="K3413" s="315" t="str">
        <f t="shared" si="287"/>
        <v>140Miscellaneous expenses - Toyota</v>
      </c>
      <c r="L3413" s="311">
        <f>+SUMIF('TUNZ Extracted TB'!M:M,$P3413,'TUNZ Extracted TB'!G:G)</f>
        <v>542.08000000000004</v>
      </c>
      <c r="M3413" s="311"/>
      <c r="N3413" s="311">
        <f>+SUMIF('Input Sheet'!$AE:$AE,P3413,'Input Sheet'!$X:$X)</f>
        <v>0</v>
      </c>
      <c r="O3413" s="311"/>
      <c r="P3413" t="str">
        <f t="shared" si="288"/>
        <v>140-7860</v>
      </c>
      <c r="Q3413" s="315" t="str">
        <f t="shared" si="289"/>
        <v>Admin &amp; Other</v>
      </c>
      <c r="R3413" s="315" t="str">
        <f t="shared" si="290"/>
        <v>Admin &amp; OtherOther Overheads as % of Total Gross Profit</v>
      </c>
      <c r="S3413" s="199"/>
      <c r="T3413" s="199"/>
      <c r="U3413" s="199"/>
    </row>
    <row r="3414" spans="1:21" x14ac:dyDescent="0.25">
      <c r="A3414" t="s">
        <v>996</v>
      </c>
      <c r="B3414" t="s">
        <v>997</v>
      </c>
      <c r="C3414" t="s">
        <v>997</v>
      </c>
      <c r="D3414">
        <v>7860</v>
      </c>
      <c r="E3414">
        <v>142</v>
      </c>
      <c r="F3414" t="s">
        <v>1362</v>
      </c>
      <c r="G3414" t="s">
        <v>1363</v>
      </c>
      <c r="H3414" s="315" t="s">
        <v>1023</v>
      </c>
      <c r="I3414" s="315" t="s">
        <v>1001</v>
      </c>
      <c r="J3414" s="315" t="str">
        <f t="shared" si="286"/>
        <v>LEX Admin &amp; OtherOther Overheads as % of Total Gross Profit</v>
      </c>
      <c r="K3414" s="315" t="str">
        <f t="shared" si="287"/>
        <v>142Miscellaneous expenses - Lexus</v>
      </c>
      <c r="L3414" s="311">
        <f>+SUMIF('TUNZ Extracted TB'!M:M,$P3414,'TUNZ Extracted TB'!G:G)</f>
        <v>0</v>
      </c>
      <c r="M3414" s="311"/>
      <c r="N3414" s="311">
        <f>+SUMIF('Input Sheet'!$AE:$AE,P3414,'Input Sheet'!$X:$X)</f>
        <v>0</v>
      </c>
      <c r="O3414" s="311"/>
      <c r="P3414" t="str">
        <f t="shared" si="288"/>
        <v>142-7860</v>
      </c>
      <c r="Q3414" s="315" t="str">
        <f t="shared" si="289"/>
        <v>LEX Admin &amp; Other</v>
      </c>
      <c r="R3414" s="315" t="str">
        <f t="shared" si="290"/>
        <v>LEX Admin &amp; OtherOther Overheads as % of Total Gross Profit</v>
      </c>
      <c r="S3414" s="199"/>
      <c r="T3414" s="199"/>
      <c r="U3414" s="199"/>
    </row>
    <row r="3415" spans="1:21" x14ac:dyDescent="0.25">
      <c r="A3415" t="s">
        <v>996</v>
      </c>
      <c r="B3415" t="s">
        <v>997</v>
      </c>
      <c r="C3415" t="s">
        <v>997</v>
      </c>
      <c r="D3415">
        <v>7860</v>
      </c>
      <c r="E3415">
        <v>112</v>
      </c>
      <c r="F3415" t="s">
        <v>1362</v>
      </c>
      <c r="G3415" t="s">
        <v>1363</v>
      </c>
      <c r="H3415" s="315" t="s">
        <v>1023</v>
      </c>
      <c r="I3415" s="315" t="s">
        <v>1001</v>
      </c>
      <c r="J3415" s="315" t="str">
        <f t="shared" si="286"/>
        <v>LEX Admin &amp; OtherOther Overheads as % of Total Gross Profit</v>
      </c>
      <c r="K3415" s="315" t="str">
        <f t="shared" si="287"/>
        <v>112Miscellaneous expenses - Lexus</v>
      </c>
      <c r="L3415" s="311">
        <f>+SUMIF('TUNZ Extracted TB'!M:M,$P3415,'TUNZ Extracted TB'!G:G)</f>
        <v>0</v>
      </c>
      <c r="M3415" s="311"/>
      <c r="N3415" s="311">
        <f>+SUMIF('Input Sheet'!$AE:$AE,P3415,'Input Sheet'!$X:$X)</f>
        <v>0</v>
      </c>
      <c r="O3415" s="311"/>
      <c r="P3415" t="str">
        <f t="shared" si="288"/>
        <v>112-7860</v>
      </c>
      <c r="Q3415" s="315" t="str">
        <f t="shared" si="289"/>
        <v>LEX Admin &amp; Other</v>
      </c>
      <c r="R3415" s="315" t="str">
        <f t="shared" si="290"/>
        <v>LEX Admin &amp; OtherOther Overheads as % of Total Gross Profit</v>
      </c>
      <c r="S3415" s="199"/>
      <c r="T3415" s="199"/>
      <c r="U3415" s="199"/>
    </row>
    <row r="3416" spans="1:21" x14ac:dyDescent="0.25">
      <c r="A3416" t="s">
        <v>996</v>
      </c>
      <c r="B3416" t="s">
        <v>997</v>
      </c>
      <c r="C3416" t="s">
        <v>997</v>
      </c>
      <c r="D3416">
        <v>7860</v>
      </c>
      <c r="E3416">
        <v>110</v>
      </c>
      <c r="F3416" t="s">
        <v>998</v>
      </c>
      <c r="G3416" t="s">
        <v>999</v>
      </c>
      <c r="H3416" s="315" t="s">
        <v>1000</v>
      </c>
      <c r="I3416" s="315" t="s">
        <v>1001</v>
      </c>
      <c r="J3416" s="315" t="str">
        <f t="shared" si="286"/>
        <v>Admin &amp; OtherOther Overheads as % of Total Gross Profit</v>
      </c>
      <c r="K3416" s="315" t="str">
        <f t="shared" si="287"/>
        <v>110Miscellaneous expenses - Toyota</v>
      </c>
      <c r="L3416" s="311">
        <f>+SUMIF('TUNZ Extracted TB'!M:M,$P3416,'TUNZ Extracted TB'!G:G)</f>
        <v>623.39</v>
      </c>
      <c r="M3416" s="311"/>
      <c r="N3416" s="311">
        <f>+SUMIF('Input Sheet'!$AE:$AE,P3416,'Input Sheet'!$X:$X)</f>
        <v>0</v>
      </c>
      <c r="O3416" s="311"/>
      <c r="P3416" t="str">
        <f t="shared" si="288"/>
        <v>110-7860</v>
      </c>
      <c r="Q3416" s="315" t="str">
        <f t="shared" si="289"/>
        <v>Admin &amp; Other</v>
      </c>
      <c r="R3416" s="315" t="str">
        <f t="shared" si="290"/>
        <v>Admin &amp; OtherOther Overheads as % of Total Gross Profit</v>
      </c>
      <c r="S3416" s="199"/>
      <c r="T3416" s="199"/>
      <c r="U3416" s="199"/>
    </row>
    <row r="3417" spans="1:21" x14ac:dyDescent="0.25">
      <c r="A3417" t="s">
        <v>996</v>
      </c>
      <c r="B3417" t="s">
        <v>997</v>
      </c>
      <c r="C3417" t="s">
        <v>997</v>
      </c>
      <c r="D3417">
        <v>7860</v>
      </c>
      <c r="E3417">
        <v>100</v>
      </c>
      <c r="F3417" t="s">
        <v>998</v>
      </c>
      <c r="G3417" t="s">
        <v>999</v>
      </c>
      <c r="H3417" s="315" t="s">
        <v>1000</v>
      </c>
      <c r="I3417" s="315" t="s">
        <v>1001</v>
      </c>
      <c r="J3417" s="315" t="str">
        <f t="shared" si="286"/>
        <v>Admin &amp; OtherOther Overheads as % of Total Gross Profit</v>
      </c>
      <c r="K3417" s="315" t="str">
        <f t="shared" si="287"/>
        <v>100Miscellaneous expenses - Toyota</v>
      </c>
      <c r="L3417" s="311">
        <f>+SUMIF('TUNZ Extracted TB'!M:M,$P3417,'TUNZ Extracted TB'!G:G)</f>
        <v>0</v>
      </c>
      <c r="M3417" s="311"/>
      <c r="N3417" s="311">
        <f>+SUMIF('Input Sheet'!$AE:$AE,P3417,'Input Sheet'!$X:$X)</f>
        <v>0</v>
      </c>
      <c r="O3417" s="311"/>
      <c r="P3417" t="str">
        <f t="shared" si="288"/>
        <v>100-7860</v>
      </c>
      <c r="Q3417" s="315" t="str">
        <f t="shared" si="289"/>
        <v>Admin &amp; Other</v>
      </c>
      <c r="R3417" s="315" t="str">
        <f t="shared" si="290"/>
        <v>Admin &amp; OtherOther Overheads as % of Total Gross Profit</v>
      </c>
      <c r="S3417" s="199"/>
      <c r="T3417" s="199"/>
      <c r="U3417" s="199"/>
    </row>
    <row r="3418" spans="1:21" x14ac:dyDescent="0.25">
      <c r="A3418" t="s">
        <v>996</v>
      </c>
      <c r="B3418" t="s">
        <v>997</v>
      </c>
      <c r="C3418" t="s">
        <v>997</v>
      </c>
      <c r="D3418">
        <v>7880</v>
      </c>
      <c r="E3418">
        <v>122</v>
      </c>
      <c r="F3418" t="s">
        <v>1449</v>
      </c>
      <c r="G3418" t="s">
        <v>1450</v>
      </c>
      <c r="H3418" s="315" t="s">
        <v>1023</v>
      </c>
      <c r="I3418" s="315" t="s">
        <v>1448</v>
      </c>
      <c r="J3418" s="315" t="str">
        <f t="shared" si="286"/>
        <v>LEX Admin &amp; OtherDepreciation as % of Total Gross Profit</v>
      </c>
      <c r="K3418" s="315" t="str">
        <f t="shared" si="287"/>
        <v>122Depreciation - Lexus</v>
      </c>
      <c r="L3418" s="311">
        <f>+SUMIF('TUNZ Extracted TB'!M:M,$P3418,'TUNZ Extracted TB'!G:G)</f>
        <v>0</v>
      </c>
      <c r="M3418" s="311"/>
      <c r="N3418" s="311">
        <f>+SUMIF('Input Sheet'!$AE:$AE,P3418,'Input Sheet'!$X:$X)</f>
        <v>0</v>
      </c>
      <c r="O3418" s="311"/>
      <c r="P3418" t="str">
        <f t="shared" si="288"/>
        <v>122-7880</v>
      </c>
      <c r="Q3418" s="315" t="str">
        <f t="shared" si="289"/>
        <v>LEX Admin &amp; Other</v>
      </c>
      <c r="R3418" s="315" t="str">
        <f t="shared" si="290"/>
        <v>LEX Admin &amp; OtherDepreciation as % of Total Gross Profit</v>
      </c>
      <c r="S3418" s="199"/>
      <c r="T3418" s="199"/>
      <c r="U3418" s="199"/>
    </row>
    <row r="3419" spans="1:21" x14ac:dyDescent="0.25">
      <c r="A3419" t="s">
        <v>996</v>
      </c>
      <c r="B3419" t="s">
        <v>997</v>
      </c>
      <c r="C3419" t="s">
        <v>997</v>
      </c>
      <c r="D3419">
        <v>7880</v>
      </c>
      <c r="E3419">
        <v>162</v>
      </c>
      <c r="F3419" t="s">
        <v>1449</v>
      </c>
      <c r="G3419" t="s">
        <v>1450</v>
      </c>
      <c r="H3419" s="315" t="s">
        <v>1023</v>
      </c>
      <c r="I3419" s="315" t="s">
        <v>1448</v>
      </c>
      <c r="J3419" s="315" t="str">
        <f t="shared" si="286"/>
        <v>LEX Admin &amp; OtherDepreciation as % of Total Gross Profit</v>
      </c>
      <c r="K3419" s="315" t="str">
        <f t="shared" si="287"/>
        <v>162Depreciation - Lexus</v>
      </c>
      <c r="L3419" s="311">
        <f>+SUMIF('TUNZ Extracted TB'!M:M,$P3419,'TUNZ Extracted TB'!G:G)</f>
        <v>0</v>
      </c>
      <c r="M3419" s="311"/>
      <c r="N3419" s="311">
        <f>+SUMIF('Input Sheet'!$AE:$AE,P3419,'Input Sheet'!$X:$X)</f>
        <v>0</v>
      </c>
      <c r="O3419" s="311"/>
      <c r="P3419" t="str">
        <f t="shared" si="288"/>
        <v>162-7880</v>
      </c>
      <c r="Q3419" s="315" t="str">
        <f t="shared" si="289"/>
        <v>LEX Admin &amp; Other</v>
      </c>
      <c r="R3419" s="315" t="str">
        <f t="shared" si="290"/>
        <v>LEX Admin &amp; OtherDepreciation as % of Total Gross Profit</v>
      </c>
      <c r="S3419" s="199"/>
      <c r="T3419" s="199"/>
      <c r="U3419" s="199"/>
    </row>
    <row r="3420" spans="1:21" x14ac:dyDescent="0.25">
      <c r="A3420" t="s">
        <v>996</v>
      </c>
      <c r="B3420" t="s">
        <v>997</v>
      </c>
      <c r="C3420" t="s">
        <v>1005</v>
      </c>
      <c r="D3420">
        <v>7880</v>
      </c>
      <c r="E3420">
        <v>200</v>
      </c>
      <c r="F3420" t="s">
        <v>1446</v>
      </c>
      <c r="G3420" t="s">
        <v>1447</v>
      </c>
      <c r="H3420" s="315" t="s">
        <v>1000</v>
      </c>
      <c r="I3420" s="315" t="s">
        <v>1448</v>
      </c>
      <c r="J3420" s="315" t="str">
        <f t="shared" si="286"/>
        <v>Admin &amp; OtherDepreciation as % of Total Gross Profit</v>
      </c>
      <c r="K3420" s="315" t="str">
        <f t="shared" si="287"/>
        <v>200Depreciation - Toyota</v>
      </c>
      <c r="L3420" s="311">
        <f>+SUMIF('TUNZ Extracted TB'!M:M,$P3420,'TUNZ Extracted TB'!G:G)</f>
        <v>0</v>
      </c>
      <c r="M3420" s="311"/>
      <c r="N3420" s="311">
        <f>+SUMIF('Input Sheet'!$AE:$AE,P3420,'Input Sheet'!$X:$X)</f>
        <v>0</v>
      </c>
      <c r="O3420" s="311"/>
      <c r="P3420" t="str">
        <f t="shared" si="288"/>
        <v>200-7880</v>
      </c>
      <c r="Q3420" s="315" t="str">
        <f t="shared" si="289"/>
        <v>Admin &amp; Other</v>
      </c>
      <c r="R3420" s="315" t="str">
        <f t="shared" si="290"/>
        <v>Admin &amp; OtherDepreciation as % of Total Gross Profit</v>
      </c>
      <c r="S3420" s="199"/>
      <c r="T3420" s="199"/>
      <c r="U3420" s="199"/>
    </row>
    <row r="3421" spans="1:21" x14ac:dyDescent="0.25">
      <c r="A3421" t="s">
        <v>996</v>
      </c>
      <c r="B3421" t="s">
        <v>997</v>
      </c>
      <c r="C3421" t="s">
        <v>1005</v>
      </c>
      <c r="D3421">
        <v>7880</v>
      </c>
      <c r="E3421">
        <v>210</v>
      </c>
      <c r="F3421" t="s">
        <v>1446</v>
      </c>
      <c r="G3421" t="s">
        <v>1447</v>
      </c>
      <c r="H3421" s="315" t="s">
        <v>1000</v>
      </c>
      <c r="I3421" s="315" t="s">
        <v>1448</v>
      </c>
      <c r="J3421" s="315" t="str">
        <f t="shared" si="286"/>
        <v>Admin &amp; OtherDepreciation as % of Total Gross Profit</v>
      </c>
      <c r="K3421" s="315" t="str">
        <f t="shared" si="287"/>
        <v>210Depreciation - Toyota</v>
      </c>
      <c r="L3421" s="311">
        <f>+SUMIF('TUNZ Extracted TB'!M:M,$P3421,'TUNZ Extracted TB'!G:G)</f>
        <v>0</v>
      </c>
      <c r="M3421" s="311"/>
      <c r="N3421" s="311">
        <f>+SUMIF('Input Sheet'!$AE:$AE,P3421,'Input Sheet'!$X:$X)</f>
        <v>0</v>
      </c>
      <c r="O3421" s="311"/>
      <c r="P3421" t="str">
        <f t="shared" si="288"/>
        <v>210-7880</v>
      </c>
      <c r="Q3421" s="315" t="str">
        <f t="shared" si="289"/>
        <v>Admin &amp; Other</v>
      </c>
      <c r="R3421" s="315" t="str">
        <f t="shared" si="290"/>
        <v>Admin &amp; OtherDepreciation as % of Total Gross Profit</v>
      </c>
      <c r="S3421" s="199"/>
      <c r="T3421" s="199"/>
      <c r="U3421" s="199"/>
    </row>
    <row r="3422" spans="1:21" x14ac:dyDescent="0.25">
      <c r="A3422" t="s">
        <v>996</v>
      </c>
      <c r="B3422" t="s">
        <v>997</v>
      </c>
      <c r="C3422" t="s">
        <v>1005</v>
      </c>
      <c r="D3422">
        <v>7880</v>
      </c>
      <c r="E3422">
        <v>220</v>
      </c>
      <c r="F3422" t="s">
        <v>1446</v>
      </c>
      <c r="G3422" t="s">
        <v>1447</v>
      </c>
      <c r="H3422" s="315" t="s">
        <v>1000</v>
      </c>
      <c r="I3422" s="315" t="s">
        <v>1448</v>
      </c>
      <c r="J3422" s="315" t="str">
        <f t="shared" si="286"/>
        <v>Admin &amp; OtherDepreciation as % of Total Gross Profit</v>
      </c>
      <c r="K3422" s="315" t="str">
        <f t="shared" si="287"/>
        <v>220Depreciation - Toyota</v>
      </c>
      <c r="L3422" s="311">
        <f>+SUMIF('TUNZ Extracted TB'!M:M,$P3422,'TUNZ Extracted TB'!G:G)</f>
        <v>0</v>
      </c>
      <c r="M3422" s="311"/>
      <c r="N3422" s="311">
        <f>+SUMIF('Input Sheet'!$AE:$AE,P3422,'Input Sheet'!$X:$X)</f>
        <v>0</v>
      </c>
      <c r="O3422" s="311"/>
      <c r="P3422" t="str">
        <f t="shared" si="288"/>
        <v>220-7880</v>
      </c>
      <c r="Q3422" s="315" t="str">
        <f t="shared" si="289"/>
        <v>Admin &amp; Other</v>
      </c>
      <c r="R3422" s="315" t="str">
        <f t="shared" si="290"/>
        <v>Admin &amp; OtherDepreciation as % of Total Gross Profit</v>
      </c>
      <c r="S3422" s="199"/>
      <c r="T3422" s="199"/>
      <c r="U3422" s="199"/>
    </row>
    <row r="3423" spans="1:21" x14ac:dyDescent="0.25">
      <c r="A3423" t="s">
        <v>996</v>
      </c>
      <c r="B3423" t="s">
        <v>997</v>
      </c>
      <c r="C3423" t="s">
        <v>1005</v>
      </c>
      <c r="D3423">
        <v>7880</v>
      </c>
      <c r="E3423">
        <v>221</v>
      </c>
      <c r="F3423" t="s">
        <v>1446</v>
      </c>
      <c r="G3423" t="s">
        <v>1447</v>
      </c>
      <c r="H3423" s="315" t="s">
        <v>1000</v>
      </c>
      <c r="I3423" s="315" t="s">
        <v>1448</v>
      </c>
      <c r="J3423" s="315" t="str">
        <f t="shared" si="286"/>
        <v>Admin &amp; OtherDepreciation as % of Total Gross Profit</v>
      </c>
      <c r="K3423" s="315" t="str">
        <f t="shared" si="287"/>
        <v>221Depreciation - Toyota</v>
      </c>
      <c r="L3423" s="311">
        <f>+SUMIF('TUNZ Extracted TB'!M:M,$P3423,'TUNZ Extracted TB'!G:G)</f>
        <v>0</v>
      </c>
      <c r="M3423" s="311"/>
      <c r="N3423" s="311">
        <f>+SUMIF('Input Sheet'!$AE:$AE,P3423,'Input Sheet'!$X:$X)</f>
        <v>0</v>
      </c>
      <c r="O3423" s="311"/>
      <c r="P3423" t="str">
        <f t="shared" si="288"/>
        <v>221-7880</v>
      </c>
      <c r="Q3423" s="315" t="str">
        <f t="shared" si="289"/>
        <v>Admin &amp; Other</v>
      </c>
      <c r="R3423" s="315" t="str">
        <f t="shared" si="290"/>
        <v>Admin &amp; OtherDepreciation as % of Total Gross Profit</v>
      </c>
      <c r="S3423" s="199"/>
      <c r="T3423" s="199"/>
      <c r="U3423" s="199"/>
    </row>
    <row r="3424" spans="1:21" x14ac:dyDescent="0.25">
      <c r="A3424" t="s">
        <v>996</v>
      </c>
      <c r="B3424" t="s">
        <v>997</v>
      </c>
      <c r="C3424" t="s">
        <v>1005</v>
      </c>
      <c r="D3424">
        <v>7880</v>
      </c>
      <c r="E3424">
        <v>230</v>
      </c>
      <c r="F3424" t="s">
        <v>1446</v>
      </c>
      <c r="G3424" t="s">
        <v>1447</v>
      </c>
      <c r="H3424" s="315" t="s">
        <v>1000</v>
      </c>
      <c r="I3424" s="315" t="s">
        <v>1448</v>
      </c>
      <c r="J3424" s="315" t="str">
        <f t="shared" si="286"/>
        <v>Admin &amp; OtherDepreciation as % of Total Gross Profit</v>
      </c>
      <c r="K3424" s="315" t="str">
        <f t="shared" si="287"/>
        <v>230Depreciation - Toyota</v>
      </c>
      <c r="L3424" s="311">
        <f>+SUMIF('TUNZ Extracted TB'!M:M,$P3424,'TUNZ Extracted TB'!G:G)</f>
        <v>0</v>
      </c>
      <c r="M3424" s="311"/>
      <c r="N3424" s="311">
        <f>+SUMIF('Input Sheet'!$AE:$AE,P3424,'Input Sheet'!$X:$X)</f>
        <v>0</v>
      </c>
      <c r="O3424" s="311"/>
      <c r="P3424" t="str">
        <f t="shared" si="288"/>
        <v>230-7880</v>
      </c>
      <c r="Q3424" s="315" t="str">
        <f t="shared" si="289"/>
        <v>Admin &amp; Other</v>
      </c>
      <c r="R3424" s="315" t="str">
        <f t="shared" si="290"/>
        <v>Admin &amp; OtherDepreciation as % of Total Gross Profit</v>
      </c>
      <c r="S3424" s="199"/>
      <c r="T3424" s="199"/>
      <c r="U3424" s="199"/>
    </row>
    <row r="3425" spans="1:21" x14ac:dyDescent="0.25">
      <c r="A3425" t="s">
        <v>996</v>
      </c>
      <c r="B3425" t="s">
        <v>997</v>
      </c>
      <c r="C3425" t="s">
        <v>1005</v>
      </c>
      <c r="D3425">
        <v>7880</v>
      </c>
      <c r="E3425">
        <v>240</v>
      </c>
      <c r="F3425" t="s">
        <v>1446</v>
      </c>
      <c r="G3425" t="s">
        <v>1447</v>
      </c>
      <c r="H3425" s="315" t="s">
        <v>1000</v>
      </c>
      <c r="I3425" s="315" t="s">
        <v>1448</v>
      </c>
      <c r="J3425" s="315" t="str">
        <f t="shared" si="286"/>
        <v>Admin &amp; OtherDepreciation as % of Total Gross Profit</v>
      </c>
      <c r="K3425" s="315" t="str">
        <f t="shared" si="287"/>
        <v>240Depreciation - Toyota</v>
      </c>
      <c r="L3425" s="311">
        <f>+SUMIF('TUNZ Extracted TB'!M:M,$P3425,'TUNZ Extracted TB'!G:G)</f>
        <v>0</v>
      </c>
      <c r="M3425" s="311"/>
      <c r="N3425" s="311">
        <f>+SUMIF('Input Sheet'!$AE:$AE,P3425,'Input Sheet'!$X:$X)</f>
        <v>0</v>
      </c>
      <c r="O3425" s="311"/>
      <c r="P3425" t="str">
        <f t="shared" si="288"/>
        <v>240-7880</v>
      </c>
      <c r="Q3425" s="315" t="str">
        <f t="shared" si="289"/>
        <v>Admin &amp; Other</v>
      </c>
      <c r="R3425" s="315" t="str">
        <f t="shared" si="290"/>
        <v>Admin &amp; OtherDepreciation as % of Total Gross Profit</v>
      </c>
      <c r="S3425" s="199"/>
      <c r="T3425" s="199"/>
      <c r="U3425" s="199"/>
    </row>
    <row r="3426" spans="1:21" x14ac:dyDescent="0.25">
      <c r="A3426" t="s">
        <v>996</v>
      </c>
      <c r="B3426" t="s">
        <v>997</v>
      </c>
      <c r="C3426" t="s">
        <v>1005</v>
      </c>
      <c r="D3426">
        <v>7880</v>
      </c>
      <c r="E3426">
        <v>260</v>
      </c>
      <c r="F3426" t="s">
        <v>1446</v>
      </c>
      <c r="G3426" t="s">
        <v>1447</v>
      </c>
      <c r="H3426" s="315" t="s">
        <v>1000</v>
      </c>
      <c r="I3426" s="315" t="s">
        <v>1448</v>
      </c>
      <c r="J3426" s="315" t="str">
        <f t="shared" si="286"/>
        <v>Admin &amp; OtherDepreciation as % of Total Gross Profit</v>
      </c>
      <c r="K3426" s="315" t="str">
        <f t="shared" si="287"/>
        <v>260Depreciation - Toyota</v>
      </c>
      <c r="L3426" s="311">
        <f>+SUMIF('TUNZ Extracted TB'!M:M,$P3426,'TUNZ Extracted TB'!G:G)</f>
        <v>0</v>
      </c>
      <c r="M3426" s="311"/>
      <c r="N3426" s="311">
        <f>+SUMIF('Input Sheet'!$AE:$AE,P3426,'Input Sheet'!$X:$X)</f>
        <v>0</v>
      </c>
      <c r="O3426" s="311"/>
      <c r="P3426" t="str">
        <f t="shared" si="288"/>
        <v>260-7880</v>
      </c>
      <c r="Q3426" s="315" t="str">
        <f t="shared" si="289"/>
        <v>Admin &amp; Other</v>
      </c>
      <c r="R3426" s="315" t="str">
        <f t="shared" si="290"/>
        <v>Admin &amp; OtherDepreciation as % of Total Gross Profit</v>
      </c>
      <c r="S3426" s="199"/>
      <c r="T3426" s="199"/>
      <c r="U3426" s="199"/>
    </row>
    <row r="3427" spans="1:21" x14ac:dyDescent="0.25">
      <c r="A3427" t="s">
        <v>996</v>
      </c>
      <c r="B3427" t="s">
        <v>997</v>
      </c>
      <c r="C3427" t="s">
        <v>1012</v>
      </c>
      <c r="D3427">
        <v>7880</v>
      </c>
      <c r="E3427">
        <v>400</v>
      </c>
      <c r="F3427" t="s">
        <v>1446</v>
      </c>
      <c r="G3427" t="s">
        <v>1447</v>
      </c>
      <c r="H3427" s="315" t="s">
        <v>1000</v>
      </c>
      <c r="I3427" s="315" t="s">
        <v>1448</v>
      </c>
      <c r="J3427" s="315" t="str">
        <f t="shared" si="286"/>
        <v>Admin &amp; OtherDepreciation as % of Total Gross Profit</v>
      </c>
      <c r="K3427" s="315" t="str">
        <f t="shared" si="287"/>
        <v>400Depreciation - Toyota</v>
      </c>
      <c r="L3427" s="311">
        <f>+SUMIF('TUNZ Extracted TB'!M:M,$P3427,'TUNZ Extracted TB'!G:G)</f>
        <v>0</v>
      </c>
      <c r="M3427" s="311"/>
      <c r="N3427" s="311">
        <f>+SUMIF('Input Sheet'!$AE:$AE,P3427,'Input Sheet'!$X:$X)</f>
        <v>0</v>
      </c>
      <c r="O3427" s="311"/>
      <c r="P3427" t="str">
        <f t="shared" si="288"/>
        <v>400-7880</v>
      </c>
      <c r="Q3427" s="315" t="str">
        <f t="shared" si="289"/>
        <v>Admin &amp; Other</v>
      </c>
      <c r="R3427" s="315" t="str">
        <f t="shared" si="290"/>
        <v>Admin &amp; OtherDepreciation as % of Total Gross Profit</v>
      </c>
      <c r="S3427" s="199"/>
      <c r="T3427" s="199"/>
      <c r="U3427" s="199"/>
    </row>
    <row r="3428" spans="1:21" x14ac:dyDescent="0.25">
      <c r="A3428" t="s">
        <v>996</v>
      </c>
      <c r="B3428" t="s">
        <v>997</v>
      </c>
      <c r="C3428" t="s">
        <v>1012</v>
      </c>
      <c r="D3428">
        <v>7880</v>
      </c>
      <c r="E3428">
        <v>410</v>
      </c>
      <c r="F3428" t="s">
        <v>1446</v>
      </c>
      <c r="G3428" t="s">
        <v>1447</v>
      </c>
      <c r="H3428" s="315" t="s">
        <v>1000</v>
      </c>
      <c r="I3428" s="315" t="s">
        <v>1448</v>
      </c>
      <c r="J3428" s="315" t="str">
        <f t="shared" si="286"/>
        <v>Admin &amp; OtherDepreciation as % of Total Gross Profit</v>
      </c>
      <c r="K3428" s="315" t="str">
        <f t="shared" si="287"/>
        <v>410Depreciation - Toyota</v>
      </c>
      <c r="L3428" s="311">
        <f>+SUMIF('TUNZ Extracted TB'!M:M,$P3428,'TUNZ Extracted TB'!G:G)</f>
        <v>0</v>
      </c>
      <c r="M3428" s="311"/>
      <c r="N3428" s="311">
        <f>+SUMIF('Input Sheet'!$AE:$AE,P3428,'Input Sheet'!$X:$X)</f>
        <v>0</v>
      </c>
      <c r="O3428" s="311"/>
      <c r="P3428" t="str">
        <f t="shared" si="288"/>
        <v>410-7880</v>
      </c>
      <c r="Q3428" s="315" t="str">
        <f t="shared" si="289"/>
        <v>Admin &amp; Other</v>
      </c>
      <c r="R3428" s="315" t="str">
        <f t="shared" si="290"/>
        <v>Admin &amp; OtherDepreciation as % of Total Gross Profit</v>
      </c>
      <c r="S3428" s="199"/>
      <c r="T3428" s="199"/>
      <c r="U3428" s="199"/>
    </row>
    <row r="3429" spans="1:21" x14ac:dyDescent="0.25">
      <c r="A3429" t="s">
        <v>996</v>
      </c>
      <c r="B3429" t="s">
        <v>997</v>
      </c>
      <c r="C3429" t="s">
        <v>1012</v>
      </c>
      <c r="D3429">
        <v>7880</v>
      </c>
      <c r="E3429">
        <v>420</v>
      </c>
      <c r="F3429" t="s">
        <v>1446</v>
      </c>
      <c r="G3429" t="s">
        <v>1447</v>
      </c>
      <c r="H3429" s="315" t="s">
        <v>1000</v>
      </c>
      <c r="I3429" s="315" t="s">
        <v>1448</v>
      </c>
      <c r="J3429" s="315" t="str">
        <f t="shared" si="286"/>
        <v>Admin &amp; OtherDepreciation as % of Total Gross Profit</v>
      </c>
      <c r="K3429" s="315" t="str">
        <f t="shared" si="287"/>
        <v>420Depreciation - Toyota</v>
      </c>
      <c r="L3429" s="311">
        <f>+SUMIF('TUNZ Extracted TB'!M:M,$P3429,'TUNZ Extracted TB'!G:G)</f>
        <v>0</v>
      </c>
      <c r="M3429" s="311"/>
      <c r="N3429" s="311">
        <f>+SUMIF('Input Sheet'!$AE:$AE,P3429,'Input Sheet'!$X:$X)</f>
        <v>0</v>
      </c>
      <c r="O3429" s="311"/>
      <c r="P3429" t="str">
        <f t="shared" si="288"/>
        <v>420-7880</v>
      </c>
      <c r="Q3429" s="315" t="str">
        <f t="shared" si="289"/>
        <v>Admin &amp; Other</v>
      </c>
      <c r="R3429" s="315" t="str">
        <f t="shared" si="290"/>
        <v>Admin &amp; OtherDepreciation as % of Total Gross Profit</v>
      </c>
      <c r="S3429" s="199"/>
      <c r="T3429" s="199"/>
      <c r="U3429" s="199"/>
    </row>
    <row r="3430" spans="1:21" x14ac:dyDescent="0.25">
      <c r="A3430" t="s">
        <v>996</v>
      </c>
      <c r="B3430" t="s">
        <v>997</v>
      </c>
      <c r="C3430" t="s">
        <v>1012</v>
      </c>
      <c r="D3430">
        <v>7880</v>
      </c>
      <c r="E3430">
        <v>421</v>
      </c>
      <c r="F3430" t="s">
        <v>1446</v>
      </c>
      <c r="G3430" t="s">
        <v>1447</v>
      </c>
      <c r="H3430" s="315" t="s">
        <v>1000</v>
      </c>
      <c r="I3430" s="315" t="s">
        <v>1448</v>
      </c>
      <c r="J3430" s="315" t="str">
        <f t="shared" si="286"/>
        <v>Admin &amp; OtherDepreciation as % of Total Gross Profit</v>
      </c>
      <c r="K3430" s="315" t="str">
        <f t="shared" si="287"/>
        <v>421Depreciation - Toyota</v>
      </c>
      <c r="L3430" s="311">
        <f>+SUMIF('TUNZ Extracted TB'!M:M,$P3430,'TUNZ Extracted TB'!G:G)</f>
        <v>0</v>
      </c>
      <c r="M3430" s="311"/>
      <c r="N3430" s="311">
        <f>+SUMIF('Input Sheet'!$AE:$AE,P3430,'Input Sheet'!$X:$X)</f>
        <v>0</v>
      </c>
      <c r="O3430" s="311"/>
      <c r="P3430" t="str">
        <f t="shared" si="288"/>
        <v>421-7880</v>
      </c>
      <c r="Q3430" s="315" t="str">
        <f t="shared" si="289"/>
        <v>Admin &amp; Other</v>
      </c>
      <c r="R3430" s="315" t="str">
        <f t="shared" si="290"/>
        <v>Admin &amp; OtherDepreciation as % of Total Gross Profit</v>
      </c>
      <c r="S3430" s="199"/>
      <c r="T3430" s="199"/>
      <c r="U3430" s="199"/>
    </row>
    <row r="3431" spans="1:21" x14ac:dyDescent="0.25">
      <c r="A3431" t="s">
        <v>996</v>
      </c>
      <c r="B3431" t="s">
        <v>997</v>
      </c>
      <c r="C3431" t="s">
        <v>1012</v>
      </c>
      <c r="D3431">
        <v>7880</v>
      </c>
      <c r="E3431">
        <v>430</v>
      </c>
      <c r="F3431" t="s">
        <v>1446</v>
      </c>
      <c r="G3431" t="s">
        <v>1447</v>
      </c>
      <c r="H3431" s="315" t="s">
        <v>1000</v>
      </c>
      <c r="I3431" s="315" t="s">
        <v>1448</v>
      </c>
      <c r="J3431" s="315" t="str">
        <f t="shared" si="286"/>
        <v>Admin &amp; OtherDepreciation as % of Total Gross Profit</v>
      </c>
      <c r="K3431" s="315" t="str">
        <f t="shared" si="287"/>
        <v>430Depreciation - Toyota</v>
      </c>
      <c r="L3431" s="311">
        <f>+SUMIF('TUNZ Extracted TB'!M:M,$P3431,'TUNZ Extracted TB'!G:G)</f>
        <v>0</v>
      </c>
      <c r="M3431" s="311"/>
      <c r="N3431" s="311">
        <f>+SUMIF('Input Sheet'!$AE:$AE,P3431,'Input Sheet'!$X:$X)</f>
        <v>0</v>
      </c>
      <c r="O3431" s="311"/>
      <c r="P3431" t="str">
        <f t="shared" si="288"/>
        <v>430-7880</v>
      </c>
      <c r="Q3431" s="315" t="str">
        <f t="shared" si="289"/>
        <v>Admin &amp; Other</v>
      </c>
      <c r="R3431" s="315" t="str">
        <f t="shared" si="290"/>
        <v>Admin &amp; OtherDepreciation as % of Total Gross Profit</v>
      </c>
      <c r="S3431" s="199"/>
      <c r="T3431" s="199"/>
      <c r="U3431" s="199"/>
    </row>
    <row r="3432" spans="1:21" x14ac:dyDescent="0.25">
      <c r="A3432" t="s">
        <v>996</v>
      </c>
      <c r="B3432" t="s">
        <v>997</v>
      </c>
      <c r="C3432" t="s">
        <v>1012</v>
      </c>
      <c r="D3432">
        <v>7880</v>
      </c>
      <c r="E3432">
        <v>440</v>
      </c>
      <c r="F3432" t="s">
        <v>1446</v>
      </c>
      <c r="G3432" t="s">
        <v>1447</v>
      </c>
      <c r="H3432" s="315" t="s">
        <v>1000</v>
      </c>
      <c r="I3432" s="315" t="s">
        <v>1448</v>
      </c>
      <c r="J3432" s="315" t="str">
        <f t="shared" si="286"/>
        <v>Admin &amp; OtherDepreciation as % of Total Gross Profit</v>
      </c>
      <c r="K3432" s="315" t="str">
        <f t="shared" si="287"/>
        <v>440Depreciation - Toyota</v>
      </c>
      <c r="L3432" s="311">
        <f>+SUMIF('TUNZ Extracted TB'!M:M,$P3432,'TUNZ Extracted TB'!G:G)</f>
        <v>0</v>
      </c>
      <c r="M3432" s="311"/>
      <c r="N3432" s="311">
        <f>+SUMIF('Input Sheet'!$AE:$AE,P3432,'Input Sheet'!$X:$X)</f>
        <v>0</v>
      </c>
      <c r="O3432" s="311"/>
      <c r="P3432" t="str">
        <f t="shared" si="288"/>
        <v>440-7880</v>
      </c>
      <c r="Q3432" s="315" t="str">
        <f t="shared" si="289"/>
        <v>Admin &amp; Other</v>
      </c>
      <c r="R3432" s="315" t="str">
        <f t="shared" si="290"/>
        <v>Admin &amp; OtherDepreciation as % of Total Gross Profit</v>
      </c>
      <c r="S3432" s="199"/>
      <c r="T3432" s="199"/>
      <c r="U3432" s="199"/>
    </row>
    <row r="3433" spans="1:21" x14ac:dyDescent="0.25">
      <c r="A3433" t="s">
        <v>996</v>
      </c>
      <c r="B3433" t="s">
        <v>997</v>
      </c>
      <c r="C3433" t="s">
        <v>1012</v>
      </c>
      <c r="D3433">
        <v>7880</v>
      </c>
      <c r="E3433">
        <v>460</v>
      </c>
      <c r="F3433" t="s">
        <v>1446</v>
      </c>
      <c r="G3433" t="s">
        <v>1447</v>
      </c>
      <c r="H3433" s="315" t="s">
        <v>1000</v>
      </c>
      <c r="I3433" s="315" t="s">
        <v>1448</v>
      </c>
      <c r="J3433" s="315" t="str">
        <f t="shared" si="286"/>
        <v>Admin &amp; OtherDepreciation as % of Total Gross Profit</v>
      </c>
      <c r="K3433" s="315" t="str">
        <f t="shared" si="287"/>
        <v>460Depreciation - Toyota</v>
      </c>
      <c r="L3433" s="311">
        <f>+SUMIF('TUNZ Extracted TB'!M:M,$P3433,'TUNZ Extracted TB'!G:G)</f>
        <v>0</v>
      </c>
      <c r="M3433" s="311"/>
      <c r="N3433" s="311">
        <f>+SUMIF('Input Sheet'!$AE:$AE,P3433,'Input Sheet'!$X:$X)</f>
        <v>0</v>
      </c>
      <c r="O3433" s="311"/>
      <c r="P3433" t="str">
        <f t="shared" si="288"/>
        <v>460-7880</v>
      </c>
      <c r="Q3433" s="315" t="str">
        <f t="shared" si="289"/>
        <v>Admin &amp; Other</v>
      </c>
      <c r="R3433" s="315" t="str">
        <f t="shared" si="290"/>
        <v>Admin &amp; OtherDepreciation as % of Total Gross Profit</v>
      </c>
      <c r="S3433" s="199"/>
      <c r="T3433" s="199"/>
      <c r="U3433" s="199"/>
    </row>
    <row r="3434" spans="1:21" x14ac:dyDescent="0.25">
      <c r="A3434" t="s">
        <v>996</v>
      </c>
      <c r="B3434" t="s">
        <v>997</v>
      </c>
      <c r="C3434" t="s">
        <v>1013</v>
      </c>
      <c r="D3434">
        <v>7880</v>
      </c>
      <c r="E3434">
        <v>300</v>
      </c>
      <c r="F3434" t="s">
        <v>1446</v>
      </c>
      <c r="G3434" t="s">
        <v>1447</v>
      </c>
      <c r="H3434" s="315" t="s">
        <v>1000</v>
      </c>
      <c r="I3434" s="315" t="s">
        <v>1448</v>
      </c>
      <c r="J3434" s="315" t="str">
        <f t="shared" si="286"/>
        <v>Admin &amp; OtherDepreciation as % of Total Gross Profit</v>
      </c>
      <c r="K3434" s="315" t="str">
        <f t="shared" si="287"/>
        <v>300Depreciation - Toyota</v>
      </c>
      <c r="L3434" s="311">
        <f>+SUMIF('TUNZ Extracted TB'!M:M,$P3434,'TUNZ Extracted TB'!G:G)</f>
        <v>0</v>
      </c>
      <c r="M3434" s="311"/>
      <c r="N3434" s="311">
        <f>+SUMIF('Input Sheet'!$AE:$AE,P3434,'Input Sheet'!$X:$X)</f>
        <v>0</v>
      </c>
      <c r="O3434" s="311"/>
      <c r="P3434" t="str">
        <f t="shared" si="288"/>
        <v>300-7880</v>
      </c>
      <c r="Q3434" s="315" t="str">
        <f t="shared" si="289"/>
        <v>Admin &amp; Other</v>
      </c>
      <c r="R3434" s="315" t="str">
        <f t="shared" si="290"/>
        <v>Admin &amp; OtherDepreciation as % of Total Gross Profit</v>
      </c>
      <c r="S3434" s="199"/>
      <c r="T3434" s="199"/>
      <c r="U3434" s="199"/>
    </row>
    <row r="3435" spans="1:21" x14ac:dyDescent="0.25">
      <c r="A3435" t="s">
        <v>996</v>
      </c>
      <c r="B3435" t="s">
        <v>997</v>
      </c>
      <c r="C3435" t="s">
        <v>1013</v>
      </c>
      <c r="D3435">
        <v>7880</v>
      </c>
      <c r="E3435">
        <v>310</v>
      </c>
      <c r="F3435" t="s">
        <v>1446</v>
      </c>
      <c r="G3435" t="s">
        <v>1447</v>
      </c>
      <c r="H3435" s="315" t="s">
        <v>1000</v>
      </c>
      <c r="I3435" s="315" t="s">
        <v>1448</v>
      </c>
      <c r="J3435" s="315" t="str">
        <f t="shared" si="286"/>
        <v>Admin &amp; OtherDepreciation as % of Total Gross Profit</v>
      </c>
      <c r="K3435" s="315" t="str">
        <f t="shared" si="287"/>
        <v>310Depreciation - Toyota</v>
      </c>
      <c r="L3435" s="311">
        <f>+SUMIF('TUNZ Extracted TB'!M:M,$P3435,'TUNZ Extracted TB'!G:G)</f>
        <v>0</v>
      </c>
      <c r="M3435" s="311"/>
      <c r="N3435" s="311">
        <f>+SUMIF('Input Sheet'!$AE:$AE,P3435,'Input Sheet'!$X:$X)</f>
        <v>0</v>
      </c>
      <c r="O3435" s="311"/>
      <c r="P3435" t="str">
        <f t="shared" si="288"/>
        <v>310-7880</v>
      </c>
      <c r="Q3435" s="315" t="str">
        <f t="shared" si="289"/>
        <v>Admin &amp; Other</v>
      </c>
      <c r="R3435" s="315" t="str">
        <f t="shared" si="290"/>
        <v>Admin &amp; OtherDepreciation as % of Total Gross Profit</v>
      </c>
      <c r="S3435" s="199"/>
      <c r="T3435" s="199"/>
      <c r="U3435" s="199"/>
    </row>
    <row r="3436" spans="1:21" x14ac:dyDescent="0.25">
      <c r="A3436" t="s">
        <v>996</v>
      </c>
      <c r="B3436" t="s">
        <v>997</v>
      </c>
      <c r="C3436" t="s">
        <v>1013</v>
      </c>
      <c r="D3436">
        <v>7880</v>
      </c>
      <c r="E3436">
        <v>321</v>
      </c>
      <c r="F3436" t="s">
        <v>1446</v>
      </c>
      <c r="G3436" t="s">
        <v>1447</v>
      </c>
      <c r="H3436" s="315" t="s">
        <v>1000</v>
      </c>
      <c r="I3436" s="315" t="s">
        <v>1448</v>
      </c>
      <c r="J3436" s="315" t="str">
        <f t="shared" si="286"/>
        <v>Admin &amp; OtherDepreciation as % of Total Gross Profit</v>
      </c>
      <c r="K3436" s="315" t="str">
        <f t="shared" si="287"/>
        <v>321Depreciation - Toyota</v>
      </c>
      <c r="L3436" s="311">
        <f>+SUMIF('TUNZ Extracted TB'!M:M,$P3436,'TUNZ Extracted TB'!G:G)</f>
        <v>0</v>
      </c>
      <c r="M3436" s="311"/>
      <c r="N3436" s="311">
        <f>+SUMIF('Input Sheet'!$AE:$AE,P3436,'Input Sheet'!$X:$X)</f>
        <v>0</v>
      </c>
      <c r="O3436" s="311"/>
      <c r="P3436" t="str">
        <f t="shared" si="288"/>
        <v>321-7880</v>
      </c>
      <c r="Q3436" s="315" t="str">
        <f t="shared" si="289"/>
        <v>Admin &amp; Other</v>
      </c>
      <c r="R3436" s="315" t="str">
        <f t="shared" si="290"/>
        <v>Admin &amp; OtherDepreciation as % of Total Gross Profit</v>
      </c>
      <c r="S3436" s="199"/>
      <c r="T3436" s="199"/>
      <c r="U3436" s="199"/>
    </row>
    <row r="3437" spans="1:21" x14ac:dyDescent="0.25">
      <c r="A3437" t="s">
        <v>996</v>
      </c>
      <c r="B3437" t="s">
        <v>997</v>
      </c>
      <c r="C3437" t="s">
        <v>1013</v>
      </c>
      <c r="D3437">
        <v>7880</v>
      </c>
      <c r="E3437">
        <v>330</v>
      </c>
      <c r="F3437" t="s">
        <v>1446</v>
      </c>
      <c r="G3437" t="s">
        <v>1447</v>
      </c>
      <c r="H3437" s="315" t="s">
        <v>1000</v>
      </c>
      <c r="I3437" s="315" t="s">
        <v>1448</v>
      </c>
      <c r="J3437" s="315" t="str">
        <f t="shared" si="286"/>
        <v>Admin &amp; OtherDepreciation as % of Total Gross Profit</v>
      </c>
      <c r="K3437" s="315" t="str">
        <f t="shared" si="287"/>
        <v>330Depreciation - Toyota</v>
      </c>
      <c r="L3437" s="311">
        <f>+SUMIF('TUNZ Extracted TB'!M:M,$P3437,'TUNZ Extracted TB'!G:G)</f>
        <v>0</v>
      </c>
      <c r="M3437" s="311"/>
      <c r="N3437" s="311">
        <f>+SUMIF('Input Sheet'!$AE:$AE,P3437,'Input Sheet'!$X:$X)</f>
        <v>0</v>
      </c>
      <c r="O3437" s="311"/>
      <c r="P3437" t="str">
        <f t="shared" si="288"/>
        <v>330-7880</v>
      </c>
      <c r="Q3437" s="315" t="str">
        <f t="shared" si="289"/>
        <v>Admin &amp; Other</v>
      </c>
      <c r="R3437" s="315" t="str">
        <f t="shared" si="290"/>
        <v>Admin &amp; OtherDepreciation as % of Total Gross Profit</v>
      </c>
      <c r="S3437" s="199"/>
      <c r="T3437" s="199"/>
      <c r="U3437" s="199"/>
    </row>
    <row r="3438" spans="1:21" x14ac:dyDescent="0.25">
      <c r="A3438" t="s">
        <v>996</v>
      </c>
      <c r="B3438" t="s">
        <v>997</v>
      </c>
      <c r="C3438" t="s">
        <v>1013</v>
      </c>
      <c r="D3438">
        <v>7880</v>
      </c>
      <c r="E3438">
        <v>340</v>
      </c>
      <c r="F3438" t="s">
        <v>1446</v>
      </c>
      <c r="G3438" t="s">
        <v>1447</v>
      </c>
      <c r="H3438" s="315" t="s">
        <v>1000</v>
      </c>
      <c r="I3438" s="315" t="s">
        <v>1448</v>
      </c>
      <c r="J3438" s="315" t="str">
        <f t="shared" si="286"/>
        <v>Admin &amp; OtherDepreciation as % of Total Gross Profit</v>
      </c>
      <c r="K3438" s="315" t="str">
        <f t="shared" si="287"/>
        <v>340Depreciation - Toyota</v>
      </c>
      <c r="L3438" s="311">
        <f>+SUMIF('TUNZ Extracted TB'!M:M,$P3438,'TUNZ Extracted TB'!G:G)</f>
        <v>0</v>
      </c>
      <c r="M3438" s="311"/>
      <c r="N3438" s="311">
        <f>+SUMIF('Input Sheet'!$AE:$AE,P3438,'Input Sheet'!$X:$X)</f>
        <v>0</v>
      </c>
      <c r="O3438" s="311"/>
      <c r="P3438" t="str">
        <f t="shared" si="288"/>
        <v>340-7880</v>
      </c>
      <c r="Q3438" s="315" t="str">
        <f t="shared" si="289"/>
        <v>Admin &amp; Other</v>
      </c>
      <c r="R3438" s="315" t="str">
        <f t="shared" si="290"/>
        <v>Admin &amp; OtherDepreciation as % of Total Gross Profit</v>
      </c>
      <c r="S3438" s="199"/>
      <c r="T3438" s="199"/>
      <c r="U3438" s="199"/>
    </row>
    <row r="3439" spans="1:21" x14ac:dyDescent="0.25">
      <c r="A3439" t="s">
        <v>996</v>
      </c>
      <c r="B3439" t="s">
        <v>997</v>
      </c>
      <c r="C3439" t="s">
        <v>1013</v>
      </c>
      <c r="D3439">
        <v>7880</v>
      </c>
      <c r="E3439">
        <v>360</v>
      </c>
      <c r="F3439" t="s">
        <v>1446</v>
      </c>
      <c r="G3439" t="s">
        <v>1447</v>
      </c>
      <c r="H3439" s="315" t="s">
        <v>1000</v>
      </c>
      <c r="I3439" s="315" t="s">
        <v>1448</v>
      </c>
      <c r="J3439" s="315" t="str">
        <f t="shared" si="286"/>
        <v>Admin &amp; OtherDepreciation as % of Total Gross Profit</v>
      </c>
      <c r="K3439" s="315" t="str">
        <f t="shared" si="287"/>
        <v>360Depreciation - Toyota</v>
      </c>
      <c r="L3439" s="311">
        <f>+SUMIF('TUNZ Extracted TB'!M:M,$P3439,'TUNZ Extracted TB'!G:G)</f>
        <v>0</v>
      </c>
      <c r="M3439" s="311"/>
      <c r="N3439" s="311">
        <f>+SUMIF('Input Sheet'!$AE:$AE,P3439,'Input Sheet'!$X:$X)</f>
        <v>0</v>
      </c>
      <c r="O3439" s="311"/>
      <c r="P3439" t="str">
        <f t="shared" si="288"/>
        <v>360-7880</v>
      </c>
      <c r="Q3439" s="315" t="str">
        <f t="shared" si="289"/>
        <v>Admin &amp; Other</v>
      </c>
      <c r="R3439" s="315" t="str">
        <f t="shared" si="290"/>
        <v>Admin &amp; OtherDepreciation as % of Total Gross Profit</v>
      </c>
      <c r="S3439" s="199"/>
      <c r="T3439" s="199"/>
      <c r="U3439" s="199"/>
    </row>
    <row r="3440" spans="1:21" x14ac:dyDescent="0.25">
      <c r="A3440" t="s">
        <v>996</v>
      </c>
      <c r="B3440" t="s">
        <v>997</v>
      </c>
      <c r="C3440" t="s">
        <v>997</v>
      </c>
      <c r="D3440">
        <v>7880</v>
      </c>
      <c r="E3440">
        <v>120</v>
      </c>
      <c r="F3440" t="s">
        <v>1446</v>
      </c>
      <c r="G3440" t="s">
        <v>1447</v>
      </c>
      <c r="H3440" s="315" t="s">
        <v>1000</v>
      </c>
      <c r="I3440" s="315" t="s">
        <v>1448</v>
      </c>
      <c r="J3440" s="315" t="str">
        <f t="shared" si="286"/>
        <v>Admin &amp; OtherDepreciation as % of Total Gross Profit</v>
      </c>
      <c r="K3440" s="315" t="str">
        <f t="shared" si="287"/>
        <v>120Depreciation - Toyota</v>
      </c>
      <c r="L3440" s="311">
        <f>+SUMIF('TUNZ Extracted TB'!M:M,$P3440,'TUNZ Extracted TB'!G:G)</f>
        <v>0</v>
      </c>
      <c r="M3440" s="311"/>
      <c r="N3440" s="311">
        <f>+SUMIF('Input Sheet'!$AE:$AE,P3440,'Input Sheet'!$X:$X)</f>
        <v>0</v>
      </c>
      <c r="O3440" s="311"/>
      <c r="P3440" t="str">
        <f t="shared" si="288"/>
        <v>120-7880</v>
      </c>
      <c r="Q3440" s="315" t="str">
        <f t="shared" si="289"/>
        <v>Admin &amp; Other</v>
      </c>
      <c r="R3440" s="315" t="str">
        <f t="shared" si="290"/>
        <v>Admin &amp; OtherDepreciation as % of Total Gross Profit</v>
      </c>
      <c r="S3440" s="199"/>
      <c r="T3440" s="199"/>
      <c r="U3440" s="199"/>
    </row>
    <row r="3441" spans="1:21" x14ac:dyDescent="0.25">
      <c r="A3441" t="s">
        <v>996</v>
      </c>
      <c r="B3441" t="s">
        <v>997</v>
      </c>
      <c r="C3441" t="s">
        <v>997</v>
      </c>
      <c r="D3441">
        <v>7880</v>
      </c>
      <c r="E3441">
        <v>121</v>
      </c>
      <c r="F3441" t="s">
        <v>1446</v>
      </c>
      <c r="G3441" t="s">
        <v>1447</v>
      </c>
      <c r="H3441" s="315" t="s">
        <v>1000</v>
      </c>
      <c r="I3441" s="315" t="s">
        <v>1448</v>
      </c>
      <c r="J3441" s="315" t="str">
        <f t="shared" si="286"/>
        <v>Admin &amp; OtherDepreciation as % of Total Gross Profit</v>
      </c>
      <c r="K3441" s="315" t="str">
        <f t="shared" si="287"/>
        <v>121Depreciation - Toyota</v>
      </c>
      <c r="L3441" s="311">
        <f>+SUMIF('TUNZ Extracted TB'!M:M,$P3441,'TUNZ Extracted TB'!G:G)</f>
        <v>0</v>
      </c>
      <c r="M3441" s="311"/>
      <c r="N3441" s="311">
        <f>+SUMIF('Input Sheet'!$AE:$AE,P3441,'Input Sheet'!$X:$X)</f>
        <v>0</v>
      </c>
      <c r="O3441" s="311"/>
      <c r="P3441" t="str">
        <f t="shared" si="288"/>
        <v>121-7880</v>
      </c>
      <c r="Q3441" s="315" t="str">
        <f t="shared" si="289"/>
        <v>Admin &amp; Other</v>
      </c>
      <c r="R3441" s="315" t="str">
        <f t="shared" si="290"/>
        <v>Admin &amp; OtherDepreciation as % of Total Gross Profit</v>
      </c>
      <c r="S3441" s="199"/>
      <c r="T3441" s="199"/>
      <c r="U3441" s="199"/>
    </row>
    <row r="3442" spans="1:21" x14ac:dyDescent="0.25">
      <c r="A3442" t="s">
        <v>996</v>
      </c>
      <c r="B3442" t="s">
        <v>997</v>
      </c>
      <c r="C3442" t="s">
        <v>997</v>
      </c>
      <c r="D3442">
        <v>7880</v>
      </c>
      <c r="E3442">
        <v>147</v>
      </c>
      <c r="F3442" t="s">
        <v>1446</v>
      </c>
      <c r="G3442" t="s">
        <v>1447</v>
      </c>
      <c r="H3442" s="315" t="s">
        <v>1000</v>
      </c>
      <c r="I3442" s="315" t="s">
        <v>1448</v>
      </c>
      <c r="J3442" s="315" t="str">
        <f t="shared" si="286"/>
        <v>Admin &amp; OtherDepreciation as % of Total Gross Profit</v>
      </c>
      <c r="K3442" s="315" t="str">
        <f t="shared" si="287"/>
        <v>147Depreciation - Toyota</v>
      </c>
      <c r="L3442" s="311">
        <f>+SUMIF('TUNZ Extracted TB'!M:M,$P3442,'TUNZ Extracted TB'!G:G)</f>
        <v>0</v>
      </c>
      <c r="M3442" s="311"/>
      <c r="N3442" s="311">
        <f>+SUMIF('Input Sheet'!$AE:$AE,P3442,'Input Sheet'!$X:$X)</f>
        <v>0</v>
      </c>
      <c r="O3442" s="311"/>
      <c r="P3442" t="str">
        <f t="shared" si="288"/>
        <v>147-7880</v>
      </c>
      <c r="Q3442" s="315" t="str">
        <f t="shared" si="289"/>
        <v>Admin &amp; Other</v>
      </c>
      <c r="R3442" s="315" t="str">
        <f t="shared" si="290"/>
        <v>Admin &amp; OtherDepreciation as % of Total Gross Profit</v>
      </c>
      <c r="S3442" s="199"/>
      <c r="T3442" s="199"/>
      <c r="U3442" s="199"/>
    </row>
    <row r="3443" spans="1:21" x14ac:dyDescent="0.25">
      <c r="A3443" t="s">
        <v>996</v>
      </c>
      <c r="B3443" t="s">
        <v>997</v>
      </c>
      <c r="C3443" t="s">
        <v>997</v>
      </c>
      <c r="D3443">
        <v>7880</v>
      </c>
      <c r="E3443">
        <v>160</v>
      </c>
      <c r="F3443" t="s">
        <v>1446</v>
      </c>
      <c r="G3443" t="s">
        <v>1447</v>
      </c>
      <c r="H3443" s="315" t="s">
        <v>1000</v>
      </c>
      <c r="I3443" s="315" t="s">
        <v>1448</v>
      </c>
      <c r="J3443" s="315" t="str">
        <f t="shared" si="286"/>
        <v>Admin &amp; OtherDepreciation as % of Total Gross Profit</v>
      </c>
      <c r="K3443" s="315" t="str">
        <f t="shared" si="287"/>
        <v>160Depreciation - Toyota</v>
      </c>
      <c r="L3443" s="311">
        <f>+SUMIF('TUNZ Extracted TB'!M:M,$P3443,'TUNZ Extracted TB'!G:G)</f>
        <v>0</v>
      </c>
      <c r="M3443" s="311"/>
      <c r="N3443" s="311">
        <f>+SUMIF('Input Sheet'!$AE:$AE,P3443,'Input Sheet'!$X:$X)</f>
        <v>0</v>
      </c>
      <c r="O3443" s="311"/>
      <c r="P3443" t="str">
        <f t="shared" si="288"/>
        <v>160-7880</v>
      </c>
      <c r="Q3443" s="315" t="str">
        <f t="shared" si="289"/>
        <v>Admin &amp; Other</v>
      </c>
      <c r="R3443" s="315" t="str">
        <f t="shared" si="290"/>
        <v>Admin &amp; OtherDepreciation as % of Total Gross Profit</v>
      </c>
      <c r="S3443" s="199"/>
      <c r="T3443" s="199"/>
      <c r="U3443" s="199"/>
    </row>
    <row r="3444" spans="1:21" x14ac:dyDescent="0.25">
      <c r="A3444" t="s">
        <v>996</v>
      </c>
      <c r="B3444" t="s">
        <v>997</v>
      </c>
      <c r="C3444" t="s">
        <v>997</v>
      </c>
      <c r="D3444">
        <v>7880</v>
      </c>
      <c r="E3444">
        <v>170</v>
      </c>
      <c r="F3444" t="s">
        <v>1446</v>
      </c>
      <c r="G3444" t="s">
        <v>1447</v>
      </c>
      <c r="H3444" s="315" t="s">
        <v>1000</v>
      </c>
      <c r="I3444" s="315" t="s">
        <v>1448</v>
      </c>
      <c r="J3444" s="315" t="str">
        <f t="shared" si="286"/>
        <v>Admin &amp; OtherDepreciation as % of Total Gross Profit</v>
      </c>
      <c r="K3444" s="315" t="str">
        <f t="shared" si="287"/>
        <v>170Depreciation - Toyota</v>
      </c>
      <c r="L3444" s="311">
        <f>+SUMIF('TUNZ Extracted TB'!M:M,$P3444,'TUNZ Extracted TB'!G:G)</f>
        <v>0</v>
      </c>
      <c r="M3444" s="311"/>
      <c r="N3444" s="311">
        <f>+SUMIF('Input Sheet'!$AE:$AE,P3444,'Input Sheet'!$X:$X)</f>
        <v>0</v>
      </c>
      <c r="O3444" s="311"/>
      <c r="P3444" t="str">
        <f t="shared" si="288"/>
        <v>170-7880</v>
      </c>
      <c r="Q3444" s="315" t="str">
        <f t="shared" si="289"/>
        <v>Admin &amp; Other</v>
      </c>
      <c r="R3444" s="315" t="str">
        <f t="shared" si="290"/>
        <v>Admin &amp; OtherDepreciation as % of Total Gross Profit</v>
      </c>
      <c r="S3444" s="199"/>
      <c r="T3444" s="199"/>
      <c r="U3444" s="199"/>
    </row>
    <row r="3445" spans="1:21" x14ac:dyDescent="0.25">
      <c r="A3445" t="s">
        <v>996</v>
      </c>
      <c r="B3445" t="s">
        <v>997</v>
      </c>
      <c r="C3445" t="s">
        <v>997</v>
      </c>
      <c r="D3445">
        <v>7880</v>
      </c>
      <c r="E3445">
        <v>936</v>
      </c>
      <c r="F3445" t="s">
        <v>1175</v>
      </c>
      <c r="G3445" t="s">
        <v>1176</v>
      </c>
      <c r="H3445" s="315" t="s">
        <v>1023</v>
      </c>
      <c r="I3445" s="315" t="s">
        <v>1448</v>
      </c>
      <c r="J3445" s="315" t="str">
        <f t="shared" si="286"/>
        <v>LEX Admin &amp; OtherDepreciation as % of Total Gross Profit</v>
      </c>
      <c r="K3445" s="315" t="str">
        <f t="shared" si="287"/>
        <v>936Other franchise/business expense</v>
      </c>
      <c r="L3445" s="311">
        <f>+SUMIF('TUNZ Extracted TB'!M:M,$P3445,'TUNZ Extracted TB'!G:G)</f>
        <v>0</v>
      </c>
      <c r="M3445" s="311"/>
      <c r="N3445" s="311">
        <f>+SUMIF('Input Sheet'!$AE:$AE,P3445,'Input Sheet'!$X:$X)</f>
        <v>0</v>
      </c>
      <c r="O3445" s="311"/>
      <c r="P3445" t="str">
        <f t="shared" si="288"/>
        <v>936-7880</v>
      </c>
      <c r="Q3445" s="315" t="str">
        <f t="shared" si="289"/>
        <v>LEX Admin &amp; Other</v>
      </c>
      <c r="R3445" s="315" t="str">
        <f t="shared" si="290"/>
        <v>LEX Admin &amp; OtherDepreciation as % of Total Gross Profit</v>
      </c>
      <c r="S3445" s="199"/>
      <c r="T3445" s="199"/>
      <c r="U3445" s="199"/>
    </row>
    <row r="3446" spans="1:21" x14ac:dyDescent="0.25">
      <c r="A3446" t="s">
        <v>996</v>
      </c>
      <c r="B3446" t="s">
        <v>997</v>
      </c>
      <c r="C3446" t="s">
        <v>997</v>
      </c>
      <c r="D3446">
        <v>7880</v>
      </c>
      <c r="E3446">
        <v>935</v>
      </c>
      <c r="F3446" t="s">
        <v>1175</v>
      </c>
      <c r="G3446" t="s">
        <v>1176</v>
      </c>
      <c r="H3446" s="315" t="s">
        <v>1023</v>
      </c>
      <c r="I3446" s="315" t="s">
        <v>1448</v>
      </c>
      <c r="J3446" s="315" t="str">
        <f t="shared" si="286"/>
        <v>LEX Admin &amp; OtherDepreciation as % of Total Gross Profit</v>
      </c>
      <c r="K3446" s="315" t="str">
        <f t="shared" si="287"/>
        <v>935Other franchise/business expense</v>
      </c>
      <c r="L3446" s="311">
        <f>+SUMIF('TUNZ Extracted TB'!M:M,$P3446,'TUNZ Extracted TB'!G:G)</f>
        <v>0</v>
      </c>
      <c r="M3446" s="311"/>
      <c r="N3446" s="311">
        <f>+SUMIF('Input Sheet'!$AE:$AE,P3446,'Input Sheet'!$X:$X)</f>
        <v>0</v>
      </c>
      <c r="O3446" s="311"/>
      <c r="P3446" t="str">
        <f t="shared" si="288"/>
        <v>935-7880</v>
      </c>
      <c r="Q3446" s="315" t="str">
        <f t="shared" si="289"/>
        <v>LEX Admin &amp; Other</v>
      </c>
      <c r="R3446" s="315" t="str">
        <f t="shared" si="290"/>
        <v>LEX Admin &amp; OtherDepreciation as % of Total Gross Profit</v>
      </c>
      <c r="S3446" s="199"/>
      <c r="T3446" s="199"/>
      <c r="U3446" s="199"/>
    </row>
    <row r="3447" spans="1:21" x14ac:dyDescent="0.25">
      <c r="A3447" t="s">
        <v>996</v>
      </c>
      <c r="B3447" t="s">
        <v>997</v>
      </c>
      <c r="C3447" t="s">
        <v>997</v>
      </c>
      <c r="D3447">
        <v>7880</v>
      </c>
      <c r="E3447">
        <v>132</v>
      </c>
      <c r="F3447" t="s">
        <v>1449</v>
      </c>
      <c r="G3447" t="s">
        <v>1450</v>
      </c>
      <c r="H3447" s="315" t="s">
        <v>1023</v>
      </c>
      <c r="I3447" s="315" t="s">
        <v>1448</v>
      </c>
      <c r="J3447" s="315" t="str">
        <f t="shared" si="286"/>
        <v>LEX Admin &amp; OtherDepreciation as % of Total Gross Profit</v>
      </c>
      <c r="K3447" s="315" t="str">
        <f t="shared" si="287"/>
        <v>132Depreciation - Lexus</v>
      </c>
      <c r="L3447" s="311">
        <f>+SUMIF('TUNZ Extracted TB'!M:M,$P3447,'TUNZ Extracted TB'!G:G)</f>
        <v>0</v>
      </c>
      <c r="M3447" s="311"/>
      <c r="N3447" s="311">
        <f>+SUMIF('Input Sheet'!$AE:$AE,P3447,'Input Sheet'!$X:$X)</f>
        <v>0</v>
      </c>
      <c r="O3447" s="311"/>
      <c r="P3447" t="str">
        <f t="shared" si="288"/>
        <v>132-7880</v>
      </c>
      <c r="Q3447" s="315" t="str">
        <f t="shared" si="289"/>
        <v>LEX Admin &amp; Other</v>
      </c>
      <c r="R3447" s="315" t="str">
        <f t="shared" si="290"/>
        <v>LEX Admin &amp; OtherDepreciation as % of Total Gross Profit</v>
      </c>
      <c r="S3447" s="199"/>
      <c r="T3447" s="199"/>
      <c r="U3447" s="199"/>
    </row>
    <row r="3448" spans="1:21" x14ac:dyDescent="0.25">
      <c r="A3448" t="s">
        <v>996</v>
      </c>
      <c r="B3448" t="s">
        <v>997</v>
      </c>
      <c r="C3448" t="s">
        <v>997</v>
      </c>
      <c r="D3448">
        <v>7880</v>
      </c>
      <c r="E3448">
        <v>130</v>
      </c>
      <c r="F3448" t="s">
        <v>1446</v>
      </c>
      <c r="G3448" t="s">
        <v>1447</v>
      </c>
      <c r="H3448" s="315" t="s">
        <v>1000</v>
      </c>
      <c r="I3448" s="315" t="s">
        <v>1448</v>
      </c>
      <c r="J3448" s="315" t="str">
        <f t="shared" si="286"/>
        <v>Admin &amp; OtherDepreciation as % of Total Gross Profit</v>
      </c>
      <c r="K3448" s="315" t="str">
        <f t="shared" si="287"/>
        <v>130Depreciation - Toyota</v>
      </c>
      <c r="L3448" s="311">
        <f>+SUMIF('TUNZ Extracted TB'!M:M,$P3448,'TUNZ Extracted TB'!G:G)</f>
        <v>0</v>
      </c>
      <c r="M3448" s="311"/>
      <c r="N3448" s="311">
        <f>+SUMIF('Input Sheet'!$AE:$AE,P3448,'Input Sheet'!$X:$X)</f>
        <v>0</v>
      </c>
      <c r="O3448" s="311"/>
      <c r="P3448" t="str">
        <f t="shared" si="288"/>
        <v>130-7880</v>
      </c>
      <c r="Q3448" s="315" t="str">
        <f t="shared" si="289"/>
        <v>Admin &amp; Other</v>
      </c>
      <c r="R3448" s="315" t="str">
        <f t="shared" si="290"/>
        <v>Admin &amp; OtherDepreciation as % of Total Gross Profit</v>
      </c>
      <c r="S3448" s="199"/>
      <c r="T3448" s="199"/>
      <c r="U3448" s="199"/>
    </row>
    <row r="3449" spans="1:21" x14ac:dyDescent="0.25">
      <c r="A3449" t="s">
        <v>996</v>
      </c>
      <c r="B3449" t="s">
        <v>997</v>
      </c>
      <c r="C3449" t="s">
        <v>997</v>
      </c>
      <c r="D3449">
        <v>7880</v>
      </c>
      <c r="E3449">
        <v>140</v>
      </c>
      <c r="F3449" t="s">
        <v>1446</v>
      </c>
      <c r="G3449" t="s">
        <v>1447</v>
      </c>
      <c r="H3449" s="315" t="s">
        <v>1000</v>
      </c>
      <c r="I3449" s="315" t="s">
        <v>1448</v>
      </c>
      <c r="J3449" s="315" t="str">
        <f t="shared" si="286"/>
        <v>Admin &amp; OtherDepreciation as % of Total Gross Profit</v>
      </c>
      <c r="K3449" s="315" t="str">
        <f t="shared" si="287"/>
        <v>140Depreciation - Toyota</v>
      </c>
      <c r="L3449" s="311">
        <f>+SUMIF('TUNZ Extracted TB'!M:M,$P3449,'TUNZ Extracted TB'!G:G)</f>
        <v>0</v>
      </c>
      <c r="M3449" s="311"/>
      <c r="N3449" s="311">
        <f>+SUMIF('Input Sheet'!$AE:$AE,P3449,'Input Sheet'!$X:$X)</f>
        <v>0</v>
      </c>
      <c r="O3449" s="311"/>
      <c r="P3449" t="str">
        <f t="shared" si="288"/>
        <v>140-7880</v>
      </c>
      <c r="Q3449" s="315" t="str">
        <f t="shared" si="289"/>
        <v>Admin &amp; Other</v>
      </c>
      <c r="R3449" s="315" t="str">
        <f t="shared" si="290"/>
        <v>Admin &amp; OtherDepreciation as % of Total Gross Profit</v>
      </c>
      <c r="S3449" s="199"/>
      <c r="T3449" s="199"/>
      <c r="U3449" s="199"/>
    </row>
    <row r="3450" spans="1:21" x14ac:dyDescent="0.25">
      <c r="A3450" t="s">
        <v>996</v>
      </c>
      <c r="B3450" t="s">
        <v>997</v>
      </c>
      <c r="C3450" t="s">
        <v>997</v>
      </c>
      <c r="D3450">
        <v>7880</v>
      </c>
      <c r="E3450">
        <v>142</v>
      </c>
      <c r="F3450" t="s">
        <v>1449</v>
      </c>
      <c r="G3450" t="s">
        <v>1450</v>
      </c>
      <c r="H3450" s="315" t="s">
        <v>1023</v>
      </c>
      <c r="I3450" s="315" t="s">
        <v>1448</v>
      </c>
      <c r="J3450" s="315" t="str">
        <f t="shared" si="286"/>
        <v>LEX Admin &amp; OtherDepreciation as % of Total Gross Profit</v>
      </c>
      <c r="K3450" s="315" t="str">
        <f t="shared" si="287"/>
        <v>142Depreciation - Lexus</v>
      </c>
      <c r="L3450" s="311">
        <f>+SUMIF('TUNZ Extracted TB'!M:M,$P3450,'TUNZ Extracted TB'!G:G)</f>
        <v>0</v>
      </c>
      <c r="M3450" s="311"/>
      <c r="N3450" s="311">
        <f>+SUMIF('Input Sheet'!$AE:$AE,P3450,'Input Sheet'!$X:$X)</f>
        <v>0</v>
      </c>
      <c r="O3450" s="311"/>
      <c r="P3450" t="str">
        <f t="shared" si="288"/>
        <v>142-7880</v>
      </c>
      <c r="Q3450" s="315" t="str">
        <f t="shared" si="289"/>
        <v>LEX Admin &amp; Other</v>
      </c>
      <c r="R3450" s="315" t="str">
        <f t="shared" si="290"/>
        <v>LEX Admin &amp; OtherDepreciation as % of Total Gross Profit</v>
      </c>
      <c r="S3450" s="199"/>
      <c r="T3450" s="199"/>
      <c r="U3450" s="199"/>
    </row>
    <row r="3451" spans="1:21" x14ac:dyDescent="0.25">
      <c r="A3451" t="s">
        <v>996</v>
      </c>
      <c r="B3451" t="s">
        <v>997</v>
      </c>
      <c r="C3451" t="s">
        <v>997</v>
      </c>
      <c r="D3451">
        <v>7880</v>
      </c>
      <c r="E3451">
        <v>112</v>
      </c>
      <c r="F3451" t="s">
        <v>1449</v>
      </c>
      <c r="G3451" t="s">
        <v>1450</v>
      </c>
      <c r="H3451" s="315" t="s">
        <v>1023</v>
      </c>
      <c r="I3451" s="315" t="s">
        <v>1448</v>
      </c>
      <c r="J3451" s="315" t="str">
        <f t="shared" si="286"/>
        <v>LEX Admin &amp; OtherDepreciation as % of Total Gross Profit</v>
      </c>
      <c r="K3451" s="315" t="str">
        <f t="shared" si="287"/>
        <v>112Depreciation - Lexus</v>
      </c>
      <c r="L3451" s="311">
        <f>+SUMIF('TUNZ Extracted TB'!M:M,$P3451,'TUNZ Extracted TB'!G:G)</f>
        <v>0</v>
      </c>
      <c r="M3451" s="311"/>
      <c r="N3451" s="311">
        <f>+SUMIF('Input Sheet'!$AE:$AE,P3451,'Input Sheet'!$X:$X)</f>
        <v>0</v>
      </c>
      <c r="O3451" s="311"/>
      <c r="P3451" t="str">
        <f t="shared" si="288"/>
        <v>112-7880</v>
      </c>
      <c r="Q3451" s="315" t="str">
        <f t="shared" si="289"/>
        <v>LEX Admin &amp; Other</v>
      </c>
      <c r="R3451" s="315" t="str">
        <f t="shared" si="290"/>
        <v>LEX Admin &amp; OtherDepreciation as % of Total Gross Profit</v>
      </c>
      <c r="S3451" s="199"/>
      <c r="T3451" s="199"/>
      <c r="U3451" s="199"/>
    </row>
    <row r="3452" spans="1:21" x14ac:dyDescent="0.25">
      <c r="A3452" t="s">
        <v>996</v>
      </c>
      <c r="B3452" t="s">
        <v>997</v>
      </c>
      <c r="C3452" t="s">
        <v>997</v>
      </c>
      <c r="D3452">
        <v>7880</v>
      </c>
      <c r="E3452">
        <v>100</v>
      </c>
      <c r="F3452" t="s">
        <v>1446</v>
      </c>
      <c r="G3452" t="s">
        <v>1447</v>
      </c>
      <c r="H3452" s="315" t="s">
        <v>1000</v>
      </c>
      <c r="I3452" s="315" t="s">
        <v>1448</v>
      </c>
      <c r="J3452" s="315" t="str">
        <f t="shared" si="286"/>
        <v>Admin &amp; OtherDepreciation as % of Total Gross Profit</v>
      </c>
      <c r="K3452" s="315" t="str">
        <f t="shared" si="287"/>
        <v>100Depreciation - Toyota</v>
      </c>
      <c r="L3452" s="311">
        <f>+SUMIF('TUNZ Extracted TB'!M:M,$P3452,'TUNZ Extracted TB'!G:G)</f>
        <v>0</v>
      </c>
      <c r="M3452" s="311"/>
      <c r="N3452" s="311">
        <f>+SUMIF('Input Sheet'!$AE:$AE,P3452,'Input Sheet'!$X:$X)</f>
        <v>0</v>
      </c>
      <c r="O3452" s="311"/>
      <c r="P3452" t="str">
        <f t="shared" si="288"/>
        <v>100-7880</v>
      </c>
      <c r="Q3452" s="315" t="str">
        <f t="shared" si="289"/>
        <v>Admin &amp; Other</v>
      </c>
      <c r="R3452" s="315" t="str">
        <f t="shared" si="290"/>
        <v>Admin &amp; OtherDepreciation as % of Total Gross Profit</v>
      </c>
      <c r="S3452" s="199"/>
      <c r="T3452" s="199"/>
      <c r="U3452" s="199"/>
    </row>
    <row r="3453" spans="1:21" x14ac:dyDescent="0.25">
      <c r="A3453" t="s">
        <v>996</v>
      </c>
      <c r="B3453" t="s">
        <v>997</v>
      </c>
      <c r="C3453" t="s">
        <v>997</v>
      </c>
      <c r="D3453">
        <v>7880</v>
      </c>
      <c r="E3453">
        <v>110</v>
      </c>
      <c r="F3453" t="s">
        <v>1446</v>
      </c>
      <c r="G3453" t="s">
        <v>1447</v>
      </c>
      <c r="H3453" s="315" t="s">
        <v>1000</v>
      </c>
      <c r="I3453" s="315" t="s">
        <v>1448</v>
      </c>
      <c r="J3453" s="315" t="str">
        <f t="shared" si="286"/>
        <v>Admin &amp; OtherDepreciation as % of Total Gross Profit</v>
      </c>
      <c r="K3453" s="315" t="str">
        <f t="shared" si="287"/>
        <v>110Depreciation - Toyota</v>
      </c>
      <c r="L3453" s="311">
        <f>+SUMIF('TUNZ Extracted TB'!M:M,$P3453,'TUNZ Extracted TB'!G:G)</f>
        <v>0</v>
      </c>
      <c r="M3453" s="311"/>
      <c r="N3453" s="311">
        <f>+SUMIF('Input Sheet'!$AE:$AE,P3453,'Input Sheet'!$X:$X)</f>
        <v>0</v>
      </c>
      <c r="O3453" s="311"/>
      <c r="P3453" t="str">
        <f t="shared" si="288"/>
        <v>110-7880</v>
      </c>
      <c r="Q3453" s="315" t="str">
        <f t="shared" si="289"/>
        <v>Admin &amp; Other</v>
      </c>
      <c r="R3453" s="315" t="str">
        <f t="shared" si="290"/>
        <v>Admin &amp; OtherDepreciation as % of Total Gross Profit</v>
      </c>
      <c r="S3453" s="199"/>
      <c r="T3453" s="199"/>
      <c r="U3453" s="199"/>
    </row>
    <row r="3454" spans="1:21" x14ac:dyDescent="0.25">
      <c r="A3454" t="s">
        <v>996</v>
      </c>
      <c r="B3454" t="s">
        <v>997</v>
      </c>
      <c r="C3454" t="s">
        <v>997</v>
      </c>
      <c r="D3454">
        <v>7900</v>
      </c>
      <c r="E3454">
        <v>936</v>
      </c>
      <c r="F3454" t="s">
        <v>1175</v>
      </c>
      <c r="G3454" t="s">
        <v>1176</v>
      </c>
      <c r="H3454" s="315" t="s">
        <v>1023</v>
      </c>
      <c r="I3454" s="315" t="s">
        <v>1390</v>
      </c>
      <c r="J3454" s="315" t="str">
        <f t="shared" si="286"/>
        <v>LEX Admin &amp; OtherProfessional Fees as % of Total Gross Profit</v>
      </c>
      <c r="K3454" s="315" t="str">
        <f t="shared" si="287"/>
        <v>936Other franchise/business expense</v>
      </c>
      <c r="L3454" s="311">
        <f>+SUMIF('TUNZ Extracted TB'!M:M,$P3454,'TUNZ Extracted TB'!G:G)</f>
        <v>0</v>
      </c>
      <c r="M3454" s="311"/>
      <c r="N3454" s="311">
        <f>+SUMIF('Input Sheet'!$AE:$AE,P3454,'Input Sheet'!$X:$X)</f>
        <v>0</v>
      </c>
      <c r="O3454" s="311"/>
      <c r="P3454" t="str">
        <f t="shared" si="288"/>
        <v>936-7900</v>
      </c>
      <c r="Q3454" s="315" t="str">
        <f t="shared" si="289"/>
        <v>LEX Admin &amp; Other</v>
      </c>
      <c r="R3454" s="315" t="str">
        <f t="shared" si="290"/>
        <v>LEX Admin &amp; OtherProfessional Fees as % of Total Gross Profit</v>
      </c>
      <c r="S3454" s="199"/>
      <c r="T3454" s="199"/>
      <c r="U3454" s="199"/>
    </row>
    <row r="3455" spans="1:21" x14ac:dyDescent="0.25">
      <c r="A3455" t="s">
        <v>996</v>
      </c>
      <c r="B3455" t="s">
        <v>997</v>
      </c>
      <c r="C3455" t="s">
        <v>997</v>
      </c>
      <c r="D3455">
        <v>7900</v>
      </c>
      <c r="E3455">
        <v>935</v>
      </c>
      <c r="F3455" t="s">
        <v>1175</v>
      </c>
      <c r="G3455" t="s">
        <v>1176</v>
      </c>
      <c r="H3455" s="315" t="s">
        <v>1023</v>
      </c>
      <c r="I3455" s="315" t="s">
        <v>1390</v>
      </c>
      <c r="J3455" s="315" t="str">
        <f t="shared" si="286"/>
        <v>LEX Admin &amp; OtherProfessional Fees as % of Total Gross Profit</v>
      </c>
      <c r="K3455" s="315" t="str">
        <f t="shared" si="287"/>
        <v>935Other franchise/business expense</v>
      </c>
      <c r="L3455" s="311">
        <f>+SUMIF('TUNZ Extracted TB'!M:M,$P3455,'TUNZ Extracted TB'!G:G)</f>
        <v>0</v>
      </c>
      <c r="M3455" s="311"/>
      <c r="N3455" s="311">
        <f>+SUMIF('Input Sheet'!$AE:$AE,P3455,'Input Sheet'!$X:$X)</f>
        <v>0</v>
      </c>
      <c r="O3455" s="311"/>
      <c r="P3455" t="str">
        <f t="shared" si="288"/>
        <v>935-7900</v>
      </c>
      <c r="Q3455" s="315" t="str">
        <f t="shared" si="289"/>
        <v>LEX Admin &amp; Other</v>
      </c>
      <c r="R3455" s="315" t="str">
        <f t="shared" si="290"/>
        <v>LEX Admin &amp; OtherProfessional Fees as % of Total Gross Profit</v>
      </c>
      <c r="S3455" s="199"/>
      <c r="T3455" s="199"/>
      <c r="U3455" s="199"/>
    </row>
    <row r="3456" spans="1:21" x14ac:dyDescent="0.25">
      <c r="A3456" t="s">
        <v>996</v>
      </c>
      <c r="B3456" t="s">
        <v>997</v>
      </c>
      <c r="C3456" t="s">
        <v>997</v>
      </c>
      <c r="D3456">
        <v>7900</v>
      </c>
      <c r="E3456">
        <v>122</v>
      </c>
      <c r="F3456" t="s">
        <v>1391</v>
      </c>
      <c r="G3456" t="s">
        <v>1392</v>
      </c>
      <c r="H3456" s="315" t="s">
        <v>1023</v>
      </c>
      <c r="I3456" s="315" t="s">
        <v>1390</v>
      </c>
      <c r="J3456" s="315" t="str">
        <f t="shared" si="286"/>
        <v>LEX Admin &amp; OtherProfessional Fees as % of Total Gross Profit</v>
      </c>
      <c r="K3456" s="315" t="str">
        <f t="shared" si="287"/>
        <v>122Professional Fees - Lexus</v>
      </c>
      <c r="L3456" s="311">
        <f>+SUMIF('TUNZ Extracted TB'!M:M,$P3456,'TUNZ Extracted TB'!G:G)</f>
        <v>0</v>
      </c>
      <c r="M3456" s="311"/>
      <c r="N3456" s="311">
        <f>+SUMIF('Input Sheet'!$AE:$AE,P3456,'Input Sheet'!$X:$X)</f>
        <v>0</v>
      </c>
      <c r="O3456" s="311"/>
      <c r="P3456" t="str">
        <f t="shared" si="288"/>
        <v>122-7900</v>
      </c>
      <c r="Q3456" s="315" t="str">
        <f t="shared" si="289"/>
        <v>LEX Admin &amp; Other</v>
      </c>
      <c r="R3456" s="315" t="str">
        <f t="shared" si="290"/>
        <v>LEX Admin &amp; OtherProfessional Fees as % of Total Gross Profit</v>
      </c>
      <c r="S3456" s="199"/>
      <c r="T3456" s="199"/>
      <c r="U3456" s="199"/>
    </row>
    <row r="3457" spans="1:21" x14ac:dyDescent="0.25">
      <c r="A3457" t="s">
        <v>996</v>
      </c>
      <c r="B3457" t="s">
        <v>997</v>
      </c>
      <c r="C3457" t="s">
        <v>997</v>
      </c>
      <c r="D3457">
        <v>7900</v>
      </c>
      <c r="E3457">
        <v>162</v>
      </c>
      <c r="F3457" t="s">
        <v>1391</v>
      </c>
      <c r="G3457" t="s">
        <v>1392</v>
      </c>
      <c r="H3457" s="315" t="s">
        <v>1023</v>
      </c>
      <c r="I3457" s="315" t="s">
        <v>1390</v>
      </c>
      <c r="J3457" s="315" t="str">
        <f t="shared" si="286"/>
        <v>LEX Admin &amp; OtherProfessional Fees as % of Total Gross Profit</v>
      </c>
      <c r="K3457" s="315" t="str">
        <f t="shared" si="287"/>
        <v>162Professional Fees - Lexus</v>
      </c>
      <c r="L3457" s="311">
        <f>+SUMIF('TUNZ Extracted TB'!M:M,$P3457,'TUNZ Extracted TB'!G:G)</f>
        <v>0</v>
      </c>
      <c r="M3457" s="311"/>
      <c r="N3457" s="311">
        <f>+SUMIF('Input Sheet'!$AE:$AE,P3457,'Input Sheet'!$X:$X)</f>
        <v>0</v>
      </c>
      <c r="O3457" s="311"/>
      <c r="P3457" t="str">
        <f t="shared" si="288"/>
        <v>162-7900</v>
      </c>
      <c r="Q3457" s="315" t="str">
        <f t="shared" si="289"/>
        <v>LEX Admin &amp; Other</v>
      </c>
      <c r="R3457" s="315" t="str">
        <f t="shared" si="290"/>
        <v>LEX Admin &amp; OtherProfessional Fees as % of Total Gross Profit</v>
      </c>
      <c r="S3457" s="199"/>
      <c r="T3457" s="199"/>
      <c r="U3457" s="199"/>
    </row>
    <row r="3458" spans="1:21" x14ac:dyDescent="0.25">
      <c r="A3458" t="s">
        <v>996</v>
      </c>
      <c r="B3458" t="s">
        <v>997</v>
      </c>
      <c r="C3458" t="s">
        <v>1005</v>
      </c>
      <c r="D3458">
        <v>7900</v>
      </c>
      <c r="E3458">
        <v>200</v>
      </c>
      <c r="F3458" t="s">
        <v>1388</v>
      </c>
      <c r="G3458" t="s">
        <v>1389</v>
      </c>
      <c r="H3458" s="315" t="s">
        <v>1000</v>
      </c>
      <c r="I3458" s="315" t="s">
        <v>1390</v>
      </c>
      <c r="J3458" s="315" t="str">
        <f t="shared" si="286"/>
        <v>Admin &amp; OtherProfessional Fees as % of Total Gross Profit</v>
      </c>
      <c r="K3458" s="315" t="str">
        <f t="shared" si="287"/>
        <v>200Professional Fees - Toyota</v>
      </c>
      <c r="L3458" s="311">
        <f>+SUMIF('TUNZ Extracted TB'!M:M,$P3458,'TUNZ Extracted TB'!G:G)</f>
        <v>0</v>
      </c>
      <c r="M3458" s="311"/>
      <c r="N3458" s="311">
        <f>+SUMIF('Input Sheet'!$AE:$AE,P3458,'Input Sheet'!$X:$X)</f>
        <v>0</v>
      </c>
      <c r="O3458" s="311"/>
      <c r="P3458" t="str">
        <f t="shared" si="288"/>
        <v>200-7900</v>
      </c>
      <c r="Q3458" s="315" t="str">
        <f t="shared" si="289"/>
        <v>Admin &amp; Other</v>
      </c>
      <c r="R3458" s="315" t="str">
        <f t="shared" si="290"/>
        <v>Admin &amp; OtherProfessional Fees as % of Total Gross Profit</v>
      </c>
      <c r="S3458" s="199"/>
      <c r="T3458" s="199"/>
      <c r="U3458" s="199"/>
    </row>
    <row r="3459" spans="1:21" x14ac:dyDescent="0.25">
      <c r="A3459" t="s">
        <v>996</v>
      </c>
      <c r="B3459" t="s">
        <v>997</v>
      </c>
      <c r="C3459" t="s">
        <v>1005</v>
      </c>
      <c r="D3459">
        <v>7900</v>
      </c>
      <c r="E3459">
        <v>210</v>
      </c>
      <c r="F3459" t="s">
        <v>1388</v>
      </c>
      <c r="G3459" t="s">
        <v>1389</v>
      </c>
      <c r="H3459" s="315" t="s">
        <v>1000</v>
      </c>
      <c r="I3459" s="315" t="s">
        <v>1390</v>
      </c>
      <c r="J3459" s="315" t="str">
        <f t="shared" ref="J3459:J3522" si="291">+H3459&amp;I3459</f>
        <v>Admin &amp; OtherProfessional Fees as % of Total Gross Profit</v>
      </c>
      <c r="K3459" s="315" t="str">
        <f t="shared" ref="K3459:K3522" si="292">+E3459&amp;G3459</f>
        <v>210Professional Fees - Toyota</v>
      </c>
      <c r="L3459" s="311">
        <f>+SUMIF('TUNZ Extracted TB'!M:M,$P3459,'TUNZ Extracted TB'!G:G)</f>
        <v>0</v>
      </c>
      <c r="M3459" s="311"/>
      <c r="N3459" s="311">
        <f>+SUMIF('Input Sheet'!$AE:$AE,P3459,'Input Sheet'!$X:$X)</f>
        <v>0</v>
      </c>
      <c r="O3459" s="311"/>
      <c r="P3459" t="str">
        <f t="shared" ref="P3459:P3522" si="293">+E3459&amp;"-"&amp;D3459</f>
        <v>210-7900</v>
      </c>
      <c r="Q3459" s="315" t="str">
        <f t="shared" ref="Q3459:Q3522" si="294">H3459</f>
        <v>Admin &amp; Other</v>
      </c>
      <c r="R3459" s="315" t="str">
        <f t="shared" ref="R3459:R3522" si="295">J3459</f>
        <v>Admin &amp; OtherProfessional Fees as % of Total Gross Profit</v>
      </c>
      <c r="S3459" s="199"/>
      <c r="T3459" s="199"/>
      <c r="U3459" s="199"/>
    </row>
    <row r="3460" spans="1:21" x14ac:dyDescent="0.25">
      <c r="A3460" t="s">
        <v>996</v>
      </c>
      <c r="B3460" t="s">
        <v>997</v>
      </c>
      <c r="C3460" t="s">
        <v>1005</v>
      </c>
      <c r="D3460">
        <v>7900</v>
      </c>
      <c r="E3460">
        <v>220</v>
      </c>
      <c r="F3460" t="s">
        <v>1388</v>
      </c>
      <c r="G3460" t="s">
        <v>1389</v>
      </c>
      <c r="H3460" s="315" t="s">
        <v>1000</v>
      </c>
      <c r="I3460" s="315" t="s">
        <v>1390</v>
      </c>
      <c r="J3460" s="315" t="str">
        <f t="shared" si="291"/>
        <v>Admin &amp; OtherProfessional Fees as % of Total Gross Profit</v>
      </c>
      <c r="K3460" s="315" t="str">
        <f t="shared" si="292"/>
        <v>220Professional Fees - Toyota</v>
      </c>
      <c r="L3460" s="311">
        <f>+SUMIF('TUNZ Extracted TB'!M:M,$P3460,'TUNZ Extracted TB'!G:G)</f>
        <v>0</v>
      </c>
      <c r="M3460" s="311"/>
      <c r="N3460" s="311">
        <f>+SUMIF('Input Sheet'!$AE:$AE,P3460,'Input Sheet'!$X:$X)</f>
        <v>0</v>
      </c>
      <c r="O3460" s="311"/>
      <c r="P3460" t="str">
        <f t="shared" si="293"/>
        <v>220-7900</v>
      </c>
      <c r="Q3460" s="315" t="str">
        <f t="shared" si="294"/>
        <v>Admin &amp; Other</v>
      </c>
      <c r="R3460" s="315" t="str">
        <f t="shared" si="295"/>
        <v>Admin &amp; OtherProfessional Fees as % of Total Gross Profit</v>
      </c>
      <c r="S3460" s="199"/>
      <c r="T3460" s="199"/>
      <c r="U3460" s="199"/>
    </row>
    <row r="3461" spans="1:21" x14ac:dyDescent="0.25">
      <c r="A3461" t="s">
        <v>996</v>
      </c>
      <c r="B3461" t="s">
        <v>997</v>
      </c>
      <c r="C3461" t="s">
        <v>1005</v>
      </c>
      <c r="D3461">
        <v>7900</v>
      </c>
      <c r="E3461">
        <v>221</v>
      </c>
      <c r="F3461" t="s">
        <v>1388</v>
      </c>
      <c r="G3461" t="s">
        <v>1389</v>
      </c>
      <c r="H3461" s="315" t="s">
        <v>1000</v>
      </c>
      <c r="I3461" s="315" t="s">
        <v>1390</v>
      </c>
      <c r="J3461" s="315" t="str">
        <f t="shared" si="291"/>
        <v>Admin &amp; OtherProfessional Fees as % of Total Gross Profit</v>
      </c>
      <c r="K3461" s="315" t="str">
        <f t="shared" si="292"/>
        <v>221Professional Fees - Toyota</v>
      </c>
      <c r="L3461" s="311">
        <f>+SUMIF('TUNZ Extracted TB'!M:M,$P3461,'TUNZ Extracted TB'!G:G)</f>
        <v>0</v>
      </c>
      <c r="M3461" s="311"/>
      <c r="N3461" s="311">
        <f>+SUMIF('Input Sheet'!$AE:$AE,P3461,'Input Sheet'!$X:$X)</f>
        <v>0</v>
      </c>
      <c r="O3461" s="311"/>
      <c r="P3461" t="str">
        <f t="shared" si="293"/>
        <v>221-7900</v>
      </c>
      <c r="Q3461" s="315" t="str">
        <f t="shared" si="294"/>
        <v>Admin &amp; Other</v>
      </c>
      <c r="R3461" s="315" t="str">
        <f t="shared" si="295"/>
        <v>Admin &amp; OtherProfessional Fees as % of Total Gross Profit</v>
      </c>
      <c r="S3461" s="199"/>
      <c r="T3461" s="199"/>
      <c r="U3461" s="199"/>
    </row>
    <row r="3462" spans="1:21" x14ac:dyDescent="0.25">
      <c r="A3462" t="s">
        <v>996</v>
      </c>
      <c r="B3462" t="s">
        <v>997</v>
      </c>
      <c r="C3462" t="s">
        <v>1005</v>
      </c>
      <c r="D3462">
        <v>7900</v>
      </c>
      <c r="E3462">
        <v>230</v>
      </c>
      <c r="F3462" t="s">
        <v>1388</v>
      </c>
      <c r="G3462" t="s">
        <v>1389</v>
      </c>
      <c r="H3462" s="315" t="s">
        <v>1000</v>
      </c>
      <c r="I3462" s="315" t="s">
        <v>1390</v>
      </c>
      <c r="J3462" s="315" t="str">
        <f t="shared" si="291"/>
        <v>Admin &amp; OtherProfessional Fees as % of Total Gross Profit</v>
      </c>
      <c r="K3462" s="315" t="str">
        <f t="shared" si="292"/>
        <v>230Professional Fees - Toyota</v>
      </c>
      <c r="L3462" s="311">
        <f>+SUMIF('TUNZ Extracted TB'!M:M,$P3462,'TUNZ Extracted TB'!G:G)</f>
        <v>0</v>
      </c>
      <c r="M3462" s="311"/>
      <c r="N3462" s="311">
        <f>+SUMIF('Input Sheet'!$AE:$AE,P3462,'Input Sheet'!$X:$X)</f>
        <v>0</v>
      </c>
      <c r="O3462" s="311"/>
      <c r="P3462" t="str">
        <f t="shared" si="293"/>
        <v>230-7900</v>
      </c>
      <c r="Q3462" s="315" t="str">
        <f t="shared" si="294"/>
        <v>Admin &amp; Other</v>
      </c>
      <c r="R3462" s="315" t="str">
        <f t="shared" si="295"/>
        <v>Admin &amp; OtherProfessional Fees as % of Total Gross Profit</v>
      </c>
      <c r="S3462" s="199"/>
      <c r="T3462" s="199"/>
      <c r="U3462" s="199"/>
    </row>
    <row r="3463" spans="1:21" x14ac:dyDescent="0.25">
      <c r="A3463" t="s">
        <v>996</v>
      </c>
      <c r="B3463" t="s">
        <v>997</v>
      </c>
      <c r="C3463" t="s">
        <v>1005</v>
      </c>
      <c r="D3463">
        <v>7900</v>
      </c>
      <c r="E3463">
        <v>240</v>
      </c>
      <c r="F3463" t="s">
        <v>1388</v>
      </c>
      <c r="G3463" t="s">
        <v>1389</v>
      </c>
      <c r="H3463" s="315" t="s">
        <v>1000</v>
      </c>
      <c r="I3463" s="315" t="s">
        <v>1390</v>
      </c>
      <c r="J3463" s="315" t="str">
        <f t="shared" si="291"/>
        <v>Admin &amp; OtherProfessional Fees as % of Total Gross Profit</v>
      </c>
      <c r="K3463" s="315" t="str">
        <f t="shared" si="292"/>
        <v>240Professional Fees - Toyota</v>
      </c>
      <c r="L3463" s="311">
        <f>+SUMIF('TUNZ Extracted TB'!M:M,$P3463,'TUNZ Extracted TB'!G:G)</f>
        <v>0</v>
      </c>
      <c r="M3463" s="311"/>
      <c r="N3463" s="311">
        <f>+SUMIF('Input Sheet'!$AE:$AE,P3463,'Input Sheet'!$X:$X)</f>
        <v>0</v>
      </c>
      <c r="O3463" s="311"/>
      <c r="P3463" t="str">
        <f t="shared" si="293"/>
        <v>240-7900</v>
      </c>
      <c r="Q3463" s="315" t="str">
        <f t="shared" si="294"/>
        <v>Admin &amp; Other</v>
      </c>
      <c r="R3463" s="315" t="str">
        <f t="shared" si="295"/>
        <v>Admin &amp; OtherProfessional Fees as % of Total Gross Profit</v>
      </c>
      <c r="S3463" s="199"/>
      <c r="T3463" s="199"/>
      <c r="U3463" s="199"/>
    </row>
    <row r="3464" spans="1:21" x14ac:dyDescent="0.25">
      <c r="A3464" t="s">
        <v>996</v>
      </c>
      <c r="B3464" t="s">
        <v>997</v>
      </c>
      <c r="C3464" t="s">
        <v>1005</v>
      </c>
      <c r="D3464">
        <v>7900</v>
      </c>
      <c r="E3464">
        <v>260</v>
      </c>
      <c r="F3464" t="s">
        <v>1388</v>
      </c>
      <c r="G3464" t="s">
        <v>1389</v>
      </c>
      <c r="H3464" s="315" t="s">
        <v>1000</v>
      </c>
      <c r="I3464" s="315" t="s">
        <v>1390</v>
      </c>
      <c r="J3464" s="315" t="str">
        <f t="shared" si="291"/>
        <v>Admin &amp; OtherProfessional Fees as % of Total Gross Profit</v>
      </c>
      <c r="K3464" s="315" t="str">
        <f t="shared" si="292"/>
        <v>260Professional Fees - Toyota</v>
      </c>
      <c r="L3464" s="311">
        <f>+SUMIF('TUNZ Extracted TB'!M:M,$P3464,'TUNZ Extracted TB'!G:G)</f>
        <v>0</v>
      </c>
      <c r="M3464" s="311"/>
      <c r="N3464" s="311">
        <f>+SUMIF('Input Sheet'!$AE:$AE,P3464,'Input Sheet'!$X:$X)</f>
        <v>0</v>
      </c>
      <c r="O3464" s="311"/>
      <c r="P3464" t="str">
        <f t="shared" si="293"/>
        <v>260-7900</v>
      </c>
      <c r="Q3464" s="315" t="str">
        <f t="shared" si="294"/>
        <v>Admin &amp; Other</v>
      </c>
      <c r="R3464" s="315" t="str">
        <f t="shared" si="295"/>
        <v>Admin &amp; OtherProfessional Fees as % of Total Gross Profit</v>
      </c>
      <c r="S3464" s="199"/>
      <c r="T3464" s="199"/>
      <c r="U3464" s="199"/>
    </row>
    <row r="3465" spans="1:21" x14ac:dyDescent="0.25">
      <c r="A3465" t="s">
        <v>996</v>
      </c>
      <c r="B3465" t="s">
        <v>997</v>
      </c>
      <c r="C3465" t="s">
        <v>1012</v>
      </c>
      <c r="D3465">
        <v>7900</v>
      </c>
      <c r="E3465">
        <v>400</v>
      </c>
      <c r="F3465" t="s">
        <v>1388</v>
      </c>
      <c r="G3465" t="s">
        <v>1389</v>
      </c>
      <c r="H3465" s="315" t="s">
        <v>1000</v>
      </c>
      <c r="I3465" s="315" t="s">
        <v>1390</v>
      </c>
      <c r="J3465" s="315" t="str">
        <f t="shared" si="291"/>
        <v>Admin &amp; OtherProfessional Fees as % of Total Gross Profit</v>
      </c>
      <c r="K3465" s="315" t="str">
        <f t="shared" si="292"/>
        <v>400Professional Fees - Toyota</v>
      </c>
      <c r="L3465" s="311">
        <f>+SUMIF('TUNZ Extracted TB'!M:M,$P3465,'TUNZ Extracted TB'!G:G)</f>
        <v>0</v>
      </c>
      <c r="M3465" s="311"/>
      <c r="N3465" s="311">
        <f>+SUMIF('Input Sheet'!$AE:$AE,P3465,'Input Sheet'!$X:$X)</f>
        <v>0</v>
      </c>
      <c r="O3465" s="311"/>
      <c r="P3465" t="str">
        <f t="shared" si="293"/>
        <v>400-7900</v>
      </c>
      <c r="Q3465" s="315" t="str">
        <f t="shared" si="294"/>
        <v>Admin &amp; Other</v>
      </c>
      <c r="R3465" s="315" t="str">
        <f t="shared" si="295"/>
        <v>Admin &amp; OtherProfessional Fees as % of Total Gross Profit</v>
      </c>
      <c r="S3465" s="199"/>
      <c r="T3465" s="199"/>
      <c r="U3465" s="199"/>
    </row>
    <row r="3466" spans="1:21" x14ac:dyDescent="0.25">
      <c r="A3466" t="s">
        <v>996</v>
      </c>
      <c r="B3466" t="s">
        <v>997</v>
      </c>
      <c r="C3466" t="s">
        <v>1012</v>
      </c>
      <c r="D3466">
        <v>7900</v>
      </c>
      <c r="E3466">
        <v>410</v>
      </c>
      <c r="F3466" t="s">
        <v>1388</v>
      </c>
      <c r="G3466" t="s">
        <v>1389</v>
      </c>
      <c r="H3466" s="315" t="s">
        <v>1000</v>
      </c>
      <c r="I3466" s="315" t="s">
        <v>1390</v>
      </c>
      <c r="J3466" s="315" t="str">
        <f t="shared" si="291"/>
        <v>Admin &amp; OtherProfessional Fees as % of Total Gross Profit</v>
      </c>
      <c r="K3466" s="315" t="str">
        <f t="shared" si="292"/>
        <v>410Professional Fees - Toyota</v>
      </c>
      <c r="L3466" s="311">
        <f>+SUMIF('TUNZ Extracted TB'!M:M,$P3466,'TUNZ Extracted TB'!G:G)</f>
        <v>0</v>
      </c>
      <c r="M3466" s="311"/>
      <c r="N3466" s="311">
        <f>+SUMIF('Input Sheet'!$AE:$AE,P3466,'Input Sheet'!$X:$X)</f>
        <v>0</v>
      </c>
      <c r="O3466" s="311"/>
      <c r="P3466" t="str">
        <f t="shared" si="293"/>
        <v>410-7900</v>
      </c>
      <c r="Q3466" s="315" t="str">
        <f t="shared" si="294"/>
        <v>Admin &amp; Other</v>
      </c>
      <c r="R3466" s="315" t="str">
        <f t="shared" si="295"/>
        <v>Admin &amp; OtherProfessional Fees as % of Total Gross Profit</v>
      </c>
      <c r="S3466" s="199"/>
      <c r="T3466" s="199"/>
      <c r="U3466" s="199"/>
    </row>
    <row r="3467" spans="1:21" x14ac:dyDescent="0.25">
      <c r="A3467" t="s">
        <v>996</v>
      </c>
      <c r="B3467" t="s">
        <v>997</v>
      </c>
      <c r="C3467" t="s">
        <v>1012</v>
      </c>
      <c r="D3467">
        <v>7900</v>
      </c>
      <c r="E3467">
        <v>420</v>
      </c>
      <c r="F3467" t="s">
        <v>1388</v>
      </c>
      <c r="G3467" t="s">
        <v>1389</v>
      </c>
      <c r="H3467" s="315" t="s">
        <v>1000</v>
      </c>
      <c r="I3467" s="315" t="s">
        <v>1390</v>
      </c>
      <c r="J3467" s="315" t="str">
        <f t="shared" si="291"/>
        <v>Admin &amp; OtherProfessional Fees as % of Total Gross Profit</v>
      </c>
      <c r="K3467" s="315" t="str">
        <f t="shared" si="292"/>
        <v>420Professional Fees - Toyota</v>
      </c>
      <c r="L3467" s="311">
        <f>+SUMIF('TUNZ Extracted TB'!M:M,$P3467,'TUNZ Extracted TB'!G:G)</f>
        <v>0</v>
      </c>
      <c r="M3467" s="311"/>
      <c r="N3467" s="311">
        <f>+SUMIF('Input Sheet'!$AE:$AE,P3467,'Input Sheet'!$X:$X)</f>
        <v>0</v>
      </c>
      <c r="O3467" s="311"/>
      <c r="P3467" t="str">
        <f t="shared" si="293"/>
        <v>420-7900</v>
      </c>
      <c r="Q3467" s="315" t="str">
        <f t="shared" si="294"/>
        <v>Admin &amp; Other</v>
      </c>
      <c r="R3467" s="315" t="str">
        <f t="shared" si="295"/>
        <v>Admin &amp; OtherProfessional Fees as % of Total Gross Profit</v>
      </c>
      <c r="S3467" s="199"/>
      <c r="T3467" s="199"/>
      <c r="U3467" s="199"/>
    </row>
    <row r="3468" spans="1:21" x14ac:dyDescent="0.25">
      <c r="A3468" t="s">
        <v>996</v>
      </c>
      <c r="B3468" t="s">
        <v>997</v>
      </c>
      <c r="C3468" t="s">
        <v>1012</v>
      </c>
      <c r="D3468">
        <v>7900</v>
      </c>
      <c r="E3468">
        <v>421</v>
      </c>
      <c r="F3468" t="s">
        <v>1388</v>
      </c>
      <c r="G3468" t="s">
        <v>1389</v>
      </c>
      <c r="H3468" s="315" t="s">
        <v>1000</v>
      </c>
      <c r="I3468" s="315" t="s">
        <v>1390</v>
      </c>
      <c r="J3468" s="315" t="str">
        <f t="shared" si="291"/>
        <v>Admin &amp; OtherProfessional Fees as % of Total Gross Profit</v>
      </c>
      <c r="K3468" s="315" t="str">
        <f t="shared" si="292"/>
        <v>421Professional Fees - Toyota</v>
      </c>
      <c r="L3468" s="311">
        <f>+SUMIF('TUNZ Extracted TB'!M:M,$P3468,'TUNZ Extracted TB'!G:G)</f>
        <v>0</v>
      </c>
      <c r="M3468" s="311"/>
      <c r="N3468" s="311">
        <f>+SUMIF('Input Sheet'!$AE:$AE,P3468,'Input Sheet'!$X:$X)</f>
        <v>0</v>
      </c>
      <c r="O3468" s="311"/>
      <c r="P3468" t="str">
        <f t="shared" si="293"/>
        <v>421-7900</v>
      </c>
      <c r="Q3468" s="315" t="str">
        <f t="shared" si="294"/>
        <v>Admin &amp; Other</v>
      </c>
      <c r="R3468" s="315" t="str">
        <f t="shared" si="295"/>
        <v>Admin &amp; OtherProfessional Fees as % of Total Gross Profit</v>
      </c>
      <c r="S3468" s="199"/>
      <c r="T3468" s="199"/>
      <c r="U3468" s="199"/>
    </row>
    <row r="3469" spans="1:21" x14ac:dyDescent="0.25">
      <c r="A3469" t="s">
        <v>996</v>
      </c>
      <c r="B3469" t="s">
        <v>997</v>
      </c>
      <c r="C3469" t="s">
        <v>1012</v>
      </c>
      <c r="D3469">
        <v>7900</v>
      </c>
      <c r="E3469">
        <v>430</v>
      </c>
      <c r="F3469" t="s">
        <v>1388</v>
      </c>
      <c r="G3469" t="s">
        <v>1389</v>
      </c>
      <c r="H3469" s="315" t="s">
        <v>1000</v>
      </c>
      <c r="I3469" s="315" t="s">
        <v>1390</v>
      </c>
      <c r="J3469" s="315" t="str">
        <f t="shared" si="291"/>
        <v>Admin &amp; OtherProfessional Fees as % of Total Gross Profit</v>
      </c>
      <c r="K3469" s="315" t="str">
        <f t="shared" si="292"/>
        <v>430Professional Fees - Toyota</v>
      </c>
      <c r="L3469" s="311">
        <f>+SUMIF('TUNZ Extracted TB'!M:M,$P3469,'TUNZ Extracted TB'!G:G)</f>
        <v>0</v>
      </c>
      <c r="M3469" s="311"/>
      <c r="N3469" s="311">
        <f>+SUMIF('Input Sheet'!$AE:$AE,P3469,'Input Sheet'!$X:$X)</f>
        <v>0</v>
      </c>
      <c r="O3469" s="311"/>
      <c r="P3469" t="str">
        <f t="shared" si="293"/>
        <v>430-7900</v>
      </c>
      <c r="Q3469" s="315" t="str">
        <f t="shared" si="294"/>
        <v>Admin &amp; Other</v>
      </c>
      <c r="R3469" s="315" t="str">
        <f t="shared" si="295"/>
        <v>Admin &amp; OtherProfessional Fees as % of Total Gross Profit</v>
      </c>
      <c r="S3469" s="199"/>
      <c r="T3469" s="199"/>
      <c r="U3469" s="199"/>
    </row>
    <row r="3470" spans="1:21" x14ac:dyDescent="0.25">
      <c r="A3470" t="s">
        <v>996</v>
      </c>
      <c r="B3470" t="s">
        <v>997</v>
      </c>
      <c r="C3470" t="s">
        <v>1012</v>
      </c>
      <c r="D3470">
        <v>7900</v>
      </c>
      <c r="E3470">
        <v>440</v>
      </c>
      <c r="F3470" t="s">
        <v>1388</v>
      </c>
      <c r="G3470" t="s">
        <v>1389</v>
      </c>
      <c r="H3470" s="315" t="s">
        <v>1000</v>
      </c>
      <c r="I3470" s="315" t="s">
        <v>1390</v>
      </c>
      <c r="J3470" s="315" t="str">
        <f t="shared" si="291"/>
        <v>Admin &amp; OtherProfessional Fees as % of Total Gross Profit</v>
      </c>
      <c r="K3470" s="315" t="str">
        <f t="shared" si="292"/>
        <v>440Professional Fees - Toyota</v>
      </c>
      <c r="L3470" s="311">
        <f>+SUMIF('TUNZ Extracted TB'!M:M,$P3470,'TUNZ Extracted TB'!G:G)</f>
        <v>0</v>
      </c>
      <c r="M3470" s="311"/>
      <c r="N3470" s="311">
        <f>+SUMIF('Input Sheet'!$AE:$AE,P3470,'Input Sheet'!$X:$X)</f>
        <v>0</v>
      </c>
      <c r="O3470" s="311"/>
      <c r="P3470" t="str">
        <f t="shared" si="293"/>
        <v>440-7900</v>
      </c>
      <c r="Q3470" s="315" t="str">
        <f t="shared" si="294"/>
        <v>Admin &amp; Other</v>
      </c>
      <c r="R3470" s="315" t="str">
        <f t="shared" si="295"/>
        <v>Admin &amp; OtherProfessional Fees as % of Total Gross Profit</v>
      </c>
      <c r="S3470" s="199"/>
      <c r="T3470" s="199"/>
      <c r="U3470" s="199"/>
    </row>
    <row r="3471" spans="1:21" x14ac:dyDescent="0.25">
      <c r="A3471" t="s">
        <v>996</v>
      </c>
      <c r="B3471" t="s">
        <v>997</v>
      </c>
      <c r="C3471" t="s">
        <v>1012</v>
      </c>
      <c r="D3471">
        <v>7900</v>
      </c>
      <c r="E3471">
        <v>460</v>
      </c>
      <c r="F3471" t="s">
        <v>1388</v>
      </c>
      <c r="G3471" t="s">
        <v>1389</v>
      </c>
      <c r="H3471" s="315" t="s">
        <v>1000</v>
      </c>
      <c r="I3471" s="315" t="s">
        <v>1390</v>
      </c>
      <c r="J3471" s="315" t="str">
        <f t="shared" si="291"/>
        <v>Admin &amp; OtherProfessional Fees as % of Total Gross Profit</v>
      </c>
      <c r="K3471" s="315" t="str">
        <f t="shared" si="292"/>
        <v>460Professional Fees - Toyota</v>
      </c>
      <c r="L3471" s="311">
        <f>+SUMIF('TUNZ Extracted TB'!M:M,$P3471,'TUNZ Extracted TB'!G:G)</f>
        <v>0</v>
      </c>
      <c r="M3471" s="311"/>
      <c r="N3471" s="311">
        <f>+SUMIF('Input Sheet'!$AE:$AE,P3471,'Input Sheet'!$X:$X)</f>
        <v>0</v>
      </c>
      <c r="O3471" s="311"/>
      <c r="P3471" t="str">
        <f t="shared" si="293"/>
        <v>460-7900</v>
      </c>
      <c r="Q3471" s="315" t="str">
        <f t="shared" si="294"/>
        <v>Admin &amp; Other</v>
      </c>
      <c r="R3471" s="315" t="str">
        <f t="shared" si="295"/>
        <v>Admin &amp; OtherProfessional Fees as % of Total Gross Profit</v>
      </c>
      <c r="S3471" s="199"/>
      <c r="T3471" s="199"/>
      <c r="U3471" s="199"/>
    </row>
    <row r="3472" spans="1:21" x14ac:dyDescent="0.25">
      <c r="A3472" t="s">
        <v>996</v>
      </c>
      <c r="B3472" t="s">
        <v>997</v>
      </c>
      <c r="C3472" t="s">
        <v>1013</v>
      </c>
      <c r="D3472">
        <v>7900</v>
      </c>
      <c r="E3472">
        <v>300</v>
      </c>
      <c r="F3472" t="s">
        <v>1388</v>
      </c>
      <c r="G3472" t="s">
        <v>1389</v>
      </c>
      <c r="H3472" s="315" t="s">
        <v>1000</v>
      </c>
      <c r="I3472" s="315" t="s">
        <v>1390</v>
      </c>
      <c r="J3472" s="315" t="str">
        <f t="shared" si="291"/>
        <v>Admin &amp; OtherProfessional Fees as % of Total Gross Profit</v>
      </c>
      <c r="K3472" s="315" t="str">
        <f t="shared" si="292"/>
        <v>300Professional Fees - Toyota</v>
      </c>
      <c r="L3472" s="311">
        <f>+SUMIF('TUNZ Extracted TB'!M:M,$P3472,'TUNZ Extracted TB'!G:G)</f>
        <v>0</v>
      </c>
      <c r="M3472" s="311"/>
      <c r="N3472" s="311">
        <f>+SUMIF('Input Sheet'!$AE:$AE,P3472,'Input Sheet'!$X:$X)</f>
        <v>0</v>
      </c>
      <c r="O3472" s="311"/>
      <c r="P3472" t="str">
        <f t="shared" si="293"/>
        <v>300-7900</v>
      </c>
      <c r="Q3472" s="315" t="str">
        <f t="shared" si="294"/>
        <v>Admin &amp; Other</v>
      </c>
      <c r="R3472" s="315" t="str">
        <f t="shared" si="295"/>
        <v>Admin &amp; OtherProfessional Fees as % of Total Gross Profit</v>
      </c>
      <c r="S3472" s="199"/>
      <c r="T3472" s="199"/>
      <c r="U3472" s="199"/>
    </row>
    <row r="3473" spans="1:21" x14ac:dyDescent="0.25">
      <c r="A3473" t="s">
        <v>996</v>
      </c>
      <c r="B3473" t="s">
        <v>997</v>
      </c>
      <c r="C3473" t="s">
        <v>1013</v>
      </c>
      <c r="D3473">
        <v>7900</v>
      </c>
      <c r="E3473">
        <v>310</v>
      </c>
      <c r="F3473" t="s">
        <v>1388</v>
      </c>
      <c r="G3473" t="s">
        <v>1389</v>
      </c>
      <c r="H3473" s="315" t="s">
        <v>1000</v>
      </c>
      <c r="I3473" s="315" t="s">
        <v>1390</v>
      </c>
      <c r="J3473" s="315" t="str">
        <f t="shared" si="291"/>
        <v>Admin &amp; OtherProfessional Fees as % of Total Gross Profit</v>
      </c>
      <c r="K3473" s="315" t="str">
        <f t="shared" si="292"/>
        <v>310Professional Fees - Toyota</v>
      </c>
      <c r="L3473" s="311">
        <f>+SUMIF('TUNZ Extracted TB'!M:M,$P3473,'TUNZ Extracted TB'!G:G)</f>
        <v>0</v>
      </c>
      <c r="M3473" s="311"/>
      <c r="N3473" s="311">
        <f>+SUMIF('Input Sheet'!$AE:$AE,P3473,'Input Sheet'!$X:$X)</f>
        <v>0</v>
      </c>
      <c r="O3473" s="311"/>
      <c r="P3473" t="str">
        <f t="shared" si="293"/>
        <v>310-7900</v>
      </c>
      <c r="Q3473" s="315" t="str">
        <f t="shared" si="294"/>
        <v>Admin &amp; Other</v>
      </c>
      <c r="R3473" s="315" t="str">
        <f t="shared" si="295"/>
        <v>Admin &amp; OtherProfessional Fees as % of Total Gross Profit</v>
      </c>
      <c r="S3473" s="199"/>
      <c r="T3473" s="199"/>
      <c r="U3473" s="199"/>
    </row>
    <row r="3474" spans="1:21" x14ac:dyDescent="0.25">
      <c r="A3474" t="s">
        <v>996</v>
      </c>
      <c r="B3474" t="s">
        <v>997</v>
      </c>
      <c r="C3474" t="s">
        <v>1013</v>
      </c>
      <c r="D3474">
        <v>7900</v>
      </c>
      <c r="E3474">
        <v>321</v>
      </c>
      <c r="F3474" t="s">
        <v>1388</v>
      </c>
      <c r="G3474" t="s">
        <v>1389</v>
      </c>
      <c r="H3474" s="315" t="s">
        <v>1000</v>
      </c>
      <c r="I3474" s="315" t="s">
        <v>1390</v>
      </c>
      <c r="J3474" s="315" t="str">
        <f t="shared" si="291"/>
        <v>Admin &amp; OtherProfessional Fees as % of Total Gross Profit</v>
      </c>
      <c r="K3474" s="315" t="str">
        <f t="shared" si="292"/>
        <v>321Professional Fees - Toyota</v>
      </c>
      <c r="L3474" s="311">
        <f>+SUMIF('TUNZ Extracted TB'!M:M,$P3474,'TUNZ Extracted TB'!G:G)</f>
        <v>0</v>
      </c>
      <c r="M3474" s="311"/>
      <c r="N3474" s="311">
        <f>+SUMIF('Input Sheet'!$AE:$AE,P3474,'Input Sheet'!$X:$X)</f>
        <v>0</v>
      </c>
      <c r="O3474" s="311"/>
      <c r="P3474" t="str">
        <f t="shared" si="293"/>
        <v>321-7900</v>
      </c>
      <c r="Q3474" s="315" t="str">
        <f t="shared" si="294"/>
        <v>Admin &amp; Other</v>
      </c>
      <c r="R3474" s="315" t="str">
        <f t="shared" si="295"/>
        <v>Admin &amp; OtherProfessional Fees as % of Total Gross Profit</v>
      </c>
      <c r="S3474" s="199"/>
      <c r="T3474" s="199"/>
      <c r="U3474" s="199"/>
    </row>
    <row r="3475" spans="1:21" x14ac:dyDescent="0.25">
      <c r="A3475" t="s">
        <v>996</v>
      </c>
      <c r="B3475" t="s">
        <v>997</v>
      </c>
      <c r="C3475" t="s">
        <v>1013</v>
      </c>
      <c r="D3475">
        <v>7900</v>
      </c>
      <c r="E3475">
        <v>330</v>
      </c>
      <c r="F3475" t="s">
        <v>1388</v>
      </c>
      <c r="G3475" t="s">
        <v>1389</v>
      </c>
      <c r="H3475" s="315" t="s">
        <v>1000</v>
      </c>
      <c r="I3475" s="315" t="s">
        <v>1390</v>
      </c>
      <c r="J3475" s="315" t="str">
        <f t="shared" si="291"/>
        <v>Admin &amp; OtherProfessional Fees as % of Total Gross Profit</v>
      </c>
      <c r="K3475" s="315" t="str">
        <f t="shared" si="292"/>
        <v>330Professional Fees - Toyota</v>
      </c>
      <c r="L3475" s="311">
        <f>+SUMIF('TUNZ Extracted TB'!M:M,$P3475,'TUNZ Extracted TB'!G:G)</f>
        <v>0</v>
      </c>
      <c r="M3475" s="311"/>
      <c r="N3475" s="311">
        <f>+SUMIF('Input Sheet'!$AE:$AE,P3475,'Input Sheet'!$X:$X)</f>
        <v>0</v>
      </c>
      <c r="O3475" s="311"/>
      <c r="P3475" t="str">
        <f t="shared" si="293"/>
        <v>330-7900</v>
      </c>
      <c r="Q3475" s="315" t="str">
        <f t="shared" si="294"/>
        <v>Admin &amp; Other</v>
      </c>
      <c r="R3475" s="315" t="str">
        <f t="shared" si="295"/>
        <v>Admin &amp; OtherProfessional Fees as % of Total Gross Profit</v>
      </c>
      <c r="S3475" s="199"/>
      <c r="T3475" s="199"/>
      <c r="U3475" s="199"/>
    </row>
    <row r="3476" spans="1:21" x14ac:dyDescent="0.25">
      <c r="A3476" t="s">
        <v>996</v>
      </c>
      <c r="B3476" t="s">
        <v>997</v>
      </c>
      <c r="C3476" t="s">
        <v>1013</v>
      </c>
      <c r="D3476">
        <v>7900</v>
      </c>
      <c r="E3476">
        <v>340</v>
      </c>
      <c r="F3476" t="s">
        <v>1388</v>
      </c>
      <c r="G3476" t="s">
        <v>1389</v>
      </c>
      <c r="H3476" s="315" t="s">
        <v>1000</v>
      </c>
      <c r="I3476" s="315" t="s">
        <v>1390</v>
      </c>
      <c r="J3476" s="315" t="str">
        <f t="shared" si="291"/>
        <v>Admin &amp; OtherProfessional Fees as % of Total Gross Profit</v>
      </c>
      <c r="K3476" s="315" t="str">
        <f t="shared" si="292"/>
        <v>340Professional Fees - Toyota</v>
      </c>
      <c r="L3476" s="311">
        <f>+SUMIF('TUNZ Extracted TB'!M:M,$P3476,'TUNZ Extracted TB'!G:G)</f>
        <v>0</v>
      </c>
      <c r="M3476" s="311"/>
      <c r="N3476" s="311">
        <f>+SUMIF('Input Sheet'!$AE:$AE,P3476,'Input Sheet'!$X:$X)</f>
        <v>0</v>
      </c>
      <c r="O3476" s="311"/>
      <c r="P3476" t="str">
        <f t="shared" si="293"/>
        <v>340-7900</v>
      </c>
      <c r="Q3476" s="315" t="str">
        <f t="shared" si="294"/>
        <v>Admin &amp; Other</v>
      </c>
      <c r="R3476" s="315" t="str">
        <f t="shared" si="295"/>
        <v>Admin &amp; OtherProfessional Fees as % of Total Gross Profit</v>
      </c>
      <c r="S3476" s="199"/>
      <c r="T3476" s="199"/>
      <c r="U3476" s="199"/>
    </row>
    <row r="3477" spans="1:21" x14ac:dyDescent="0.25">
      <c r="A3477" t="s">
        <v>996</v>
      </c>
      <c r="B3477" t="s">
        <v>997</v>
      </c>
      <c r="C3477" t="s">
        <v>1013</v>
      </c>
      <c r="D3477">
        <v>7900</v>
      </c>
      <c r="E3477">
        <v>360</v>
      </c>
      <c r="F3477" t="s">
        <v>1388</v>
      </c>
      <c r="G3477" t="s">
        <v>1389</v>
      </c>
      <c r="H3477" s="315" t="s">
        <v>1000</v>
      </c>
      <c r="I3477" s="315" t="s">
        <v>1390</v>
      </c>
      <c r="J3477" s="315" t="str">
        <f t="shared" si="291"/>
        <v>Admin &amp; OtherProfessional Fees as % of Total Gross Profit</v>
      </c>
      <c r="K3477" s="315" t="str">
        <f t="shared" si="292"/>
        <v>360Professional Fees - Toyota</v>
      </c>
      <c r="L3477" s="311">
        <f>+SUMIF('TUNZ Extracted TB'!M:M,$P3477,'TUNZ Extracted TB'!G:G)</f>
        <v>0</v>
      </c>
      <c r="M3477" s="311"/>
      <c r="N3477" s="311">
        <f>+SUMIF('Input Sheet'!$AE:$AE,P3477,'Input Sheet'!$X:$X)</f>
        <v>0</v>
      </c>
      <c r="O3477" s="311"/>
      <c r="P3477" t="str">
        <f t="shared" si="293"/>
        <v>360-7900</v>
      </c>
      <c r="Q3477" s="315" t="str">
        <f t="shared" si="294"/>
        <v>Admin &amp; Other</v>
      </c>
      <c r="R3477" s="315" t="str">
        <f t="shared" si="295"/>
        <v>Admin &amp; OtherProfessional Fees as % of Total Gross Profit</v>
      </c>
      <c r="S3477" s="199"/>
      <c r="T3477" s="199"/>
      <c r="U3477" s="199"/>
    </row>
    <row r="3478" spans="1:21" x14ac:dyDescent="0.25">
      <c r="A3478" t="s">
        <v>996</v>
      </c>
      <c r="B3478" t="s">
        <v>997</v>
      </c>
      <c r="C3478" t="s">
        <v>997</v>
      </c>
      <c r="D3478">
        <v>7900</v>
      </c>
      <c r="E3478">
        <v>120</v>
      </c>
      <c r="F3478" t="s">
        <v>1388</v>
      </c>
      <c r="G3478" t="s">
        <v>1389</v>
      </c>
      <c r="H3478" s="315" t="s">
        <v>1000</v>
      </c>
      <c r="I3478" s="315" t="s">
        <v>1390</v>
      </c>
      <c r="J3478" s="315" t="str">
        <f t="shared" si="291"/>
        <v>Admin &amp; OtherProfessional Fees as % of Total Gross Profit</v>
      </c>
      <c r="K3478" s="315" t="str">
        <f t="shared" si="292"/>
        <v>120Professional Fees - Toyota</v>
      </c>
      <c r="L3478" s="311">
        <f>+SUMIF('TUNZ Extracted TB'!M:M,$P3478,'TUNZ Extracted TB'!G:G)</f>
        <v>0</v>
      </c>
      <c r="M3478" s="311"/>
      <c r="N3478" s="311">
        <f>+SUMIF('Input Sheet'!$AE:$AE,P3478,'Input Sheet'!$X:$X)</f>
        <v>0</v>
      </c>
      <c r="O3478" s="311"/>
      <c r="P3478" t="str">
        <f t="shared" si="293"/>
        <v>120-7900</v>
      </c>
      <c r="Q3478" s="315" t="str">
        <f t="shared" si="294"/>
        <v>Admin &amp; Other</v>
      </c>
      <c r="R3478" s="315" t="str">
        <f t="shared" si="295"/>
        <v>Admin &amp; OtherProfessional Fees as % of Total Gross Profit</v>
      </c>
      <c r="S3478" s="199"/>
      <c r="T3478" s="199"/>
      <c r="U3478" s="199"/>
    </row>
    <row r="3479" spans="1:21" x14ac:dyDescent="0.25">
      <c r="A3479" t="s">
        <v>996</v>
      </c>
      <c r="B3479" t="s">
        <v>997</v>
      </c>
      <c r="C3479" t="s">
        <v>997</v>
      </c>
      <c r="D3479">
        <v>7900</v>
      </c>
      <c r="E3479">
        <v>121</v>
      </c>
      <c r="F3479" t="s">
        <v>1388</v>
      </c>
      <c r="G3479" t="s">
        <v>1389</v>
      </c>
      <c r="H3479" s="315" t="s">
        <v>1000</v>
      </c>
      <c r="I3479" s="315" t="s">
        <v>1390</v>
      </c>
      <c r="J3479" s="315" t="str">
        <f t="shared" si="291"/>
        <v>Admin &amp; OtherProfessional Fees as % of Total Gross Profit</v>
      </c>
      <c r="K3479" s="315" t="str">
        <f t="shared" si="292"/>
        <v>121Professional Fees - Toyota</v>
      </c>
      <c r="L3479" s="311">
        <f>+SUMIF('TUNZ Extracted TB'!M:M,$P3479,'TUNZ Extracted TB'!G:G)</f>
        <v>0</v>
      </c>
      <c r="M3479" s="311"/>
      <c r="N3479" s="311">
        <f>+SUMIF('Input Sheet'!$AE:$AE,P3479,'Input Sheet'!$X:$X)</f>
        <v>0</v>
      </c>
      <c r="O3479" s="311"/>
      <c r="P3479" t="str">
        <f t="shared" si="293"/>
        <v>121-7900</v>
      </c>
      <c r="Q3479" s="315" t="str">
        <f t="shared" si="294"/>
        <v>Admin &amp; Other</v>
      </c>
      <c r="R3479" s="315" t="str">
        <f t="shared" si="295"/>
        <v>Admin &amp; OtherProfessional Fees as % of Total Gross Profit</v>
      </c>
      <c r="S3479" s="199"/>
      <c r="T3479" s="199"/>
      <c r="U3479" s="199"/>
    </row>
    <row r="3480" spans="1:21" x14ac:dyDescent="0.25">
      <c r="A3480" t="s">
        <v>996</v>
      </c>
      <c r="B3480" t="s">
        <v>997</v>
      </c>
      <c r="C3480" t="s">
        <v>997</v>
      </c>
      <c r="D3480">
        <v>7900</v>
      </c>
      <c r="E3480">
        <v>147</v>
      </c>
      <c r="F3480" t="s">
        <v>1388</v>
      </c>
      <c r="G3480" t="s">
        <v>1389</v>
      </c>
      <c r="H3480" s="315" t="s">
        <v>1000</v>
      </c>
      <c r="I3480" s="315" t="s">
        <v>1390</v>
      </c>
      <c r="J3480" s="315" t="str">
        <f t="shared" si="291"/>
        <v>Admin &amp; OtherProfessional Fees as % of Total Gross Profit</v>
      </c>
      <c r="K3480" s="315" t="str">
        <f t="shared" si="292"/>
        <v>147Professional Fees - Toyota</v>
      </c>
      <c r="L3480" s="311">
        <f>+SUMIF('TUNZ Extracted TB'!M:M,$P3480,'TUNZ Extracted TB'!G:G)</f>
        <v>0</v>
      </c>
      <c r="M3480" s="311"/>
      <c r="N3480" s="311">
        <f>+SUMIF('Input Sheet'!$AE:$AE,P3480,'Input Sheet'!$X:$X)</f>
        <v>0</v>
      </c>
      <c r="O3480" s="311"/>
      <c r="P3480" t="str">
        <f t="shared" si="293"/>
        <v>147-7900</v>
      </c>
      <c r="Q3480" s="315" t="str">
        <f t="shared" si="294"/>
        <v>Admin &amp; Other</v>
      </c>
      <c r="R3480" s="315" t="str">
        <f t="shared" si="295"/>
        <v>Admin &amp; OtherProfessional Fees as % of Total Gross Profit</v>
      </c>
      <c r="S3480" s="199"/>
      <c r="T3480" s="199"/>
      <c r="U3480" s="199"/>
    </row>
    <row r="3481" spans="1:21" x14ac:dyDescent="0.25">
      <c r="A3481" t="s">
        <v>996</v>
      </c>
      <c r="B3481" t="s">
        <v>997</v>
      </c>
      <c r="C3481" t="s">
        <v>997</v>
      </c>
      <c r="D3481">
        <v>7900</v>
      </c>
      <c r="E3481">
        <v>160</v>
      </c>
      <c r="F3481" t="s">
        <v>1388</v>
      </c>
      <c r="G3481" t="s">
        <v>1389</v>
      </c>
      <c r="H3481" s="315" t="s">
        <v>1000</v>
      </c>
      <c r="I3481" s="315" t="s">
        <v>1390</v>
      </c>
      <c r="J3481" s="315" t="str">
        <f t="shared" si="291"/>
        <v>Admin &amp; OtherProfessional Fees as % of Total Gross Profit</v>
      </c>
      <c r="K3481" s="315" t="str">
        <f t="shared" si="292"/>
        <v>160Professional Fees - Toyota</v>
      </c>
      <c r="L3481" s="311">
        <f>+SUMIF('TUNZ Extracted TB'!M:M,$P3481,'TUNZ Extracted TB'!G:G)</f>
        <v>0</v>
      </c>
      <c r="M3481" s="311"/>
      <c r="N3481" s="311">
        <f>+SUMIF('Input Sheet'!$AE:$AE,P3481,'Input Sheet'!$X:$X)</f>
        <v>0</v>
      </c>
      <c r="O3481" s="311"/>
      <c r="P3481" t="str">
        <f t="shared" si="293"/>
        <v>160-7900</v>
      </c>
      <c r="Q3481" s="315" t="str">
        <f t="shared" si="294"/>
        <v>Admin &amp; Other</v>
      </c>
      <c r="R3481" s="315" t="str">
        <f t="shared" si="295"/>
        <v>Admin &amp; OtherProfessional Fees as % of Total Gross Profit</v>
      </c>
      <c r="S3481" s="199"/>
      <c r="T3481" s="199"/>
      <c r="U3481" s="199"/>
    </row>
    <row r="3482" spans="1:21" x14ac:dyDescent="0.25">
      <c r="A3482" t="s">
        <v>996</v>
      </c>
      <c r="B3482" t="s">
        <v>997</v>
      </c>
      <c r="C3482" t="s">
        <v>997</v>
      </c>
      <c r="D3482">
        <v>7900</v>
      </c>
      <c r="E3482">
        <v>170</v>
      </c>
      <c r="F3482" t="s">
        <v>1388</v>
      </c>
      <c r="G3482" t="s">
        <v>1389</v>
      </c>
      <c r="H3482" s="315" t="s">
        <v>1000</v>
      </c>
      <c r="I3482" s="315" t="s">
        <v>1390</v>
      </c>
      <c r="J3482" s="315" t="str">
        <f t="shared" si="291"/>
        <v>Admin &amp; OtherProfessional Fees as % of Total Gross Profit</v>
      </c>
      <c r="K3482" s="315" t="str">
        <f t="shared" si="292"/>
        <v>170Professional Fees - Toyota</v>
      </c>
      <c r="L3482" s="311">
        <f>+SUMIF('TUNZ Extracted TB'!M:M,$P3482,'TUNZ Extracted TB'!G:G)</f>
        <v>0</v>
      </c>
      <c r="M3482" s="311"/>
      <c r="N3482" s="311">
        <f>+SUMIF('Input Sheet'!$AE:$AE,P3482,'Input Sheet'!$X:$X)</f>
        <v>0</v>
      </c>
      <c r="O3482" s="311"/>
      <c r="P3482" t="str">
        <f t="shared" si="293"/>
        <v>170-7900</v>
      </c>
      <c r="Q3482" s="315" t="str">
        <f t="shared" si="294"/>
        <v>Admin &amp; Other</v>
      </c>
      <c r="R3482" s="315" t="str">
        <f t="shared" si="295"/>
        <v>Admin &amp; OtherProfessional Fees as % of Total Gross Profit</v>
      </c>
      <c r="S3482" s="199"/>
      <c r="T3482" s="199"/>
      <c r="U3482" s="199"/>
    </row>
    <row r="3483" spans="1:21" x14ac:dyDescent="0.25">
      <c r="A3483" t="s">
        <v>996</v>
      </c>
      <c r="B3483" t="s">
        <v>997</v>
      </c>
      <c r="C3483" t="s">
        <v>997</v>
      </c>
      <c r="D3483">
        <v>7900</v>
      </c>
      <c r="E3483">
        <v>150</v>
      </c>
      <c r="F3483" t="s">
        <v>1388</v>
      </c>
      <c r="G3483" t="s">
        <v>1389</v>
      </c>
      <c r="H3483" s="315" t="s">
        <v>1023</v>
      </c>
      <c r="I3483" s="315" t="s">
        <v>1390</v>
      </c>
      <c r="J3483" s="315" t="str">
        <f t="shared" si="291"/>
        <v>LEX Admin &amp; OtherProfessional Fees as % of Total Gross Profit</v>
      </c>
      <c r="K3483" s="315" t="str">
        <f t="shared" si="292"/>
        <v>150Professional Fees - Toyota</v>
      </c>
      <c r="L3483" s="311">
        <f>+SUMIF('TUNZ Extracted TB'!M:M,$P3483,'TUNZ Extracted TB'!G:G)</f>
        <v>0</v>
      </c>
      <c r="M3483" s="311"/>
      <c r="N3483" s="311">
        <f>+SUMIF('Input Sheet'!$AE:$AE,P3483,'Input Sheet'!$X:$X)</f>
        <v>0</v>
      </c>
      <c r="O3483" s="311"/>
      <c r="P3483" t="str">
        <f t="shared" si="293"/>
        <v>150-7900</v>
      </c>
      <c r="Q3483" s="315" t="str">
        <f t="shared" si="294"/>
        <v>LEX Admin &amp; Other</v>
      </c>
      <c r="R3483" s="315" t="str">
        <f t="shared" si="295"/>
        <v>LEX Admin &amp; OtherProfessional Fees as % of Total Gross Profit</v>
      </c>
      <c r="S3483" s="199"/>
      <c r="T3483" s="199"/>
      <c r="U3483" s="199"/>
    </row>
    <row r="3484" spans="1:21" x14ac:dyDescent="0.25">
      <c r="A3484" t="s">
        <v>996</v>
      </c>
      <c r="B3484" t="s">
        <v>997</v>
      </c>
      <c r="C3484" t="s">
        <v>997</v>
      </c>
      <c r="D3484">
        <v>7900</v>
      </c>
      <c r="E3484">
        <v>132</v>
      </c>
      <c r="F3484" t="s">
        <v>1391</v>
      </c>
      <c r="G3484" t="s">
        <v>1392</v>
      </c>
      <c r="H3484" s="315" t="s">
        <v>1023</v>
      </c>
      <c r="I3484" s="315" t="s">
        <v>1390</v>
      </c>
      <c r="J3484" s="315" t="str">
        <f t="shared" si="291"/>
        <v>LEX Admin &amp; OtherProfessional Fees as % of Total Gross Profit</v>
      </c>
      <c r="K3484" s="315" t="str">
        <f t="shared" si="292"/>
        <v>132Professional Fees - Lexus</v>
      </c>
      <c r="L3484" s="311">
        <f>+SUMIF('TUNZ Extracted TB'!M:M,$P3484,'TUNZ Extracted TB'!G:G)</f>
        <v>0</v>
      </c>
      <c r="M3484" s="311"/>
      <c r="N3484" s="311">
        <f>+SUMIF('Input Sheet'!$AE:$AE,P3484,'Input Sheet'!$X:$X)</f>
        <v>0</v>
      </c>
      <c r="O3484" s="311"/>
      <c r="P3484" t="str">
        <f t="shared" si="293"/>
        <v>132-7900</v>
      </c>
      <c r="Q3484" s="315" t="str">
        <f t="shared" si="294"/>
        <v>LEX Admin &amp; Other</v>
      </c>
      <c r="R3484" s="315" t="str">
        <f t="shared" si="295"/>
        <v>LEX Admin &amp; OtherProfessional Fees as % of Total Gross Profit</v>
      </c>
      <c r="S3484" s="199"/>
      <c r="T3484" s="199"/>
      <c r="U3484" s="199"/>
    </row>
    <row r="3485" spans="1:21" x14ac:dyDescent="0.25">
      <c r="A3485" t="s">
        <v>996</v>
      </c>
      <c r="B3485" t="s">
        <v>997</v>
      </c>
      <c r="C3485" t="s">
        <v>997</v>
      </c>
      <c r="D3485">
        <v>7900</v>
      </c>
      <c r="E3485">
        <v>130</v>
      </c>
      <c r="F3485" t="s">
        <v>1388</v>
      </c>
      <c r="G3485" t="s">
        <v>1389</v>
      </c>
      <c r="H3485" s="315" t="s">
        <v>1000</v>
      </c>
      <c r="I3485" s="315" t="s">
        <v>1390</v>
      </c>
      <c r="J3485" s="315" t="str">
        <f t="shared" si="291"/>
        <v>Admin &amp; OtherProfessional Fees as % of Total Gross Profit</v>
      </c>
      <c r="K3485" s="315" t="str">
        <f t="shared" si="292"/>
        <v>130Professional Fees - Toyota</v>
      </c>
      <c r="L3485" s="311">
        <f>+SUMIF('TUNZ Extracted TB'!M:M,$P3485,'TUNZ Extracted TB'!G:G)</f>
        <v>0</v>
      </c>
      <c r="M3485" s="311"/>
      <c r="N3485" s="311">
        <f>+SUMIF('Input Sheet'!$AE:$AE,P3485,'Input Sheet'!$X:$X)</f>
        <v>0</v>
      </c>
      <c r="O3485" s="311"/>
      <c r="P3485" t="str">
        <f t="shared" si="293"/>
        <v>130-7900</v>
      </c>
      <c r="Q3485" s="315" t="str">
        <f t="shared" si="294"/>
        <v>Admin &amp; Other</v>
      </c>
      <c r="R3485" s="315" t="str">
        <f t="shared" si="295"/>
        <v>Admin &amp; OtherProfessional Fees as % of Total Gross Profit</v>
      </c>
      <c r="S3485" s="199"/>
      <c r="T3485" s="199"/>
      <c r="U3485" s="199"/>
    </row>
    <row r="3486" spans="1:21" x14ac:dyDescent="0.25">
      <c r="A3486" t="s">
        <v>996</v>
      </c>
      <c r="B3486" t="s">
        <v>997</v>
      </c>
      <c r="C3486" t="s">
        <v>997</v>
      </c>
      <c r="D3486">
        <v>7900</v>
      </c>
      <c r="E3486">
        <v>140</v>
      </c>
      <c r="F3486" t="s">
        <v>1388</v>
      </c>
      <c r="G3486" t="s">
        <v>1389</v>
      </c>
      <c r="H3486" s="315" t="s">
        <v>1000</v>
      </c>
      <c r="I3486" s="315" t="s">
        <v>1390</v>
      </c>
      <c r="J3486" s="315" t="str">
        <f t="shared" si="291"/>
        <v>Admin &amp; OtherProfessional Fees as % of Total Gross Profit</v>
      </c>
      <c r="K3486" s="315" t="str">
        <f t="shared" si="292"/>
        <v>140Professional Fees - Toyota</v>
      </c>
      <c r="L3486" s="311">
        <f>+SUMIF('TUNZ Extracted TB'!M:M,$P3486,'TUNZ Extracted TB'!G:G)</f>
        <v>0</v>
      </c>
      <c r="M3486" s="311"/>
      <c r="N3486" s="311">
        <f>+SUMIF('Input Sheet'!$AE:$AE,P3486,'Input Sheet'!$X:$X)</f>
        <v>0</v>
      </c>
      <c r="O3486" s="311"/>
      <c r="P3486" t="str">
        <f t="shared" si="293"/>
        <v>140-7900</v>
      </c>
      <c r="Q3486" s="315" t="str">
        <f t="shared" si="294"/>
        <v>Admin &amp; Other</v>
      </c>
      <c r="R3486" s="315" t="str">
        <f t="shared" si="295"/>
        <v>Admin &amp; OtherProfessional Fees as % of Total Gross Profit</v>
      </c>
      <c r="S3486" s="199"/>
      <c r="T3486" s="199"/>
      <c r="U3486" s="199"/>
    </row>
    <row r="3487" spans="1:21" x14ac:dyDescent="0.25">
      <c r="A3487" t="s">
        <v>996</v>
      </c>
      <c r="B3487" t="s">
        <v>997</v>
      </c>
      <c r="C3487" t="s">
        <v>997</v>
      </c>
      <c r="D3487">
        <v>7900</v>
      </c>
      <c r="E3487">
        <v>142</v>
      </c>
      <c r="F3487" t="s">
        <v>1391</v>
      </c>
      <c r="G3487" t="s">
        <v>1392</v>
      </c>
      <c r="H3487" s="315" t="s">
        <v>1023</v>
      </c>
      <c r="I3487" s="315" t="s">
        <v>1390</v>
      </c>
      <c r="J3487" s="315" t="str">
        <f t="shared" si="291"/>
        <v>LEX Admin &amp; OtherProfessional Fees as % of Total Gross Profit</v>
      </c>
      <c r="K3487" s="315" t="str">
        <f t="shared" si="292"/>
        <v>142Professional Fees - Lexus</v>
      </c>
      <c r="L3487" s="311">
        <f>+SUMIF('TUNZ Extracted TB'!M:M,$P3487,'TUNZ Extracted TB'!G:G)</f>
        <v>0</v>
      </c>
      <c r="M3487" s="311"/>
      <c r="N3487" s="311">
        <f>+SUMIF('Input Sheet'!$AE:$AE,P3487,'Input Sheet'!$X:$X)</f>
        <v>0</v>
      </c>
      <c r="O3487" s="311"/>
      <c r="P3487" t="str">
        <f t="shared" si="293"/>
        <v>142-7900</v>
      </c>
      <c r="Q3487" s="315" t="str">
        <f t="shared" si="294"/>
        <v>LEX Admin &amp; Other</v>
      </c>
      <c r="R3487" s="315" t="str">
        <f t="shared" si="295"/>
        <v>LEX Admin &amp; OtherProfessional Fees as % of Total Gross Profit</v>
      </c>
      <c r="S3487" s="199"/>
      <c r="T3487" s="199"/>
      <c r="U3487" s="199"/>
    </row>
    <row r="3488" spans="1:21" x14ac:dyDescent="0.25">
      <c r="A3488" t="s">
        <v>996</v>
      </c>
      <c r="B3488" t="s">
        <v>997</v>
      </c>
      <c r="C3488" t="s">
        <v>997</v>
      </c>
      <c r="D3488">
        <v>7900</v>
      </c>
      <c r="E3488">
        <v>112</v>
      </c>
      <c r="F3488" t="s">
        <v>1391</v>
      </c>
      <c r="G3488" t="s">
        <v>1392</v>
      </c>
      <c r="H3488" s="315" t="s">
        <v>1023</v>
      </c>
      <c r="I3488" s="315" t="s">
        <v>1390</v>
      </c>
      <c r="J3488" s="315" t="str">
        <f t="shared" si="291"/>
        <v>LEX Admin &amp; OtherProfessional Fees as % of Total Gross Profit</v>
      </c>
      <c r="K3488" s="315" t="str">
        <f t="shared" si="292"/>
        <v>112Professional Fees - Lexus</v>
      </c>
      <c r="L3488" s="311">
        <f>+SUMIF('TUNZ Extracted TB'!M:M,$P3488,'TUNZ Extracted TB'!G:G)</f>
        <v>0</v>
      </c>
      <c r="M3488" s="311"/>
      <c r="N3488" s="311">
        <f>+SUMIF('Input Sheet'!$AE:$AE,P3488,'Input Sheet'!$X:$X)</f>
        <v>0</v>
      </c>
      <c r="O3488" s="311"/>
      <c r="P3488" t="str">
        <f t="shared" si="293"/>
        <v>112-7900</v>
      </c>
      <c r="Q3488" s="315" t="str">
        <f t="shared" si="294"/>
        <v>LEX Admin &amp; Other</v>
      </c>
      <c r="R3488" s="315" t="str">
        <f t="shared" si="295"/>
        <v>LEX Admin &amp; OtherProfessional Fees as % of Total Gross Profit</v>
      </c>
      <c r="S3488" s="199"/>
      <c r="T3488" s="199"/>
      <c r="U3488" s="199"/>
    </row>
    <row r="3489" spans="1:21" x14ac:dyDescent="0.25">
      <c r="A3489" t="s">
        <v>996</v>
      </c>
      <c r="B3489" t="s">
        <v>997</v>
      </c>
      <c r="C3489" t="s">
        <v>997</v>
      </c>
      <c r="D3489">
        <v>7900</v>
      </c>
      <c r="E3489">
        <v>100</v>
      </c>
      <c r="F3489" t="s">
        <v>1388</v>
      </c>
      <c r="G3489" t="s">
        <v>1389</v>
      </c>
      <c r="H3489" s="315" t="s">
        <v>1000</v>
      </c>
      <c r="I3489" s="315" t="s">
        <v>1390</v>
      </c>
      <c r="J3489" s="315" t="str">
        <f t="shared" si="291"/>
        <v>Admin &amp; OtherProfessional Fees as % of Total Gross Profit</v>
      </c>
      <c r="K3489" s="315" t="str">
        <f t="shared" si="292"/>
        <v>100Professional Fees - Toyota</v>
      </c>
      <c r="L3489" s="311">
        <f>+SUMIF('TUNZ Extracted TB'!M:M,$P3489,'TUNZ Extracted TB'!G:G)</f>
        <v>0</v>
      </c>
      <c r="M3489" s="311"/>
      <c r="N3489" s="311">
        <f>+SUMIF('Input Sheet'!$AE:$AE,P3489,'Input Sheet'!$X:$X)</f>
        <v>0</v>
      </c>
      <c r="O3489" s="311"/>
      <c r="P3489" t="str">
        <f t="shared" si="293"/>
        <v>100-7900</v>
      </c>
      <c r="Q3489" s="315" t="str">
        <f t="shared" si="294"/>
        <v>Admin &amp; Other</v>
      </c>
      <c r="R3489" s="315" t="str">
        <f t="shared" si="295"/>
        <v>Admin &amp; OtherProfessional Fees as % of Total Gross Profit</v>
      </c>
      <c r="S3489" s="199"/>
      <c r="T3489" s="199"/>
      <c r="U3489" s="199"/>
    </row>
    <row r="3490" spans="1:21" x14ac:dyDescent="0.25">
      <c r="A3490" t="s">
        <v>996</v>
      </c>
      <c r="B3490" t="s">
        <v>997</v>
      </c>
      <c r="C3490" t="s">
        <v>997</v>
      </c>
      <c r="D3490">
        <v>7900</v>
      </c>
      <c r="E3490">
        <v>110</v>
      </c>
      <c r="F3490" t="s">
        <v>1388</v>
      </c>
      <c r="G3490" t="s">
        <v>1389</v>
      </c>
      <c r="H3490" s="315" t="s">
        <v>1000</v>
      </c>
      <c r="I3490" s="315" t="s">
        <v>1390</v>
      </c>
      <c r="J3490" s="315" t="str">
        <f t="shared" si="291"/>
        <v>Admin &amp; OtherProfessional Fees as % of Total Gross Profit</v>
      </c>
      <c r="K3490" s="315" t="str">
        <f t="shared" si="292"/>
        <v>110Professional Fees - Toyota</v>
      </c>
      <c r="L3490" s="311">
        <f>+SUMIF('TUNZ Extracted TB'!M:M,$P3490,'TUNZ Extracted TB'!G:G)</f>
        <v>0</v>
      </c>
      <c r="M3490" s="311"/>
      <c r="N3490" s="311">
        <f>+SUMIF('Input Sheet'!$AE:$AE,P3490,'Input Sheet'!$X:$X)</f>
        <v>0</v>
      </c>
      <c r="O3490" s="311"/>
      <c r="P3490" t="str">
        <f t="shared" si="293"/>
        <v>110-7900</v>
      </c>
      <c r="Q3490" s="315" t="str">
        <f t="shared" si="294"/>
        <v>Admin &amp; Other</v>
      </c>
      <c r="R3490" s="315" t="str">
        <f t="shared" si="295"/>
        <v>Admin &amp; OtherProfessional Fees as % of Total Gross Profit</v>
      </c>
      <c r="S3490" s="199"/>
      <c r="T3490" s="199"/>
      <c r="U3490" s="199"/>
    </row>
    <row r="3491" spans="1:21" x14ac:dyDescent="0.25">
      <c r="A3491" t="s">
        <v>996</v>
      </c>
      <c r="B3491" t="s">
        <v>997</v>
      </c>
      <c r="C3491" t="s">
        <v>997</v>
      </c>
      <c r="D3491">
        <v>7905</v>
      </c>
      <c r="E3491">
        <v>100</v>
      </c>
      <c r="F3491" t="s">
        <v>1388</v>
      </c>
      <c r="G3491" t="s">
        <v>1389</v>
      </c>
      <c r="H3491" s="315" t="s">
        <v>1000</v>
      </c>
      <c r="I3491" s="315" t="s">
        <v>1390</v>
      </c>
      <c r="J3491" s="315" t="str">
        <f t="shared" si="291"/>
        <v>Admin &amp; OtherProfessional Fees as % of Total Gross Profit</v>
      </c>
      <c r="K3491" s="315" t="str">
        <f t="shared" si="292"/>
        <v>100Professional Fees - Toyota</v>
      </c>
      <c r="L3491" s="311">
        <f>+SUMIF('TUNZ Extracted TB'!M:M,$P3491,'TUNZ Extracted TB'!G:G)</f>
        <v>0</v>
      </c>
      <c r="M3491" s="311"/>
      <c r="N3491" s="311">
        <f>+SUMIF('Input Sheet'!$AE:$AE,P3491,'Input Sheet'!$X:$X)</f>
        <v>0</v>
      </c>
      <c r="O3491" s="311"/>
      <c r="P3491" t="str">
        <f t="shared" si="293"/>
        <v>100-7905</v>
      </c>
      <c r="Q3491" s="315" t="str">
        <f t="shared" si="294"/>
        <v>Admin &amp; Other</v>
      </c>
      <c r="R3491" s="315" t="str">
        <f t="shared" si="295"/>
        <v>Admin &amp; OtherProfessional Fees as % of Total Gross Profit</v>
      </c>
      <c r="S3491" s="199"/>
      <c r="T3491" s="199"/>
      <c r="U3491" s="199"/>
    </row>
    <row r="3492" spans="1:21" x14ac:dyDescent="0.25">
      <c r="A3492" t="s">
        <v>996</v>
      </c>
      <c r="B3492" t="s">
        <v>997</v>
      </c>
      <c r="C3492" t="s">
        <v>997</v>
      </c>
      <c r="D3492">
        <v>7905</v>
      </c>
      <c r="E3492">
        <v>110</v>
      </c>
      <c r="F3492" t="s">
        <v>1388</v>
      </c>
      <c r="G3492" t="s">
        <v>1389</v>
      </c>
      <c r="H3492" s="315" t="s">
        <v>1000</v>
      </c>
      <c r="I3492" s="315" t="s">
        <v>1390</v>
      </c>
      <c r="J3492" s="315" t="str">
        <f t="shared" si="291"/>
        <v>Admin &amp; OtherProfessional Fees as % of Total Gross Profit</v>
      </c>
      <c r="K3492" s="315" t="str">
        <f t="shared" si="292"/>
        <v>110Professional Fees - Toyota</v>
      </c>
      <c r="L3492" s="311">
        <f>+SUMIF('TUNZ Extracted TB'!M:M,$P3492,'TUNZ Extracted TB'!G:G)</f>
        <v>18</v>
      </c>
      <c r="M3492" s="311"/>
      <c r="N3492" s="311">
        <f>+SUMIF('Input Sheet'!$AE:$AE,P3492,'Input Sheet'!$X:$X)</f>
        <v>0</v>
      </c>
      <c r="O3492" s="311"/>
      <c r="P3492" t="str">
        <f t="shared" si="293"/>
        <v>110-7905</v>
      </c>
      <c r="Q3492" s="315" t="str">
        <f t="shared" si="294"/>
        <v>Admin &amp; Other</v>
      </c>
      <c r="R3492" s="315" t="str">
        <f t="shared" si="295"/>
        <v>Admin &amp; OtherProfessional Fees as % of Total Gross Profit</v>
      </c>
      <c r="S3492" s="199"/>
      <c r="T3492" s="199"/>
      <c r="U3492" s="199"/>
    </row>
    <row r="3493" spans="1:21" x14ac:dyDescent="0.25">
      <c r="A3493" t="s">
        <v>996</v>
      </c>
      <c r="B3493" t="s">
        <v>997</v>
      </c>
      <c r="C3493" t="s">
        <v>997</v>
      </c>
      <c r="D3493">
        <v>7905</v>
      </c>
      <c r="E3493">
        <v>112</v>
      </c>
      <c r="F3493" t="s">
        <v>1391</v>
      </c>
      <c r="G3493" t="s">
        <v>1392</v>
      </c>
      <c r="H3493" s="315" t="s">
        <v>1023</v>
      </c>
      <c r="I3493" s="315" t="s">
        <v>1390</v>
      </c>
      <c r="J3493" s="315" t="str">
        <f t="shared" si="291"/>
        <v>LEX Admin &amp; OtherProfessional Fees as % of Total Gross Profit</v>
      </c>
      <c r="K3493" s="315" t="str">
        <f t="shared" si="292"/>
        <v>112Professional Fees - Lexus</v>
      </c>
      <c r="L3493" s="311">
        <f>+SUMIF('TUNZ Extracted TB'!M:M,$P3493,'TUNZ Extracted TB'!G:G)</f>
        <v>18</v>
      </c>
      <c r="M3493" s="311"/>
      <c r="N3493" s="311">
        <f>+SUMIF('Input Sheet'!$AE:$AE,P3493,'Input Sheet'!$X:$X)</f>
        <v>0</v>
      </c>
      <c r="O3493" s="311"/>
      <c r="P3493" t="str">
        <f t="shared" si="293"/>
        <v>112-7905</v>
      </c>
      <c r="Q3493" s="315" t="str">
        <f t="shared" si="294"/>
        <v>LEX Admin &amp; Other</v>
      </c>
      <c r="R3493" s="315" t="str">
        <f t="shared" si="295"/>
        <v>LEX Admin &amp; OtherProfessional Fees as % of Total Gross Profit</v>
      </c>
      <c r="S3493" s="199"/>
      <c r="T3493" s="199"/>
      <c r="U3493" s="199"/>
    </row>
    <row r="3494" spans="1:21" x14ac:dyDescent="0.25">
      <c r="A3494" t="s">
        <v>996</v>
      </c>
      <c r="B3494" t="s">
        <v>997</v>
      </c>
      <c r="C3494" t="s">
        <v>997</v>
      </c>
      <c r="D3494">
        <v>7905</v>
      </c>
      <c r="E3494">
        <v>120</v>
      </c>
      <c r="F3494" t="s">
        <v>1388</v>
      </c>
      <c r="G3494" t="s">
        <v>1389</v>
      </c>
      <c r="H3494" s="315" t="s">
        <v>1000</v>
      </c>
      <c r="I3494" s="315" t="s">
        <v>1390</v>
      </c>
      <c r="J3494" s="315" t="str">
        <f t="shared" si="291"/>
        <v>Admin &amp; OtherProfessional Fees as % of Total Gross Profit</v>
      </c>
      <c r="K3494" s="315" t="str">
        <f t="shared" si="292"/>
        <v>120Professional Fees - Toyota</v>
      </c>
      <c r="L3494" s="311">
        <f>+SUMIF('TUNZ Extracted TB'!M:M,$P3494,'TUNZ Extracted TB'!G:G)</f>
        <v>18</v>
      </c>
      <c r="M3494" s="311"/>
      <c r="N3494" s="311">
        <f>+SUMIF('Input Sheet'!$AE:$AE,P3494,'Input Sheet'!$X:$X)</f>
        <v>0</v>
      </c>
      <c r="O3494" s="311"/>
      <c r="P3494" t="str">
        <f t="shared" si="293"/>
        <v>120-7905</v>
      </c>
      <c r="Q3494" s="315" t="str">
        <f t="shared" si="294"/>
        <v>Admin &amp; Other</v>
      </c>
      <c r="R3494" s="315" t="str">
        <f t="shared" si="295"/>
        <v>Admin &amp; OtherProfessional Fees as % of Total Gross Profit</v>
      </c>
      <c r="S3494" s="199"/>
      <c r="T3494" s="199"/>
      <c r="U3494" s="199"/>
    </row>
    <row r="3495" spans="1:21" x14ac:dyDescent="0.25">
      <c r="A3495" t="s">
        <v>996</v>
      </c>
      <c r="B3495" t="s">
        <v>997</v>
      </c>
      <c r="C3495" t="s">
        <v>997</v>
      </c>
      <c r="D3495">
        <v>7905</v>
      </c>
      <c r="E3495">
        <v>121</v>
      </c>
      <c r="F3495" t="s">
        <v>1388</v>
      </c>
      <c r="G3495" t="s">
        <v>1389</v>
      </c>
      <c r="H3495" s="315" t="s">
        <v>1000</v>
      </c>
      <c r="I3495" s="315" t="s">
        <v>1390</v>
      </c>
      <c r="J3495" s="315" t="str">
        <f t="shared" si="291"/>
        <v>Admin &amp; OtherProfessional Fees as % of Total Gross Profit</v>
      </c>
      <c r="K3495" s="315" t="str">
        <f t="shared" si="292"/>
        <v>121Professional Fees - Toyota</v>
      </c>
      <c r="L3495" s="311">
        <f>+SUMIF('TUNZ Extracted TB'!M:M,$P3495,'TUNZ Extracted TB'!G:G)</f>
        <v>18</v>
      </c>
      <c r="M3495" s="311"/>
      <c r="N3495" s="311">
        <f>+SUMIF('Input Sheet'!$AE:$AE,P3495,'Input Sheet'!$X:$X)</f>
        <v>0</v>
      </c>
      <c r="O3495" s="311"/>
      <c r="P3495" t="str">
        <f t="shared" si="293"/>
        <v>121-7905</v>
      </c>
      <c r="Q3495" s="315" t="str">
        <f t="shared" si="294"/>
        <v>Admin &amp; Other</v>
      </c>
      <c r="R3495" s="315" t="str">
        <f t="shared" si="295"/>
        <v>Admin &amp; OtherProfessional Fees as % of Total Gross Profit</v>
      </c>
      <c r="S3495" s="199"/>
      <c r="T3495" s="199"/>
      <c r="U3495" s="199"/>
    </row>
    <row r="3496" spans="1:21" x14ac:dyDescent="0.25">
      <c r="A3496" t="s">
        <v>996</v>
      </c>
      <c r="B3496" t="s">
        <v>997</v>
      </c>
      <c r="C3496" t="s">
        <v>997</v>
      </c>
      <c r="D3496">
        <v>7905</v>
      </c>
      <c r="E3496">
        <v>122</v>
      </c>
      <c r="F3496" t="s">
        <v>1391</v>
      </c>
      <c r="G3496" t="s">
        <v>1392</v>
      </c>
      <c r="H3496" s="315" t="s">
        <v>1023</v>
      </c>
      <c r="I3496" s="315" t="s">
        <v>1390</v>
      </c>
      <c r="J3496" s="315" t="str">
        <f t="shared" si="291"/>
        <v>LEX Admin &amp; OtherProfessional Fees as % of Total Gross Profit</v>
      </c>
      <c r="K3496" s="315" t="str">
        <f t="shared" si="292"/>
        <v>122Professional Fees - Lexus</v>
      </c>
      <c r="L3496" s="311">
        <f>+SUMIF('TUNZ Extracted TB'!M:M,$P3496,'TUNZ Extracted TB'!G:G)</f>
        <v>0</v>
      </c>
      <c r="M3496" s="311"/>
      <c r="N3496" s="311">
        <f>+SUMIF('Input Sheet'!$AE:$AE,P3496,'Input Sheet'!$X:$X)</f>
        <v>0</v>
      </c>
      <c r="O3496" s="311"/>
      <c r="P3496" t="str">
        <f t="shared" si="293"/>
        <v>122-7905</v>
      </c>
      <c r="Q3496" s="315" t="str">
        <f t="shared" si="294"/>
        <v>LEX Admin &amp; Other</v>
      </c>
      <c r="R3496" s="315" t="str">
        <f t="shared" si="295"/>
        <v>LEX Admin &amp; OtherProfessional Fees as % of Total Gross Profit</v>
      </c>
      <c r="S3496" s="199"/>
      <c r="T3496" s="199"/>
      <c r="U3496" s="199"/>
    </row>
    <row r="3497" spans="1:21" x14ac:dyDescent="0.25">
      <c r="A3497" t="s">
        <v>996</v>
      </c>
      <c r="B3497" t="s">
        <v>997</v>
      </c>
      <c r="C3497" t="s">
        <v>997</v>
      </c>
      <c r="D3497">
        <v>7905</v>
      </c>
      <c r="E3497">
        <v>130</v>
      </c>
      <c r="F3497" t="s">
        <v>1388</v>
      </c>
      <c r="G3497" t="s">
        <v>1389</v>
      </c>
      <c r="H3497" s="315" t="s">
        <v>1000</v>
      </c>
      <c r="I3497" s="315" t="s">
        <v>1390</v>
      </c>
      <c r="J3497" s="315" t="str">
        <f t="shared" si="291"/>
        <v>Admin &amp; OtherProfessional Fees as % of Total Gross Profit</v>
      </c>
      <c r="K3497" s="315" t="str">
        <f t="shared" si="292"/>
        <v>130Professional Fees - Toyota</v>
      </c>
      <c r="L3497" s="311">
        <f>+SUMIF('TUNZ Extracted TB'!M:M,$P3497,'TUNZ Extracted TB'!G:G)</f>
        <v>18</v>
      </c>
      <c r="M3497" s="311"/>
      <c r="N3497" s="311">
        <f>+SUMIF('Input Sheet'!$AE:$AE,P3497,'Input Sheet'!$X:$X)</f>
        <v>0</v>
      </c>
      <c r="O3497" s="311"/>
      <c r="P3497" t="str">
        <f t="shared" si="293"/>
        <v>130-7905</v>
      </c>
      <c r="Q3497" s="315" t="str">
        <f t="shared" si="294"/>
        <v>Admin &amp; Other</v>
      </c>
      <c r="R3497" s="315" t="str">
        <f t="shared" si="295"/>
        <v>Admin &amp; OtherProfessional Fees as % of Total Gross Profit</v>
      </c>
      <c r="S3497" s="199"/>
      <c r="T3497" s="199"/>
      <c r="U3497" s="199"/>
    </row>
    <row r="3498" spans="1:21" x14ac:dyDescent="0.25">
      <c r="A3498" t="s">
        <v>996</v>
      </c>
      <c r="B3498" t="s">
        <v>997</v>
      </c>
      <c r="C3498" t="s">
        <v>997</v>
      </c>
      <c r="D3498">
        <v>7905</v>
      </c>
      <c r="E3498">
        <v>132</v>
      </c>
      <c r="F3498" t="s">
        <v>1391</v>
      </c>
      <c r="G3498" t="s">
        <v>1392</v>
      </c>
      <c r="H3498" s="315" t="s">
        <v>1023</v>
      </c>
      <c r="I3498" s="315" t="s">
        <v>1390</v>
      </c>
      <c r="J3498" s="315" t="str">
        <f t="shared" si="291"/>
        <v>LEX Admin &amp; OtherProfessional Fees as % of Total Gross Profit</v>
      </c>
      <c r="K3498" s="315" t="str">
        <f t="shared" si="292"/>
        <v>132Professional Fees - Lexus</v>
      </c>
      <c r="L3498" s="311">
        <f>+SUMIF('TUNZ Extracted TB'!M:M,$P3498,'TUNZ Extracted TB'!G:G)</f>
        <v>0</v>
      </c>
      <c r="M3498" s="311"/>
      <c r="N3498" s="311">
        <f>+SUMIF('Input Sheet'!$AE:$AE,P3498,'Input Sheet'!$X:$X)</f>
        <v>0</v>
      </c>
      <c r="O3498" s="311"/>
      <c r="P3498" t="str">
        <f t="shared" si="293"/>
        <v>132-7905</v>
      </c>
      <c r="Q3498" s="315" t="str">
        <f t="shared" si="294"/>
        <v>LEX Admin &amp; Other</v>
      </c>
      <c r="R3498" s="315" t="str">
        <f t="shared" si="295"/>
        <v>LEX Admin &amp; OtherProfessional Fees as % of Total Gross Profit</v>
      </c>
      <c r="S3498" s="199"/>
      <c r="T3498" s="199"/>
      <c r="U3498" s="199"/>
    </row>
    <row r="3499" spans="1:21" x14ac:dyDescent="0.25">
      <c r="A3499" t="s">
        <v>996</v>
      </c>
      <c r="B3499" t="s">
        <v>997</v>
      </c>
      <c r="C3499" t="s">
        <v>997</v>
      </c>
      <c r="D3499">
        <v>7905</v>
      </c>
      <c r="E3499">
        <v>140</v>
      </c>
      <c r="F3499" t="s">
        <v>1388</v>
      </c>
      <c r="G3499" t="s">
        <v>1389</v>
      </c>
      <c r="H3499" s="315" t="s">
        <v>1000</v>
      </c>
      <c r="I3499" s="315" t="s">
        <v>1390</v>
      </c>
      <c r="J3499" s="315" t="str">
        <f t="shared" si="291"/>
        <v>Admin &amp; OtherProfessional Fees as % of Total Gross Profit</v>
      </c>
      <c r="K3499" s="315" t="str">
        <f t="shared" si="292"/>
        <v>140Professional Fees - Toyota</v>
      </c>
      <c r="L3499" s="311">
        <f>+SUMIF('TUNZ Extracted TB'!M:M,$P3499,'TUNZ Extracted TB'!G:G)</f>
        <v>18</v>
      </c>
      <c r="M3499" s="311"/>
      <c r="N3499" s="311">
        <f>+SUMIF('Input Sheet'!$AE:$AE,P3499,'Input Sheet'!$X:$X)</f>
        <v>0</v>
      </c>
      <c r="O3499" s="311"/>
      <c r="P3499" t="str">
        <f t="shared" si="293"/>
        <v>140-7905</v>
      </c>
      <c r="Q3499" s="315" t="str">
        <f t="shared" si="294"/>
        <v>Admin &amp; Other</v>
      </c>
      <c r="R3499" s="315" t="str">
        <f t="shared" si="295"/>
        <v>Admin &amp; OtherProfessional Fees as % of Total Gross Profit</v>
      </c>
      <c r="S3499" s="199"/>
      <c r="T3499" s="199"/>
      <c r="U3499" s="199"/>
    </row>
    <row r="3500" spans="1:21" x14ac:dyDescent="0.25">
      <c r="A3500" t="s">
        <v>996</v>
      </c>
      <c r="B3500" t="s">
        <v>997</v>
      </c>
      <c r="C3500" t="s">
        <v>997</v>
      </c>
      <c r="D3500">
        <v>7905</v>
      </c>
      <c r="E3500">
        <v>142</v>
      </c>
      <c r="F3500" t="s">
        <v>1391</v>
      </c>
      <c r="G3500" t="s">
        <v>1392</v>
      </c>
      <c r="H3500" s="315" t="s">
        <v>1023</v>
      </c>
      <c r="I3500" s="315" t="s">
        <v>1390</v>
      </c>
      <c r="J3500" s="315" t="str">
        <f t="shared" si="291"/>
        <v>LEX Admin &amp; OtherProfessional Fees as % of Total Gross Profit</v>
      </c>
      <c r="K3500" s="315" t="str">
        <f t="shared" si="292"/>
        <v>142Professional Fees - Lexus</v>
      </c>
      <c r="L3500" s="311">
        <f>+SUMIF('TUNZ Extracted TB'!M:M,$P3500,'TUNZ Extracted TB'!G:G)</f>
        <v>18</v>
      </c>
      <c r="M3500" s="311"/>
      <c r="N3500" s="311">
        <f>+SUMIF('Input Sheet'!$AE:$AE,P3500,'Input Sheet'!$X:$X)</f>
        <v>0</v>
      </c>
      <c r="O3500" s="311"/>
      <c r="P3500" t="str">
        <f t="shared" si="293"/>
        <v>142-7905</v>
      </c>
      <c r="Q3500" s="315" t="str">
        <f t="shared" si="294"/>
        <v>LEX Admin &amp; Other</v>
      </c>
      <c r="R3500" s="315" t="str">
        <f t="shared" si="295"/>
        <v>LEX Admin &amp; OtherProfessional Fees as % of Total Gross Profit</v>
      </c>
      <c r="S3500" s="199"/>
      <c r="T3500" s="199"/>
      <c r="U3500" s="199"/>
    </row>
    <row r="3501" spans="1:21" x14ac:dyDescent="0.25">
      <c r="A3501" t="s">
        <v>996</v>
      </c>
      <c r="B3501" t="s">
        <v>997</v>
      </c>
      <c r="C3501" t="s">
        <v>997</v>
      </c>
      <c r="D3501">
        <v>7905</v>
      </c>
      <c r="E3501">
        <v>147</v>
      </c>
      <c r="F3501" t="s">
        <v>1388</v>
      </c>
      <c r="G3501" t="s">
        <v>1389</v>
      </c>
      <c r="H3501" s="315" t="s">
        <v>1000</v>
      </c>
      <c r="I3501" s="315" t="s">
        <v>1390</v>
      </c>
      <c r="J3501" s="315" t="str">
        <f t="shared" si="291"/>
        <v>Admin &amp; OtherProfessional Fees as % of Total Gross Profit</v>
      </c>
      <c r="K3501" s="315" t="str">
        <f t="shared" si="292"/>
        <v>147Professional Fees - Toyota</v>
      </c>
      <c r="L3501" s="311">
        <f>+SUMIF('TUNZ Extracted TB'!M:M,$P3501,'TUNZ Extracted TB'!G:G)</f>
        <v>0</v>
      </c>
      <c r="M3501" s="311"/>
      <c r="N3501" s="311">
        <f>+SUMIF('Input Sheet'!$AE:$AE,P3501,'Input Sheet'!$X:$X)</f>
        <v>0</v>
      </c>
      <c r="O3501" s="311"/>
      <c r="P3501" t="str">
        <f t="shared" si="293"/>
        <v>147-7905</v>
      </c>
      <c r="Q3501" s="315" t="str">
        <f t="shared" si="294"/>
        <v>Admin &amp; Other</v>
      </c>
      <c r="R3501" s="315" t="str">
        <f t="shared" si="295"/>
        <v>Admin &amp; OtherProfessional Fees as % of Total Gross Profit</v>
      </c>
      <c r="S3501" s="199"/>
      <c r="T3501" s="199"/>
      <c r="U3501" s="199"/>
    </row>
    <row r="3502" spans="1:21" x14ac:dyDescent="0.25">
      <c r="A3502" t="s">
        <v>996</v>
      </c>
      <c r="B3502" t="s">
        <v>997</v>
      </c>
      <c r="C3502" t="s">
        <v>997</v>
      </c>
      <c r="D3502">
        <v>7905</v>
      </c>
      <c r="E3502">
        <v>150</v>
      </c>
      <c r="F3502" t="s">
        <v>1388</v>
      </c>
      <c r="G3502" t="s">
        <v>1389</v>
      </c>
      <c r="H3502" s="315" t="s">
        <v>1023</v>
      </c>
      <c r="I3502" s="315" t="s">
        <v>1390</v>
      </c>
      <c r="J3502" s="315" t="str">
        <f t="shared" si="291"/>
        <v>LEX Admin &amp; OtherProfessional Fees as % of Total Gross Profit</v>
      </c>
      <c r="K3502" s="315" t="str">
        <f t="shared" si="292"/>
        <v>150Professional Fees - Toyota</v>
      </c>
      <c r="L3502" s="311">
        <f>+SUMIF('TUNZ Extracted TB'!M:M,$P3502,'TUNZ Extracted TB'!G:G)</f>
        <v>18</v>
      </c>
      <c r="M3502" s="311"/>
      <c r="N3502" s="311">
        <f>+SUMIF('Input Sheet'!$AE:$AE,P3502,'Input Sheet'!$X:$X)</f>
        <v>0</v>
      </c>
      <c r="O3502" s="311"/>
      <c r="P3502" t="str">
        <f t="shared" si="293"/>
        <v>150-7905</v>
      </c>
      <c r="Q3502" s="315" t="str">
        <f t="shared" si="294"/>
        <v>LEX Admin &amp; Other</v>
      </c>
      <c r="R3502" s="315" t="str">
        <f t="shared" si="295"/>
        <v>LEX Admin &amp; OtherProfessional Fees as % of Total Gross Profit</v>
      </c>
      <c r="S3502" s="199"/>
      <c r="T3502" s="199"/>
      <c r="U3502" s="199"/>
    </row>
    <row r="3503" spans="1:21" x14ac:dyDescent="0.25">
      <c r="A3503" t="s">
        <v>996</v>
      </c>
      <c r="B3503" t="s">
        <v>997</v>
      </c>
      <c r="C3503" t="s">
        <v>997</v>
      </c>
      <c r="D3503">
        <v>7905</v>
      </c>
      <c r="E3503">
        <v>160</v>
      </c>
      <c r="F3503" t="s">
        <v>1388</v>
      </c>
      <c r="G3503" t="s">
        <v>1389</v>
      </c>
      <c r="H3503" s="315" t="s">
        <v>1000</v>
      </c>
      <c r="I3503" s="315" t="s">
        <v>1390</v>
      </c>
      <c r="J3503" s="315" t="str">
        <f t="shared" si="291"/>
        <v>Admin &amp; OtherProfessional Fees as % of Total Gross Profit</v>
      </c>
      <c r="K3503" s="315" t="str">
        <f t="shared" si="292"/>
        <v>160Professional Fees - Toyota</v>
      </c>
      <c r="L3503" s="311">
        <f>+SUMIF('TUNZ Extracted TB'!M:M,$P3503,'TUNZ Extracted TB'!G:G)</f>
        <v>18</v>
      </c>
      <c r="M3503" s="311"/>
      <c r="N3503" s="311">
        <f>+SUMIF('Input Sheet'!$AE:$AE,P3503,'Input Sheet'!$X:$X)</f>
        <v>0</v>
      </c>
      <c r="O3503" s="311"/>
      <c r="P3503" t="str">
        <f t="shared" si="293"/>
        <v>160-7905</v>
      </c>
      <c r="Q3503" s="315" t="str">
        <f t="shared" si="294"/>
        <v>Admin &amp; Other</v>
      </c>
      <c r="R3503" s="315" t="str">
        <f t="shared" si="295"/>
        <v>Admin &amp; OtherProfessional Fees as % of Total Gross Profit</v>
      </c>
      <c r="S3503" s="199"/>
      <c r="T3503" s="199"/>
      <c r="U3503" s="199"/>
    </row>
    <row r="3504" spans="1:21" x14ac:dyDescent="0.25">
      <c r="A3504" t="s">
        <v>996</v>
      </c>
      <c r="B3504" t="s">
        <v>997</v>
      </c>
      <c r="C3504" t="s">
        <v>997</v>
      </c>
      <c r="D3504">
        <v>7905</v>
      </c>
      <c r="E3504">
        <v>162</v>
      </c>
      <c r="F3504" t="s">
        <v>1391</v>
      </c>
      <c r="G3504" t="s">
        <v>1392</v>
      </c>
      <c r="H3504" s="315" t="s">
        <v>1023</v>
      </c>
      <c r="I3504" s="315" t="s">
        <v>1390</v>
      </c>
      <c r="J3504" s="315" t="str">
        <f t="shared" si="291"/>
        <v>LEX Admin &amp; OtherProfessional Fees as % of Total Gross Profit</v>
      </c>
      <c r="K3504" s="315" t="str">
        <f t="shared" si="292"/>
        <v>162Professional Fees - Lexus</v>
      </c>
      <c r="L3504" s="311">
        <f>+SUMIF('TUNZ Extracted TB'!M:M,$P3504,'TUNZ Extracted TB'!G:G)</f>
        <v>0</v>
      </c>
      <c r="M3504" s="311"/>
      <c r="N3504" s="311">
        <f>+SUMIF('Input Sheet'!$AE:$AE,P3504,'Input Sheet'!$X:$X)</f>
        <v>0</v>
      </c>
      <c r="O3504" s="311"/>
      <c r="P3504" t="str">
        <f t="shared" si="293"/>
        <v>162-7905</v>
      </c>
      <c r="Q3504" s="315" t="str">
        <f t="shared" si="294"/>
        <v>LEX Admin &amp; Other</v>
      </c>
      <c r="R3504" s="315" t="str">
        <f t="shared" si="295"/>
        <v>LEX Admin &amp; OtherProfessional Fees as % of Total Gross Profit</v>
      </c>
      <c r="S3504" s="199"/>
      <c r="T3504" s="199"/>
      <c r="U3504" s="199"/>
    </row>
    <row r="3505" spans="1:21" x14ac:dyDescent="0.25">
      <c r="A3505" s="316">
        <v>44866</v>
      </c>
      <c r="B3505" t="s">
        <v>997</v>
      </c>
      <c r="C3505" t="s">
        <v>997</v>
      </c>
      <c r="D3505">
        <v>7905</v>
      </c>
      <c r="E3505">
        <v>190</v>
      </c>
      <c r="G3505" t="s">
        <v>982</v>
      </c>
      <c r="H3505" s="315" t="s">
        <v>1000</v>
      </c>
      <c r="I3505" s="315" t="s">
        <v>1390</v>
      </c>
      <c r="J3505" s="315" t="str">
        <f t="shared" si="291"/>
        <v>Admin &amp; OtherProfessional Fees as % of Total Gross Profit</v>
      </c>
      <c r="K3505" s="315" t="str">
        <f t="shared" si="292"/>
        <v>190Legal Expenses</v>
      </c>
      <c r="L3505" s="311">
        <f>+SUMIF('TUNZ Extracted TB'!M:M,$P3505,'TUNZ Extracted TB'!G:G)</f>
        <v>0</v>
      </c>
      <c r="M3505" s="311"/>
      <c r="N3505" s="311">
        <f>+SUMIF('Input Sheet'!$AE:$AE,P3505,'Input Sheet'!$X:$X)</f>
        <v>0</v>
      </c>
      <c r="O3505" s="311"/>
      <c r="P3505" t="str">
        <f t="shared" si="293"/>
        <v>190-7905</v>
      </c>
      <c r="Q3505" s="315" t="str">
        <f t="shared" si="294"/>
        <v>Admin &amp; Other</v>
      </c>
      <c r="R3505" s="315" t="str">
        <f t="shared" si="295"/>
        <v>Admin &amp; OtherProfessional Fees as % of Total Gross Profit</v>
      </c>
      <c r="S3505" s="199"/>
      <c r="T3505" s="199"/>
      <c r="U3505" s="199"/>
    </row>
    <row r="3506" spans="1:21" x14ac:dyDescent="0.25">
      <c r="A3506" t="s">
        <v>996</v>
      </c>
      <c r="B3506" t="s">
        <v>997</v>
      </c>
      <c r="C3506" t="s">
        <v>1005</v>
      </c>
      <c r="D3506">
        <v>7905</v>
      </c>
      <c r="E3506">
        <v>200</v>
      </c>
      <c r="F3506" t="s">
        <v>1388</v>
      </c>
      <c r="G3506" t="s">
        <v>1389</v>
      </c>
      <c r="H3506" s="315" t="s">
        <v>1000</v>
      </c>
      <c r="I3506" s="315" t="s">
        <v>1390</v>
      </c>
      <c r="J3506" s="315" t="str">
        <f t="shared" si="291"/>
        <v>Admin &amp; OtherProfessional Fees as % of Total Gross Profit</v>
      </c>
      <c r="K3506" s="315" t="str">
        <f t="shared" si="292"/>
        <v>200Professional Fees - Toyota</v>
      </c>
      <c r="L3506" s="311">
        <f>+SUMIF('TUNZ Extracted TB'!M:M,$P3506,'TUNZ Extracted TB'!G:G)</f>
        <v>0</v>
      </c>
      <c r="M3506" s="311"/>
      <c r="N3506" s="311">
        <f>+SUMIF('Input Sheet'!$AE:$AE,P3506,'Input Sheet'!$X:$X)</f>
        <v>0</v>
      </c>
      <c r="O3506" s="311"/>
      <c r="P3506" t="str">
        <f t="shared" si="293"/>
        <v>200-7905</v>
      </c>
      <c r="Q3506" s="315" t="str">
        <f t="shared" si="294"/>
        <v>Admin &amp; Other</v>
      </c>
      <c r="R3506" s="315" t="str">
        <f t="shared" si="295"/>
        <v>Admin &amp; OtherProfessional Fees as % of Total Gross Profit</v>
      </c>
      <c r="S3506" s="199"/>
      <c r="T3506" s="199"/>
      <c r="U3506" s="199"/>
    </row>
    <row r="3507" spans="1:21" x14ac:dyDescent="0.25">
      <c r="A3507" t="s">
        <v>996</v>
      </c>
      <c r="B3507" t="s">
        <v>997</v>
      </c>
      <c r="C3507" t="s">
        <v>1005</v>
      </c>
      <c r="D3507">
        <v>7905</v>
      </c>
      <c r="E3507">
        <v>210</v>
      </c>
      <c r="F3507" t="s">
        <v>1388</v>
      </c>
      <c r="G3507" t="s">
        <v>1389</v>
      </c>
      <c r="H3507" s="315" t="s">
        <v>1000</v>
      </c>
      <c r="I3507" s="315" t="s">
        <v>1390</v>
      </c>
      <c r="J3507" s="315" t="str">
        <f t="shared" si="291"/>
        <v>Admin &amp; OtherProfessional Fees as % of Total Gross Profit</v>
      </c>
      <c r="K3507" s="315" t="str">
        <f t="shared" si="292"/>
        <v>210Professional Fees - Toyota</v>
      </c>
      <c r="L3507" s="311">
        <f>+SUMIF('TUNZ Extracted TB'!M:M,$P3507,'TUNZ Extracted TB'!G:G)</f>
        <v>18</v>
      </c>
      <c r="M3507" s="311"/>
      <c r="N3507" s="311">
        <f>+SUMIF('Input Sheet'!$AE:$AE,P3507,'Input Sheet'!$X:$X)</f>
        <v>0</v>
      </c>
      <c r="O3507" s="311"/>
      <c r="P3507" t="str">
        <f t="shared" si="293"/>
        <v>210-7905</v>
      </c>
      <c r="Q3507" s="315" t="str">
        <f t="shared" si="294"/>
        <v>Admin &amp; Other</v>
      </c>
      <c r="R3507" s="315" t="str">
        <f t="shared" si="295"/>
        <v>Admin &amp; OtherProfessional Fees as % of Total Gross Profit</v>
      </c>
      <c r="S3507" s="199"/>
      <c r="T3507" s="199"/>
      <c r="U3507" s="199"/>
    </row>
    <row r="3508" spans="1:21" x14ac:dyDescent="0.25">
      <c r="A3508" t="s">
        <v>996</v>
      </c>
      <c r="B3508" t="s">
        <v>997</v>
      </c>
      <c r="C3508" t="s">
        <v>1005</v>
      </c>
      <c r="D3508">
        <v>7905</v>
      </c>
      <c r="E3508">
        <v>220</v>
      </c>
      <c r="F3508" t="s">
        <v>1388</v>
      </c>
      <c r="G3508" t="s">
        <v>1389</v>
      </c>
      <c r="H3508" s="315" t="s">
        <v>1000</v>
      </c>
      <c r="I3508" s="315" t="s">
        <v>1390</v>
      </c>
      <c r="J3508" s="315" t="str">
        <f t="shared" si="291"/>
        <v>Admin &amp; OtherProfessional Fees as % of Total Gross Profit</v>
      </c>
      <c r="K3508" s="315" t="str">
        <f t="shared" si="292"/>
        <v>220Professional Fees - Toyota</v>
      </c>
      <c r="L3508" s="311">
        <f>+SUMIF('TUNZ Extracted TB'!M:M,$P3508,'TUNZ Extracted TB'!G:G)</f>
        <v>18</v>
      </c>
      <c r="M3508" s="311"/>
      <c r="N3508" s="311">
        <f>+SUMIF('Input Sheet'!$AE:$AE,P3508,'Input Sheet'!$X:$X)</f>
        <v>0</v>
      </c>
      <c r="O3508" s="311"/>
      <c r="P3508" t="str">
        <f t="shared" si="293"/>
        <v>220-7905</v>
      </c>
      <c r="Q3508" s="315" t="str">
        <f t="shared" si="294"/>
        <v>Admin &amp; Other</v>
      </c>
      <c r="R3508" s="315" t="str">
        <f t="shared" si="295"/>
        <v>Admin &amp; OtherProfessional Fees as % of Total Gross Profit</v>
      </c>
      <c r="S3508" s="199"/>
      <c r="T3508" s="199"/>
      <c r="U3508" s="199"/>
    </row>
    <row r="3509" spans="1:21" x14ac:dyDescent="0.25">
      <c r="A3509" t="s">
        <v>996</v>
      </c>
      <c r="B3509" t="s">
        <v>997</v>
      </c>
      <c r="C3509" t="s">
        <v>1005</v>
      </c>
      <c r="D3509">
        <v>7905</v>
      </c>
      <c r="E3509">
        <v>221</v>
      </c>
      <c r="F3509" t="s">
        <v>1388</v>
      </c>
      <c r="G3509" t="s">
        <v>1389</v>
      </c>
      <c r="H3509" s="315" t="s">
        <v>1000</v>
      </c>
      <c r="I3509" s="315" t="s">
        <v>1390</v>
      </c>
      <c r="J3509" s="315" t="str">
        <f t="shared" si="291"/>
        <v>Admin &amp; OtherProfessional Fees as % of Total Gross Profit</v>
      </c>
      <c r="K3509" s="315" t="str">
        <f t="shared" si="292"/>
        <v>221Professional Fees - Toyota</v>
      </c>
      <c r="L3509" s="311">
        <f>+SUMIF('TUNZ Extracted TB'!M:M,$P3509,'TUNZ Extracted TB'!G:G)</f>
        <v>0</v>
      </c>
      <c r="M3509" s="311"/>
      <c r="N3509" s="311">
        <f>+SUMIF('Input Sheet'!$AE:$AE,P3509,'Input Sheet'!$X:$X)</f>
        <v>0</v>
      </c>
      <c r="O3509" s="311"/>
      <c r="P3509" t="str">
        <f t="shared" si="293"/>
        <v>221-7905</v>
      </c>
      <c r="Q3509" s="315" t="str">
        <f t="shared" si="294"/>
        <v>Admin &amp; Other</v>
      </c>
      <c r="R3509" s="315" t="str">
        <f t="shared" si="295"/>
        <v>Admin &amp; OtherProfessional Fees as % of Total Gross Profit</v>
      </c>
      <c r="S3509" s="199"/>
      <c r="T3509" s="199"/>
      <c r="U3509" s="199"/>
    </row>
    <row r="3510" spans="1:21" x14ac:dyDescent="0.25">
      <c r="A3510" t="s">
        <v>996</v>
      </c>
      <c r="B3510" t="s">
        <v>997</v>
      </c>
      <c r="C3510" t="s">
        <v>1005</v>
      </c>
      <c r="D3510">
        <v>7905</v>
      </c>
      <c r="E3510">
        <v>230</v>
      </c>
      <c r="F3510" t="s">
        <v>1388</v>
      </c>
      <c r="G3510" t="s">
        <v>1389</v>
      </c>
      <c r="H3510" s="315" t="s">
        <v>1000</v>
      </c>
      <c r="I3510" s="315" t="s">
        <v>1390</v>
      </c>
      <c r="J3510" s="315" t="str">
        <f t="shared" si="291"/>
        <v>Admin &amp; OtherProfessional Fees as % of Total Gross Profit</v>
      </c>
      <c r="K3510" s="315" t="str">
        <f t="shared" si="292"/>
        <v>230Professional Fees - Toyota</v>
      </c>
      <c r="L3510" s="311">
        <f>+SUMIF('TUNZ Extracted TB'!M:M,$P3510,'TUNZ Extracted TB'!G:G)</f>
        <v>18</v>
      </c>
      <c r="M3510" s="311"/>
      <c r="N3510" s="311">
        <f>+SUMIF('Input Sheet'!$AE:$AE,P3510,'Input Sheet'!$X:$X)</f>
        <v>0</v>
      </c>
      <c r="O3510" s="311"/>
      <c r="P3510" t="str">
        <f t="shared" si="293"/>
        <v>230-7905</v>
      </c>
      <c r="Q3510" s="315" t="str">
        <f t="shared" si="294"/>
        <v>Admin &amp; Other</v>
      </c>
      <c r="R3510" s="315" t="str">
        <f t="shared" si="295"/>
        <v>Admin &amp; OtherProfessional Fees as % of Total Gross Profit</v>
      </c>
      <c r="S3510" s="199"/>
      <c r="T3510" s="199"/>
      <c r="U3510" s="199"/>
    </row>
    <row r="3511" spans="1:21" x14ac:dyDescent="0.25">
      <c r="A3511" t="s">
        <v>996</v>
      </c>
      <c r="B3511" t="s">
        <v>997</v>
      </c>
      <c r="C3511" t="s">
        <v>1005</v>
      </c>
      <c r="D3511">
        <v>7905</v>
      </c>
      <c r="E3511">
        <v>240</v>
      </c>
      <c r="F3511" t="s">
        <v>1388</v>
      </c>
      <c r="G3511" t="s">
        <v>1389</v>
      </c>
      <c r="H3511" s="315" t="s">
        <v>1000</v>
      </c>
      <c r="I3511" s="315" t="s">
        <v>1390</v>
      </c>
      <c r="J3511" s="315" t="str">
        <f t="shared" si="291"/>
        <v>Admin &amp; OtherProfessional Fees as % of Total Gross Profit</v>
      </c>
      <c r="K3511" s="315" t="str">
        <f t="shared" si="292"/>
        <v>240Professional Fees - Toyota</v>
      </c>
      <c r="L3511" s="311">
        <f>+SUMIF('TUNZ Extracted TB'!M:M,$P3511,'TUNZ Extracted TB'!G:G)</f>
        <v>18</v>
      </c>
      <c r="M3511" s="311"/>
      <c r="N3511" s="311">
        <f>+SUMIF('Input Sheet'!$AE:$AE,P3511,'Input Sheet'!$X:$X)</f>
        <v>0</v>
      </c>
      <c r="O3511" s="311"/>
      <c r="P3511" t="str">
        <f t="shared" si="293"/>
        <v>240-7905</v>
      </c>
      <c r="Q3511" s="315" t="str">
        <f t="shared" si="294"/>
        <v>Admin &amp; Other</v>
      </c>
      <c r="R3511" s="315" t="str">
        <f t="shared" si="295"/>
        <v>Admin &amp; OtherProfessional Fees as % of Total Gross Profit</v>
      </c>
      <c r="S3511" s="199"/>
      <c r="T3511" s="199"/>
      <c r="U3511" s="199"/>
    </row>
    <row r="3512" spans="1:21" x14ac:dyDescent="0.25">
      <c r="A3512" t="s">
        <v>996</v>
      </c>
      <c r="B3512" t="s">
        <v>997</v>
      </c>
      <c r="C3512" t="s">
        <v>1005</v>
      </c>
      <c r="D3512">
        <v>7905</v>
      </c>
      <c r="E3512">
        <v>260</v>
      </c>
      <c r="F3512" t="s">
        <v>1388</v>
      </c>
      <c r="G3512" t="s">
        <v>1389</v>
      </c>
      <c r="H3512" s="315" t="s">
        <v>1000</v>
      </c>
      <c r="I3512" s="315" t="s">
        <v>1390</v>
      </c>
      <c r="J3512" s="315" t="str">
        <f t="shared" si="291"/>
        <v>Admin &amp; OtherProfessional Fees as % of Total Gross Profit</v>
      </c>
      <c r="K3512" s="315" t="str">
        <f t="shared" si="292"/>
        <v>260Professional Fees - Toyota</v>
      </c>
      <c r="L3512" s="311">
        <f>+SUMIF('TUNZ Extracted TB'!M:M,$P3512,'TUNZ Extracted TB'!G:G)</f>
        <v>18</v>
      </c>
      <c r="M3512" s="311"/>
      <c r="N3512" s="311">
        <f>+SUMIF('Input Sheet'!$AE:$AE,P3512,'Input Sheet'!$X:$X)</f>
        <v>0</v>
      </c>
      <c r="O3512" s="311"/>
      <c r="P3512" t="str">
        <f t="shared" si="293"/>
        <v>260-7905</v>
      </c>
      <c r="Q3512" s="315" t="str">
        <f t="shared" si="294"/>
        <v>Admin &amp; Other</v>
      </c>
      <c r="R3512" s="315" t="str">
        <f t="shared" si="295"/>
        <v>Admin &amp; OtherProfessional Fees as % of Total Gross Profit</v>
      </c>
      <c r="S3512" s="199"/>
      <c r="T3512" s="199"/>
      <c r="U3512" s="199"/>
    </row>
    <row r="3513" spans="1:21" x14ac:dyDescent="0.25">
      <c r="A3513" t="s">
        <v>996</v>
      </c>
      <c r="B3513" t="s">
        <v>997</v>
      </c>
      <c r="C3513" t="s">
        <v>1013</v>
      </c>
      <c r="D3513">
        <v>7905</v>
      </c>
      <c r="E3513">
        <v>300</v>
      </c>
      <c r="F3513" t="s">
        <v>1388</v>
      </c>
      <c r="G3513" t="s">
        <v>1389</v>
      </c>
      <c r="H3513" s="315" t="s">
        <v>1000</v>
      </c>
      <c r="I3513" s="315" t="s">
        <v>1390</v>
      </c>
      <c r="J3513" s="315" t="str">
        <f t="shared" si="291"/>
        <v>Admin &amp; OtherProfessional Fees as % of Total Gross Profit</v>
      </c>
      <c r="K3513" s="315" t="str">
        <f t="shared" si="292"/>
        <v>300Professional Fees - Toyota</v>
      </c>
      <c r="L3513" s="311">
        <f>+SUMIF('TUNZ Extracted TB'!M:M,$P3513,'TUNZ Extracted TB'!G:G)</f>
        <v>0</v>
      </c>
      <c r="M3513" s="311"/>
      <c r="N3513" s="311">
        <f>+SUMIF('Input Sheet'!$AE:$AE,P3513,'Input Sheet'!$X:$X)</f>
        <v>0</v>
      </c>
      <c r="O3513" s="311"/>
      <c r="P3513" t="str">
        <f t="shared" si="293"/>
        <v>300-7905</v>
      </c>
      <c r="Q3513" s="315" t="str">
        <f t="shared" si="294"/>
        <v>Admin &amp; Other</v>
      </c>
      <c r="R3513" s="315" t="str">
        <f t="shared" si="295"/>
        <v>Admin &amp; OtherProfessional Fees as % of Total Gross Profit</v>
      </c>
      <c r="S3513" s="199"/>
      <c r="T3513" s="199"/>
      <c r="U3513" s="199"/>
    </row>
    <row r="3514" spans="1:21" x14ac:dyDescent="0.25">
      <c r="A3514" t="s">
        <v>996</v>
      </c>
      <c r="B3514" t="s">
        <v>997</v>
      </c>
      <c r="C3514" t="s">
        <v>1013</v>
      </c>
      <c r="D3514">
        <v>7905</v>
      </c>
      <c r="E3514">
        <v>310</v>
      </c>
      <c r="F3514" t="s">
        <v>1388</v>
      </c>
      <c r="G3514" t="s">
        <v>1389</v>
      </c>
      <c r="H3514" s="315" t="s">
        <v>1000</v>
      </c>
      <c r="I3514" s="315" t="s">
        <v>1390</v>
      </c>
      <c r="J3514" s="315" t="str">
        <f t="shared" si="291"/>
        <v>Admin &amp; OtherProfessional Fees as % of Total Gross Profit</v>
      </c>
      <c r="K3514" s="315" t="str">
        <f t="shared" si="292"/>
        <v>310Professional Fees - Toyota</v>
      </c>
      <c r="L3514" s="311">
        <f>+SUMIF('TUNZ Extracted TB'!M:M,$P3514,'TUNZ Extracted TB'!G:G)</f>
        <v>0</v>
      </c>
      <c r="M3514" s="311"/>
      <c r="N3514" s="311">
        <f>+SUMIF('Input Sheet'!$AE:$AE,P3514,'Input Sheet'!$X:$X)</f>
        <v>0</v>
      </c>
      <c r="O3514" s="311"/>
      <c r="P3514" t="str">
        <f t="shared" si="293"/>
        <v>310-7905</v>
      </c>
      <c r="Q3514" s="315" t="str">
        <f t="shared" si="294"/>
        <v>Admin &amp; Other</v>
      </c>
      <c r="R3514" s="315" t="str">
        <f t="shared" si="295"/>
        <v>Admin &amp; OtherProfessional Fees as % of Total Gross Profit</v>
      </c>
      <c r="S3514" s="199"/>
      <c r="T3514" s="199"/>
      <c r="U3514" s="199"/>
    </row>
    <row r="3515" spans="1:21" x14ac:dyDescent="0.25">
      <c r="A3515" t="s">
        <v>996</v>
      </c>
      <c r="B3515" t="s">
        <v>997</v>
      </c>
      <c r="C3515" t="s">
        <v>1013</v>
      </c>
      <c r="D3515">
        <v>7905</v>
      </c>
      <c r="E3515">
        <v>321</v>
      </c>
      <c r="F3515" t="s">
        <v>1388</v>
      </c>
      <c r="G3515" t="s">
        <v>1389</v>
      </c>
      <c r="H3515" s="315" t="s">
        <v>1000</v>
      </c>
      <c r="I3515" s="315" t="s">
        <v>1390</v>
      </c>
      <c r="J3515" s="315" t="str">
        <f t="shared" si="291"/>
        <v>Admin &amp; OtherProfessional Fees as % of Total Gross Profit</v>
      </c>
      <c r="K3515" s="315" t="str">
        <f t="shared" si="292"/>
        <v>321Professional Fees - Toyota</v>
      </c>
      <c r="L3515" s="311">
        <f>+SUMIF('TUNZ Extracted TB'!M:M,$P3515,'TUNZ Extracted TB'!G:G)</f>
        <v>0</v>
      </c>
      <c r="M3515" s="311"/>
      <c r="N3515" s="311">
        <f>+SUMIF('Input Sheet'!$AE:$AE,P3515,'Input Sheet'!$X:$X)</f>
        <v>0</v>
      </c>
      <c r="O3515" s="311"/>
      <c r="P3515" t="str">
        <f t="shared" si="293"/>
        <v>321-7905</v>
      </c>
      <c r="Q3515" s="315" t="str">
        <f t="shared" si="294"/>
        <v>Admin &amp; Other</v>
      </c>
      <c r="R3515" s="315" t="str">
        <f t="shared" si="295"/>
        <v>Admin &amp; OtherProfessional Fees as % of Total Gross Profit</v>
      </c>
      <c r="S3515" s="199"/>
      <c r="T3515" s="199"/>
      <c r="U3515" s="199"/>
    </row>
    <row r="3516" spans="1:21" x14ac:dyDescent="0.25">
      <c r="A3516" t="s">
        <v>996</v>
      </c>
      <c r="B3516" t="s">
        <v>997</v>
      </c>
      <c r="C3516" t="s">
        <v>1013</v>
      </c>
      <c r="D3516">
        <v>7905</v>
      </c>
      <c r="E3516">
        <v>330</v>
      </c>
      <c r="F3516" t="s">
        <v>1388</v>
      </c>
      <c r="G3516" t="s">
        <v>1389</v>
      </c>
      <c r="H3516" s="315" t="s">
        <v>1000</v>
      </c>
      <c r="I3516" s="315" t="s">
        <v>1390</v>
      </c>
      <c r="J3516" s="315" t="str">
        <f t="shared" si="291"/>
        <v>Admin &amp; OtherProfessional Fees as % of Total Gross Profit</v>
      </c>
      <c r="K3516" s="315" t="str">
        <f t="shared" si="292"/>
        <v>330Professional Fees - Toyota</v>
      </c>
      <c r="L3516" s="311">
        <f>+SUMIF('TUNZ Extracted TB'!M:M,$P3516,'TUNZ Extracted TB'!G:G)</f>
        <v>18</v>
      </c>
      <c r="M3516" s="311"/>
      <c r="N3516" s="311">
        <f>+SUMIF('Input Sheet'!$AE:$AE,P3516,'Input Sheet'!$X:$X)</f>
        <v>0</v>
      </c>
      <c r="O3516" s="311"/>
      <c r="P3516" t="str">
        <f t="shared" si="293"/>
        <v>330-7905</v>
      </c>
      <c r="Q3516" s="315" t="str">
        <f t="shared" si="294"/>
        <v>Admin &amp; Other</v>
      </c>
      <c r="R3516" s="315" t="str">
        <f t="shared" si="295"/>
        <v>Admin &amp; OtherProfessional Fees as % of Total Gross Profit</v>
      </c>
      <c r="S3516" s="199"/>
      <c r="T3516" s="199"/>
      <c r="U3516" s="199"/>
    </row>
    <row r="3517" spans="1:21" x14ac:dyDescent="0.25">
      <c r="A3517" t="s">
        <v>996</v>
      </c>
      <c r="B3517" t="s">
        <v>997</v>
      </c>
      <c r="C3517" t="s">
        <v>1013</v>
      </c>
      <c r="D3517">
        <v>7905</v>
      </c>
      <c r="E3517">
        <v>340</v>
      </c>
      <c r="F3517" t="s">
        <v>1388</v>
      </c>
      <c r="G3517" t="s">
        <v>1389</v>
      </c>
      <c r="H3517" s="315" t="s">
        <v>1000</v>
      </c>
      <c r="I3517" s="315" t="s">
        <v>1390</v>
      </c>
      <c r="J3517" s="315" t="str">
        <f t="shared" si="291"/>
        <v>Admin &amp; OtherProfessional Fees as % of Total Gross Profit</v>
      </c>
      <c r="K3517" s="315" t="str">
        <f t="shared" si="292"/>
        <v>340Professional Fees - Toyota</v>
      </c>
      <c r="L3517" s="311">
        <f>+SUMIF('TUNZ Extracted TB'!M:M,$P3517,'TUNZ Extracted TB'!G:G)</f>
        <v>18</v>
      </c>
      <c r="M3517" s="311"/>
      <c r="N3517" s="311">
        <f>+SUMIF('Input Sheet'!$AE:$AE,P3517,'Input Sheet'!$X:$X)</f>
        <v>0</v>
      </c>
      <c r="O3517" s="311"/>
      <c r="P3517" t="str">
        <f t="shared" si="293"/>
        <v>340-7905</v>
      </c>
      <c r="Q3517" s="315" t="str">
        <f t="shared" si="294"/>
        <v>Admin &amp; Other</v>
      </c>
      <c r="R3517" s="315" t="str">
        <f t="shared" si="295"/>
        <v>Admin &amp; OtherProfessional Fees as % of Total Gross Profit</v>
      </c>
      <c r="S3517" s="199"/>
      <c r="T3517" s="199"/>
      <c r="U3517" s="199"/>
    </row>
    <row r="3518" spans="1:21" x14ac:dyDescent="0.25">
      <c r="A3518" t="s">
        <v>996</v>
      </c>
      <c r="B3518" t="s">
        <v>997</v>
      </c>
      <c r="C3518" t="s">
        <v>1013</v>
      </c>
      <c r="D3518">
        <v>7905</v>
      </c>
      <c r="E3518">
        <v>360</v>
      </c>
      <c r="F3518" t="s">
        <v>1388</v>
      </c>
      <c r="G3518" t="s">
        <v>1389</v>
      </c>
      <c r="H3518" s="315" t="s">
        <v>1000</v>
      </c>
      <c r="I3518" s="315" t="s">
        <v>1390</v>
      </c>
      <c r="J3518" s="315" t="str">
        <f t="shared" si="291"/>
        <v>Admin &amp; OtherProfessional Fees as % of Total Gross Profit</v>
      </c>
      <c r="K3518" s="315" t="str">
        <f t="shared" si="292"/>
        <v>360Professional Fees - Toyota</v>
      </c>
      <c r="L3518" s="311">
        <f>+SUMIF('TUNZ Extracted TB'!M:M,$P3518,'TUNZ Extracted TB'!G:G)</f>
        <v>0</v>
      </c>
      <c r="M3518" s="311"/>
      <c r="N3518" s="311">
        <f>+SUMIF('Input Sheet'!$AE:$AE,P3518,'Input Sheet'!$X:$X)</f>
        <v>0</v>
      </c>
      <c r="O3518" s="311"/>
      <c r="P3518" t="str">
        <f t="shared" si="293"/>
        <v>360-7905</v>
      </c>
      <c r="Q3518" s="315" t="str">
        <f t="shared" si="294"/>
        <v>Admin &amp; Other</v>
      </c>
      <c r="R3518" s="315" t="str">
        <f t="shared" si="295"/>
        <v>Admin &amp; OtherProfessional Fees as % of Total Gross Profit</v>
      </c>
      <c r="S3518" s="199"/>
      <c r="T3518" s="199"/>
      <c r="U3518" s="199"/>
    </row>
    <row r="3519" spans="1:21" x14ac:dyDescent="0.25">
      <c r="A3519" t="s">
        <v>996</v>
      </c>
      <c r="B3519" t="s">
        <v>997</v>
      </c>
      <c r="C3519" t="s">
        <v>1012</v>
      </c>
      <c r="D3519">
        <v>7905</v>
      </c>
      <c r="E3519">
        <v>400</v>
      </c>
      <c r="F3519" t="s">
        <v>1388</v>
      </c>
      <c r="G3519" t="s">
        <v>1389</v>
      </c>
      <c r="H3519" s="315" t="s">
        <v>1000</v>
      </c>
      <c r="I3519" s="315" t="s">
        <v>1390</v>
      </c>
      <c r="J3519" s="315" t="str">
        <f t="shared" si="291"/>
        <v>Admin &amp; OtherProfessional Fees as % of Total Gross Profit</v>
      </c>
      <c r="K3519" s="315" t="str">
        <f t="shared" si="292"/>
        <v>400Professional Fees - Toyota</v>
      </c>
      <c r="L3519" s="311">
        <f>+SUMIF('TUNZ Extracted TB'!M:M,$P3519,'TUNZ Extracted TB'!G:G)</f>
        <v>0</v>
      </c>
      <c r="M3519" s="311"/>
      <c r="N3519" s="311">
        <f>+SUMIF('Input Sheet'!$AE:$AE,P3519,'Input Sheet'!$X:$X)</f>
        <v>0</v>
      </c>
      <c r="O3519" s="311"/>
      <c r="P3519" t="str">
        <f t="shared" si="293"/>
        <v>400-7905</v>
      </c>
      <c r="Q3519" s="315" t="str">
        <f t="shared" si="294"/>
        <v>Admin &amp; Other</v>
      </c>
      <c r="R3519" s="315" t="str">
        <f t="shared" si="295"/>
        <v>Admin &amp; OtherProfessional Fees as % of Total Gross Profit</v>
      </c>
      <c r="S3519" s="199"/>
      <c r="T3519" s="199"/>
      <c r="U3519" s="199"/>
    </row>
    <row r="3520" spans="1:21" x14ac:dyDescent="0.25">
      <c r="A3520" t="s">
        <v>996</v>
      </c>
      <c r="B3520" t="s">
        <v>997</v>
      </c>
      <c r="C3520" t="s">
        <v>1012</v>
      </c>
      <c r="D3520">
        <v>7905</v>
      </c>
      <c r="E3520">
        <v>410</v>
      </c>
      <c r="F3520" t="s">
        <v>1388</v>
      </c>
      <c r="G3520" t="s">
        <v>1389</v>
      </c>
      <c r="H3520" s="315" t="s">
        <v>1000</v>
      </c>
      <c r="I3520" s="315" t="s">
        <v>1390</v>
      </c>
      <c r="J3520" s="315" t="str">
        <f t="shared" si="291"/>
        <v>Admin &amp; OtherProfessional Fees as % of Total Gross Profit</v>
      </c>
      <c r="K3520" s="315" t="str">
        <f t="shared" si="292"/>
        <v>410Professional Fees - Toyota</v>
      </c>
      <c r="L3520" s="311">
        <f>+SUMIF('TUNZ Extracted TB'!M:M,$P3520,'TUNZ Extracted TB'!G:G)</f>
        <v>0</v>
      </c>
      <c r="M3520" s="311"/>
      <c r="N3520" s="311">
        <f>+SUMIF('Input Sheet'!$AE:$AE,P3520,'Input Sheet'!$X:$X)</f>
        <v>0</v>
      </c>
      <c r="O3520" s="311"/>
      <c r="P3520" t="str">
        <f t="shared" si="293"/>
        <v>410-7905</v>
      </c>
      <c r="Q3520" s="315" t="str">
        <f t="shared" si="294"/>
        <v>Admin &amp; Other</v>
      </c>
      <c r="R3520" s="315" t="str">
        <f t="shared" si="295"/>
        <v>Admin &amp; OtherProfessional Fees as % of Total Gross Profit</v>
      </c>
      <c r="S3520" s="199"/>
      <c r="T3520" s="199"/>
      <c r="U3520" s="199"/>
    </row>
    <row r="3521" spans="1:21" x14ac:dyDescent="0.25">
      <c r="A3521" t="s">
        <v>996</v>
      </c>
      <c r="B3521" t="s">
        <v>997</v>
      </c>
      <c r="C3521" t="s">
        <v>1012</v>
      </c>
      <c r="D3521">
        <v>7905</v>
      </c>
      <c r="E3521">
        <v>420</v>
      </c>
      <c r="F3521" t="s">
        <v>1388</v>
      </c>
      <c r="G3521" t="s">
        <v>1389</v>
      </c>
      <c r="H3521" s="315" t="s">
        <v>1000</v>
      </c>
      <c r="I3521" s="315" t="s">
        <v>1390</v>
      </c>
      <c r="J3521" s="315" t="str">
        <f t="shared" si="291"/>
        <v>Admin &amp; OtherProfessional Fees as % of Total Gross Profit</v>
      </c>
      <c r="K3521" s="315" t="str">
        <f t="shared" si="292"/>
        <v>420Professional Fees - Toyota</v>
      </c>
      <c r="L3521" s="311">
        <f>+SUMIF('TUNZ Extracted TB'!M:M,$P3521,'TUNZ Extracted TB'!G:G)</f>
        <v>0</v>
      </c>
      <c r="M3521" s="311"/>
      <c r="N3521" s="311">
        <f>+SUMIF('Input Sheet'!$AE:$AE,P3521,'Input Sheet'!$X:$X)</f>
        <v>0</v>
      </c>
      <c r="O3521" s="311"/>
      <c r="P3521" t="str">
        <f t="shared" si="293"/>
        <v>420-7905</v>
      </c>
      <c r="Q3521" s="315" t="str">
        <f t="shared" si="294"/>
        <v>Admin &amp; Other</v>
      </c>
      <c r="R3521" s="315" t="str">
        <f t="shared" si="295"/>
        <v>Admin &amp; OtherProfessional Fees as % of Total Gross Profit</v>
      </c>
      <c r="S3521" s="199"/>
      <c r="T3521" s="199"/>
      <c r="U3521" s="199"/>
    </row>
    <row r="3522" spans="1:21" x14ac:dyDescent="0.25">
      <c r="A3522" t="s">
        <v>996</v>
      </c>
      <c r="B3522" t="s">
        <v>997</v>
      </c>
      <c r="C3522" t="s">
        <v>1012</v>
      </c>
      <c r="D3522">
        <v>7905</v>
      </c>
      <c r="E3522">
        <v>421</v>
      </c>
      <c r="F3522" t="s">
        <v>1388</v>
      </c>
      <c r="G3522" t="s">
        <v>1389</v>
      </c>
      <c r="H3522" s="315" t="s">
        <v>1000</v>
      </c>
      <c r="I3522" s="315" t="s">
        <v>1390</v>
      </c>
      <c r="J3522" s="315" t="str">
        <f t="shared" si="291"/>
        <v>Admin &amp; OtherProfessional Fees as % of Total Gross Profit</v>
      </c>
      <c r="K3522" s="315" t="str">
        <f t="shared" si="292"/>
        <v>421Professional Fees - Toyota</v>
      </c>
      <c r="L3522" s="311">
        <f>+SUMIF('TUNZ Extracted TB'!M:M,$P3522,'TUNZ Extracted TB'!G:G)</f>
        <v>0</v>
      </c>
      <c r="M3522" s="311"/>
      <c r="N3522" s="311">
        <f>+SUMIF('Input Sheet'!$AE:$AE,P3522,'Input Sheet'!$X:$X)</f>
        <v>0</v>
      </c>
      <c r="O3522" s="311"/>
      <c r="P3522" t="str">
        <f t="shared" si="293"/>
        <v>421-7905</v>
      </c>
      <c r="Q3522" s="315" t="str">
        <f t="shared" si="294"/>
        <v>Admin &amp; Other</v>
      </c>
      <c r="R3522" s="315" t="str">
        <f t="shared" si="295"/>
        <v>Admin &amp; OtherProfessional Fees as % of Total Gross Profit</v>
      </c>
      <c r="S3522" s="199"/>
      <c r="T3522" s="199"/>
      <c r="U3522" s="199"/>
    </row>
    <row r="3523" spans="1:21" x14ac:dyDescent="0.25">
      <c r="A3523" t="s">
        <v>996</v>
      </c>
      <c r="B3523" t="s">
        <v>997</v>
      </c>
      <c r="C3523" t="s">
        <v>1012</v>
      </c>
      <c r="D3523">
        <v>7905</v>
      </c>
      <c r="E3523">
        <v>430</v>
      </c>
      <c r="F3523" t="s">
        <v>1388</v>
      </c>
      <c r="G3523" t="s">
        <v>1389</v>
      </c>
      <c r="H3523" s="315" t="s">
        <v>1000</v>
      </c>
      <c r="I3523" s="315" t="s">
        <v>1390</v>
      </c>
      <c r="J3523" s="315" t="str">
        <f t="shared" ref="J3523:J3586" si="296">+H3523&amp;I3523</f>
        <v>Admin &amp; OtherProfessional Fees as % of Total Gross Profit</v>
      </c>
      <c r="K3523" s="315" t="str">
        <f t="shared" ref="K3523:K3586" si="297">+E3523&amp;G3523</f>
        <v>430Professional Fees - Toyota</v>
      </c>
      <c r="L3523" s="311">
        <f>+SUMIF('TUNZ Extracted TB'!M:M,$P3523,'TUNZ Extracted TB'!G:G)</f>
        <v>18</v>
      </c>
      <c r="M3523" s="311"/>
      <c r="N3523" s="311">
        <f>+SUMIF('Input Sheet'!$AE:$AE,P3523,'Input Sheet'!$X:$X)</f>
        <v>0</v>
      </c>
      <c r="O3523" s="311"/>
      <c r="P3523" t="str">
        <f t="shared" ref="P3523:P3586" si="298">+E3523&amp;"-"&amp;D3523</f>
        <v>430-7905</v>
      </c>
      <c r="Q3523" s="315" t="str">
        <f t="shared" ref="Q3523:Q3586" si="299">H3523</f>
        <v>Admin &amp; Other</v>
      </c>
      <c r="R3523" s="315" t="str">
        <f t="shared" ref="R3523:R3586" si="300">J3523</f>
        <v>Admin &amp; OtherProfessional Fees as % of Total Gross Profit</v>
      </c>
      <c r="S3523" s="199"/>
      <c r="T3523" s="199"/>
      <c r="U3523" s="199"/>
    </row>
    <row r="3524" spans="1:21" x14ac:dyDescent="0.25">
      <c r="A3524" t="s">
        <v>996</v>
      </c>
      <c r="B3524" t="s">
        <v>997</v>
      </c>
      <c r="C3524" t="s">
        <v>1012</v>
      </c>
      <c r="D3524">
        <v>7905</v>
      </c>
      <c r="E3524">
        <v>440</v>
      </c>
      <c r="F3524" t="s">
        <v>1388</v>
      </c>
      <c r="G3524" t="s">
        <v>1389</v>
      </c>
      <c r="H3524" s="315" t="s">
        <v>1000</v>
      </c>
      <c r="I3524" s="315" t="s">
        <v>1390</v>
      </c>
      <c r="J3524" s="315" t="str">
        <f t="shared" si="296"/>
        <v>Admin &amp; OtherProfessional Fees as % of Total Gross Profit</v>
      </c>
      <c r="K3524" s="315" t="str">
        <f t="shared" si="297"/>
        <v>440Professional Fees - Toyota</v>
      </c>
      <c r="L3524" s="311">
        <f>+SUMIF('TUNZ Extracted TB'!M:M,$P3524,'TUNZ Extracted TB'!G:G)</f>
        <v>18</v>
      </c>
      <c r="M3524" s="311"/>
      <c r="N3524" s="311">
        <f>+SUMIF('Input Sheet'!$AE:$AE,P3524,'Input Sheet'!$X:$X)</f>
        <v>0</v>
      </c>
      <c r="O3524" s="311"/>
      <c r="P3524" t="str">
        <f t="shared" si="298"/>
        <v>440-7905</v>
      </c>
      <c r="Q3524" s="315" t="str">
        <f t="shared" si="299"/>
        <v>Admin &amp; Other</v>
      </c>
      <c r="R3524" s="315" t="str">
        <f t="shared" si="300"/>
        <v>Admin &amp; OtherProfessional Fees as % of Total Gross Profit</v>
      </c>
      <c r="S3524" s="199"/>
      <c r="T3524" s="199"/>
      <c r="U3524" s="199"/>
    </row>
    <row r="3525" spans="1:21" x14ac:dyDescent="0.25">
      <c r="A3525" t="s">
        <v>996</v>
      </c>
      <c r="B3525" t="s">
        <v>997</v>
      </c>
      <c r="C3525" t="s">
        <v>1012</v>
      </c>
      <c r="D3525">
        <v>7905</v>
      </c>
      <c r="E3525">
        <v>460</v>
      </c>
      <c r="F3525" t="s">
        <v>1388</v>
      </c>
      <c r="G3525" t="s">
        <v>1389</v>
      </c>
      <c r="H3525" s="315" t="s">
        <v>1000</v>
      </c>
      <c r="I3525" s="315" t="s">
        <v>1390</v>
      </c>
      <c r="J3525" s="315" t="str">
        <f t="shared" si="296"/>
        <v>Admin &amp; OtherProfessional Fees as % of Total Gross Profit</v>
      </c>
      <c r="K3525" s="315" t="str">
        <f t="shared" si="297"/>
        <v>460Professional Fees - Toyota</v>
      </c>
      <c r="L3525" s="311">
        <f>+SUMIF('TUNZ Extracted TB'!M:M,$P3525,'TUNZ Extracted TB'!G:G)</f>
        <v>0</v>
      </c>
      <c r="M3525" s="311"/>
      <c r="N3525" s="311">
        <f>+SUMIF('Input Sheet'!$AE:$AE,P3525,'Input Sheet'!$X:$X)</f>
        <v>0</v>
      </c>
      <c r="O3525" s="311"/>
      <c r="P3525" t="str">
        <f t="shared" si="298"/>
        <v>460-7905</v>
      </c>
      <c r="Q3525" s="315" t="str">
        <f t="shared" si="299"/>
        <v>Admin &amp; Other</v>
      </c>
      <c r="R3525" s="315" t="str">
        <f t="shared" si="300"/>
        <v>Admin &amp; OtherProfessional Fees as % of Total Gross Profit</v>
      </c>
      <c r="S3525" s="199"/>
      <c r="T3525" s="199"/>
      <c r="U3525" s="199"/>
    </row>
    <row r="3526" spans="1:21" x14ac:dyDescent="0.25">
      <c r="A3526" t="s">
        <v>996</v>
      </c>
      <c r="B3526" t="s">
        <v>997</v>
      </c>
      <c r="C3526" t="s">
        <v>997</v>
      </c>
      <c r="D3526">
        <v>7905</v>
      </c>
      <c r="E3526">
        <v>935</v>
      </c>
      <c r="F3526" t="s">
        <v>1175</v>
      </c>
      <c r="G3526" t="s">
        <v>1176</v>
      </c>
      <c r="H3526" s="315" t="s">
        <v>1023</v>
      </c>
      <c r="I3526" s="315" t="s">
        <v>1390</v>
      </c>
      <c r="J3526" s="315" t="str">
        <f t="shared" si="296"/>
        <v>LEX Admin &amp; OtherProfessional Fees as % of Total Gross Profit</v>
      </c>
      <c r="K3526" s="315" t="str">
        <f t="shared" si="297"/>
        <v>935Other franchise/business expense</v>
      </c>
      <c r="L3526" s="311">
        <f>+SUMIF('TUNZ Extracted TB'!M:M,$P3526,'TUNZ Extracted TB'!G:G)</f>
        <v>18</v>
      </c>
      <c r="M3526" s="311"/>
      <c r="N3526" s="311">
        <f>+SUMIF('Input Sheet'!$AE:$AE,P3526,'Input Sheet'!$X:$X)</f>
        <v>0</v>
      </c>
      <c r="O3526" s="311"/>
      <c r="P3526" t="str">
        <f t="shared" si="298"/>
        <v>935-7905</v>
      </c>
      <c r="Q3526" s="315" t="str">
        <f t="shared" si="299"/>
        <v>LEX Admin &amp; Other</v>
      </c>
      <c r="R3526" s="315" t="str">
        <f t="shared" si="300"/>
        <v>LEX Admin &amp; OtherProfessional Fees as % of Total Gross Profit</v>
      </c>
      <c r="S3526" s="199"/>
      <c r="T3526" s="199"/>
      <c r="U3526" s="199"/>
    </row>
    <row r="3527" spans="1:21" x14ac:dyDescent="0.25">
      <c r="A3527" t="s">
        <v>996</v>
      </c>
      <c r="B3527" t="s">
        <v>997</v>
      </c>
      <c r="C3527" t="s">
        <v>997</v>
      </c>
      <c r="D3527">
        <v>7905</v>
      </c>
      <c r="E3527">
        <v>936</v>
      </c>
      <c r="F3527" t="s">
        <v>1175</v>
      </c>
      <c r="G3527" t="s">
        <v>1176</v>
      </c>
      <c r="H3527" s="315" t="s">
        <v>1023</v>
      </c>
      <c r="I3527" s="315" t="s">
        <v>1390</v>
      </c>
      <c r="J3527" s="315" t="str">
        <f t="shared" si="296"/>
        <v>LEX Admin &amp; OtherProfessional Fees as % of Total Gross Profit</v>
      </c>
      <c r="K3527" s="315" t="str">
        <f t="shared" si="297"/>
        <v>936Other franchise/business expense</v>
      </c>
      <c r="L3527" s="311">
        <f>+SUMIF('TUNZ Extracted TB'!M:M,$P3527,'TUNZ Extracted TB'!G:G)</f>
        <v>18</v>
      </c>
      <c r="M3527" s="311"/>
      <c r="N3527" s="311">
        <f>+SUMIF('Input Sheet'!$AE:$AE,P3527,'Input Sheet'!$X:$X)</f>
        <v>0</v>
      </c>
      <c r="O3527" s="311"/>
      <c r="P3527" t="str">
        <f t="shared" si="298"/>
        <v>936-7905</v>
      </c>
      <c r="Q3527" s="315" t="str">
        <f t="shared" si="299"/>
        <v>LEX Admin &amp; Other</v>
      </c>
      <c r="R3527" s="315" t="str">
        <f t="shared" si="300"/>
        <v>LEX Admin &amp; OtherProfessional Fees as % of Total Gross Profit</v>
      </c>
      <c r="S3527" s="199"/>
      <c r="T3527" s="199"/>
      <c r="U3527" s="199"/>
    </row>
    <row r="3528" spans="1:21" x14ac:dyDescent="0.25">
      <c r="A3528" t="s">
        <v>996</v>
      </c>
      <c r="B3528" t="s">
        <v>997</v>
      </c>
      <c r="C3528" t="s">
        <v>1005</v>
      </c>
      <c r="D3528">
        <v>7910</v>
      </c>
      <c r="E3528">
        <v>240</v>
      </c>
      <c r="F3528" t="s">
        <v>1306</v>
      </c>
      <c r="G3528" t="s">
        <v>1307</v>
      </c>
      <c r="H3528" s="315" t="s">
        <v>17</v>
      </c>
      <c r="I3528" s="315" t="s">
        <v>1286</v>
      </c>
      <c r="J3528" s="315" t="str">
        <f t="shared" si="296"/>
        <v>ServiceOther Expenses as % of Sales</v>
      </c>
      <c r="K3528" s="315" t="str">
        <f t="shared" si="297"/>
        <v>240Service Advertising &amp; Promotion - Toyota</v>
      </c>
      <c r="L3528" s="311">
        <f>+SUMIF('TUNZ Extracted TB'!M:M,$P3528,'TUNZ Extracted TB'!G:G)</f>
        <v>151.55000000000001</v>
      </c>
      <c r="M3528" s="311"/>
      <c r="N3528" s="311">
        <f>+SUMIF('Input Sheet'!$AE:$AE,P3528,'Input Sheet'!$X:$X)</f>
        <v>0</v>
      </c>
      <c r="O3528" s="311"/>
      <c r="P3528" t="str">
        <f t="shared" si="298"/>
        <v>240-7910</v>
      </c>
      <c r="Q3528" s="315" t="str">
        <f t="shared" si="299"/>
        <v>Service</v>
      </c>
      <c r="R3528" s="315" t="str">
        <f t="shared" si="300"/>
        <v>ServiceOther Expenses as % of Sales</v>
      </c>
      <c r="S3528" s="199"/>
      <c r="T3528" s="199"/>
      <c r="U3528" s="199"/>
    </row>
    <row r="3529" spans="1:21" x14ac:dyDescent="0.25">
      <c r="A3529" t="s">
        <v>996</v>
      </c>
      <c r="B3529" t="s">
        <v>997</v>
      </c>
      <c r="C3529" t="s">
        <v>997</v>
      </c>
      <c r="D3529">
        <v>7910</v>
      </c>
      <c r="E3529">
        <v>120</v>
      </c>
      <c r="F3529" t="s">
        <v>1299</v>
      </c>
      <c r="G3529" t="s">
        <v>1300</v>
      </c>
      <c r="H3529" s="315" t="s">
        <v>30</v>
      </c>
      <c r="I3529" s="315" t="s">
        <v>1301</v>
      </c>
      <c r="J3529" s="315" t="str">
        <f t="shared" si="296"/>
        <v>Used VehicleAdvertising per retail</v>
      </c>
      <c r="K3529" s="315" t="str">
        <f t="shared" si="297"/>
        <v>120Toyota UV Advertising &amp; Promotion</v>
      </c>
      <c r="L3529" s="311">
        <f>+SUMIF('TUNZ Extracted TB'!M:M,$P3529,'TUNZ Extracted TB'!G:G)</f>
        <v>511.82</v>
      </c>
      <c r="M3529" s="311"/>
      <c r="N3529" s="311">
        <f>+SUMIF('Input Sheet'!$AE:$AE,P3529,'Input Sheet'!$X:$X)</f>
        <v>0</v>
      </c>
      <c r="O3529" s="311"/>
      <c r="P3529" t="str">
        <f t="shared" si="298"/>
        <v>120-7910</v>
      </c>
      <c r="Q3529" s="315" t="str">
        <f t="shared" si="299"/>
        <v>Used Vehicle</v>
      </c>
      <c r="R3529" s="315" t="str">
        <f t="shared" si="300"/>
        <v>Used VehicleAdvertising per retail</v>
      </c>
      <c r="S3529" s="199"/>
      <c r="T3529" s="199"/>
      <c r="U3529" s="199"/>
    </row>
    <row r="3530" spans="1:21" x14ac:dyDescent="0.25">
      <c r="A3530" t="s">
        <v>996</v>
      </c>
      <c r="B3530" t="s">
        <v>997</v>
      </c>
      <c r="C3530" t="s">
        <v>1005</v>
      </c>
      <c r="D3530">
        <v>7910</v>
      </c>
      <c r="E3530">
        <v>210</v>
      </c>
      <c r="F3530" t="s">
        <v>1299</v>
      </c>
      <c r="G3530" t="s">
        <v>1300</v>
      </c>
      <c r="H3530" s="315" t="s">
        <v>30</v>
      </c>
      <c r="I3530" s="315" t="s">
        <v>1301</v>
      </c>
      <c r="J3530" s="315" t="str">
        <f t="shared" si="296"/>
        <v>Used VehicleAdvertising per retail</v>
      </c>
      <c r="K3530" s="315" t="str">
        <f t="shared" si="297"/>
        <v>210Toyota UV Advertising &amp; Promotion</v>
      </c>
      <c r="L3530" s="311">
        <f>+SUMIF('TUNZ Extracted TB'!M:M,$P3530,'TUNZ Extracted TB'!G:G)</f>
        <v>189.66</v>
      </c>
      <c r="M3530" s="311"/>
      <c r="N3530" s="311">
        <f>+SUMIF('Input Sheet'!$AE:$AE,P3530,'Input Sheet'!$X:$X)</f>
        <v>0</v>
      </c>
      <c r="O3530" s="311"/>
      <c r="P3530" t="str">
        <f t="shared" si="298"/>
        <v>210-7910</v>
      </c>
      <c r="Q3530" s="315" t="str">
        <f t="shared" si="299"/>
        <v>Used Vehicle</v>
      </c>
      <c r="R3530" s="315" t="str">
        <f t="shared" si="300"/>
        <v>Used VehicleAdvertising per retail</v>
      </c>
      <c r="S3530" s="199"/>
      <c r="T3530" s="199"/>
      <c r="U3530" s="199"/>
    </row>
    <row r="3531" spans="1:21" x14ac:dyDescent="0.25">
      <c r="A3531" t="s">
        <v>996</v>
      </c>
      <c r="B3531" t="s">
        <v>997</v>
      </c>
      <c r="C3531" t="s">
        <v>997</v>
      </c>
      <c r="D3531">
        <v>7910</v>
      </c>
      <c r="E3531">
        <v>160</v>
      </c>
      <c r="F3531" t="s">
        <v>1317</v>
      </c>
      <c r="G3531" t="s">
        <v>1318</v>
      </c>
      <c r="H3531" s="315" t="s">
        <v>16</v>
      </c>
      <c r="I3531" s="315" t="s">
        <v>1295</v>
      </c>
      <c r="J3531" s="315" t="str">
        <f t="shared" si="296"/>
        <v>F&amp;IOther Expenses per vehicle retailed</v>
      </c>
      <c r="K3531" s="315" t="str">
        <f t="shared" si="297"/>
        <v>160F&amp;I Advertising &amp; Promotion - Toyota</v>
      </c>
      <c r="L3531" s="311">
        <f>+SUMIF('TUNZ Extracted TB'!M:M,$P3531,'TUNZ Extracted TB'!G:G)</f>
        <v>170.62</v>
      </c>
      <c r="M3531" s="311"/>
      <c r="N3531" s="311">
        <f>+SUMIF('Input Sheet'!$AE:$AE,P3531,'Input Sheet'!$X:$X)</f>
        <v>0</v>
      </c>
      <c r="O3531" s="311"/>
      <c r="P3531" t="str">
        <f t="shared" si="298"/>
        <v>160-7910</v>
      </c>
      <c r="Q3531" s="315" t="str">
        <f t="shared" si="299"/>
        <v>F&amp;I</v>
      </c>
      <c r="R3531" s="315" t="str">
        <f t="shared" si="300"/>
        <v>F&amp;IOther Expenses per vehicle retailed</v>
      </c>
      <c r="S3531" s="199"/>
      <c r="T3531" s="199"/>
      <c r="U3531" s="199"/>
    </row>
    <row r="3532" spans="1:21" x14ac:dyDescent="0.25">
      <c r="A3532" t="s">
        <v>996</v>
      </c>
      <c r="B3532" t="s">
        <v>997</v>
      </c>
      <c r="C3532" t="s">
        <v>1005</v>
      </c>
      <c r="D3532">
        <v>7910</v>
      </c>
      <c r="E3532">
        <v>230</v>
      </c>
      <c r="F3532" t="s">
        <v>1310</v>
      </c>
      <c r="G3532" t="s">
        <v>1311</v>
      </c>
      <c r="H3532" s="315" t="s">
        <v>5</v>
      </c>
      <c r="I3532" s="315" t="s">
        <v>1286</v>
      </c>
      <c r="J3532" s="315" t="str">
        <f t="shared" si="296"/>
        <v>PartsOther Expenses as % of Sales</v>
      </c>
      <c r="K3532" s="315" t="str">
        <f t="shared" si="297"/>
        <v>230Parts Advertising &amp; Promotion - Toyota</v>
      </c>
      <c r="L3532" s="311">
        <f>+SUMIF('TUNZ Extracted TB'!M:M,$P3532,'TUNZ Extracted TB'!G:G)</f>
        <v>239.94</v>
      </c>
      <c r="M3532" s="311"/>
      <c r="N3532" s="311">
        <f>+SUMIF('Input Sheet'!$AE:$AE,P3532,'Input Sheet'!$X:$X)</f>
        <v>0</v>
      </c>
      <c r="O3532" s="311"/>
      <c r="P3532" t="str">
        <f t="shared" si="298"/>
        <v>230-7910</v>
      </c>
      <c r="Q3532" s="315" t="str">
        <f t="shared" si="299"/>
        <v>Parts</v>
      </c>
      <c r="R3532" s="315" t="str">
        <f t="shared" si="300"/>
        <v>PartsOther Expenses as % of Sales</v>
      </c>
      <c r="S3532" s="199"/>
      <c r="T3532" s="199"/>
      <c r="U3532" s="199"/>
    </row>
    <row r="3533" spans="1:21" x14ac:dyDescent="0.25">
      <c r="A3533" t="s">
        <v>996</v>
      </c>
      <c r="B3533" t="s">
        <v>997</v>
      </c>
      <c r="C3533" t="s">
        <v>1005</v>
      </c>
      <c r="D3533">
        <v>7910</v>
      </c>
      <c r="E3533">
        <v>220</v>
      </c>
      <c r="F3533" t="s">
        <v>1299</v>
      </c>
      <c r="G3533" t="s">
        <v>1300</v>
      </c>
      <c r="H3533" s="315" t="s">
        <v>30</v>
      </c>
      <c r="I3533" s="315" t="s">
        <v>1301</v>
      </c>
      <c r="J3533" s="315" t="str">
        <f t="shared" si="296"/>
        <v>Used VehicleAdvertising per retail</v>
      </c>
      <c r="K3533" s="315" t="str">
        <f t="shared" si="297"/>
        <v>220Toyota UV Advertising &amp; Promotion</v>
      </c>
      <c r="L3533" s="311">
        <f>+SUMIF('TUNZ Extracted TB'!M:M,$P3533,'TUNZ Extracted TB'!G:G)</f>
        <v>113.74</v>
      </c>
      <c r="M3533" s="311"/>
      <c r="N3533" s="311">
        <f>+SUMIF('Input Sheet'!$AE:$AE,P3533,'Input Sheet'!$X:$X)</f>
        <v>0</v>
      </c>
      <c r="O3533" s="311"/>
      <c r="P3533" t="str">
        <f t="shared" si="298"/>
        <v>220-7910</v>
      </c>
      <c r="Q3533" s="315" t="str">
        <f t="shared" si="299"/>
        <v>Used Vehicle</v>
      </c>
      <c r="R3533" s="315" t="str">
        <f t="shared" si="300"/>
        <v>Used VehicleAdvertising per retail</v>
      </c>
      <c r="S3533" s="199"/>
      <c r="T3533" s="199"/>
      <c r="U3533" s="199"/>
    </row>
    <row r="3534" spans="1:21" x14ac:dyDescent="0.25">
      <c r="A3534" t="s">
        <v>996</v>
      </c>
      <c r="B3534" t="s">
        <v>997</v>
      </c>
      <c r="C3534" t="s">
        <v>1013</v>
      </c>
      <c r="D3534">
        <v>7910</v>
      </c>
      <c r="E3534">
        <v>340</v>
      </c>
      <c r="F3534" t="s">
        <v>1306</v>
      </c>
      <c r="G3534" t="s">
        <v>1307</v>
      </c>
      <c r="H3534" s="315" t="s">
        <v>17</v>
      </c>
      <c r="I3534" s="315" t="s">
        <v>1286</v>
      </c>
      <c r="J3534" s="315" t="str">
        <f t="shared" si="296"/>
        <v>ServiceOther Expenses as % of Sales</v>
      </c>
      <c r="K3534" s="315" t="str">
        <f t="shared" si="297"/>
        <v>340Service Advertising &amp; Promotion - Toyota</v>
      </c>
      <c r="L3534" s="311">
        <f>+SUMIF('TUNZ Extracted TB'!M:M,$P3534,'TUNZ Extracted TB'!G:G)</f>
        <v>77.34</v>
      </c>
      <c r="M3534" s="311"/>
      <c r="N3534" s="311">
        <f>+SUMIF('Input Sheet'!$AE:$AE,P3534,'Input Sheet'!$X:$X)</f>
        <v>0</v>
      </c>
      <c r="O3534" s="311"/>
      <c r="P3534" t="str">
        <f t="shared" si="298"/>
        <v>340-7910</v>
      </c>
      <c r="Q3534" s="315" t="str">
        <f t="shared" si="299"/>
        <v>Service</v>
      </c>
      <c r="R3534" s="315" t="str">
        <f t="shared" si="300"/>
        <v>ServiceOther Expenses as % of Sales</v>
      </c>
      <c r="S3534" s="199"/>
      <c r="T3534" s="199"/>
      <c r="U3534" s="199"/>
    </row>
    <row r="3535" spans="1:21" x14ac:dyDescent="0.25">
      <c r="A3535" t="s">
        <v>996</v>
      </c>
      <c r="B3535" t="s">
        <v>997</v>
      </c>
      <c r="C3535" t="s">
        <v>997</v>
      </c>
      <c r="D3535">
        <v>7910</v>
      </c>
      <c r="E3535">
        <v>936</v>
      </c>
      <c r="F3535" t="s">
        <v>1175</v>
      </c>
      <c r="G3535" t="s">
        <v>1176</v>
      </c>
      <c r="H3535" s="315" t="s">
        <v>58</v>
      </c>
      <c r="I3535" s="315" t="s">
        <v>1286</v>
      </c>
      <c r="J3535" s="315" t="str">
        <f t="shared" si="296"/>
        <v>BridgestoneOther Expenses as % of Sales</v>
      </c>
      <c r="K3535" s="315" t="str">
        <f t="shared" si="297"/>
        <v>936Other franchise/business expense</v>
      </c>
      <c r="L3535" s="311">
        <f>+SUMIF('TUNZ Extracted TB'!M:M,$P3535,'TUNZ Extracted TB'!G:G)</f>
        <v>71.09</v>
      </c>
      <c r="M3535" s="311"/>
      <c r="N3535" s="311">
        <f>+SUMIF('Input Sheet'!$AE:$AE,P3535,'Input Sheet'!$X:$X)</f>
        <v>0</v>
      </c>
      <c r="O3535" s="311"/>
      <c r="P3535" t="str">
        <f t="shared" si="298"/>
        <v>936-7910</v>
      </c>
      <c r="Q3535" s="315" t="str">
        <f t="shared" si="299"/>
        <v>Bridgestone</v>
      </c>
      <c r="R3535" s="315" t="str">
        <f t="shared" si="300"/>
        <v>BridgestoneOther Expenses as % of Sales</v>
      </c>
      <c r="S3535" s="199"/>
      <c r="T3535" s="199"/>
      <c r="U3535" s="199"/>
    </row>
    <row r="3536" spans="1:21" x14ac:dyDescent="0.25">
      <c r="A3536" t="s">
        <v>996</v>
      </c>
      <c r="B3536" t="s">
        <v>997</v>
      </c>
      <c r="C3536" t="s">
        <v>997</v>
      </c>
      <c r="D3536">
        <v>7910</v>
      </c>
      <c r="E3536">
        <v>935</v>
      </c>
      <c r="F3536" t="s">
        <v>1175</v>
      </c>
      <c r="G3536" t="s">
        <v>1176</v>
      </c>
      <c r="H3536" s="315" t="s">
        <v>58</v>
      </c>
      <c r="I3536" s="315" t="s">
        <v>1286</v>
      </c>
      <c r="J3536" s="315" t="str">
        <f t="shared" si="296"/>
        <v>BridgestoneOther Expenses as % of Sales</v>
      </c>
      <c r="K3536" s="315" t="str">
        <f t="shared" si="297"/>
        <v>935Other franchise/business expense</v>
      </c>
      <c r="L3536" s="311">
        <f>+SUMIF('TUNZ Extracted TB'!M:M,$P3536,'TUNZ Extracted TB'!G:G)</f>
        <v>71.09</v>
      </c>
      <c r="M3536" s="311"/>
      <c r="N3536" s="311">
        <f>+SUMIF('Input Sheet'!$AE:$AE,P3536,'Input Sheet'!$X:$X)</f>
        <v>0</v>
      </c>
      <c r="O3536" s="311"/>
      <c r="P3536" t="str">
        <f t="shared" si="298"/>
        <v>935-7910</v>
      </c>
      <c r="Q3536" s="315" t="str">
        <f t="shared" si="299"/>
        <v>Bridgestone</v>
      </c>
      <c r="R3536" s="315" t="str">
        <f t="shared" si="300"/>
        <v>BridgestoneOther Expenses as % of Sales</v>
      </c>
      <c r="S3536" s="199"/>
      <c r="T3536" s="199"/>
      <c r="U3536" s="199"/>
    </row>
    <row r="3537" spans="1:21" x14ac:dyDescent="0.25">
      <c r="A3537" s="316">
        <v>44958</v>
      </c>
      <c r="B3537" t="s">
        <v>997</v>
      </c>
      <c r="C3537" t="s">
        <v>997</v>
      </c>
      <c r="D3537">
        <v>7910</v>
      </c>
      <c r="E3537">
        <v>190</v>
      </c>
      <c r="G3537" t="s">
        <v>958</v>
      </c>
      <c r="H3537" s="315" t="s">
        <v>1000</v>
      </c>
      <c r="I3537" s="315" t="s">
        <v>1001</v>
      </c>
      <c r="J3537" s="315" t="str">
        <f t="shared" si="296"/>
        <v>Admin &amp; OtherOther Overheads as % of Total Gross Profit</v>
      </c>
      <c r="K3537" s="315" t="str">
        <f t="shared" si="297"/>
        <v>190Donations/Subscriptions/Mem</v>
      </c>
      <c r="L3537" s="311">
        <f>+SUMIF('TUNZ Extracted TB'!M:M,$P3537,'TUNZ Extracted TB'!G:G)</f>
        <v>0</v>
      </c>
      <c r="M3537" s="311"/>
      <c r="N3537" s="311">
        <f>+SUMIF('Input Sheet'!$AE:$AE,P3537,'Input Sheet'!$X:$X)</f>
        <v>0</v>
      </c>
      <c r="O3537" s="311"/>
      <c r="P3537" t="str">
        <f t="shared" si="298"/>
        <v>190-7910</v>
      </c>
      <c r="Q3537" s="315" t="str">
        <f t="shared" si="299"/>
        <v>Admin &amp; Other</v>
      </c>
      <c r="R3537" s="315" t="str">
        <f t="shared" si="300"/>
        <v>Admin &amp; OtherOther Overheads as % of Total Gross Profit</v>
      </c>
      <c r="S3537" s="199"/>
      <c r="T3537" s="199"/>
      <c r="U3537" s="199"/>
    </row>
    <row r="3538" spans="1:21" x14ac:dyDescent="0.25">
      <c r="A3538" t="s">
        <v>996</v>
      </c>
      <c r="B3538" t="s">
        <v>997</v>
      </c>
      <c r="C3538" t="s">
        <v>997</v>
      </c>
      <c r="D3538">
        <v>7910</v>
      </c>
      <c r="E3538">
        <v>162</v>
      </c>
      <c r="F3538" t="s">
        <v>1315</v>
      </c>
      <c r="G3538" t="s">
        <v>1316</v>
      </c>
      <c r="H3538" s="315" t="s">
        <v>142</v>
      </c>
      <c r="I3538" s="315" t="s">
        <v>1295</v>
      </c>
      <c r="J3538" s="315" t="str">
        <f t="shared" si="296"/>
        <v>LEX F&amp;IOther Expenses per vehicle retailed</v>
      </c>
      <c r="K3538" s="315" t="str">
        <f t="shared" si="297"/>
        <v>162F&amp;I Advertising &amp; Promotion - Lexus</v>
      </c>
      <c r="L3538" s="311">
        <f>+SUMIF('TUNZ Extracted TB'!M:M,$P3538,'TUNZ Extracted TB'!G:G)</f>
        <v>0</v>
      </c>
      <c r="M3538" s="311"/>
      <c r="N3538" s="311">
        <f>+SUMIF('Input Sheet'!$AE:$AE,P3538,'Input Sheet'!$X:$X)</f>
        <v>0</v>
      </c>
      <c r="O3538" s="311"/>
      <c r="P3538" t="str">
        <f t="shared" si="298"/>
        <v>162-7910</v>
      </c>
      <c r="Q3538" s="315" t="str">
        <f t="shared" si="299"/>
        <v>LEX F&amp;I</v>
      </c>
      <c r="R3538" s="315" t="str">
        <f t="shared" si="300"/>
        <v>LEX F&amp;IOther Expenses per vehicle retailed</v>
      </c>
      <c r="S3538" s="199"/>
      <c r="T3538" s="199"/>
      <c r="U3538" s="199"/>
    </row>
    <row r="3539" spans="1:21" x14ac:dyDescent="0.25">
      <c r="A3539" t="s">
        <v>996</v>
      </c>
      <c r="B3539" t="s">
        <v>997</v>
      </c>
      <c r="C3539" t="s">
        <v>1005</v>
      </c>
      <c r="D3539">
        <v>7910</v>
      </c>
      <c r="E3539">
        <v>260</v>
      </c>
      <c r="F3539" t="s">
        <v>1317</v>
      </c>
      <c r="G3539" t="s">
        <v>1318</v>
      </c>
      <c r="H3539" s="315" t="s">
        <v>16</v>
      </c>
      <c r="I3539" s="315" t="s">
        <v>1295</v>
      </c>
      <c r="J3539" s="315" t="str">
        <f t="shared" si="296"/>
        <v>F&amp;IOther Expenses per vehicle retailed</v>
      </c>
      <c r="K3539" s="315" t="str">
        <f t="shared" si="297"/>
        <v>260F&amp;I Advertising &amp; Promotion - Toyota</v>
      </c>
      <c r="L3539" s="311">
        <f>+SUMIF('TUNZ Extracted TB'!M:M,$P3539,'TUNZ Extracted TB'!G:G)</f>
        <v>0</v>
      </c>
      <c r="M3539" s="311"/>
      <c r="N3539" s="311">
        <f>+SUMIF('Input Sheet'!$AE:$AE,P3539,'Input Sheet'!$X:$X)</f>
        <v>0</v>
      </c>
      <c r="O3539" s="311"/>
      <c r="P3539" t="str">
        <f t="shared" si="298"/>
        <v>260-7910</v>
      </c>
      <c r="Q3539" s="315" t="str">
        <f t="shared" si="299"/>
        <v>F&amp;I</v>
      </c>
      <c r="R3539" s="315" t="str">
        <f t="shared" si="300"/>
        <v>F&amp;IOther Expenses per vehicle retailed</v>
      </c>
      <c r="S3539" s="199"/>
      <c r="T3539" s="199"/>
      <c r="U3539" s="199"/>
    </row>
    <row r="3540" spans="1:21" x14ac:dyDescent="0.25">
      <c r="A3540" t="s">
        <v>996</v>
      </c>
      <c r="B3540" t="s">
        <v>997</v>
      </c>
      <c r="C3540" t="s">
        <v>1012</v>
      </c>
      <c r="D3540">
        <v>7910</v>
      </c>
      <c r="E3540">
        <v>460</v>
      </c>
      <c r="F3540" t="s">
        <v>1317</v>
      </c>
      <c r="G3540" t="s">
        <v>1318</v>
      </c>
      <c r="H3540" s="315" t="s">
        <v>16</v>
      </c>
      <c r="I3540" s="315" t="s">
        <v>1295</v>
      </c>
      <c r="J3540" s="315" t="str">
        <f t="shared" si="296"/>
        <v>F&amp;IOther Expenses per vehicle retailed</v>
      </c>
      <c r="K3540" s="315" t="str">
        <f t="shared" si="297"/>
        <v>460F&amp;I Advertising &amp; Promotion - Toyota</v>
      </c>
      <c r="L3540" s="311">
        <f>+SUMIF('TUNZ Extracted TB'!M:M,$P3540,'TUNZ Extracted TB'!G:G)</f>
        <v>0</v>
      </c>
      <c r="M3540" s="311"/>
      <c r="N3540" s="311">
        <f>+SUMIF('Input Sheet'!$AE:$AE,P3540,'Input Sheet'!$X:$X)</f>
        <v>0</v>
      </c>
      <c r="O3540" s="311"/>
      <c r="P3540" t="str">
        <f t="shared" si="298"/>
        <v>460-7910</v>
      </c>
      <c r="Q3540" s="315" t="str">
        <f t="shared" si="299"/>
        <v>F&amp;I</v>
      </c>
      <c r="R3540" s="315" t="str">
        <f t="shared" si="300"/>
        <v>F&amp;IOther Expenses per vehicle retailed</v>
      </c>
      <c r="S3540" s="199"/>
      <c r="T3540" s="199"/>
      <c r="U3540" s="199"/>
    </row>
    <row r="3541" spans="1:21" x14ac:dyDescent="0.25">
      <c r="A3541" t="s">
        <v>996</v>
      </c>
      <c r="B3541" t="s">
        <v>997</v>
      </c>
      <c r="C3541" t="s">
        <v>1013</v>
      </c>
      <c r="D3541">
        <v>7910</v>
      </c>
      <c r="E3541">
        <v>360</v>
      </c>
      <c r="F3541" t="s">
        <v>1317</v>
      </c>
      <c r="G3541" t="s">
        <v>1318</v>
      </c>
      <c r="H3541" s="315" t="s">
        <v>16</v>
      </c>
      <c r="I3541" s="315" t="s">
        <v>1295</v>
      </c>
      <c r="J3541" s="315" t="str">
        <f t="shared" si="296"/>
        <v>F&amp;IOther Expenses per vehicle retailed</v>
      </c>
      <c r="K3541" s="315" t="str">
        <f t="shared" si="297"/>
        <v>360F&amp;I Advertising &amp; Promotion - Toyota</v>
      </c>
      <c r="L3541" s="311">
        <f>+SUMIF('TUNZ Extracted TB'!M:M,$P3541,'TUNZ Extracted TB'!G:G)</f>
        <v>0</v>
      </c>
      <c r="M3541" s="311"/>
      <c r="N3541" s="311">
        <f>+SUMIF('Input Sheet'!$AE:$AE,P3541,'Input Sheet'!$X:$X)</f>
        <v>0</v>
      </c>
      <c r="O3541" s="311"/>
      <c r="P3541" t="str">
        <f t="shared" si="298"/>
        <v>360-7910</v>
      </c>
      <c r="Q3541" s="315" t="str">
        <f t="shared" si="299"/>
        <v>F&amp;I</v>
      </c>
      <c r="R3541" s="315" t="str">
        <f t="shared" si="300"/>
        <v>F&amp;IOther Expenses per vehicle retailed</v>
      </c>
      <c r="S3541" s="199"/>
      <c r="T3541" s="199"/>
      <c r="U3541" s="199"/>
    </row>
    <row r="3542" spans="1:21" x14ac:dyDescent="0.25">
      <c r="A3542" t="s">
        <v>996</v>
      </c>
      <c r="B3542" t="s">
        <v>997</v>
      </c>
      <c r="C3542" t="s">
        <v>997</v>
      </c>
      <c r="D3542">
        <v>7910</v>
      </c>
      <c r="E3542">
        <v>122</v>
      </c>
      <c r="F3542" t="s">
        <v>1304</v>
      </c>
      <c r="G3542" t="s">
        <v>1305</v>
      </c>
      <c r="H3542" s="315" t="s">
        <v>1041</v>
      </c>
      <c r="I3542" s="315" t="s">
        <v>1301</v>
      </c>
      <c r="J3542" s="315" t="str">
        <f t="shared" si="296"/>
        <v>LEX Used VehicleAdvertising per retail</v>
      </c>
      <c r="K3542" s="315" t="str">
        <f t="shared" si="297"/>
        <v>122Lexus UV Advertising &amp; Promotion</v>
      </c>
      <c r="L3542" s="311">
        <f>+SUMIF('TUNZ Extracted TB'!M:M,$P3542,'TUNZ Extracted TB'!G:G)</f>
        <v>0</v>
      </c>
      <c r="M3542" s="311"/>
      <c r="N3542" s="311">
        <f>+SUMIF('Input Sheet'!$AE:$AE,P3542,'Input Sheet'!$X:$X)</f>
        <v>0</v>
      </c>
      <c r="O3542" s="311"/>
      <c r="P3542" t="str">
        <f t="shared" si="298"/>
        <v>122-7910</v>
      </c>
      <c r="Q3542" s="315" t="str">
        <f t="shared" si="299"/>
        <v>LEX Used Vehicle</v>
      </c>
      <c r="R3542" s="315" t="str">
        <f t="shared" si="300"/>
        <v>LEX Used VehicleAdvertising per retail</v>
      </c>
      <c r="S3542" s="199"/>
      <c r="T3542" s="199"/>
      <c r="U3542" s="199"/>
    </row>
    <row r="3543" spans="1:21" x14ac:dyDescent="0.25">
      <c r="A3543" t="s">
        <v>996</v>
      </c>
      <c r="B3543" t="s">
        <v>997</v>
      </c>
      <c r="C3543" t="s">
        <v>997</v>
      </c>
      <c r="D3543">
        <v>7910</v>
      </c>
      <c r="E3543">
        <v>100</v>
      </c>
      <c r="F3543" t="s">
        <v>1296</v>
      </c>
      <c r="G3543" t="s">
        <v>1297</v>
      </c>
      <c r="H3543" s="315" t="s">
        <v>29</v>
      </c>
      <c r="I3543" s="315" t="s">
        <v>1298</v>
      </c>
      <c r="J3543" s="315" t="str">
        <f t="shared" si="296"/>
        <v>New VehicleAdvertising p.u.</v>
      </c>
      <c r="K3543" s="315" t="str">
        <f t="shared" si="297"/>
        <v>100NV Advertising &amp; Promotion - Toyota</v>
      </c>
      <c r="L3543" s="311">
        <f>+SUMIF('TUNZ Extracted TB'!M:M,$P3543,'TUNZ Extracted TB'!G:G)</f>
        <v>0</v>
      </c>
      <c r="M3543" s="311"/>
      <c r="N3543" s="311">
        <f>+SUMIF('Input Sheet'!$AE:$AE,P3543,'Input Sheet'!$X:$X)</f>
        <v>0</v>
      </c>
      <c r="O3543" s="311"/>
      <c r="P3543" t="str">
        <f t="shared" si="298"/>
        <v>100-7910</v>
      </c>
      <c r="Q3543" s="315" t="str">
        <f t="shared" si="299"/>
        <v>New Vehicle</v>
      </c>
      <c r="R3543" s="315" t="str">
        <f t="shared" si="300"/>
        <v>New VehicleAdvertising p.u.</v>
      </c>
      <c r="S3543" s="199"/>
      <c r="T3543" s="199"/>
      <c r="U3543" s="199"/>
    </row>
    <row r="3544" spans="1:21" x14ac:dyDescent="0.25">
      <c r="A3544" t="s">
        <v>996</v>
      </c>
      <c r="B3544" t="s">
        <v>997</v>
      </c>
      <c r="C3544" t="s">
        <v>1005</v>
      </c>
      <c r="D3544">
        <v>8500</v>
      </c>
      <c r="E3544">
        <v>200</v>
      </c>
      <c r="F3544" t="s">
        <v>1024</v>
      </c>
      <c r="G3544" t="s">
        <v>1027</v>
      </c>
      <c r="H3544" s="315" t="s">
        <v>29</v>
      </c>
      <c r="I3544" s="315" t="s">
        <v>1026</v>
      </c>
      <c r="J3544" s="315" t="str">
        <f t="shared" si="296"/>
        <v>New VehicleOther Income per NV unit</v>
      </c>
      <c r="K3544" s="315" t="str">
        <f t="shared" si="297"/>
        <v>200New Vehicle Other Income - Toyota</v>
      </c>
      <c r="L3544" s="311">
        <f>+SUMIF('TUNZ Extracted TB'!M:M,$P3544,'TUNZ Extracted TB'!G:G)</f>
        <v>0</v>
      </c>
      <c r="M3544" s="311"/>
      <c r="N3544" s="311">
        <f>+SUMIF('Input Sheet'!$AE:$AE,P3544,'Input Sheet'!$X:$X)</f>
        <v>0</v>
      </c>
      <c r="O3544" s="311"/>
      <c r="P3544" t="str">
        <f t="shared" si="298"/>
        <v>200-8500</v>
      </c>
      <c r="Q3544" s="315" t="str">
        <f t="shared" si="299"/>
        <v>New Vehicle</v>
      </c>
      <c r="R3544" s="315" t="str">
        <f t="shared" si="300"/>
        <v>New VehicleOther Income per NV unit</v>
      </c>
      <c r="S3544" s="199"/>
      <c r="T3544" s="199"/>
      <c r="U3544" s="199"/>
    </row>
    <row r="3545" spans="1:21" x14ac:dyDescent="0.25">
      <c r="A3545" t="s">
        <v>996</v>
      </c>
      <c r="B3545" t="s">
        <v>997</v>
      </c>
      <c r="C3545" t="s">
        <v>1005</v>
      </c>
      <c r="D3545">
        <v>8500</v>
      </c>
      <c r="E3545">
        <v>210</v>
      </c>
      <c r="F3545" t="s">
        <v>1024</v>
      </c>
      <c r="G3545" t="s">
        <v>1027</v>
      </c>
      <c r="H3545" s="315" t="s">
        <v>29</v>
      </c>
      <c r="I3545" s="315" t="s">
        <v>1026</v>
      </c>
      <c r="J3545" s="315" t="str">
        <f t="shared" si="296"/>
        <v>New VehicleOther Income per NV unit</v>
      </c>
      <c r="K3545" s="315" t="str">
        <f t="shared" si="297"/>
        <v>210New Vehicle Other Income - Toyota</v>
      </c>
      <c r="L3545" s="311">
        <f>+SUMIF('TUNZ Extracted TB'!M:M,$P3545,'TUNZ Extracted TB'!G:G)</f>
        <v>0</v>
      </c>
      <c r="M3545" s="311"/>
      <c r="N3545" s="311">
        <f>+SUMIF('Input Sheet'!$AE:$AE,P3545,'Input Sheet'!$X:$X)</f>
        <v>0</v>
      </c>
      <c r="O3545" s="311"/>
      <c r="P3545" t="str">
        <f t="shared" si="298"/>
        <v>210-8500</v>
      </c>
      <c r="Q3545" s="315" t="str">
        <f t="shared" si="299"/>
        <v>New Vehicle</v>
      </c>
      <c r="R3545" s="315" t="str">
        <f t="shared" si="300"/>
        <v>New VehicleOther Income per NV unit</v>
      </c>
      <c r="S3545" s="199"/>
      <c r="T3545" s="199"/>
      <c r="U3545" s="199"/>
    </row>
    <row r="3546" spans="1:21" x14ac:dyDescent="0.25">
      <c r="A3546" t="s">
        <v>996</v>
      </c>
      <c r="B3546" t="s">
        <v>997</v>
      </c>
      <c r="C3546" t="s">
        <v>1012</v>
      </c>
      <c r="D3546">
        <v>7910</v>
      </c>
      <c r="E3546">
        <v>430</v>
      </c>
      <c r="F3546" t="s">
        <v>1310</v>
      </c>
      <c r="G3546" t="s">
        <v>1311</v>
      </c>
      <c r="H3546" s="315" t="s">
        <v>5</v>
      </c>
      <c r="I3546" s="315" t="s">
        <v>1286</v>
      </c>
      <c r="J3546" s="315" t="str">
        <f t="shared" si="296"/>
        <v>PartsOther Expenses as % of Sales</v>
      </c>
      <c r="K3546" s="315" t="str">
        <f t="shared" si="297"/>
        <v>430Parts Advertising &amp; Promotion - Toyota</v>
      </c>
      <c r="L3546" s="311">
        <f>+SUMIF('TUNZ Extracted TB'!M:M,$P3546,'TUNZ Extracted TB'!G:G)</f>
        <v>0</v>
      </c>
      <c r="M3546" s="311"/>
      <c r="N3546" s="311">
        <f>+SUMIF('Input Sheet'!$AE:$AE,P3546,'Input Sheet'!$X:$X)</f>
        <v>0</v>
      </c>
      <c r="O3546" s="311"/>
      <c r="P3546" t="str">
        <f t="shared" si="298"/>
        <v>430-7910</v>
      </c>
      <c r="Q3546" s="315" t="str">
        <f t="shared" si="299"/>
        <v>Parts</v>
      </c>
      <c r="R3546" s="315" t="str">
        <f t="shared" si="300"/>
        <v>PartsOther Expenses as % of Sales</v>
      </c>
      <c r="S3546" s="199"/>
      <c r="T3546" s="199"/>
      <c r="U3546" s="199"/>
    </row>
    <row r="3547" spans="1:21" x14ac:dyDescent="0.25">
      <c r="A3547" t="s">
        <v>996</v>
      </c>
      <c r="B3547" t="s">
        <v>997</v>
      </c>
      <c r="C3547" t="s">
        <v>1013</v>
      </c>
      <c r="D3547">
        <v>7910</v>
      </c>
      <c r="E3547">
        <v>330</v>
      </c>
      <c r="F3547" t="s">
        <v>1310</v>
      </c>
      <c r="G3547" t="s">
        <v>1311</v>
      </c>
      <c r="H3547" s="315" t="s">
        <v>5</v>
      </c>
      <c r="I3547" s="315" t="s">
        <v>1286</v>
      </c>
      <c r="J3547" s="315" t="str">
        <f t="shared" si="296"/>
        <v>PartsOther Expenses as % of Sales</v>
      </c>
      <c r="K3547" s="315" t="str">
        <f t="shared" si="297"/>
        <v>330Parts Advertising &amp; Promotion - Toyota</v>
      </c>
      <c r="L3547" s="311">
        <f>+SUMIF('TUNZ Extracted TB'!M:M,$P3547,'TUNZ Extracted TB'!G:G)</f>
        <v>0</v>
      </c>
      <c r="M3547" s="311"/>
      <c r="N3547" s="311">
        <f>+SUMIF('Input Sheet'!$AE:$AE,P3547,'Input Sheet'!$X:$X)</f>
        <v>0</v>
      </c>
      <c r="O3547" s="311"/>
      <c r="P3547" t="str">
        <f t="shared" si="298"/>
        <v>330-7910</v>
      </c>
      <c r="Q3547" s="315" t="str">
        <f t="shared" si="299"/>
        <v>Parts</v>
      </c>
      <c r="R3547" s="315" t="str">
        <f t="shared" si="300"/>
        <v>PartsOther Expenses as % of Sales</v>
      </c>
      <c r="S3547" s="199"/>
      <c r="T3547" s="199"/>
      <c r="U3547" s="199"/>
    </row>
    <row r="3548" spans="1:21" x14ac:dyDescent="0.25">
      <c r="A3548" t="s">
        <v>996</v>
      </c>
      <c r="B3548" t="s">
        <v>997</v>
      </c>
      <c r="C3548" t="s">
        <v>1012</v>
      </c>
      <c r="D3548">
        <v>7910</v>
      </c>
      <c r="E3548">
        <v>440</v>
      </c>
      <c r="F3548" t="s">
        <v>1306</v>
      </c>
      <c r="G3548" t="s">
        <v>1307</v>
      </c>
      <c r="H3548" s="315" t="s">
        <v>17</v>
      </c>
      <c r="I3548" s="315" t="s">
        <v>1286</v>
      </c>
      <c r="J3548" s="315" t="str">
        <f t="shared" si="296"/>
        <v>ServiceOther Expenses as % of Sales</v>
      </c>
      <c r="K3548" s="315" t="str">
        <f t="shared" si="297"/>
        <v>440Service Advertising &amp; Promotion - Toyota</v>
      </c>
      <c r="L3548" s="311">
        <f>+SUMIF('TUNZ Extracted TB'!M:M,$P3548,'TUNZ Extracted TB'!G:G)</f>
        <v>0</v>
      </c>
      <c r="M3548" s="311"/>
      <c r="N3548" s="311">
        <f>+SUMIF('Input Sheet'!$AE:$AE,P3548,'Input Sheet'!$X:$X)</f>
        <v>0</v>
      </c>
      <c r="O3548" s="311"/>
      <c r="P3548" t="str">
        <f t="shared" si="298"/>
        <v>440-7910</v>
      </c>
      <c r="Q3548" s="315" t="str">
        <f t="shared" si="299"/>
        <v>Service</v>
      </c>
      <c r="R3548" s="315" t="str">
        <f t="shared" si="300"/>
        <v>ServiceOther Expenses as % of Sales</v>
      </c>
      <c r="S3548" s="199"/>
      <c r="T3548" s="199"/>
      <c r="U3548" s="199"/>
    </row>
    <row r="3549" spans="1:21" x14ac:dyDescent="0.25">
      <c r="A3549" t="s">
        <v>996</v>
      </c>
      <c r="B3549" t="s">
        <v>997</v>
      </c>
      <c r="C3549" t="s">
        <v>997</v>
      </c>
      <c r="D3549">
        <v>7910</v>
      </c>
      <c r="E3549">
        <v>147</v>
      </c>
      <c r="F3549" t="s">
        <v>1306</v>
      </c>
      <c r="G3549" t="s">
        <v>1307</v>
      </c>
      <c r="H3549" s="315" t="s">
        <v>17</v>
      </c>
      <c r="I3549" s="315" t="s">
        <v>1286</v>
      </c>
      <c r="J3549" s="315" t="str">
        <f t="shared" si="296"/>
        <v>ServiceOther Expenses as % of Sales</v>
      </c>
      <c r="K3549" s="315" t="str">
        <f t="shared" si="297"/>
        <v>147Service Advertising &amp; Promotion - Toyota</v>
      </c>
      <c r="L3549" s="311">
        <f>+SUMIF('TUNZ Extracted TB'!M:M,$P3549,'TUNZ Extracted TB'!G:G)</f>
        <v>0</v>
      </c>
      <c r="M3549" s="311"/>
      <c r="N3549" s="311">
        <f>+SUMIF('Input Sheet'!$AE:$AE,P3549,'Input Sheet'!$X:$X)</f>
        <v>0</v>
      </c>
      <c r="O3549" s="311"/>
      <c r="P3549" t="str">
        <f t="shared" si="298"/>
        <v>147-7910</v>
      </c>
      <c r="Q3549" s="315" t="str">
        <f t="shared" si="299"/>
        <v>Service</v>
      </c>
      <c r="R3549" s="315" t="str">
        <f t="shared" si="300"/>
        <v>ServiceOther Expenses as % of Sales</v>
      </c>
      <c r="S3549" s="199"/>
      <c r="T3549" s="199"/>
      <c r="U3549" s="199"/>
    </row>
    <row r="3550" spans="1:21" x14ac:dyDescent="0.25">
      <c r="A3550" t="s">
        <v>996</v>
      </c>
      <c r="B3550" t="s">
        <v>997</v>
      </c>
      <c r="C3550" t="s">
        <v>1005</v>
      </c>
      <c r="D3550">
        <v>7910</v>
      </c>
      <c r="E3550">
        <v>221</v>
      </c>
      <c r="F3550" t="s">
        <v>1299</v>
      </c>
      <c r="G3550" t="s">
        <v>1300</v>
      </c>
      <c r="H3550" s="315" t="s">
        <v>30</v>
      </c>
      <c r="I3550" s="315" t="s">
        <v>1301</v>
      </c>
      <c r="J3550" s="315" t="str">
        <f t="shared" si="296"/>
        <v>Used VehicleAdvertising per retail</v>
      </c>
      <c r="K3550" s="315" t="str">
        <f t="shared" si="297"/>
        <v>221Toyota UV Advertising &amp; Promotion</v>
      </c>
      <c r="L3550" s="311">
        <f>+SUMIF('TUNZ Extracted TB'!M:M,$P3550,'TUNZ Extracted TB'!G:G)</f>
        <v>0</v>
      </c>
      <c r="M3550" s="311"/>
      <c r="N3550" s="311">
        <f>+SUMIF('Input Sheet'!$AE:$AE,P3550,'Input Sheet'!$X:$X)</f>
        <v>0</v>
      </c>
      <c r="O3550" s="311"/>
      <c r="P3550" t="str">
        <f t="shared" si="298"/>
        <v>221-7910</v>
      </c>
      <c r="Q3550" s="315" t="str">
        <f t="shared" si="299"/>
        <v>Used Vehicle</v>
      </c>
      <c r="R3550" s="315" t="str">
        <f t="shared" si="300"/>
        <v>Used VehicleAdvertising per retail</v>
      </c>
      <c r="S3550" s="199"/>
      <c r="T3550" s="199"/>
      <c r="U3550" s="199"/>
    </row>
    <row r="3551" spans="1:21" x14ac:dyDescent="0.25">
      <c r="A3551" t="s">
        <v>996</v>
      </c>
      <c r="B3551" t="s">
        <v>997</v>
      </c>
      <c r="C3551" t="s">
        <v>1012</v>
      </c>
      <c r="D3551">
        <v>7910</v>
      </c>
      <c r="E3551">
        <v>410</v>
      </c>
      <c r="F3551" t="s">
        <v>1299</v>
      </c>
      <c r="G3551" t="s">
        <v>1300</v>
      </c>
      <c r="H3551" s="315" t="s">
        <v>30</v>
      </c>
      <c r="I3551" s="315" t="s">
        <v>1301</v>
      </c>
      <c r="J3551" s="315" t="str">
        <f t="shared" si="296"/>
        <v>Used VehicleAdvertising per retail</v>
      </c>
      <c r="K3551" s="315" t="str">
        <f t="shared" si="297"/>
        <v>410Toyota UV Advertising &amp; Promotion</v>
      </c>
      <c r="L3551" s="311">
        <f>+SUMIF('TUNZ Extracted TB'!M:M,$P3551,'TUNZ Extracted TB'!G:G)</f>
        <v>0</v>
      </c>
      <c r="M3551" s="311"/>
      <c r="N3551" s="311">
        <f>+SUMIF('Input Sheet'!$AE:$AE,P3551,'Input Sheet'!$X:$X)</f>
        <v>0</v>
      </c>
      <c r="O3551" s="311"/>
      <c r="P3551" t="str">
        <f t="shared" si="298"/>
        <v>410-7910</v>
      </c>
      <c r="Q3551" s="315" t="str">
        <f t="shared" si="299"/>
        <v>Used Vehicle</v>
      </c>
      <c r="R3551" s="315" t="str">
        <f t="shared" si="300"/>
        <v>Used VehicleAdvertising per retail</v>
      </c>
      <c r="S3551" s="199"/>
      <c r="T3551" s="199"/>
      <c r="U3551" s="199"/>
    </row>
    <row r="3552" spans="1:21" x14ac:dyDescent="0.25">
      <c r="A3552" t="s">
        <v>996</v>
      </c>
      <c r="B3552" t="s">
        <v>997</v>
      </c>
      <c r="C3552" t="s">
        <v>1012</v>
      </c>
      <c r="D3552">
        <v>7910</v>
      </c>
      <c r="E3552">
        <v>420</v>
      </c>
      <c r="F3552" t="s">
        <v>1299</v>
      </c>
      <c r="G3552" t="s">
        <v>1300</v>
      </c>
      <c r="H3552" s="315" t="s">
        <v>30</v>
      </c>
      <c r="I3552" s="315" t="s">
        <v>1301</v>
      </c>
      <c r="J3552" s="315" t="str">
        <f t="shared" si="296"/>
        <v>Used VehicleAdvertising per retail</v>
      </c>
      <c r="K3552" s="315" t="str">
        <f t="shared" si="297"/>
        <v>420Toyota UV Advertising &amp; Promotion</v>
      </c>
      <c r="L3552" s="311">
        <f>+SUMIF('TUNZ Extracted TB'!M:M,$P3552,'TUNZ Extracted TB'!G:G)</f>
        <v>0</v>
      </c>
      <c r="M3552" s="311"/>
      <c r="N3552" s="311">
        <f>+SUMIF('Input Sheet'!$AE:$AE,P3552,'Input Sheet'!$X:$X)</f>
        <v>0</v>
      </c>
      <c r="O3552" s="311"/>
      <c r="P3552" t="str">
        <f t="shared" si="298"/>
        <v>420-7910</v>
      </c>
      <c r="Q3552" s="315" t="str">
        <f t="shared" si="299"/>
        <v>Used Vehicle</v>
      </c>
      <c r="R3552" s="315" t="str">
        <f t="shared" si="300"/>
        <v>Used VehicleAdvertising per retail</v>
      </c>
      <c r="S3552" s="199"/>
      <c r="T3552" s="199"/>
      <c r="U3552" s="199"/>
    </row>
    <row r="3553" spans="1:21" x14ac:dyDescent="0.25">
      <c r="A3553" t="s">
        <v>996</v>
      </c>
      <c r="B3553" t="s">
        <v>997</v>
      </c>
      <c r="C3553" t="s">
        <v>1012</v>
      </c>
      <c r="D3553">
        <v>7910</v>
      </c>
      <c r="E3553">
        <v>421</v>
      </c>
      <c r="F3553" t="s">
        <v>1299</v>
      </c>
      <c r="G3553" t="s">
        <v>1300</v>
      </c>
      <c r="H3553" s="315" t="s">
        <v>30</v>
      </c>
      <c r="I3553" s="315" t="s">
        <v>1301</v>
      </c>
      <c r="J3553" s="315" t="str">
        <f t="shared" si="296"/>
        <v>Used VehicleAdvertising per retail</v>
      </c>
      <c r="K3553" s="315" t="str">
        <f t="shared" si="297"/>
        <v>421Toyota UV Advertising &amp; Promotion</v>
      </c>
      <c r="L3553" s="311">
        <f>+SUMIF('TUNZ Extracted TB'!M:M,$P3553,'TUNZ Extracted TB'!G:G)</f>
        <v>0</v>
      </c>
      <c r="M3553" s="311"/>
      <c r="N3553" s="311">
        <f>+SUMIF('Input Sheet'!$AE:$AE,P3553,'Input Sheet'!$X:$X)</f>
        <v>0</v>
      </c>
      <c r="O3553" s="311"/>
      <c r="P3553" t="str">
        <f t="shared" si="298"/>
        <v>421-7910</v>
      </c>
      <c r="Q3553" s="315" t="str">
        <f t="shared" si="299"/>
        <v>Used Vehicle</v>
      </c>
      <c r="R3553" s="315" t="str">
        <f t="shared" si="300"/>
        <v>Used VehicleAdvertising per retail</v>
      </c>
      <c r="S3553" s="199"/>
      <c r="T3553" s="199"/>
      <c r="U3553" s="199"/>
    </row>
    <row r="3554" spans="1:21" x14ac:dyDescent="0.25">
      <c r="A3554" t="s">
        <v>996</v>
      </c>
      <c r="B3554" t="s">
        <v>997</v>
      </c>
      <c r="C3554" t="s">
        <v>1013</v>
      </c>
      <c r="D3554">
        <v>7910</v>
      </c>
      <c r="E3554">
        <v>310</v>
      </c>
      <c r="F3554" t="s">
        <v>1299</v>
      </c>
      <c r="G3554" t="s">
        <v>1300</v>
      </c>
      <c r="H3554" s="315" t="s">
        <v>30</v>
      </c>
      <c r="I3554" s="315" t="s">
        <v>1301</v>
      </c>
      <c r="J3554" s="315" t="str">
        <f t="shared" si="296"/>
        <v>Used VehicleAdvertising per retail</v>
      </c>
      <c r="K3554" s="315" t="str">
        <f t="shared" si="297"/>
        <v>310Toyota UV Advertising &amp; Promotion</v>
      </c>
      <c r="L3554" s="311">
        <f>+SUMIF('TUNZ Extracted TB'!M:M,$P3554,'TUNZ Extracted TB'!G:G)</f>
        <v>0</v>
      </c>
      <c r="M3554" s="311"/>
      <c r="N3554" s="311">
        <f>+SUMIF('Input Sheet'!$AE:$AE,P3554,'Input Sheet'!$X:$X)</f>
        <v>0</v>
      </c>
      <c r="O3554" s="311"/>
      <c r="P3554" t="str">
        <f t="shared" si="298"/>
        <v>310-7910</v>
      </c>
      <c r="Q3554" s="315" t="str">
        <f t="shared" si="299"/>
        <v>Used Vehicle</v>
      </c>
      <c r="R3554" s="315" t="str">
        <f t="shared" si="300"/>
        <v>Used VehicleAdvertising per retail</v>
      </c>
      <c r="S3554" s="199"/>
      <c r="T3554" s="199"/>
      <c r="U3554" s="199"/>
    </row>
    <row r="3555" spans="1:21" x14ac:dyDescent="0.25">
      <c r="A3555" t="s">
        <v>996</v>
      </c>
      <c r="B3555" t="s">
        <v>997</v>
      </c>
      <c r="C3555" t="s">
        <v>1013</v>
      </c>
      <c r="D3555">
        <v>7910</v>
      </c>
      <c r="E3555">
        <v>321</v>
      </c>
      <c r="F3555" t="s">
        <v>1299</v>
      </c>
      <c r="G3555" t="s">
        <v>1300</v>
      </c>
      <c r="H3555" s="315" t="s">
        <v>30</v>
      </c>
      <c r="I3555" s="315" t="s">
        <v>1301</v>
      </c>
      <c r="J3555" s="315" t="str">
        <f t="shared" si="296"/>
        <v>Used VehicleAdvertising per retail</v>
      </c>
      <c r="K3555" s="315" t="str">
        <f t="shared" si="297"/>
        <v>321Toyota UV Advertising &amp; Promotion</v>
      </c>
      <c r="L3555" s="311">
        <f>+SUMIF('TUNZ Extracted TB'!M:M,$P3555,'TUNZ Extracted TB'!G:G)</f>
        <v>0</v>
      </c>
      <c r="M3555" s="311"/>
      <c r="N3555" s="311">
        <f>+SUMIF('Input Sheet'!$AE:$AE,P3555,'Input Sheet'!$X:$X)</f>
        <v>0</v>
      </c>
      <c r="O3555" s="311"/>
      <c r="P3555" t="str">
        <f t="shared" si="298"/>
        <v>321-7910</v>
      </c>
      <c r="Q3555" s="315" t="str">
        <f t="shared" si="299"/>
        <v>Used Vehicle</v>
      </c>
      <c r="R3555" s="315" t="str">
        <f t="shared" si="300"/>
        <v>Used VehicleAdvertising per retail</v>
      </c>
      <c r="S3555" s="199"/>
      <c r="T3555" s="199"/>
      <c r="U3555" s="199"/>
    </row>
    <row r="3556" spans="1:21" x14ac:dyDescent="0.25">
      <c r="A3556" t="s">
        <v>996</v>
      </c>
      <c r="B3556" t="s">
        <v>997</v>
      </c>
      <c r="C3556" t="s">
        <v>997</v>
      </c>
      <c r="D3556">
        <v>7910</v>
      </c>
      <c r="E3556">
        <v>121</v>
      </c>
      <c r="F3556" t="s">
        <v>1299</v>
      </c>
      <c r="G3556" t="s">
        <v>1300</v>
      </c>
      <c r="H3556" s="315" t="s">
        <v>30</v>
      </c>
      <c r="I3556" s="315" t="s">
        <v>1301</v>
      </c>
      <c r="J3556" s="315" t="str">
        <f t="shared" si="296"/>
        <v>Used VehicleAdvertising per retail</v>
      </c>
      <c r="K3556" s="315" t="str">
        <f t="shared" si="297"/>
        <v>121Toyota UV Advertising &amp; Promotion</v>
      </c>
      <c r="L3556" s="311">
        <f>+SUMIF('TUNZ Extracted TB'!M:M,$P3556,'TUNZ Extracted TB'!G:G)</f>
        <v>0</v>
      </c>
      <c r="M3556" s="311"/>
      <c r="N3556" s="311">
        <f>+SUMIF('Input Sheet'!$AE:$AE,P3556,'Input Sheet'!$X:$X)</f>
        <v>0</v>
      </c>
      <c r="O3556" s="311"/>
      <c r="P3556" t="str">
        <f t="shared" si="298"/>
        <v>121-7910</v>
      </c>
      <c r="Q3556" s="315" t="str">
        <f t="shared" si="299"/>
        <v>Used Vehicle</v>
      </c>
      <c r="R3556" s="315" t="str">
        <f t="shared" si="300"/>
        <v>Used VehicleAdvertising per retail</v>
      </c>
      <c r="S3556" s="199"/>
      <c r="T3556" s="199"/>
      <c r="U3556" s="199"/>
    </row>
    <row r="3557" spans="1:21" x14ac:dyDescent="0.25">
      <c r="A3557" t="s">
        <v>996</v>
      </c>
      <c r="B3557" t="s">
        <v>997</v>
      </c>
      <c r="C3557" t="s">
        <v>997</v>
      </c>
      <c r="D3557">
        <v>7910</v>
      </c>
      <c r="E3557">
        <v>130</v>
      </c>
      <c r="F3557" t="s">
        <v>1310</v>
      </c>
      <c r="G3557" t="s">
        <v>1311</v>
      </c>
      <c r="H3557" s="315" t="s">
        <v>5</v>
      </c>
      <c r="I3557" s="315" t="s">
        <v>1286</v>
      </c>
      <c r="J3557" s="315" t="str">
        <f t="shared" si="296"/>
        <v>PartsOther Expenses as % of Sales</v>
      </c>
      <c r="K3557" s="315" t="str">
        <f t="shared" si="297"/>
        <v>130Parts Advertising &amp; Promotion - Toyota</v>
      </c>
      <c r="L3557" s="311">
        <f>+SUMIF('TUNZ Extracted TB'!M:M,$P3557,'TUNZ Extracted TB'!G:G)</f>
        <v>2450.04</v>
      </c>
      <c r="M3557" s="311"/>
      <c r="N3557" s="311">
        <f>+SUMIF('Input Sheet'!$AE:$AE,P3557,'Input Sheet'!$X:$X)</f>
        <v>0</v>
      </c>
      <c r="O3557" s="311"/>
      <c r="P3557" t="str">
        <f t="shared" si="298"/>
        <v>130-7910</v>
      </c>
      <c r="Q3557" s="315" t="str">
        <f t="shared" si="299"/>
        <v>Parts</v>
      </c>
      <c r="R3557" s="315" t="str">
        <f t="shared" si="300"/>
        <v>PartsOther Expenses as % of Sales</v>
      </c>
      <c r="S3557" s="199"/>
      <c r="T3557" s="199"/>
      <c r="U3557" s="199"/>
    </row>
    <row r="3558" spans="1:21" x14ac:dyDescent="0.25">
      <c r="A3558" t="s">
        <v>996</v>
      </c>
      <c r="B3558" t="s">
        <v>997</v>
      </c>
      <c r="C3558" t="s">
        <v>997</v>
      </c>
      <c r="D3558">
        <v>7910</v>
      </c>
      <c r="E3558">
        <v>132</v>
      </c>
      <c r="F3558" t="s">
        <v>1381</v>
      </c>
      <c r="G3558" t="s">
        <v>1382</v>
      </c>
      <c r="H3558" s="315" t="s">
        <v>143</v>
      </c>
      <c r="I3558" s="315" t="s">
        <v>1286</v>
      </c>
      <c r="J3558" s="315" t="str">
        <f t="shared" si="296"/>
        <v>LEX PartsOther Expenses as % of Sales</v>
      </c>
      <c r="K3558" s="315" t="str">
        <f t="shared" si="297"/>
        <v>132Parts Advertising &amp; Promotion - Lexus</v>
      </c>
      <c r="L3558" s="311">
        <f>+SUMIF('TUNZ Extracted TB'!M:M,$P3558,'TUNZ Extracted TB'!G:G)</f>
        <v>0</v>
      </c>
      <c r="M3558" s="311"/>
      <c r="N3558" s="311">
        <f>+SUMIF('Input Sheet'!$AE:$AE,P3558,'Input Sheet'!$X:$X)</f>
        <v>0</v>
      </c>
      <c r="O3558" s="311"/>
      <c r="P3558" t="str">
        <f t="shared" si="298"/>
        <v>132-7910</v>
      </c>
      <c r="Q3558" s="315" t="str">
        <f t="shared" si="299"/>
        <v>LEX Parts</v>
      </c>
      <c r="R3558" s="315" t="str">
        <f t="shared" si="300"/>
        <v>LEX PartsOther Expenses as % of Sales</v>
      </c>
      <c r="S3558" s="199"/>
      <c r="T3558" s="199"/>
      <c r="U3558" s="199"/>
    </row>
    <row r="3559" spans="1:21" x14ac:dyDescent="0.25">
      <c r="A3559" t="s">
        <v>996</v>
      </c>
      <c r="B3559" t="s">
        <v>997</v>
      </c>
      <c r="C3559" t="s">
        <v>997</v>
      </c>
      <c r="D3559">
        <v>7910</v>
      </c>
      <c r="E3559">
        <v>140</v>
      </c>
      <c r="F3559" t="s">
        <v>1306</v>
      </c>
      <c r="G3559" t="s">
        <v>1307</v>
      </c>
      <c r="H3559" s="315" t="s">
        <v>17</v>
      </c>
      <c r="I3559" s="315" t="s">
        <v>1286</v>
      </c>
      <c r="J3559" s="315" t="str">
        <f t="shared" si="296"/>
        <v>ServiceOther Expenses as % of Sales</v>
      </c>
      <c r="K3559" s="315" t="str">
        <f t="shared" si="297"/>
        <v>140Service Advertising &amp; Promotion - Toyota</v>
      </c>
      <c r="L3559" s="311">
        <f>+SUMIF('TUNZ Extracted TB'!M:M,$P3559,'TUNZ Extracted TB'!G:G)</f>
        <v>341.2</v>
      </c>
      <c r="M3559" s="311"/>
      <c r="N3559" s="311">
        <f>+SUMIF('Input Sheet'!$AE:$AE,P3559,'Input Sheet'!$X:$X)</f>
        <v>0</v>
      </c>
      <c r="O3559" s="311"/>
      <c r="P3559" t="str">
        <f t="shared" si="298"/>
        <v>140-7910</v>
      </c>
      <c r="Q3559" s="315" t="str">
        <f t="shared" si="299"/>
        <v>Service</v>
      </c>
      <c r="R3559" s="315" t="str">
        <f t="shared" si="300"/>
        <v>ServiceOther Expenses as % of Sales</v>
      </c>
      <c r="S3559" s="199"/>
      <c r="T3559" s="199"/>
      <c r="U3559" s="199"/>
    </row>
    <row r="3560" spans="1:21" x14ac:dyDescent="0.25">
      <c r="A3560" t="s">
        <v>996</v>
      </c>
      <c r="B3560" t="s">
        <v>997</v>
      </c>
      <c r="C3560" t="s">
        <v>997</v>
      </c>
      <c r="D3560">
        <v>7910</v>
      </c>
      <c r="E3560">
        <v>142</v>
      </c>
      <c r="F3560" t="s">
        <v>1308</v>
      </c>
      <c r="G3560" t="s">
        <v>1309</v>
      </c>
      <c r="H3560" s="315" t="s">
        <v>1022</v>
      </c>
      <c r="I3560" s="315" t="s">
        <v>1286</v>
      </c>
      <c r="J3560" s="315" t="str">
        <f t="shared" si="296"/>
        <v>Lex ServiceOther Expenses as % of Sales</v>
      </c>
      <c r="K3560" s="315" t="str">
        <f t="shared" si="297"/>
        <v>142Service Advertising &amp; Promotion - Lexus</v>
      </c>
      <c r="L3560" s="311">
        <f>+SUMIF('TUNZ Extracted TB'!M:M,$P3560,'TUNZ Extracted TB'!G:G)</f>
        <v>0</v>
      </c>
      <c r="M3560" s="311"/>
      <c r="N3560" s="311">
        <f>+SUMIF('Input Sheet'!$AE:$AE,P3560,'Input Sheet'!$X:$X)</f>
        <v>0</v>
      </c>
      <c r="O3560" s="311"/>
      <c r="P3560" t="str">
        <f t="shared" si="298"/>
        <v>142-7910</v>
      </c>
      <c r="Q3560" s="315" t="str">
        <f t="shared" si="299"/>
        <v>Lex Service</v>
      </c>
      <c r="R3560" s="315" t="str">
        <f t="shared" si="300"/>
        <v>Lex ServiceOther Expenses as % of Sales</v>
      </c>
      <c r="S3560" s="199"/>
      <c r="T3560" s="199"/>
      <c r="U3560" s="199"/>
    </row>
    <row r="3561" spans="1:21" x14ac:dyDescent="0.25">
      <c r="A3561" t="s">
        <v>996</v>
      </c>
      <c r="B3561" t="s">
        <v>997</v>
      </c>
      <c r="C3561" t="s">
        <v>997</v>
      </c>
      <c r="D3561">
        <v>7910</v>
      </c>
      <c r="E3561">
        <v>110</v>
      </c>
      <c r="F3561" t="s">
        <v>1299</v>
      </c>
      <c r="G3561" t="s">
        <v>1300</v>
      </c>
      <c r="H3561" s="315" t="s">
        <v>30</v>
      </c>
      <c r="I3561" s="315" t="s">
        <v>1301</v>
      </c>
      <c r="J3561" s="315" t="str">
        <f t="shared" si="296"/>
        <v>Used VehicleAdvertising per retail</v>
      </c>
      <c r="K3561" s="315" t="str">
        <f t="shared" si="297"/>
        <v>110Toyota UV Advertising &amp; Promotion</v>
      </c>
      <c r="L3561" s="311">
        <f>+SUMIF('TUNZ Extracted TB'!M:M,$P3561,'TUNZ Extracted TB'!G:G)</f>
        <v>379.03</v>
      </c>
      <c r="M3561" s="311"/>
      <c r="N3561" s="311">
        <f>+SUMIF('Input Sheet'!$AE:$AE,P3561,'Input Sheet'!$X:$X)</f>
        <v>0</v>
      </c>
      <c r="O3561" s="311"/>
      <c r="P3561" t="str">
        <f t="shared" si="298"/>
        <v>110-7910</v>
      </c>
      <c r="Q3561" s="315" t="str">
        <f t="shared" si="299"/>
        <v>Used Vehicle</v>
      </c>
      <c r="R3561" s="315" t="str">
        <f t="shared" si="300"/>
        <v>Used VehicleAdvertising per retail</v>
      </c>
      <c r="S3561" s="199"/>
      <c r="T3561" s="199"/>
      <c r="U3561" s="199"/>
    </row>
    <row r="3562" spans="1:21" x14ac:dyDescent="0.25">
      <c r="A3562" t="s">
        <v>996</v>
      </c>
      <c r="B3562" t="s">
        <v>997</v>
      </c>
      <c r="C3562" t="s">
        <v>1012</v>
      </c>
      <c r="D3562">
        <v>8500</v>
      </c>
      <c r="E3562">
        <v>400</v>
      </c>
      <c r="F3562" t="s">
        <v>1024</v>
      </c>
      <c r="G3562" t="s">
        <v>1027</v>
      </c>
      <c r="H3562" s="315" t="s">
        <v>29</v>
      </c>
      <c r="I3562" s="315" t="s">
        <v>1026</v>
      </c>
      <c r="J3562" s="315" t="str">
        <f t="shared" si="296"/>
        <v>New VehicleOther Income per NV unit</v>
      </c>
      <c r="K3562" s="315" t="str">
        <f t="shared" si="297"/>
        <v>400New Vehicle Other Income - Toyota</v>
      </c>
      <c r="L3562" s="311">
        <f>+SUMIF('TUNZ Extracted TB'!M:M,$P3562,'TUNZ Extracted TB'!G:G)</f>
        <v>0</v>
      </c>
      <c r="M3562" s="311"/>
      <c r="N3562" s="311">
        <f>+SUMIF('Input Sheet'!$AE:$AE,P3562,'Input Sheet'!$X:$X)</f>
        <v>0</v>
      </c>
      <c r="O3562" s="311"/>
      <c r="P3562" t="str">
        <f t="shared" si="298"/>
        <v>400-8500</v>
      </c>
      <c r="Q3562" s="315" t="str">
        <f t="shared" si="299"/>
        <v>New Vehicle</v>
      </c>
      <c r="R3562" s="315" t="str">
        <f t="shared" si="300"/>
        <v>New VehicleOther Income per NV unit</v>
      </c>
      <c r="S3562" s="199"/>
      <c r="T3562" s="199"/>
      <c r="U3562" s="199"/>
    </row>
    <row r="3563" spans="1:21" x14ac:dyDescent="0.25">
      <c r="A3563" t="s">
        <v>996</v>
      </c>
      <c r="B3563" t="s">
        <v>997</v>
      </c>
      <c r="C3563" t="s">
        <v>1012</v>
      </c>
      <c r="D3563">
        <v>8500</v>
      </c>
      <c r="E3563">
        <v>410</v>
      </c>
      <c r="F3563" t="s">
        <v>1024</v>
      </c>
      <c r="G3563" t="s">
        <v>1027</v>
      </c>
      <c r="H3563" s="315" t="s">
        <v>29</v>
      </c>
      <c r="I3563" s="315" t="s">
        <v>1026</v>
      </c>
      <c r="J3563" s="315" t="str">
        <f t="shared" si="296"/>
        <v>New VehicleOther Income per NV unit</v>
      </c>
      <c r="K3563" s="315" t="str">
        <f t="shared" si="297"/>
        <v>410New Vehicle Other Income - Toyota</v>
      </c>
      <c r="L3563" s="311">
        <f>+SUMIF('TUNZ Extracted TB'!M:M,$P3563,'TUNZ Extracted TB'!G:G)</f>
        <v>0</v>
      </c>
      <c r="M3563" s="311"/>
      <c r="N3563" s="311">
        <f>+SUMIF('Input Sheet'!$AE:$AE,P3563,'Input Sheet'!$X:$X)</f>
        <v>0</v>
      </c>
      <c r="O3563" s="311"/>
      <c r="P3563" t="str">
        <f t="shared" si="298"/>
        <v>410-8500</v>
      </c>
      <c r="Q3563" s="315" t="str">
        <f t="shared" si="299"/>
        <v>New Vehicle</v>
      </c>
      <c r="R3563" s="315" t="str">
        <f t="shared" si="300"/>
        <v>New VehicleOther Income per NV unit</v>
      </c>
      <c r="S3563" s="199"/>
      <c r="T3563" s="199"/>
      <c r="U3563" s="199"/>
    </row>
    <row r="3564" spans="1:21" x14ac:dyDescent="0.25">
      <c r="A3564" t="s">
        <v>996</v>
      </c>
      <c r="B3564" t="s">
        <v>997</v>
      </c>
      <c r="C3564" t="s">
        <v>997</v>
      </c>
      <c r="D3564">
        <v>7970</v>
      </c>
      <c r="E3564">
        <v>936</v>
      </c>
      <c r="F3564" t="s">
        <v>1175</v>
      </c>
      <c r="G3564" t="s">
        <v>1176</v>
      </c>
      <c r="H3564" s="315" t="s">
        <v>1023</v>
      </c>
      <c r="I3564" s="315" t="s">
        <v>1001</v>
      </c>
      <c r="J3564" s="315" t="str">
        <f t="shared" si="296"/>
        <v>LEX Admin &amp; OtherOther Overheads as % of Total Gross Profit</v>
      </c>
      <c r="K3564" s="315" t="str">
        <f t="shared" si="297"/>
        <v>936Other franchise/business expense</v>
      </c>
      <c r="L3564" s="311">
        <f>+SUMIF('TUNZ Extracted TB'!M:M,$P3564,'TUNZ Extracted TB'!G:G)</f>
        <v>0</v>
      </c>
      <c r="M3564" s="311"/>
      <c r="N3564" s="311">
        <f>+SUMIF('Input Sheet'!$AE:$AE,P3564,'Input Sheet'!$X:$X)</f>
        <v>0</v>
      </c>
      <c r="O3564" s="311"/>
      <c r="P3564" t="str">
        <f t="shared" si="298"/>
        <v>936-7970</v>
      </c>
      <c r="Q3564" s="315" t="str">
        <f t="shared" si="299"/>
        <v>LEX Admin &amp; Other</v>
      </c>
      <c r="R3564" s="315" t="str">
        <f t="shared" si="300"/>
        <v>LEX Admin &amp; OtherOther Overheads as % of Total Gross Profit</v>
      </c>
      <c r="S3564" s="199"/>
      <c r="T3564" s="199"/>
      <c r="U3564" s="199"/>
    </row>
    <row r="3565" spans="1:21" x14ac:dyDescent="0.25">
      <c r="A3565" t="s">
        <v>996</v>
      </c>
      <c r="B3565" t="s">
        <v>997</v>
      </c>
      <c r="C3565" t="s">
        <v>997</v>
      </c>
      <c r="D3565">
        <v>7970</v>
      </c>
      <c r="E3565">
        <v>935</v>
      </c>
      <c r="F3565" t="s">
        <v>1175</v>
      </c>
      <c r="G3565" t="s">
        <v>1176</v>
      </c>
      <c r="H3565" s="315" t="s">
        <v>1023</v>
      </c>
      <c r="I3565" s="315" t="s">
        <v>1001</v>
      </c>
      <c r="J3565" s="315" t="str">
        <f t="shared" si="296"/>
        <v>LEX Admin &amp; OtherOther Overheads as % of Total Gross Profit</v>
      </c>
      <c r="K3565" s="315" t="str">
        <f t="shared" si="297"/>
        <v>935Other franchise/business expense</v>
      </c>
      <c r="L3565" s="311">
        <f>+SUMIF('TUNZ Extracted TB'!M:M,$P3565,'TUNZ Extracted TB'!G:G)</f>
        <v>0</v>
      </c>
      <c r="M3565" s="311"/>
      <c r="N3565" s="311">
        <f>+SUMIF('Input Sheet'!$AE:$AE,P3565,'Input Sheet'!$X:$X)</f>
        <v>0</v>
      </c>
      <c r="O3565" s="311"/>
      <c r="P3565" t="str">
        <f t="shared" si="298"/>
        <v>935-7970</v>
      </c>
      <c r="Q3565" s="315" t="str">
        <f t="shared" si="299"/>
        <v>LEX Admin &amp; Other</v>
      </c>
      <c r="R3565" s="315" t="str">
        <f t="shared" si="300"/>
        <v>LEX Admin &amp; OtherOther Overheads as % of Total Gross Profit</v>
      </c>
      <c r="S3565" s="199"/>
      <c r="T3565" s="199"/>
      <c r="U3565" s="199"/>
    </row>
    <row r="3566" spans="1:21" x14ac:dyDescent="0.25">
      <c r="A3566" t="s">
        <v>996</v>
      </c>
      <c r="B3566" t="s">
        <v>997</v>
      </c>
      <c r="C3566" t="s">
        <v>997</v>
      </c>
      <c r="D3566">
        <v>7975</v>
      </c>
      <c r="E3566">
        <v>936</v>
      </c>
      <c r="F3566" t="s">
        <v>1175</v>
      </c>
      <c r="G3566" t="s">
        <v>1176</v>
      </c>
      <c r="H3566" s="315" t="s">
        <v>1023</v>
      </c>
      <c r="I3566" s="315" t="s">
        <v>1276</v>
      </c>
      <c r="J3566" s="315" t="str">
        <f t="shared" si="296"/>
        <v xml:space="preserve">LEX Admin &amp; OtherStaff Remuneration &amp; Benefits as % of Total Gross </v>
      </c>
      <c r="K3566" s="315" t="str">
        <f t="shared" si="297"/>
        <v>936Other franchise/business expense</v>
      </c>
      <c r="L3566" s="311">
        <f>+SUMIF('TUNZ Extracted TB'!M:M,$P3566,'TUNZ Extracted TB'!G:G)</f>
        <v>0</v>
      </c>
      <c r="M3566" s="311"/>
      <c r="N3566" s="311">
        <f>+SUMIF('Input Sheet'!$AE:$AE,P3566,'Input Sheet'!$X:$X)</f>
        <v>0</v>
      </c>
      <c r="O3566" s="311"/>
      <c r="P3566" t="str">
        <f t="shared" si="298"/>
        <v>936-7975</v>
      </c>
      <c r="Q3566" s="315" t="str">
        <f t="shared" si="299"/>
        <v>LEX Admin &amp; Other</v>
      </c>
      <c r="R3566" s="315" t="str">
        <f t="shared" si="300"/>
        <v xml:space="preserve">LEX Admin &amp; OtherStaff Remuneration &amp; Benefits as % of Total Gross </v>
      </c>
      <c r="S3566" s="199"/>
      <c r="T3566" s="199"/>
      <c r="U3566" s="199"/>
    </row>
    <row r="3567" spans="1:21" x14ac:dyDescent="0.25">
      <c r="A3567" t="s">
        <v>996</v>
      </c>
      <c r="B3567" t="s">
        <v>997</v>
      </c>
      <c r="C3567" t="s">
        <v>997</v>
      </c>
      <c r="D3567">
        <v>7975</v>
      </c>
      <c r="E3567">
        <v>935</v>
      </c>
      <c r="F3567" t="s">
        <v>1175</v>
      </c>
      <c r="G3567" t="s">
        <v>1176</v>
      </c>
      <c r="H3567" s="315" t="s">
        <v>1023</v>
      </c>
      <c r="I3567" s="315" t="s">
        <v>1276</v>
      </c>
      <c r="J3567" s="315" t="str">
        <f t="shared" si="296"/>
        <v xml:space="preserve">LEX Admin &amp; OtherStaff Remuneration &amp; Benefits as % of Total Gross </v>
      </c>
      <c r="K3567" s="315" t="str">
        <f t="shared" si="297"/>
        <v>935Other franchise/business expense</v>
      </c>
      <c r="L3567" s="311">
        <f>+SUMIF('TUNZ Extracted TB'!M:M,$P3567,'TUNZ Extracted TB'!G:G)</f>
        <v>0</v>
      </c>
      <c r="M3567" s="311"/>
      <c r="N3567" s="311">
        <f>+SUMIF('Input Sheet'!$AE:$AE,P3567,'Input Sheet'!$X:$X)</f>
        <v>0</v>
      </c>
      <c r="O3567" s="311"/>
      <c r="P3567" t="str">
        <f t="shared" si="298"/>
        <v>935-7975</v>
      </c>
      <c r="Q3567" s="315" t="str">
        <f t="shared" si="299"/>
        <v>LEX Admin &amp; Other</v>
      </c>
      <c r="R3567" s="315" t="str">
        <f t="shared" si="300"/>
        <v xml:space="preserve">LEX Admin &amp; OtherStaff Remuneration &amp; Benefits as % of Total Gross </v>
      </c>
      <c r="S3567" s="199"/>
      <c r="T3567" s="199"/>
      <c r="U3567" s="199"/>
    </row>
    <row r="3568" spans="1:21" x14ac:dyDescent="0.25">
      <c r="A3568" t="s">
        <v>996</v>
      </c>
      <c r="B3568" t="s">
        <v>997</v>
      </c>
      <c r="C3568" t="s">
        <v>997</v>
      </c>
      <c r="D3568">
        <v>7975</v>
      </c>
      <c r="E3568">
        <v>122</v>
      </c>
      <c r="F3568" t="s">
        <v>1355</v>
      </c>
      <c r="G3568" t="s">
        <v>1356</v>
      </c>
      <c r="H3568" s="315" t="s">
        <v>1023</v>
      </c>
      <c r="I3568" s="315" t="s">
        <v>1276</v>
      </c>
      <c r="J3568" s="315" t="str">
        <f t="shared" si="296"/>
        <v xml:space="preserve">LEX Admin &amp; OtherStaff Remuneration &amp; Benefits as % of Total Gross </v>
      </c>
      <c r="K3568" s="315" t="str">
        <f t="shared" si="297"/>
        <v>122Staff Benefits (Superannuation, FBT, ACC) - Lexus</v>
      </c>
      <c r="L3568" s="311">
        <f>+SUMIF('TUNZ Extracted TB'!M:M,$P3568,'TUNZ Extracted TB'!G:G)</f>
        <v>0</v>
      </c>
      <c r="M3568" s="311"/>
      <c r="N3568" s="311">
        <f>+SUMIF('Input Sheet'!$AE:$AE,P3568,'Input Sheet'!$X:$X)</f>
        <v>0</v>
      </c>
      <c r="O3568" s="311"/>
      <c r="P3568" t="str">
        <f t="shared" si="298"/>
        <v>122-7975</v>
      </c>
      <c r="Q3568" s="315" t="str">
        <f t="shared" si="299"/>
        <v>LEX Admin &amp; Other</v>
      </c>
      <c r="R3568" s="315" t="str">
        <f t="shared" si="300"/>
        <v xml:space="preserve">LEX Admin &amp; OtherStaff Remuneration &amp; Benefits as % of Total Gross </v>
      </c>
      <c r="S3568" s="199"/>
      <c r="T3568" s="199"/>
      <c r="U3568" s="199"/>
    </row>
    <row r="3569" spans="1:21" x14ac:dyDescent="0.25">
      <c r="A3569" t="s">
        <v>996</v>
      </c>
      <c r="B3569" t="s">
        <v>997</v>
      </c>
      <c r="C3569" t="s">
        <v>997</v>
      </c>
      <c r="D3569">
        <v>7975</v>
      </c>
      <c r="E3569">
        <v>162</v>
      </c>
      <c r="F3569" t="s">
        <v>1355</v>
      </c>
      <c r="G3569" t="s">
        <v>1356</v>
      </c>
      <c r="H3569" s="315" t="s">
        <v>1023</v>
      </c>
      <c r="I3569" s="315" t="s">
        <v>1276</v>
      </c>
      <c r="J3569" s="315" t="str">
        <f t="shared" si="296"/>
        <v xml:space="preserve">LEX Admin &amp; OtherStaff Remuneration &amp; Benefits as % of Total Gross </v>
      </c>
      <c r="K3569" s="315" t="str">
        <f t="shared" si="297"/>
        <v>162Staff Benefits (Superannuation, FBT, ACC) - Lexus</v>
      </c>
      <c r="L3569" s="311">
        <f>+SUMIF('TUNZ Extracted TB'!M:M,$P3569,'TUNZ Extracted TB'!G:G)</f>
        <v>0</v>
      </c>
      <c r="M3569" s="311"/>
      <c r="N3569" s="311">
        <f>+SUMIF('Input Sheet'!$AE:$AE,P3569,'Input Sheet'!$X:$X)</f>
        <v>0</v>
      </c>
      <c r="O3569" s="311"/>
      <c r="P3569" t="str">
        <f t="shared" si="298"/>
        <v>162-7975</v>
      </c>
      <c r="Q3569" s="315" t="str">
        <f t="shared" si="299"/>
        <v>LEX Admin &amp; Other</v>
      </c>
      <c r="R3569" s="315" t="str">
        <f t="shared" si="300"/>
        <v xml:space="preserve">LEX Admin &amp; OtherStaff Remuneration &amp; Benefits as % of Total Gross </v>
      </c>
      <c r="S3569" s="199"/>
      <c r="T3569" s="199"/>
      <c r="U3569" s="199"/>
    </row>
    <row r="3570" spans="1:21" x14ac:dyDescent="0.25">
      <c r="A3570" t="s">
        <v>996</v>
      </c>
      <c r="B3570" t="s">
        <v>997</v>
      </c>
      <c r="C3570" t="s">
        <v>1005</v>
      </c>
      <c r="D3570">
        <v>7975</v>
      </c>
      <c r="E3570">
        <v>200</v>
      </c>
      <c r="F3570" t="s">
        <v>1353</v>
      </c>
      <c r="G3570" t="s">
        <v>1354</v>
      </c>
      <c r="H3570" s="315" t="s">
        <v>1000</v>
      </c>
      <c r="I3570" s="315" t="s">
        <v>1276</v>
      </c>
      <c r="J3570" s="315" t="str">
        <f t="shared" si="296"/>
        <v xml:space="preserve">Admin &amp; OtherStaff Remuneration &amp; Benefits as % of Total Gross </v>
      </c>
      <c r="K3570" s="315" t="str">
        <f t="shared" si="297"/>
        <v>200Staff Benefits (Superannuation, FBT, ACC) - Toyota</v>
      </c>
      <c r="L3570" s="311">
        <f>+SUMIF('TUNZ Extracted TB'!M:M,$P3570,'TUNZ Extracted TB'!G:G)</f>
        <v>0</v>
      </c>
      <c r="M3570" s="311"/>
      <c r="N3570" s="311">
        <f>+SUMIF('Input Sheet'!$AE:$AE,P3570,'Input Sheet'!$X:$X)</f>
        <v>0</v>
      </c>
      <c r="O3570" s="311"/>
      <c r="P3570" t="str">
        <f t="shared" si="298"/>
        <v>200-7975</v>
      </c>
      <c r="Q3570" s="315" t="str">
        <f t="shared" si="299"/>
        <v>Admin &amp; Other</v>
      </c>
      <c r="R3570" s="315" t="str">
        <f t="shared" si="300"/>
        <v xml:space="preserve">Admin &amp; OtherStaff Remuneration &amp; Benefits as % of Total Gross </v>
      </c>
      <c r="S3570" s="199"/>
      <c r="T3570" s="199"/>
      <c r="U3570" s="199"/>
    </row>
    <row r="3571" spans="1:21" x14ac:dyDescent="0.25">
      <c r="A3571" t="s">
        <v>996</v>
      </c>
      <c r="B3571" t="s">
        <v>997</v>
      </c>
      <c r="C3571" t="s">
        <v>1005</v>
      </c>
      <c r="D3571">
        <v>7975</v>
      </c>
      <c r="E3571">
        <v>210</v>
      </c>
      <c r="F3571" t="s">
        <v>1353</v>
      </c>
      <c r="G3571" t="s">
        <v>1354</v>
      </c>
      <c r="H3571" s="315" t="s">
        <v>1000</v>
      </c>
      <c r="I3571" s="315" t="s">
        <v>1276</v>
      </c>
      <c r="J3571" s="315" t="str">
        <f t="shared" si="296"/>
        <v xml:space="preserve">Admin &amp; OtherStaff Remuneration &amp; Benefits as % of Total Gross </v>
      </c>
      <c r="K3571" s="315" t="str">
        <f t="shared" si="297"/>
        <v>210Staff Benefits (Superannuation, FBT, ACC) - Toyota</v>
      </c>
      <c r="L3571" s="311">
        <f>+SUMIF('TUNZ Extracted TB'!M:M,$P3571,'TUNZ Extracted TB'!G:G)</f>
        <v>0</v>
      </c>
      <c r="M3571" s="311"/>
      <c r="N3571" s="311">
        <f>+SUMIF('Input Sheet'!$AE:$AE,P3571,'Input Sheet'!$X:$X)</f>
        <v>0</v>
      </c>
      <c r="O3571" s="311"/>
      <c r="P3571" t="str">
        <f t="shared" si="298"/>
        <v>210-7975</v>
      </c>
      <c r="Q3571" s="315" t="str">
        <f t="shared" si="299"/>
        <v>Admin &amp; Other</v>
      </c>
      <c r="R3571" s="315" t="str">
        <f t="shared" si="300"/>
        <v xml:space="preserve">Admin &amp; OtherStaff Remuneration &amp; Benefits as % of Total Gross </v>
      </c>
      <c r="S3571" s="199"/>
      <c r="T3571" s="199"/>
      <c r="U3571" s="199"/>
    </row>
    <row r="3572" spans="1:21" x14ac:dyDescent="0.25">
      <c r="A3572" t="s">
        <v>996</v>
      </c>
      <c r="B3572" t="s">
        <v>997</v>
      </c>
      <c r="C3572" t="s">
        <v>1005</v>
      </c>
      <c r="D3572">
        <v>7975</v>
      </c>
      <c r="E3572">
        <v>220</v>
      </c>
      <c r="F3572" t="s">
        <v>1353</v>
      </c>
      <c r="G3572" t="s">
        <v>1354</v>
      </c>
      <c r="H3572" s="315" t="s">
        <v>1000</v>
      </c>
      <c r="I3572" s="315" t="s">
        <v>1276</v>
      </c>
      <c r="J3572" s="315" t="str">
        <f t="shared" si="296"/>
        <v xml:space="preserve">Admin &amp; OtherStaff Remuneration &amp; Benefits as % of Total Gross </v>
      </c>
      <c r="K3572" s="315" t="str">
        <f t="shared" si="297"/>
        <v>220Staff Benefits (Superannuation, FBT, ACC) - Toyota</v>
      </c>
      <c r="L3572" s="311">
        <f>+SUMIF('TUNZ Extracted TB'!M:M,$P3572,'TUNZ Extracted TB'!G:G)</f>
        <v>0</v>
      </c>
      <c r="M3572" s="311"/>
      <c r="N3572" s="311">
        <f>+SUMIF('Input Sheet'!$AE:$AE,P3572,'Input Sheet'!$X:$X)</f>
        <v>0</v>
      </c>
      <c r="O3572" s="311"/>
      <c r="P3572" t="str">
        <f t="shared" si="298"/>
        <v>220-7975</v>
      </c>
      <c r="Q3572" s="315" t="str">
        <f t="shared" si="299"/>
        <v>Admin &amp; Other</v>
      </c>
      <c r="R3572" s="315" t="str">
        <f t="shared" si="300"/>
        <v xml:space="preserve">Admin &amp; OtherStaff Remuneration &amp; Benefits as % of Total Gross </v>
      </c>
      <c r="S3572" s="199"/>
      <c r="T3572" s="199"/>
      <c r="U3572" s="199"/>
    </row>
    <row r="3573" spans="1:21" x14ac:dyDescent="0.25">
      <c r="A3573" t="s">
        <v>996</v>
      </c>
      <c r="B3573" t="s">
        <v>997</v>
      </c>
      <c r="C3573" t="s">
        <v>1005</v>
      </c>
      <c r="D3573">
        <v>7975</v>
      </c>
      <c r="E3573">
        <v>221</v>
      </c>
      <c r="F3573" t="s">
        <v>1353</v>
      </c>
      <c r="G3573" t="s">
        <v>1354</v>
      </c>
      <c r="H3573" s="315" t="s">
        <v>1000</v>
      </c>
      <c r="I3573" s="315" t="s">
        <v>1276</v>
      </c>
      <c r="J3573" s="315" t="str">
        <f t="shared" si="296"/>
        <v xml:space="preserve">Admin &amp; OtherStaff Remuneration &amp; Benefits as % of Total Gross </v>
      </c>
      <c r="K3573" s="315" t="str">
        <f t="shared" si="297"/>
        <v>221Staff Benefits (Superannuation, FBT, ACC) - Toyota</v>
      </c>
      <c r="L3573" s="311">
        <f>+SUMIF('TUNZ Extracted TB'!M:M,$P3573,'TUNZ Extracted TB'!G:G)</f>
        <v>0</v>
      </c>
      <c r="M3573" s="311"/>
      <c r="N3573" s="311">
        <f>+SUMIF('Input Sheet'!$AE:$AE,P3573,'Input Sheet'!$X:$X)</f>
        <v>0</v>
      </c>
      <c r="O3573" s="311"/>
      <c r="P3573" t="str">
        <f t="shared" si="298"/>
        <v>221-7975</v>
      </c>
      <c r="Q3573" s="315" t="str">
        <f t="shared" si="299"/>
        <v>Admin &amp; Other</v>
      </c>
      <c r="R3573" s="315" t="str">
        <f t="shared" si="300"/>
        <v xml:space="preserve">Admin &amp; OtherStaff Remuneration &amp; Benefits as % of Total Gross </v>
      </c>
      <c r="S3573" s="199"/>
      <c r="T3573" s="199"/>
      <c r="U3573" s="199"/>
    </row>
    <row r="3574" spans="1:21" x14ac:dyDescent="0.25">
      <c r="A3574" t="s">
        <v>996</v>
      </c>
      <c r="B3574" t="s">
        <v>997</v>
      </c>
      <c r="C3574" t="s">
        <v>1005</v>
      </c>
      <c r="D3574">
        <v>7975</v>
      </c>
      <c r="E3574">
        <v>230</v>
      </c>
      <c r="F3574" t="s">
        <v>1353</v>
      </c>
      <c r="G3574" t="s">
        <v>1354</v>
      </c>
      <c r="H3574" s="315" t="s">
        <v>1000</v>
      </c>
      <c r="I3574" s="315" t="s">
        <v>1276</v>
      </c>
      <c r="J3574" s="315" t="str">
        <f t="shared" si="296"/>
        <v xml:space="preserve">Admin &amp; OtherStaff Remuneration &amp; Benefits as % of Total Gross </v>
      </c>
      <c r="K3574" s="315" t="str">
        <f t="shared" si="297"/>
        <v>230Staff Benefits (Superannuation, FBT, ACC) - Toyota</v>
      </c>
      <c r="L3574" s="311">
        <f>+SUMIF('TUNZ Extracted TB'!M:M,$P3574,'TUNZ Extracted TB'!G:G)</f>
        <v>0</v>
      </c>
      <c r="M3574" s="311"/>
      <c r="N3574" s="311">
        <f>+SUMIF('Input Sheet'!$AE:$AE,P3574,'Input Sheet'!$X:$X)</f>
        <v>0</v>
      </c>
      <c r="O3574" s="311"/>
      <c r="P3574" t="str">
        <f t="shared" si="298"/>
        <v>230-7975</v>
      </c>
      <c r="Q3574" s="315" t="str">
        <f t="shared" si="299"/>
        <v>Admin &amp; Other</v>
      </c>
      <c r="R3574" s="315" t="str">
        <f t="shared" si="300"/>
        <v xml:space="preserve">Admin &amp; OtherStaff Remuneration &amp; Benefits as % of Total Gross </v>
      </c>
      <c r="S3574" s="199"/>
      <c r="T3574" s="199"/>
      <c r="U3574" s="199"/>
    </row>
    <row r="3575" spans="1:21" x14ac:dyDescent="0.25">
      <c r="A3575" t="s">
        <v>996</v>
      </c>
      <c r="B3575" t="s">
        <v>997</v>
      </c>
      <c r="C3575" t="s">
        <v>1005</v>
      </c>
      <c r="D3575">
        <v>7975</v>
      </c>
      <c r="E3575">
        <v>240</v>
      </c>
      <c r="F3575" t="s">
        <v>1353</v>
      </c>
      <c r="G3575" t="s">
        <v>1354</v>
      </c>
      <c r="H3575" s="315" t="s">
        <v>1000</v>
      </c>
      <c r="I3575" s="315" t="s">
        <v>1276</v>
      </c>
      <c r="J3575" s="315" t="str">
        <f t="shared" si="296"/>
        <v xml:space="preserve">Admin &amp; OtherStaff Remuneration &amp; Benefits as % of Total Gross </v>
      </c>
      <c r="K3575" s="315" t="str">
        <f t="shared" si="297"/>
        <v>240Staff Benefits (Superannuation, FBT, ACC) - Toyota</v>
      </c>
      <c r="L3575" s="311">
        <f>+SUMIF('TUNZ Extracted TB'!M:M,$P3575,'TUNZ Extracted TB'!G:G)</f>
        <v>0</v>
      </c>
      <c r="M3575" s="311"/>
      <c r="N3575" s="311">
        <f>+SUMIF('Input Sheet'!$AE:$AE,P3575,'Input Sheet'!$X:$X)</f>
        <v>0</v>
      </c>
      <c r="O3575" s="311"/>
      <c r="P3575" t="str">
        <f t="shared" si="298"/>
        <v>240-7975</v>
      </c>
      <c r="Q3575" s="315" t="str">
        <f t="shared" si="299"/>
        <v>Admin &amp; Other</v>
      </c>
      <c r="R3575" s="315" t="str">
        <f t="shared" si="300"/>
        <v xml:space="preserve">Admin &amp; OtherStaff Remuneration &amp; Benefits as % of Total Gross </v>
      </c>
      <c r="S3575" s="199"/>
      <c r="T3575" s="199"/>
      <c r="U3575" s="199"/>
    </row>
    <row r="3576" spans="1:21" x14ac:dyDescent="0.25">
      <c r="A3576" t="s">
        <v>996</v>
      </c>
      <c r="B3576" t="s">
        <v>997</v>
      </c>
      <c r="C3576" t="s">
        <v>1005</v>
      </c>
      <c r="D3576">
        <v>7975</v>
      </c>
      <c r="E3576">
        <v>260</v>
      </c>
      <c r="F3576" t="s">
        <v>1353</v>
      </c>
      <c r="G3576" t="s">
        <v>1354</v>
      </c>
      <c r="H3576" s="315" t="s">
        <v>1000</v>
      </c>
      <c r="I3576" s="315" t="s">
        <v>1276</v>
      </c>
      <c r="J3576" s="315" t="str">
        <f t="shared" si="296"/>
        <v xml:space="preserve">Admin &amp; OtherStaff Remuneration &amp; Benefits as % of Total Gross </v>
      </c>
      <c r="K3576" s="315" t="str">
        <f t="shared" si="297"/>
        <v>260Staff Benefits (Superannuation, FBT, ACC) - Toyota</v>
      </c>
      <c r="L3576" s="311">
        <f>+SUMIF('TUNZ Extracted TB'!M:M,$P3576,'TUNZ Extracted TB'!G:G)</f>
        <v>0</v>
      </c>
      <c r="M3576" s="311"/>
      <c r="N3576" s="311">
        <f>+SUMIF('Input Sheet'!$AE:$AE,P3576,'Input Sheet'!$X:$X)</f>
        <v>0</v>
      </c>
      <c r="O3576" s="311"/>
      <c r="P3576" t="str">
        <f t="shared" si="298"/>
        <v>260-7975</v>
      </c>
      <c r="Q3576" s="315" t="str">
        <f t="shared" si="299"/>
        <v>Admin &amp; Other</v>
      </c>
      <c r="R3576" s="315" t="str">
        <f t="shared" si="300"/>
        <v xml:space="preserve">Admin &amp; OtherStaff Remuneration &amp; Benefits as % of Total Gross </v>
      </c>
      <c r="S3576" s="199"/>
      <c r="T3576" s="199"/>
      <c r="U3576" s="199"/>
    </row>
    <row r="3577" spans="1:21" x14ac:dyDescent="0.25">
      <c r="A3577" t="s">
        <v>996</v>
      </c>
      <c r="B3577" t="s">
        <v>997</v>
      </c>
      <c r="C3577" t="s">
        <v>1012</v>
      </c>
      <c r="D3577">
        <v>7975</v>
      </c>
      <c r="E3577">
        <v>400</v>
      </c>
      <c r="F3577" t="s">
        <v>1353</v>
      </c>
      <c r="G3577" t="s">
        <v>1354</v>
      </c>
      <c r="H3577" s="315" t="s">
        <v>1000</v>
      </c>
      <c r="I3577" s="315" t="s">
        <v>1276</v>
      </c>
      <c r="J3577" s="315" t="str">
        <f t="shared" si="296"/>
        <v xml:space="preserve">Admin &amp; OtherStaff Remuneration &amp; Benefits as % of Total Gross </v>
      </c>
      <c r="K3577" s="315" t="str">
        <f t="shared" si="297"/>
        <v>400Staff Benefits (Superannuation, FBT, ACC) - Toyota</v>
      </c>
      <c r="L3577" s="311">
        <f>+SUMIF('TUNZ Extracted TB'!M:M,$P3577,'TUNZ Extracted TB'!G:G)</f>
        <v>0</v>
      </c>
      <c r="M3577" s="311"/>
      <c r="N3577" s="311">
        <f>+SUMIF('Input Sheet'!$AE:$AE,P3577,'Input Sheet'!$X:$X)</f>
        <v>0</v>
      </c>
      <c r="O3577" s="311"/>
      <c r="P3577" t="str">
        <f t="shared" si="298"/>
        <v>400-7975</v>
      </c>
      <c r="Q3577" s="315" t="str">
        <f t="shared" si="299"/>
        <v>Admin &amp; Other</v>
      </c>
      <c r="R3577" s="315" t="str">
        <f t="shared" si="300"/>
        <v xml:space="preserve">Admin &amp; OtherStaff Remuneration &amp; Benefits as % of Total Gross </v>
      </c>
      <c r="S3577" s="199"/>
      <c r="T3577" s="199"/>
      <c r="U3577" s="199"/>
    </row>
    <row r="3578" spans="1:21" x14ac:dyDescent="0.25">
      <c r="A3578" t="s">
        <v>996</v>
      </c>
      <c r="B3578" t="s">
        <v>997</v>
      </c>
      <c r="C3578" t="s">
        <v>1012</v>
      </c>
      <c r="D3578">
        <v>7975</v>
      </c>
      <c r="E3578">
        <v>410</v>
      </c>
      <c r="F3578" t="s">
        <v>1353</v>
      </c>
      <c r="G3578" t="s">
        <v>1354</v>
      </c>
      <c r="H3578" s="315" t="s">
        <v>1000</v>
      </c>
      <c r="I3578" s="315" t="s">
        <v>1276</v>
      </c>
      <c r="J3578" s="315" t="str">
        <f t="shared" si="296"/>
        <v xml:space="preserve">Admin &amp; OtherStaff Remuneration &amp; Benefits as % of Total Gross </v>
      </c>
      <c r="K3578" s="315" t="str">
        <f t="shared" si="297"/>
        <v>410Staff Benefits (Superannuation, FBT, ACC) - Toyota</v>
      </c>
      <c r="L3578" s="311">
        <f>+SUMIF('TUNZ Extracted TB'!M:M,$P3578,'TUNZ Extracted TB'!G:G)</f>
        <v>0</v>
      </c>
      <c r="M3578" s="311"/>
      <c r="N3578" s="311">
        <f>+SUMIF('Input Sheet'!$AE:$AE,P3578,'Input Sheet'!$X:$X)</f>
        <v>0</v>
      </c>
      <c r="O3578" s="311"/>
      <c r="P3578" t="str">
        <f t="shared" si="298"/>
        <v>410-7975</v>
      </c>
      <c r="Q3578" s="315" t="str">
        <f t="shared" si="299"/>
        <v>Admin &amp; Other</v>
      </c>
      <c r="R3578" s="315" t="str">
        <f t="shared" si="300"/>
        <v xml:space="preserve">Admin &amp; OtherStaff Remuneration &amp; Benefits as % of Total Gross </v>
      </c>
      <c r="S3578" s="199"/>
      <c r="T3578" s="199"/>
      <c r="U3578" s="199"/>
    </row>
    <row r="3579" spans="1:21" x14ac:dyDescent="0.25">
      <c r="A3579" t="s">
        <v>996</v>
      </c>
      <c r="B3579" t="s">
        <v>997</v>
      </c>
      <c r="C3579" t="s">
        <v>1012</v>
      </c>
      <c r="D3579">
        <v>7975</v>
      </c>
      <c r="E3579">
        <v>420</v>
      </c>
      <c r="F3579" t="s">
        <v>1353</v>
      </c>
      <c r="G3579" t="s">
        <v>1354</v>
      </c>
      <c r="H3579" s="315" t="s">
        <v>1000</v>
      </c>
      <c r="I3579" s="315" t="s">
        <v>1276</v>
      </c>
      <c r="J3579" s="315" t="str">
        <f t="shared" si="296"/>
        <v xml:space="preserve">Admin &amp; OtherStaff Remuneration &amp; Benefits as % of Total Gross </v>
      </c>
      <c r="K3579" s="315" t="str">
        <f t="shared" si="297"/>
        <v>420Staff Benefits (Superannuation, FBT, ACC) - Toyota</v>
      </c>
      <c r="L3579" s="311">
        <f>+SUMIF('TUNZ Extracted TB'!M:M,$P3579,'TUNZ Extracted TB'!G:G)</f>
        <v>0</v>
      </c>
      <c r="M3579" s="311"/>
      <c r="N3579" s="311">
        <f>+SUMIF('Input Sheet'!$AE:$AE,P3579,'Input Sheet'!$X:$X)</f>
        <v>0</v>
      </c>
      <c r="O3579" s="311"/>
      <c r="P3579" t="str">
        <f t="shared" si="298"/>
        <v>420-7975</v>
      </c>
      <c r="Q3579" s="315" t="str">
        <f t="shared" si="299"/>
        <v>Admin &amp; Other</v>
      </c>
      <c r="R3579" s="315" t="str">
        <f t="shared" si="300"/>
        <v xml:space="preserve">Admin &amp; OtherStaff Remuneration &amp; Benefits as % of Total Gross </v>
      </c>
      <c r="S3579" s="199"/>
      <c r="T3579" s="199"/>
      <c r="U3579" s="199"/>
    </row>
    <row r="3580" spans="1:21" x14ac:dyDescent="0.25">
      <c r="A3580" t="s">
        <v>996</v>
      </c>
      <c r="B3580" t="s">
        <v>997</v>
      </c>
      <c r="C3580" t="s">
        <v>1012</v>
      </c>
      <c r="D3580">
        <v>7975</v>
      </c>
      <c r="E3580">
        <v>421</v>
      </c>
      <c r="F3580" t="s">
        <v>1353</v>
      </c>
      <c r="G3580" t="s">
        <v>1354</v>
      </c>
      <c r="H3580" s="315" t="s">
        <v>1000</v>
      </c>
      <c r="I3580" s="315" t="s">
        <v>1276</v>
      </c>
      <c r="J3580" s="315" t="str">
        <f t="shared" si="296"/>
        <v xml:space="preserve">Admin &amp; OtherStaff Remuneration &amp; Benefits as % of Total Gross </v>
      </c>
      <c r="K3580" s="315" t="str">
        <f t="shared" si="297"/>
        <v>421Staff Benefits (Superannuation, FBT, ACC) - Toyota</v>
      </c>
      <c r="L3580" s="311">
        <f>+SUMIF('TUNZ Extracted TB'!M:M,$P3580,'TUNZ Extracted TB'!G:G)</f>
        <v>0</v>
      </c>
      <c r="M3580" s="311"/>
      <c r="N3580" s="311">
        <f>+SUMIF('Input Sheet'!$AE:$AE,P3580,'Input Sheet'!$X:$X)</f>
        <v>0</v>
      </c>
      <c r="O3580" s="311"/>
      <c r="P3580" t="str">
        <f t="shared" si="298"/>
        <v>421-7975</v>
      </c>
      <c r="Q3580" s="315" t="str">
        <f t="shared" si="299"/>
        <v>Admin &amp; Other</v>
      </c>
      <c r="R3580" s="315" t="str">
        <f t="shared" si="300"/>
        <v xml:space="preserve">Admin &amp; OtherStaff Remuneration &amp; Benefits as % of Total Gross </v>
      </c>
      <c r="S3580" s="199"/>
      <c r="T3580" s="199"/>
      <c r="U3580" s="199"/>
    </row>
    <row r="3581" spans="1:21" x14ac:dyDescent="0.25">
      <c r="A3581" t="s">
        <v>996</v>
      </c>
      <c r="B3581" t="s">
        <v>997</v>
      </c>
      <c r="C3581" t="s">
        <v>1012</v>
      </c>
      <c r="D3581">
        <v>7975</v>
      </c>
      <c r="E3581">
        <v>430</v>
      </c>
      <c r="F3581" t="s">
        <v>1353</v>
      </c>
      <c r="G3581" t="s">
        <v>1354</v>
      </c>
      <c r="H3581" s="315" t="s">
        <v>1000</v>
      </c>
      <c r="I3581" s="315" t="s">
        <v>1276</v>
      </c>
      <c r="J3581" s="315" t="str">
        <f t="shared" si="296"/>
        <v xml:space="preserve">Admin &amp; OtherStaff Remuneration &amp; Benefits as % of Total Gross </v>
      </c>
      <c r="K3581" s="315" t="str">
        <f t="shared" si="297"/>
        <v>430Staff Benefits (Superannuation, FBT, ACC) - Toyota</v>
      </c>
      <c r="L3581" s="311">
        <f>+SUMIF('TUNZ Extracted TB'!M:M,$P3581,'TUNZ Extracted TB'!G:G)</f>
        <v>0</v>
      </c>
      <c r="M3581" s="311"/>
      <c r="N3581" s="311">
        <f>+SUMIF('Input Sheet'!$AE:$AE,P3581,'Input Sheet'!$X:$X)</f>
        <v>0</v>
      </c>
      <c r="O3581" s="311"/>
      <c r="P3581" t="str">
        <f t="shared" si="298"/>
        <v>430-7975</v>
      </c>
      <c r="Q3581" s="315" t="str">
        <f t="shared" si="299"/>
        <v>Admin &amp; Other</v>
      </c>
      <c r="R3581" s="315" t="str">
        <f t="shared" si="300"/>
        <v xml:space="preserve">Admin &amp; OtherStaff Remuneration &amp; Benefits as % of Total Gross </v>
      </c>
      <c r="S3581" s="199"/>
      <c r="T3581" s="199"/>
      <c r="U3581" s="199"/>
    </row>
    <row r="3582" spans="1:21" x14ac:dyDescent="0.25">
      <c r="A3582" t="s">
        <v>996</v>
      </c>
      <c r="B3582" t="s">
        <v>997</v>
      </c>
      <c r="C3582" t="s">
        <v>1012</v>
      </c>
      <c r="D3582">
        <v>7975</v>
      </c>
      <c r="E3582">
        <v>440</v>
      </c>
      <c r="F3582" t="s">
        <v>1353</v>
      </c>
      <c r="G3582" t="s">
        <v>1354</v>
      </c>
      <c r="H3582" s="315" t="s">
        <v>1000</v>
      </c>
      <c r="I3582" s="315" t="s">
        <v>1276</v>
      </c>
      <c r="J3582" s="315" t="str">
        <f t="shared" si="296"/>
        <v xml:space="preserve">Admin &amp; OtherStaff Remuneration &amp; Benefits as % of Total Gross </v>
      </c>
      <c r="K3582" s="315" t="str">
        <f t="shared" si="297"/>
        <v>440Staff Benefits (Superannuation, FBT, ACC) - Toyota</v>
      </c>
      <c r="L3582" s="311">
        <f>+SUMIF('TUNZ Extracted TB'!M:M,$P3582,'TUNZ Extracted TB'!G:G)</f>
        <v>0</v>
      </c>
      <c r="M3582" s="311"/>
      <c r="N3582" s="311">
        <f>+SUMIF('Input Sheet'!$AE:$AE,P3582,'Input Sheet'!$X:$X)</f>
        <v>0</v>
      </c>
      <c r="O3582" s="311"/>
      <c r="P3582" t="str">
        <f t="shared" si="298"/>
        <v>440-7975</v>
      </c>
      <c r="Q3582" s="315" t="str">
        <f t="shared" si="299"/>
        <v>Admin &amp; Other</v>
      </c>
      <c r="R3582" s="315" t="str">
        <f t="shared" si="300"/>
        <v xml:space="preserve">Admin &amp; OtherStaff Remuneration &amp; Benefits as % of Total Gross </v>
      </c>
      <c r="S3582" s="199"/>
      <c r="T3582" s="199"/>
      <c r="U3582" s="199"/>
    </row>
    <row r="3583" spans="1:21" x14ac:dyDescent="0.25">
      <c r="A3583" t="s">
        <v>996</v>
      </c>
      <c r="B3583" t="s">
        <v>997</v>
      </c>
      <c r="C3583" t="s">
        <v>1012</v>
      </c>
      <c r="D3583">
        <v>7975</v>
      </c>
      <c r="E3583">
        <v>460</v>
      </c>
      <c r="F3583" t="s">
        <v>1353</v>
      </c>
      <c r="G3583" t="s">
        <v>1354</v>
      </c>
      <c r="H3583" s="315" t="s">
        <v>1000</v>
      </c>
      <c r="I3583" s="315" t="s">
        <v>1276</v>
      </c>
      <c r="J3583" s="315" t="str">
        <f t="shared" si="296"/>
        <v xml:space="preserve">Admin &amp; OtherStaff Remuneration &amp; Benefits as % of Total Gross </v>
      </c>
      <c r="K3583" s="315" t="str">
        <f t="shared" si="297"/>
        <v>460Staff Benefits (Superannuation, FBT, ACC) - Toyota</v>
      </c>
      <c r="L3583" s="311">
        <f>+SUMIF('TUNZ Extracted TB'!M:M,$P3583,'TUNZ Extracted TB'!G:G)</f>
        <v>0</v>
      </c>
      <c r="M3583" s="311"/>
      <c r="N3583" s="311">
        <f>+SUMIF('Input Sheet'!$AE:$AE,P3583,'Input Sheet'!$X:$X)</f>
        <v>0</v>
      </c>
      <c r="O3583" s="311"/>
      <c r="P3583" t="str">
        <f t="shared" si="298"/>
        <v>460-7975</v>
      </c>
      <c r="Q3583" s="315" t="str">
        <f t="shared" si="299"/>
        <v>Admin &amp; Other</v>
      </c>
      <c r="R3583" s="315" t="str">
        <f t="shared" si="300"/>
        <v xml:space="preserve">Admin &amp; OtherStaff Remuneration &amp; Benefits as % of Total Gross </v>
      </c>
      <c r="S3583" s="199"/>
      <c r="T3583" s="199"/>
      <c r="U3583" s="199"/>
    </row>
    <row r="3584" spans="1:21" x14ac:dyDescent="0.25">
      <c r="A3584" t="s">
        <v>996</v>
      </c>
      <c r="B3584" t="s">
        <v>997</v>
      </c>
      <c r="C3584" t="s">
        <v>1013</v>
      </c>
      <c r="D3584">
        <v>7975</v>
      </c>
      <c r="E3584">
        <v>300</v>
      </c>
      <c r="F3584" t="s">
        <v>1353</v>
      </c>
      <c r="G3584" t="s">
        <v>1354</v>
      </c>
      <c r="H3584" s="315" t="s">
        <v>1000</v>
      </c>
      <c r="I3584" s="315" t="s">
        <v>1276</v>
      </c>
      <c r="J3584" s="315" t="str">
        <f t="shared" si="296"/>
        <v xml:space="preserve">Admin &amp; OtherStaff Remuneration &amp; Benefits as % of Total Gross </v>
      </c>
      <c r="K3584" s="315" t="str">
        <f t="shared" si="297"/>
        <v>300Staff Benefits (Superannuation, FBT, ACC) - Toyota</v>
      </c>
      <c r="L3584" s="311">
        <f>+SUMIF('TUNZ Extracted TB'!M:M,$P3584,'TUNZ Extracted TB'!G:G)</f>
        <v>0</v>
      </c>
      <c r="M3584" s="311"/>
      <c r="N3584" s="311">
        <f>+SUMIF('Input Sheet'!$AE:$AE,P3584,'Input Sheet'!$X:$X)</f>
        <v>0</v>
      </c>
      <c r="O3584" s="311"/>
      <c r="P3584" t="str">
        <f t="shared" si="298"/>
        <v>300-7975</v>
      </c>
      <c r="Q3584" s="315" t="str">
        <f t="shared" si="299"/>
        <v>Admin &amp; Other</v>
      </c>
      <c r="R3584" s="315" t="str">
        <f t="shared" si="300"/>
        <v xml:space="preserve">Admin &amp; OtherStaff Remuneration &amp; Benefits as % of Total Gross </v>
      </c>
      <c r="S3584" s="199"/>
      <c r="T3584" s="199"/>
      <c r="U3584" s="199"/>
    </row>
    <row r="3585" spans="1:21" x14ac:dyDescent="0.25">
      <c r="A3585" t="s">
        <v>996</v>
      </c>
      <c r="B3585" t="s">
        <v>997</v>
      </c>
      <c r="C3585" t="s">
        <v>1013</v>
      </c>
      <c r="D3585">
        <v>7975</v>
      </c>
      <c r="E3585">
        <v>310</v>
      </c>
      <c r="F3585" t="s">
        <v>1353</v>
      </c>
      <c r="G3585" t="s">
        <v>1354</v>
      </c>
      <c r="H3585" s="315" t="s">
        <v>1000</v>
      </c>
      <c r="I3585" s="315" t="s">
        <v>1276</v>
      </c>
      <c r="J3585" s="315" t="str">
        <f t="shared" si="296"/>
        <v xml:space="preserve">Admin &amp; OtherStaff Remuneration &amp; Benefits as % of Total Gross </v>
      </c>
      <c r="K3585" s="315" t="str">
        <f t="shared" si="297"/>
        <v>310Staff Benefits (Superannuation, FBT, ACC) - Toyota</v>
      </c>
      <c r="L3585" s="311">
        <f>+SUMIF('TUNZ Extracted TB'!M:M,$P3585,'TUNZ Extracted TB'!G:G)</f>
        <v>0</v>
      </c>
      <c r="M3585" s="311"/>
      <c r="N3585" s="311">
        <f>+SUMIF('Input Sheet'!$AE:$AE,P3585,'Input Sheet'!$X:$X)</f>
        <v>0</v>
      </c>
      <c r="O3585" s="311"/>
      <c r="P3585" t="str">
        <f t="shared" si="298"/>
        <v>310-7975</v>
      </c>
      <c r="Q3585" s="315" t="str">
        <f t="shared" si="299"/>
        <v>Admin &amp; Other</v>
      </c>
      <c r="R3585" s="315" t="str">
        <f t="shared" si="300"/>
        <v xml:space="preserve">Admin &amp; OtherStaff Remuneration &amp; Benefits as % of Total Gross </v>
      </c>
      <c r="S3585" s="199"/>
      <c r="T3585" s="199"/>
      <c r="U3585" s="199"/>
    </row>
    <row r="3586" spans="1:21" x14ac:dyDescent="0.25">
      <c r="A3586" t="s">
        <v>996</v>
      </c>
      <c r="B3586" t="s">
        <v>997</v>
      </c>
      <c r="C3586" t="s">
        <v>1013</v>
      </c>
      <c r="D3586">
        <v>7975</v>
      </c>
      <c r="E3586">
        <v>321</v>
      </c>
      <c r="F3586" t="s">
        <v>1353</v>
      </c>
      <c r="G3586" t="s">
        <v>1354</v>
      </c>
      <c r="H3586" s="315" t="s">
        <v>1000</v>
      </c>
      <c r="I3586" s="315" t="s">
        <v>1276</v>
      </c>
      <c r="J3586" s="315" t="str">
        <f t="shared" si="296"/>
        <v xml:space="preserve">Admin &amp; OtherStaff Remuneration &amp; Benefits as % of Total Gross </v>
      </c>
      <c r="K3586" s="315" t="str">
        <f t="shared" si="297"/>
        <v>321Staff Benefits (Superannuation, FBT, ACC) - Toyota</v>
      </c>
      <c r="L3586" s="311">
        <f>+SUMIF('TUNZ Extracted TB'!M:M,$P3586,'TUNZ Extracted TB'!G:G)</f>
        <v>0</v>
      </c>
      <c r="M3586" s="311"/>
      <c r="N3586" s="311">
        <f>+SUMIF('Input Sheet'!$AE:$AE,P3586,'Input Sheet'!$X:$X)</f>
        <v>0</v>
      </c>
      <c r="O3586" s="311"/>
      <c r="P3586" t="str">
        <f t="shared" si="298"/>
        <v>321-7975</v>
      </c>
      <c r="Q3586" s="315" t="str">
        <f t="shared" si="299"/>
        <v>Admin &amp; Other</v>
      </c>
      <c r="R3586" s="315" t="str">
        <f t="shared" si="300"/>
        <v xml:space="preserve">Admin &amp; OtherStaff Remuneration &amp; Benefits as % of Total Gross </v>
      </c>
      <c r="S3586" s="199"/>
      <c r="T3586" s="199"/>
      <c r="U3586" s="199"/>
    </row>
    <row r="3587" spans="1:21" x14ac:dyDescent="0.25">
      <c r="A3587" t="s">
        <v>996</v>
      </c>
      <c r="B3587" t="s">
        <v>997</v>
      </c>
      <c r="C3587" t="s">
        <v>1013</v>
      </c>
      <c r="D3587">
        <v>7975</v>
      </c>
      <c r="E3587">
        <v>330</v>
      </c>
      <c r="F3587" t="s">
        <v>1353</v>
      </c>
      <c r="G3587" t="s">
        <v>1354</v>
      </c>
      <c r="H3587" s="315" t="s">
        <v>1000</v>
      </c>
      <c r="I3587" s="315" t="s">
        <v>1276</v>
      </c>
      <c r="J3587" s="315" t="str">
        <f t="shared" ref="J3587:J3650" si="301">+H3587&amp;I3587</f>
        <v xml:space="preserve">Admin &amp; OtherStaff Remuneration &amp; Benefits as % of Total Gross </v>
      </c>
      <c r="K3587" s="315" t="str">
        <f t="shared" ref="K3587:K3650" si="302">+E3587&amp;G3587</f>
        <v>330Staff Benefits (Superannuation, FBT, ACC) - Toyota</v>
      </c>
      <c r="L3587" s="311">
        <f>+SUMIF('TUNZ Extracted TB'!M:M,$P3587,'TUNZ Extracted TB'!G:G)</f>
        <v>0</v>
      </c>
      <c r="M3587" s="311"/>
      <c r="N3587" s="311">
        <f>+SUMIF('Input Sheet'!$AE:$AE,P3587,'Input Sheet'!$X:$X)</f>
        <v>0</v>
      </c>
      <c r="O3587" s="311"/>
      <c r="P3587" t="str">
        <f t="shared" ref="P3587:P3650" si="303">+E3587&amp;"-"&amp;D3587</f>
        <v>330-7975</v>
      </c>
      <c r="Q3587" s="315" t="str">
        <f t="shared" ref="Q3587:Q3650" si="304">H3587</f>
        <v>Admin &amp; Other</v>
      </c>
      <c r="R3587" s="315" t="str">
        <f t="shared" ref="R3587:R3650" si="305">J3587</f>
        <v xml:space="preserve">Admin &amp; OtherStaff Remuneration &amp; Benefits as % of Total Gross </v>
      </c>
      <c r="S3587" s="199"/>
      <c r="T3587" s="199"/>
      <c r="U3587" s="199"/>
    </row>
    <row r="3588" spans="1:21" x14ac:dyDescent="0.25">
      <c r="A3588" t="s">
        <v>996</v>
      </c>
      <c r="B3588" t="s">
        <v>997</v>
      </c>
      <c r="C3588" t="s">
        <v>1013</v>
      </c>
      <c r="D3588">
        <v>7975</v>
      </c>
      <c r="E3588">
        <v>340</v>
      </c>
      <c r="F3588" t="s">
        <v>1353</v>
      </c>
      <c r="G3588" t="s">
        <v>1354</v>
      </c>
      <c r="H3588" s="315" t="s">
        <v>1000</v>
      </c>
      <c r="I3588" s="315" t="s">
        <v>1276</v>
      </c>
      <c r="J3588" s="315" t="str">
        <f t="shared" si="301"/>
        <v xml:space="preserve">Admin &amp; OtherStaff Remuneration &amp; Benefits as % of Total Gross </v>
      </c>
      <c r="K3588" s="315" t="str">
        <f t="shared" si="302"/>
        <v>340Staff Benefits (Superannuation, FBT, ACC) - Toyota</v>
      </c>
      <c r="L3588" s="311">
        <f>+SUMIF('TUNZ Extracted TB'!M:M,$P3588,'TUNZ Extracted TB'!G:G)</f>
        <v>0</v>
      </c>
      <c r="M3588" s="311"/>
      <c r="N3588" s="311">
        <f>+SUMIF('Input Sheet'!$AE:$AE,P3588,'Input Sheet'!$X:$X)</f>
        <v>0</v>
      </c>
      <c r="O3588" s="311"/>
      <c r="P3588" t="str">
        <f t="shared" si="303"/>
        <v>340-7975</v>
      </c>
      <c r="Q3588" s="315" t="str">
        <f t="shared" si="304"/>
        <v>Admin &amp; Other</v>
      </c>
      <c r="R3588" s="315" t="str">
        <f t="shared" si="305"/>
        <v xml:space="preserve">Admin &amp; OtherStaff Remuneration &amp; Benefits as % of Total Gross </v>
      </c>
      <c r="S3588" s="199"/>
      <c r="T3588" s="199"/>
      <c r="U3588" s="199"/>
    </row>
    <row r="3589" spans="1:21" x14ac:dyDescent="0.25">
      <c r="A3589" t="s">
        <v>996</v>
      </c>
      <c r="B3589" t="s">
        <v>997</v>
      </c>
      <c r="C3589" t="s">
        <v>1013</v>
      </c>
      <c r="D3589">
        <v>7975</v>
      </c>
      <c r="E3589">
        <v>360</v>
      </c>
      <c r="F3589" t="s">
        <v>1353</v>
      </c>
      <c r="G3589" t="s">
        <v>1354</v>
      </c>
      <c r="H3589" s="315" t="s">
        <v>1000</v>
      </c>
      <c r="I3589" s="315" t="s">
        <v>1276</v>
      </c>
      <c r="J3589" s="315" t="str">
        <f t="shared" si="301"/>
        <v xml:space="preserve">Admin &amp; OtherStaff Remuneration &amp; Benefits as % of Total Gross </v>
      </c>
      <c r="K3589" s="315" t="str">
        <f t="shared" si="302"/>
        <v>360Staff Benefits (Superannuation, FBT, ACC) - Toyota</v>
      </c>
      <c r="L3589" s="311">
        <f>+SUMIF('TUNZ Extracted TB'!M:M,$P3589,'TUNZ Extracted TB'!G:G)</f>
        <v>0</v>
      </c>
      <c r="M3589" s="311"/>
      <c r="N3589" s="311">
        <f>+SUMIF('Input Sheet'!$AE:$AE,P3589,'Input Sheet'!$X:$X)</f>
        <v>0</v>
      </c>
      <c r="O3589" s="311"/>
      <c r="P3589" t="str">
        <f t="shared" si="303"/>
        <v>360-7975</v>
      </c>
      <c r="Q3589" s="315" t="str">
        <f t="shared" si="304"/>
        <v>Admin &amp; Other</v>
      </c>
      <c r="R3589" s="315" t="str">
        <f t="shared" si="305"/>
        <v xml:space="preserve">Admin &amp; OtherStaff Remuneration &amp; Benefits as % of Total Gross </v>
      </c>
      <c r="S3589" s="199"/>
      <c r="T3589" s="199"/>
      <c r="U3589" s="199"/>
    </row>
    <row r="3590" spans="1:21" x14ac:dyDescent="0.25">
      <c r="A3590" t="s">
        <v>996</v>
      </c>
      <c r="B3590" t="s">
        <v>997</v>
      </c>
      <c r="C3590" t="s">
        <v>997</v>
      </c>
      <c r="D3590">
        <v>7975</v>
      </c>
      <c r="E3590">
        <v>120</v>
      </c>
      <c r="F3590" t="s">
        <v>1353</v>
      </c>
      <c r="G3590" t="s">
        <v>1354</v>
      </c>
      <c r="H3590" s="315" t="s">
        <v>1000</v>
      </c>
      <c r="I3590" s="315" t="s">
        <v>1276</v>
      </c>
      <c r="J3590" s="315" t="str">
        <f t="shared" si="301"/>
        <v xml:space="preserve">Admin &amp; OtherStaff Remuneration &amp; Benefits as % of Total Gross </v>
      </c>
      <c r="K3590" s="315" t="str">
        <f t="shared" si="302"/>
        <v>120Staff Benefits (Superannuation, FBT, ACC) - Toyota</v>
      </c>
      <c r="L3590" s="311">
        <f>+SUMIF('TUNZ Extracted TB'!M:M,$P3590,'TUNZ Extracted TB'!G:G)</f>
        <v>0</v>
      </c>
      <c r="M3590" s="311"/>
      <c r="N3590" s="311">
        <f>+SUMIF('Input Sheet'!$AE:$AE,P3590,'Input Sheet'!$X:$X)</f>
        <v>0</v>
      </c>
      <c r="O3590" s="311"/>
      <c r="P3590" t="str">
        <f t="shared" si="303"/>
        <v>120-7975</v>
      </c>
      <c r="Q3590" s="315" t="str">
        <f t="shared" si="304"/>
        <v>Admin &amp; Other</v>
      </c>
      <c r="R3590" s="315" t="str">
        <f t="shared" si="305"/>
        <v xml:space="preserve">Admin &amp; OtherStaff Remuneration &amp; Benefits as % of Total Gross </v>
      </c>
      <c r="S3590" s="199"/>
      <c r="T3590" s="199"/>
      <c r="U3590" s="199"/>
    </row>
    <row r="3591" spans="1:21" x14ac:dyDescent="0.25">
      <c r="A3591" t="s">
        <v>996</v>
      </c>
      <c r="B3591" t="s">
        <v>997</v>
      </c>
      <c r="C3591" t="s">
        <v>997</v>
      </c>
      <c r="D3591">
        <v>7975</v>
      </c>
      <c r="E3591">
        <v>121</v>
      </c>
      <c r="F3591" t="s">
        <v>1353</v>
      </c>
      <c r="G3591" t="s">
        <v>1354</v>
      </c>
      <c r="H3591" s="315" t="s">
        <v>1000</v>
      </c>
      <c r="I3591" s="315" t="s">
        <v>1276</v>
      </c>
      <c r="J3591" s="315" t="str">
        <f t="shared" si="301"/>
        <v xml:space="preserve">Admin &amp; OtherStaff Remuneration &amp; Benefits as % of Total Gross </v>
      </c>
      <c r="K3591" s="315" t="str">
        <f t="shared" si="302"/>
        <v>121Staff Benefits (Superannuation, FBT, ACC) - Toyota</v>
      </c>
      <c r="L3591" s="311">
        <f>+SUMIF('TUNZ Extracted TB'!M:M,$P3591,'TUNZ Extracted TB'!G:G)</f>
        <v>0</v>
      </c>
      <c r="M3591" s="311"/>
      <c r="N3591" s="311">
        <f>+SUMIF('Input Sheet'!$AE:$AE,P3591,'Input Sheet'!$X:$X)</f>
        <v>0</v>
      </c>
      <c r="O3591" s="311"/>
      <c r="P3591" t="str">
        <f t="shared" si="303"/>
        <v>121-7975</v>
      </c>
      <c r="Q3591" s="315" t="str">
        <f t="shared" si="304"/>
        <v>Admin &amp; Other</v>
      </c>
      <c r="R3591" s="315" t="str">
        <f t="shared" si="305"/>
        <v xml:space="preserve">Admin &amp; OtherStaff Remuneration &amp; Benefits as % of Total Gross </v>
      </c>
      <c r="S3591" s="199"/>
      <c r="T3591" s="199"/>
      <c r="U3591" s="199"/>
    </row>
    <row r="3592" spans="1:21" x14ac:dyDescent="0.25">
      <c r="A3592" t="s">
        <v>996</v>
      </c>
      <c r="B3592" t="s">
        <v>997</v>
      </c>
      <c r="C3592" t="s">
        <v>997</v>
      </c>
      <c r="D3592">
        <v>7975</v>
      </c>
      <c r="E3592">
        <v>147</v>
      </c>
      <c r="F3592" t="s">
        <v>1353</v>
      </c>
      <c r="G3592" t="s">
        <v>1354</v>
      </c>
      <c r="H3592" s="315" t="s">
        <v>1000</v>
      </c>
      <c r="I3592" s="315" t="s">
        <v>1276</v>
      </c>
      <c r="J3592" s="315" t="str">
        <f t="shared" si="301"/>
        <v xml:space="preserve">Admin &amp; OtherStaff Remuneration &amp; Benefits as % of Total Gross </v>
      </c>
      <c r="K3592" s="315" t="str">
        <f t="shared" si="302"/>
        <v>147Staff Benefits (Superannuation, FBT, ACC) - Toyota</v>
      </c>
      <c r="L3592" s="311">
        <f>+SUMIF('TUNZ Extracted TB'!M:M,$P3592,'TUNZ Extracted TB'!G:G)</f>
        <v>0</v>
      </c>
      <c r="M3592" s="311"/>
      <c r="N3592" s="311">
        <f>+SUMIF('Input Sheet'!$AE:$AE,P3592,'Input Sheet'!$X:$X)</f>
        <v>0</v>
      </c>
      <c r="O3592" s="311"/>
      <c r="P3592" t="str">
        <f t="shared" si="303"/>
        <v>147-7975</v>
      </c>
      <c r="Q3592" s="315" t="str">
        <f t="shared" si="304"/>
        <v>Admin &amp; Other</v>
      </c>
      <c r="R3592" s="315" t="str">
        <f t="shared" si="305"/>
        <v xml:space="preserve">Admin &amp; OtherStaff Remuneration &amp; Benefits as % of Total Gross </v>
      </c>
      <c r="S3592" s="199"/>
      <c r="T3592" s="199"/>
      <c r="U3592" s="199"/>
    </row>
    <row r="3593" spans="1:21" x14ac:dyDescent="0.25">
      <c r="A3593" t="s">
        <v>996</v>
      </c>
      <c r="B3593" t="s">
        <v>997</v>
      </c>
      <c r="C3593" t="s">
        <v>997</v>
      </c>
      <c r="D3593">
        <v>7975</v>
      </c>
      <c r="E3593">
        <v>160</v>
      </c>
      <c r="F3593" t="s">
        <v>1353</v>
      </c>
      <c r="G3593" t="s">
        <v>1354</v>
      </c>
      <c r="H3593" s="315" t="s">
        <v>1000</v>
      </c>
      <c r="I3593" s="315" t="s">
        <v>1276</v>
      </c>
      <c r="J3593" s="315" t="str">
        <f t="shared" si="301"/>
        <v xml:space="preserve">Admin &amp; OtherStaff Remuneration &amp; Benefits as % of Total Gross </v>
      </c>
      <c r="K3593" s="315" t="str">
        <f t="shared" si="302"/>
        <v>160Staff Benefits (Superannuation, FBT, ACC) - Toyota</v>
      </c>
      <c r="L3593" s="311">
        <f>+SUMIF('TUNZ Extracted TB'!M:M,$P3593,'TUNZ Extracted TB'!G:G)</f>
        <v>0</v>
      </c>
      <c r="M3593" s="311"/>
      <c r="N3593" s="311">
        <f>+SUMIF('Input Sheet'!$AE:$AE,P3593,'Input Sheet'!$X:$X)</f>
        <v>0</v>
      </c>
      <c r="O3593" s="311"/>
      <c r="P3593" t="str">
        <f t="shared" si="303"/>
        <v>160-7975</v>
      </c>
      <c r="Q3593" s="315" t="str">
        <f t="shared" si="304"/>
        <v>Admin &amp; Other</v>
      </c>
      <c r="R3593" s="315" t="str">
        <f t="shared" si="305"/>
        <v xml:space="preserve">Admin &amp; OtherStaff Remuneration &amp; Benefits as % of Total Gross </v>
      </c>
      <c r="S3593" s="199"/>
      <c r="T3593" s="199"/>
      <c r="U3593" s="199"/>
    </row>
    <row r="3594" spans="1:21" x14ac:dyDescent="0.25">
      <c r="A3594" t="s">
        <v>996</v>
      </c>
      <c r="B3594" t="s">
        <v>997</v>
      </c>
      <c r="C3594" t="s">
        <v>997</v>
      </c>
      <c r="D3594">
        <v>7975</v>
      </c>
      <c r="E3594">
        <v>170</v>
      </c>
      <c r="F3594" t="s">
        <v>1353</v>
      </c>
      <c r="G3594" t="s">
        <v>1354</v>
      </c>
      <c r="H3594" s="315" t="s">
        <v>1000</v>
      </c>
      <c r="I3594" s="315" t="s">
        <v>1276</v>
      </c>
      <c r="J3594" s="315" t="str">
        <f t="shared" si="301"/>
        <v xml:space="preserve">Admin &amp; OtherStaff Remuneration &amp; Benefits as % of Total Gross </v>
      </c>
      <c r="K3594" s="315" t="str">
        <f t="shared" si="302"/>
        <v>170Staff Benefits (Superannuation, FBT, ACC) - Toyota</v>
      </c>
      <c r="L3594" s="311">
        <f>+SUMIF('TUNZ Extracted TB'!M:M,$P3594,'TUNZ Extracted TB'!G:G)</f>
        <v>0</v>
      </c>
      <c r="M3594" s="311"/>
      <c r="N3594" s="311">
        <f>+SUMIF('Input Sheet'!$AE:$AE,P3594,'Input Sheet'!$X:$X)</f>
        <v>0</v>
      </c>
      <c r="O3594" s="311"/>
      <c r="P3594" t="str">
        <f t="shared" si="303"/>
        <v>170-7975</v>
      </c>
      <c r="Q3594" s="315" t="str">
        <f t="shared" si="304"/>
        <v>Admin &amp; Other</v>
      </c>
      <c r="R3594" s="315" t="str">
        <f t="shared" si="305"/>
        <v xml:space="preserve">Admin &amp; OtherStaff Remuneration &amp; Benefits as % of Total Gross </v>
      </c>
      <c r="S3594" s="199"/>
      <c r="T3594" s="199"/>
      <c r="U3594" s="199"/>
    </row>
    <row r="3595" spans="1:21" x14ac:dyDescent="0.25">
      <c r="A3595" t="s">
        <v>996</v>
      </c>
      <c r="B3595" t="s">
        <v>997</v>
      </c>
      <c r="C3595" t="s">
        <v>997</v>
      </c>
      <c r="D3595">
        <v>7975</v>
      </c>
      <c r="E3595">
        <v>130</v>
      </c>
      <c r="F3595" t="s">
        <v>1353</v>
      </c>
      <c r="G3595" t="s">
        <v>1354</v>
      </c>
      <c r="H3595" s="315" t="s">
        <v>1000</v>
      </c>
      <c r="I3595" s="315" t="s">
        <v>1276</v>
      </c>
      <c r="J3595" s="315" t="str">
        <f t="shared" si="301"/>
        <v xml:space="preserve">Admin &amp; OtherStaff Remuneration &amp; Benefits as % of Total Gross </v>
      </c>
      <c r="K3595" s="315" t="str">
        <f t="shared" si="302"/>
        <v>130Staff Benefits (Superannuation, FBT, ACC) - Toyota</v>
      </c>
      <c r="L3595" s="311">
        <f>+SUMIF('TUNZ Extracted TB'!M:M,$P3595,'TUNZ Extracted TB'!G:G)</f>
        <v>0</v>
      </c>
      <c r="M3595" s="311"/>
      <c r="N3595" s="311">
        <f>+SUMIF('Input Sheet'!$AE:$AE,P3595,'Input Sheet'!$X:$X)</f>
        <v>0</v>
      </c>
      <c r="O3595" s="311"/>
      <c r="P3595" t="str">
        <f t="shared" si="303"/>
        <v>130-7975</v>
      </c>
      <c r="Q3595" s="315" t="str">
        <f t="shared" si="304"/>
        <v>Admin &amp; Other</v>
      </c>
      <c r="R3595" s="315" t="str">
        <f t="shared" si="305"/>
        <v xml:space="preserve">Admin &amp; OtherStaff Remuneration &amp; Benefits as % of Total Gross </v>
      </c>
      <c r="S3595" s="199"/>
      <c r="T3595" s="199"/>
      <c r="U3595" s="199"/>
    </row>
    <row r="3596" spans="1:21" x14ac:dyDescent="0.25">
      <c r="A3596" t="s">
        <v>996</v>
      </c>
      <c r="B3596" t="s">
        <v>997</v>
      </c>
      <c r="C3596" t="s">
        <v>997</v>
      </c>
      <c r="D3596">
        <v>7975</v>
      </c>
      <c r="E3596">
        <v>140</v>
      </c>
      <c r="F3596" t="s">
        <v>1353</v>
      </c>
      <c r="G3596" t="s">
        <v>1354</v>
      </c>
      <c r="H3596" s="315" t="s">
        <v>1000</v>
      </c>
      <c r="I3596" s="315" t="s">
        <v>1276</v>
      </c>
      <c r="J3596" s="315" t="str">
        <f t="shared" si="301"/>
        <v xml:space="preserve">Admin &amp; OtherStaff Remuneration &amp; Benefits as % of Total Gross </v>
      </c>
      <c r="K3596" s="315" t="str">
        <f t="shared" si="302"/>
        <v>140Staff Benefits (Superannuation, FBT, ACC) - Toyota</v>
      </c>
      <c r="L3596" s="311">
        <f>+SUMIF('TUNZ Extracted TB'!M:M,$P3596,'TUNZ Extracted TB'!G:G)</f>
        <v>0</v>
      </c>
      <c r="M3596" s="311"/>
      <c r="N3596" s="311">
        <f>+SUMIF('Input Sheet'!$AE:$AE,P3596,'Input Sheet'!$X:$X)</f>
        <v>0</v>
      </c>
      <c r="O3596" s="311"/>
      <c r="P3596" t="str">
        <f t="shared" si="303"/>
        <v>140-7975</v>
      </c>
      <c r="Q3596" s="315" t="str">
        <f t="shared" si="304"/>
        <v>Admin &amp; Other</v>
      </c>
      <c r="R3596" s="315" t="str">
        <f t="shared" si="305"/>
        <v xml:space="preserve">Admin &amp; OtherStaff Remuneration &amp; Benefits as % of Total Gross </v>
      </c>
      <c r="S3596" s="199"/>
      <c r="T3596" s="199"/>
      <c r="U3596" s="199"/>
    </row>
    <row r="3597" spans="1:21" x14ac:dyDescent="0.25">
      <c r="A3597" t="s">
        <v>996</v>
      </c>
      <c r="B3597" t="s">
        <v>997</v>
      </c>
      <c r="C3597" t="s">
        <v>997</v>
      </c>
      <c r="D3597">
        <v>7975</v>
      </c>
      <c r="E3597">
        <v>142</v>
      </c>
      <c r="F3597" t="s">
        <v>1355</v>
      </c>
      <c r="G3597" t="s">
        <v>1356</v>
      </c>
      <c r="H3597" s="315" t="s">
        <v>1023</v>
      </c>
      <c r="I3597" s="315" t="s">
        <v>1276</v>
      </c>
      <c r="J3597" s="315" t="str">
        <f t="shared" si="301"/>
        <v xml:space="preserve">LEX Admin &amp; OtherStaff Remuneration &amp; Benefits as % of Total Gross </v>
      </c>
      <c r="K3597" s="315" t="str">
        <f t="shared" si="302"/>
        <v>142Staff Benefits (Superannuation, FBT, ACC) - Lexus</v>
      </c>
      <c r="L3597" s="311">
        <f>+SUMIF('TUNZ Extracted TB'!M:M,$P3597,'TUNZ Extracted TB'!G:G)</f>
        <v>0</v>
      </c>
      <c r="M3597" s="311"/>
      <c r="N3597" s="311">
        <f>+SUMIF('Input Sheet'!$AE:$AE,P3597,'Input Sheet'!$X:$X)</f>
        <v>0</v>
      </c>
      <c r="O3597" s="311"/>
      <c r="P3597" t="str">
        <f t="shared" si="303"/>
        <v>142-7975</v>
      </c>
      <c r="Q3597" s="315" t="str">
        <f t="shared" si="304"/>
        <v>LEX Admin &amp; Other</v>
      </c>
      <c r="R3597" s="315" t="str">
        <f t="shared" si="305"/>
        <v xml:space="preserve">LEX Admin &amp; OtherStaff Remuneration &amp; Benefits as % of Total Gross </v>
      </c>
      <c r="S3597" s="199"/>
      <c r="T3597" s="199"/>
      <c r="U3597" s="199"/>
    </row>
    <row r="3598" spans="1:21" x14ac:dyDescent="0.25">
      <c r="A3598" t="s">
        <v>996</v>
      </c>
      <c r="B3598" t="s">
        <v>997</v>
      </c>
      <c r="C3598" t="s">
        <v>997</v>
      </c>
      <c r="D3598">
        <v>7975</v>
      </c>
      <c r="E3598">
        <v>112</v>
      </c>
      <c r="F3598" t="s">
        <v>1355</v>
      </c>
      <c r="G3598" t="s">
        <v>1356</v>
      </c>
      <c r="H3598" s="315" t="s">
        <v>1023</v>
      </c>
      <c r="I3598" s="315" t="s">
        <v>1276</v>
      </c>
      <c r="J3598" s="315" t="str">
        <f t="shared" si="301"/>
        <v xml:space="preserve">LEX Admin &amp; OtherStaff Remuneration &amp; Benefits as % of Total Gross </v>
      </c>
      <c r="K3598" s="315" t="str">
        <f t="shared" si="302"/>
        <v>112Staff Benefits (Superannuation, FBT, ACC) - Lexus</v>
      </c>
      <c r="L3598" s="311">
        <f>+SUMIF('TUNZ Extracted TB'!M:M,$P3598,'TUNZ Extracted TB'!G:G)</f>
        <v>0</v>
      </c>
      <c r="M3598" s="311"/>
      <c r="N3598" s="311">
        <f>+SUMIF('Input Sheet'!$AE:$AE,P3598,'Input Sheet'!$X:$X)</f>
        <v>0</v>
      </c>
      <c r="O3598" s="311"/>
      <c r="P3598" t="str">
        <f t="shared" si="303"/>
        <v>112-7975</v>
      </c>
      <c r="Q3598" s="315" t="str">
        <f t="shared" si="304"/>
        <v>LEX Admin &amp; Other</v>
      </c>
      <c r="R3598" s="315" t="str">
        <f t="shared" si="305"/>
        <v xml:space="preserve">LEX Admin &amp; OtherStaff Remuneration &amp; Benefits as % of Total Gross </v>
      </c>
      <c r="S3598" s="199"/>
      <c r="T3598" s="199"/>
      <c r="U3598" s="199"/>
    </row>
    <row r="3599" spans="1:21" x14ac:dyDescent="0.25">
      <c r="A3599" t="s">
        <v>996</v>
      </c>
      <c r="B3599" t="s">
        <v>997</v>
      </c>
      <c r="C3599" t="s">
        <v>997</v>
      </c>
      <c r="D3599">
        <v>7975</v>
      </c>
      <c r="E3599">
        <v>100</v>
      </c>
      <c r="F3599" t="s">
        <v>1353</v>
      </c>
      <c r="G3599" t="s">
        <v>1354</v>
      </c>
      <c r="H3599" s="315" t="s">
        <v>1000</v>
      </c>
      <c r="I3599" s="315" t="s">
        <v>1276</v>
      </c>
      <c r="J3599" s="315" t="str">
        <f t="shared" si="301"/>
        <v xml:space="preserve">Admin &amp; OtherStaff Remuneration &amp; Benefits as % of Total Gross </v>
      </c>
      <c r="K3599" s="315" t="str">
        <f t="shared" si="302"/>
        <v>100Staff Benefits (Superannuation, FBT, ACC) - Toyota</v>
      </c>
      <c r="L3599" s="311">
        <f>+SUMIF('TUNZ Extracted TB'!M:M,$P3599,'TUNZ Extracted TB'!G:G)</f>
        <v>0</v>
      </c>
      <c r="M3599" s="311"/>
      <c r="N3599" s="311">
        <f>+SUMIF('Input Sheet'!$AE:$AE,P3599,'Input Sheet'!$X:$X)</f>
        <v>0</v>
      </c>
      <c r="O3599" s="311"/>
      <c r="P3599" t="str">
        <f t="shared" si="303"/>
        <v>100-7975</v>
      </c>
      <c r="Q3599" s="315" t="str">
        <f t="shared" si="304"/>
        <v>Admin &amp; Other</v>
      </c>
      <c r="R3599" s="315" t="str">
        <f t="shared" si="305"/>
        <v xml:space="preserve">Admin &amp; OtherStaff Remuneration &amp; Benefits as % of Total Gross </v>
      </c>
      <c r="S3599" s="199"/>
      <c r="T3599" s="199"/>
      <c r="U3599" s="199"/>
    </row>
    <row r="3600" spans="1:21" x14ac:dyDescent="0.25">
      <c r="A3600" t="s">
        <v>996</v>
      </c>
      <c r="B3600" t="s">
        <v>997</v>
      </c>
      <c r="C3600" t="s">
        <v>997</v>
      </c>
      <c r="D3600">
        <v>7975</v>
      </c>
      <c r="E3600">
        <v>110</v>
      </c>
      <c r="F3600" t="s">
        <v>1353</v>
      </c>
      <c r="G3600" t="s">
        <v>1354</v>
      </c>
      <c r="H3600" s="315" t="s">
        <v>1000</v>
      </c>
      <c r="I3600" s="315" t="s">
        <v>1276</v>
      </c>
      <c r="J3600" s="315" t="str">
        <f t="shared" si="301"/>
        <v xml:space="preserve">Admin &amp; OtherStaff Remuneration &amp; Benefits as % of Total Gross </v>
      </c>
      <c r="K3600" s="315" t="str">
        <f t="shared" si="302"/>
        <v>110Staff Benefits (Superannuation, FBT, ACC) - Toyota</v>
      </c>
      <c r="L3600" s="311">
        <f>+SUMIF('TUNZ Extracted TB'!M:M,$P3600,'TUNZ Extracted TB'!G:G)</f>
        <v>0</v>
      </c>
      <c r="M3600" s="311"/>
      <c r="N3600" s="311">
        <f>+SUMIF('Input Sheet'!$AE:$AE,P3600,'Input Sheet'!$X:$X)</f>
        <v>0</v>
      </c>
      <c r="O3600" s="311"/>
      <c r="P3600" t="str">
        <f t="shared" si="303"/>
        <v>110-7975</v>
      </c>
      <c r="Q3600" s="315" t="str">
        <f t="shared" si="304"/>
        <v>Admin &amp; Other</v>
      </c>
      <c r="R3600" s="315" t="str">
        <f t="shared" si="305"/>
        <v xml:space="preserve">Admin &amp; OtherStaff Remuneration &amp; Benefits as % of Total Gross </v>
      </c>
      <c r="S3600" s="199"/>
      <c r="T3600" s="199"/>
      <c r="U3600" s="199"/>
    </row>
    <row r="3601" spans="1:21" x14ac:dyDescent="0.25">
      <c r="A3601" t="s">
        <v>996</v>
      </c>
      <c r="B3601" t="s">
        <v>997</v>
      </c>
      <c r="C3601" t="s">
        <v>997</v>
      </c>
      <c r="D3601">
        <v>8500</v>
      </c>
      <c r="E3601">
        <v>122</v>
      </c>
      <c r="F3601" t="s">
        <v>1339</v>
      </c>
      <c r="G3601" t="s">
        <v>1340</v>
      </c>
      <c r="H3601" s="315" t="s">
        <v>1041</v>
      </c>
      <c r="I3601" s="315" t="s">
        <v>1341</v>
      </c>
      <c r="J3601" s="315" t="str">
        <f t="shared" si="301"/>
        <v>LEX Used VehicleFloorplan interest per retail</v>
      </c>
      <c r="K3601" s="315" t="str">
        <f t="shared" si="302"/>
        <v>122Lexus UV Floorplan Interest</v>
      </c>
      <c r="L3601" s="311">
        <f>+SUMIF('TUNZ Extracted TB'!M:M,$P3601,'TUNZ Extracted TB'!G:G)</f>
        <v>0</v>
      </c>
      <c r="M3601" s="311"/>
      <c r="N3601" s="311">
        <f>+SUMIF('Input Sheet'!$AE:$AE,P3601,'Input Sheet'!$X:$X)</f>
        <v>0</v>
      </c>
      <c r="O3601" s="311"/>
      <c r="P3601" t="str">
        <f t="shared" si="303"/>
        <v>122-8500</v>
      </c>
      <c r="Q3601" s="315" t="str">
        <f t="shared" si="304"/>
        <v>LEX Used Vehicle</v>
      </c>
      <c r="R3601" s="315" t="str">
        <f t="shared" si="305"/>
        <v>LEX Used VehicleFloorplan interest per retail</v>
      </c>
      <c r="S3601" s="199"/>
      <c r="T3601" s="199"/>
      <c r="U3601" s="199"/>
    </row>
    <row r="3602" spans="1:21" x14ac:dyDescent="0.25">
      <c r="A3602" t="s">
        <v>996</v>
      </c>
      <c r="B3602" t="s">
        <v>997</v>
      </c>
      <c r="C3602" t="s">
        <v>1013</v>
      </c>
      <c r="D3602">
        <v>8500</v>
      </c>
      <c r="E3602">
        <v>300</v>
      </c>
      <c r="F3602" t="s">
        <v>1024</v>
      </c>
      <c r="G3602" t="s">
        <v>1027</v>
      </c>
      <c r="H3602" s="315" t="s">
        <v>29</v>
      </c>
      <c r="I3602" s="315" t="s">
        <v>1026</v>
      </c>
      <c r="J3602" s="315" t="str">
        <f t="shared" si="301"/>
        <v>New VehicleOther Income per NV unit</v>
      </c>
      <c r="K3602" s="315" t="str">
        <f t="shared" si="302"/>
        <v>300New Vehicle Other Income - Toyota</v>
      </c>
      <c r="L3602" s="311">
        <f>+SUMIF('TUNZ Extracted TB'!M:M,$P3602,'TUNZ Extracted TB'!G:G)</f>
        <v>0</v>
      </c>
      <c r="M3602" s="311"/>
      <c r="N3602" s="311">
        <f>+SUMIF('Input Sheet'!$AE:$AE,P3602,'Input Sheet'!$X:$X)</f>
        <v>0</v>
      </c>
      <c r="O3602" s="311"/>
      <c r="P3602" t="str">
        <f t="shared" si="303"/>
        <v>300-8500</v>
      </c>
      <c r="Q3602" s="315" t="str">
        <f t="shared" si="304"/>
        <v>New Vehicle</v>
      </c>
      <c r="R3602" s="315" t="str">
        <f t="shared" si="305"/>
        <v>New VehicleOther Income per NV unit</v>
      </c>
      <c r="S3602" s="199"/>
      <c r="T3602" s="199"/>
      <c r="U3602" s="199"/>
    </row>
    <row r="3603" spans="1:21" x14ac:dyDescent="0.25">
      <c r="A3603" t="s">
        <v>996</v>
      </c>
      <c r="B3603" t="s">
        <v>997</v>
      </c>
      <c r="C3603" t="s">
        <v>1013</v>
      </c>
      <c r="D3603">
        <v>8500</v>
      </c>
      <c r="E3603">
        <v>310</v>
      </c>
      <c r="F3603" t="s">
        <v>1024</v>
      </c>
      <c r="G3603" t="s">
        <v>1027</v>
      </c>
      <c r="H3603" s="315" t="s">
        <v>29</v>
      </c>
      <c r="I3603" s="315" t="s">
        <v>1026</v>
      </c>
      <c r="J3603" s="315" t="str">
        <f t="shared" si="301"/>
        <v>New VehicleOther Income per NV unit</v>
      </c>
      <c r="K3603" s="315" t="str">
        <f t="shared" si="302"/>
        <v>310New Vehicle Other Income - Toyota</v>
      </c>
      <c r="L3603" s="311">
        <f>+SUMIF('TUNZ Extracted TB'!M:M,$P3603,'TUNZ Extracted TB'!G:G)</f>
        <v>0</v>
      </c>
      <c r="M3603" s="311"/>
      <c r="N3603" s="311">
        <f>+SUMIF('Input Sheet'!$AE:$AE,P3603,'Input Sheet'!$X:$X)</f>
        <v>0</v>
      </c>
      <c r="O3603" s="311"/>
      <c r="P3603" t="str">
        <f t="shared" si="303"/>
        <v>310-8500</v>
      </c>
      <c r="Q3603" s="315" t="str">
        <f t="shared" si="304"/>
        <v>New Vehicle</v>
      </c>
      <c r="R3603" s="315" t="str">
        <f t="shared" si="305"/>
        <v>New VehicleOther Income per NV unit</v>
      </c>
      <c r="S3603" s="199"/>
      <c r="T3603" s="199"/>
      <c r="U3603" s="199"/>
    </row>
    <row r="3604" spans="1:21" x14ac:dyDescent="0.25">
      <c r="A3604" t="s">
        <v>996</v>
      </c>
      <c r="B3604" t="s">
        <v>997</v>
      </c>
      <c r="C3604" t="s">
        <v>997</v>
      </c>
      <c r="D3604">
        <v>8500</v>
      </c>
      <c r="E3604">
        <v>100</v>
      </c>
      <c r="F3604" t="s">
        <v>1024</v>
      </c>
      <c r="G3604" t="s">
        <v>1027</v>
      </c>
      <c r="H3604" s="315" t="s">
        <v>29</v>
      </c>
      <c r="I3604" s="315" t="s">
        <v>1026</v>
      </c>
      <c r="J3604" s="315" t="str">
        <f t="shared" si="301"/>
        <v>New VehicleOther Income per NV unit</v>
      </c>
      <c r="K3604" s="315" t="str">
        <f t="shared" si="302"/>
        <v>100New Vehicle Other Income - Toyota</v>
      </c>
      <c r="L3604" s="311">
        <f>+SUMIF('TUNZ Extracted TB'!M:M,$P3604,'TUNZ Extracted TB'!G:G)</f>
        <v>0</v>
      </c>
      <c r="M3604" s="311"/>
      <c r="N3604" s="311">
        <f>+SUMIF('Input Sheet'!$AE:$AE,P3604,'Input Sheet'!$X:$X)</f>
        <v>0</v>
      </c>
      <c r="O3604" s="311"/>
      <c r="P3604" t="str">
        <f t="shared" si="303"/>
        <v>100-8500</v>
      </c>
      <c r="Q3604" s="315" t="str">
        <f t="shared" si="304"/>
        <v>New Vehicle</v>
      </c>
      <c r="R3604" s="315" t="str">
        <f t="shared" si="305"/>
        <v>New VehicleOther Income per NV unit</v>
      </c>
      <c r="S3604" s="199"/>
      <c r="T3604" s="199"/>
      <c r="U3604" s="199"/>
    </row>
    <row r="3605" spans="1:21" x14ac:dyDescent="0.25">
      <c r="A3605" t="s">
        <v>996</v>
      </c>
      <c r="B3605" t="s">
        <v>997</v>
      </c>
      <c r="C3605" t="s">
        <v>997</v>
      </c>
      <c r="D3605">
        <v>8500</v>
      </c>
      <c r="E3605">
        <v>110</v>
      </c>
      <c r="F3605" t="s">
        <v>1024</v>
      </c>
      <c r="G3605" t="s">
        <v>1027</v>
      </c>
      <c r="H3605" s="315" t="s">
        <v>29</v>
      </c>
      <c r="I3605" s="315" t="s">
        <v>1026</v>
      </c>
      <c r="J3605" s="315" t="str">
        <f t="shared" si="301"/>
        <v>New VehicleOther Income per NV unit</v>
      </c>
      <c r="K3605" s="315" t="str">
        <f t="shared" si="302"/>
        <v>110New Vehicle Other Income - Toyota</v>
      </c>
      <c r="L3605" s="311">
        <f>+SUMIF('TUNZ Extracted TB'!M:M,$P3605,'TUNZ Extracted TB'!G:G)</f>
        <v>0</v>
      </c>
      <c r="M3605" s="311"/>
      <c r="N3605" s="311">
        <f>+SUMIF('Input Sheet'!$AE:$AE,P3605,'Input Sheet'!$X:$X)</f>
        <v>0</v>
      </c>
      <c r="O3605" s="311"/>
      <c r="P3605" t="str">
        <f t="shared" si="303"/>
        <v>110-8500</v>
      </c>
      <c r="Q3605" s="315" t="str">
        <f t="shared" si="304"/>
        <v>New Vehicle</v>
      </c>
      <c r="R3605" s="315" t="str">
        <f t="shared" si="305"/>
        <v>New VehicleOther Income per NV unit</v>
      </c>
      <c r="S3605" s="199"/>
      <c r="T3605" s="199"/>
      <c r="U3605" s="199"/>
    </row>
    <row r="3606" spans="1:21" x14ac:dyDescent="0.25">
      <c r="A3606" t="s">
        <v>996</v>
      </c>
      <c r="B3606" t="s">
        <v>997</v>
      </c>
      <c r="C3606" t="s">
        <v>997</v>
      </c>
      <c r="D3606">
        <v>8500</v>
      </c>
      <c r="E3606">
        <v>112</v>
      </c>
      <c r="F3606" t="s">
        <v>1330</v>
      </c>
      <c r="G3606" t="s">
        <v>1331</v>
      </c>
      <c r="H3606" s="315" t="s">
        <v>1011</v>
      </c>
      <c r="I3606" s="315" t="s">
        <v>1026</v>
      </c>
      <c r="J3606" s="315" t="str">
        <f t="shared" si="301"/>
        <v>LEX New VehicleOther Income per NV unit</v>
      </c>
      <c r="K3606" s="315" t="str">
        <f t="shared" si="302"/>
        <v>112NV Lexus Interest expense</v>
      </c>
      <c r="L3606" s="311">
        <f>+SUMIF('TUNZ Extracted TB'!M:M,$P3606,'TUNZ Extracted TB'!G:G)</f>
        <v>0</v>
      </c>
      <c r="M3606" s="311"/>
      <c r="N3606" s="311">
        <f>+SUMIF('Input Sheet'!$AE:$AE,P3606,'Input Sheet'!$X:$X)</f>
        <v>0</v>
      </c>
      <c r="O3606" s="311"/>
      <c r="P3606" t="str">
        <f t="shared" si="303"/>
        <v>112-8500</v>
      </c>
      <c r="Q3606" s="315" t="str">
        <f t="shared" si="304"/>
        <v>LEX New Vehicle</v>
      </c>
      <c r="R3606" s="315" t="str">
        <f t="shared" si="305"/>
        <v>LEX New VehicleOther Income per NV unit</v>
      </c>
      <c r="S3606" s="199"/>
      <c r="T3606" s="199"/>
      <c r="U3606" s="199"/>
    </row>
    <row r="3607" spans="1:21" x14ac:dyDescent="0.25">
      <c r="A3607" t="s">
        <v>996</v>
      </c>
      <c r="B3607" t="s">
        <v>997</v>
      </c>
      <c r="C3607" t="s">
        <v>1005</v>
      </c>
      <c r="D3607">
        <v>8540</v>
      </c>
      <c r="E3607">
        <v>200</v>
      </c>
      <c r="F3607" t="s">
        <v>1024</v>
      </c>
      <c r="G3607" t="s">
        <v>1027</v>
      </c>
      <c r="H3607" s="315" t="s">
        <v>29</v>
      </c>
      <c r="I3607" s="315" t="s">
        <v>1026</v>
      </c>
      <c r="J3607" s="315" t="str">
        <f t="shared" si="301"/>
        <v>New VehicleOther Income per NV unit</v>
      </c>
      <c r="K3607" s="315" t="str">
        <f t="shared" si="302"/>
        <v>200New Vehicle Other Income - Toyota</v>
      </c>
      <c r="L3607" s="311">
        <f>+SUMIF('TUNZ Extracted TB'!M:M,$P3607,'TUNZ Extracted TB'!G:G)</f>
        <v>0</v>
      </c>
      <c r="M3607" s="311"/>
      <c r="N3607" s="311">
        <f>+SUMIF('Input Sheet'!$AE:$AE,P3607,'Input Sheet'!$X:$X)</f>
        <v>0</v>
      </c>
      <c r="O3607" s="311"/>
      <c r="P3607" t="str">
        <f t="shared" si="303"/>
        <v>200-8540</v>
      </c>
      <c r="Q3607" s="315" t="str">
        <f t="shared" si="304"/>
        <v>New Vehicle</v>
      </c>
      <c r="R3607" s="315" t="str">
        <f t="shared" si="305"/>
        <v>New VehicleOther Income per NV unit</v>
      </c>
      <c r="S3607" s="199"/>
      <c r="T3607" s="199"/>
      <c r="U3607" s="199"/>
    </row>
    <row r="3608" spans="1:21" x14ac:dyDescent="0.25">
      <c r="A3608" t="s">
        <v>996</v>
      </c>
      <c r="B3608" t="s">
        <v>997</v>
      </c>
      <c r="C3608" t="s">
        <v>997</v>
      </c>
      <c r="D3608">
        <v>8500</v>
      </c>
      <c r="E3608">
        <v>162</v>
      </c>
      <c r="F3608" t="s">
        <v>1455</v>
      </c>
      <c r="G3608" t="s">
        <v>1456</v>
      </c>
      <c r="H3608" s="315" t="s">
        <v>142</v>
      </c>
      <c r="I3608" s="315" t="s">
        <v>1457</v>
      </c>
      <c r="J3608" s="315" t="str">
        <f t="shared" si="301"/>
        <v>LEX F&amp;IF&amp;I Other Income per vehicle retailed</v>
      </c>
      <c r="K3608" s="315" t="str">
        <f t="shared" si="302"/>
        <v>162Other F&amp;I income - Lexus</v>
      </c>
      <c r="L3608" s="311">
        <f>+SUMIF('TUNZ Extracted TB'!M:M,$P3608,'TUNZ Extracted TB'!G:G)</f>
        <v>0</v>
      </c>
      <c r="M3608" s="311"/>
      <c r="N3608" s="311">
        <f>+SUMIF('Input Sheet'!$AE:$AE,P3608,'Input Sheet'!$X:$X)</f>
        <v>0</v>
      </c>
      <c r="O3608" s="311"/>
      <c r="P3608" t="str">
        <f t="shared" si="303"/>
        <v>162-8500</v>
      </c>
      <c r="Q3608" s="315" t="str">
        <f t="shared" si="304"/>
        <v>LEX F&amp;I</v>
      </c>
      <c r="R3608" s="315" t="str">
        <f t="shared" si="305"/>
        <v>LEX F&amp;IF&amp;I Other Income per vehicle retailed</v>
      </c>
      <c r="S3608" s="199"/>
      <c r="T3608" s="199"/>
      <c r="U3608" s="199"/>
    </row>
    <row r="3609" spans="1:21" x14ac:dyDescent="0.25">
      <c r="A3609" t="s">
        <v>996</v>
      </c>
      <c r="B3609" t="s">
        <v>997</v>
      </c>
      <c r="C3609" t="s">
        <v>1005</v>
      </c>
      <c r="D3609">
        <v>8500</v>
      </c>
      <c r="E3609">
        <v>260</v>
      </c>
      <c r="F3609" t="s">
        <v>1458</v>
      </c>
      <c r="G3609" t="s">
        <v>1459</v>
      </c>
      <c r="H3609" s="315" t="s">
        <v>16</v>
      </c>
      <c r="I3609" s="315" t="s">
        <v>1457</v>
      </c>
      <c r="J3609" s="315" t="str">
        <f t="shared" si="301"/>
        <v>F&amp;IF&amp;I Other Income per vehicle retailed</v>
      </c>
      <c r="K3609" s="315" t="str">
        <f t="shared" si="302"/>
        <v>260Other F&amp;I income - Toyota</v>
      </c>
      <c r="L3609" s="311">
        <f>+SUMIF('TUNZ Extracted TB'!M:M,$P3609,'TUNZ Extracted TB'!G:G)</f>
        <v>0</v>
      </c>
      <c r="M3609" s="311"/>
      <c r="N3609" s="311">
        <f>+SUMIF('Input Sheet'!$AE:$AE,P3609,'Input Sheet'!$X:$X)</f>
        <v>0</v>
      </c>
      <c r="O3609" s="311"/>
      <c r="P3609" t="str">
        <f t="shared" si="303"/>
        <v>260-8500</v>
      </c>
      <c r="Q3609" s="315" t="str">
        <f t="shared" si="304"/>
        <v>F&amp;I</v>
      </c>
      <c r="R3609" s="315" t="str">
        <f t="shared" si="305"/>
        <v>F&amp;IF&amp;I Other Income per vehicle retailed</v>
      </c>
      <c r="S3609" s="199"/>
      <c r="T3609" s="199"/>
      <c r="U3609" s="199"/>
    </row>
    <row r="3610" spans="1:21" x14ac:dyDescent="0.25">
      <c r="A3610" t="s">
        <v>996</v>
      </c>
      <c r="B3610" t="s">
        <v>997</v>
      </c>
      <c r="C3610" t="s">
        <v>1012</v>
      </c>
      <c r="D3610">
        <v>8500</v>
      </c>
      <c r="E3610">
        <v>460</v>
      </c>
      <c r="F3610" t="s">
        <v>1458</v>
      </c>
      <c r="G3610" t="s">
        <v>1459</v>
      </c>
      <c r="H3610" s="315" t="s">
        <v>16</v>
      </c>
      <c r="I3610" s="315" t="s">
        <v>1457</v>
      </c>
      <c r="J3610" s="315" t="str">
        <f t="shared" si="301"/>
        <v>F&amp;IF&amp;I Other Income per vehicle retailed</v>
      </c>
      <c r="K3610" s="315" t="str">
        <f t="shared" si="302"/>
        <v>460Other F&amp;I income - Toyota</v>
      </c>
      <c r="L3610" s="311">
        <f>+SUMIF('TUNZ Extracted TB'!M:M,$P3610,'TUNZ Extracted TB'!G:G)</f>
        <v>0</v>
      </c>
      <c r="M3610" s="311"/>
      <c r="N3610" s="311">
        <f>+SUMIF('Input Sheet'!$AE:$AE,P3610,'Input Sheet'!$X:$X)</f>
        <v>0</v>
      </c>
      <c r="O3610" s="311"/>
      <c r="P3610" t="str">
        <f t="shared" si="303"/>
        <v>460-8500</v>
      </c>
      <c r="Q3610" s="315" t="str">
        <f t="shared" si="304"/>
        <v>F&amp;I</v>
      </c>
      <c r="R3610" s="315" t="str">
        <f t="shared" si="305"/>
        <v>F&amp;IF&amp;I Other Income per vehicle retailed</v>
      </c>
      <c r="S3610" s="199"/>
      <c r="T3610" s="199"/>
      <c r="U3610" s="199"/>
    </row>
    <row r="3611" spans="1:21" x14ac:dyDescent="0.25">
      <c r="A3611" t="s">
        <v>996</v>
      </c>
      <c r="B3611" t="s">
        <v>997</v>
      </c>
      <c r="C3611" t="s">
        <v>1013</v>
      </c>
      <c r="D3611">
        <v>8500</v>
      </c>
      <c r="E3611">
        <v>360</v>
      </c>
      <c r="F3611" t="s">
        <v>1458</v>
      </c>
      <c r="G3611" t="s">
        <v>1459</v>
      </c>
      <c r="H3611" s="315" t="s">
        <v>16</v>
      </c>
      <c r="I3611" s="315" t="s">
        <v>1457</v>
      </c>
      <c r="J3611" s="315" t="str">
        <f t="shared" si="301"/>
        <v>F&amp;IF&amp;I Other Income per vehicle retailed</v>
      </c>
      <c r="K3611" s="315" t="str">
        <f t="shared" si="302"/>
        <v>360Other F&amp;I income - Toyota</v>
      </c>
      <c r="L3611" s="311">
        <f>+SUMIF('TUNZ Extracted TB'!M:M,$P3611,'TUNZ Extracted TB'!G:G)</f>
        <v>0</v>
      </c>
      <c r="M3611" s="311"/>
      <c r="N3611" s="311">
        <f>+SUMIF('Input Sheet'!$AE:$AE,P3611,'Input Sheet'!$X:$X)</f>
        <v>0</v>
      </c>
      <c r="O3611" s="311"/>
      <c r="P3611" t="str">
        <f t="shared" si="303"/>
        <v>360-8500</v>
      </c>
      <c r="Q3611" s="315" t="str">
        <f t="shared" si="304"/>
        <v>F&amp;I</v>
      </c>
      <c r="R3611" s="315" t="str">
        <f t="shared" si="305"/>
        <v>F&amp;IF&amp;I Other Income per vehicle retailed</v>
      </c>
      <c r="S3611" s="199"/>
      <c r="T3611" s="199"/>
      <c r="U3611" s="199"/>
    </row>
    <row r="3612" spans="1:21" x14ac:dyDescent="0.25">
      <c r="A3612" t="s">
        <v>996</v>
      </c>
      <c r="B3612" t="s">
        <v>997</v>
      </c>
      <c r="C3612" t="s">
        <v>997</v>
      </c>
      <c r="D3612">
        <v>8500</v>
      </c>
      <c r="E3612">
        <v>160</v>
      </c>
      <c r="F3612" t="s">
        <v>1458</v>
      </c>
      <c r="G3612" t="s">
        <v>1459</v>
      </c>
      <c r="H3612" s="315" t="s">
        <v>16</v>
      </c>
      <c r="I3612" s="315" t="s">
        <v>1457</v>
      </c>
      <c r="J3612" s="315" t="str">
        <f t="shared" si="301"/>
        <v>F&amp;IF&amp;I Other Income per vehicle retailed</v>
      </c>
      <c r="K3612" s="315" t="str">
        <f t="shared" si="302"/>
        <v>160Other F&amp;I income - Toyota</v>
      </c>
      <c r="L3612" s="311">
        <f>+SUMIF('TUNZ Extracted TB'!M:M,$P3612,'TUNZ Extracted TB'!G:G)</f>
        <v>0</v>
      </c>
      <c r="M3612" s="311"/>
      <c r="N3612" s="311">
        <f>+SUMIF('Input Sheet'!$AE:$AE,P3612,'Input Sheet'!$X:$X)</f>
        <v>0</v>
      </c>
      <c r="O3612" s="311"/>
      <c r="P3612" t="str">
        <f t="shared" si="303"/>
        <v>160-8500</v>
      </c>
      <c r="Q3612" s="315" t="str">
        <f t="shared" si="304"/>
        <v>F&amp;I</v>
      </c>
      <c r="R3612" s="315" t="str">
        <f t="shared" si="305"/>
        <v>F&amp;IF&amp;I Other Income per vehicle retailed</v>
      </c>
      <c r="S3612" s="199"/>
      <c r="T3612" s="199"/>
      <c r="U3612" s="199"/>
    </row>
    <row r="3613" spans="1:21" x14ac:dyDescent="0.25">
      <c r="A3613" t="s">
        <v>996</v>
      </c>
      <c r="B3613" t="s">
        <v>997</v>
      </c>
      <c r="C3613" t="s">
        <v>997</v>
      </c>
      <c r="D3613">
        <v>8500</v>
      </c>
      <c r="E3613">
        <v>936</v>
      </c>
      <c r="F3613" t="s">
        <v>1175</v>
      </c>
      <c r="G3613" t="s">
        <v>1176</v>
      </c>
      <c r="H3613" s="315" t="s">
        <v>1023</v>
      </c>
      <c r="I3613" s="315" t="s">
        <v>1001</v>
      </c>
      <c r="J3613" s="315" t="str">
        <f t="shared" si="301"/>
        <v>LEX Admin &amp; OtherOther Overheads as % of Total Gross Profit</v>
      </c>
      <c r="K3613" s="315" t="str">
        <f t="shared" si="302"/>
        <v>936Other franchise/business expense</v>
      </c>
      <c r="L3613" s="311">
        <f>+SUMIF('TUNZ Extracted TB'!M:M,$P3613,'TUNZ Extracted TB'!G:G)</f>
        <v>0</v>
      </c>
      <c r="M3613" s="311"/>
      <c r="N3613" s="311">
        <f>+SUMIF('Input Sheet'!$AE:$AE,P3613,'Input Sheet'!$X:$X)</f>
        <v>0</v>
      </c>
      <c r="O3613" s="311"/>
      <c r="P3613" t="str">
        <f t="shared" si="303"/>
        <v>936-8500</v>
      </c>
      <c r="Q3613" s="315" t="str">
        <f t="shared" si="304"/>
        <v>LEX Admin &amp; Other</v>
      </c>
      <c r="R3613" s="315" t="str">
        <f t="shared" si="305"/>
        <v>LEX Admin &amp; OtherOther Overheads as % of Total Gross Profit</v>
      </c>
      <c r="S3613" s="199"/>
      <c r="T3613" s="199"/>
      <c r="U3613" s="199"/>
    </row>
    <row r="3614" spans="1:21" x14ac:dyDescent="0.25">
      <c r="A3614" t="s">
        <v>996</v>
      </c>
      <c r="B3614" t="s">
        <v>997</v>
      </c>
      <c r="C3614" t="s">
        <v>997</v>
      </c>
      <c r="D3614">
        <v>8500</v>
      </c>
      <c r="E3614">
        <v>935</v>
      </c>
      <c r="F3614" t="s">
        <v>1175</v>
      </c>
      <c r="G3614" t="s">
        <v>1176</v>
      </c>
      <c r="H3614" s="315" t="s">
        <v>1023</v>
      </c>
      <c r="I3614" s="315" t="s">
        <v>1001</v>
      </c>
      <c r="J3614" s="315" t="str">
        <f t="shared" si="301"/>
        <v>LEX Admin &amp; OtherOther Overheads as % of Total Gross Profit</v>
      </c>
      <c r="K3614" s="315" t="str">
        <f t="shared" si="302"/>
        <v>935Other franchise/business expense</v>
      </c>
      <c r="L3614" s="311">
        <f>+SUMIF('TUNZ Extracted TB'!M:M,$P3614,'TUNZ Extracted TB'!G:G)</f>
        <v>0</v>
      </c>
      <c r="M3614" s="311"/>
      <c r="N3614" s="311">
        <f>+SUMIF('Input Sheet'!$AE:$AE,P3614,'Input Sheet'!$X:$X)</f>
        <v>0</v>
      </c>
      <c r="O3614" s="311"/>
      <c r="P3614" t="str">
        <f t="shared" si="303"/>
        <v>935-8500</v>
      </c>
      <c r="Q3614" s="315" t="str">
        <f t="shared" si="304"/>
        <v>LEX Admin &amp; Other</v>
      </c>
      <c r="R3614" s="315" t="str">
        <f t="shared" si="305"/>
        <v>LEX Admin &amp; OtherOther Overheads as % of Total Gross Profit</v>
      </c>
      <c r="S3614" s="199"/>
      <c r="T3614" s="199"/>
      <c r="U3614" s="199"/>
    </row>
    <row r="3615" spans="1:21" x14ac:dyDescent="0.25">
      <c r="A3615" t="s">
        <v>996</v>
      </c>
      <c r="B3615" t="s">
        <v>997</v>
      </c>
      <c r="C3615" t="s">
        <v>1005</v>
      </c>
      <c r="D3615">
        <v>8500</v>
      </c>
      <c r="E3615">
        <v>230</v>
      </c>
      <c r="F3615" t="s">
        <v>1098</v>
      </c>
      <c r="G3615" t="s">
        <v>1099</v>
      </c>
      <c r="H3615" s="315" t="s">
        <v>1000</v>
      </c>
      <c r="I3615" s="315" t="s">
        <v>1001</v>
      </c>
      <c r="J3615" s="315" t="str">
        <f t="shared" si="301"/>
        <v>Admin &amp; OtherOther Overheads as % of Total Gross Profit</v>
      </c>
      <c r="K3615" s="315" t="str">
        <f t="shared" si="302"/>
        <v>230Other Income - Toyota</v>
      </c>
      <c r="L3615" s="311">
        <f>+SUMIF('TUNZ Extracted TB'!M:M,$P3615,'TUNZ Extracted TB'!G:G)</f>
        <v>0</v>
      </c>
      <c r="M3615" s="311"/>
      <c r="N3615" s="311">
        <f>+SUMIF('Input Sheet'!$AE:$AE,P3615,'Input Sheet'!$X:$X)</f>
        <v>0</v>
      </c>
      <c r="O3615" s="311"/>
      <c r="P3615" t="str">
        <f t="shared" si="303"/>
        <v>230-8500</v>
      </c>
      <c r="Q3615" s="315" t="str">
        <f t="shared" si="304"/>
        <v>Admin &amp; Other</v>
      </c>
      <c r="R3615" s="315" t="str">
        <f t="shared" si="305"/>
        <v>Admin &amp; OtherOther Overheads as % of Total Gross Profit</v>
      </c>
      <c r="S3615" s="199"/>
      <c r="T3615" s="199"/>
      <c r="U3615" s="199"/>
    </row>
    <row r="3616" spans="1:21" x14ac:dyDescent="0.25">
      <c r="A3616" t="s">
        <v>996</v>
      </c>
      <c r="B3616" t="s">
        <v>997</v>
      </c>
      <c r="C3616" t="s">
        <v>1005</v>
      </c>
      <c r="D3616">
        <v>8500</v>
      </c>
      <c r="E3616">
        <v>240</v>
      </c>
      <c r="F3616" t="s">
        <v>1098</v>
      </c>
      <c r="G3616" t="s">
        <v>1099</v>
      </c>
      <c r="H3616" s="315" t="s">
        <v>1000</v>
      </c>
      <c r="I3616" s="315" t="s">
        <v>1001</v>
      </c>
      <c r="J3616" s="315" t="str">
        <f t="shared" si="301"/>
        <v>Admin &amp; OtherOther Overheads as % of Total Gross Profit</v>
      </c>
      <c r="K3616" s="315" t="str">
        <f t="shared" si="302"/>
        <v>240Other Income - Toyota</v>
      </c>
      <c r="L3616" s="311">
        <f>+SUMIF('TUNZ Extracted TB'!M:M,$P3616,'TUNZ Extracted TB'!G:G)</f>
        <v>0</v>
      </c>
      <c r="M3616" s="311"/>
      <c r="N3616" s="311">
        <f>+SUMIF('Input Sheet'!$AE:$AE,P3616,'Input Sheet'!$X:$X)</f>
        <v>0</v>
      </c>
      <c r="O3616" s="311"/>
      <c r="P3616" t="str">
        <f t="shared" si="303"/>
        <v>240-8500</v>
      </c>
      <c r="Q3616" s="315" t="str">
        <f t="shared" si="304"/>
        <v>Admin &amp; Other</v>
      </c>
      <c r="R3616" s="315" t="str">
        <f t="shared" si="305"/>
        <v>Admin &amp; OtherOther Overheads as % of Total Gross Profit</v>
      </c>
      <c r="S3616" s="199"/>
      <c r="T3616" s="199"/>
      <c r="U3616" s="199"/>
    </row>
    <row r="3617" spans="1:21" x14ac:dyDescent="0.25">
      <c r="A3617" t="s">
        <v>996</v>
      </c>
      <c r="B3617" t="s">
        <v>997</v>
      </c>
      <c r="C3617" t="s">
        <v>1012</v>
      </c>
      <c r="D3617">
        <v>8500</v>
      </c>
      <c r="E3617">
        <v>430</v>
      </c>
      <c r="F3617" t="s">
        <v>1098</v>
      </c>
      <c r="G3617" t="s">
        <v>1099</v>
      </c>
      <c r="H3617" s="315" t="s">
        <v>1000</v>
      </c>
      <c r="I3617" s="315" t="s">
        <v>1001</v>
      </c>
      <c r="J3617" s="315" t="str">
        <f t="shared" si="301"/>
        <v>Admin &amp; OtherOther Overheads as % of Total Gross Profit</v>
      </c>
      <c r="K3617" s="315" t="str">
        <f t="shared" si="302"/>
        <v>430Other Income - Toyota</v>
      </c>
      <c r="L3617" s="311">
        <f>+SUMIF('TUNZ Extracted TB'!M:M,$P3617,'TUNZ Extracted TB'!G:G)</f>
        <v>0</v>
      </c>
      <c r="M3617" s="311"/>
      <c r="N3617" s="311">
        <f>+SUMIF('Input Sheet'!$AE:$AE,P3617,'Input Sheet'!$X:$X)</f>
        <v>0</v>
      </c>
      <c r="O3617" s="311"/>
      <c r="P3617" t="str">
        <f t="shared" si="303"/>
        <v>430-8500</v>
      </c>
      <c r="Q3617" s="315" t="str">
        <f t="shared" si="304"/>
        <v>Admin &amp; Other</v>
      </c>
      <c r="R3617" s="315" t="str">
        <f t="shared" si="305"/>
        <v>Admin &amp; OtherOther Overheads as % of Total Gross Profit</v>
      </c>
      <c r="S3617" s="199"/>
      <c r="T3617" s="199"/>
      <c r="U3617" s="199"/>
    </row>
    <row r="3618" spans="1:21" x14ac:dyDescent="0.25">
      <c r="A3618" t="s">
        <v>996</v>
      </c>
      <c r="B3618" t="s">
        <v>997</v>
      </c>
      <c r="C3618" t="s">
        <v>1012</v>
      </c>
      <c r="D3618">
        <v>8500</v>
      </c>
      <c r="E3618">
        <v>440</v>
      </c>
      <c r="F3618" t="s">
        <v>1098</v>
      </c>
      <c r="G3618" t="s">
        <v>1099</v>
      </c>
      <c r="H3618" s="315" t="s">
        <v>1000</v>
      </c>
      <c r="I3618" s="315" t="s">
        <v>1001</v>
      </c>
      <c r="J3618" s="315" t="str">
        <f t="shared" si="301"/>
        <v>Admin &amp; OtherOther Overheads as % of Total Gross Profit</v>
      </c>
      <c r="K3618" s="315" t="str">
        <f t="shared" si="302"/>
        <v>440Other Income - Toyota</v>
      </c>
      <c r="L3618" s="311">
        <f>+SUMIF('TUNZ Extracted TB'!M:M,$P3618,'TUNZ Extracted TB'!G:G)</f>
        <v>0</v>
      </c>
      <c r="M3618" s="311"/>
      <c r="N3618" s="311">
        <f>+SUMIF('Input Sheet'!$AE:$AE,P3618,'Input Sheet'!$X:$X)</f>
        <v>0</v>
      </c>
      <c r="O3618" s="311"/>
      <c r="P3618" t="str">
        <f t="shared" si="303"/>
        <v>440-8500</v>
      </c>
      <c r="Q3618" s="315" t="str">
        <f t="shared" si="304"/>
        <v>Admin &amp; Other</v>
      </c>
      <c r="R3618" s="315" t="str">
        <f t="shared" si="305"/>
        <v>Admin &amp; OtherOther Overheads as % of Total Gross Profit</v>
      </c>
      <c r="S3618" s="199"/>
      <c r="T3618" s="199"/>
      <c r="U3618" s="199"/>
    </row>
    <row r="3619" spans="1:21" x14ac:dyDescent="0.25">
      <c r="A3619" t="s">
        <v>996</v>
      </c>
      <c r="B3619" t="s">
        <v>997</v>
      </c>
      <c r="C3619" t="s">
        <v>1013</v>
      </c>
      <c r="D3619">
        <v>8500</v>
      </c>
      <c r="E3619">
        <v>330</v>
      </c>
      <c r="F3619" t="s">
        <v>1098</v>
      </c>
      <c r="G3619" t="s">
        <v>1099</v>
      </c>
      <c r="H3619" s="315" t="s">
        <v>1000</v>
      </c>
      <c r="I3619" s="315" t="s">
        <v>1001</v>
      </c>
      <c r="J3619" s="315" t="str">
        <f t="shared" si="301"/>
        <v>Admin &amp; OtherOther Overheads as % of Total Gross Profit</v>
      </c>
      <c r="K3619" s="315" t="str">
        <f t="shared" si="302"/>
        <v>330Other Income - Toyota</v>
      </c>
      <c r="L3619" s="311">
        <f>+SUMIF('TUNZ Extracted TB'!M:M,$P3619,'TUNZ Extracted TB'!G:G)</f>
        <v>0</v>
      </c>
      <c r="M3619" s="311"/>
      <c r="N3619" s="311">
        <f>+SUMIF('Input Sheet'!$AE:$AE,P3619,'Input Sheet'!$X:$X)</f>
        <v>0</v>
      </c>
      <c r="O3619" s="311"/>
      <c r="P3619" t="str">
        <f t="shared" si="303"/>
        <v>330-8500</v>
      </c>
      <c r="Q3619" s="315" t="str">
        <f t="shared" si="304"/>
        <v>Admin &amp; Other</v>
      </c>
      <c r="R3619" s="315" t="str">
        <f t="shared" si="305"/>
        <v>Admin &amp; OtherOther Overheads as % of Total Gross Profit</v>
      </c>
      <c r="S3619" s="199"/>
      <c r="T3619" s="199"/>
      <c r="U3619" s="199"/>
    </row>
    <row r="3620" spans="1:21" x14ac:dyDescent="0.25">
      <c r="A3620" t="s">
        <v>996</v>
      </c>
      <c r="B3620" t="s">
        <v>997</v>
      </c>
      <c r="C3620" t="s">
        <v>1013</v>
      </c>
      <c r="D3620">
        <v>8500</v>
      </c>
      <c r="E3620">
        <v>340</v>
      </c>
      <c r="F3620" t="s">
        <v>1098</v>
      </c>
      <c r="G3620" t="s">
        <v>1099</v>
      </c>
      <c r="H3620" s="315" t="s">
        <v>1000</v>
      </c>
      <c r="I3620" s="315" t="s">
        <v>1001</v>
      </c>
      <c r="J3620" s="315" t="str">
        <f t="shared" si="301"/>
        <v>Admin &amp; OtherOther Overheads as % of Total Gross Profit</v>
      </c>
      <c r="K3620" s="315" t="str">
        <f t="shared" si="302"/>
        <v>340Other Income - Toyota</v>
      </c>
      <c r="L3620" s="311">
        <f>+SUMIF('TUNZ Extracted TB'!M:M,$P3620,'TUNZ Extracted TB'!G:G)</f>
        <v>0</v>
      </c>
      <c r="M3620" s="311"/>
      <c r="N3620" s="311">
        <f>+SUMIF('Input Sheet'!$AE:$AE,P3620,'Input Sheet'!$X:$X)</f>
        <v>0</v>
      </c>
      <c r="O3620" s="311"/>
      <c r="P3620" t="str">
        <f t="shared" si="303"/>
        <v>340-8500</v>
      </c>
      <c r="Q3620" s="315" t="str">
        <f t="shared" si="304"/>
        <v>Admin &amp; Other</v>
      </c>
      <c r="R3620" s="315" t="str">
        <f t="shared" si="305"/>
        <v>Admin &amp; OtherOther Overheads as % of Total Gross Profit</v>
      </c>
      <c r="S3620" s="199"/>
      <c r="T3620" s="199"/>
      <c r="U3620" s="199"/>
    </row>
    <row r="3621" spans="1:21" x14ac:dyDescent="0.25">
      <c r="A3621" t="s">
        <v>996</v>
      </c>
      <c r="B3621" t="s">
        <v>997</v>
      </c>
      <c r="C3621" t="s">
        <v>997</v>
      </c>
      <c r="D3621">
        <v>8500</v>
      </c>
      <c r="E3621">
        <v>147</v>
      </c>
      <c r="F3621" t="s">
        <v>1098</v>
      </c>
      <c r="G3621" t="s">
        <v>1099</v>
      </c>
      <c r="H3621" s="315" t="s">
        <v>1000</v>
      </c>
      <c r="I3621" s="315" t="s">
        <v>1001</v>
      </c>
      <c r="J3621" s="315" t="str">
        <f t="shared" si="301"/>
        <v>Admin &amp; OtherOther Overheads as % of Total Gross Profit</v>
      </c>
      <c r="K3621" s="315" t="str">
        <f t="shared" si="302"/>
        <v>147Other Income - Toyota</v>
      </c>
      <c r="L3621" s="311">
        <f>+SUMIF('TUNZ Extracted TB'!M:M,$P3621,'TUNZ Extracted TB'!G:G)</f>
        <v>0</v>
      </c>
      <c r="M3621" s="311"/>
      <c r="N3621" s="311">
        <f>+SUMIF('Input Sheet'!$AE:$AE,P3621,'Input Sheet'!$X:$X)</f>
        <v>0</v>
      </c>
      <c r="O3621" s="311"/>
      <c r="P3621" t="str">
        <f t="shared" si="303"/>
        <v>147-8500</v>
      </c>
      <c r="Q3621" s="315" t="str">
        <f t="shared" si="304"/>
        <v>Admin &amp; Other</v>
      </c>
      <c r="R3621" s="315" t="str">
        <f t="shared" si="305"/>
        <v>Admin &amp; OtherOther Overheads as % of Total Gross Profit</v>
      </c>
      <c r="S3621" s="199"/>
      <c r="T3621" s="199"/>
      <c r="U3621" s="199"/>
    </row>
    <row r="3622" spans="1:21" x14ac:dyDescent="0.25">
      <c r="A3622" t="s">
        <v>996</v>
      </c>
      <c r="B3622" t="s">
        <v>997</v>
      </c>
      <c r="C3622" t="s">
        <v>997</v>
      </c>
      <c r="D3622">
        <v>8500</v>
      </c>
      <c r="E3622">
        <v>170</v>
      </c>
      <c r="F3622" t="s">
        <v>1098</v>
      </c>
      <c r="G3622" t="s">
        <v>1099</v>
      </c>
      <c r="H3622" s="315" t="s">
        <v>1000</v>
      </c>
      <c r="I3622" s="315" t="s">
        <v>1001</v>
      </c>
      <c r="J3622" s="315" t="str">
        <f t="shared" si="301"/>
        <v>Admin &amp; OtherOther Overheads as % of Total Gross Profit</v>
      </c>
      <c r="K3622" s="315" t="str">
        <f t="shared" si="302"/>
        <v>170Other Income - Toyota</v>
      </c>
      <c r="L3622" s="311">
        <f>+SUMIF('TUNZ Extracted TB'!M:M,$P3622,'TUNZ Extracted TB'!G:G)</f>
        <v>0</v>
      </c>
      <c r="M3622" s="311"/>
      <c r="N3622" s="311">
        <f>+SUMIF('Input Sheet'!$AE:$AE,P3622,'Input Sheet'!$X:$X)</f>
        <v>0</v>
      </c>
      <c r="O3622" s="311"/>
      <c r="P3622" t="str">
        <f t="shared" si="303"/>
        <v>170-8500</v>
      </c>
      <c r="Q3622" s="315" t="str">
        <f t="shared" si="304"/>
        <v>Admin &amp; Other</v>
      </c>
      <c r="R3622" s="315" t="str">
        <f t="shared" si="305"/>
        <v>Admin &amp; OtherOther Overheads as % of Total Gross Profit</v>
      </c>
      <c r="S3622" s="199"/>
      <c r="T3622" s="199"/>
      <c r="U3622" s="199"/>
    </row>
    <row r="3623" spans="1:21" x14ac:dyDescent="0.25">
      <c r="A3623" t="s">
        <v>996</v>
      </c>
      <c r="B3623" t="s">
        <v>997</v>
      </c>
      <c r="C3623" t="s">
        <v>1005</v>
      </c>
      <c r="D3623">
        <v>8500</v>
      </c>
      <c r="E3623">
        <v>220</v>
      </c>
      <c r="F3623" t="s">
        <v>1342</v>
      </c>
      <c r="G3623" t="s">
        <v>1343</v>
      </c>
      <c r="H3623" s="315" t="s">
        <v>30</v>
      </c>
      <c r="I3623" s="315" t="s">
        <v>1341</v>
      </c>
      <c r="J3623" s="315" t="str">
        <f t="shared" si="301"/>
        <v>Used VehicleFloorplan interest per retail</v>
      </c>
      <c r="K3623" s="315" t="str">
        <f t="shared" si="302"/>
        <v>220Toyota UV Floorplan Interest</v>
      </c>
      <c r="L3623" s="311">
        <f>+SUMIF('TUNZ Extracted TB'!M:M,$P3623,'TUNZ Extracted TB'!G:G)</f>
        <v>0</v>
      </c>
      <c r="M3623" s="311"/>
      <c r="N3623" s="311">
        <f>+SUMIF('Input Sheet'!$AE:$AE,P3623,'Input Sheet'!$X:$X)</f>
        <v>0</v>
      </c>
      <c r="O3623" s="311"/>
      <c r="P3623" t="str">
        <f t="shared" si="303"/>
        <v>220-8500</v>
      </c>
      <c r="Q3623" s="315" t="str">
        <f t="shared" si="304"/>
        <v>Used Vehicle</v>
      </c>
      <c r="R3623" s="315" t="str">
        <f t="shared" si="305"/>
        <v>Used VehicleFloorplan interest per retail</v>
      </c>
      <c r="S3623" s="199"/>
      <c r="T3623" s="199"/>
      <c r="U3623" s="199"/>
    </row>
    <row r="3624" spans="1:21" x14ac:dyDescent="0.25">
      <c r="A3624" t="s">
        <v>996</v>
      </c>
      <c r="B3624" t="s">
        <v>997</v>
      </c>
      <c r="C3624" t="s">
        <v>1005</v>
      </c>
      <c r="D3624">
        <v>8500</v>
      </c>
      <c r="E3624">
        <v>221</v>
      </c>
      <c r="F3624" t="s">
        <v>1342</v>
      </c>
      <c r="G3624" t="s">
        <v>1343</v>
      </c>
      <c r="H3624" s="315" t="s">
        <v>30</v>
      </c>
      <c r="I3624" s="315" t="s">
        <v>1341</v>
      </c>
      <c r="J3624" s="315" t="str">
        <f t="shared" si="301"/>
        <v>Used VehicleFloorplan interest per retail</v>
      </c>
      <c r="K3624" s="315" t="str">
        <f t="shared" si="302"/>
        <v>221Toyota UV Floorplan Interest</v>
      </c>
      <c r="L3624" s="311">
        <f>+SUMIF('TUNZ Extracted TB'!M:M,$P3624,'TUNZ Extracted TB'!G:G)</f>
        <v>0</v>
      </c>
      <c r="M3624" s="311"/>
      <c r="N3624" s="311">
        <f>+SUMIF('Input Sheet'!$AE:$AE,P3624,'Input Sheet'!$X:$X)</f>
        <v>0</v>
      </c>
      <c r="O3624" s="311"/>
      <c r="P3624" t="str">
        <f t="shared" si="303"/>
        <v>221-8500</v>
      </c>
      <c r="Q3624" s="315" t="str">
        <f t="shared" si="304"/>
        <v>Used Vehicle</v>
      </c>
      <c r="R3624" s="315" t="str">
        <f t="shared" si="305"/>
        <v>Used VehicleFloorplan interest per retail</v>
      </c>
      <c r="S3624" s="199"/>
      <c r="T3624" s="199"/>
      <c r="U3624" s="199"/>
    </row>
    <row r="3625" spans="1:21" x14ac:dyDescent="0.25">
      <c r="A3625" t="s">
        <v>996</v>
      </c>
      <c r="B3625" t="s">
        <v>997</v>
      </c>
      <c r="C3625" t="s">
        <v>1012</v>
      </c>
      <c r="D3625">
        <v>8500</v>
      </c>
      <c r="E3625">
        <v>420</v>
      </c>
      <c r="F3625" t="s">
        <v>1342</v>
      </c>
      <c r="G3625" t="s">
        <v>1343</v>
      </c>
      <c r="H3625" s="315" t="s">
        <v>30</v>
      </c>
      <c r="I3625" s="315" t="s">
        <v>1341</v>
      </c>
      <c r="J3625" s="315" t="str">
        <f t="shared" si="301"/>
        <v>Used VehicleFloorplan interest per retail</v>
      </c>
      <c r="K3625" s="315" t="str">
        <f t="shared" si="302"/>
        <v>420Toyota UV Floorplan Interest</v>
      </c>
      <c r="L3625" s="311">
        <f>+SUMIF('TUNZ Extracted TB'!M:M,$P3625,'TUNZ Extracted TB'!G:G)</f>
        <v>0</v>
      </c>
      <c r="M3625" s="311"/>
      <c r="N3625" s="311">
        <f>+SUMIF('Input Sheet'!$AE:$AE,P3625,'Input Sheet'!$X:$X)</f>
        <v>0</v>
      </c>
      <c r="O3625" s="311"/>
      <c r="P3625" t="str">
        <f t="shared" si="303"/>
        <v>420-8500</v>
      </c>
      <c r="Q3625" s="315" t="str">
        <f t="shared" si="304"/>
        <v>Used Vehicle</v>
      </c>
      <c r="R3625" s="315" t="str">
        <f t="shared" si="305"/>
        <v>Used VehicleFloorplan interest per retail</v>
      </c>
      <c r="S3625" s="199"/>
      <c r="T3625" s="199"/>
      <c r="U3625" s="199"/>
    </row>
    <row r="3626" spans="1:21" x14ac:dyDescent="0.25">
      <c r="A3626" t="s">
        <v>996</v>
      </c>
      <c r="B3626" t="s">
        <v>997</v>
      </c>
      <c r="C3626" t="s">
        <v>1012</v>
      </c>
      <c r="D3626">
        <v>8500</v>
      </c>
      <c r="E3626">
        <v>421</v>
      </c>
      <c r="F3626" t="s">
        <v>1342</v>
      </c>
      <c r="G3626" t="s">
        <v>1343</v>
      </c>
      <c r="H3626" s="315" t="s">
        <v>30</v>
      </c>
      <c r="I3626" s="315" t="s">
        <v>1341</v>
      </c>
      <c r="J3626" s="315" t="str">
        <f t="shared" si="301"/>
        <v>Used VehicleFloorplan interest per retail</v>
      </c>
      <c r="K3626" s="315" t="str">
        <f t="shared" si="302"/>
        <v>421Toyota UV Floorplan Interest</v>
      </c>
      <c r="L3626" s="311">
        <f>+SUMIF('TUNZ Extracted TB'!M:M,$P3626,'TUNZ Extracted TB'!G:G)</f>
        <v>0</v>
      </c>
      <c r="M3626" s="311"/>
      <c r="N3626" s="311">
        <f>+SUMIF('Input Sheet'!$AE:$AE,P3626,'Input Sheet'!$X:$X)</f>
        <v>0</v>
      </c>
      <c r="O3626" s="311"/>
      <c r="P3626" t="str">
        <f t="shared" si="303"/>
        <v>421-8500</v>
      </c>
      <c r="Q3626" s="315" t="str">
        <f t="shared" si="304"/>
        <v>Used Vehicle</v>
      </c>
      <c r="R3626" s="315" t="str">
        <f t="shared" si="305"/>
        <v>Used VehicleFloorplan interest per retail</v>
      </c>
      <c r="S3626" s="199"/>
      <c r="T3626" s="199"/>
      <c r="U3626" s="199"/>
    </row>
    <row r="3627" spans="1:21" x14ac:dyDescent="0.25">
      <c r="A3627" t="s">
        <v>996</v>
      </c>
      <c r="B3627" t="s">
        <v>997</v>
      </c>
      <c r="C3627" t="s">
        <v>1013</v>
      </c>
      <c r="D3627">
        <v>8500</v>
      </c>
      <c r="E3627">
        <v>321</v>
      </c>
      <c r="F3627" t="s">
        <v>1342</v>
      </c>
      <c r="G3627" t="s">
        <v>1343</v>
      </c>
      <c r="H3627" s="315" t="s">
        <v>30</v>
      </c>
      <c r="I3627" s="315" t="s">
        <v>1341</v>
      </c>
      <c r="J3627" s="315" t="str">
        <f t="shared" si="301"/>
        <v>Used VehicleFloorplan interest per retail</v>
      </c>
      <c r="K3627" s="315" t="str">
        <f t="shared" si="302"/>
        <v>321Toyota UV Floorplan Interest</v>
      </c>
      <c r="L3627" s="311">
        <f>+SUMIF('TUNZ Extracted TB'!M:M,$P3627,'TUNZ Extracted TB'!G:G)</f>
        <v>0</v>
      </c>
      <c r="M3627" s="311"/>
      <c r="N3627" s="311">
        <f>+SUMIF('Input Sheet'!$AE:$AE,P3627,'Input Sheet'!$X:$X)</f>
        <v>0</v>
      </c>
      <c r="O3627" s="311"/>
      <c r="P3627" t="str">
        <f t="shared" si="303"/>
        <v>321-8500</v>
      </c>
      <c r="Q3627" s="315" t="str">
        <f t="shared" si="304"/>
        <v>Used Vehicle</v>
      </c>
      <c r="R3627" s="315" t="str">
        <f t="shared" si="305"/>
        <v>Used VehicleFloorplan interest per retail</v>
      </c>
      <c r="S3627" s="199"/>
      <c r="T3627" s="199"/>
      <c r="U3627" s="199"/>
    </row>
    <row r="3628" spans="1:21" x14ac:dyDescent="0.25">
      <c r="A3628" t="s">
        <v>996</v>
      </c>
      <c r="B3628" t="s">
        <v>997</v>
      </c>
      <c r="C3628" t="s">
        <v>997</v>
      </c>
      <c r="D3628">
        <v>8500</v>
      </c>
      <c r="E3628">
        <v>120</v>
      </c>
      <c r="F3628" t="s">
        <v>1342</v>
      </c>
      <c r="G3628" t="s">
        <v>1343</v>
      </c>
      <c r="H3628" s="315" t="s">
        <v>30</v>
      </c>
      <c r="I3628" s="315" t="s">
        <v>1341</v>
      </c>
      <c r="J3628" s="315" t="str">
        <f t="shared" si="301"/>
        <v>Used VehicleFloorplan interest per retail</v>
      </c>
      <c r="K3628" s="315" t="str">
        <f t="shared" si="302"/>
        <v>120Toyota UV Floorplan Interest</v>
      </c>
      <c r="L3628" s="311">
        <f>+SUMIF('TUNZ Extracted TB'!M:M,$P3628,'TUNZ Extracted TB'!G:G)</f>
        <v>0</v>
      </c>
      <c r="M3628" s="311"/>
      <c r="N3628" s="311">
        <f>+SUMIF('Input Sheet'!$AE:$AE,P3628,'Input Sheet'!$X:$X)</f>
        <v>0</v>
      </c>
      <c r="O3628" s="311"/>
      <c r="P3628" t="str">
        <f t="shared" si="303"/>
        <v>120-8500</v>
      </c>
      <c r="Q3628" s="315" t="str">
        <f t="shared" si="304"/>
        <v>Used Vehicle</v>
      </c>
      <c r="R3628" s="315" t="str">
        <f t="shared" si="305"/>
        <v>Used VehicleFloorplan interest per retail</v>
      </c>
      <c r="S3628" s="199"/>
      <c r="T3628" s="199"/>
      <c r="U3628" s="199"/>
    </row>
    <row r="3629" spans="1:21" x14ac:dyDescent="0.25">
      <c r="A3629" t="s">
        <v>996</v>
      </c>
      <c r="B3629" t="s">
        <v>997</v>
      </c>
      <c r="C3629" t="s">
        <v>997</v>
      </c>
      <c r="D3629">
        <v>8500</v>
      </c>
      <c r="E3629">
        <v>121</v>
      </c>
      <c r="F3629" t="s">
        <v>1342</v>
      </c>
      <c r="G3629" t="s">
        <v>1343</v>
      </c>
      <c r="H3629" s="315" t="s">
        <v>30</v>
      </c>
      <c r="I3629" s="315" t="s">
        <v>1341</v>
      </c>
      <c r="J3629" s="315" t="str">
        <f t="shared" si="301"/>
        <v>Used VehicleFloorplan interest per retail</v>
      </c>
      <c r="K3629" s="315" t="str">
        <f t="shared" si="302"/>
        <v>121Toyota UV Floorplan Interest</v>
      </c>
      <c r="L3629" s="311">
        <f>+SUMIF('TUNZ Extracted TB'!M:M,$P3629,'TUNZ Extracted TB'!G:G)</f>
        <v>0</v>
      </c>
      <c r="M3629" s="311"/>
      <c r="N3629" s="311">
        <f>+SUMIF('Input Sheet'!$AE:$AE,P3629,'Input Sheet'!$X:$X)</f>
        <v>0</v>
      </c>
      <c r="O3629" s="311"/>
      <c r="P3629" t="str">
        <f t="shared" si="303"/>
        <v>121-8500</v>
      </c>
      <c r="Q3629" s="315" t="str">
        <f t="shared" si="304"/>
        <v>Used Vehicle</v>
      </c>
      <c r="R3629" s="315" t="str">
        <f t="shared" si="305"/>
        <v>Used VehicleFloorplan interest per retail</v>
      </c>
      <c r="S3629" s="199"/>
      <c r="T3629" s="199"/>
      <c r="U3629" s="199"/>
    </row>
    <row r="3630" spans="1:21" x14ac:dyDescent="0.25">
      <c r="A3630" t="s">
        <v>996</v>
      </c>
      <c r="B3630" t="s">
        <v>997</v>
      </c>
      <c r="C3630" t="s">
        <v>997</v>
      </c>
      <c r="D3630">
        <v>8500</v>
      </c>
      <c r="E3630">
        <v>132</v>
      </c>
      <c r="F3630" t="s">
        <v>1460</v>
      </c>
      <c r="G3630" t="s">
        <v>1461</v>
      </c>
      <c r="H3630" s="315" t="s">
        <v>1023</v>
      </c>
      <c r="I3630" s="315" t="s">
        <v>1001</v>
      </c>
      <c r="J3630" s="315" t="str">
        <f t="shared" si="301"/>
        <v>LEX Admin &amp; OtherOther Overheads as % of Total Gross Profit</v>
      </c>
      <c r="K3630" s="315" t="str">
        <f t="shared" si="302"/>
        <v>132Other Income - Lexus</v>
      </c>
      <c r="L3630" s="311">
        <f>+SUMIF('TUNZ Extracted TB'!M:M,$P3630,'TUNZ Extracted TB'!G:G)</f>
        <v>0</v>
      </c>
      <c r="M3630" s="311"/>
      <c r="N3630" s="311">
        <f>+SUMIF('Input Sheet'!$AE:$AE,P3630,'Input Sheet'!$X:$X)</f>
        <v>0</v>
      </c>
      <c r="O3630" s="311"/>
      <c r="P3630" t="str">
        <f t="shared" si="303"/>
        <v>132-8500</v>
      </c>
      <c r="Q3630" s="315" t="str">
        <f t="shared" si="304"/>
        <v>LEX Admin &amp; Other</v>
      </c>
      <c r="R3630" s="315" t="str">
        <f t="shared" si="305"/>
        <v>LEX Admin &amp; OtherOther Overheads as % of Total Gross Profit</v>
      </c>
      <c r="S3630" s="199"/>
      <c r="T3630" s="199"/>
      <c r="U3630" s="199"/>
    </row>
    <row r="3631" spans="1:21" x14ac:dyDescent="0.25">
      <c r="A3631" t="s">
        <v>996</v>
      </c>
      <c r="B3631" t="s">
        <v>997</v>
      </c>
      <c r="C3631" t="s">
        <v>997</v>
      </c>
      <c r="D3631">
        <v>8500</v>
      </c>
      <c r="E3631">
        <v>140</v>
      </c>
      <c r="F3631" t="s">
        <v>1098</v>
      </c>
      <c r="G3631" t="s">
        <v>1099</v>
      </c>
      <c r="H3631" s="315" t="s">
        <v>1000</v>
      </c>
      <c r="I3631" s="315" t="s">
        <v>1001</v>
      </c>
      <c r="J3631" s="315" t="str">
        <f t="shared" si="301"/>
        <v>Admin &amp; OtherOther Overheads as % of Total Gross Profit</v>
      </c>
      <c r="K3631" s="315" t="str">
        <f t="shared" si="302"/>
        <v>140Other Income - Toyota</v>
      </c>
      <c r="L3631" s="311">
        <f>+SUMIF('TUNZ Extracted TB'!M:M,$P3631,'TUNZ Extracted TB'!G:G)</f>
        <v>0</v>
      </c>
      <c r="M3631" s="311"/>
      <c r="N3631" s="311">
        <f>+SUMIF('Input Sheet'!$AE:$AE,P3631,'Input Sheet'!$X:$X)</f>
        <v>0</v>
      </c>
      <c r="O3631" s="311"/>
      <c r="P3631" t="str">
        <f t="shared" si="303"/>
        <v>140-8500</v>
      </c>
      <c r="Q3631" s="315" t="str">
        <f t="shared" si="304"/>
        <v>Admin &amp; Other</v>
      </c>
      <c r="R3631" s="315" t="str">
        <f t="shared" si="305"/>
        <v>Admin &amp; OtherOther Overheads as % of Total Gross Profit</v>
      </c>
      <c r="S3631" s="199"/>
      <c r="T3631" s="199"/>
      <c r="U3631" s="199"/>
    </row>
    <row r="3632" spans="1:21" x14ac:dyDescent="0.25">
      <c r="A3632" t="s">
        <v>996</v>
      </c>
      <c r="B3632" t="s">
        <v>997</v>
      </c>
      <c r="C3632" t="s">
        <v>997</v>
      </c>
      <c r="D3632">
        <v>8500</v>
      </c>
      <c r="E3632">
        <v>142</v>
      </c>
      <c r="F3632" t="s">
        <v>1334</v>
      </c>
      <c r="G3632" t="s">
        <v>1335</v>
      </c>
      <c r="H3632" s="315" t="s">
        <v>1023</v>
      </c>
      <c r="I3632" s="315" t="s">
        <v>1336</v>
      </c>
      <c r="J3632" s="315" t="str">
        <f t="shared" si="301"/>
        <v>LEX Admin &amp; Otherinterest &amp; Bank Charges as % of Total Gross Profit</v>
      </c>
      <c r="K3632" s="315" t="str">
        <f t="shared" si="302"/>
        <v>142Interest &amp; Bank Charges - Lexus</v>
      </c>
      <c r="L3632" s="311">
        <f>+SUMIF('TUNZ Extracted TB'!M:M,$P3632,'TUNZ Extracted TB'!G:G)</f>
        <v>0</v>
      </c>
      <c r="M3632" s="311"/>
      <c r="N3632" s="311">
        <f>+SUMIF('Input Sheet'!$AE:$AE,P3632,'Input Sheet'!$X:$X)</f>
        <v>0</v>
      </c>
      <c r="O3632" s="311"/>
      <c r="P3632" t="str">
        <f t="shared" si="303"/>
        <v>142-8500</v>
      </c>
      <c r="Q3632" s="315" t="str">
        <f t="shared" si="304"/>
        <v>LEX Admin &amp; Other</v>
      </c>
      <c r="R3632" s="315" t="str">
        <f t="shared" si="305"/>
        <v>LEX Admin &amp; Otherinterest &amp; Bank Charges as % of Total Gross Profit</v>
      </c>
      <c r="S3632" s="199"/>
      <c r="T3632" s="199"/>
      <c r="U3632" s="199"/>
    </row>
    <row r="3633" spans="1:21" x14ac:dyDescent="0.25">
      <c r="A3633" t="s">
        <v>996</v>
      </c>
      <c r="B3633" t="s">
        <v>997</v>
      </c>
      <c r="C3633" t="s">
        <v>997</v>
      </c>
      <c r="D3633">
        <v>8500</v>
      </c>
      <c r="E3633">
        <v>130</v>
      </c>
      <c r="F3633" t="s">
        <v>1098</v>
      </c>
      <c r="G3633" t="s">
        <v>1099</v>
      </c>
      <c r="H3633" s="315" t="s">
        <v>1000</v>
      </c>
      <c r="I3633" s="315" t="s">
        <v>1001</v>
      </c>
      <c r="J3633" s="315" t="str">
        <f t="shared" si="301"/>
        <v>Admin &amp; OtherOther Overheads as % of Total Gross Profit</v>
      </c>
      <c r="K3633" s="315" t="str">
        <f t="shared" si="302"/>
        <v>130Other Income - Toyota</v>
      </c>
      <c r="L3633" s="311">
        <f>+SUMIF('TUNZ Extracted TB'!M:M,$P3633,'TUNZ Extracted TB'!G:G)</f>
        <v>0</v>
      </c>
      <c r="M3633" s="311"/>
      <c r="N3633" s="311">
        <f>+SUMIF('Input Sheet'!$AE:$AE,P3633,'Input Sheet'!$X:$X)</f>
        <v>0</v>
      </c>
      <c r="O3633" s="311"/>
      <c r="P3633" t="str">
        <f t="shared" si="303"/>
        <v>130-8500</v>
      </c>
      <c r="Q3633" s="315" t="str">
        <f t="shared" si="304"/>
        <v>Admin &amp; Other</v>
      </c>
      <c r="R3633" s="315" t="str">
        <f t="shared" si="305"/>
        <v>Admin &amp; OtherOther Overheads as % of Total Gross Profit</v>
      </c>
      <c r="S3633" s="199"/>
      <c r="T3633" s="199"/>
      <c r="U3633" s="199"/>
    </row>
    <row r="3634" spans="1:21" x14ac:dyDescent="0.25">
      <c r="A3634" t="s">
        <v>996</v>
      </c>
      <c r="B3634" t="s">
        <v>997</v>
      </c>
      <c r="C3634" t="s">
        <v>1012</v>
      </c>
      <c r="D3634">
        <v>8540</v>
      </c>
      <c r="E3634">
        <v>400</v>
      </c>
      <c r="F3634" t="s">
        <v>1024</v>
      </c>
      <c r="G3634" t="s">
        <v>1027</v>
      </c>
      <c r="H3634" s="315" t="s">
        <v>29</v>
      </c>
      <c r="I3634" s="315" t="s">
        <v>1026</v>
      </c>
      <c r="J3634" s="315" t="str">
        <f t="shared" si="301"/>
        <v>New VehicleOther Income per NV unit</v>
      </c>
      <c r="K3634" s="315" t="str">
        <f t="shared" si="302"/>
        <v>400New Vehicle Other Income - Toyota</v>
      </c>
      <c r="L3634" s="311">
        <f>+SUMIF('TUNZ Extracted TB'!M:M,$P3634,'TUNZ Extracted TB'!G:G)</f>
        <v>0</v>
      </c>
      <c r="M3634" s="311"/>
      <c r="N3634" s="311">
        <f>+SUMIF('Input Sheet'!$AE:$AE,P3634,'Input Sheet'!$X:$X)</f>
        <v>0</v>
      </c>
      <c r="O3634" s="311"/>
      <c r="P3634" t="str">
        <f t="shared" si="303"/>
        <v>400-8540</v>
      </c>
      <c r="Q3634" s="315" t="str">
        <f t="shared" si="304"/>
        <v>New Vehicle</v>
      </c>
      <c r="R3634" s="315" t="str">
        <f t="shared" si="305"/>
        <v>New VehicleOther Income per NV unit</v>
      </c>
      <c r="S3634" s="199"/>
      <c r="T3634" s="199"/>
      <c r="U3634" s="199"/>
    </row>
    <row r="3635" spans="1:21" x14ac:dyDescent="0.25">
      <c r="A3635" t="s">
        <v>996</v>
      </c>
      <c r="B3635" t="s">
        <v>997</v>
      </c>
      <c r="C3635" t="s">
        <v>1013</v>
      </c>
      <c r="D3635">
        <v>8540</v>
      </c>
      <c r="E3635">
        <v>300</v>
      </c>
      <c r="F3635" t="s">
        <v>1024</v>
      </c>
      <c r="G3635" t="s">
        <v>1027</v>
      </c>
      <c r="H3635" s="315" t="s">
        <v>29</v>
      </c>
      <c r="I3635" s="315" t="s">
        <v>1026</v>
      </c>
      <c r="J3635" s="315" t="str">
        <f t="shared" si="301"/>
        <v>New VehicleOther Income per NV unit</v>
      </c>
      <c r="K3635" s="315" t="str">
        <f t="shared" si="302"/>
        <v>300New Vehicle Other Income - Toyota</v>
      </c>
      <c r="L3635" s="311">
        <f>+SUMIF('TUNZ Extracted TB'!M:M,$P3635,'TUNZ Extracted TB'!G:G)</f>
        <v>0</v>
      </c>
      <c r="M3635" s="311"/>
      <c r="N3635" s="311">
        <f>+SUMIF('Input Sheet'!$AE:$AE,P3635,'Input Sheet'!$X:$X)</f>
        <v>0</v>
      </c>
      <c r="O3635" s="311"/>
      <c r="P3635" t="str">
        <f t="shared" si="303"/>
        <v>300-8540</v>
      </c>
      <c r="Q3635" s="315" t="str">
        <f t="shared" si="304"/>
        <v>New Vehicle</v>
      </c>
      <c r="R3635" s="315" t="str">
        <f t="shared" si="305"/>
        <v>New VehicleOther Income per NV unit</v>
      </c>
      <c r="S3635" s="199"/>
      <c r="T3635" s="199"/>
      <c r="U3635" s="199"/>
    </row>
    <row r="3636" spans="1:21" x14ac:dyDescent="0.25">
      <c r="A3636" t="s">
        <v>996</v>
      </c>
      <c r="B3636" t="s">
        <v>997</v>
      </c>
      <c r="C3636" t="s">
        <v>997</v>
      </c>
      <c r="D3636">
        <v>8540</v>
      </c>
      <c r="E3636">
        <v>100</v>
      </c>
      <c r="F3636" t="s">
        <v>1024</v>
      </c>
      <c r="G3636" t="s">
        <v>1027</v>
      </c>
      <c r="H3636" s="315" t="s">
        <v>29</v>
      </c>
      <c r="I3636" s="315" t="s">
        <v>1026</v>
      </c>
      <c r="J3636" s="315" t="str">
        <f t="shared" si="301"/>
        <v>New VehicleOther Income per NV unit</v>
      </c>
      <c r="K3636" s="315" t="str">
        <f t="shared" si="302"/>
        <v>100New Vehicle Other Income - Toyota</v>
      </c>
      <c r="L3636" s="311">
        <f>+SUMIF('TUNZ Extracted TB'!M:M,$P3636,'TUNZ Extracted TB'!G:G)</f>
        <v>0</v>
      </c>
      <c r="M3636" s="311"/>
      <c r="N3636" s="311">
        <f>+SUMIF('Input Sheet'!$AE:$AE,P3636,'Input Sheet'!$X:$X)</f>
        <v>0</v>
      </c>
      <c r="O3636" s="311"/>
      <c r="P3636" t="str">
        <f t="shared" si="303"/>
        <v>100-8540</v>
      </c>
      <c r="Q3636" s="315" t="str">
        <f t="shared" si="304"/>
        <v>New Vehicle</v>
      </c>
      <c r="R3636" s="315" t="str">
        <f t="shared" si="305"/>
        <v>New VehicleOther Income per NV unit</v>
      </c>
      <c r="S3636" s="199"/>
      <c r="T3636" s="199"/>
      <c r="U3636" s="199"/>
    </row>
    <row r="3637" spans="1:21" x14ac:dyDescent="0.25">
      <c r="A3637" t="s">
        <v>996</v>
      </c>
      <c r="B3637" t="s">
        <v>997</v>
      </c>
      <c r="C3637" t="s">
        <v>997</v>
      </c>
      <c r="D3637">
        <v>8520</v>
      </c>
      <c r="E3637">
        <v>122</v>
      </c>
      <c r="F3637" t="s">
        <v>1366</v>
      </c>
      <c r="G3637" t="s">
        <v>1367</v>
      </c>
      <c r="H3637" s="315" t="s">
        <v>1023</v>
      </c>
      <c r="I3637" s="315" t="s">
        <v>1001</v>
      </c>
      <c r="J3637" s="315" t="str">
        <f t="shared" si="301"/>
        <v>LEX Admin &amp; OtherOther Overheads as % of Total Gross Profit</v>
      </c>
      <c r="K3637" s="315" t="str">
        <f t="shared" si="302"/>
        <v>122Bad Debts - Lexus</v>
      </c>
      <c r="L3637" s="311">
        <f>+SUMIF('TUNZ Extracted TB'!M:M,$P3637,'TUNZ Extracted TB'!G:G)</f>
        <v>0</v>
      </c>
      <c r="M3637" s="311"/>
      <c r="N3637" s="311">
        <f>+SUMIF('Input Sheet'!$AE:$AE,P3637,'Input Sheet'!$X:$X)</f>
        <v>0</v>
      </c>
      <c r="O3637" s="311"/>
      <c r="P3637" t="str">
        <f t="shared" si="303"/>
        <v>122-8520</v>
      </c>
      <c r="Q3637" s="315" t="str">
        <f t="shared" si="304"/>
        <v>LEX Admin &amp; Other</v>
      </c>
      <c r="R3637" s="315" t="str">
        <f t="shared" si="305"/>
        <v>LEX Admin &amp; OtherOther Overheads as % of Total Gross Profit</v>
      </c>
      <c r="S3637" s="199"/>
      <c r="T3637" s="199"/>
      <c r="U3637" s="199"/>
    </row>
    <row r="3638" spans="1:21" x14ac:dyDescent="0.25">
      <c r="A3638" t="s">
        <v>996</v>
      </c>
      <c r="B3638" t="s">
        <v>997</v>
      </c>
      <c r="C3638" t="s">
        <v>997</v>
      </c>
      <c r="D3638">
        <v>8520</v>
      </c>
      <c r="E3638">
        <v>162</v>
      </c>
      <c r="F3638" t="s">
        <v>1366</v>
      </c>
      <c r="G3638" t="s">
        <v>1367</v>
      </c>
      <c r="H3638" s="315" t="s">
        <v>1023</v>
      </c>
      <c r="I3638" s="315" t="s">
        <v>1001</v>
      </c>
      <c r="J3638" s="315" t="str">
        <f t="shared" si="301"/>
        <v>LEX Admin &amp; OtherOther Overheads as % of Total Gross Profit</v>
      </c>
      <c r="K3638" s="315" t="str">
        <f t="shared" si="302"/>
        <v>162Bad Debts - Lexus</v>
      </c>
      <c r="L3638" s="311">
        <f>+SUMIF('TUNZ Extracted TB'!M:M,$P3638,'TUNZ Extracted TB'!G:G)</f>
        <v>0</v>
      </c>
      <c r="M3638" s="311"/>
      <c r="N3638" s="311">
        <f>+SUMIF('Input Sheet'!$AE:$AE,P3638,'Input Sheet'!$X:$X)</f>
        <v>0</v>
      </c>
      <c r="O3638" s="311"/>
      <c r="P3638" t="str">
        <f t="shared" si="303"/>
        <v>162-8520</v>
      </c>
      <c r="Q3638" s="315" t="str">
        <f t="shared" si="304"/>
        <v>LEX Admin &amp; Other</v>
      </c>
      <c r="R3638" s="315" t="str">
        <f t="shared" si="305"/>
        <v>LEX Admin &amp; OtherOther Overheads as % of Total Gross Profit</v>
      </c>
      <c r="S3638" s="199"/>
      <c r="T3638" s="199"/>
      <c r="U3638" s="199"/>
    </row>
    <row r="3639" spans="1:21" x14ac:dyDescent="0.25">
      <c r="A3639" t="s">
        <v>996</v>
      </c>
      <c r="B3639" t="s">
        <v>997</v>
      </c>
      <c r="C3639" t="s">
        <v>1005</v>
      </c>
      <c r="D3639">
        <v>8520</v>
      </c>
      <c r="E3639">
        <v>200</v>
      </c>
      <c r="F3639" t="s">
        <v>1364</v>
      </c>
      <c r="G3639" t="s">
        <v>1365</v>
      </c>
      <c r="H3639" s="315" t="s">
        <v>1000</v>
      </c>
      <c r="I3639" s="315" t="s">
        <v>1001</v>
      </c>
      <c r="J3639" s="315" t="str">
        <f t="shared" si="301"/>
        <v>Admin &amp; OtherOther Overheads as % of Total Gross Profit</v>
      </c>
      <c r="K3639" s="315" t="str">
        <f t="shared" si="302"/>
        <v>200Bad Debts - Toyota</v>
      </c>
      <c r="L3639" s="311">
        <f>+SUMIF('TUNZ Extracted TB'!M:M,$P3639,'TUNZ Extracted TB'!G:G)</f>
        <v>0</v>
      </c>
      <c r="M3639" s="311"/>
      <c r="N3639" s="311">
        <f>+SUMIF('Input Sheet'!$AE:$AE,P3639,'Input Sheet'!$X:$X)</f>
        <v>0</v>
      </c>
      <c r="O3639" s="311"/>
      <c r="P3639" t="str">
        <f t="shared" si="303"/>
        <v>200-8520</v>
      </c>
      <c r="Q3639" s="315" t="str">
        <f t="shared" si="304"/>
        <v>Admin &amp; Other</v>
      </c>
      <c r="R3639" s="315" t="str">
        <f t="shared" si="305"/>
        <v>Admin &amp; OtherOther Overheads as % of Total Gross Profit</v>
      </c>
      <c r="S3639" s="199"/>
      <c r="T3639" s="199"/>
      <c r="U3639" s="199"/>
    </row>
    <row r="3640" spans="1:21" x14ac:dyDescent="0.25">
      <c r="A3640" t="s">
        <v>996</v>
      </c>
      <c r="B3640" t="s">
        <v>997</v>
      </c>
      <c r="C3640" t="s">
        <v>1005</v>
      </c>
      <c r="D3640">
        <v>8520</v>
      </c>
      <c r="E3640">
        <v>210</v>
      </c>
      <c r="F3640" t="s">
        <v>1364</v>
      </c>
      <c r="G3640" t="s">
        <v>1365</v>
      </c>
      <c r="H3640" s="315" t="s">
        <v>1000</v>
      </c>
      <c r="I3640" s="315" t="s">
        <v>1001</v>
      </c>
      <c r="J3640" s="315" t="str">
        <f t="shared" si="301"/>
        <v>Admin &amp; OtherOther Overheads as % of Total Gross Profit</v>
      </c>
      <c r="K3640" s="315" t="str">
        <f t="shared" si="302"/>
        <v>210Bad Debts - Toyota</v>
      </c>
      <c r="L3640" s="311">
        <f>+SUMIF('TUNZ Extracted TB'!M:M,$P3640,'TUNZ Extracted TB'!G:G)</f>
        <v>0</v>
      </c>
      <c r="M3640" s="311"/>
      <c r="N3640" s="311">
        <f>+SUMIF('Input Sheet'!$AE:$AE,P3640,'Input Sheet'!$X:$X)</f>
        <v>0</v>
      </c>
      <c r="O3640" s="311"/>
      <c r="P3640" t="str">
        <f t="shared" si="303"/>
        <v>210-8520</v>
      </c>
      <c r="Q3640" s="315" t="str">
        <f t="shared" si="304"/>
        <v>Admin &amp; Other</v>
      </c>
      <c r="R3640" s="315" t="str">
        <f t="shared" si="305"/>
        <v>Admin &amp; OtherOther Overheads as % of Total Gross Profit</v>
      </c>
      <c r="S3640" s="199"/>
      <c r="T3640" s="199"/>
      <c r="U3640" s="199"/>
    </row>
    <row r="3641" spans="1:21" x14ac:dyDescent="0.25">
      <c r="A3641" t="s">
        <v>996</v>
      </c>
      <c r="B3641" t="s">
        <v>997</v>
      </c>
      <c r="C3641" t="s">
        <v>1005</v>
      </c>
      <c r="D3641">
        <v>8520</v>
      </c>
      <c r="E3641">
        <v>220</v>
      </c>
      <c r="F3641" t="s">
        <v>1364</v>
      </c>
      <c r="G3641" t="s">
        <v>1365</v>
      </c>
      <c r="H3641" s="315" t="s">
        <v>1000</v>
      </c>
      <c r="I3641" s="315" t="s">
        <v>1001</v>
      </c>
      <c r="J3641" s="315" t="str">
        <f t="shared" si="301"/>
        <v>Admin &amp; OtherOther Overheads as % of Total Gross Profit</v>
      </c>
      <c r="K3641" s="315" t="str">
        <f t="shared" si="302"/>
        <v>220Bad Debts - Toyota</v>
      </c>
      <c r="L3641" s="311">
        <f>+SUMIF('TUNZ Extracted TB'!M:M,$P3641,'TUNZ Extracted TB'!G:G)</f>
        <v>0</v>
      </c>
      <c r="M3641" s="311"/>
      <c r="N3641" s="311">
        <f>+SUMIF('Input Sheet'!$AE:$AE,P3641,'Input Sheet'!$X:$X)</f>
        <v>0</v>
      </c>
      <c r="O3641" s="311"/>
      <c r="P3641" t="str">
        <f t="shared" si="303"/>
        <v>220-8520</v>
      </c>
      <c r="Q3641" s="315" t="str">
        <f t="shared" si="304"/>
        <v>Admin &amp; Other</v>
      </c>
      <c r="R3641" s="315" t="str">
        <f t="shared" si="305"/>
        <v>Admin &amp; OtherOther Overheads as % of Total Gross Profit</v>
      </c>
      <c r="S3641" s="199"/>
      <c r="T3641" s="199"/>
      <c r="U3641" s="199"/>
    </row>
    <row r="3642" spans="1:21" x14ac:dyDescent="0.25">
      <c r="A3642" t="s">
        <v>996</v>
      </c>
      <c r="B3642" t="s">
        <v>997</v>
      </c>
      <c r="C3642" t="s">
        <v>1005</v>
      </c>
      <c r="D3642">
        <v>8520</v>
      </c>
      <c r="E3642">
        <v>221</v>
      </c>
      <c r="F3642" t="s">
        <v>1364</v>
      </c>
      <c r="G3642" t="s">
        <v>1365</v>
      </c>
      <c r="H3642" s="315" t="s">
        <v>1000</v>
      </c>
      <c r="I3642" s="315" t="s">
        <v>1001</v>
      </c>
      <c r="J3642" s="315" t="str">
        <f t="shared" si="301"/>
        <v>Admin &amp; OtherOther Overheads as % of Total Gross Profit</v>
      </c>
      <c r="K3642" s="315" t="str">
        <f t="shared" si="302"/>
        <v>221Bad Debts - Toyota</v>
      </c>
      <c r="L3642" s="311">
        <f>+SUMIF('TUNZ Extracted TB'!M:M,$P3642,'TUNZ Extracted TB'!G:G)</f>
        <v>0</v>
      </c>
      <c r="M3642" s="311"/>
      <c r="N3642" s="311">
        <f>+SUMIF('Input Sheet'!$AE:$AE,P3642,'Input Sheet'!$X:$X)</f>
        <v>0</v>
      </c>
      <c r="O3642" s="311"/>
      <c r="P3642" t="str">
        <f t="shared" si="303"/>
        <v>221-8520</v>
      </c>
      <c r="Q3642" s="315" t="str">
        <f t="shared" si="304"/>
        <v>Admin &amp; Other</v>
      </c>
      <c r="R3642" s="315" t="str">
        <f t="shared" si="305"/>
        <v>Admin &amp; OtherOther Overheads as % of Total Gross Profit</v>
      </c>
      <c r="S3642" s="199"/>
      <c r="T3642" s="199"/>
      <c r="U3642" s="199"/>
    </row>
    <row r="3643" spans="1:21" x14ac:dyDescent="0.25">
      <c r="A3643" t="s">
        <v>996</v>
      </c>
      <c r="B3643" t="s">
        <v>997</v>
      </c>
      <c r="C3643" t="s">
        <v>1005</v>
      </c>
      <c r="D3643">
        <v>8520</v>
      </c>
      <c r="E3643">
        <v>230</v>
      </c>
      <c r="F3643" t="s">
        <v>1364</v>
      </c>
      <c r="G3643" t="s">
        <v>1365</v>
      </c>
      <c r="H3643" s="315" t="s">
        <v>1000</v>
      </c>
      <c r="I3643" s="315" t="s">
        <v>1001</v>
      </c>
      <c r="J3643" s="315" t="str">
        <f t="shared" si="301"/>
        <v>Admin &amp; OtherOther Overheads as % of Total Gross Profit</v>
      </c>
      <c r="K3643" s="315" t="str">
        <f t="shared" si="302"/>
        <v>230Bad Debts - Toyota</v>
      </c>
      <c r="L3643" s="311">
        <f>+SUMIF('TUNZ Extracted TB'!M:M,$P3643,'TUNZ Extracted TB'!G:G)</f>
        <v>0</v>
      </c>
      <c r="M3643" s="311"/>
      <c r="N3643" s="311">
        <f>+SUMIF('Input Sheet'!$AE:$AE,P3643,'Input Sheet'!$X:$X)</f>
        <v>0</v>
      </c>
      <c r="O3643" s="311"/>
      <c r="P3643" t="str">
        <f t="shared" si="303"/>
        <v>230-8520</v>
      </c>
      <c r="Q3643" s="315" t="str">
        <f t="shared" si="304"/>
        <v>Admin &amp; Other</v>
      </c>
      <c r="R3643" s="315" t="str">
        <f t="shared" si="305"/>
        <v>Admin &amp; OtherOther Overheads as % of Total Gross Profit</v>
      </c>
      <c r="S3643" s="199"/>
      <c r="T3643" s="199"/>
      <c r="U3643" s="199"/>
    </row>
    <row r="3644" spans="1:21" x14ac:dyDescent="0.25">
      <c r="A3644" t="s">
        <v>996</v>
      </c>
      <c r="B3644" t="s">
        <v>997</v>
      </c>
      <c r="C3644" t="s">
        <v>1005</v>
      </c>
      <c r="D3644">
        <v>8520</v>
      </c>
      <c r="E3644">
        <v>240</v>
      </c>
      <c r="F3644" t="s">
        <v>1364</v>
      </c>
      <c r="G3644" t="s">
        <v>1365</v>
      </c>
      <c r="H3644" s="315" t="s">
        <v>1000</v>
      </c>
      <c r="I3644" s="315" t="s">
        <v>1001</v>
      </c>
      <c r="J3644" s="315" t="str">
        <f t="shared" si="301"/>
        <v>Admin &amp; OtherOther Overheads as % of Total Gross Profit</v>
      </c>
      <c r="K3644" s="315" t="str">
        <f t="shared" si="302"/>
        <v>240Bad Debts - Toyota</v>
      </c>
      <c r="L3644" s="311">
        <f>+SUMIF('TUNZ Extracted TB'!M:M,$P3644,'TUNZ Extracted TB'!G:G)</f>
        <v>0</v>
      </c>
      <c r="M3644" s="311"/>
      <c r="N3644" s="311">
        <f>+SUMIF('Input Sheet'!$AE:$AE,P3644,'Input Sheet'!$X:$X)</f>
        <v>0</v>
      </c>
      <c r="O3644" s="311"/>
      <c r="P3644" t="str">
        <f t="shared" si="303"/>
        <v>240-8520</v>
      </c>
      <c r="Q3644" s="315" t="str">
        <f t="shared" si="304"/>
        <v>Admin &amp; Other</v>
      </c>
      <c r="R3644" s="315" t="str">
        <f t="shared" si="305"/>
        <v>Admin &amp; OtherOther Overheads as % of Total Gross Profit</v>
      </c>
      <c r="S3644" s="199"/>
      <c r="T3644" s="199"/>
      <c r="U3644" s="199"/>
    </row>
    <row r="3645" spans="1:21" x14ac:dyDescent="0.25">
      <c r="A3645" t="s">
        <v>996</v>
      </c>
      <c r="B3645" t="s">
        <v>997</v>
      </c>
      <c r="C3645" t="s">
        <v>1005</v>
      </c>
      <c r="D3645">
        <v>8520</v>
      </c>
      <c r="E3645">
        <v>260</v>
      </c>
      <c r="F3645" t="s">
        <v>1364</v>
      </c>
      <c r="G3645" t="s">
        <v>1365</v>
      </c>
      <c r="H3645" s="315" t="s">
        <v>1000</v>
      </c>
      <c r="I3645" s="315" t="s">
        <v>1001</v>
      </c>
      <c r="J3645" s="315" t="str">
        <f t="shared" si="301"/>
        <v>Admin &amp; OtherOther Overheads as % of Total Gross Profit</v>
      </c>
      <c r="K3645" s="315" t="str">
        <f t="shared" si="302"/>
        <v>260Bad Debts - Toyota</v>
      </c>
      <c r="L3645" s="311">
        <f>+SUMIF('TUNZ Extracted TB'!M:M,$P3645,'TUNZ Extracted TB'!G:G)</f>
        <v>0</v>
      </c>
      <c r="M3645" s="311"/>
      <c r="N3645" s="311">
        <f>+SUMIF('Input Sheet'!$AE:$AE,P3645,'Input Sheet'!$X:$X)</f>
        <v>0</v>
      </c>
      <c r="O3645" s="311"/>
      <c r="P3645" t="str">
        <f t="shared" si="303"/>
        <v>260-8520</v>
      </c>
      <c r="Q3645" s="315" t="str">
        <f t="shared" si="304"/>
        <v>Admin &amp; Other</v>
      </c>
      <c r="R3645" s="315" t="str">
        <f t="shared" si="305"/>
        <v>Admin &amp; OtherOther Overheads as % of Total Gross Profit</v>
      </c>
      <c r="S3645" s="199"/>
      <c r="T3645" s="199"/>
      <c r="U3645" s="199"/>
    </row>
    <row r="3646" spans="1:21" x14ac:dyDescent="0.25">
      <c r="A3646" t="s">
        <v>996</v>
      </c>
      <c r="B3646" t="s">
        <v>997</v>
      </c>
      <c r="C3646" t="s">
        <v>1012</v>
      </c>
      <c r="D3646">
        <v>8520</v>
      </c>
      <c r="E3646">
        <v>400</v>
      </c>
      <c r="F3646" t="s">
        <v>1364</v>
      </c>
      <c r="G3646" t="s">
        <v>1365</v>
      </c>
      <c r="H3646" s="315" t="s">
        <v>1000</v>
      </c>
      <c r="I3646" s="315" t="s">
        <v>1001</v>
      </c>
      <c r="J3646" s="315" t="str">
        <f t="shared" si="301"/>
        <v>Admin &amp; OtherOther Overheads as % of Total Gross Profit</v>
      </c>
      <c r="K3646" s="315" t="str">
        <f t="shared" si="302"/>
        <v>400Bad Debts - Toyota</v>
      </c>
      <c r="L3646" s="311">
        <f>+SUMIF('TUNZ Extracted TB'!M:M,$P3646,'TUNZ Extracted TB'!G:G)</f>
        <v>0</v>
      </c>
      <c r="M3646" s="311"/>
      <c r="N3646" s="311">
        <f>+SUMIF('Input Sheet'!$AE:$AE,P3646,'Input Sheet'!$X:$X)</f>
        <v>0</v>
      </c>
      <c r="O3646" s="311"/>
      <c r="P3646" t="str">
        <f t="shared" si="303"/>
        <v>400-8520</v>
      </c>
      <c r="Q3646" s="315" t="str">
        <f t="shared" si="304"/>
        <v>Admin &amp; Other</v>
      </c>
      <c r="R3646" s="315" t="str">
        <f t="shared" si="305"/>
        <v>Admin &amp; OtherOther Overheads as % of Total Gross Profit</v>
      </c>
      <c r="S3646" s="199"/>
      <c r="T3646" s="199"/>
      <c r="U3646" s="199"/>
    </row>
    <row r="3647" spans="1:21" x14ac:dyDescent="0.25">
      <c r="A3647" t="s">
        <v>996</v>
      </c>
      <c r="B3647" t="s">
        <v>997</v>
      </c>
      <c r="C3647" t="s">
        <v>1012</v>
      </c>
      <c r="D3647">
        <v>8520</v>
      </c>
      <c r="E3647">
        <v>410</v>
      </c>
      <c r="F3647" t="s">
        <v>1364</v>
      </c>
      <c r="G3647" t="s">
        <v>1365</v>
      </c>
      <c r="H3647" s="315" t="s">
        <v>1000</v>
      </c>
      <c r="I3647" s="315" t="s">
        <v>1001</v>
      </c>
      <c r="J3647" s="315" t="str">
        <f t="shared" si="301"/>
        <v>Admin &amp; OtherOther Overheads as % of Total Gross Profit</v>
      </c>
      <c r="K3647" s="315" t="str">
        <f t="shared" si="302"/>
        <v>410Bad Debts - Toyota</v>
      </c>
      <c r="L3647" s="311">
        <f>+SUMIF('TUNZ Extracted TB'!M:M,$P3647,'TUNZ Extracted TB'!G:G)</f>
        <v>0</v>
      </c>
      <c r="M3647" s="311"/>
      <c r="N3647" s="311">
        <f>+SUMIF('Input Sheet'!$AE:$AE,P3647,'Input Sheet'!$X:$X)</f>
        <v>0</v>
      </c>
      <c r="O3647" s="311"/>
      <c r="P3647" t="str">
        <f t="shared" si="303"/>
        <v>410-8520</v>
      </c>
      <c r="Q3647" s="315" t="str">
        <f t="shared" si="304"/>
        <v>Admin &amp; Other</v>
      </c>
      <c r="R3647" s="315" t="str">
        <f t="shared" si="305"/>
        <v>Admin &amp; OtherOther Overheads as % of Total Gross Profit</v>
      </c>
      <c r="S3647" s="199"/>
      <c r="T3647" s="199"/>
      <c r="U3647" s="199"/>
    </row>
    <row r="3648" spans="1:21" x14ac:dyDescent="0.25">
      <c r="A3648" t="s">
        <v>996</v>
      </c>
      <c r="B3648" t="s">
        <v>997</v>
      </c>
      <c r="C3648" t="s">
        <v>1012</v>
      </c>
      <c r="D3648">
        <v>8520</v>
      </c>
      <c r="E3648">
        <v>420</v>
      </c>
      <c r="F3648" t="s">
        <v>1364</v>
      </c>
      <c r="G3648" t="s">
        <v>1365</v>
      </c>
      <c r="H3648" s="315" t="s">
        <v>1000</v>
      </c>
      <c r="I3648" s="315" t="s">
        <v>1001</v>
      </c>
      <c r="J3648" s="315" t="str">
        <f t="shared" si="301"/>
        <v>Admin &amp; OtherOther Overheads as % of Total Gross Profit</v>
      </c>
      <c r="K3648" s="315" t="str">
        <f t="shared" si="302"/>
        <v>420Bad Debts - Toyota</v>
      </c>
      <c r="L3648" s="311">
        <f>+SUMIF('TUNZ Extracted TB'!M:M,$P3648,'TUNZ Extracted TB'!G:G)</f>
        <v>0</v>
      </c>
      <c r="M3648" s="311"/>
      <c r="N3648" s="311">
        <f>+SUMIF('Input Sheet'!$AE:$AE,P3648,'Input Sheet'!$X:$X)</f>
        <v>0</v>
      </c>
      <c r="O3648" s="311"/>
      <c r="P3648" t="str">
        <f t="shared" si="303"/>
        <v>420-8520</v>
      </c>
      <c r="Q3648" s="315" t="str">
        <f t="shared" si="304"/>
        <v>Admin &amp; Other</v>
      </c>
      <c r="R3648" s="315" t="str">
        <f t="shared" si="305"/>
        <v>Admin &amp; OtherOther Overheads as % of Total Gross Profit</v>
      </c>
      <c r="S3648" s="199"/>
      <c r="T3648" s="199"/>
      <c r="U3648" s="199"/>
    </row>
    <row r="3649" spans="1:21" x14ac:dyDescent="0.25">
      <c r="A3649" t="s">
        <v>996</v>
      </c>
      <c r="B3649" t="s">
        <v>997</v>
      </c>
      <c r="C3649" t="s">
        <v>1012</v>
      </c>
      <c r="D3649">
        <v>8520</v>
      </c>
      <c r="E3649">
        <v>421</v>
      </c>
      <c r="F3649" t="s">
        <v>1364</v>
      </c>
      <c r="G3649" t="s">
        <v>1365</v>
      </c>
      <c r="H3649" s="315" t="s">
        <v>1000</v>
      </c>
      <c r="I3649" s="315" t="s">
        <v>1001</v>
      </c>
      <c r="J3649" s="315" t="str">
        <f t="shared" si="301"/>
        <v>Admin &amp; OtherOther Overheads as % of Total Gross Profit</v>
      </c>
      <c r="K3649" s="315" t="str">
        <f t="shared" si="302"/>
        <v>421Bad Debts - Toyota</v>
      </c>
      <c r="L3649" s="311">
        <f>+SUMIF('TUNZ Extracted TB'!M:M,$P3649,'TUNZ Extracted TB'!G:G)</f>
        <v>0</v>
      </c>
      <c r="M3649" s="311"/>
      <c r="N3649" s="311">
        <f>+SUMIF('Input Sheet'!$AE:$AE,P3649,'Input Sheet'!$X:$X)</f>
        <v>0</v>
      </c>
      <c r="O3649" s="311"/>
      <c r="P3649" t="str">
        <f t="shared" si="303"/>
        <v>421-8520</v>
      </c>
      <c r="Q3649" s="315" t="str">
        <f t="shared" si="304"/>
        <v>Admin &amp; Other</v>
      </c>
      <c r="R3649" s="315" t="str">
        <f t="shared" si="305"/>
        <v>Admin &amp; OtherOther Overheads as % of Total Gross Profit</v>
      </c>
      <c r="S3649" s="199"/>
      <c r="T3649" s="199"/>
      <c r="U3649" s="199"/>
    </row>
    <row r="3650" spans="1:21" x14ac:dyDescent="0.25">
      <c r="A3650" t="s">
        <v>996</v>
      </c>
      <c r="B3650" t="s">
        <v>997</v>
      </c>
      <c r="C3650" t="s">
        <v>1012</v>
      </c>
      <c r="D3650">
        <v>8520</v>
      </c>
      <c r="E3650">
        <v>430</v>
      </c>
      <c r="F3650" t="s">
        <v>1364</v>
      </c>
      <c r="G3650" t="s">
        <v>1365</v>
      </c>
      <c r="H3650" s="315" t="s">
        <v>1000</v>
      </c>
      <c r="I3650" s="315" t="s">
        <v>1001</v>
      </c>
      <c r="J3650" s="315" t="str">
        <f t="shared" si="301"/>
        <v>Admin &amp; OtherOther Overheads as % of Total Gross Profit</v>
      </c>
      <c r="K3650" s="315" t="str">
        <f t="shared" si="302"/>
        <v>430Bad Debts - Toyota</v>
      </c>
      <c r="L3650" s="311">
        <f>+SUMIF('TUNZ Extracted TB'!M:M,$P3650,'TUNZ Extracted TB'!G:G)</f>
        <v>0</v>
      </c>
      <c r="M3650" s="311"/>
      <c r="N3650" s="311">
        <f>+SUMIF('Input Sheet'!$AE:$AE,P3650,'Input Sheet'!$X:$X)</f>
        <v>0</v>
      </c>
      <c r="O3650" s="311"/>
      <c r="P3650" t="str">
        <f t="shared" si="303"/>
        <v>430-8520</v>
      </c>
      <c r="Q3650" s="315" t="str">
        <f t="shared" si="304"/>
        <v>Admin &amp; Other</v>
      </c>
      <c r="R3650" s="315" t="str">
        <f t="shared" si="305"/>
        <v>Admin &amp; OtherOther Overheads as % of Total Gross Profit</v>
      </c>
      <c r="S3650" s="199"/>
      <c r="T3650" s="199"/>
      <c r="U3650" s="199"/>
    </row>
    <row r="3651" spans="1:21" x14ac:dyDescent="0.25">
      <c r="A3651" t="s">
        <v>996</v>
      </c>
      <c r="B3651" t="s">
        <v>997</v>
      </c>
      <c r="C3651" t="s">
        <v>1012</v>
      </c>
      <c r="D3651">
        <v>8520</v>
      </c>
      <c r="E3651">
        <v>440</v>
      </c>
      <c r="F3651" t="s">
        <v>1364</v>
      </c>
      <c r="G3651" t="s">
        <v>1365</v>
      </c>
      <c r="H3651" s="315" t="s">
        <v>1000</v>
      </c>
      <c r="I3651" s="315" t="s">
        <v>1001</v>
      </c>
      <c r="J3651" s="315" t="str">
        <f t="shared" ref="J3651:J3714" si="306">+H3651&amp;I3651</f>
        <v>Admin &amp; OtherOther Overheads as % of Total Gross Profit</v>
      </c>
      <c r="K3651" s="315" t="str">
        <f t="shared" ref="K3651:K3714" si="307">+E3651&amp;G3651</f>
        <v>440Bad Debts - Toyota</v>
      </c>
      <c r="L3651" s="311">
        <f>+SUMIF('TUNZ Extracted TB'!M:M,$P3651,'TUNZ Extracted TB'!G:G)</f>
        <v>0</v>
      </c>
      <c r="M3651" s="311"/>
      <c r="N3651" s="311">
        <f>+SUMIF('Input Sheet'!$AE:$AE,P3651,'Input Sheet'!$X:$X)</f>
        <v>0</v>
      </c>
      <c r="O3651" s="311"/>
      <c r="P3651" t="str">
        <f t="shared" ref="P3651:P3714" si="308">+E3651&amp;"-"&amp;D3651</f>
        <v>440-8520</v>
      </c>
      <c r="Q3651" s="315" t="str">
        <f t="shared" ref="Q3651:Q3714" si="309">H3651</f>
        <v>Admin &amp; Other</v>
      </c>
      <c r="R3651" s="315" t="str">
        <f t="shared" ref="R3651:R3714" si="310">J3651</f>
        <v>Admin &amp; OtherOther Overheads as % of Total Gross Profit</v>
      </c>
      <c r="S3651" s="199"/>
      <c r="T3651" s="199"/>
      <c r="U3651" s="199"/>
    </row>
    <row r="3652" spans="1:21" x14ac:dyDescent="0.25">
      <c r="A3652" t="s">
        <v>996</v>
      </c>
      <c r="B3652" t="s">
        <v>997</v>
      </c>
      <c r="C3652" t="s">
        <v>1012</v>
      </c>
      <c r="D3652">
        <v>8520</v>
      </c>
      <c r="E3652">
        <v>460</v>
      </c>
      <c r="F3652" t="s">
        <v>1364</v>
      </c>
      <c r="G3652" t="s">
        <v>1365</v>
      </c>
      <c r="H3652" s="315" t="s">
        <v>1000</v>
      </c>
      <c r="I3652" s="315" t="s">
        <v>1001</v>
      </c>
      <c r="J3652" s="315" t="str">
        <f t="shared" si="306"/>
        <v>Admin &amp; OtherOther Overheads as % of Total Gross Profit</v>
      </c>
      <c r="K3652" s="315" t="str">
        <f t="shared" si="307"/>
        <v>460Bad Debts - Toyota</v>
      </c>
      <c r="L3652" s="311">
        <f>+SUMIF('TUNZ Extracted TB'!M:M,$P3652,'TUNZ Extracted TB'!G:G)</f>
        <v>0</v>
      </c>
      <c r="M3652" s="311"/>
      <c r="N3652" s="311">
        <f>+SUMIF('Input Sheet'!$AE:$AE,P3652,'Input Sheet'!$X:$X)</f>
        <v>0</v>
      </c>
      <c r="O3652" s="311"/>
      <c r="P3652" t="str">
        <f t="shared" si="308"/>
        <v>460-8520</v>
      </c>
      <c r="Q3652" s="315" t="str">
        <f t="shared" si="309"/>
        <v>Admin &amp; Other</v>
      </c>
      <c r="R3652" s="315" t="str">
        <f t="shared" si="310"/>
        <v>Admin &amp; OtherOther Overheads as % of Total Gross Profit</v>
      </c>
      <c r="S3652" s="199"/>
      <c r="T3652" s="199"/>
      <c r="U3652" s="199"/>
    </row>
    <row r="3653" spans="1:21" x14ac:dyDescent="0.25">
      <c r="A3653" t="s">
        <v>996</v>
      </c>
      <c r="B3653" t="s">
        <v>997</v>
      </c>
      <c r="C3653" t="s">
        <v>1013</v>
      </c>
      <c r="D3653">
        <v>8520</v>
      </c>
      <c r="E3653">
        <v>300</v>
      </c>
      <c r="F3653" t="s">
        <v>1364</v>
      </c>
      <c r="G3653" t="s">
        <v>1365</v>
      </c>
      <c r="H3653" s="315" t="s">
        <v>1000</v>
      </c>
      <c r="I3653" s="315" t="s">
        <v>1001</v>
      </c>
      <c r="J3653" s="315" t="str">
        <f t="shared" si="306"/>
        <v>Admin &amp; OtherOther Overheads as % of Total Gross Profit</v>
      </c>
      <c r="K3653" s="315" t="str">
        <f t="shared" si="307"/>
        <v>300Bad Debts - Toyota</v>
      </c>
      <c r="L3653" s="311">
        <f>+SUMIF('TUNZ Extracted TB'!M:M,$P3653,'TUNZ Extracted TB'!G:G)</f>
        <v>0</v>
      </c>
      <c r="M3653" s="311"/>
      <c r="N3653" s="311">
        <f>+SUMIF('Input Sheet'!$AE:$AE,P3653,'Input Sheet'!$X:$X)</f>
        <v>0</v>
      </c>
      <c r="O3653" s="311"/>
      <c r="P3653" t="str">
        <f t="shared" si="308"/>
        <v>300-8520</v>
      </c>
      <c r="Q3653" s="315" t="str">
        <f t="shared" si="309"/>
        <v>Admin &amp; Other</v>
      </c>
      <c r="R3653" s="315" t="str">
        <f t="shared" si="310"/>
        <v>Admin &amp; OtherOther Overheads as % of Total Gross Profit</v>
      </c>
      <c r="S3653" s="199"/>
      <c r="T3653" s="199"/>
      <c r="U3653" s="199"/>
    </row>
    <row r="3654" spans="1:21" x14ac:dyDescent="0.25">
      <c r="A3654" t="s">
        <v>996</v>
      </c>
      <c r="B3654" t="s">
        <v>997</v>
      </c>
      <c r="C3654" t="s">
        <v>1013</v>
      </c>
      <c r="D3654">
        <v>8520</v>
      </c>
      <c r="E3654">
        <v>310</v>
      </c>
      <c r="F3654" t="s">
        <v>1364</v>
      </c>
      <c r="G3654" t="s">
        <v>1365</v>
      </c>
      <c r="H3654" s="315" t="s">
        <v>1000</v>
      </c>
      <c r="I3654" s="315" t="s">
        <v>1001</v>
      </c>
      <c r="J3654" s="315" t="str">
        <f t="shared" si="306"/>
        <v>Admin &amp; OtherOther Overheads as % of Total Gross Profit</v>
      </c>
      <c r="K3654" s="315" t="str">
        <f t="shared" si="307"/>
        <v>310Bad Debts - Toyota</v>
      </c>
      <c r="L3654" s="311">
        <f>+SUMIF('TUNZ Extracted TB'!M:M,$P3654,'TUNZ Extracted TB'!G:G)</f>
        <v>0</v>
      </c>
      <c r="M3654" s="311"/>
      <c r="N3654" s="311">
        <f>+SUMIF('Input Sheet'!$AE:$AE,P3654,'Input Sheet'!$X:$X)</f>
        <v>0</v>
      </c>
      <c r="O3654" s="311"/>
      <c r="P3654" t="str">
        <f t="shared" si="308"/>
        <v>310-8520</v>
      </c>
      <c r="Q3654" s="315" t="str">
        <f t="shared" si="309"/>
        <v>Admin &amp; Other</v>
      </c>
      <c r="R3654" s="315" t="str">
        <f t="shared" si="310"/>
        <v>Admin &amp; OtherOther Overheads as % of Total Gross Profit</v>
      </c>
      <c r="S3654" s="199"/>
      <c r="T3654" s="199"/>
      <c r="U3654" s="199"/>
    </row>
    <row r="3655" spans="1:21" x14ac:dyDescent="0.25">
      <c r="A3655" t="s">
        <v>996</v>
      </c>
      <c r="B3655" t="s">
        <v>997</v>
      </c>
      <c r="C3655" t="s">
        <v>1013</v>
      </c>
      <c r="D3655">
        <v>8520</v>
      </c>
      <c r="E3655">
        <v>321</v>
      </c>
      <c r="F3655" t="s">
        <v>1364</v>
      </c>
      <c r="G3655" t="s">
        <v>1365</v>
      </c>
      <c r="H3655" s="315" t="s">
        <v>1000</v>
      </c>
      <c r="I3655" s="315" t="s">
        <v>1001</v>
      </c>
      <c r="J3655" s="315" t="str">
        <f t="shared" si="306"/>
        <v>Admin &amp; OtherOther Overheads as % of Total Gross Profit</v>
      </c>
      <c r="K3655" s="315" t="str">
        <f t="shared" si="307"/>
        <v>321Bad Debts - Toyota</v>
      </c>
      <c r="L3655" s="311">
        <f>+SUMIF('TUNZ Extracted TB'!M:M,$P3655,'TUNZ Extracted TB'!G:G)</f>
        <v>0</v>
      </c>
      <c r="M3655" s="311"/>
      <c r="N3655" s="311">
        <f>+SUMIF('Input Sheet'!$AE:$AE,P3655,'Input Sheet'!$X:$X)</f>
        <v>0</v>
      </c>
      <c r="O3655" s="311"/>
      <c r="P3655" t="str">
        <f t="shared" si="308"/>
        <v>321-8520</v>
      </c>
      <c r="Q3655" s="315" t="str">
        <f t="shared" si="309"/>
        <v>Admin &amp; Other</v>
      </c>
      <c r="R3655" s="315" t="str">
        <f t="shared" si="310"/>
        <v>Admin &amp; OtherOther Overheads as % of Total Gross Profit</v>
      </c>
      <c r="S3655" s="199"/>
      <c r="T3655" s="199"/>
      <c r="U3655" s="199"/>
    </row>
    <row r="3656" spans="1:21" x14ac:dyDescent="0.25">
      <c r="A3656" t="s">
        <v>996</v>
      </c>
      <c r="B3656" t="s">
        <v>997</v>
      </c>
      <c r="C3656" t="s">
        <v>1013</v>
      </c>
      <c r="D3656">
        <v>8520</v>
      </c>
      <c r="E3656">
        <v>330</v>
      </c>
      <c r="F3656" t="s">
        <v>1364</v>
      </c>
      <c r="G3656" t="s">
        <v>1365</v>
      </c>
      <c r="H3656" s="315" t="s">
        <v>1000</v>
      </c>
      <c r="I3656" s="315" t="s">
        <v>1001</v>
      </c>
      <c r="J3656" s="315" t="str">
        <f t="shared" si="306"/>
        <v>Admin &amp; OtherOther Overheads as % of Total Gross Profit</v>
      </c>
      <c r="K3656" s="315" t="str">
        <f t="shared" si="307"/>
        <v>330Bad Debts - Toyota</v>
      </c>
      <c r="L3656" s="311">
        <f>+SUMIF('TUNZ Extracted TB'!M:M,$P3656,'TUNZ Extracted TB'!G:G)</f>
        <v>0</v>
      </c>
      <c r="M3656" s="311"/>
      <c r="N3656" s="311">
        <f>+SUMIF('Input Sheet'!$AE:$AE,P3656,'Input Sheet'!$X:$X)</f>
        <v>0</v>
      </c>
      <c r="O3656" s="311"/>
      <c r="P3656" t="str">
        <f t="shared" si="308"/>
        <v>330-8520</v>
      </c>
      <c r="Q3656" s="315" t="str">
        <f t="shared" si="309"/>
        <v>Admin &amp; Other</v>
      </c>
      <c r="R3656" s="315" t="str">
        <f t="shared" si="310"/>
        <v>Admin &amp; OtherOther Overheads as % of Total Gross Profit</v>
      </c>
      <c r="S3656" s="199"/>
      <c r="T3656" s="199"/>
      <c r="U3656" s="199"/>
    </row>
    <row r="3657" spans="1:21" x14ac:dyDescent="0.25">
      <c r="A3657" t="s">
        <v>996</v>
      </c>
      <c r="B3657" t="s">
        <v>997</v>
      </c>
      <c r="C3657" t="s">
        <v>1013</v>
      </c>
      <c r="D3657">
        <v>8520</v>
      </c>
      <c r="E3657">
        <v>340</v>
      </c>
      <c r="F3657" t="s">
        <v>1364</v>
      </c>
      <c r="G3657" t="s">
        <v>1365</v>
      </c>
      <c r="H3657" s="315" t="s">
        <v>1000</v>
      </c>
      <c r="I3657" s="315" t="s">
        <v>1001</v>
      </c>
      <c r="J3657" s="315" t="str">
        <f t="shared" si="306"/>
        <v>Admin &amp; OtherOther Overheads as % of Total Gross Profit</v>
      </c>
      <c r="K3657" s="315" t="str">
        <f t="shared" si="307"/>
        <v>340Bad Debts - Toyota</v>
      </c>
      <c r="L3657" s="311">
        <f>+SUMIF('TUNZ Extracted TB'!M:M,$P3657,'TUNZ Extracted TB'!G:G)</f>
        <v>0</v>
      </c>
      <c r="M3657" s="311"/>
      <c r="N3657" s="311">
        <f>+SUMIF('Input Sheet'!$AE:$AE,P3657,'Input Sheet'!$X:$X)</f>
        <v>0</v>
      </c>
      <c r="O3657" s="311"/>
      <c r="P3657" t="str">
        <f t="shared" si="308"/>
        <v>340-8520</v>
      </c>
      <c r="Q3657" s="315" t="str">
        <f t="shared" si="309"/>
        <v>Admin &amp; Other</v>
      </c>
      <c r="R3657" s="315" t="str">
        <f t="shared" si="310"/>
        <v>Admin &amp; OtherOther Overheads as % of Total Gross Profit</v>
      </c>
      <c r="S3657" s="199"/>
      <c r="T3657" s="199"/>
      <c r="U3657" s="199"/>
    </row>
    <row r="3658" spans="1:21" x14ac:dyDescent="0.25">
      <c r="A3658" t="s">
        <v>996</v>
      </c>
      <c r="B3658" t="s">
        <v>997</v>
      </c>
      <c r="C3658" t="s">
        <v>1013</v>
      </c>
      <c r="D3658">
        <v>8520</v>
      </c>
      <c r="E3658">
        <v>360</v>
      </c>
      <c r="F3658" t="s">
        <v>1364</v>
      </c>
      <c r="G3658" t="s">
        <v>1365</v>
      </c>
      <c r="H3658" s="315" t="s">
        <v>1000</v>
      </c>
      <c r="I3658" s="315" t="s">
        <v>1001</v>
      </c>
      <c r="J3658" s="315" t="str">
        <f t="shared" si="306"/>
        <v>Admin &amp; OtherOther Overheads as % of Total Gross Profit</v>
      </c>
      <c r="K3658" s="315" t="str">
        <f t="shared" si="307"/>
        <v>360Bad Debts - Toyota</v>
      </c>
      <c r="L3658" s="311">
        <f>+SUMIF('TUNZ Extracted TB'!M:M,$P3658,'TUNZ Extracted TB'!G:G)</f>
        <v>0</v>
      </c>
      <c r="M3658" s="311"/>
      <c r="N3658" s="311">
        <f>+SUMIF('Input Sheet'!$AE:$AE,P3658,'Input Sheet'!$X:$X)</f>
        <v>0</v>
      </c>
      <c r="O3658" s="311"/>
      <c r="P3658" t="str">
        <f t="shared" si="308"/>
        <v>360-8520</v>
      </c>
      <c r="Q3658" s="315" t="str">
        <f t="shared" si="309"/>
        <v>Admin &amp; Other</v>
      </c>
      <c r="R3658" s="315" t="str">
        <f t="shared" si="310"/>
        <v>Admin &amp; OtherOther Overheads as % of Total Gross Profit</v>
      </c>
      <c r="S3658" s="199"/>
      <c r="T3658" s="199"/>
      <c r="U3658" s="199"/>
    </row>
    <row r="3659" spans="1:21" x14ac:dyDescent="0.25">
      <c r="A3659" t="s">
        <v>996</v>
      </c>
      <c r="B3659" t="s">
        <v>997</v>
      </c>
      <c r="C3659" t="s">
        <v>997</v>
      </c>
      <c r="D3659">
        <v>8520</v>
      </c>
      <c r="E3659">
        <v>120</v>
      </c>
      <c r="F3659" t="s">
        <v>1364</v>
      </c>
      <c r="G3659" t="s">
        <v>1365</v>
      </c>
      <c r="H3659" s="315" t="s">
        <v>1000</v>
      </c>
      <c r="I3659" s="315" t="s">
        <v>1001</v>
      </c>
      <c r="J3659" s="315" t="str">
        <f t="shared" si="306"/>
        <v>Admin &amp; OtherOther Overheads as % of Total Gross Profit</v>
      </c>
      <c r="K3659" s="315" t="str">
        <f t="shared" si="307"/>
        <v>120Bad Debts - Toyota</v>
      </c>
      <c r="L3659" s="311">
        <f>+SUMIF('TUNZ Extracted TB'!M:M,$P3659,'TUNZ Extracted TB'!G:G)</f>
        <v>0</v>
      </c>
      <c r="M3659" s="311"/>
      <c r="N3659" s="311">
        <f>+SUMIF('Input Sheet'!$AE:$AE,P3659,'Input Sheet'!$X:$X)</f>
        <v>0</v>
      </c>
      <c r="O3659" s="311"/>
      <c r="P3659" t="str">
        <f t="shared" si="308"/>
        <v>120-8520</v>
      </c>
      <c r="Q3659" s="315" t="str">
        <f t="shared" si="309"/>
        <v>Admin &amp; Other</v>
      </c>
      <c r="R3659" s="315" t="str">
        <f t="shared" si="310"/>
        <v>Admin &amp; OtherOther Overheads as % of Total Gross Profit</v>
      </c>
      <c r="S3659" s="199"/>
      <c r="T3659" s="199"/>
      <c r="U3659" s="199"/>
    </row>
    <row r="3660" spans="1:21" x14ac:dyDescent="0.25">
      <c r="A3660" t="s">
        <v>996</v>
      </c>
      <c r="B3660" t="s">
        <v>997</v>
      </c>
      <c r="C3660" t="s">
        <v>997</v>
      </c>
      <c r="D3660">
        <v>8520</v>
      </c>
      <c r="E3660">
        <v>121</v>
      </c>
      <c r="F3660" t="s">
        <v>1364</v>
      </c>
      <c r="G3660" t="s">
        <v>1365</v>
      </c>
      <c r="H3660" s="315" t="s">
        <v>1000</v>
      </c>
      <c r="I3660" s="315" t="s">
        <v>1001</v>
      </c>
      <c r="J3660" s="315" t="str">
        <f t="shared" si="306"/>
        <v>Admin &amp; OtherOther Overheads as % of Total Gross Profit</v>
      </c>
      <c r="K3660" s="315" t="str">
        <f t="shared" si="307"/>
        <v>121Bad Debts - Toyota</v>
      </c>
      <c r="L3660" s="311">
        <f>+SUMIF('TUNZ Extracted TB'!M:M,$P3660,'TUNZ Extracted TB'!G:G)</f>
        <v>0</v>
      </c>
      <c r="M3660" s="311"/>
      <c r="N3660" s="311">
        <f>+SUMIF('Input Sheet'!$AE:$AE,P3660,'Input Sheet'!$X:$X)</f>
        <v>0</v>
      </c>
      <c r="O3660" s="311"/>
      <c r="P3660" t="str">
        <f t="shared" si="308"/>
        <v>121-8520</v>
      </c>
      <c r="Q3660" s="315" t="str">
        <f t="shared" si="309"/>
        <v>Admin &amp; Other</v>
      </c>
      <c r="R3660" s="315" t="str">
        <f t="shared" si="310"/>
        <v>Admin &amp; OtherOther Overheads as % of Total Gross Profit</v>
      </c>
      <c r="S3660" s="199"/>
      <c r="T3660" s="199"/>
      <c r="U3660" s="199"/>
    </row>
    <row r="3661" spans="1:21" x14ac:dyDescent="0.25">
      <c r="A3661" t="s">
        <v>996</v>
      </c>
      <c r="B3661" t="s">
        <v>997</v>
      </c>
      <c r="C3661" t="s">
        <v>997</v>
      </c>
      <c r="D3661">
        <v>8520</v>
      </c>
      <c r="E3661">
        <v>147</v>
      </c>
      <c r="F3661" t="s">
        <v>1364</v>
      </c>
      <c r="G3661" t="s">
        <v>1365</v>
      </c>
      <c r="H3661" s="315" t="s">
        <v>1000</v>
      </c>
      <c r="I3661" s="315" t="s">
        <v>1001</v>
      </c>
      <c r="J3661" s="315" t="str">
        <f t="shared" si="306"/>
        <v>Admin &amp; OtherOther Overheads as % of Total Gross Profit</v>
      </c>
      <c r="K3661" s="315" t="str">
        <f t="shared" si="307"/>
        <v>147Bad Debts - Toyota</v>
      </c>
      <c r="L3661" s="311">
        <f>+SUMIF('TUNZ Extracted TB'!M:M,$P3661,'TUNZ Extracted TB'!G:G)</f>
        <v>0</v>
      </c>
      <c r="M3661" s="311"/>
      <c r="N3661" s="311">
        <f>+SUMIF('Input Sheet'!$AE:$AE,P3661,'Input Sheet'!$X:$X)</f>
        <v>0</v>
      </c>
      <c r="O3661" s="311"/>
      <c r="P3661" t="str">
        <f t="shared" si="308"/>
        <v>147-8520</v>
      </c>
      <c r="Q3661" s="315" t="str">
        <f t="shared" si="309"/>
        <v>Admin &amp; Other</v>
      </c>
      <c r="R3661" s="315" t="str">
        <f t="shared" si="310"/>
        <v>Admin &amp; OtherOther Overheads as % of Total Gross Profit</v>
      </c>
      <c r="S3661" s="199"/>
      <c r="T3661" s="199"/>
      <c r="U3661" s="199"/>
    </row>
    <row r="3662" spans="1:21" x14ac:dyDescent="0.25">
      <c r="A3662" t="s">
        <v>996</v>
      </c>
      <c r="B3662" t="s">
        <v>997</v>
      </c>
      <c r="C3662" t="s">
        <v>997</v>
      </c>
      <c r="D3662">
        <v>8520</v>
      </c>
      <c r="E3662">
        <v>160</v>
      </c>
      <c r="F3662" t="s">
        <v>1364</v>
      </c>
      <c r="G3662" t="s">
        <v>1365</v>
      </c>
      <c r="H3662" s="315" t="s">
        <v>1000</v>
      </c>
      <c r="I3662" s="315" t="s">
        <v>1001</v>
      </c>
      <c r="J3662" s="315" t="str">
        <f t="shared" si="306"/>
        <v>Admin &amp; OtherOther Overheads as % of Total Gross Profit</v>
      </c>
      <c r="K3662" s="315" t="str">
        <f t="shared" si="307"/>
        <v>160Bad Debts - Toyota</v>
      </c>
      <c r="L3662" s="311">
        <f>+SUMIF('TUNZ Extracted TB'!M:M,$P3662,'TUNZ Extracted TB'!G:G)</f>
        <v>0</v>
      </c>
      <c r="M3662" s="311"/>
      <c r="N3662" s="311">
        <f>+SUMIF('Input Sheet'!$AE:$AE,P3662,'Input Sheet'!$X:$X)</f>
        <v>0</v>
      </c>
      <c r="O3662" s="311"/>
      <c r="P3662" t="str">
        <f t="shared" si="308"/>
        <v>160-8520</v>
      </c>
      <c r="Q3662" s="315" t="str">
        <f t="shared" si="309"/>
        <v>Admin &amp; Other</v>
      </c>
      <c r="R3662" s="315" t="str">
        <f t="shared" si="310"/>
        <v>Admin &amp; OtherOther Overheads as % of Total Gross Profit</v>
      </c>
      <c r="S3662" s="199"/>
      <c r="T3662" s="199"/>
      <c r="U3662" s="199"/>
    </row>
    <row r="3663" spans="1:21" x14ac:dyDescent="0.25">
      <c r="A3663" t="s">
        <v>996</v>
      </c>
      <c r="B3663" t="s">
        <v>997</v>
      </c>
      <c r="C3663" t="s">
        <v>997</v>
      </c>
      <c r="D3663">
        <v>8520</v>
      </c>
      <c r="E3663">
        <v>170</v>
      </c>
      <c r="F3663" t="s">
        <v>1364</v>
      </c>
      <c r="G3663" t="s">
        <v>1365</v>
      </c>
      <c r="H3663" s="315" t="s">
        <v>1000</v>
      </c>
      <c r="I3663" s="315" t="s">
        <v>1001</v>
      </c>
      <c r="J3663" s="315" t="str">
        <f t="shared" si="306"/>
        <v>Admin &amp; OtherOther Overheads as % of Total Gross Profit</v>
      </c>
      <c r="K3663" s="315" t="str">
        <f t="shared" si="307"/>
        <v>170Bad Debts - Toyota</v>
      </c>
      <c r="L3663" s="311">
        <f>+SUMIF('TUNZ Extracted TB'!M:M,$P3663,'TUNZ Extracted TB'!G:G)</f>
        <v>0</v>
      </c>
      <c r="M3663" s="311"/>
      <c r="N3663" s="311">
        <f>+SUMIF('Input Sheet'!$AE:$AE,P3663,'Input Sheet'!$X:$X)</f>
        <v>0</v>
      </c>
      <c r="O3663" s="311"/>
      <c r="P3663" t="str">
        <f t="shared" si="308"/>
        <v>170-8520</v>
      </c>
      <c r="Q3663" s="315" t="str">
        <f t="shared" si="309"/>
        <v>Admin &amp; Other</v>
      </c>
      <c r="R3663" s="315" t="str">
        <f t="shared" si="310"/>
        <v>Admin &amp; OtherOther Overheads as % of Total Gross Profit</v>
      </c>
      <c r="S3663" s="199"/>
      <c r="T3663" s="199"/>
      <c r="U3663" s="199"/>
    </row>
    <row r="3664" spans="1:21" x14ac:dyDescent="0.25">
      <c r="A3664" t="s">
        <v>996</v>
      </c>
      <c r="B3664" t="s">
        <v>997</v>
      </c>
      <c r="C3664" t="s">
        <v>997</v>
      </c>
      <c r="D3664">
        <v>8520</v>
      </c>
      <c r="E3664">
        <v>936</v>
      </c>
      <c r="F3664" t="s">
        <v>1175</v>
      </c>
      <c r="G3664" t="s">
        <v>1176</v>
      </c>
      <c r="H3664" s="315" t="s">
        <v>1023</v>
      </c>
      <c r="I3664" s="315" t="s">
        <v>1001</v>
      </c>
      <c r="J3664" s="315" t="str">
        <f t="shared" si="306"/>
        <v>LEX Admin &amp; OtherOther Overheads as % of Total Gross Profit</v>
      </c>
      <c r="K3664" s="315" t="str">
        <f t="shared" si="307"/>
        <v>936Other franchise/business expense</v>
      </c>
      <c r="L3664" s="311">
        <f>+SUMIF('TUNZ Extracted TB'!M:M,$P3664,'TUNZ Extracted TB'!G:G)</f>
        <v>0</v>
      </c>
      <c r="M3664" s="311"/>
      <c r="N3664" s="311">
        <f>+SUMIF('Input Sheet'!$AE:$AE,P3664,'Input Sheet'!$X:$X)</f>
        <v>0</v>
      </c>
      <c r="O3664" s="311"/>
      <c r="P3664" t="str">
        <f t="shared" si="308"/>
        <v>936-8520</v>
      </c>
      <c r="Q3664" s="315" t="str">
        <f t="shared" si="309"/>
        <v>LEX Admin &amp; Other</v>
      </c>
      <c r="R3664" s="315" t="str">
        <f t="shared" si="310"/>
        <v>LEX Admin &amp; OtherOther Overheads as % of Total Gross Profit</v>
      </c>
      <c r="S3664" s="199"/>
      <c r="T3664" s="199"/>
      <c r="U3664" s="199"/>
    </row>
    <row r="3665" spans="1:21" x14ac:dyDescent="0.25">
      <c r="A3665" t="s">
        <v>996</v>
      </c>
      <c r="B3665" t="s">
        <v>997</v>
      </c>
      <c r="C3665" t="s">
        <v>997</v>
      </c>
      <c r="D3665">
        <v>8520</v>
      </c>
      <c r="E3665">
        <v>935</v>
      </c>
      <c r="F3665" t="s">
        <v>1175</v>
      </c>
      <c r="G3665" t="s">
        <v>1176</v>
      </c>
      <c r="H3665" s="315" t="s">
        <v>1023</v>
      </c>
      <c r="I3665" s="315" t="s">
        <v>1001</v>
      </c>
      <c r="J3665" s="315" t="str">
        <f t="shared" si="306"/>
        <v>LEX Admin &amp; OtherOther Overheads as % of Total Gross Profit</v>
      </c>
      <c r="K3665" s="315" t="str">
        <f t="shared" si="307"/>
        <v>935Other franchise/business expense</v>
      </c>
      <c r="L3665" s="311">
        <f>+SUMIF('TUNZ Extracted TB'!M:M,$P3665,'TUNZ Extracted TB'!G:G)</f>
        <v>0</v>
      </c>
      <c r="M3665" s="311"/>
      <c r="N3665" s="311">
        <f>+SUMIF('Input Sheet'!$AE:$AE,P3665,'Input Sheet'!$X:$X)</f>
        <v>0</v>
      </c>
      <c r="O3665" s="311"/>
      <c r="P3665" t="str">
        <f t="shared" si="308"/>
        <v>935-8520</v>
      </c>
      <c r="Q3665" s="315" t="str">
        <f t="shared" si="309"/>
        <v>LEX Admin &amp; Other</v>
      </c>
      <c r="R3665" s="315" t="str">
        <f t="shared" si="310"/>
        <v>LEX Admin &amp; OtherOther Overheads as % of Total Gross Profit</v>
      </c>
      <c r="S3665" s="199"/>
      <c r="T3665" s="199"/>
      <c r="U3665" s="199"/>
    </row>
    <row r="3666" spans="1:21" x14ac:dyDescent="0.25">
      <c r="A3666" t="s">
        <v>996</v>
      </c>
      <c r="B3666" t="s">
        <v>997</v>
      </c>
      <c r="C3666" t="s">
        <v>997</v>
      </c>
      <c r="D3666">
        <v>8520</v>
      </c>
      <c r="E3666">
        <v>140</v>
      </c>
      <c r="F3666" t="s">
        <v>1364</v>
      </c>
      <c r="G3666" t="s">
        <v>1365</v>
      </c>
      <c r="H3666" s="315" t="s">
        <v>1000</v>
      </c>
      <c r="I3666" s="315" t="s">
        <v>1001</v>
      </c>
      <c r="J3666" s="315" t="str">
        <f t="shared" si="306"/>
        <v>Admin &amp; OtherOther Overheads as % of Total Gross Profit</v>
      </c>
      <c r="K3666" s="315" t="str">
        <f t="shared" si="307"/>
        <v>140Bad Debts - Toyota</v>
      </c>
      <c r="L3666" s="311">
        <f>+SUMIF('TUNZ Extracted TB'!M:M,$P3666,'TUNZ Extracted TB'!G:G)</f>
        <v>0</v>
      </c>
      <c r="M3666" s="311"/>
      <c r="N3666" s="311">
        <f>+SUMIF('Input Sheet'!$AE:$AE,P3666,'Input Sheet'!$X:$X)</f>
        <v>0</v>
      </c>
      <c r="O3666" s="311"/>
      <c r="P3666" t="str">
        <f t="shared" si="308"/>
        <v>140-8520</v>
      </c>
      <c r="Q3666" s="315" t="str">
        <f t="shared" si="309"/>
        <v>Admin &amp; Other</v>
      </c>
      <c r="R3666" s="315" t="str">
        <f t="shared" si="310"/>
        <v>Admin &amp; OtherOther Overheads as % of Total Gross Profit</v>
      </c>
      <c r="S3666" s="199"/>
      <c r="T3666" s="199"/>
      <c r="U3666" s="199"/>
    </row>
    <row r="3667" spans="1:21" x14ac:dyDescent="0.25">
      <c r="A3667" t="s">
        <v>996</v>
      </c>
      <c r="B3667" t="s">
        <v>997</v>
      </c>
      <c r="C3667" t="s">
        <v>997</v>
      </c>
      <c r="D3667">
        <v>8520</v>
      </c>
      <c r="E3667">
        <v>142</v>
      </c>
      <c r="F3667" t="s">
        <v>1366</v>
      </c>
      <c r="G3667" t="s">
        <v>1367</v>
      </c>
      <c r="H3667" s="315" t="s">
        <v>1023</v>
      </c>
      <c r="I3667" s="315" t="s">
        <v>1001</v>
      </c>
      <c r="J3667" s="315" t="str">
        <f t="shared" si="306"/>
        <v>LEX Admin &amp; OtherOther Overheads as % of Total Gross Profit</v>
      </c>
      <c r="K3667" s="315" t="str">
        <f t="shared" si="307"/>
        <v>142Bad Debts - Lexus</v>
      </c>
      <c r="L3667" s="311">
        <f>+SUMIF('TUNZ Extracted TB'!M:M,$P3667,'TUNZ Extracted TB'!G:G)</f>
        <v>0</v>
      </c>
      <c r="M3667" s="311"/>
      <c r="N3667" s="311">
        <f>+SUMIF('Input Sheet'!$AE:$AE,P3667,'Input Sheet'!$X:$X)</f>
        <v>0</v>
      </c>
      <c r="O3667" s="311"/>
      <c r="P3667" t="str">
        <f t="shared" si="308"/>
        <v>142-8520</v>
      </c>
      <c r="Q3667" s="315" t="str">
        <f t="shared" si="309"/>
        <v>LEX Admin &amp; Other</v>
      </c>
      <c r="R3667" s="315" t="str">
        <f t="shared" si="310"/>
        <v>LEX Admin &amp; OtherOther Overheads as % of Total Gross Profit</v>
      </c>
      <c r="S3667" s="199"/>
      <c r="T3667" s="199"/>
      <c r="U3667" s="199"/>
    </row>
    <row r="3668" spans="1:21" x14ac:dyDescent="0.25">
      <c r="A3668" t="s">
        <v>996</v>
      </c>
      <c r="B3668" t="s">
        <v>997</v>
      </c>
      <c r="C3668" t="s">
        <v>997</v>
      </c>
      <c r="D3668">
        <v>8520</v>
      </c>
      <c r="E3668">
        <v>132</v>
      </c>
      <c r="F3668" t="s">
        <v>1366</v>
      </c>
      <c r="G3668" t="s">
        <v>1367</v>
      </c>
      <c r="H3668" s="315" t="s">
        <v>1023</v>
      </c>
      <c r="I3668" s="315" t="s">
        <v>1001</v>
      </c>
      <c r="J3668" s="315" t="str">
        <f t="shared" si="306"/>
        <v>LEX Admin &amp; OtherOther Overheads as % of Total Gross Profit</v>
      </c>
      <c r="K3668" s="315" t="str">
        <f t="shared" si="307"/>
        <v>132Bad Debts - Lexus</v>
      </c>
      <c r="L3668" s="311">
        <f>+SUMIF('TUNZ Extracted TB'!M:M,$P3668,'TUNZ Extracted TB'!G:G)</f>
        <v>0</v>
      </c>
      <c r="M3668" s="311"/>
      <c r="N3668" s="311">
        <f>+SUMIF('Input Sheet'!$AE:$AE,P3668,'Input Sheet'!$X:$X)</f>
        <v>0</v>
      </c>
      <c r="O3668" s="311"/>
      <c r="P3668" t="str">
        <f t="shared" si="308"/>
        <v>132-8520</v>
      </c>
      <c r="Q3668" s="315" t="str">
        <f t="shared" si="309"/>
        <v>LEX Admin &amp; Other</v>
      </c>
      <c r="R3668" s="315" t="str">
        <f t="shared" si="310"/>
        <v>LEX Admin &amp; OtherOther Overheads as % of Total Gross Profit</v>
      </c>
      <c r="S3668" s="199"/>
      <c r="T3668" s="199"/>
      <c r="U3668" s="199"/>
    </row>
    <row r="3669" spans="1:21" x14ac:dyDescent="0.25">
      <c r="A3669" t="s">
        <v>996</v>
      </c>
      <c r="B3669" t="s">
        <v>997</v>
      </c>
      <c r="C3669" t="s">
        <v>997</v>
      </c>
      <c r="D3669">
        <v>8520</v>
      </c>
      <c r="E3669">
        <v>112</v>
      </c>
      <c r="F3669" t="s">
        <v>1366</v>
      </c>
      <c r="G3669" t="s">
        <v>1367</v>
      </c>
      <c r="H3669" s="315" t="s">
        <v>1023</v>
      </c>
      <c r="I3669" s="315" t="s">
        <v>1001</v>
      </c>
      <c r="J3669" s="315" t="str">
        <f t="shared" si="306"/>
        <v>LEX Admin &amp; OtherOther Overheads as % of Total Gross Profit</v>
      </c>
      <c r="K3669" s="315" t="str">
        <f t="shared" si="307"/>
        <v>112Bad Debts - Lexus</v>
      </c>
      <c r="L3669" s="311">
        <f>+SUMIF('TUNZ Extracted TB'!M:M,$P3669,'TUNZ Extracted TB'!G:G)</f>
        <v>0</v>
      </c>
      <c r="M3669" s="311"/>
      <c r="N3669" s="311">
        <f>+SUMIF('Input Sheet'!$AE:$AE,P3669,'Input Sheet'!$X:$X)</f>
        <v>0</v>
      </c>
      <c r="O3669" s="311"/>
      <c r="P3669" t="str">
        <f t="shared" si="308"/>
        <v>112-8520</v>
      </c>
      <c r="Q3669" s="315" t="str">
        <f t="shared" si="309"/>
        <v>LEX Admin &amp; Other</v>
      </c>
      <c r="R3669" s="315" t="str">
        <f t="shared" si="310"/>
        <v>LEX Admin &amp; OtherOther Overheads as % of Total Gross Profit</v>
      </c>
      <c r="S3669" s="199"/>
      <c r="T3669" s="199"/>
      <c r="U3669" s="199"/>
    </row>
    <row r="3670" spans="1:21" x14ac:dyDescent="0.25">
      <c r="A3670" t="s">
        <v>996</v>
      </c>
      <c r="B3670" t="s">
        <v>997</v>
      </c>
      <c r="C3670" t="s">
        <v>997</v>
      </c>
      <c r="D3670">
        <v>8520</v>
      </c>
      <c r="E3670">
        <v>100</v>
      </c>
      <c r="F3670" t="s">
        <v>1364</v>
      </c>
      <c r="G3670" t="s">
        <v>1365</v>
      </c>
      <c r="H3670" s="315" t="s">
        <v>1000</v>
      </c>
      <c r="I3670" s="315" t="s">
        <v>1001</v>
      </c>
      <c r="J3670" s="315" t="str">
        <f t="shared" si="306"/>
        <v>Admin &amp; OtherOther Overheads as % of Total Gross Profit</v>
      </c>
      <c r="K3670" s="315" t="str">
        <f t="shared" si="307"/>
        <v>100Bad Debts - Toyota</v>
      </c>
      <c r="L3670" s="311">
        <f>+SUMIF('TUNZ Extracted TB'!M:M,$P3670,'TUNZ Extracted TB'!G:G)</f>
        <v>0</v>
      </c>
      <c r="M3670" s="311"/>
      <c r="N3670" s="311">
        <f>+SUMIF('Input Sheet'!$AE:$AE,P3670,'Input Sheet'!$X:$X)</f>
        <v>0</v>
      </c>
      <c r="O3670" s="311"/>
      <c r="P3670" t="str">
        <f t="shared" si="308"/>
        <v>100-8520</v>
      </c>
      <c r="Q3670" s="315" t="str">
        <f t="shared" si="309"/>
        <v>Admin &amp; Other</v>
      </c>
      <c r="R3670" s="315" t="str">
        <f t="shared" si="310"/>
        <v>Admin &amp; OtherOther Overheads as % of Total Gross Profit</v>
      </c>
      <c r="S3670" s="199"/>
      <c r="T3670" s="199"/>
      <c r="U3670" s="199"/>
    </row>
    <row r="3671" spans="1:21" x14ac:dyDescent="0.25">
      <c r="A3671" t="s">
        <v>996</v>
      </c>
      <c r="B3671" t="s">
        <v>997</v>
      </c>
      <c r="C3671" t="s">
        <v>997</v>
      </c>
      <c r="D3671">
        <v>8520</v>
      </c>
      <c r="E3671">
        <v>130</v>
      </c>
      <c r="F3671" t="s">
        <v>1364</v>
      </c>
      <c r="G3671" t="s">
        <v>1365</v>
      </c>
      <c r="H3671" s="315" t="s">
        <v>1000</v>
      </c>
      <c r="I3671" s="315" t="s">
        <v>1001</v>
      </c>
      <c r="J3671" s="315" t="str">
        <f t="shared" si="306"/>
        <v>Admin &amp; OtherOther Overheads as % of Total Gross Profit</v>
      </c>
      <c r="K3671" s="315" t="str">
        <f t="shared" si="307"/>
        <v>130Bad Debts - Toyota</v>
      </c>
      <c r="L3671" s="311">
        <f>+SUMIF('TUNZ Extracted TB'!M:M,$P3671,'TUNZ Extracted TB'!G:G)</f>
        <v>0</v>
      </c>
      <c r="M3671" s="311"/>
      <c r="N3671" s="311">
        <f>+SUMIF('Input Sheet'!$AE:$AE,P3671,'Input Sheet'!$X:$X)</f>
        <v>0</v>
      </c>
      <c r="O3671" s="311"/>
      <c r="P3671" t="str">
        <f t="shared" si="308"/>
        <v>130-8520</v>
      </c>
      <c r="Q3671" s="315" t="str">
        <f t="shared" si="309"/>
        <v>Admin &amp; Other</v>
      </c>
      <c r="R3671" s="315" t="str">
        <f t="shared" si="310"/>
        <v>Admin &amp; OtherOther Overheads as % of Total Gross Profit</v>
      </c>
      <c r="S3671" s="199"/>
      <c r="T3671" s="199"/>
      <c r="U3671" s="199"/>
    </row>
    <row r="3672" spans="1:21" x14ac:dyDescent="0.25">
      <c r="A3672" t="s">
        <v>996</v>
      </c>
      <c r="B3672" t="s">
        <v>997</v>
      </c>
      <c r="C3672" t="s">
        <v>997</v>
      </c>
      <c r="D3672">
        <v>8520</v>
      </c>
      <c r="E3672">
        <v>110</v>
      </c>
      <c r="F3672" t="s">
        <v>1364</v>
      </c>
      <c r="G3672" t="s">
        <v>1365</v>
      </c>
      <c r="H3672" s="315" t="s">
        <v>1000</v>
      </c>
      <c r="I3672" s="315" t="s">
        <v>1001</v>
      </c>
      <c r="J3672" s="315" t="str">
        <f t="shared" si="306"/>
        <v>Admin &amp; OtherOther Overheads as % of Total Gross Profit</v>
      </c>
      <c r="K3672" s="315" t="str">
        <f t="shared" si="307"/>
        <v>110Bad Debts - Toyota</v>
      </c>
      <c r="L3672" s="311">
        <f>+SUMIF('TUNZ Extracted TB'!M:M,$P3672,'TUNZ Extracted TB'!G:G)</f>
        <v>0</v>
      </c>
      <c r="M3672" s="311"/>
      <c r="N3672" s="311">
        <f>+SUMIF('Input Sheet'!$AE:$AE,P3672,'Input Sheet'!$X:$X)</f>
        <v>0</v>
      </c>
      <c r="O3672" s="311"/>
      <c r="P3672" t="str">
        <f t="shared" si="308"/>
        <v>110-8520</v>
      </c>
      <c r="Q3672" s="315" t="str">
        <f t="shared" si="309"/>
        <v>Admin &amp; Other</v>
      </c>
      <c r="R3672" s="315" t="str">
        <f t="shared" si="310"/>
        <v>Admin &amp; OtherOther Overheads as % of Total Gross Profit</v>
      </c>
      <c r="S3672" s="199"/>
      <c r="T3672" s="199"/>
      <c r="U3672" s="199"/>
    </row>
    <row r="3673" spans="1:21" x14ac:dyDescent="0.25">
      <c r="A3673" t="s">
        <v>996</v>
      </c>
      <c r="B3673" t="s">
        <v>997</v>
      </c>
      <c r="C3673" t="s">
        <v>1012</v>
      </c>
      <c r="D3673">
        <v>8540</v>
      </c>
      <c r="E3673">
        <v>440</v>
      </c>
      <c r="F3673" t="s">
        <v>1017</v>
      </c>
      <c r="G3673" t="s">
        <v>1018</v>
      </c>
      <c r="H3673" s="315" t="s">
        <v>17</v>
      </c>
      <c r="I3673" s="315" t="s">
        <v>1019</v>
      </c>
      <c r="J3673" s="315" t="str">
        <f t="shared" si="306"/>
        <v>ServiceMiscellaneous % of Total Sales</v>
      </c>
      <c r="K3673" s="315" t="str">
        <f t="shared" si="307"/>
        <v>440Service Miscellaneous Sales - Toyota</v>
      </c>
      <c r="L3673" s="311">
        <f>+SUMIF('TUNZ Extracted TB'!M:M,$P3673,'TUNZ Extracted TB'!G:G)</f>
        <v>0</v>
      </c>
      <c r="M3673" s="311"/>
      <c r="N3673" s="311">
        <f>+SUMIF('Input Sheet'!$AE:$AE,P3673,'Input Sheet'!$X:$X)</f>
        <v>0</v>
      </c>
      <c r="O3673" s="311"/>
      <c r="P3673" t="str">
        <f t="shared" si="308"/>
        <v>440-8540</v>
      </c>
      <c r="Q3673" s="315" t="str">
        <f t="shared" si="309"/>
        <v>Service</v>
      </c>
      <c r="R3673" s="315" t="str">
        <f t="shared" si="310"/>
        <v>ServiceMiscellaneous % of Total Sales</v>
      </c>
      <c r="S3673" s="199"/>
      <c r="T3673" s="199"/>
      <c r="U3673" s="199"/>
    </row>
    <row r="3674" spans="1:21" x14ac:dyDescent="0.25">
      <c r="A3674" t="s">
        <v>996</v>
      </c>
      <c r="B3674" t="s">
        <v>997</v>
      </c>
      <c r="C3674" t="s">
        <v>997</v>
      </c>
      <c r="D3674">
        <v>8540</v>
      </c>
      <c r="E3674">
        <v>112</v>
      </c>
      <c r="F3674" t="s">
        <v>1460</v>
      </c>
      <c r="G3674" t="s">
        <v>1461</v>
      </c>
      <c r="H3674" s="315" t="s">
        <v>1011</v>
      </c>
      <c r="I3674" s="315" t="s">
        <v>1026</v>
      </c>
      <c r="J3674" s="315" t="str">
        <f t="shared" si="306"/>
        <v>LEX New VehicleOther Income per NV unit</v>
      </c>
      <c r="K3674" s="315" t="str">
        <f t="shared" si="307"/>
        <v>112Other Income - Lexus</v>
      </c>
      <c r="L3674" s="311">
        <f>+SUMIF('TUNZ Extracted TB'!M:M,$P3674,'TUNZ Extracted TB'!G:G)</f>
        <v>0</v>
      </c>
      <c r="M3674" s="311"/>
      <c r="N3674" s="311">
        <f>+SUMIF('Input Sheet'!$AE:$AE,P3674,'Input Sheet'!$X:$X)</f>
        <v>0</v>
      </c>
      <c r="O3674" s="311"/>
      <c r="P3674" t="str">
        <f t="shared" si="308"/>
        <v>112-8540</v>
      </c>
      <c r="Q3674" s="315" t="str">
        <f t="shared" si="309"/>
        <v>LEX New Vehicle</v>
      </c>
      <c r="R3674" s="315" t="str">
        <f t="shared" si="310"/>
        <v>LEX New VehicleOther Income per NV unit</v>
      </c>
      <c r="S3674" s="199"/>
      <c r="T3674" s="199"/>
      <c r="U3674" s="199"/>
    </row>
    <row r="3675" spans="1:21" x14ac:dyDescent="0.25">
      <c r="A3675" t="s">
        <v>996</v>
      </c>
      <c r="B3675" t="s">
        <v>997</v>
      </c>
      <c r="C3675" t="s">
        <v>997</v>
      </c>
      <c r="D3675" t="s">
        <v>480</v>
      </c>
      <c r="E3675">
        <v>100</v>
      </c>
      <c r="F3675" t="s">
        <v>1024</v>
      </c>
      <c r="G3675" t="s">
        <v>1027</v>
      </c>
      <c r="H3675" s="315" t="s">
        <v>29</v>
      </c>
      <c r="I3675" s="315" t="s">
        <v>1026</v>
      </c>
      <c r="J3675" s="315" t="str">
        <f t="shared" si="306"/>
        <v>New VehicleOther Income per NV unit</v>
      </c>
      <c r="K3675" s="315" t="str">
        <f t="shared" si="307"/>
        <v>100New Vehicle Other Income - Toyota</v>
      </c>
      <c r="L3675" s="311">
        <f>+SUMIF('TUNZ Extracted TB'!M:M,$P3675,'TUNZ Extracted TB'!G:G)</f>
        <v>-419.71</v>
      </c>
      <c r="M3675" s="311"/>
      <c r="N3675" s="311">
        <f>+SUMIF('Input Sheet'!$AE:$AE,P3675,'Input Sheet'!$X:$X)</f>
        <v>0</v>
      </c>
      <c r="O3675" s="311"/>
      <c r="P3675" t="str">
        <f t="shared" si="308"/>
        <v>100-3002R</v>
      </c>
      <c r="Q3675" s="315" t="str">
        <f t="shared" si="309"/>
        <v>New Vehicle</v>
      </c>
      <c r="R3675" s="315" t="str">
        <f t="shared" si="310"/>
        <v>New VehicleOther Income per NV unit</v>
      </c>
      <c r="S3675" s="199"/>
      <c r="T3675" s="199"/>
      <c r="U3675" s="199"/>
    </row>
    <row r="3676" spans="1:21" x14ac:dyDescent="0.25">
      <c r="A3676" t="s">
        <v>996</v>
      </c>
      <c r="B3676" t="s">
        <v>997</v>
      </c>
      <c r="C3676" t="s">
        <v>1012</v>
      </c>
      <c r="D3676" t="s">
        <v>480</v>
      </c>
      <c r="E3676">
        <v>400</v>
      </c>
      <c r="F3676" t="s">
        <v>1024</v>
      </c>
      <c r="G3676" t="s">
        <v>1027</v>
      </c>
      <c r="H3676" s="315" t="s">
        <v>29</v>
      </c>
      <c r="I3676" s="315" t="s">
        <v>1026</v>
      </c>
      <c r="J3676" s="315" t="str">
        <f t="shared" si="306"/>
        <v>New VehicleOther Income per NV unit</v>
      </c>
      <c r="K3676" s="315" t="str">
        <f t="shared" si="307"/>
        <v>400New Vehicle Other Income - Toyota</v>
      </c>
      <c r="L3676" s="311">
        <f>+SUMIF('TUNZ Extracted TB'!M:M,$P3676,'TUNZ Extracted TB'!G:G)</f>
        <v>0</v>
      </c>
      <c r="M3676" s="311"/>
      <c r="N3676" s="311">
        <f>+SUMIF('Input Sheet'!$AE:$AE,P3676,'Input Sheet'!$X:$X)</f>
        <v>0</v>
      </c>
      <c r="O3676" s="311"/>
      <c r="P3676" t="str">
        <f t="shared" si="308"/>
        <v>400-3002R</v>
      </c>
      <c r="Q3676" s="315" t="str">
        <f t="shared" si="309"/>
        <v>New Vehicle</v>
      </c>
      <c r="R3676" s="315" t="str">
        <f t="shared" si="310"/>
        <v>New VehicleOther Income per NV unit</v>
      </c>
      <c r="S3676" s="199"/>
      <c r="T3676" s="199"/>
      <c r="U3676" s="199"/>
    </row>
    <row r="3677" spans="1:21" x14ac:dyDescent="0.25">
      <c r="A3677" t="s">
        <v>996</v>
      </c>
      <c r="B3677" t="s">
        <v>997</v>
      </c>
      <c r="C3677" t="s">
        <v>997</v>
      </c>
      <c r="D3677">
        <v>8540</v>
      </c>
      <c r="E3677">
        <v>162</v>
      </c>
      <c r="F3677" t="s">
        <v>1455</v>
      </c>
      <c r="G3677" t="s">
        <v>1456</v>
      </c>
      <c r="H3677" s="315" t="s">
        <v>142</v>
      </c>
      <c r="I3677" s="315" t="s">
        <v>1457</v>
      </c>
      <c r="J3677" s="315" t="str">
        <f t="shared" si="306"/>
        <v>LEX F&amp;IF&amp;I Other Income per vehicle retailed</v>
      </c>
      <c r="K3677" s="315" t="str">
        <f t="shared" si="307"/>
        <v>162Other F&amp;I income - Lexus</v>
      </c>
      <c r="L3677" s="311">
        <f>+SUMIF('TUNZ Extracted TB'!M:M,$P3677,'TUNZ Extracted TB'!G:G)</f>
        <v>0</v>
      </c>
      <c r="M3677" s="311"/>
      <c r="N3677" s="311">
        <f>+SUMIF('Input Sheet'!$AE:$AE,P3677,'Input Sheet'!$X:$X)</f>
        <v>0</v>
      </c>
      <c r="O3677" s="311"/>
      <c r="P3677" t="str">
        <f t="shared" si="308"/>
        <v>162-8540</v>
      </c>
      <c r="Q3677" s="315" t="str">
        <f t="shared" si="309"/>
        <v>LEX F&amp;I</v>
      </c>
      <c r="R3677" s="315" t="str">
        <f t="shared" si="310"/>
        <v>LEX F&amp;IF&amp;I Other Income per vehicle retailed</v>
      </c>
      <c r="S3677" s="199"/>
      <c r="T3677" s="199"/>
      <c r="U3677" s="199"/>
    </row>
    <row r="3678" spans="1:21" x14ac:dyDescent="0.25">
      <c r="A3678" t="s">
        <v>996</v>
      </c>
      <c r="B3678" t="s">
        <v>997</v>
      </c>
      <c r="C3678" t="s">
        <v>997</v>
      </c>
      <c r="D3678">
        <v>8540</v>
      </c>
      <c r="E3678">
        <v>160</v>
      </c>
      <c r="F3678" t="s">
        <v>1458</v>
      </c>
      <c r="G3678" t="s">
        <v>1459</v>
      </c>
      <c r="H3678" s="315" t="s">
        <v>16</v>
      </c>
      <c r="I3678" s="315" t="s">
        <v>1457</v>
      </c>
      <c r="J3678" s="315" t="str">
        <f t="shared" si="306"/>
        <v>F&amp;IF&amp;I Other Income per vehicle retailed</v>
      </c>
      <c r="K3678" s="315" t="str">
        <f t="shared" si="307"/>
        <v>160Other F&amp;I income - Toyota</v>
      </c>
      <c r="L3678" s="311">
        <f>+SUMIF('TUNZ Extracted TB'!M:M,$P3678,'TUNZ Extracted TB'!G:G)</f>
        <v>0</v>
      </c>
      <c r="M3678" s="311"/>
      <c r="N3678" s="311">
        <f>+SUMIF('Input Sheet'!$AE:$AE,P3678,'Input Sheet'!$X:$X)</f>
        <v>0</v>
      </c>
      <c r="O3678" s="311"/>
      <c r="P3678" t="str">
        <f t="shared" si="308"/>
        <v>160-8540</v>
      </c>
      <c r="Q3678" s="315" t="str">
        <f t="shared" si="309"/>
        <v>F&amp;I</v>
      </c>
      <c r="R3678" s="315" t="str">
        <f t="shared" si="310"/>
        <v>F&amp;IF&amp;I Other Income per vehicle retailed</v>
      </c>
      <c r="S3678" s="199"/>
      <c r="T3678" s="199"/>
      <c r="U3678" s="199"/>
    </row>
    <row r="3679" spans="1:21" x14ac:dyDescent="0.25">
      <c r="A3679" t="s">
        <v>996</v>
      </c>
      <c r="B3679" t="s">
        <v>997</v>
      </c>
      <c r="C3679" t="s">
        <v>1005</v>
      </c>
      <c r="D3679">
        <v>8540</v>
      </c>
      <c r="E3679">
        <v>260</v>
      </c>
      <c r="F3679" t="s">
        <v>1458</v>
      </c>
      <c r="G3679" t="s">
        <v>1459</v>
      </c>
      <c r="H3679" s="315" t="s">
        <v>16</v>
      </c>
      <c r="I3679" s="315" t="s">
        <v>1457</v>
      </c>
      <c r="J3679" s="315" t="str">
        <f t="shared" si="306"/>
        <v>F&amp;IF&amp;I Other Income per vehicle retailed</v>
      </c>
      <c r="K3679" s="315" t="str">
        <f t="shared" si="307"/>
        <v>260Other F&amp;I income - Toyota</v>
      </c>
      <c r="L3679" s="311">
        <f>+SUMIF('TUNZ Extracted TB'!M:M,$P3679,'TUNZ Extracted TB'!G:G)</f>
        <v>0</v>
      </c>
      <c r="M3679" s="311"/>
      <c r="N3679" s="311">
        <f>+SUMIF('Input Sheet'!$AE:$AE,P3679,'Input Sheet'!$X:$X)</f>
        <v>0</v>
      </c>
      <c r="O3679" s="311"/>
      <c r="P3679" t="str">
        <f t="shared" si="308"/>
        <v>260-8540</v>
      </c>
      <c r="Q3679" s="315" t="str">
        <f t="shared" si="309"/>
        <v>F&amp;I</v>
      </c>
      <c r="R3679" s="315" t="str">
        <f t="shared" si="310"/>
        <v>F&amp;IF&amp;I Other Income per vehicle retailed</v>
      </c>
      <c r="S3679" s="199"/>
      <c r="T3679" s="199"/>
      <c r="U3679" s="199"/>
    </row>
    <row r="3680" spans="1:21" x14ac:dyDescent="0.25">
      <c r="A3680" t="s">
        <v>996</v>
      </c>
      <c r="B3680" t="s">
        <v>997</v>
      </c>
      <c r="C3680" t="s">
        <v>1012</v>
      </c>
      <c r="D3680">
        <v>8540</v>
      </c>
      <c r="E3680">
        <v>460</v>
      </c>
      <c r="F3680" t="s">
        <v>1458</v>
      </c>
      <c r="G3680" t="s">
        <v>1459</v>
      </c>
      <c r="H3680" s="315" t="s">
        <v>16</v>
      </c>
      <c r="I3680" s="315" t="s">
        <v>1457</v>
      </c>
      <c r="J3680" s="315" t="str">
        <f t="shared" si="306"/>
        <v>F&amp;IF&amp;I Other Income per vehicle retailed</v>
      </c>
      <c r="K3680" s="315" t="str">
        <f t="shared" si="307"/>
        <v>460Other F&amp;I income - Toyota</v>
      </c>
      <c r="L3680" s="311">
        <f>+SUMIF('TUNZ Extracted TB'!M:M,$P3680,'TUNZ Extracted TB'!G:G)</f>
        <v>0</v>
      </c>
      <c r="M3680" s="311"/>
      <c r="N3680" s="311">
        <f>+SUMIF('Input Sheet'!$AE:$AE,P3680,'Input Sheet'!$X:$X)</f>
        <v>0</v>
      </c>
      <c r="O3680" s="311"/>
      <c r="P3680" t="str">
        <f t="shared" si="308"/>
        <v>460-8540</v>
      </c>
      <c r="Q3680" s="315" t="str">
        <f t="shared" si="309"/>
        <v>F&amp;I</v>
      </c>
      <c r="R3680" s="315" t="str">
        <f t="shared" si="310"/>
        <v>F&amp;IF&amp;I Other Income per vehicle retailed</v>
      </c>
      <c r="S3680" s="199"/>
      <c r="T3680" s="199"/>
      <c r="U3680" s="199"/>
    </row>
    <row r="3681" spans="1:21" x14ac:dyDescent="0.25">
      <c r="A3681" t="s">
        <v>996</v>
      </c>
      <c r="B3681" t="s">
        <v>997</v>
      </c>
      <c r="C3681" t="s">
        <v>1013</v>
      </c>
      <c r="D3681">
        <v>8540</v>
      </c>
      <c r="E3681">
        <v>360</v>
      </c>
      <c r="F3681" t="s">
        <v>1458</v>
      </c>
      <c r="G3681" t="s">
        <v>1459</v>
      </c>
      <c r="H3681" s="315" t="s">
        <v>16</v>
      </c>
      <c r="I3681" s="315" t="s">
        <v>1457</v>
      </c>
      <c r="J3681" s="315" t="str">
        <f t="shared" si="306"/>
        <v>F&amp;IF&amp;I Other Income per vehicle retailed</v>
      </c>
      <c r="K3681" s="315" t="str">
        <f t="shared" si="307"/>
        <v>360Other F&amp;I income - Toyota</v>
      </c>
      <c r="L3681" s="311">
        <f>+SUMIF('TUNZ Extracted TB'!M:M,$P3681,'TUNZ Extracted TB'!G:G)</f>
        <v>0</v>
      </c>
      <c r="M3681" s="311"/>
      <c r="N3681" s="311">
        <f>+SUMIF('Input Sheet'!$AE:$AE,P3681,'Input Sheet'!$X:$X)</f>
        <v>0</v>
      </c>
      <c r="O3681" s="311"/>
      <c r="P3681" t="str">
        <f t="shared" si="308"/>
        <v>360-8540</v>
      </c>
      <c r="Q3681" s="315" t="str">
        <f t="shared" si="309"/>
        <v>F&amp;I</v>
      </c>
      <c r="R3681" s="315" t="str">
        <f t="shared" si="310"/>
        <v>F&amp;IF&amp;I Other Income per vehicle retailed</v>
      </c>
      <c r="S3681" s="199"/>
      <c r="T3681" s="199"/>
      <c r="U3681" s="199"/>
    </row>
    <row r="3682" spans="1:21" x14ac:dyDescent="0.25">
      <c r="A3682" t="s">
        <v>996</v>
      </c>
      <c r="B3682" t="s">
        <v>997</v>
      </c>
      <c r="C3682" t="s">
        <v>997</v>
      </c>
      <c r="D3682">
        <v>8540</v>
      </c>
      <c r="E3682">
        <v>936</v>
      </c>
      <c r="F3682" t="s">
        <v>1175</v>
      </c>
      <c r="G3682" t="s">
        <v>1176</v>
      </c>
      <c r="H3682" s="315" t="s">
        <v>58</v>
      </c>
      <c r="I3682" s="315" t="s">
        <v>1019</v>
      </c>
      <c r="J3682" s="315" t="str">
        <f t="shared" si="306"/>
        <v>BridgestoneMiscellaneous % of Total Sales</v>
      </c>
      <c r="K3682" s="315" t="str">
        <f t="shared" si="307"/>
        <v>936Other franchise/business expense</v>
      </c>
      <c r="L3682" s="311">
        <f>+SUMIF('TUNZ Extracted TB'!M:M,$P3682,'TUNZ Extracted TB'!G:G)</f>
        <v>0</v>
      </c>
      <c r="M3682" s="311"/>
      <c r="N3682" s="311">
        <f>+SUMIF('Input Sheet'!$AE:$AE,P3682,'Input Sheet'!$X:$X)</f>
        <v>0</v>
      </c>
      <c r="O3682" s="311"/>
      <c r="P3682" t="str">
        <f t="shared" si="308"/>
        <v>936-8540</v>
      </c>
      <c r="Q3682" s="315" t="str">
        <f t="shared" si="309"/>
        <v>Bridgestone</v>
      </c>
      <c r="R3682" s="315" t="str">
        <f t="shared" si="310"/>
        <v>BridgestoneMiscellaneous % of Total Sales</v>
      </c>
      <c r="S3682" s="199"/>
      <c r="T3682" s="199"/>
      <c r="U3682" s="199"/>
    </row>
    <row r="3683" spans="1:21" x14ac:dyDescent="0.25">
      <c r="A3683" t="s">
        <v>996</v>
      </c>
      <c r="B3683" t="s">
        <v>997</v>
      </c>
      <c r="C3683" t="s">
        <v>997</v>
      </c>
      <c r="D3683">
        <v>8540</v>
      </c>
      <c r="E3683">
        <v>935</v>
      </c>
      <c r="F3683" t="s">
        <v>1175</v>
      </c>
      <c r="G3683" t="s">
        <v>1176</v>
      </c>
      <c r="H3683" s="315" t="s">
        <v>58</v>
      </c>
      <c r="I3683" s="315" t="s">
        <v>1019</v>
      </c>
      <c r="J3683" s="315" t="str">
        <f t="shared" si="306"/>
        <v>BridgestoneMiscellaneous % of Total Sales</v>
      </c>
      <c r="K3683" s="315" t="str">
        <f t="shared" si="307"/>
        <v>935Other franchise/business expense</v>
      </c>
      <c r="L3683" s="311">
        <f>+SUMIF('TUNZ Extracted TB'!M:M,$P3683,'TUNZ Extracted TB'!G:G)</f>
        <v>0</v>
      </c>
      <c r="M3683" s="311"/>
      <c r="N3683" s="311">
        <f>+SUMIF('Input Sheet'!$AE:$AE,P3683,'Input Sheet'!$X:$X)</f>
        <v>0</v>
      </c>
      <c r="O3683" s="311"/>
      <c r="P3683" t="str">
        <f t="shared" si="308"/>
        <v>935-8540</v>
      </c>
      <c r="Q3683" s="315" t="str">
        <f t="shared" si="309"/>
        <v>Bridgestone</v>
      </c>
      <c r="R3683" s="315" t="str">
        <f t="shared" si="310"/>
        <v>BridgestoneMiscellaneous % of Total Sales</v>
      </c>
      <c r="S3683" s="199"/>
      <c r="T3683" s="199"/>
      <c r="U3683" s="199"/>
    </row>
    <row r="3684" spans="1:21" x14ac:dyDescent="0.25">
      <c r="A3684" t="s">
        <v>996</v>
      </c>
      <c r="B3684" t="s">
        <v>997</v>
      </c>
      <c r="C3684" t="s">
        <v>997</v>
      </c>
      <c r="D3684">
        <v>8540</v>
      </c>
      <c r="E3684">
        <v>122</v>
      </c>
      <c r="F3684" t="s">
        <v>1460</v>
      </c>
      <c r="G3684" t="s">
        <v>1461</v>
      </c>
      <c r="H3684" s="315" t="s">
        <v>1041</v>
      </c>
      <c r="I3684" s="315" t="s">
        <v>1164</v>
      </c>
      <c r="J3684" s="315" t="str">
        <f t="shared" si="306"/>
        <v>LEX Used VehicleOther UV income</v>
      </c>
      <c r="K3684" s="315" t="str">
        <f t="shared" si="307"/>
        <v>122Other Income - Lexus</v>
      </c>
      <c r="L3684" s="311">
        <f>+SUMIF('TUNZ Extracted TB'!M:M,$P3684,'TUNZ Extracted TB'!G:G)</f>
        <v>0</v>
      </c>
      <c r="M3684" s="311"/>
      <c r="N3684" s="311">
        <f>+SUMIF('Input Sheet'!$AE:$AE,P3684,'Input Sheet'!$X:$X)</f>
        <v>0</v>
      </c>
      <c r="O3684" s="311"/>
      <c r="P3684" t="str">
        <f t="shared" si="308"/>
        <v>122-8540</v>
      </c>
      <c r="Q3684" s="315" t="str">
        <f t="shared" si="309"/>
        <v>LEX Used Vehicle</v>
      </c>
      <c r="R3684" s="315" t="str">
        <f t="shared" si="310"/>
        <v>LEX Used VehicleOther UV income</v>
      </c>
      <c r="S3684" s="199"/>
      <c r="T3684" s="199"/>
      <c r="U3684" s="199"/>
    </row>
    <row r="3685" spans="1:21" x14ac:dyDescent="0.25">
      <c r="A3685" t="s">
        <v>996</v>
      </c>
      <c r="B3685" t="s">
        <v>997</v>
      </c>
      <c r="C3685" t="s">
        <v>997</v>
      </c>
      <c r="D3685">
        <v>8540</v>
      </c>
      <c r="E3685">
        <v>147</v>
      </c>
      <c r="F3685" t="s">
        <v>1098</v>
      </c>
      <c r="G3685" t="s">
        <v>1099</v>
      </c>
      <c r="H3685" s="315" t="s">
        <v>17</v>
      </c>
      <c r="I3685" s="315" t="s">
        <v>1019</v>
      </c>
      <c r="J3685" s="315" t="str">
        <f t="shared" si="306"/>
        <v>ServiceMiscellaneous % of Total Sales</v>
      </c>
      <c r="K3685" s="315" t="str">
        <f t="shared" si="307"/>
        <v>147Other Income - Toyota</v>
      </c>
      <c r="L3685" s="311">
        <f>+SUMIF('TUNZ Extracted TB'!M:M,$P3685,'TUNZ Extracted TB'!G:G)</f>
        <v>0</v>
      </c>
      <c r="M3685" s="311"/>
      <c r="N3685" s="311">
        <f>+SUMIF('Input Sheet'!$AE:$AE,P3685,'Input Sheet'!$X:$X)</f>
        <v>0</v>
      </c>
      <c r="O3685" s="311"/>
      <c r="P3685" t="str">
        <f t="shared" si="308"/>
        <v>147-8540</v>
      </c>
      <c r="Q3685" s="315" t="str">
        <f t="shared" si="309"/>
        <v>Service</v>
      </c>
      <c r="R3685" s="315" t="str">
        <f t="shared" si="310"/>
        <v>ServiceMiscellaneous % of Total Sales</v>
      </c>
      <c r="S3685" s="199"/>
      <c r="T3685" s="199"/>
      <c r="U3685" s="199"/>
    </row>
    <row r="3686" spans="1:21" x14ac:dyDescent="0.25">
      <c r="A3686" t="s">
        <v>996</v>
      </c>
      <c r="B3686" t="s">
        <v>997</v>
      </c>
      <c r="C3686" t="s">
        <v>1012</v>
      </c>
      <c r="D3686">
        <v>8540</v>
      </c>
      <c r="E3686">
        <v>430</v>
      </c>
      <c r="F3686" t="s">
        <v>1135</v>
      </c>
      <c r="G3686" t="s">
        <v>1136</v>
      </c>
      <c r="H3686" s="315" t="s">
        <v>5</v>
      </c>
      <c r="I3686" s="315" t="s">
        <v>1137</v>
      </c>
      <c r="J3686" s="315" t="str">
        <f t="shared" si="306"/>
        <v>PartsOther Sales %  Sales</v>
      </c>
      <c r="K3686" s="315" t="str">
        <f t="shared" si="307"/>
        <v>430Parts Other Sales - Toyota</v>
      </c>
      <c r="L3686" s="311">
        <f>+SUMIF('TUNZ Extracted TB'!M:M,$P3686,'TUNZ Extracted TB'!G:G)</f>
        <v>0</v>
      </c>
      <c r="M3686" s="311"/>
      <c r="N3686" s="311">
        <f>+SUMIF('Input Sheet'!$AE:$AE,P3686,'Input Sheet'!$X:$X)</f>
        <v>0</v>
      </c>
      <c r="O3686" s="311"/>
      <c r="P3686" t="str">
        <f t="shared" si="308"/>
        <v>430-8540</v>
      </c>
      <c r="Q3686" s="315" t="str">
        <f t="shared" si="309"/>
        <v>Parts</v>
      </c>
      <c r="R3686" s="315" t="str">
        <f t="shared" si="310"/>
        <v>PartsOther Sales %  Sales</v>
      </c>
      <c r="S3686" s="199"/>
      <c r="T3686" s="199"/>
      <c r="U3686" s="199"/>
    </row>
    <row r="3687" spans="1:21" x14ac:dyDescent="0.25">
      <c r="A3687" t="s">
        <v>996</v>
      </c>
      <c r="B3687" t="s">
        <v>997</v>
      </c>
      <c r="C3687" t="s">
        <v>1013</v>
      </c>
      <c r="D3687">
        <v>8540</v>
      </c>
      <c r="E3687">
        <v>330</v>
      </c>
      <c r="F3687" t="s">
        <v>1135</v>
      </c>
      <c r="G3687" t="s">
        <v>1136</v>
      </c>
      <c r="H3687" s="315" t="s">
        <v>5</v>
      </c>
      <c r="I3687" s="315" t="s">
        <v>1137</v>
      </c>
      <c r="J3687" s="315" t="str">
        <f t="shared" si="306"/>
        <v>PartsOther Sales %  Sales</v>
      </c>
      <c r="K3687" s="315" t="str">
        <f t="shared" si="307"/>
        <v>330Parts Other Sales - Toyota</v>
      </c>
      <c r="L3687" s="311">
        <f>+SUMIF('TUNZ Extracted TB'!M:M,$P3687,'TUNZ Extracted TB'!G:G)</f>
        <v>0</v>
      </c>
      <c r="M3687" s="311"/>
      <c r="N3687" s="311">
        <f>+SUMIF('Input Sheet'!$AE:$AE,P3687,'Input Sheet'!$X:$X)</f>
        <v>0</v>
      </c>
      <c r="O3687" s="311"/>
      <c r="P3687" t="str">
        <f t="shared" si="308"/>
        <v>330-8540</v>
      </c>
      <c r="Q3687" s="315" t="str">
        <f t="shared" si="309"/>
        <v>Parts</v>
      </c>
      <c r="R3687" s="315" t="str">
        <f t="shared" si="310"/>
        <v>PartsOther Sales %  Sales</v>
      </c>
      <c r="S3687" s="199"/>
      <c r="T3687" s="199"/>
      <c r="U3687" s="199"/>
    </row>
    <row r="3688" spans="1:21" x14ac:dyDescent="0.25">
      <c r="A3688" t="s">
        <v>996</v>
      </c>
      <c r="B3688" t="s">
        <v>997</v>
      </c>
      <c r="C3688" t="s">
        <v>1005</v>
      </c>
      <c r="D3688">
        <v>8540</v>
      </c>
      <c r="E3688">
        <v>230</v>
      </c>
      <c r="F3688" t="s">
        <v>1135</v>
      </c>
      <c r="G3688" t="s">
        <v>1136</v>
      </c>
      <c r="H3688" s="315" t="s">
        <v>5</v>
      </c>
      <c r="I3688" s="315" t="s">
        <v>1137</v>
      </c>
      <c r="J3688" s="315" t="str">
        <f t="shared" si="306"/>
        <v>PartsOther Sales %  Sales</v>
      </c>
      <c r="K3688" s="315" t="str">
        <f t="shared" si="307"/>
        <v>230Parts Other Sales - Toyota</v>
      </c>
      <c r="L3688" s="311">
        <f>+SUMIF('TUNZ Extracted TB'!M:M,$P3688,'TUNZ Extracted TB'!G:G)</f>
        <v>-4.57</v>
      </c>
      <c r="M3688" s="311"/>
      <c r="N3688" s="311">
        <f>+SUMIF('Input Sheet'!$AE:$AE,P3688,'Input Sheet'!$X:$X)</f>
        <v>0</v>
      </c>
      <c r="O3688" s="311"/>
      <c r="P3688" t="str">
        <f t="shared" si="308"/>
        <v>230-8540</v>
      </c>
      <c r="Q3688" s="315" t="str">
        <f t="shared" si="309"/>
        <v>Parts</v>
      </c>
      <c r="R3688" s="315" t="str">
        <f t="shared" si="310"/>
        <v>PartsOther Sales %  Sales</v>
      </c>
      <c r="S3688" s="199"/>
      <c r="T3688" s="199"/>
      <c r="U3688" s="199"/>
    </row>
    <row r="3689" spans="1:21" x14ac:dyDescent="0.25">
      <c r="A3689" t="s">
        <v>996</v>
      </c>
      <c r="B3689" t="s">
        <v>997</v>
      </c>
      <c r="C3689" t="s">
        <v>1013</v>
      </c>
      <c r="D3689">
        <v>8540</v>
      </c>
      <c r="E3689">
        <v>340</v>
      </c>
      <c r="F3689" t="s">
        <v>1017</v>
      </c>
      <c r="G3689" t="s">
        <v>1018</v>
      </c>
      <c r="H3689" s="315" t="s">
        <v>17</v>
      </c>
      <c r="I3689" s="315" t="s">
        <v>1019</v>
      </c>
      <c r="J3689" s="315" t="str">
        <f t="shared" si="306"/>
        <v>ServiceMiscellaneous % of Total Sales</v>
      </c>
      <c r="K3689" s="315" t="str">
        <f t="shared" si="307"/>
        <v>340Service Miscellaneous Sales - Toyota</v>
      </c>
      <c r="L3689" s="311">
        <f>+SUMIF('TUNZ Extracted TB'!M:M,$P3689,'TUNZ Extracted TB'!G:G)</f>
        <v>0</v>
      </c>
      <c r="M3689" s="311"/>
      <c r="N3689" s="311">
        <f>+SUMIF('Input Sheet'!$AE:$AE,P3689,'Input Sheet'!$X:$X)</f>
        <v>0</v>
      </c>
      <c r="O3689" s="311"/>
      <c r="P3689" t="str">
        <f t="shared" si="308"/>
        <v>340-8540</v>
      </c>
      <c r="Q3689" s="315" t="str">
        <f t="shared" si="309"/>
        <v>Service</v>
      </c>
      <c r="R3689" s="315" t="str">
        <f t="shared" si="310"/>
        <v>ServiceMiscellaneous % of Total Sales</v>
      </c>
      <c r="S3689" s="199"/>
      <c r="T3689" s="199"/>
      <c r="U3689" s="199"/>
    </row>
    <row r="3690" spans="1:21" x14ac:dyDescent="0.25">
      <c r="A3690" t="s">
        <v>996</v>
      </c>
      <c r="B3690" t="s">
        <v>997</v>
      </c>
      <c r="C3690" t="s">
        <v>1005</v>
      </c>
      <c r="D3690">
        <v>8540</v>
      </c>
      <c r="E3690">
        <v>240</v>
      </c>
      <c r="F3690" t="s">
        <v>1017</v>
      </c>
      <c r="G3690" t="s">
        <v>1018</v>
      </c>
      <c r="H3690" s="315" t="s">
        <v>17</v>
      </c>
      <c r="I3690" s="315" t="s">
        <v>1019</v>
      </c>
      <c r="J3690" s="315" t="str">
        <f t="shared" si="306"/>
        <v>ServiceMiscellaneous % of Total Sales</v>
      </c>
      <c r="K3690" s="315" t="str">
        <f t="shared" si="307"/>
        <v>240Service Miscellaneous Sales - Toyota</v>
      </c>
      <c r="L3690" s="311">
        <f>+SUMIF('TUNZ Extracted TB'!M:M,$P3690,'TUNZ Extracted TB'!G:G)</f>
        <v>0</v>
      </c>
      <c r="M3690" s="311"/>
      <c r="N3690" s="311">
        <f>+SUMIF('Input Sheet'!$AE:$AE,P3690,'Input Sheet'!$X:$X)</f>
        <v>0</v>
      </c>
      <c r="O3690" s="311"/>
      <c r="P3690" t="str">
        <f t="shared" si="308"/>
        <v>240-8540</v>
      </c>
      <c r="Q3690" s="315" t="str">
        <f t="shared" si="309"/>
        <v>Service</v>
      </c>
      <c r="R3690" s="315" t="str">
        <f t="shared" si="310"/>
        <v>ServiceMiscellaneous % of Total Sales</v>
      </c>
      <c r="S3690" s="199"/>
      <c r="T3690" s="199"/>
      <c r="U3690" s="199"/>
    </row>
    <row r="3691" spans="1:21" x14ac:dyDescent="0.25">
      <c r="A3691" t="s">
        <v>996</v>
      </c>
      <c r="B3691" t="s">
        <v>997</v>
      </c>
      <c r="C3691" t="s">
        <v>1005</v>
      </c>
      <c r="D3691">
        <v>8540</v>
      </c>
      <c r="E3691">
        <v>210</v>
      </c>
      <c r="F3691" t="s">
        <v>1162</v>
      </c>
      <c r="G3691" t="s">
        <v>1163</v>
      </c>
      <c r="H3691" s="315" t="s">
        <v>30</v>
      </c>
      <c r="I3691" s="315" t="s">
        <v>1164</v>
      </c>
      <c r="J3691" s="315" t="str">
        <f t="shared" si="306"/>
        <v>Used VehicleOther UV income</v>
      </c>
      <c r="K3691" s="315" t="str">
        <f t="shared" si="307"/>
        <v>210Toyota Used Vehicle Other Income</v>
      </c>
      <c r="L3691" s="311">
        <f>+SUMIF('TUNZ Extracted TB'!M:M,$P3691,'TUNZ Extracted TB'!G:G)</f>
        <v>0</v>
      </c>
      <c r="M3691" s="311"/>
      <c r="N3691" s="311">
        <f>+SUMIF('Input Sheet'!$AE:$AE,P3691,'Input Sheet'!$X:$X)</f>
        <v>0</v>
      </c>
      <c r="O3691" s="311"/>
      <c r="P3691" t="str">
        <f t="shared" si="308"/>
        <v>210-8540</v>
      </c>
      <c r="Q3691" s="315" t="str">
        <f t="shared" si="309"/>
        <v>Used Vehicle</v>
      </c>
      <c r="R3691" s="315" t="str">
        <f t="shared" si="310"/>
        <v>Used VehicleOther UV income</v>
      </c>
      <c r="S3691" s="199"/>
      <c r="T3691" s="199"/>
      <c r="U3691" s="199"/>
    </row>
    <row r="3692" spans="1:21" x14ac:dyDescent="0.25">
      <c r="A3692" t="s">
        <v>996</v>
      </c>
      <c r="B3692" t="s">
        <v>997</v>
      </c>
      <c r="C3692" t="s">
        <v>1005</v>
      </c>
      <c r="D3692">
        <v>8540</v>
      </c>
      <c r="E3692">
        <v>220</v>
      </c>
      <c r="F3692" t="s">
        <v>1162</v>
      </c>
      <c r="G3692" t="s">
        <v>1163</v>
      </c>
      <c r="H3692" s="315" t="s">
        <v>30</v>
      </c>
      <c r="I3692" s="315" t="s">
        <v>1164</v>
      </c>
      <c r="J3692" s="315" t="str">
        <f t="shared" si="306"/>
        <v>Used VehicleOther UV income</v>
      </c>
      <c r="K3692" s="315" t="str">
        <f t="shared" si="307"/>
        <v>220Toyota Used Vehicle Other Income</v>
      </c>
      <c r="L3692" s="311">
        <f>+SUMIF('TUNZ Extracted TB'!M:M,$P3692,'TUNZ Extracted TB'!G:G)</f>
        <v>0</v>
      </c>
      <c r="M3692" s="311"/>
      <c r="N3692" s="311">
        <f>+SUMIF('Input Sheet'!$AE:$AE,P3692,'Input Sheet'!$X:$X)</f>
        <v>0</v>
      </c>
      <c r="O3692" s="311"/>
      <c r="P3692" t="str">
        <f t="shared" si="308"/>
        <v>220-8540</v>
      </c>
      <c r="Q3692" s="315" t="str">
        <f t="shared" si="309"/>
        <v>Used Vehicle</v>
      </c>
      <c r="R3692" s="315" t="str">
        <f t="shared" si="310"/>
        <v>Used VehicleOther UV income</v>
      </c>
      <c r="S3692" s="199"/>
      <c r="T3692" s="199"/>
      <c r="U3692" s="199"/>
    </row>
    <row r="3693" spans="1:21" x14ac:dyDescent="0.25">
      <c r="A3693" t="s">
        <v>996</v>
      </c>
      <c r="B3693" t="s">
        <v>997</v>
      </c>
      <c r="C3693" t="s">
        <v>1005</v>
      </c>
      <c r="D3693">
        <v>8540</v>
      </c>
      <c r="E3693">
        <v>221</v>
      </c>
      <c r="F3693" t="s">
        <v>1162</v>
      </c>
      <c r="G3693" t="s">
        <v>1163</v>
      </c>
      <c r="H3693" s="315" t="s">
        <v>30</v>
      </c>
      <c r="I3693" s="315" t="s">
        <v>1164</v>
      </c>
      <c r="J3693" s="315" t="str">
        <f t="shared" si="306"/>
        <v>Used VehicleOther UV income</v>
      </c>
      <c r="K3693" s="315" t="str">
        <f t="shared" si="307"/>
        <v>221Toyota Used Vehicle Other Income</v>
      </c>
      <c r="L3693" s="311">
        <f>+SUMIF('TUNZ Extracted TB'!M:M,$P3693,'TUNZ Extracted TB'!G:G)</f>
        <v>0</v>
      </c>
      <c r="M3693" s="311"/>
      <c r="N3693" s="311">
        <f>+SUMIF('Input Sheet'!$AE:$AE,P3693,'Input Sheet'!$X:$X)</f>
        <v>0</v>
      </c>
      <c r="O3693" s="311"/>
      <c r="P3693" t="str">
        <f t="shared" si="308"/>
        <v>221-8540</v>
      </c>
      <c r="Q3693" s="315" t="str">
        <f t="shared" si="309"/>
        <v>Used Vehicle</v>
      </c>
      <c r="R3693" s="315" t="str">
        <f t="shared" si="310"/>
        <v>Used VehicleOther UV income</v>
      </c>
      <c r="S3693" s="199"/>
      <c r="T3693" s="199"/>
      <c r="U3693" s="199"/>
    </row>
    <row r="3694" spans="1:21" x14ac:dyDescent="0.25">
      <c r="A3694" t="s">
        <v>996</v>
      </c>
      <c r="B3694" t="s">
        <v>997</v>
      </c>
      <c r="C3694" t="s">
        <v>1012</v>
      </c>
      <c r="D3694">
        <v>8540</v>
      </c>
      <c r="E3694">
        <v>410</v>
      </c>
      <c r="F3694" t="s">
        <v>1162</v>
      </c>
      <c r="G3694" t="s">
        <v>1163</v>
      </c>
      <c r="H3694" s="315" t="s">
        <v>30</v>
      </c>
      <c r="I3694" s="315" t="s">
        <v>1164</v>
      </c>
      <c r="J3694" s="315" t="str">
        <f t="shared" si="306"/>
        <v>Used VehicleOther UV income</v>
      </c>
      <c r="K3694" s="315" t="str">
        <f t="shared" si="307"/>
        <v>410Toyota Used Vehicle Other Income</v>
      </c>
      <c r="L3694" s="311">
        <f>+SUMIF('TUNZ Extracted TB'!M:M,$P3694,'TUNZ Extracted TB'!G:G)</f>
        <v>0</v>
      </c>
      <c r="M3694" s="311"/>
      <c r="N3694" s="311">
        <f>+SUMIF('Input Sheet'!$AE:$AE,P3694,'Input Sheet'!$X:$X)</f>
        <v>0</v>
      </c>
      <c r="O3694" s="311"/>
      <c r="P3694" t="str">
        <f t="shared" si="308"/>
        <v>410-8540</v>
      </c>
      <c r="Q3694" s="315" t="str">
        <f t="shared" si="309"/>
        <v>Used Vehicle</v>
      </c>
      <c r="R3694" s="315" t="str">
        <f t="shared" si="310"/>
        <v>Used VehicleOther UV income</v>
      </c>
      <c r="S3694" s="199"/>
      <c r="T3694" s="199"/>
      <c r="U3694" s="199"/>
    </row>
    <row r="3695" spans="1:21" x14ac:dyDescent="0.25">
      <c r="A3695" t="s">
        <v>996</v>
      </c>
      <c r="B3695" t="s">
        <v>997</v>
      </c>
      <c r="C3695" t="s">
        <v>1012</v>
      </c>
      <c r="D3695">
        <v>8540</v>
      </c>
      <c r="E3695">
        <v>420</v>
      </c>
      <c r="F3695" t="s">
        <v>1162</v>
      </c>
      <c r="G3695" t="s">
        <v>1163</v>
      </c>
      <c r="H3695" s="315" t="s">
        <v>30</v>
      </c>
      <c r="I3695" s="315" t="s">
        <v>1164</v>
      </c>
      <c r="J3695" s="315" t="str">
        <f t="shared" si="306"/>
        <v>Used VehicleOther UV income</v>
      </c>
      <c r="K3695" s="315" t="str">
        <f t="shared" si="307"/>
        <v>420Toyota Used Vehicle Other Income</v>
      </c>
      <c r="L3695" s="311">
        <f>+SUMIF('TUNZ Extracted TB'!M:M,$P3695,'TUNZ Extracted TB'!G:G)</f>
        <v>0</v>
      </c>
      <c r="M3695" s="311"/>
      <c r="N3695" s="311">
        <f>+SUMIF('Input Sheet'!$AE:$AE,P3695,'Input Sheet'!$X:$X)</f>
        <v>0</v>
      </c>
      <c r="O3695" s="311"/>
      <c r="P3695" t="str">
        <f t="shared" si="308"/>
        <v>420-8540</v>
      </c>
      <c r="Q3695" s="315" t="str">
        <f t="shared" si="309"/>
        <v>Used Vehicle</v>
      </c>
      <c r="R3695" s="315" t="str">
        <f t="shared" si="310"/>
        <v>Used VehicleOther UV income</v>
      </c>
      <c r="S3695" s="199"/>
      <c r="T3695" s="199"/>
      <c r="U3695" s="199"/>
    </row>
    <row r="3696" spans="1:21" x14ac:dyDescent="0.25">
      <c r="A3696" t="s">
        <v>996</v>
      </c>
      <c r="B3696" t="s">
        <v>997</v>
      </c>
      <c r="C3696" t="s">
        <v>1012</v>
      </c>
      <c r="D3696">
        <v>8540</v>
      </c>
      <c r="E3696">
        <v>421</v>
      </c>
      <c r="F3696" t="s">
        <v>1162</v>
      </c>
      <c r="G3696" t="s">
        <v>1163</v>
      </c>
      <c r="H3696" s="315" t="s">
        <v>30</v>
      </c>
      <c r="I3696" s="315" t="s">
        <v>1164</v>
      </c>
      <c r="J3696" s="315" t="str">
        <f t="shared" si="306"/>
        <v>Used VehicleOther UV income</v>
      </c>
      <c r="K3696" s="315" t="str">
        <f t="shared" si="307"/>
        <v>421Toyota Used Vehicle Other Income</v>
      </c>
      <c r="L3696" s="311">
        <f>+SUMIF('TUNZ Extracted TB'!M:M,$P3696,'TUNZ Extracted TB'!G:G)</f>
        <v>0</v>
      </c>
      <c r="M3696" s="311"/>
      <c r="N3696" s="311">
        <f>+SUMIF('Input Sheet'!$AE:$AE,P3696,'Input Sheet'!$X:$X)</f>
        <v>0</v>
      </c>
      <c r="O3696" s="311"/>
      <c r="P3696" t="str">
        <f t="shared" si="308"/>
        <v>421-8540</v>
      </c>
      <c r="Q3696" s="315" t="str">
        <f t="shared" si="309"/>
        <v>Used Vehicle</v>
      </c>
      <c r="R3696" s="315" t="str">
        <f t="shared" si="310"/>
        <v>Used VehicleOther UV income</v>
      </c>
      <c r="S3696" s="199"/>
      <c r="T3696" s="199"/>
      <c r="U3696" s="199"/>
    </row>
    <row r="3697" spans="1:21" x14ac:dyDescent="0.25">
      <c r="A3697" t="s">
        <v>996</v>
      </c>
      <c r="B3697" t="s">
        <v>997</v>
      </c>
      <c r="C3697" t="s">
        <v>1013</v>
      </c>
      <c r="D3697">
        <v>8540</v>
      </c>
      <c r="E3697">
        <v>310</v>
      </c>
      <c r="F3697" t="s">
        <v>1162</v>
      </c>
      <c r="G3697" t="s">
        <v>1163</v>
      </c>
      <c r="H3697" s="315" t="s">
        <v>30</v>
      </c>
      <c r="I3697" s="315" t="s">
        <v>1164</v>
      </c>
      <c r="J3697" s="315" t="str">
        <f t="shared" si="306"/>
        <v>Used VehicleOther UV income</v>
      </c>
      <c r="K3697" s="315" t="str">
        <f t="shared" si="307"/>
        <v>310Toyota Used Vehicle Other Income</v>
      </c>
      <c r="L3697" s="311">
        <f>+SUMIF('TUNZ Extracted TB'!M:M,$P3697,'TUNZ Extracted TB'!G:G)</f>
        <v>0</v>
      </c>
      <c r="M3697" s="311"/>
      <c r="N3697" s="311">
        <f>+SUMIF('Input Sheet'!$AE:$AE,P3697,'Input Sheet'!$X:$X)</f>
        <v>0</v>
      </c>
      <c r="O3697" s="311"/>
      <c r="P3697" t="str">
        <f t="shared" si="308"/>
        <v>310-8540</v>
      </c>
      <c r="Q3697" s="315" t="str">
        <f t="shared" si="309"/>
        <v>Used Vehicle</v>
      </c>
      <c r="R3697" s="315" t="str">
        <f t="shared" si="310"/>
        <v>Used VehicleOther UV income</v>
      </c>
      <c r="S3697" s="199"/>
      <c r="T3697" s="199"/>
      <c r="U3697" s="199"/>
    </row>
    <row r="3698" spans="1:21" x14ac:dyDescent="0.25">
      <c r="A3698" t="s">
        <v>996</v>
      </c>
      <c r="B3698" t="s">
        <v>997</v>
      </c>
      <c r="C3698" t="s">
        <v>1013</v>
      </c>
      <c r="D3698">
        <v>8540</v>
      </c>
      <c r="E3698">
        <v>321</v>
      </c>
      <c r="F3698" t="s">
        <v>1162</v>
      </c>
      <c r="G3698" t="s">
        <v>1163</v>
      </c>
      <c r="H3698" s="315" t="s">
        <v>30</v>
      </c>
      <c r="I3698" s="315" t="s">
        <v>1164</v>
      </c>
      <c r="J3698" s="315" t="str">
        <f t="shared" si="306"/>
        <v>Used VehicleOther UV income</v>
      </c>
      <c r="K3698" s="315" t="str">
        <f t="shared" si="307"/>
        <v>321Toyota Used Vehicle Other Income</v>
      </c>
      <c r="L3698" s="311">
        <f>+SUMIF('TUNZ Extracted TB'!M:M,$P3698,'TUNZ Extracted TB'!G:G)</f>
        <v>0</v>
      </c>
      <c r="M3698" s="311"/>
      <c r="N3698" s="311">
        <f>+SUMIF('Input Sheet'!$AE:$AE,P3698,'Input Sheet'!$X:$X)</f>
        <v>0</v>
      </c>
      <c r="O3698" s="311"/>
      <c r="P3698" t="str">
        <f t="shared" si="308"/>
        <v>321-8540</v>
      </c>
      <c r="Q3698" s="315" t="str">
        <f t="shared" si="309"/>
        <v>Used Vehicle</v>
      </c>
      <c r="R3698" s="315" t="str">
        <f t="shared" si="310"/>
        <v>Used VehicleOther UV income</v>
      </c>
      <c r="S3698" s="199"/>
      <c r="T3698" s="199"/>
      <c r="U3698" s="199"/>
    </row>
    <row r="3699" spans="1:21" x14ac:dyDescent="0.25">
      <c r="A3699" t="s">
        <v>996</v>
      </c>
      <c r="B3699" t="s">
        <v>997</v>
      </c>
      <c r="C3699" t="s">
        <v>997</v>
      </c>
      <c r="D3699">
        <v>8540</v>
      </c>
      <c r="E3699">
        <v>120</v>
      </c>
      <c r="F3699" t="s">
        <v>1162</v>
      </c>
      <c r="G3699" t="s">
        <v>1163</v>
      </c>
      <c r="H3699" s="315" t="s">
        <v>30</v>
      </c>
      <c r="I3699" s="315" t="s">
        <v>1164</v>
      </c>
      <c r="J3699" s="315" t="str">
        <f t="shared" si="306"/>
        <v>Used VehicleOther UV income</v>
      </c>
      <c r="K3699" s="315" t="str">
        <f t="shared" si="307"/>
        <v>120Toyota Used Vehicle Other Income</v>
      </c>
      <c r="L3699" s="311">
        <f>+SUMIF('TUNZ Extracted TB'!M:M,$P3699,'TUNZ Extracted TB'!G:G)</f>
        <v>0</v>
      </c>
      <c r="M3699" s="311"/>
      <c r="N3699" s="311">
        <f>+SUMIF('Input Sheet'!$AE:$AE,P3699,'Input Sheet'!$X:$X)</f>
        <v>0</v>
      </c>
      <c r="O3699" s="311"/>
      <c r="P3699" t="str">
        <f t="shared" si="308"/>
        <v>120-8540</v>
      </c>
      <c r="Q3699" s="315" t="str">
        <f t="shared" si="309"/>
        <v>Used Vehicle</v>
      </c>
      <c r="R3699" s="315" t="str">
        <f t="shared" si="310"/>
        <v>Used VehicleOther UV income</v>
      </c>
      <c r="S3699" s="199"/>
      <c r="T3699" s="199"/>
      <c r="U3699" s="199"/>
    </row>
    <row r="3700" spans="1:21" x14ac:dyDescent="0.25">
      <c r="A3700" t="s">
        <v>996</v>
      </c>
      <c r="B3700" t="s">
        <v>997</v>
      </c>
      <c r="C3700" t="s">
        <v>997</v>
      </c>
      <c r="D3700">
        <v>8540</v>
      </c>
      <c r="E3700">
        <v>121</v>
      </c>
      <c r="F3700" t="s">
        <v>1162</v>
      </c>
      <c r="G3700" t="s">
        <v>1163</v>
      </c>
      <c r="H3700" s="315" t="s">
        <v>30</v>
      </c>
      <c r="I3700" s="315" t="s">
        <v>1164</v>
      </c>
      <c r="J3700" s="315" t="str">
        <f t="shared" si="306"/>
        <v>Used VehicleOther UV income</v>
      </c>
      <c r="K3700" s="315" t="str">
        <f t="shared" si="307"/>
        <v>121Toyota Used Vehicle Other Income</v>
      </c>
      <c r="L3700" s="311">
        <f>+SUMIF('TUNZ Extracted TB'!M:M,$P3700,'TUNZ Extracted TB'!G:G)</f>
        <v>0</v>
      </c>
      <c r="M3700" s="311"/>
      <c r="N3700" s="311">
        <f>+SUMIF('Input Sheet'!$AE:$AE,P3700,'Input Sheet'!$X:$X)</f>
        <v>0</v>
      </c>
      <c r="O3700" s="311"/>
      <c r="P3700" t="str">
        <f t="shared" si="308"/>
        <v>121-8540</v>
      </c>
      <c r="Q3700" s="315" t="str">
        <f t="shared" si="309"/>
        <v>Used Vehicle</v>
      </c>
      <c r="R3700" s="315" t="str">
        <f t="shared" si="310"/>
        <v>Used VehicleOther UV income</v>
      </c>
      <c r="S3700" s="199"/>
      <c r="T3700" s="199"/>
      <c r="U3700" s="199"/>
    </row>
    <row r="3701" spans="1:21" x14ac:dyDescent="0.25">
      <c r="A3701" t="s">
        <v>996</v>
      </c>
      <c r="B3701" t="s">
        <v>997</v>
      </c>
      <c r="C3701" t="s">
        <v>997</v>
      </c>
      <c r="D3701">
        <v>8540</v>
      </c>
      <c r="E3701">
        <v>140</v>
      </c>
      <c r="F3701" t="s">
        <v>1017</v>
      </c>
      <c r="G3701" t="s">
        <v>1018</v>
      </c>
      <c r="H3701" s="315" t="s">
        <v>17</v>
      </c>
      <c r="I3701" s="315" t="s">
        <v>1019</v>
      </c>
      <c r="J3701" s="315" t="str">
        <f t="shared" si="306"/>
        <v>ServiceMiscellaneous % of Total Sales</v>
      </c>
      <c r="K3701" s="315" t="str">
        <f t="shared" si="307"/>
        <v>140Service Miscellaneous Sales - Toyota</v>
      </c>
      <c r="L3701" s="311">
        <f>+SUMIF('TUNZ Extracted TB'!M:M,$P3701,'TUNZ Extracted TB'!G:G)</f>
        <v>-0.28000000000000003</v>
      </c>
      <c r="M3701" s="311"/>
      <c r="N3701" s="311">
        <f>+SUMIF('Input Sheet'!$AE:$AE,P3701,'Input Sheet'!$X:$X)</f>
        <v>0</v>
      </c>
      <c r="O3701" s="311"/>
      <c r="P3701" t="str">
        <f t="shared" si="308"/>
        <v>140-8540</v>
      </c>
      <c r="Q3701" s="315" t="str">
        <f t="shared" si="309"/>
        <v>Service</v>
      </c>
      <c r="R3701" s="315" t="str">
        <f t="shared" si="310"/>
        <v>ServiceMiscellaneous % of Total Sales</v>
      </c>
      <c r="S3701" s="199"/>
      <c r="T3701" s="199"/>
      <c r="U3701" s="199"/>
    </row>
    <row r="3702" spans="1:21" x14ac:dyDescent="0.25">
      <c r="A3702" t="s">
        <v>996</v>
      </c>
      <c r="B3702" t="s">
        <v>997</v>
      </c>
      <c r="C3702" t="s">
        <v>997</v>
      </c>
      <c r="D3702">
        <v>8540</v>
      </c>
      <c r="E3702">
        <v>142</v>
      </c>
      <c r="F3702" t="s">
        <v>1460</v>
      </c>
      <c r="G3702" t="s">
        <v>1461</v>
      </c>
      <c r="H3702" s="315" t="s">
        <v>1022</v>
      </c>
      <c r="I3702" s="315" t="s">
        <v>1019</v>
      </c>
      <c r="J3702" s="315" t="str">
        <f t="shared" si="306"/>
        <v>Lex ServiceMiscellaneous % of Total Sales</v>
      </c>
      <c r="K3702" s="315" t="str">
        <f t="shared" si="307"/>
        <v>142Other Income - Lexus</v>
      </c>
      <c r="L3702" s="311">
        <f>+SUMIF('TUNZ Extracted TB'!M:M,$P3702,'TUNZ Extracted TB'!G:G)</f>
        <v>0</v>
      </c>
      <c r="M3702" s="311"/>
      <c r="N3702" s="311">
        <f>+SUMIF('Input Sheet'!$AE:$AE,P3702,'Input Sheet'!$X:$X)</f>
        <v>0</v>
      </c>
      <c r="O3702" s="311"/>
      <c r="P3702" t="str">
        <f t="shared" si="308"/>
        <v>142-8540</v>
      </c>
      <c r="Q3702" s="315" t="str">
        <f t="shared" si="309"/>
        <v>Lex Service</v>
      </c>
      <c r="R3702" s="315" t="str">
        <f t="shared" si="310"/>
        <v>Lex ServiceMiscellaneous % of Total Sales</v>
      </c>
      <c r="S3702" s="199"/>
      <c r="T3702" s="199"/>
      <c r="U3702" s="199"/>
    </row>
    <row r="3703" spans="1:21" x14ac:dyDescent="0.25">
      <c r="A3703" t="s">
        <v>996</v>
      </c>
      <c r="B3703" t="s">
        <v>997</v>
      </c>
      <c r="C3703" t="s">
        <v>997</v>
      </c>
      <c r="D3703">
        <v>8540</v>
      </c>
      <c r="E3703">
        <v>132</v>
      </c>
      <c r="F3703" t="s">
        <v>1148</v>
      </c>
      <c r="G3703" t="s">
        <v>1149</v>
      </c>
      <c r="H3703" s="315" t="s">
        <v>143</v>
      </c>
      <c r="I3703" s="315" t="s">
        <v>1137</v>
      </c>
      <c r="J3703" s="315" t="str">
        <f t="shared" si="306"/>
        <v>LEX PartsOther Sales %  Sales</v>
      </c>
      <c r="K3703" s="315" t="str">
        <f t="shared" si="307"/>
        <v>132Parts Other Sales - Lexus</v>
      </c>
      <c r="L3703" s="311">
        <f>+SUMIF('TUNZ Extracted TB'!M:M,$P3703,'TUNZ Extracted TB'!G:G)</f>
        <v>0</v>
      </c>
      <c r="M3703" s="311"/>
      <c r="N3703" s="311">
        <f>+SUMIF('Input Sheet'!$AE:$AE,P3703,'Input Sheet'!$X:$X)</f>
        <v>0</v>
      </c>
      <c r="O3703" s="311"/>
      <c r="P3703" t="str">
        <f t="shared" si="308"/>
        <v>132-8540</v>
      </c>
      <c r="Q3703" s="315" t="str">
        <f t="shared" si="309"/>
        <v>LEX Parts</v>
      </c>
      <c r="R3703" s="315" t="str">
        <f t="shared" si="310"/>
        <v>LEX PartsOther Sales %  Sales</v>
      </c>
      <c r="S3703" s="199"/>
      <c r="T3703" s="199"/>
      <c r="U3703" s="199"/>
    </row>
    <row r="3704" spans="1:21" x14ac:dyDescent="0.25">
      <c r="A3704" t="s">
        <v>996</v>
      </c>
      <c r="B3704" t="s">
        <v>997</v>
      </c>
      <c r="C3704" t="s">
        <v>997</v>
      </c>
      <c r="D3704">
        <v>8540</v>
      </c>
      <c r="E3704">
        <v>130</v>
      </c>
      <c r="F3704" t="s">
        <v>1135</v>
      </c>
      <c r="G3704" t="s">
        <v>1136</v>
      </c>
      <c r="H3704" s="315" t="s">
        <v>5</v>
      </c>
      <c r="I3704" s="315" t="s">
        <v>1137</v>
      </c>
      <c r="J3704" s="315" t="str">
        <f t="shared" si="306"/>
        <v>PartsOther Sales %  Sales</v>
      </c>
      <c r="K3704" s="315" t="str">
        <f t="shared" si="307"/>
        <v>130Parts Other Sales - Toyota</v>
      </c>
      <c r="L3704" s="311">
        <f>+SUMIF('TUNZ Extracted TB'!M:M,$P3704,'TUNZ Extracted TB'!G:G)</f>
        <v>-1681.57</v>
      </c>
      <c r="M3704" s="311"/>
      <c r="N3704" s="311">
        <f>+SUMIF('Input Sheet'!$AE:$AE,P3704,'Input Sheet'!$X:$X)</f>
        <v>0</v>
      </c>
      <c r="O3704" s="311"/>
      <c r="P3704" t="str">
        <f t="shared" si="308"/>
        <v>130-8540</v>
      </c>
      <c r="Q3704" s="315" t="str">
        <f t="shared" si="309"/>
        <v>Parts</v>
      </c>
      <c r="R3704" s="315" t="str">
        <f t="shared" si="310"/>
        <v>PartsOther Sales %  Sales</v>
      </c>
      <c r="S3704" s="199"/>
      <c r="T3704" s="199"/>
      <c r="U3704" s="199"/>
    </row>
    <row r="3705" spans="1:21" x14ac:dyDescent="0.25">
      <c r="A3705" t="s">
        <v>996</v>
      </c>
      <c r="B3705" t="s">
        <v>997</v>
      </c>
      <c r="C3705" t="s">
        <v>1013</v>
      </c>
      <c r="D3705" t="s">
        <v>480</v>
      </c>
      <c r="E3705">
        <v>300</v>
      </c>
      <c r="F3705" t="s">
        <v>1024</v>
      </c>
      <c r="G3705" t="s">
        <v>1027</v>
      </c>
      <c r="H3705" s="315" t="s">
        <v>29</v>
      </c>
      <c r="I3705" s="315" t="s">
        <v>1026</v>
      </c>
      <c r="J3705" s="315" t="str">
        <f t="shared" si="306"/>
        <v>New VehicleOther Income per NV unit</v>
      </c>
      <c r="K3705" s="315" t="str">
        <f t="shared" si="307"/>
        <v>300New Vehicle Other Income - Toyota</v>
      </c>
      <c r="L3705" s="311">
        <f>+SUMIF('TUNZ Extracted TB'!M:M,$P3705,'TUNZ Extracted TB'!G:G)</f>
        <v>0</v>
      </c>
      <c r="M3705" s="311"/>
      <c r="N3705" s="311">
        <f>+SUMIF('Input Sheet'!$AE:$AE,P3705,'Input Sheet'!$X:$X)</f>
        <v>0</v>
      </c>
      <c r="O3705" s="311"/>
      <c r="P3705" t="str">
        <f t="shared" si="308"/>
        <v>300-3002R</v>
      </c>
      <c r="Q3705" s="315" t="str">
        <f t="shared" si="309"/>
        <v>New Vehicle</v>
      </c>
      <c r="R3705" s="315" t="str">
        <f t="shared" si="310"/>
        <v>New VehicleOther Income per NV unit</v>
      </c>
      <c r="S3705" s="199"/>
      <c r="T3705" s="199"/>
      <c r="U3705" s="199"/>
    </row>
    <row r="3706" spans="1:21" x14ac:dyDescent="0.25">
      <c r="A3706" t="s">
        <v>996</v>
      </c>
      <c r="B3706" t="s">
        <v>997</v>
      </c>
      <c r="C3706" t="s">
        <v>1005</v>
      </c>
      <c r="D3706" t="s">
        <v>480</v>
      </c>
      <c r="E3706">
        <v>200</v>
      </c>
      <c r="F3706" t="s">
        <v>1024</v>
      </c>
      <c r="G3706" t="s">
        <v>1027</v>
      </c>
      <c r="H3706" s="315" t="s">
        <v>29</v>
      </c>
      <c r="I3706" s="315" t="s">
        <v>1026</v>
      </c>
      <c r="J3706" s="315" t="str">
        <f t="shared" si="306"/>
        <v>New VehicleOther Income per NV unit</v>
      </c>
      <c r="K3706" s="315" t="str">
        <f t="shared" si="307"/>
        <v>200New Vehicle Other Income - Toyota</v>
      </c>
      <c r="L3706" s="311">
        <f>+SUMIF('TUNZ Extracted TB'!M:M,$P3706,'TUNZ Extracted TB'!G:G)</f>
        <v>0</v>
      </c>
      <c r="M3706" s="311"/>
      <c r="N3706" s="311">
        <f>+SUMIF('Input Sheet'!$AE:$AE,P3706,'Input Sheet'!$X:$X)</f>
        <v>0</v>
      </c>
      <c r="O3706" s="311"/>
      <c r="P3706" t="str">
        <f t="shared" si="308"/>
        <v>200-3002R</v>
      </c>
      <c r="Q3706" s="315" t="str">
        <f t="shared" si="309"/>
        <v>New Vehicle</v>
      </c>
      <c r="R3706" s="315" t="str">
        <f t="shared" si="310"/>
        <v>New VehicleOther Income per NV unit</v>
      </c>
      <c r="S3706" s="199"/>
      <c r="T3706" s="199"/>
      <c r="U3706" s="199"/>
    </row>
    <row r="3707" spans="1:21" x14ac:dyDescent="0.25">
      <c r="A3707" t="s">
        <v>996</v>
      </c>
      <c r="B3707" t="s">
        <v>997</v>
      </c>
      <c r="C3707" t="s">
        <v>997</v>
      </c>
      <c r="D3707">
        <v>8540</v>
      </c>
      <c r="E3707">
        <v>110</v>
      </c>
      <c r="F3707" t="s">
        <v>1162</v>
      </c>
      <c r="G3707" t="s">
        <v>1163</v>
      </c>
      <c r="H3707" s="315" t="s">
        <v>30</v>
      </c>
      <c r="I3707" s="315" t="s">
        <v>1164</v>
      </c>
      <c r="J3707" s="315" t="str">
        <f t="shared" si="306"/>
        <v>Used VehicleOther UV income</v>
      </c>
      <c r="K3707" s="315" t="str">
        <f t="shared" si="307"/>
        <v>110Toyota Used Vehicle Other Income</v>
      </c>
      <c r="L3707" s="311">
        <f>+SUMIF('TUNZ Extracted TB'!M:M,$P3707,'TUNZ Extracted TB'!G:G)</f>
        <v>0</v>
      </c>
      <c r="M3707" s="311"/>
      <c r="N3707" s="311">
        <f>+SUMIF('Input Sheet'!$AE:$AE,P3707,'Input Sheet'!$X:$X)</f>
        <v>0</v>
      </c>
      <c r="O3707" s="311"/>
      <c r="P3707" t="str">
        <f t="shared" si="308"/>
        <v>110-8540</v>
      </c>
      <c r="Q3707" s="315" t="str">
        <f t="shared" si="309"/>
        <v>Used Vehicle</v>
      </c>
      <c r="R3707" s="315" t="str">
        <f t="shared" si="310"/>
        <v>Used VehicleOther UV income</v>
      </c>
      <c r="S3707" s="199"/>
      <c r="T3707" s="199"/>
      <c r="U3707" s="199"/>
    </row>
    <row r="3708" spans="1:21" x14ac:dyDescent="0.25">
      <c r="A3708" t="s">
        <v>996</v>
      </c>
      <c r="B3708" t="s">
        <v>997</v>
      </c>
      <c r="C3708" t="s">
        <v>997</v>
      </c>
      <c r="D3708">
        <v>8545</v>
      </c>
      <c r="E3708">
        <v>162</v>
      </c>
      <c r="F3708" t="s">
        <v>1455</v>
      </c>
      <c r="G3708" t="s">
        <v>1456</v>
      </c>
      <c r="H3708" s="315" t="s">
        <v>142</v>
      </c>
      <c r="I3708" s="315" t="s">
        <v>1457</v>
      </c>
      <c r="J3708" s="315" t="str">
        <f t="shared" si="306"/>
        <v>LEX F&amp;IF&amp;I Other Income per vehicle retailed</v>
      </c>
      <c r="K3708" s="315" t="str">
        <f t="shared" si="307"/>
        <v>162Other F&amp;I income - Lexus</v>
      </c>
      <c r="L3708" s="311">
        <f>+SUMIF('TUNZ Extracted TB'!M:M,$P3708,'TUNZ Extracted TB'!G:G)</f>
        <v>0</v>
      </c>
      <c r="M3708" s="311"/>
      <c r="N3708" s="311">
        <f>+SUMIF('Input Sheet'!$AE:$AE,P3708,'Input Sheet'!$X:$X)</f>
        <v>0</v>
      </c>
      <c r="O3708" s="311"/>
      <c r="P3708" t="str">
        <f t="shared" si="308"/>
        <v>162-8545</v>
      </c>
      <c r="Q3708" s="315" t="str">
        <f t="shared" si="309"/>
        <v>LEX F&amp;I</v>
      </c>
      <c r="R3708" s="315" t="str">
        <f t="shared" si="310"/>
        <v>LEX F&amp;IF&amp;I Other Income per vehicle retailed</v>
      </c>
      <c r="S3708" s="199"/>
      <c r="T3708" s="199"/>
      <c r="U3708" s="199"/>
    </row>
    <row r="3709" spans="1:21" x14ac:dyDescent="0.25">
      <c r="A3709" t="s">
        <v>996</v>
      </c>
      <c r="B3709" t="s">
        <v>997</v>
      </c>
      <c r="C3709" t="s">
        <v>1005</v>
      </c>
      <c r="D3709">
        <v>8545</v>
      </c>
      <c r="E3709">
        <v>260</v>
      </c>
      <c r="F3709" t="s">
        <v>1458</v>
      </c>
      <c r="G3709" t="s">
        <v>1459</v>
      </c>
      <c r="H3709" s="315" t="s">
        <v>16</v>
      </c>
      <c r="I3709" s="315" t="s">
        <v>1457</v>
      </c>
      <c r="J3709" s="315" t="str">
        <f t="shared" si="306"/>
        <v>F&amp;IF&amp;I Other Income per vehicle retailed</v>
      </c>
      <c r="K3709" s="315" t="str">
        <f t="shared" si="307"/>
        <v>260Other F&amp;I income - Toyota</v>
      </c>
      <c r="L3709" s="311">
        <f>+SUMIF('TUNZ Extracted TB'!M:M,$P3709,'TUNZ Extracted TB'!G:G)</f>
        <v>0</v>
      </c>
      <c r="M3709" s="311"/>
      <c r="N3709" s="311">
        <f>+SUMIF('Input Sheet'!$AE:$AE,P3709,'Input Sheet'!$X:$X)</f>
        <v>0</v>
      </c>
      <c r="O3709" s="311"/>
      <c r="P3709" t="str">
        <f t="shared" si="308"/>
        <v>260-8545</v>
      </c>
      <c r="Q3709" s="315" t="str">
        <f t="shared" si="309"/>
        <v>F&amp;I</v>
      </c>
      <c r="R3709" s="315" t="str">
        <f t="shared" si="310"/>
        <v>F&amp;IF&amp;I Other Income per vehicle retailed</v>
      </c>
      <c r="S3709" s="199"/>
      <c r="T3709" s="199"/>
      <c r="U3709" s="199"/>
    </row>
    <row r="3710" spans="1:21" x14ac:dyDescent="0.25">
      <c r="A3710" t="s">
        <v>996</v>
      </c>
      <c r="B3710" t="s">
        <v>997</v>
      </c>
      <c r="C3710" t="s">
        <v>1012</v>
      </c>
      <c r="D3710">
        <v>8545</v>
      </c>
      <c r="E3710">
        <v>460</v>
      </c>
      <c r="F3710" t="s">
        <v>1458</v>
      </c>
      <c r="G3710" t="s">
        <v>1459</v>
      </c>
      <c r="H3710" s="315" t="s">
        <v>16</v>
      </c>
      <c r="I3710" s="315" t="s">
        <v>1457</v>
      </c>
      <c r="J3710" s="315" t="str">
        <f t="shared" si="306"/>
        <v>F&amp;IF&amp;I Other Income per vehicle retailed</v>
      </c>
      <c r="K3710" s="315" t="str">
        <f t="shared" si="307"/>
        <v>460Other F&amp;I income - Toyota</v>
      </c>
      <c r="L3710" s="311">
        <f>+SUMIF('TUNZ Extracted TB'!M:M,$P3710,'TUNZ Extracted TB'!G:G)</f>
        <v>0</v>
      </c>
      <c r="M3710" s="311"/>
      <c r="N3710" s="311">
        <f>+SUMIF('Input Sheet'!$AE:$AE,P3710,'Input Sheet'!$X:$X)</f>
        <v>0</v>
      </c>
      <c r="O3710" s="311"/>
      <c r="P3710" t="str">
        <f t="shared" si="308"/>
        <v>460-8545</v>
      </c>
      <c r="Q3710" s="315" t="str">
        <f t="shared" si="309"/>
        <v>F&amp;I</v>
      </c>
      <c r="R3710" s="315" t="str">
        <f t="shared" si="310"/>
        <v>F&amp;IF&amp;I Other Income per vehicle retailed</v>
      </c>
      <c r="S3710" s="199"/>
      <c r="T3710" s="199"/>
      <c r="U3710" s="199"/>
    </row>
    <row r="3711" spans="1:21" x14ac:dyDescent="0.25">
      <c r="A3711" t="s">
        <v>996</v>
      </c>
      <c r="B3711" t="s">
        <v>997</v>
      </c>
      <c r="C3711" t="s">
        <v>1013</v>
      </c>
      <c r="D3711">
        <v>8545</v>
      </c>
      <c r="E3711">
        <v>360</v>
      </c>
      <c r="F3711" t="s">
        <v>1458</v>
      </c>
      <c r="G3711" t="s">
        <v>1459</v>
      </c>
      <c r="H3711" s="315" t="s">
        <v>16</v>
      </c>
      <c r="I3711" s="315" t="s">
        <v>1457</v>
      </c>
      <c r="J3711" s="315" t="str">
        <f t="shared" si="306"/>
        <v>F&amp;IF&amp;I Other Income per vehicle retailed</v>
      </c>
      <c r="K3711" s="315" t="str">
        <f t="shared" si="307"/>
        <v>360Other F&amp;I income - Toyota</v>
      </c>
      <c r="L3711" s="311">
        <f>+SUMIF('TUNZ Extracted TB'!M:M,$P3711,'TUNZ Extracted TB'!G:G)</f>
        <v>0</v>
      </c>
      <c r="M3711" s="311"/>
      <c r="N3711" s="311">
        <f>+SUMIF('Input Sheet'!$AE:$AE,P3711,'Input Sheet'!$X:$X)</f>
        <v>0</v>
      </c>
      <c r="O3711" s="311"/>
      <c r="P3711" t="str">
        <f t="shared" si="308"/>
        <v>360-8545</v>
      </c>
      <c r="Q3711" s="315" t="str">
        <f t="shared" si="309"/>
        <v>F&amp;I</v>
      </c>
      <c r="R3711" s="315" t="str">
        <f t="shared" si="310"/>
        <v>F&amp;IF&amp;I Other Income per vehicle retailed</v>
      </c>
      <c r="S3711" s="199"/>
      <c r="T3711" s="199"/>
      <c r="U3711" s="199"/>
    </row>
    <row r="3712" spans="1:21" x14ac:dyDescent="0.25">
      <c r="A3712" t="s">
        <v>996</v>
      </c>
      <c r="B3712" t="s">
        <v>997</v>
      </c>
      <c r="C3712" t="s">
        <v>997</v>
      </c>
      <c r="D3712">
        <v>8545</v>
      </c>
      <c r="E3712">
        <v>147</v>
      </c>
      <c r="F3712" t="s">
        <v>1458</v>
      </c>
      <c r="G3712" t="s">
        <v>1459</v>
      </c>
      <c r="H3712" s="315" t="s">
        <v>16</v>
      </c>
      <c r="I3712" s="315" t="s">
        <v>1457</v>
      </c>
      <c r="J3712" s="315" t="str">
        <f t="shared" si="306"/>
        <v>F&amp;IF&amp;I Other Income per vehicle retailed</v>
      </c>
      <c r="K3712" s="315" t="str">
        <f t="shared" si="307"/>
        <v>147Other F&amp;I income - Toyota</v>
      </c>
      <c r="L3712" s="311">
        <f>+SUMIF('TUNZ Extracted TB'!M:M,$P3712,'TUNZ Extracted TB'!G:G)</f>
        <v>0</v>
      </c>
      <c r="M3712" s="311"/>
      <c r="N3712" s="311">
        <f>+SUMIF('Input Sheet'!$AE:$AE,P3712,'Input Sheet'!$X:$X)</f>
        <v>0</v>
      </c>
      <c r="O3712" s="311"/>
      <c r="P3712" t="str">
        <f t="shared" si="308"/>
        <v>147-8545</v>
      </c>
      <c r="Q3712" s="315" t="str">
        <f t="shared" si="309"/>
        <v>F&amp;I</v>
      </c>
      <c r="R3712" s="315" t="str">
        <f t="shared" si="310"/>
        <v>F&amp;IF&amp;I Other Income per vehicle retailed</v>
      </c>
      <c r="S3712" s="199"/>
      <c r="T3712" s="199"/>
      <c r="U3712" s="199"/>
    </row>
    <row r="3713" spans="1:21" x14ac:dyDescent="0.25">
      <c r="A3713" t="s">
        <v>996</v>
      </c>
      <c r="B3713" t="s">
        <v>997</v>
      </c>
      <c r="C3713" t="s">
        <v>997</v>
      </c>
      <c r="D3713">
        <v>8545</v>
      </c>
      <c r="E3713">
        <v>160</v>
      </c>
      <c r="F3713" t="s">
        <v>1458</v>
      </c>
      <c r="G3713" t="s">
        <v>1459</v>
      </c>
      <c r="H3713" s="315" t="s">
        <v>16</v>
      </c>
      <c r="I3713" s="315" t="s">
        <v>1457</v>
      </c>
      <c r="J3713" s="315" t="str">
        <f t="shared" si="306"/>
        <v>F&amp;IF&amp;I Other Income per vehicle retailed</v>
      </c>
      <c r="K3713" s="315" t="str">
        <f t="shared" si="307"/>
        <v>160Other F&amp;I income - Toyota</v>
      </c>
      <c r="L3713" s="311">
        <f>+SUMIF('TUNZ Extracted TB'!M:M,$P3713,'TUNZ Extracted TB'!G:G)</f>
        <v>0</v>
      </c>
      <c r="M3713" s="311"/>
      <c r="N3713" s="311">
        <f>+SUMIF('Input Sheet'!$AE:$AE,P3713,'Input Sheet'!$X:$X)</f>
        <v>0</v>
      </c>
      <c r="O3713" s="311"/>
      <c r="P3713" t="str">
        <f t="shared" si="308"/>
        <v>160-8545</v>
      </c>
      <c r="Q3713" s="315" t="str">
        <f t="shared" si="309"/>
        <v>F&amp;I</v>
      </c>
      <c r="R3713" s="315" t="str">
        <f t="shared" si="310"/>
        <v>F&amp;IF&amp;I Other Income per vehicle retailed</v>
      </c>
      <c r="S3713" s="199"/>
      <c r="T3713" s="199"/>
      <c r="U3713" s="199"/>
    </row>
    <row r="3714" spans="1:21" x14ac:dyDescent="0.25">
      <c r="A3714" t="s">
        <v>996</v>
      </c>
      <c r="B3714" t="s">
        <v>997</v>
      </c>
      <c r="C3714" t="s">
        <v>1005</v>
      </c>
      <c r="D3714">
        <v>8570</v>
      </c>
      <c r="E3714">
        <v>200</v>
      </c>
      <c r="F3714" t="s">
        <v>1462</v>
      </c>
      <c r="G3714" t="s">
        <v>1463</v>
      </c>
      <c r="H3714" s="315" t="s">
        <v>1000</v>
      </c>
      <c r="I3714" s="315" t="s">
        <v>1001</v>
      </c>
      <c r="J3714" s="315" t="str">
        <f t="shared" si="306"/>
        <v>Admin &amp; OtherOther Overheads as % of Total Gross Profit</v>
      </c>
      <c r="K3714" s="315" t="str">
        <f t="shared" si="307"/>
        <v>200DGF income - Toyota</v>
      </c>
      <c r="L3714" s="311">
        <f>+SUMIF('TUNZ Extracted TB'!M:M,$P3714,'TUNZ Extracted TB'!G:G)</f>
        <v>0</v>
      </c>
      <c r="M3714" s="311"/>
      <c r="N3714" s="311">
        <f>+SUMIF('Input Sheet'!$AE:$AE,P3714,'Input Sheet'!$X:$X)</f>
        <v>0</v>
      </c>
      <c r="O3714" s="311"/>
      <c r="P3714" t="str">
        <f t="shared" si="308"/>
        <v>200-8570</v>
      </c>
      <c r="Q3714" s="315" t="str">
        <f t="shared" si="309"/>
        <v>Admin &amp; Other</v>
      </c>
      <c r="R3714" s="315" t="str">
        <f t="shared" si="310"/>
        <v>Admin &amp; OtherOther Overheads as % of Total Gross Profit</v>
      </c>
      <c r="S3714" s="199"/>
      <c r="T3714" s="199"/>
      <c r="U3714" s="199"/>
    </row>
    <row r="3715" spans="1:21" x14ac:dyDescent="0.25">
      <c r="A3715" t="s">
        <v>996</v>
      </c>
      <c r="B3715" t="s">
        <v>997</v>
      </c>
      <c r="C3715" t="s">
        <v>1005</v>
      </c>
      <c r="D3715">
        <v>8570</v>
      </c>
      <c r="E3715">
        <v>210</v>
      </c>
      <c r="F3715" t="s">
        <v>1462</v>
      </c>
      <c r="G3715" t="s">
        <v>1463</v>
      </c>
      <c r="H3715" s="315" t="s">
        <v>1000</v>
      </c>
      <c r="I3715" s="315" t="s">
        <v>1001</v>
      </c>
      <c r="J3715" s="315" t="str">
        <f t="shared" ref="J3715:J3778" si="311">+H3715&amp;I3715</f>
        <v>Admin &amp; OtherOther Overheads as % of Total Gross Profit</v>
      </c>
      <c r="K3715" s="315" t="str">
        <f t="shared" ref="K3715:K3778" si="312">+E3715&amp;G3715</f>
        <v>210DGF income - Toyota</v>
      </c>
      <c r="L3715" s="311">
        <f>+SUMIF('TUNZ Extracted TB'!M:M,$P3715,'TUNZ Extracted TB'!G:G)</f>
        <v>0</v>
      </c>
      <c r="M3715" s="311"/>
      <c r="N3715" s="311">
        <f>+SUMIF('Input Sheet'!$AE:$AE,P3715,'Input Sheet'!$X:$X)</f>
        <v>0</v>
      </c>
      <c r="O3715" s="311"/>
      <c r="P3715" t="str">
        <f t="shared" ref="P3715:P3778" si="313">+E3715&amp;"-"&amp;D3715</f>
        <v>210-8570</v>
      </c>
      <c r="Q3715" s="315" t="str">
        <f t="shared" ref="Q3715:Q3778" si="314">H3715</f>
        <v>Admin &amp; Other</v>
      </c>
      <c r="R3715" s="315" t="str">
        <f t="shared" ref="R3715:R3778" si="315">J3715</f>
        <v>Admin &amp; OtherOther Overheads as % of Total Gross Profit</v>
      </c>
      <c r="S3715" s="199"/>
      <c r="T3715" s="199"/>
      <c r="U3715" s="199"/>
    </row>
    <row r="3716" spans="1:21" x14ac:dyDescent="0.25">
      <c r="A3716" t="s">
        <v>996</v>
      </c>
      <c r="B3716" t="s">
        <v>997</v>
      </c>
      <c r="C3716" t="s">
        <v>1005</v>
      </c>
      <c r="D3716">
        <v>8570</v>
      </c>
      <c r="E3716">
        <v>221</v>
      </c>
      <c r="F3716" t="s">
        <v>1462</v>
      </c>
      <c r="G3716" t="s">
        <v>1463</v>
      </c>
      <c r="H3716" s="315" t="s">
        <v>1000</v>
      </c>
      <c r="I3716" s="315" t="s">
        <v>1001</v>
      </c>
      <c r="J3716" s="315" t="str">
        <f t="shared" si="311"/>
        <v>Admin &amp; OtherOther Overheads as % of Total Gross Profit</v>
      </c>
      <c r="K3716" s="315" t="str">
        <f t="shared" si="312"/>
        <v>221DGF income - Toyota</v>
      </c>
      <c r="L3716" s="311">
        <f>+SUMIF('TUNZ Extracted TB'!M:M,$P3716,'TUNZ Extracted TB'!G:G)</f>
        <v>0</v>
      </c>
      <c r="M3716" s="311"/>
      <c r="N3716" s="311">
        <f>+SUMIF('Input Sheet'!$AE:$AE,P3716,'Input Sheet'!$X:$X)</f>
        <v>0</v>
      </c>
      <c r="O3716" s="311"/>
      <c r="P3716" t="str">
        <f t="shared" si="313"/>
        <v>221-8570</v>
      </c>
      <c r="Q3716" s="315" t="str">
        <f t="shared" si="314"/>
        <v>Admin &amp; Other</v>
      </c>
      <c r="R3716" s="315" t="str">
        <f t="shared" si="315"/>
        <v>Admin &amp; OtherOther Overheads as % of Total Gross Profit</v>
      </c>
      <c r="S3716" s="199"/>
      <c r="T3716" s="199"/>
      <c r="U3716" s="199"/>
    </row>
    <row r="3717" spans="1:21" x14ac:dyDescent="0.25">
      <c r="A3717" t="s">
        <v>996</v>
      </c>
      <c r="B3717" t="s">
        <v>997</v>
      </c>
      <c r="C3717" t="s">
        <v>1005</v>
      </c>
      <c r="D3717">
        <v>8570</v>
      </c>
      <c r="E3717">
        <v>260</v>
      </c>
      <c r="F3717" t="s">
        <v>1462</v>
      </c>
      <c r="G3717" t="s">
        <v>1463</v>
      </c>
      <c r="H3717" s="315" t="s">
        <v>1000</v>
      </c>
      <c r="I3717" s="315" t="s">
        <v>1001</v>
      </c>
      <c r="J3717" s="315" t="str">
        <f t="shared" si="311"/>
        <v>Admin &amp; OtherOther Overheads as % of Total Gross Profit</v>
      </c>
      <c r="K3717" s="315" t="str">
        <f t="shared" si="312"/>
        <v>260DGF income - Toyota</v>
      </c>
      <c r="L3717" s="311">
        <f>+SUMIF('TUNZ Extracted TB'!M:M,$P3717,'TUNZ Extracted TB'!G:G)</f>
        <v>0</v>
      </c>
      <c r="M3717" s="311"/>
      <c r="N3717" s="311">
        <f>+SUMIF('Input Sheet'!$AE:$AE,P3717,'Input Sheet'!$X:$X)</f>
        <v>0</v>
      </c>
      <c r="O3717" s="311"/>
      <c r="P3717" t="str">
        <f t="shared" si="313"/>
        <v>260-8570</v>
      </c>
      <c r="Q3717" s="315" t="str">
        <f t="shared" si="314"/>
        <v>Admin &amp; Other</v>
      </c>
      <c r="R3717" s="315" t="str">
        <f t="shared" si="315"/>
        <v>Admin &amp; OtherOther Overheads as % of Total Gross Profit</v>
      </c>
      <c r="S3717" s="199"/>
      <c r="T3717" s="199"/>
      <c r="U3717" s="199"/>
    </row>
    <row r="3718" spans="1:21" x14ac:dyDescent="0.25">
      <c r="A3718" t="s">
        <v>996</v>
      </c>
      <c r="B3718" t="s">
        <v>997</v>
      </c>
      <c r="C3718" t="s">
        <v>1012</v>
      </c>
      <c r="D3718">
        <v>8570</v>
      </c>
      <c r="E3718">
        <v>400</v>
      </c>
      <c r="F3718" t="s">
        <v>1462</v>
      </c>
      <c r="G3718" t="s">
        <v>1463</v>
      </c>
      <c r="H3718" s="315" t="s">
        <v>1000</v>
      </c>
      <c r="I3718" s="315" t="s">
        <v>1001</v>
      </c>
      <c r="J3718" s="315" t="str">
        <f t="shared" si="311"/>
        <v>Admin &amp; OtherOther Overheads as % of Total Gross Profit</v>
      </c>
      <c r="K3718" s="315" t="str">
        <f t="shared" si="312"/>
        <v>400DGF income - Toyota</v>
      </c>
      <c r="L3718" s="311">
        <f>+SUMIF('TUNZ Extracted TB'!M:M,$P3718,'TUNZ Extracted TB'!G:G)</f>
        <v>0</v>
      </c>
      <c r="M3718" s="311"/>
      <c r="N3718" s="311">
        <f>+SUMIF('Input Sheet'!$AE:$AE,P3718,'Input Sheet'!$X:$X)</f>
        <v>0</v>
      </c>
      <c r="O3718" s="311"/>
      <c r="P3718" t="str">
        <f t="shared" si="313"/>
        <v>400-8570</v>
      </c>
      <c r="Q3718" s="315" t="str">
        <f t="shared" si="314"/>
        <v>Admin &amp; Other</v>
      </c>
      <c r="R3718" s="315" t="str">
        <f t="shared" si="315"/>
        <v>Admin &amp; OtherOther Overheads as % of Total Gross Profit</v>
      </c>
      <c r="S3718" s="199"/>
      <c r="T3718" s="199"/>
      <c r="U3718" s="199"/>
    </row>
    <row r="3719" spans="1:21" x14ac:dyDescent="0.25">
      <c r="A3719" t="s">
        <v>996</v>
      </c>
      <c r="B3719" t="s">
        <v>997</v>
      </c>
      <c r="C3719" t="s">
        <v>1012</v>
      </c>
      <c r="D3719">
        <v>8570</v>
      </c>
      <c r="E3719">
        <v>410</v>
      </c>
      <c r="F3719" t="s">
        <v>1462</v>
      </c>
      <c r="G3719" t="s">
        <v>1463</v>
      </c>
      <c r="H3719" s="315" t="s">
        <v>1000</v>
      </c>
      <c r="I3719" s="315" t="s">
        <v>1001</v>
      </c>
      <c r="J3719" s="315" t="str">
        <f t="shared" si="311"/>
        <v>Admin &amp; OtherOther Overheads as % of Total Gross Profit</v>
      </c>
      <c r="K3719" s="315" t="str">
        <f t="shared" si="312"/>
        <v>410DGF income - Toyota</v>
      </c>
      <c r="L3719" s="311">
        <f>+SUMIF('TUNZ Extracted TB'!M:M,$P3719,'TUNZ Extracted TB'!G:G)</f>
        <v>0</v>
      </c>
      <c r="M3719" s="311"/>
      <c r="N3719" s="311">
        <f>+SUMIF('Input Sheet'!$AE:$AE,P3719,'Input Sheet'!$X:$X)</f>
        <v>0</v>
      </c>
      <c r="O3719" s="311"/>
      <c r="P3719" t="str">
        <f t="shared" si="313"/>
        <v>410-8570</v>
      </c>
      <c r="Q3719" s="315" t="str">
        <f t="shared" si="314"/>
        <v>Admin &amp; Other</v>
      </c>
      <c r="R3719" s="315" t="str">
        <f t="shared" si="315"/>
        <v>Admin &amp; OtherOther Overheads as % of Total Gross Profit</v>
      </c>
      <c r="S3719" s="199"/>
      <c r="T3719" s="199"/>
      <c r="U3719" s="199"/>
    </row>
    <row r="3720" spans="1:21" x14ac:dyDescent="0.25">
      <c r="A3720" t="s">
        <v>996</v>
      </c>
      <c r="B3720" t="s">
        <v>997</v>
      </c>
      <c r="C3720" t="s">
        <v>1012</v>
      </c>
      <c r="D3720">
        <v>8570</v>
      </c>
      <c r="E3720">
        <v>420</v>
      </c>
      <c r="F3720" t="s">
        <v>1462</v>
      </c>
      <c r="G3720" t="s">
        <v>1463</v>
      </c>
      <c r="H3720" s="315" t="s">
        <v>1000</v>
      </c>
      <c r="I3720" s="315" t="s">
        <v>1001</v>
      </c>
      <c r="J3720" s="315" t="str">
        <f t="shared" si="311"/>
        <v>Admin &amp; OtherOther Overheads as % of Total Gross Profit</v>
      </c>
      <c r="K3720" s="315" t="str">
        <f t="shared" si="312"/>
        <v>420DGF income - Toyota</v>
      </c>
      <c r="L3720" s="311">
        <f>+SUMIF('TUNZ Extracted TB'!M:M,$P3720,'TUNZ Extracted TB'!G:G)</f>
        <v>0</v>
      </c>
      <c r="M3720" s="311"/>
      <c r="N3720" s="311">
        <f>+SUMIF('Input Sheet'!$AE:$AE,P3720,'Input Sheet'!$X:$X)</f>
        <v>0</v>
      </c>
      <c r="O3720" s="311"/>
      <c r="P3720" t="str">
        <f t="shared" si="313"/>
        <v>420-8570</v>
      </c>
      <c r="Q3720" s="315" t="str">
        <f t="shared" si="314"/>
        <v>Admin &amp; Other</v>
      </c>
      <c r="R3720" s="315" t="str">
        <f t="shared" si="315"/>
        <v>Admin &amp; OtherOther Overheads as % of Total Gross Profit</v>
      </c>
      <c r="S3720" s="199"/>
      <c r="T3720" s="199"/>
      <c r="U3720" s="199"/>
    </row>
    <row r="3721" spans="1:21" x14ac:dyDescent="0.25">
      <c r="A3721" t="s">
        <v>996</v>
      </c>
      <c r="B3721" t="s">
        <v>997</v>
      </c>
      <c r="C3721" t="s">
        <v>1012</v>
      </c>
      <c r="D3721">
        <v>8570</v>
      </c>
      <c r="E3721">
        <v>421</v>
      </c>
      <c r="F3721" t="s">
        <v>1462</v>
      </c>
      <c r="G3721" t="s">
        <v>1463</v>
      </c>
      <c r="H3721" s="315" t="s">
        <v>1000</v>
      </c>
      <c r="I3721" s="315" t="s">
        <v>1001</v>
      </c>
      <c r="J3721" s="315" t="str">
        <f t="shared" si="311"/>
        <v>Admin &amp; OtherOther Overheads as % of Total Gross Profit</v>
      </c>
      <c r="K3721" s="315" t="str">
        <f t="shared" si="312"/>
        <v>421DGF income - Toyota</v>
      </c>
      <c r="L3721" s="311">
        <f>+SUMIF('TUNZ Extracted TB'!M:M,$P3721,'TUNZ Extracted TB'!G:G)</f>
        <v>0</v>
      </c>
      <c r="M3721" s="311"/>
      <c r="N3721" s="311">
        <f>+SUMIF('Input Sheet'!$AE:$AE,P3721,'Input Sheet'!$X:$X)</f>
        <v>0</v>
      </c>
      <c r="O3721" s="311"/>
      <c r="P3721" t="str">
        <f t="shared" si="313"/>
        <v>421-8570</v>
      </c>
      <c r="Q3721" s="315" t="str">
        <f t="shared" si="314"/>
        <v>Admin &amp; Other</v>
      </c>
      <c r="R3721" s="315" t="str">
        <f t="shared" si="315"/>
        <v>Admin &amp; OtherOther Overheads as % of Total Gross Profit</v>
      </c>
      <c r="S3721" s="199"/>
      <c r="T3721" s="199"/>
      <c r="U3721" s="199"/>
    </row>
    <row r="3722" spans="1:21" x14ac:dyDescent="0.25">
      <c r="A3722" t="s">
        <v>996</v>
      </c>
      <c r="B3722" t="s">
        <v>997</v>
      </c>
      <c r="C3722" t="s">
        <v>1012</v>
      </c>
      <c r="D3722">
        <v>8570</v>
      </c>
      <c r="E3722">
        <v>460</v>
      </c>
      <c r="F3722" t="s">
        <v>1462</v>
      </c>
      <c r="G3722" t="s">
        <v>1463</v>
      </c>
      <c r="H3722" s="315" t="s">
        <v>1000</v>
      </c>
      <c r="I3722" s="315" t="s">
        <v>1001</v>
      </c>
      <c r="J3722" s="315" t="str">
        <f t="shared" si="311"/>
        <v>Admin &amp; OtherOther Overheads as % of Total Gross Profit</v>
      </c>
      <c r="K3722" s="315" t="str">
        <f t="shared" si="312"/>
        <v>460DGF income - Toyota</v>
      </c>
      <c r="L3722" s="311">
        <f>+SUMIF('TUNZ Extracted TB'!M:M,$P3722,'TUNZ Extracted TB'!G:G)</f>
        <v>0</v>
      </c>
      <c r="M3722" s="311"/>
      <c r="N3722" s="311">
        <f>+SUMIF('Input Sheet'!$AE:$AE,P3722,'Input Sheet'!$X:$X)</f>
        <v>0</v>
      </c>
      <c r="O3722" s="311"/>
      <c r="P3722" t="str">
        <f t="shared" si="313"/>
        <v>460-8570</v>
      </c>
      <c r="Q3722" s="315" t="str">
        <f t="shared" si="314"/>
        <v>Admin &amp; Other</v>
      </c>
      <c r="R3722" s="315" t="str">
        <f t="shared" si="315"/>
        <v>Admin &amp; OtherOther Overheads as % of Total Gross Profit</v>
      </c>
      <c r="S3722" s="199"/>
      <c r="T3722" s="199"/>
      <c r="U3722" s="199"/>
    </row>
    <row r="3723" spans="1:21" x14ac:dyDescent="0.25">
      <c r="A3723" t="s">
        <v>996</v>
      </c>
      <c r="B3723" t="s">
        <v>997</v>
      </c>
      <c r="C3723" t="s">
        <v>1013</v>
      </c>
      <c r="D3723">
        <v>8570</v>
      </c>
      <c r="E3723">
        <v>300</v>
      </c>
      <c r="F3723" t="s">
        <v>1462</v>
      </c>
      <c r="G3723" t="s">
        <v>1463</v>
      </c>
      <c r="H3723" s="315" t="s">
        <v>1000</v>
      </c>
      <c r="I3723" s="315" t="s">
        <v>1001</v>
      </c>
      <c r="J3723" s="315" t="str">
        <f t="shared" si="311"/>
        <v>Admin &amp; OtherOther Overheads as % of Total Gross Profit</v>
      </c>
      <c r="K3723" s="315" t="str">
        <f t="shared" si="312"/>
        <v>300DGF income - Toyota</v>
      </c>
      <c r="L3723" s="311">
        <f>+SUMIF('TUNZ Extracted TB'!M:M,$P3723,'TUNZ Extracted TB'!G:G)</f>
        <v>0</v>
      </c>
      <c r="M3723" s="311"/>
      <c r="N3723" s="311">
        <f>+SUMIF('Input Sheet'!$AE:$AE,P3723,'Input Sheet'!$X:$X)</f>
        <v>0</v>
      </c>
      <c r="O3723" s="311"/>
      <c r="P3723" t="str">
        <f t="shared" si="313"/>
        <v>300-8570</v>
      </c>
      <c r="Q3723" s="315" t="str">
        <f t="shared" si="314"/>
        <v>Admin &amp; Other</v>
      </c>
      <c r="R3723" s="315" t="str">
        <f t="shared" si="315"/>
        <v>Admin &amp; OtherOther Overheads as % of Total Gross Profit</v>
      </c>
      <c r="S3723" s="199"/>
      <c r="T3723" s="199"/>
      <c r="U3723" s="199"/>
    </row>
    <row r="3724" spans="1:21" x14ac:dyDescent="0.25">
      <c r="A3724" t="s">
        <v>996</v>
      </c>
      <c r="B3724" t="s">
        <v>997</v>
      </c>
      <c r="C3724" t="s">
        <v>1013</v>
      </c>
      <c r="D3724">
        <v>8570</v>
      </c>
      <c r="E3724">
        <v>310</v>
      </c>
      <c r="F3724" t="s">
        <v>1462</v>
      </c>
      <c r="G3724" t="s">
        <v>1463</v>
      </c>
      <c r="H3724" s="315" t="s">
        <v>1000</v>
      </c>
      <c r="I3724" s="315" t="s">
        <v>1001</v>
      </c>
      <c r="J3724" s="315" t="str">
        <f t="shared" si="311"/>
        <v>Admin &amp; OtherOther Overheads as % of Total Gross Profit</v>
      </c>
      <c r="K3724" s="315" t="str">
        <f t="shared" si="312"/>
        <v>310DGF income - Toyota</v>
      </c>
      <c r="L3724" s="311">
        <f>+SUMIF('TUNZ Extracted TB'!M:M,$P3724,'TUNZ Extracted TB'!G:G)</f>
        <v>0</v>
      </c>
      <c r="M3724" s="311"/>
      <c r="N3724" s="311">
        <f>+SUMIF('Input Sheet'!$AE:$AE,P3724,'Input Sheet'!$X:$X)</f>
        <v>0</v>
      </c>
      <c r="O3724" s="311"/>
      <c r="P3724" t="str">
        <f t="shared" si="313"/>
        <v>310-8570</v>
      </c>
      <c r="Q3724" s="315" t="str">
        <f t="shared" si="314"/>
        <v>Admin &amp; Other</v>
      </c>
      <c r="R3724" s="315" t="str">
        <f t="shared" si="315"/>
        <v>Admin &amp; OtherOther Overheads as % of Total Gross Profit</v>
      </c>
      <c r="S3724" s="199"/>
      <c r="T3724" s="199"/>
      <c r="U3724" s="199"/>
    </row>
    <row r="3725" spans="1:21" x14ac:dyDescent="0.25">
      <c r="A3725" t="s">
        <v>996</v>
      </c>
      <c r="B3725" t="s">
        <v>997</v>
      </c>
      <c r="C3725" t="s">
        <v>1013</v>
      </c>
      <c r="D3725">
        <v>8570</v>
      </c>
      <c r="E3725">
        <v>321</v>
      </c>
      <c r="F3725" t="s">
        <v>1462</v>
      </c>
      <c r="G3725" t="s">
        <v>1463</v>
      </c>
      <c r="H3725" s="315" t="s">
        <v>1000</v>
      </c>
      <c r="I3725" s="315" t="s">
        <v>1001</v>
      </c>
      <c r="J3725" s="315" t="str">
        <f t="shared" si="311"/>
        <v>Admin &amp; OtherOther Overheads as % of Total Gross Profit</v>
      </c>
      <c r="K3725" s="315" t="str">
        <f t="shared" si="312"/>
        <v>321DGF income - Toyota</v>
      </c>
      <c r="L3725" s="311">
        <f>+SUMIF('TUNZ Extracted TB'!M:M,$P3725,'TUNZ Extracted TB'!G:G)</f>
        <v>0</v>
      </c>
      <c r="M3725" s="311"/>
      <c r="N3725" s="311">
        <f>+SUMIF('Input Sheet'!$AE:$AE,P3725,'Input Sheet'!$X:$X)</f>
        <v>0</v>
      </c>
      <c r="O3725" s="311"/>
      <c r="P3725" t="str">
        <f t="shared" si="313"/>
        <v>321-8570</v>
      </c>
      <c r="Q3725" s="315" t="str">
        <f t="shared" si="314"/>
        <v>Admin &amp; Other</v>
      </c>
      <c r="R3725" s="315" t="str">
        <f t="shared" si="315"/>
        <v>Admin &amp; OtherOther Overheads as % of Total Gross Profit</v>
      </c>
      <c r="S3725" s="199"/>
      <c r="T3725" s="199"/>
      <c r="U3725" s="199"/>
    </row>
    <row r="3726" spans="1:21" x14ac:dyDescent="0.25">
      <c r="A3726" t="s">
        <v>996</v>
      </c>
      <c r="B3726" t="s">
        <v>997</v>
      </c>
      <c r="C3726" t="s">
        <v>1013</v>
      </c>
      <c r="D3726">
        <v>8570</v>
      </c>
      <c r="E3726">
        <v>360</v>
      </c>
      <c r="F3726" t="s">
        <v>1462</v>
      </c>
      <c r="G3726" t="s">
        <v>1463</v>
      </c>
      <c r="H3726" s="315" t="s">
        <v>1000</v>
      </c>
      <c r="I3726" s="315" t="s">
        <v>1001</v>
      </c>
      <c r="J3726" s="315" t="str">
        <f t="shared" si="311"/>
        <v>Admin &amp; OtherOther Overheads as % of Total Gross Profit</v>
      </c>
      <c r="K3726" s="315" t="str">
        <f t="shared" si="312"/>
        <v>360DGF income - Toyota</v>
      </c>
      <c r="L3726" s="311">
        <f>+SUMIF('TUNZ Extracted TB'!M:M,$P3726,'TUNZ Extracted TB'!G:G)</f>
        <v>0</v>
      </c>
      <c r="M3726" s="311"/>
      <c r="N3726" s="311">
        <f>+SUMIF('Input Sheet'!$AE:$AE,P3726,'Input Sheet'!$X:$X)</f>
        <v>0</v>
      </c>
      <c r="O3726" s="311"/>
      <c r="P3726" t="str">
        <f t="shared" si="313"/>
        <v>360-8570</v>
      </c>
      <c r="Q3726" s="315" t="str">
        <f t="shared" si="314"/>
        <v>Admin &amp; Other</v>
      </c>
      <c r="R3726" s="315" t="str">
        <f t="shared" si="315"/>
        <v>Admin &amp; OtherOther Overheads as % of Total Gross Profit</v>
      </c>
      <c r="S3726" s="199"/>
      <c r="T3726" s="199"/>
      <c r="U3726" s="199"/>
    </row>
    <row r="3727" spans="1:21" x14ac:dyDescent="0.25">
      <c r="A3727" t="s">
        <v>996</v>
      </c>
      <c r="B3727" t="s">
        <v>997</v>
      </c>
      <c r="C3727" t="s">
        <v>997</v>
      </c>
      <c r="D3727">
        <v>8570</v>
      </c>
      <c r="E3727">
        <v>121</v>
      </c>
      <c r="F3727" t="s">
        <v>1462</v>
      </c>
      <c r="G3727" t="s">
        <v>1463</v>
      </c>
      <c r="H3727" s="315" t="s">
        <v>1000</v>
      </c>
      <c r="I3727" s="315" t="s">
        <v>1001</v>
      </c>
      <c r="J3727" s="315" t="str">
        <f t="shared" si="311"/>
        <v>Admin &amp; OtherOther Overheads as % of Total Gross Profit</v>
      </c>
      <c r="K3727" s="315" t="str">
        <f t="shared" si="312"/>
        <v>121DGF income - Toyota</v>
      </c>
      <c r="L3727" s="311">
        <f>+SUMIF('TUNZ Extracted TB'!M:M,$P3727,'TUNZ Extracted TB'!G:G)</f>
        <v>0</v>
      </c>
      <c r="M3727" s="311"/>
      <c r="N3727" s="311">
        <f>+SUMIF('Input Sheet'!$AE:$AE,P3727,'Input Sheet'!$X:$X)</f>
        <v>0</v>
      </c>
      <c r="O3727" s="311"/>
      <c r="P3727" t="str">
        <f t="shared" si="313"/>
        <v>121-8570</v>
      </c>
      <c r="Q3727" s="315" t="str">
        <f t="shared" si="314"/>
        <v>Admin &amp; Other</v>
      </c>
      <c r="R3727" s="315" t="str">
        <f t="shared" si="315"/>
        <v>Admin &amp; OtherOther Overheads as % of Total Gross Profit</v>
      </c>
      <c r="S3727" s="199"/>
      <c r="T3727" s="199"/>
      <c r="U3727" s="199"/>
    </row>
    <row r="3728" spans="1:21" x14ac:dyDescent="0.25">
      <c r="A3728" t="s">
        <v>996</v>
      </c>
      <c r="B3728" t="s">
        <v>997</v>
      </c>
      <c r="C3728" t="s">
        <v>997</v>
      </c>
      <c r="D3728">
        <v>8570</v>
      </c>
      <c r="E3728">
        <v>160</v>
      </c>
      <c r="F3728" t="s">
        <v>1462</v>
      </c>
      <c r="G3728" t="s">
        <v>1463</v>
      </c>
      <c r="H3728" s="315" t="s">
        <v>1000</v>
      </c>
      <c r="I3728" s="315" t="s">
        <v>1001</v>
      </c>
      <c r="J3728" s="315" t="str">
        <f t="shared" si="311"/>
        <v>Admin &amp; OtherOther Overheads as % of Total Gross Profit</v>
      </c>
      <c r="K3728" s="315" t="str">
        <f t="shared" si="312"/>
        <v>160DGF income - Toyota</v>
      </c>
      <c r="L3728" s="311">
        <f>+SUMIF('TUNZ Extracted TB'!M:M,$P3728,'TUNZ Extracted TB'!G:G)</f>
        <v>0</v>
      </c>
      <c r="M3728" s="311"/>
      <c r="N3728" s="311">
        <f>+SUMIF('Input Sheet'!$AE:$AE,P3728,'Input Sheet'!$X:$X)</f>
        <v>0</v>
      </c>
      <c r="O3728" s="311"/>
      <c r="P3728" t="str">
        <f t="shared" si="313"/>
        <v>160-8570</v>
      </c>
      <c r="Q3728" s="315" t="str">
        <f t="shared" si="314"/>
        <v>Admin &amp; Other</v>
      </c>
      <c r="R3728" s="315" t="str">
        <f t="shared" si="315"/>
        <v>Admin &amp; OtherOther Overheads as % of Total Gross Profit</v>
      </c>
      <c r="S3728" s="199"/>
      <c r="T3728" s="199"/>
      <c r="U3728" s="199"/>
    </row>
    <row r="3729" spans="1:21" x14ac:dyDescent="0.25">
      <c r="A3729" t="s">
        <v>996</v>
      </c>
      <c r="B3729" t="s">
        <v>997</v>
      </c>
      <c r="C3729" t="s">
        <v>997</v>
      </c>
      <c r="D3729">
        <v>8570</v>
      </c>
      <c r="E3729">
        <v>162</v>
      </c>
      <c r="F3729" t="s">
        <v>1032</v>
      </c>
      <c r="G3729" t="s">
        <v>1033</v>
      </c>
      <c r="H3729" s="315" t="s">
        <v>1023</v>
      </c>
      <c r="I3729" s="315" t="s">
        <v>1001</v>
      </c>
      <c r="J3729" s="315" t="str">
        <f t="shared" si="311"/>
        <v>LEX Admin &amp; OtherOther Overheads as % of Total Gross Profit</v>
      </c>
      <c r="K3729" s="315" t="str">
        <f t="shared" si="312"/>
        <v>162F&amp;I Incentive (TFS) - Lexus</v>
      </c>
      <c r="L3729" s="311">
        <f>+SUMIF('TUNZ Extracted TB'!M:M,$P3729,'TUNZ Extracted TB'!G:G)</f>
        <v>0</v>
      </c>
      <c r="M3729" s="311"/>
      <c r="N3729" s="311">
        <f>+SUMIF('Input Sheet'!$AE:$AE,P3729,'Input Sheet'!$X:$X)</f>
        <v>0</v>
      </c>
      <c r="O3729" s="311"/>
      <c r="P3729" t="str">
        <f t="shared" si="313"/>
        <v>162-8570</v>
      </c>
      <c r="Q3729" s="315" t="str">
        <f t="shared" si="314"/>
        <v>LEX Admin &amp; Other</v>
      </c>
      <c r="R3729" s="315" t="str">
        <f t="shared" si="315"/>
        <v>LEX Admin &amp; OtherOther Overheads as % of Total Gross Profit</v>
      </c>
      <c r="S3729" s="199"/>
      <c r="T3729" s="199"/>
      <c r="U3729" s="199"/>
    </row>
    <row r="3730" spans="1:21" x14ac:dyDescent="0.25">
      <c r="A3730" t="s">
        <v>996</v>
      </c>
      <c r="B3730" t="s">
        <v>997</v>
      </c>
      <c r="C3730" t="s">
        <v>997</v>
      </c>
      <c r="D3730">
        <v>8570</v>
      </c>
      <c r="E3730">
        <v>122</v>
      </c>
      <c r="F3730" t="s">
        <v>1034</v>
      </c>
      <c r="G3730" t="s">
        <v>1035</v>
      </c>
      <c r="H3730" s="315" t="s">
        <v>1023</v>
      </c>
      <c r="I3730" s="315" t="s">
        <v>1001</v>
      </c>
      <c r="J3730" s="315" t="str">
        <f t="shared" si="311"/>
        <v>LEX Admin &amp; OtherOther Overheads as % of Total Gross Profit</v>
      </c>
      <c r="K3730" s="315" t="str">
        <f t="shared" si="312"/>
        <v>122New Vehicle Incentive - Lexus</v>
      </c>
      <c r="L3730" s="311">
        <f>+SUMIF('TUNZ Extracted TB'!M:M,$P3730,'TUNZ Extracted TB'!G:G)</f>
        <v>0</v>
      </c>
      <c r="M3730" s="311"/>
      <c r="N3730" s="311">
        <f>+SUMIF('Input Sheet'!$AE:$AE,P3730,'Input Sheet'!$X:$X)</f>
        <v>0</v>
      </c>
      <c r="O3730" s="311"/>
      <c r="P3730" t="str">
        <f t="shared" si="313"/>
        <v>122-8570</v>
      </c>
      <c r="Q3730" s="315" t="str">
        <f t="shared" si="314"/>
        <v>LEX Admin &amp; Other</v>
      </c>
      <c r="R3730" s="315" t="str">
        <f t="shared" si="315"/>
        <v>LEX Admin &amp; OtherOther Overheads as % of Total Gross Profit</v>
      </c>
      <c r="S3730" s="199"/>
      <c r="T3730" s="199"/>
      <c r="U3730" s="199"/>
    </row>
    <row r="3731" spans="1:21" x14ac:dyDescent="0.25">
      <c r="A3731" t="s">
        <v>996</v>
      </c>
      <c r="B3731" t="s">
        <v>997</v>
      </c>
      <c r="C3731" t="s">
        <v>997</v>
      </c>
      <c r="D3731">
        <v>8570</v>
      </c>
      <c r="E3731">
        <v>936</v>
      </c>
      <c r="F3731" t="s">
        <v>1175</v>
      </c>
      <c r="G3731" t="s">
        <v>1176</v>
      </c>
      <c r="H3731" s="315" t="s">
        <v>1023</v>
      </c>
      <c r="I3731" s="315" t="s">
        <v>1001</v>
      </c>
      <c r="J3731" s="315" t="str">
        <f t="shared" si="311"/>
        <v>LEX Admin &amp; OtherOther Overheads as % of Total Gross Profit</v>
      </c>
      <c r="K3731" s="315" t="str">
        <f t="shared" si="312"/>
        <v>936Other franchise/business expense</v>
      </c>
      <c r="L3731" s="311">
        <f>+SUMIF('TUNZ Extracted TB'!M:M,$P3731,'TUNZ Extracted TB'!G:G)</f>
        <v>0</v>
      </c>
      <c r="M3731" s="311"/>
      <c r="N3731" s="311">
        <f>+SUMIF('Input Sheet'!$AE:$AE,P3731,'Input Sheet'!$X:$X)</f>
        <v>0</v>
      </c>
      <c r="O3731" s="311"/>
      <c r="P3731" t="str">
        <f t="shared" si="313"/>
        <v>936-8570</v>
      </c>
      <c r="Q3731" s="315" t="str">
        <f t="shared" si="314"/>
        <v>LEX Admin &amp; Other</v>
      </c>
      <c r="R3731" s="315" t="str">
        <f t="shared" si="315"/>
        <v>LEX Admin &amp; OtherOther Overheads as % of Total Gross Profit</v>
      </c>
      <c r="S3731" s="199"/>
      <c r="T3731" s="199"/>
      <c r="U3731" s="199"/>
    </row>
    <row r="3732" spans="1:21" x14ac:dyDescent="0.25">
      <c r="A3732" t="s">
        <v>996</v>
      </c>
      <c r="B3732" t="s">
        <v>997</v>
      </c>
      <c r="C3732" t="s">
        <v>997</v>
      </c>
      <c r="D3732">
        <v>8570</v>
      </c>
      <c r="E3732">
        <v>935</v>
      </c>
      <c r="F3732" t="s">
        <v>1175</v>
      </c>
      <c r="G3732" t="s">
        <v>1176</v>
      </c>
      <c r="H3732" s="315" t="s">
        <v>1023</v>
      </c>
      <c r="I3732" s="315" t="s">
        <v>1001</v>
      </c>
      <c r="J3732" s="315" t="str">
        <f t="shared" si="311"/>
        <v>LEX Admin &amp; OtherOther Overheads as % of Total Gross Profit</v>
      </c>
      <c r="K3732" s="315" t="str">
        <f t="shared" si="312"/>
        <v>935Other franchise/business expense</v>
      </c>
      <c r="L3732" s="311">
        <f>+SUMIF('TUNZ Extracted TB'!M:M,$P3732,'TUNZ Extracted TB'!G:G)</f>
        <v>0</v>
      </c>
      <c r="M3732" s="311"/>
      <c r="N3732" s="311">
        <f>+SUMIF('Input Sheet'!$AE:$AE,P3732,'Input Sheet'!$X:$X)</f>
        <v>0</v>
      </c>
      <c r="O3732" s="311"/>
      <c r="P3732" t="str">
        <f t="shared" si="313"/>
        <v>935-8570</v>
      </c>
      <c r="Q3732" s="315" t="str">
        <f t="shared" si="314"/>
        <v>LEX Admin &amp; Other</v>
      </c>
      <c r="R3732" s="315" t="str">
        <f t="shared" si="315"/>
        <v>LEX Admin &amp; OtherOther Overheads as % of Total Gross Profit</v>
      </c>
      <c r="S3732" s="199"/>
      <c r="T3732" s="199"/>
      <c r="U3732" s="199"/>
    </row>
    <row r="3733" spans="1:21" x14ac:dyDescent="0.25">
      <c r="A3733" t="s">
        <v>996</v>
      </c>
      <c r="B3733" t="s">
        <v>997</v>
      </c>
      <c r="C3733" t="s">
        <v>1005</v>
      </c>
      <c r="D3733">
        <v>8570</v>
      </c>
      <c r="E3733">
        <v>230</v>
      </c>
      <c r="F3733" t="s">
        <v>1066</v>
      </c>
      <c r="G3733" t="s">
        <v>1067</v>
      </c>
      <c r="H3733" s="315" t="s">
        <v>1000</v>
      </c>
      <c r="I3733" s="315" t="s">
        <v>1001</v>
      </c>
      <c r="J3733" s="315" t="str">
        <f t="shared" si="311"/>
        <v>Admin &amp; OtherOther Overheads as % of Total Gross Profit</v>
      </c>
      <c r="K3733" s="315" t="str">
        <f t="shared" si="312"/>
        <v>230Parts Incentive - Toyota</v>
      </c>
      <c r="L3733" s="311">
        <f>+SUMIF('TUNZ Extracted TB'!M:M,$P3733,'TUNZ Extracted TB'!G:G)</f>
        <v>0</v>
      </c>
      <c r="M3733" s="311"/>
      <c r="N3733" s="311">
        <f>+SUMIF('Input Sheet'!$AE:$AE,P3733,'Input Sheet'!$X:$X)</f>
        <v>0</v>
      </c>
      <c r="O3733" s="311"/>
      <c r="P3733" t="str">
        <f t="shared" si="313"/>
        <v>230-8570</v>
      </c>
      <c r="Q3733" s="315" t="str">
        <f t="shared" si="314"/>
        <v>Admin &amp; Other</v>
      </c>
      <c r="R3733" s="315" t="str">
        <f t="shared" si="315"/>
        <v>Admin &amp; OtherOther Overheads as % of Total Gross Profit</v>
      </c>
      <c r="S3733" s="199"/>
      <c r="T3733" s="199"/>
      <c r="U3733" s="199"/>
    </row>
    <row r="3734" spans="1:21" x14ac:dyDescent="0.25">
      <c r="A3734" t="s">
        <v>996</v>
      </c>
      <c r="B3734" t="s">
        <v>997</v>
      </c>
      <c r="C3734" t="s">
        <v>1012</v>
      </c>
      <c r="D3734">
        <v>8570</v>
      </c>
      <c r="E3734">
        <v>430</v>
      </c>
      <c r="F3734" t="s">
        <v>1066</v>
      </c>
      <c r="G3734" t="s">
        <v>1067</v>
      </c>
      <c r="H3734" s="315" t="s">
        <v>1000</v>
      </c>
      <c r="I3734" s="315" t="s">
        <v>1001</v>
      </c>
      <c r="J3734" s="315" t="str">
        <f t="shared" si="311"/>
        <v>Admin &amp; OtherOther Overheads as % of Total Gross Profit</v>
      </c>
      <c r="K3734" s="315" t="str">
        <f t="shared" si="312"/>
        <v>430Parts Incentive - Toyota</v>
      </c>
      <c r="L3734" s="311">
        <f>+SUMIF('TUNZ Extracted TB'!M:M,$P3734,'TUNZ Extracted TB'!G:G)</f>
        <v>0</v>
      </c>
      <c r="M3734" s="311"/>
      <c r="N3734" s="311">
        <f>+SUMIF('Input Sheet'!$AE:$AE,P3734,'Input Sheet'!$X:$X)</f>
        <v>0</v>
      </c>
      <c r="O3734" s="311"/>
      <c r="P3734" t="str">
        <f t="shared" si="313"/>
        <v>430-8570</v>
      </c>
      <c r="Q3734" s="315" t="str">
        <f t="shared" si="314"/>
        <v>Admin &amp; Other</v>
      </c>
      <c r="R3734" s="315" t="str">
        <f t="shared" si="315"/>
        <v>Admin &amp; OtherOther Overheads as % of Total Gross Profit</v>
      </c>
      <c r="S3734" s="199"/>
      <c r="T3734" s="199"/>
      <c r="U3734" s="199"/>
    </row>
    <row r="3735" spans="1:21" x14ac:dyDescent="0.25">
      <c r="A3735" t="s">
        <v>996</v>
      </c>
      <c r="B3735" t="s">
        <v>997</v>
      </c>
      <c r="C3735" t="s">
        <v>1012</v>
      </c>
      <c r="D3735">
        <v>8570</v>
      </c>
      <c r="E3735">
        <v>440</v>
      </c>
      <c r="F3735" t="s">
        <v>1066</v>
      </c>
      <c r="G3735" t="s">
        <v>1067</v>
      </c>
      <c r="H3735" s="315" t="s">
        <v>1000</v>
      </c>
      <c r="I3735" s="315" t="s">
        <v>1001</v>
      </c>
      <c r="J3735" s="315" t="str">
        <f t="shared" si="311"/>
        <v>Admin &amp; OtherOther Overheads as % of Total Gross Profit</v>
      </c>
      <c r="K3735" s="315" t="str">
        <f t="shared" si="312"/>
        <v>440Parts Incentive - Toyota</v>
      </c>
      <c r="L3735" s="311">
        <f>+SUMIF('TUNZ Extracted TB'!M:M,$P3735,'TUNZ Extracted TB'!G:G)</f>
        <v>0</v>
      </c>
      <c r="M3735" s="311"/>
      <c r="N3735" s="311">
        <f>+SUMIF('Input Sheet'!$AE:$AE,P3735,'Input Sheet'!$X:$X)</f>
        <v>0</v>
      </c>
      <c r="O3735" s="311"/>
      <c r="P3735" t="str">
        <f t="shared" si="313"/>
        <v>440-8570</v>
      </c>
      <c r="Q3735" s="315" t="str">
        <f t="shared" si="314"/>
        <v>Admin &amp; Other</v>
      </c>
      <c r="R3735" s="315" t="str">
        <f t="shared" si="315"/>
        <v>Admin &amp; OtherOther Overheads as % of Total Gross Profit</v>
      </c>
      <c r="S3735" s="199"/>
      <c r="T3735" s="199"/>
      <c r="U3735" s="199"/>
    </row>
    <row r="3736" spans="1:21" x14ac:dyDescent="0.25">
      <c r="A3736" t="s">
        <v>996</v>
      </c>
      <c r="B3736" t="s">
        <v>997</v>
      </c>
      <c r="C3736" t="s">
        <v>1013</v>
      </c>
      <c r="D3736">
        <v>8570</v>
      </c>
      <c r="E3736">
        <v>330</v>
      </c>
      <c r="F3736" t="s">
        <v>1066</v>
      </c>
      <c r="G3736" t="s">
        <v>1067</v>
      </c>
      <c r="H3736" s="315" t="s">
        <v>1000</v>
      </c>
      <c r="I3736" s="315" t="s">
        <v>1001</v>
      </c>
      <c r="J3736" s="315" t="str">
        <f t="shared" si="311"/>
        <v>Admin &amp; OtherOther Overheads as % of Total Gross Profit</v>
      </c>
      <c r="K3736" s="315" t="str">
        <f t="shared" si="312"/>
        <v>330Parts Incentive - Toyota</v>
      </c>
      <c r="L3736" s="311">
        <f>+SUMIF('TUNZ Extracted TB'!M:M,$P3736,'TUNZ Extracted TB'!G:G)</f>
        <v>0</v>
      </c>
      <c r="M3736" s="311"/>
      <c r="N3736" s="311">
        <f>+SUMIF('Input Sheet'!$AE:$AE,P3736,'Input Sheet'!$X:$X)</f>
        <v>0</v>
      </c>
      <c r="O3736" s="311"/>
      <c r="P3736" t="str">
        <f t="shared" si="313"/>
        <v>330-8570</v>
      </c>
      <c r="Q3736" s="315" t="str">
        <f t="shared" si="314"/>
        <v>Admin &amp; Other</v>
      </c>
      <c r="R3736" s="315" t="str">
        <f t="shared" si="315"/>
        <v>Admin &amp; OtherOther Overheads as % of Total Gross Profit</v>
      </c>
      <c r="S3736" s="199"/>
      <c r="T3736" s="199"/>
      <c r="U3736" s="199"/>
    </row>
    <row r="3737" spans="1:21" x14ac:dyDescent="0.25">
      <c r="A3737" t="s">
        <v>996</v>
      </c>
      <c r="B3737" t="s">
        <v>997</v>
      </c>
      <c r="C3737" t="s">
        <v>1013</v>
      </c>
      <c r="D3737">
        <v>8570</v>
      </c>
      <c r="E3737">
        <v>340</v>
      </c>
      <c r="F3737" t="s">
        <v>1066</v>
      </c>
      <c r="G3737" t="s">
        <v>1067</v>
      </c>
      <c r="H3737" s="315" t="s">
        <v>1000</v>
      </c>
      <c r="I3737" s="315" t="s">
        <v>1001</v>
      </c>
      <c r="J3737" s="315" t="str">
        <f t="shared" si="311"/>
        <v>Admin &amp; OtherOther Overheads as % of Total Gross Profit</v>
      </c>
      <c r="K3737" s="315" t="str">
        <f t="shared" si="312"/>
        <v>340Parts Incentive - Toyota</v>
      </c>
      <c r="L3737" s="311">
        <f>+SUMIF('TUNZ Extracted TB'!M:M,$P3737,'TUNZ Extracted TB'!G:G)</f>
        <v>0</v>
      </c>
      <c r="M3737" s="311"/>
      <c r="N3737" s="311">
        <f>+SUMIF('Input Sheet'!$AE:$AE,P3737,'Input Sheet'!$X:$X)</f>
        <v>0</v>
      </c>
      <c r="O3737" s="311"/>
      <c r="P3737" t="str">
        <f t="shared" si="313"/>
        <v>340-8570</v>
      </c>
      <c r="Q3737" s="315" t="str">
        <f t="shared" si="314"/>
        <v>Admin &amp; Other</v>
      </c>
      <c r="R3737" s="315" t="str">
        <f t="shared" si="315"/>
        <v>Admin &amp; OtherOther Overheads as % of Total Gross Profit</v>
      </c>
      <c r="S3737" s="199"/>
      <c r="T3737" s="199"/>
      <c r="U3737" s="199"/>
    </row>
    <row r="3738" spans="1:21" x14ac:dyDescent="0.25">
      <c r="A3738" t="s">
        <v>996</v>
      </c>
      <c r="B3738" t="s">
        <v>997</v>
      </c>
      <c r="C3738" t="s">
        <v>997</v>
      </c>
      <c r="D3738">
        <v>8570</v>
      </c>
      <c r="E3738">
        <v>147</v>
      </c>
      <c r="F3738" t="s">
        <v>1066</v>
      </c>
      <c r="G3738" t="s">
        <v>1067</v>
      </c>
      <c r="H3738" s="315" t="s">
        <v>1000</v>
      </c>
      <c r="I3738" s="315" t="s">
        <v>1001</v>
      </c>
      <c r="J3738" s="315" t="str">
        <f t="shared" si="311"/>
        <v>Admin &amp; OtherOther Overheads as % of Total Gross Profit</v>
      </c>
      <c r="K3738" s="315" t="str">
        <f t="shared" si="312"/>
        <v>147Parts Incentive - Toyota</v>
      </c>
      <c r="L3738" s="311">
        <f>+SUMIF('TUNZ Extracted TB'!M:M,$P3738,'TUNZ Extracted TB'!G:G)</f>
        <v>0</v>
      </c>
      <c r="M3738" s="311"/>
      <c r="N3738" s="311">
        <f>+SUMIF('Input Sheet'!$AE:$AE,P3738,'Input Sheet'!$X:$X)</f>
        <v>0</v>
      </c>
      <c r="O3738" s="311"/>
      <c r="P3738" t="str">
        <f t="shared" si="313"/>
        <v>147-8570</v>
      </c>
      <c r="Q3738" s="315" t="str">
        <f t="shared" si="314"/>
        <v>Admin &amp; Other</v>
      </c>
      <c r="R3738" s="315" t="str">
        <f t="shared" si="315"/>
        <v>Admin &amp; OtherOther Overheads as % of Total Gross Profit</v>
      </c>
      <c r="S3738" s="199"/>
      <c r="T3738" s="199"/>
      <c r="U3738" s="199"/>
    </row>
    <row r="3739" spans="1:21" x14ac:dyDescent="0.25">
      <c r="A3739" t="s">
        <v>996</v>
      </c>
      <c r="B3739" t="s">
        <v>997</v>
      </c>
      <c r="C3739" t="s">
        <v>997</v>
      </c>
      <c r="D3739">
        <v>8570</v>
      </c>
      <c r="E3739">
        <v>140</v>
      </c>
      <c r="F3739" t="s">
        <v>1066</v>
      </c>
      <c r="G3739" t="s">
        <v>1067</v>
      </c>
      <c r="H3739" s="315" t="s">
        <v>1000</v>
      </c>
      <c r="I3739" s="315" t="s">
        <v>1001</v>
      </c>
      <c r="J3739" s="315" t="str">
        <f t="shared" si="311"/>
        <v>Admin &amp; OtherOther Overheads as % of Total Gross Profit</v>
      </c>
      <c r="K3739" s="315" t="str">
        <f t="shared" si="312"/>
        <v>140Parts Incentive - Toyota</v>
      </c>
      <c r="L3739" s="311">
        <f>+SUMIF('TUNZ Extracted TB'!M:M,$P3739,'TUNZ Extracted TB'!G:G)</f>
        <v>0</v>
      </c>
      <c r="M3739" s="311"/>
      <c r="N3739" s="311">
        <f>+SUMIF('Input Sheet'!$AE:$AE,P3739,'Input Sheet'!$X:$X)</f>
        <v>0</v>
      </c>
      <c r="O3739" s="311"/>
      <c r="P3739" t="str">
        <f t="shared" si="313"/>
        <v>140-8570</v>
      </c>
      <c r="Q3739" s="315" t="str">
        <f t="shared" si="314"/>
        <v>Admin &amp; Other</v>
      </c>
      <c r="R3739" s="315" t="str">
        <f t="shared" si="315"/>
        <v>Admin &amp; OtherOther Overheads as % of Total Gross Profit</v>
      </c>
      <c r="S3739" s="199"/>
      <c r="T3739" s="199"/>
      <c r="U3739" s="199"/>
    </row>
    <row r="3740" spans="1:21" x14ac:dyDescent="0.25">
      <c r="A3740" t="s">
        <v>996</v>
      </c>
      <c r="B3740" t="s">
        <v>997</v>
      </c>
      <c r="C3740" t="s">
        <v>997</v>
      </c>
      <c r="D3740">
        <v>8570</v>
      </c>
      <c r="E3740">
        <v>142</v>
      </c>
      <c r="F3740" t="s">
        <v>1460</v>
      </c>
      <c r="G3740" t="s">
        <v>1461</v>
      </c>
      <c r="H3740" s="315" t="s">
        <v>1023</v>
      </c>
      <c r="I3740" s="315" t="s">
        <v>1001</v>
      </c>
      <c r="J3740" s="315" t="str">
        <f t="shared" si="311"/>
        <v>LEX Admin &amp; OtherOther Overheads as % of Total Gross Profit</v>
      </c>
      <c r="K3740" s="315" t="str">
        <f t="shared" si="312"/>
        <v>142Other Income - Lexus</v>
      </c>
      <c r="L3740" s="311">
        <f>+SUMIF('TUNZ Extracted TB'!M:M,$P3740,'TUNZ Extracted TB'!G:G)</f>
        <v>0</v>
      </c>
      <c r="M3740" s="311"/>
      <c r="N3740" s="311">
        <f>+SUMIF('Input Sheet'!$AE:$AE,P3740,'Input Sheet'!$X:$X)</f>
        <v>0</v>
      </c>
      <c r="O3740" s="311"/>
      <c r="P3740" t="str">
        <f t="shared" si="313"/>
        <v>142-8570</v>
      </c>
      <c r="Q3740" s="315" t="str">
        <f t="shared" si="314"/>
        <v>LEX Admin &amp; Other</v>
      </c>
      <c r="R3740" s="315" t="str">
        <f t="shared" si="315"/>
        <v>LEX Admin &amp; OtherOther Overheads as % of Total Gross Profit</v>
      </c>
      <c r="S3740" s="199"/>
      <c r="T3740" s="199"/>
      <c r="U3740" s="199"/>
    </row>
    <row r="3741" spans="1:21" x14ac:dyDescent="0.25">
      <c r="A3741" t="s">
        <v>996</v>
      </c>
      <c r="B3741" t="s">
        <v>997</v>
      </c>
      <c r="C3741" t="s">
        <v>997</v>
      </c>
      <c r="D3741">
        <v>8570</v>
      </c>
      <c r="E3741">
        <v>132</v>
      </c>
      <c r="F3741" t="s">
        <v>1464</v>
      </c>
      <c r="G3741" t="s">
        <v>1465</v>
      </c>
      <c r="H3741" s="315" t="s">
        <v>1023</v>
      </c>
      <c r="I3741" s="315" t="s">
        <v>1001</v>
      </c>
      <c r="J3741" s="315" t="str">
        <f t="shared" si="311"/>
        <v>LEX Admin &amp; OtherOther Overheads as % of Total Gross Profit</v>
      </c>
      <c r="K3741" s="315" t="str">
        <f t="shared" si="312"/>
        <v>132Parts Incentive - Lexus</v>
      </c>
      <c r="L3741" s="311">
        <f>+SUMIF('TUNZ Extracted TB'!M:M,$P3741,'TUNZ Extracted TB'!G:G)</f>
        <v>0</v>
      </c>
      <c r="M3741" s="311"/>
      <c r="N3741" s="311">
        <f>+SUMIF('Input Sheet'!$AE:$AE,P3741,'Input Sheet'!$X:$X)</f>
        <v>0</v>
      </c>
      <c r="O3741" s="311"/>
      <c r="P3741" t="str">
        <f t="shared" si="313"/>
        <v>132-8570</v>
      </c>
      <c r="Q3741" s="315" t="str">
        <f t="shared" si="314"/>
        <v>LEX Admin &amp; Other</v>
      </c>
      <c r="R3741" s="315" t="str">
        <f t="shared" si="315"/>
        <v>LEX Admin &amp; OtherOther Overheads as % of Total Gross Profit</v>
      </c>
      <c r="S3741" s="199"/>
      <c r="T3741" s="199"/>
      <c r="U3741" s="199"/>
    </row>
    <row r="3742" spans="1:21" x14ac:dyDescent="0.25">
      <c r="A3742" t="s">
        <v>996</v>
      </c>
      <c r="B3742" t="s">
        <v>997</v>
      </c>
      <c r="C3742" t="s">
        <v>997</v>
      </c>
      <c r="D3742">
        <v>8570</v>
      </c>
      <c r="E3742">
        <v>100</v>
      </c>
      <c r="F3742" t="s">
        <v>1462</v>
      </c>
      <c r="G3742" t="s">
        <v>1463</v>
      </c>
      <c r="H3742" s="315" t="s">
        <v>1000</v>
      </c>
      <c r="I3742" s="315" t="s">
        <v>1001</v>
      </c>
      <c r="J3742" s="315" t="str">
        <f t="shared" si="311"/>
        <v>Admin &amp; OtherOther Overheads as % of Total Gross Profit</v>
      </c>
      <c r="K3742" s="315" t="str">
        <f t="shared" si="312"/>
        <v>100DGF income - Toyota</v>
      </c>
      <c r="L3742" s="311">
        <f>+SUMIF('TUNZ Extracted TB'!M:M,$P3742,'TUNZ Extracted TB'!G:G)</f>
        <v>0</v>
      </c>
      <c r="M3742" s="311"/>
      <c r="N3742" s="311">
        <f>+SUMIF('Input Sheet'!$AE:$AE,P3742,'Input Sheet'!$X:$X)</f>
        <v>0</v>
      </c>
      <c r="O3742" s="311"/>
      <c r="P3742" t="str">
        <f t="shared" si="313"/>
        <v>100-8570</v>
      </c>
      <c r="Q3742" s="315" t="str">
        <f t="shared" si="314"/>
        <v>Admin &amp; Other</v>
      </c>
      <c r="R3742" s="315" t="str">
        <f t="shared" si="315"/>
        <v>Admin &amp; OtherOther Overheads as % of Total Gross Profit</v>
      </c>
      <c r="S3742" s="199"/>
      <c r="T3742" s="199"/>
      <c r="U3742" s="199"/>
    </row>
    <row r="3743" spans="1:21" x14ac:dyDescent="0.25">
      <c r="A3743" t="s">
        <v>996</v>
      </c>
      <c r="B3743" t="s">
        <v>997</v>
      </c>
      <c r="C3743" t="s">
        <v>997</v>
      </c>
      <c r="D3743">
        <v>8570</v>
      </c>
      <c r="E3743">
        <v>130</v>
      </c>
      <c r="F3743" t="s">
        <v>1066</v>
      </c>
      <c r="G3743" t="s">
        <v>1067</v>
      </c>
      <c r="H3743" s="315" t="s">
        <v>1000</v>
      </c>
      <c r="I3743" s="315" t="s">
        <v>1001</v>
      </c>
      <c r="J3743" s="315" t="str">
        <f t="shared" si="311"/>
        <v>Admin &amp; OtherOther Overheads as % of Total Gross Profit</v>
      </c>
      <c r="K3743" s="315" t="str">
        <f t="shared" si="312"/>
        <v>130Parts Incentive - Toyota</v>
      </c>
      <c r="L3743" s="311">
        <f>+SUMIF('TUNZ Extracted TB'!M:M,$P3743,'TUNZ Extracted TB'!G:G)</f>
        <v>0</v>
      </c>
      <c r="M3743" s="311"/>
      <c r="N3743" s="311">
        <f>+SUMIF('Input Sheet'!$AE:$AE,P3743,'Input Sheet'!$X:$X)</f>
        <v>0</v>
      </c>
      <c r="O3743" s="311"/>
      <c r="P3743" t="str">
        <f t="shared" si="313"/>
        <v>130-8570</v>
      </c>
      <c r="Q3743" s="315" t="str">
        <f t="shared" si="314"/>
        <v>Admin &amp; Other</v>
      </c>
      <c r="R3743" s="315" t="str">
        <f t="shared" si="315"/>
        <v>Admin &amp; OtherOther Overheads as % of Total Gross Profit</v>
      </c>
      <c r="S3743" s="199"/>
      <c r="T3743" s="199"/>
      <c r="U3743" s="199"/>
    </row>
    <row r="3744" spans="1:21" x14ac:dyDescent="0.25">
      <c r="A3744" t="s">
        <v>996</v>
      </c>
      <c r="B3744" t="s">
        <v>997</v>
      </c>
      <c r="C3744" t="s">
        <v>997</v>
      </c>
      <c r="D3744">
        <v>8570</v>
      </c>
      <c r="E3744">
        <v>110</v>
      </c>
      <c r="F3744" t="s">
        <v>1462</v>
      </c>
      <c r="G3744" t="s">
        <v>1463</v>
      </c>
      <c r="H3744" s="315" t="s">
        <v>1000</v>
      </c>
      <c r="I3744" s="315" t="s">
        <v>1001</v>
      </c>
      <c r="J3744" s="315" t="str">
        <f t="shared" si="311"/>
        <v>Admin &amp; OtherOther Overheads as % of Total Gross Profit</v>
      </c>
      <c r="K3744" s="315" t="str">
        <f t="shared" si="312"/>
        <v>110DGF income - Toyota</v>
      </c>
      <c r="L3744" s="311">
        <f>+SUMIF('TUNZ Extracted TB'!M:M,$P3744,'TUNZ Extracted TB'!G:G)</f>
        <v>0</v>
      </c>
      <c r="M3744" s="311"/>
      <c r="N3744" s="311">
        <f>+SUMIF('Input Sheet'!$AE:$AE,P3744,'Input Sheet'!$X:$X)</f>
        <v>0</v>
      </c>
      <c r="O3744" s="311"/>
      <c r="P3744" t="str">
        <f t="shared" si="313"/>
        <v>110-8570</v>
      </c>
      <c r="Q3744" s="315" t="str">
        <f t="shared" si="314"/>
        <v>Admin &amp; Other</v>
      </c>
      <c r="R3744" s="315" t="str">
        <f t="shared" si="315"/>
        <v>Admin &amp; OtherOther Overheads as % of Total Gross Profit</v>
      </c>
      <c r="S3744" s="199"/>
      <c r="T3744" s="199"/>
      <c r="U3744" s="199"/>
    </row>
    <row r="3745" spans="1:21" x14ac:dyDescent="0.25">
      <c r="A3745" t="s">
        <v>996</v>
      </c>
      <c r="B3745" t="s">
        <v>997</v>
      </c>
      <c r="C3745" t="s">
        <v>997</v>
      </c>
      <c r="D3745">
        <v>8570</v>
      </c>
      <c r="E3745">
        <v>112</v>
      </c>
      <c r="F3745" t="s">
        <v>1034</v>
      </c>
      <c r="G3745" t="s">
        <v>1035</v>
      </c>
      <c r="H3745" s="315" t="s">
        <v>1023</v>
      </c>
      <c r="I3745" s="315" t="s">
        <v>1001</v>
      </c>
      <c r="J3745" s="315" t="str">
        <f t="shared" si="311"/>
        <v>LEX Admin &amp; OtherOther Overheads as % of Total Gross Profit</v>
      </c>
      <c r="K3745" s="315" t="str">
        <f t="shared" si="312"/>
        <v>112New Vehicle Incentive - Lexus</v>
      </c>
      <c r="L3745" s="311">
        <f>+SUMIF('TUNZ Extracted TB'!M:M,$P3745,'TUNZ Extracted TB'!G:G)</f>
        <v>0</v>
      </c>
      <c r="M3745" s="311"/>
      <c r="N3745" s="311">
        <f>+SUMIF('Input Sheet'!$AE:$AE,P3745,'Input Sheet'!$X:$X)</f>
        <v>0</v>
      </c>
      <c r="O3745" s="311"/>
      <c r="P3745" t="str">
        <f t="shared" si="313"/>
        <v>112-8570</v>
      </c>
      <c r="Q3745" s="315" t="str">
        <f t="shared" si="314"/>
        <v>LEX Admin &amp; Other</v>
      </c>
      <c r="R3745" s="315" t="str">
        <f t="shared" si="315"/>
        <v>LEX Admin &amp; OtherOther Overheads as % of Total Gross Profit</v>
      </c>
      <c r="S3745" s="199"/>
      <c r="T3745" s="199"/>
      <c r="U3745" s="199"/>
    </row>
    <row r="3746" spans="1:21" x14ac:dyDescent="0.25">
      <c r="A3746" t="s">
        <v>996</v>
      </c>
      <c r="B3746" t="s">
        <v>997</v>
      </c>
      <c r="C3746" t="s">
        <v>997</v>
      </c>
      <c r="D3746">
        <v>8800</v>
      </c>
      <c r="E3746">
        <v>122</v>
      </c>
      <c r="F3746" t="s">
        <v>1366</v>
      </c>
      <c r="G3746" t="s">
        <v>1367</v>
      </c>
      <c r="H3746" s="315" t="s">
        <v>1023</v>
      </c>
      <c r="I3746" s="315" t="s">
        <v>1001</v>
      </c>
      <c r="J3746" s="315" t="str">
        <f t="shared" si="311"/>
        <v>LEX Admin &amp; OtherOther Overheads as % of Total Gross Profit</v>
      </c>
      <c r="K3746" s="315" t="str">
        <f t="shared" si="312"/>
        <v>122Bad Debts - Lexus</v>
      </c>
      <c r="L3746" s="311">
        <f>+SUMIF('TUNZ Extracted TB'!M:M,$P3746,'TUNZ Extracted TB'!G:G)</f>
        <v>0</v>
      </c>
      <c r="M3746" s="311"/>
      <c r="N3746" s="311">
        <f>+SUMIF('Input Sheet'!$AE:$AE,P3746,'Input Sheet'!$X:$X)</f>
        <v>0</v>
      </c>
      <c r="O3746" s="311"/>
      <c r="P3746" t="str">
        <f t="shared" si="313"/>
        <v>122-8800</v>
      </c>
      <c r="Q3746" s="315" t="str">
        <f t="shared" si="314"/>
        <v>LEX Admin &amp; Other</v>
      </c>
      <c r="R3746" s="315" t="str">
        <f t="shared" si="315"/>
        <v>LEX Admin &amp; OtherOther Overheads as % of Total Gross Profit</v>
      </c>
      <c r="S3746" s="199"/>
      <c r="T3746" s="199"/>
      <c r="U3746" s="199"/>
    </row>
    <row r="3747" spans="1:21" x14ac:dyDescent="0.25">
      <c r="A3747" t="s">
        <v>996</v>
      </c>
      <c r="B3747" t="s">
        <v>997</v>
      </c>
      <c r="C3747" t="s">
        <v>997</v>
      </c>
      <c r="D3747">
        <v>8800</v>
      </c>
      <c r="E3747">
        <v>162</v>
      </c>
      <c r="F3747" t="s">
        <v>1366</v>
      </c>
      <c r="G3747" t="s">
        <v>1367</v>
      </c>
      <c r="H3747" s="315" t="s">
        <v>1023</v>
      </c>
      <c r="I3747" s="315" t="s">
        <v>1001</v>
      </c>
      <c r="J3747" s="315" t="str">
        <f t="shared" si="311"/>
        <v>LEX Admin &amp; OtherOther Overheads as % of Total Gross Profit</v>
      </c>
      <c r="K3747" s="315" t="str">
        <f t="shared" si="312"/>
        <v>162Bad Debts - Lexus</v>
      </c>
      <c r="L3747" s="311">
        <f>+SUMIF('TUNZ Extracted TB'!M:M,$P3747,'TUNZ Extracted TB'!G:G)</f>
        <v>0</v>
      </c>
      <c r="M3747" s="311"/>
      <c r="N3747" s="311">
        <f>+SUMIF('Input Sheet'!$AE:$AE,P3747,'Input Sheet'!$X:$X)</f>
        <v>0</v>
      </c>
      <c r="O3747" s="311"/>
      <c r="P3747" t="str">
        <f t="shared" si="313"/>
        <v>162-8800</v>
      </c>
      <c r="Q3747" s="315" t="str">
        <f t="shared" si="314"/>
        <v>LEX Admin &amp; Other</v>
      </c>
      <c r="R3747" s="315" t="str">
        <f t="shared" si="315"/>
        <v>LEX Admin &amp; OtherOther Overheads as % of Total Gross Profit</v>
      </c>
      <c r="S3747" s="199"/>
      <c r="T3747" s="199"/>
      <c r="U3747" s="199"/>
    </row>
    <row r="3748" spans="1:21" x14ac:dyDescent="0.25">
      <c r="A3748" t="s">
        <v>996</v>
      </c>
      <c r="B3748" t="s">
        <v>997</v>
      </c>
      <c r="C3748" t="s">
        <v>1005</v>
      </c>
      <c r="D3748">
        <v>8800</v>
      </c>
      <c r="E3748">
        <v>200</v>
      </c>
      <c r="F3748" t="s">
        <v>1364</v>
      </c>
      <c r="G3748" t="s">
        <v>1365</v>
      </c>
      <c r="H3748" s="315" t="s">
        <v>1000</v>
      </c>
      <c r="I3748" s="315" t="s">
        <v>1001</v>
      </c>
      <c r="J3748" s="315" t="str">
        <f t="shared" si="311"/>
        <v>Admin &amp; OtherOther Overheads as % of Total Gross Profit</v>
      </c>
      <c r="K3748" s="315" t="str">
        <f t="shared" si="312"/>
        <v>200Bad Debts - Toyota</v>
      </c>
      <c r="L3748" s="311">
        <f>+SUMIF('TUNZ Extracted TB'!M:M,$P3748,'TUNZ Extracted TB'!G:G)</f>
        <v>0</v>
      </c>
      <c r="M3748" s="311"/>
      <c r="N3748" s="311">
        <f>+SUMIF('Input Sheet'!$AE:$AE,P3748,'Input Sheet'!$X:$X)</f>
        <v>0</v>
      </c>
      <c r="O3748" s="311"/>
      <c r="P3748" t="str">
        <f t="shared" si="313"/>
        <v>200-8800</v>
      </c>
      <c r="Q3748" s="315" t="str">
        <f t="shared" si="314"/>
        <v>Admin &amp; Other</v>
      </c>
      <c r="R3748" s="315" t="str">
        <f t="shared" si="315"/>
        <v>Admin &amp; OtherOther Overheads as % of Total Gross Profit</v>
      </c>
      <c r="S3748" s="199"/>
      <c r="T3748" s="199"/>
      <c r="U3748" s="199"/>
    </row>
    <row r="3749" spans="1:21" x14ac:dyDescent="0.25">
      <c r="A3749" t="s">
        <v>996</v>
      </c>
      <c r="B3749" t="s">
        <v>997</v>
      </c>
      <c r="C3749" t="s">
        <v>1005</v>
      </c>
      <c r="D3749">
        <v>8800</v>
      </c>
      <c r="E3749">
        <v>210</v>
      </c>
      <c r="F3749" t="s">
        <v>1364</v>
      </c>
      <c r="G3749" t="s">
        <v>1365</v>
      </c>
      <c r="H3749" s="315" t="s">
        <v>1000</v>
      </c>
      <c r="I3749" s="315" t="s">
        <v>1001</v>
      </c>
      <c r="J3749" s="315" t="str">
        <f t="shared" si="311"/>
        <v>Admin &amp; OtherOther Overheads as % of Total Gross Profit</v>
      </c>
      <c r="K3749" s="315" t="str">
        <f t="shared" si="312"/>
        <v>210Bad Debts - Toyota</v>
      </c>
      <c r="L3749" s="311">
        <f>+SUMIF('TUNZ Extracted TB'!M:M,$P3749,'TUNZ Extracted TB'!G:G)</f>
        <v>0</v>
      </c>
      <c r="M3749" s="311"/>
      <c r="N3749" s="311">
        <f>+SUMIF('Input Sheet'!$AE:$AE,P3749,'Input Sheet'!$X:$X)</f>
        <v>0</v>
      </c>
      <c r="O3749" s="311"/>
      <c r="P3749" t="str">
        <f t="shared" si="313"/>
        <v>210-8800</v>
      </c>
      <c r="Q3749" s="315" t="str">
        <f t="shared" si="314"/>
        <v>Admin &amp; Other</v>
      </c>
      <c r="R3749" s="315" t="str">
        <f t="shared" si="315"/>
        <v>Admin &amp; OtherOther Overheads as % of Total Gross Profit</v>
      </c>
      <c r="S3749" s="199"/>
      <c r="T3749" s="199"/>
      <c r="U3749" s="199"/>
    </row>
    <row r="3750" spans="1:21" x14ac:dyDescent="0.25">
      <c r="A3750" t="s">
        <v>996</v>
      </c>
      <c r="B3750" t="s">
        <v>997</v>
      </c>
      <c r="C3750" t="s">
        <v>1005</v>
      </c>
      <c r="D3750">
        <v>8800</v>
      </c>
      <c r="E3750">
        <v>220</v>
      </c>
      <c r="F3750" t="s">
        <v>1364</v>
      </c>
      <c r="G3750" t="s">
        <v>1365</v>
      </c>
      <c r="H3750" s="315" t="s">
        <v>1000</v>
      </c>
      <c r="I3750" s="315" t="s">
        <v>1001</v>
      </c>
      <c r="J3750" s="315" t="str">
        <f t="shared" si="311"/>
        <v>Admin &amp; OtherOther Overheads as % of Total Gross Profit</v>
      </c>
      <c r="K3750" s="315" t="str">
        <f t="shared" si="312"/>
        <v>220Bad Debts - Toyota</v>
      </c>
      <c r="L3750" s="311">
        <f>+SUMIF('TUNZ Extracted TB'!M:M,$P3750,'TUNZ Extracted TB'!G:G)</f>
        <v>0</v>
      </c>
      <c r="M3750" s="311"/>
      <c r="N3750" s="311">
        <f>+SUMIF('Input Sheet'!$AE:$AE,P3750,'Input Sheet'!$X:$X)</f>
        <v>0</v>
      </c>
      <c r="O3750" s="311"/>
      <c r="P3750" t="str">
        <f t="shared" si="313"/>
        <v>220-8800</v>
      </c>
      <c r="Q3750" s="315" t="str">
        <f t="shared" si="314"/>
        <v>Admin &amp; Other</v>
      </c>
      <c r="R3750" s="315" t="str">
        <f t="shared" si="315"/>
        <v>Admin &amp; OtherOther Overheads as % of Total Gross Profit</v>
      </c>
      <c r="S3750" s="199"/>
      <c r="T3750" s="199"/>
      <c r="U3750" s="199"/>
    </row>
    <row r="3751" spans="1:21" x14ac:dyDescent="0.25">
      <c r="A3751" t="s">
        <v>996</v>
      </c>
      <c r="B3751" t="s">
        <v>997</v>
      </c>
      <c r="C3751" t="s">
        <v>1005</v>
      </c>
      <c r="D3751">
        <v>8800</v>
      </c>
      <c r="E3751">
        <v>221</v>
      </c>
      <c r="F3751" t="s">
        <v>1364</v>
      </c>
      <c r="G3751" t="s">
        <v>1365</v>
      </c>
      <c r="H3751" s="315" t="s">
        <v>1000</v>
      </c>
      <c r="I3751" s="315" t="s">
        <v>1001</v>
      </c>
      <c r="J3751" s="315" t="str">
        <f t="shared" si="311"/>
        <v>Admin &amp; OtherOther Overheads as % of Total Gross Profit</v>
      </c>
      <c r="K3751" s="315" t="str">
        <f t="shared" si="312"/>
        <v>221Bad Debts - Toyota</v>
      </c>
      <c r="L3751" s="311">
        <f>+SUMIF('TUNZ Extracted TB'!M:M,$P3751,'TUNZ Extracted TB'!G:G)</f>
        <v>0</v>
      </c>
      <c r="M3751" s="311"/>
      <c r="N3751" s="311">
        <f>+SUMIF('Input Sheet'!$AE:$AE,P3751,'Input Sheet'!$X:$X)</f>
        <v>0</v>
      </c>
      <c r="O3751" s="311"/>
      <c r="P3751" t="str">
        <f t="shared" si="313"/>
        <v>221-8800</v>
      </c>
      <c r="Q3751" s="315" t="str">
        <f t="shared" si="314"/>
        <v>Admin &amp; Other</v>
      </c>
      <c r="R3751" s="315" t="str">
        <f t="shared" si="315"/>
        <v>Admin &amp; OtherOther Overheads as % of Total Gross Profit</v>
      </c>
      <c r="S3751" s="199"/>
      <c r="T3751" s="199"/>
      <c r="U3751" s="199"/>
    </row>
    <row r="3752" spans="1:21" x14ac:dyDescent="0.25">
      <c r="A3752" t="s">
        <v>996</v>
      </c>
      <c r="B3752" t="s">
        <v>997</v>
      </c>
      <c r="C3752" t="s">
        <v>1005</v>
      </c>
      <c r="D3752">
        <v>8800</v>
      </c>
      <c r="E3752">
        <v>230</v>
      </c>
      <c r="F3752" t="s">
        <v>1364</v>
      </c>
      <c r="G3752" t="s">
        <v>1365</v>
      </c>
      <c r="H3752" s="315" t="s">
        <v>1000</v>
      </c>
      <c r="I3752" s="315" t="s">
        <v>1001</v>
      </c>
      <c r="J3752" s="315" t="str">
        <f t="shared" si="311"/>
        <v>Admin &amp; OtherOther Overheads as % of Total Gross Profit</v>
      </c>
      <c r="K3752" s="315" t="str">
        <f t="shared" si="312"/>
        <v>230Bad Debts - Toyota</v>
      </c>
      <c r="L3752" s="311">
        <f>+SUMIF('TUNZ Extracted TB'!M:M,$P3752,'TUNZ Extracted TB'!G:G)</f>
        <v>0</v>
      </c>
      <c r="M3752" s="311"/>
      <c r="N3752" s="311">
        <f>+SUMIF('Input Sheet'!$AE:$AE,P3752,'Input Sheet'!$X:$X)</f>
        <v>0</v>
      </c>
      <c r="O3752" s="311"/>
      <c r="P3752" t="str">
        <f t="shared" si="313"/>
        <v>230-8800</v>
      </c>
      <c r="Q3752" s="315" t="str">
        <f t="shared" si="314"/>
        <v>Admin &amp; Other</v>
      </c>
      <c r="R3752" s="315" t="str">
        <f t="shared" si="315"/>
        <v>Admin &amp; OtherOther Overheads as % of Total Gross Profit</v>
      </c>
      <c r="S3752" s="199"/>
      <c r="T3752" s="199"/>
      <c r="U3752" s="199"/>
    </row>
    <row r="3753" spans="1:21" x14ac:dyDescent="0.25">
      <c r="A3753" t="s">
        <v>996</v>
      </c>
      <c r="B3753" t="s">
        <v>997</v>
      </c>
      <c r="C3753" t="s">
        <v>1005</v>
      </c>
      <c r="D3753">
        <v>8800</v>
      </c>
      <c r="E3753">
        <v>240</v>
      </c>
      <c r="F3753" t="s">
        <v>1364</v>
      </c>
      <c r="G3753" t="s">
        <v>1365</v>
      </c>
      <c r="H3753" s="315" t="s">
        <v>1000</v>
      </c>
      <c r="I3753" s="315" t="s">
        <v>1001</v>
      </c>
      <c r="J3753" s="315" t="str">
        <f t="shared" si="311"/>
        <v>Admin &amp; OtherOther Overheads as % of Total Gross Profit</v>
      </c>
      <c r="K3753" s="315" t="str">
        <f t="shared" si="312"/>
        <v>240Bad Debts - Toyota</v>
      </c>
      <c r="L3753" s="311">
        <f>+SUMIF('TUNZ Extracted TB'!M:M,$P3753,'TUNZ Extracted TB'!G:G)</f>
        <v>0</v>
      </c>
      <c r="M3753" s="311"/>
      <c r="N3753" s="311">
        <f>+SUMIF('Input Sheet'!$AE:$AE,P3753,'Input Sheet'!$X:$X)</f>
        <v>0</v>
      </c>
      <c r="O3753" s="311"/>
      <c r="P3753" t="str">
        <f t="shared" si="313"/>
        <v>240-8800</v>
      </c>
      <c r="Q3753" s="315" t="str">
        <f t="shared" si="314"/>
        <v>Admin &amp; Other</v>
      </c>
      <c r="R3753" s="315" t="str">
        <f t="shared" si="315"/>
        <v>Admin &amp; OtherOther Overheads as % of Total Gross Profit</v>
      </c>
      <c r="S3753" s="199"/>
      <c r="T3753" s="199"/>
      <c r="U3753" s="199"/>
    </row>
    <row r="3754" spans="1:21" x14ac:dyDescent="0.25">
      <c r="A3754" t="s">
        <v>996</v>
      </c>
      <c r="B3754" t="s">
        <v>997</v>
      </c>
      <c r="C3754" t="s">
        <v>1005</v>
      </c>
      <c r="D3754">
        <v>8800</v>
      </c>
      <c r="E3754">
        <v>260</v>
      </c>
      <c r="F3754" t="s">
        <v>1364</v>
      </c>
      <c r="G3754" t="s">
        <v>1365</v>
      </c>
      <c r="H3754" s="315" t="s">
        <v>1000</v>
      </c>
      <c r="I3754" s="315" t="s">
        <v>1001</v>
      </c>
      <c r="J3754" s="315" t="str">
        <f t="shared" si="311"/>
        <v>Admin &amp; OtherOther Overheads as % of Total Gross Profit</v>
      </c>
      <c r="K3754" s="315" t="str">
        <f t="shared" si="312"/>
        <v>260Bad Debts - Toyota</v>
      </c>
      <c r="L3754" s="311">
        <f>+SUMIF('TUNZ Extracted TB'!M:M,$P3754,'TUNZ Extracted TB'!G:G)</f>
        <v>0</v>
      </c>
      <c r="M3754" s="311"/>
      <c r="N3754" s="311">
        <f>+SUMIF('Input Sheet'!$AE:$AE,P3754,'Input Sheet'!$X:$X)</f>
        <v>0</v>
      </c>
      <c r="O3754" s="311"/>
      <c r="P3754" t="str">
        <f t="shared" si="313"/>
        <v>260-8800</v>
      </c>
      <c r="Q3754" s="315" t="str">
        <f t="shared" si="314"/>
        <v>Admin &amp; Other</v>
      </c>
      <c r="R3754" s="315" t="str">
        <f t="shared" si="315"/>
        <v>Admin &amp; OtherOther Overheads as % of Total Gross Profit</v>
      </c>
      <c r="S3754" s="199"/>
      <c r="T3754" s="199"/>
      <c r="U3754" s="199"/>
    </row>
    <row r="3755" spans="1:21" x14ac:dyDescent="0.25">
      <c r="A3755" t="s">
        <v>996</v>
      </c>
      <c r="B3755" t="s">
        <v>997</v>
      </c>
      <c r="C3755" t="s">
        <v>1012</v>
      </c>
      <c r="D3755">
        <v>8800</v>
      </c>
      <c r="E3755">
        <v>400</v>
      </c>
      <c r="F3755" t="s">
        <v>1364</v>
      </c>
      <c r="G3755" t="s">
        <v>1365</v>
      </c>
      <c r="H3755" s="315" t="s">
        <v>1000</v>
      </c>
      <c r="I3755" s="315" t="s">
        <v>1001</v>
      </c>
      <c r="J3755" s="315" t="str">
        <f t="shared" si="311"/>
        <v>Admin &amp; OtherOther Overheads as % of Total Gross Profit</v>
      </c>
      <c r="K3755" s="315" t="str">
        <f t="shared" si="312"/>
        <v>400Bad Debts - Toyota</v>
      </c>
      <c r="L3755" s="311">
        <f>+SUMIF('TUNZ Extracted TB'!M:M,$P3755,'TUNZ Extracted TB'!G:G)</f>
        <v>0</v>
      </c>
      <c r="M3755" s="311"/>
      <c r="N3755" s="311">
        <f>+SUMIF('Input Sheet'!$AE:$AE,P3755,'Input Sheet'!$X:$X)</f>
        <v>0</v>
      </c>
      <c r="O3755" s="311"/>
      <c r="P3755" t="str">
        <f t="shared" si="313"/>
        <v>400-8800</v>
      </c>
      <c r="Q3755" s="315" t="str">
        <f t="shared" si="314"/>
        <v>Admin &amp; Other</v>
      </c>
      <c r="R3755" s="315" t="str">
        <f t="shared" si="315"/>
        <v>Admin &amp; OtherOther Overheads as % of Total Gross Profit</v>
      </c>
      <c r="S3755" s="199"/>
      <c r="T3755" s="199"/>
      <c r="U3755" s="199"/>
    </row>
    <row r="3756" spans="1:21" x14ac:dyDescent="0.25">
      <c r="A3756" t="s">
        <v>996</v>
      </c>
      <c r="B3756" t="s">
        <v>997</v>
      </c>
      <c r="C3756" t="s">
        <v>1012</v>
      </c>
      <c r="D3756">
        <v>8800</v>
      </c>
      <c r="E3756">
        <v>410</v>
      </c>
      <c r="F3756" t="s">
        <v>1364</v>
      </c>
      <c r="G3756" t="s">
        <v>1365</v>
      </c>
      <c r="H3756" s="315" t="s">
        <v>1000</v>
      </c>
      <c r="I3756" s="315" t="s">
        <v>1001</v>
      </c>
      <c r="J3756" s="315" t="str">
        <f t="shared" si="311"/>
        <v>Admin &amp; OtherOther Overheads as % of Total Gross Profit</v>
      </c>
      <c r="K3756" s="315" t="str">
        <f t="shared" si="312"/>
        <v>410Bad Debts - Toyota</v>
      </c>
      <c r="L3756" s="311">
        <f>+SUMIF('TUNZ Extracted TB'!M:M,$P3756,'TUNZ Extracted TB'!G:G)</f>
        <v>0</v>
      </c>
      <c r="M3756" s="311"/>
      <c r="N3756" s="311">
        <f>+SUMIF('Input Sheet'!$AE:$AE,P3756,'Input Sheet'!$X:$X)</f>
        <v>0</v>
      </c>
      <c r="O3756" s="311"/>
      <c r="P3756" t="str">
        <f t="shared" si="313"/>
        <v>410-8800</v>
      </c>
      <c r="Q3756" s="315" t="str">
        <f t="shared" si="314"/>
        <v>Admin &amp; Other</v>
      </c>
      <c r="R3756" s="315" t="str">
        <f t="shared" si="315"/>
        <v>Admin &amp; OtherOther Overheads as % of Total Gross Profit</v>
      </c>
      <c r="S3756" s="199"/>
      <c r="T3756" s="199"/>
      <c r="U3756" s="199"/>
    </row>
    <row r="3757" spans="1:21" x14ac:dyDescent="0.25">
      <c r="A3757" t="s">
        <v>996</v>
      </c>
      <c r="B3757" t="s">
        <v>997</v>
      </c>
      <c r="C3757" t="s">
        <v>1012</v>
      </c>
      <c r="D3757">
        <v>8800</v>
      </c>
      <c r="E3757">
        <v>420</v>
      </c>
      <c r="F3757" t="s">
        <v>1364</v>
      </c>
      <c r="G3757" t="s">
        <v>1365</v>
      </c>
      <c r="H3757" s="315" t="s">
        <v>1000</v>
      </c>
      <c r="I3757" s="315" t="s">
        <v>1001</v>
      </c>
      <c r="J3757" s="315" t="str">
        <f t="shared" si="311"/>
        <v>Admin &amp; OtherOther Overheads as % of Total Gross Profit</v>
      </c>
      <c r="K3757" s="315" t="str">
        <f t="shared" si="312"/>
        <v>420Bad Debts - Toyota</v>
      </c>
      <c r="L3757" s="311">
        <f>+SUMIF('TUNZ Extracted TB'!M:M,$P3757,'TUNZ Extracted TB'!G:G)</f>
        <v>0</v>
      </c>
      <c r="M3757" s="311"/>
      <c r="N3757" s="311">
        <f>+SUMIF('Input Sheet'!$AE:$AE,P3757,'Input Sheet'!$X:$X)</f>
        <v>0</v>
      </c>
      <c r="O3757" s="311"/>
      <c r="P3757" t="str">
        <f t="shared" si="313"/>
        <v>420-8800</v>
      </c>
      <c r="Q3757" s="315" t="str">
        <f t="shared" si="314"/>
        <v>Admin &amp; Other</v>
      </c>
      <c r="R3757" s="315" t="str">
        <f t="shared" si="315"/>
        <v>Admin &amp; OtherOther Overheads as % of Total Gross Profit</v>
      </c>
      <c r="S3757" s="199"/>
      <c r="T3757" s="199"/>
      <c r="U3757" s="199"/>
    </row>
    <row r="3758" spans="1:21" x14ac:dyDescent="0.25">
      <c r="A3758" t="s">
        <v>996</v>
      </c>
      <c r="B3758" t="s">
        <v>997</v>
      </c>
      <c r="C3758" t="s">
        <v>1012</v>
      </c>
      <c r="D3758">
        <v>8800</v>
      </c>
      <c r="E3758">
        <v>421</v>
      </c>
      <c r="F3758" t="s">
        <v>1364</v>
      </c>
      <c r="G3758" t="s">
        <v>1365</v>
      </c>
      <c r="H3758" s="315" t="s">
        <v>1000</v>
      </c>
      <c r="I3758" s="315" t="s">
        <v>1001</v>
      </c>
      <c r="J3758" s="315" t="str">
        <f t="shared" si="311"/>
        <v>Admin &amp; OtherOther Overheads as % of Total Gross Profit</v>
      </c>
      <c r="K3758" s="315" t="str">
        <f t="shared" si="312"/>
        <v>421Bad Debts - Toyota</v>
      </c>
      <c r="L3758" s="311">
        <f>+SUMIF('TUNZ Extracted TB'!M:M,$P3758,'TUNZ Extracted TB'!G:G)</f>
        <v>0</v>
      </c>
      <c r="M3758" s="311"/>
      <c r="N3758" s="311">
        <f>+SUMIF('Input Sheet'!$AE:$AE,P3758,'Input Sheet'!$X:$X)</f>
        <v>0</v>
      </c>
      <c r="O3758" s="311"/>
      <c r="P3758" t="str">
        <f t="shared" si="313"/>
        <v>421-8800</v>
      </c>
      <c r="Q3758" s="315" t="str">
        <f t="shared" si="314"/>
        <v>Admin &amp; Other</v>
      </c>
      <c r="R3758" s="315" t="str">
        <f t="shared" si="315"/>
        <v>Admin &amp; OtherOther Overheads as % of Total Gross Profit</v>
      </c>
      <c r="S3758" s="199"/>
      <c r="T3758" s="199"/>
      <c r="U3758" s="199"/>
    </row>
    <row r="3759" spans="1:21" x14ac:dyDescent="0.25">
      <c r="A3759" t="s">
        <v>996</v>
      </c>
      <c r="B3759" t="s">
        <v>997</v>
      </c>
      <c r="C3759" t="s">
        <v>1012</v>
      </c>
      <c r="D3759">
        <v>8800</v>
      </c>
      <c r="E3759">
        <v>430</v>
      </c>
      <c r="F3759" t="s">
        <v>1364</v>
      </c>
      <c r="G3759" t="s">
        <v>1365</v>
      </c>
      <c r="H3759" s="315" t="s">
        <v>1000</v>
      </c>
      <c r="I3759" s="315" t="s">
        <v>1001</v>
      </c>
      <c r="J3759" s="315" t="str">
        <f t="shared" si="311"/>
        <v>Admin &amp; OtherOther Overheads as % of Total Gross Profit</v>
      </c>
      <c r="K3759" s="315" t="str">
        <f t="shared" si="312"/>
        <v>430Bad Debts - Toyota</v>
      </c>
      <c r="L3759" s="311">
        <f>+SUMIF('TUNZ Extracted TB'!M:M,$P3759,'TUNZ Extracted TB'!G:G)</f>
        <v>0</v>
      </c>
      <c r="M3759" s="311"/>
      <c r="N3759" s="311">
        <f>+SUMIF('Input Sheet'!$AE:$AE,P3759,'Input Sheet'!$X:$X)</f>
        <v>0</v>
      </c>
      <c r="O3759" s="311"/>
      <c r="P3759" t="str">
        <f t="shared" si="313"/>
        <v>430-8800</v>
      </c>
      <c r="Q3759" s="315" t="str">
        <f t="shared" si="314"/>
        <v>Admin &amp; Other</v>
      </c>
      <c r="R3759" s="315" t="str">
        <f t="shared" si="315"/>
        <v>Admin &amp; OtherOther Overheads as % of Total Gross Profit</v>
      </c>
      <c r="S3759" s="199"/>
      <c r="T3759" s="199"/>
      <c r="U3759" s="199"/>
    </row>
    <row r="3760" spans="1:21" x14ac:dyDescent="0.25">
      <c r="A3760" t="s">
        <v>996</v>
      </c>
      <c r="B3760" t="s">
        <v>997</v>
      </c>
      <c r="C3760" t="s">
        <v>1012</v>
      </c>
      <c r="D3760">
        <v>8800</v>
      </c>
      <c r="E3760">
        <v>440</v>
      </c>
      <c r="F3760" t="s">
        <v>1364</v>
      </c>
      <c r="G3760" t="s">
        <v>1365</v>
      </c>
      <c r="H3760" s="315" t="s">
        <v>1000</v>
      </c>
      <c r="I3760" s="315" t="s">
        <v>1001</v>
      </c>
      <c r="J3760" s="315" t="str">
        <f t="shared" si="311"/>
        <v>Admin &amp; OtherOther Overheads as % of Total Gross Profit</v>
      </c>
      <c r="K3760" s="315" t="str">
        <f t="shared" si="312"/>
        <v>440Bad Debts - Toyota</v>
      </c>
      <c r="L3760" s="311">
        <f>+SUMIF('TUNZ Extracted TB'!M:M,$P3760,'TUNZ Extracted TB'!G:G)</f>
        <v>0</v>
      </c>
      <c r="M3760" s="311"/>
      <c r="N3760" s="311">
        <f>+SUMIF('Input Sheet'!$AE:$AE,P3760,'Input Sheet'!$X:$X)</f>
        <v>0</v>
      </c>
      <c r="O3760" s="311"/>
      <c r="P3760" t="str">
        <f t="shared" si="313"/>
        <v>440-8800</v>
      </c>
      <c r="Q3760" s="315" t="str">
        <f t="shared" si="314"/>
        <v>Admin &amp; Other</v>
      </c>
      <c r="R3760" s="315" t="str">
        <f t="shared" si="315"/>
        <v>Admin &amp; OtherOther Overheads as % of Total Gross Profit</v>
      </c>
      <c r="S3760" s="199"/>
      <c r="T3760" s="199"/>
      <c r="U3760" s="199"/>
    </row>
    <row r="3761" spans="1:21" x14ac:dyDescent="0.25">
      <c r="A3761" t="s">
        <v>996</v>
      </c>
      <c r="B3761" t="s">
        <v>997</v>
      </c>
      <c r="C3761" t="s">
        <v>1012</v>
      </c>
      <c r="D3761">
        <v>8800</v>
      </c>
      <c r="E3761">
        <v>460</v>
      </c>
      <c r="F3761" t="s">
        <v>1364</v>
      </c>
      <c r="G3761" t="s">
        <v>1365</v>
      </c>
      <c r="H3761" s="315" t="s">
        <v>1000</v>
      </c>
      <c r="I3761" s="315" t="s">
        <v>1001</v>
      </c>
      <c r="J3761" s="315" t="str">
        <f t="shared" si="311"/>
        <v>Admin &amp; OtherOther Overheads as % of Total Gross Profit</v>
      </c>
      <c r="K3761" s="315" t="str">
        <f t="shared" si="312"/>
        <v>460Bad Debts - Toyota</v>
      </c>
      <c r="L3761" s="311">
        <f>+SUMIF('TUNZ Extracted TB'!M:M,$P3761,'TUNZ Extracted TB'!G:G)</f>
        <v>0</v>
      </c>
      <c r="M3761" s="311"/>
      <c r="N3761" s="311">
        <f>+SUMIF('Input Sheet'!$AE:$AE,P3761,'Input Sheet'!$X:$X)</f>
        <v>0</v>
      </c>
      <c r="O3761" s="311"/>
      <c r="P3761" t="str">
        <f t="shared" si="313"/>
        <v>460-8800</v>
      </c>
      <c r="Q3761" s="315" t="str">
        <f t="shared" si="314"/>
        <v>Admin &amp; Other</v>
      </c>
      <c r="R3761" s="315" t="str">
        <f t="shared" si="315"/>
        <v>Admin &amp; OtherOther Overheads as % of Total Gross Profit</v>
      </c>
      <c r="S3761" s="199"/>
      <c r="T3761" s="199"/>
      <c r="U3761" s="199"/>
    </row>
    <row r="3762" spans="1:21" x14ac:dyDescent="0.25">
      <c r="A3762" t="s">
        <v>996</v>
      </c>
      <c r="B3762" t="s">
        <v>997</v>
      </c>
      <c r="C3762" t="s">
        <v>1013</v>
      </c>
      <c r="D3762">
        <v>8800</v>
      </c>
      <c r="E3762">
        <v>300</v>
      </c>
      <c r="F3762" t="s">
        <v>1364</v>
      </c>
      <c r="G3762" t="s">
        <v>1365</v>
      </c>
      <c r="H3762" s="315" t="s">
        <v>1000</v>
      </c>
      <c r="I3762" s="315" t="s">
        <v>1001</v>
      </c>
      <c r="J3762" s="315" t="str">
        <f t="shared" si="311"/>
        <v>Admin &amp; OtherOther Overheads as % of Total Gross Profit</v>
      </c>
      <c r="K3762" s="315" t="str">
        <f t="shared" si="312"/>
        <v>300Bad Debts - Toyota</v>
      </c>
      <c r="L3762" s="311">
        <f>+SUMIF('TUNZ Extracted TB'!M:M,$P3762,'TUNZ Extracted TB'!G:G)</f>
        <v>0</v>
      </c>
      <c r="M3762" s="311"/>
      <c r="N3762" s="311">
        <f>+SUMIF('Input Sheet'!$AE:$AE,P3762,'Input Sheet'!$X:$X)</f>
        <v>0</v>
      </c>
      <c r="O3762" s="311"/>
      <c r="P3762" t="str">
        <f t="shared" si="313"/>
        <v>300-8800</v>
      </c>
      <c r="Q3762" s="315" t="str">
        <f t="shared" si="314"/>
        <v>Admin &amp; Other</v>
      </c>
      <c r="R3762" s="315" t="str">
        <f t="shared" si="315"/>
        <v>Admin &amp; OtherOther Overheads as % of Total Gross Profit</v>
      </c>
      <c r="S3762" s="199"/>
      <c r="T3762" s="199"/>
      <c r="U3762" s="199"/>
    </row>
    <row r="3763" spans="1:21" x14ac:dyDescent="0.25">
      <c r="A3763" t="s">
        <v>996</v>
      </c>
      <c r="B3763" t="s">
        <v>997</v>
      </c>
      <c r="C3763" t="s">
        <v>1013</v>
      </c>
      <c r="D3763">
        <v>8800</v>
      </c>
      <c r="E3763">
        <v>310</v>
      </c>
      <c r="F3763" t="s">
        <v>1364</v>
      </c>
      <c r="G3763" t="s">
        <v>1365</v>
      </c>
      <c r="H3763" s="315" t="s">
        <v>1000</v>
      </c>
      <c r="I3763" s="315" t="s">
        <v>1001</v>
      </c>
      <c r="J3763" s="315" t="str">
        <f t="shared" si="311"/>
        <v>Admin &amp; OtherOther Overheads as % of Total Gross Profit</v>
      </c>
      <c r="K3763" s="315" t="str">
        <f t="shared" si="312"/>
        <v>310Bad Debts - Toyota</v>
      </c>
      <c r="L3763" s="311">
        <f>+SUMIF('TUNZ Extracted TB'!M:M,$P3763,'TUNZ Extracted TB'!G:G)</f>
        <v>0</v>
      </c>
      <c r="M3763" s="311"/>
      <c r="N3763" s="311">
        <f>+SUMIF('Input Sheet'!$AE:$AE,P3763,'Input Sheet'!$X:$X)</f>
        <v>0</v>
      </c>
      <c r="O3763" s="311"/>
      <c r="P3763" t="str">
        <f t="shared" si="313"/>
        <v>310-8800</v>
      </c>
      <c r="Q3763" s="315" t="str">
        <f t="shared" si="314"/>
        <v>Admin &amp; Other</v>
      </c>
      <c r="R3763" s="315" t="str">
        <f t="shared" si="315"/>
        <v>Admin &amp; OtherOther Overheads as % of Total Gross Profit</v>
      </c>
      <c r="S3763" s="199"/>
      <c r="T3763" s="199"/>
      <c r="U3763" s="199"/>
    </row>
    <row r="3764" spans="1:21" x14ac:dyDescent="0.25">
      <c r="A3764" t="s">
        <v>996</v>
      </c>
      <c r="B3764" t="s">
        <v>997</v>
      </c>
      <c r="C3764" t="s">
        <v>1013</v>
      </c>
      <c r="D3764">
        <v>8800</v>
      </c>
      <c r="E3764">
        <v>321</v>
      </c>
      <c r="F3764" t="s">
        <v>1364</v>
      </c>
      <c r="G3764" t="s">
        <v>1365</v>
      </c>
      <c r="H3764" s="315" t="s">
        <v>1000</v>
      </c>
      <c r="I3764" s="315" t="s">
        <v>1001</v>
      </c>
      <c r="J3764" s="315" t="str">
        <f t="shared" si="311"/>
        <v>Admin &amp; OtherOther Overheads as % of Total Gross Profit</v>
      </c>
      <c r="K3764" s="315" t="str">
        <f t="shared" si="312"/>
        <v>321Bad Debts - Toyota</v>
      </c>
      <c r="L3764" s="311">
        <f>+SUMIF('TUNZ Extracted TB'!M:M,$P3764,'TUNZ Extracted TB'!G:G)</f>
        <v>0</v>
      </c>
      <c r="M3764" s="311"/>
      <c r="N3764" s="311">
        <f>+SUMIF('Input Sheet'!$AE:$AE,P3764,'Input Sheet'!$X:$X)</f>
        <v>0</v>
      </c>
      <c r="O3764" s="311"/>
      <c r="P3764" t="str">
        <f t="shared" si="313"/>
        <v>321-8800</v>
      </c>
      <c r="Q3764" s="315" t="str">
        <f t="shared" si="314"/>
        <v>Admin &amp; Other</v>
      </c>
      <c r="R3764" s="315" t="str">
        <f t="shared" si="315"/>
        <v>Admin &amp; OtherOther Overheads as % of Total Gross Profit</v>
      </c>
      <c r="S3764" s="199"/>
      <c r="T3764" s="199"/>
      <c r="U3764" s="199"/>
    </row>
    <row r="3765" spans="1:21" x14ac:dyDescent="0.25">
      <c r="A3765" t="s">
        <v>996</v>
      </c>
      <c r="B3765" t="s">
        <v>997</v>
      </c>
      <c r="C3765" t="s">
        <v>1013</v>
      </c>
      <c r="D3765">
        <v>8800</v>
      </c>
      <c r="E3765">
        <v>330</v>
      </c>
      <c r="F3765" t="s">
        <v>1364</v>
      </c>
      <c r="G3765" t="s">
        <v>1365</v>
      </c>
      <c r="H3765" s="315" t="s">
        <v>1000</v>
      </c>
      <c r="I3765" s="315" t="s">
        <v>1001</v>
      </c>
      <c r="J3765" s="315" t="str">
        <f t="shared" si="311"/>
        <v>Admin &amp; OtherOther Overheads as % of Total Gross Profit</v>
      </c>
      <c r="K3765" s="315" t="str">
        <f t="shared" si="312"/>
        <v>330Bad Debts - Toyota</v>
      </c>
      <c r="L3765" s="311">
        <f>+SUMIF('TUNZ Extracted TB'!M:M,$P3765,'TUNZ Extracted TB'!G:G)</f>
        <v>0</v>
      </c>
      <c r="M3765" s="311"/>
      <c r="N3765" s="311">
        <f>+SUMIF('Input Sheet'!$AE:$AE,P3765,'Input Sheet'!$X:$X)</f>
        <v>0</v>
      </c>
      <c r="O3765" s="311"/>
      <c r="P3765" t="str">
        <f t="shared" si="313"/>
        <v>330-8800</v>
      </c>
      <c r="Q3765" s="315" t="str">
        <f t="shared" si="314"/>
        <v>Admin &amp; Other</v>
      </c>
      <c r="R3765" s="315" t="str">
        <f t="shared" si="315"/>
        <v>Admin &amp; OtherOther Overheads as % of Total Gross Profit</v>
      </c>
      <c r="S3765" s="199"/>
      <c r="T3765" s="199"/>
      <c r="U3765" s="199"/>
    </row>
    <row r="3766" spans="1:21" x14ac:dyDescent="0.25">
      <c r="A3766" t="s">
        <v>996</v>
      </c>
      <c r="B3766" t="s">
        <v>997</v>
      </c>
      <c r="C3766" t="s">
        <v>1013</v>
      </c>
      <c r="D3766">
        <v>8800</v>
      </c>
      <c r="E3766">
        <v>340</v>
      </c>
      <c r="F3766" t="s">
        <v>1364</v>
      </c>
      <c r="G3766" t="s">
        <v>1365</v>
      </c>
      <c r="H3766" s="315" t="s">
        <v>1000</v>
      </c>
      <c r="I3766" s="315" t="s">
        <v>1001</v>
      </c>
      <c r="J3766" s="315" t="str">
        <f t="shared" si="311"/>
        <v>Admin &amp; OtherOther Overheads as % of Total Gross Profit</v>
      </c>
      <c r="K3766" s="315" t="str">
        <f t="shared" si="312"/>
        <v>340Bad Debts - Toyota</v>
      </c>
      <c r="L3766" s="311">
        <f>+SUMIF('TUNZ Extracted TB'!M:M,$P3766,'TUNZ Extracted TB'!G:G)</f>
        <v>0</v>
      </c>
      <c r="M3766" s="311"/>
      <c r="N3766" s="311">
        <f>+SUMIF('Input Sheet'!$AE:$AE,P3766,'Input Sheet'!$X:$X)</f>
        <v>0</v>
      </c>
      <c r="O3766" s="311"/>
      <c r="P3766" t="str">
        <f t="shared" si="313"/>
        <v>340-8800</v>
      </c>
      <c r="Q3766" s="315" t="str">
        <f t="shared" si="314"/>
        <v>Admin &amp; Other</v>
      </c>
      <c r="R3766" s="315" t="str">
        <f t="shared" si="315"/>
        <v>Admin &amp; OtherOther Overheads as % of Total Gross Profit</v>
      </c>
      <c r="S3766" s="199"/>
      <c r="T3766" s="199"/>
      <c r="U3766" s="199"/>
    </row>
    <row r="3767" spans="1:21" x14ac:dyDescent="0.25">
      <c r="A3767" t="s">
        <v>996</v>
      </c>
      <c r="B3767" t="s">
        <v>997</v>
      </c>
      <c r="C3767" t="s">
        <v>1013</v>
      </c>
      <c r="D3767">
        <v>8800</v>
      </c>
      <c r="E3767">
        <v>360</v>
      </c>
      <c r="F3767" t="s">
        <v>1364</v>
      </c>
      <c r="G3767" t="s">
        <v>1365</v>
      </c>
      <c r="H3767" s="315" t="s">
        <v>1000</v>
      </c>
      <c r="I3767" s="315" t="s">
        <v>1001</v>
      </c>
      <c r="J3767" s="315" t="str">
        <f t="shared" si="311"/>
        <v>Admin &amp; OtherOther Overheads as % of Total Gross Profit</v>
      </c>
      <c r="K3767" s="315" t="str">
        <f t="shared" si="312"/>
        <v>360Bad Debts - Toyota</v>
      </c>
      <c r="L3767" s="311">
        <f>+SUMIF('TUNZ Extracted TB'!M:M,$P3767,'TUNZ Extracted TB'!G:G)</f>
        <v>0</v>
      </c>
      <c r="M3767" s="311"/>
      <c r="N3767" s="311">
        <f>+SUMIF('Input Sheet'!$AE:$AE,P3767,'Input Sheet'!$X:$X)</f>
        <v>0</v>
      </c>
      <c r="O3767" s="311"/>
      <c r="P3767" t="str">
        <f t="shared" si="313"/>
        <v>360-8800</v>
      </c>
      <c r="Q3767" s="315" t="str">
        <f t="shared" si="314"/>
        <v>Admin &amp; Other</v>
      </c>
      <c r="R3767" s="315" t="str">
        <f t="shared" si="315"/>
        <v>Admin &amp; OtherOther Overheads as % of Total Gross Profit</v>
      </c>
      <c r="S3767" s="199"/>
      <c r="T3767" s="199"/>
      <c r="U3767" s="199"/>
    </row>
    <row r="3768" spans="1:21" x14ac:dyDescent="0.25">
      <c r="A3768" t="s">
        <v>996</v>
      </c>
      <c r="B3768" t="s">
        <v>997</v>
      </c>
      <c r="C3768" t="s">
        <v>997</v>
      </c>
      <c r="D3768">
        <v>8800</v>
      </c>
      <c r="E3768">
        <v>120</v>
      </c>
      <c r="F3768" t="s">
        <v>1364</v>
      </c>
      <c r="G3768" t="s">
        <v>1365</v>
      </c>
      <c r="H3768" s="315" t="s">
        <v>1000</v>
      </c>
      <c r="I3768" s="315" t="s">
        <v>1001</v>
      </c>
      <c r="J3768" s="315" t="str">
        <f t="shared" si="311"/>
        <v>Admin &amp; OtherOther Overheads as % of Total Gross Profit</v>
      </c>
      <c r="K3768" s="315" t="str">
        <f t="shared" si="312"/>
        <v>120Bad Debts - Toyota</v>
      </c>
      <c r="L3768" s="311">
        <f>+SUMIF('TUNZ Extracted TB'!M:M,$P3768,'TUNZ Extracted TB'!G:G)</f>
        <v>0</v>
      </c>
      <c r="M3768" s="311"/>
      <c r="N3768" s="311">
        <f>+SUMIF('Input Sheet'!$AE:$AE,P3768,'Input Sheet'!$X:$X)</f>
        <v>0</v>
      </c>
      <c r="O3768" s="311"/>
      <c r="P3768" t="str">
        <f t="shared" si="313"/>
        <v>120-8800</v>
      </c>
      <c r="Q3768" s="315" t="str">
        <f t="shared" si="314"/>
        <v>Admin &amp; Other</v>
      </c>
      <c r="R3768" s="315" t="str">
        <f t="shared" si="315"/>
        <v>Admin &amp; OtherOther Overheads as % of Total Gross Profit</v>
      </c>
      <c r="S3768" s="199"/>
      <c r="T3768" s="199"/>
      <c r="U3768" s="199"/>
    </row>
    <row r="3769" spans="1:21" x14ac:dyDescent="0.25">
      <c r="A3769" t="s">
        <v>996</v>
      </c>
      <c r="B3769" t="s">
        <v>997</v>
      </c>
      <c r="C3769" t="s">
        <v>997</v>
      </c>
      <c r="D3769">
        <v>8800</v>
      </c>
      <c r="E3769">
        <v>121</v>
      </c>
      <c r="F3769" t="s">
        <v>1364</v>
      </c>
      <c r="G3769" t="s">
        <v>1365</v>
      </c>
      <c r="H3769" s="315" t="s">
        <v>1000</v>
      </c>
      <c r="I3769" s="315" t="s">
        <v>1001</v>
      </c>
      <c r="J3769" s="315" t="str">
        <f t="shared" si="311"/>
        <v>Admin &amp; OtherOther Overheads as % of Total Gross Profit</v>
      </c>
      <c r="K3769" s="315" t="str">
        <f t="shared" si="312"/>
        <v>121Bad Debts - Toyota</v>
      </c>
      <c r="L3769" s="311">
        <f>+SUMIF('TUNZ Extracted TB'!M:M,$P3769,'TUNZ Extracted TB'!G:G)</f>
        <v>0</v>
      </c>
      <c r="M3769" s="311"/>
      <c r="N3769" s="311">
        <f>+SUMIF('Input Sheet'!$AE:$AE,P3769,'Input Sheet'!$X:$X)</f>
        <v>0</v>
      </c>
      <c r="O3769" s="311"/>
      <c r="P3769" t="str">
        <f t="shared" si="313"/>
        <v>121-8800</v>
      </c>
      <c r="Q3769" s="315" t="str">
        <f t="shared" si="314"/>
        <v>Admin &amp; Other</v>
      </c>
      <c r="R3769" s="315" t="str">
        <f t="shared" si="315"/>
        <v>Admin &amp; OtherOther Overheads as % of Total Gross Profit</v>
      </c>
      <c r="S3769" s="199"/>
      <c r="T3769" s="199"/>
      <c r="U3769" s="199"/>
    </row>
    <row r="3770" spans="1:21" x14ac:dyDescent="0.25">
      <c r="A3770" t="s">
        <v>996</v>
      </c>
      <c r="B3770" t="s">
        <v>997</v>
      </c>
      <c r="C3770" t="s">
        <v>997</v>
      </c>
      <c r="D3770">
        <v>8800</v>
      </c>
      <c r="E3770">
        <v>147</v>
      </c>
      <c r="F3770" t="s">
        <v>1364</v>
      </c>
      <c r="G3770" t="s">
        <v>1365</v>
      </c>
      <c r="H3770" s="315" t="s">
        <v>1000</v>
      </c>
      <c r="I3770" s="315" t="s">
        <v>1001</v>
      </c>
      <c r="J3770" s="315" t="str">
        <f t="shared" si="311"/>
        <v>Admin &amp; OtherOther Overheads as % of Total Gross Profit</v>
      </c>
      <c r="K3770" s="315" t="str">
        <f t="shared" si="312"/>
        <v>147Bad Debts - Toyota</v>
      </c>
      <c r="L3770" s="311">
        <f>+SUMIF('TUNZ Extracted TB'!M:M,$P3770,'TUNZ Extracted TB'!G:G)</f>
        <v>0</v>
      </c>
      <c r="M3770" s="311"/>
      <c r="N3770" s="311">
        <f>+SUMIF('Input Sheet'!$AE:$AE,P3770,'Input Sheet'!$X:$X)</f>
        <v>0</v>
      </c>
      <c r="O3770" s="311"/>
      <c r="P3770" t="str">
        <f t="shared" si="313"/>
        <v>147-8800</v>
      </c>
      <c r="Q3770" s="315" t="str">
        <f t="shared" si="314"/>
        <v>Admin &amp; Other</v>
      </c>
      <c r="R3770" s="315" t="str">
        <f t="shared" si="315"/>
        <v>Admin &amp; OtherOther Overheads as % of Total Gross Profit</v>
      </c>
      <c r="S3770" s="199"/>
      <c r="T3770" s="199"/>
      <c r="U3770" s="199"/>
    </row>
    <row r="3771" spans="1:21" x14ac:dyDescent="0.25">
      <c r="A3771" t="s">
        <v>996</v>
      </c>
      <c r="B3771" t="s">
        <v>997</v>
      </c>
      <c r="C3771" t="s">
        <v>997</v>
      </c>
      <c r="D3771">
        <v>8800</v>
      </c>
      <c r="E3771">
        <v>160</v>
      </c>
      <c r="F3771" t="s">
        <v>1364</v>
      </c>
      <c r="G3771" t="s">
        <v>1365</v>
      </c>
      <c r="H3771" s="315" t="s">
        <v>1000</v>
      </c>
      <c r="I3771" s="315" t="s">
        <v>1001</v>
      </c>
      <c r="J3771" s="315" t="str">
        <f t="shared" si="311"/>
        <v>Admin &amp; OtherOther Overheads as % of Total Gross Profit</v>
      </c>
      <c r="K3771" s="315" t="str">
        <f t="shared" si="312"/>
        <v>160Bad Debts - Toyota</v>
      </c>
      <c r="L3771" s="311">
        <f>+SUMIF('TUNZ Extracted TB'!M:M,$P3771,'TUNZ Extracted TB'!G:G)</f>
        <v>0</v>
      </c>
      <c r="M3771" s="311"/>
      <c r="N3771" s="311">
        <f>+SUMIF('Input Sheet'!$AE:$AE,P3771,'Input Sheet'!$X:$X)</f>
        <v>0</v>
      </c>
      <c r="O3771" s="311"/>
      <c r="P3771" t="str">
        <f t="shared" si="313"/>
        <v>160-8800</v>
      </c>
      <c r="Q3771" s="315" t="str">
        <f t="shared" si="314"/>
        <v>Admin &amp; Other</v>
      </c>
      <c r="R3771" s="315" t="str">
        <f t="shared" si="315"/>
        <v>Admin &amp; OtherOther Overheads as % of Total Gross Profit</v>
      </c>
      <c r="S3771" s="199"/>
      <c r="T3771" s="199"/>
      <c r="U3771" s="199"/>
    </row>
    <row r="3772" spans="1:21" x14ac:dyDescent="0.25">
      <c r="A3772" t="s">
        <v>996</v>
      </c>
      <c r="B3772" t="s">
        <v>997</v>
      </c>
      <c r="C3772" t="s">
        <v>997</v>
      </c>
      <c r="D3772">
        <v>8800</v>
      </c>
      <c r="E3772">
        <v>936</v>
      </c>
      <c r="F3772" t="s">
        <v>1175</v>
      </c>
      <c r="G3772" t="s">
        <v>1176</v>
      </c>
      <c r="H3772" s="315" t="s">
        <v>1023</v>
      </c>
      <c r="I3772" s="315" t="s">
        <v>1001</v>
      </c>
      <c r="J3772" s="315" t="str">
        <f t="shared" si="311"/>
        <v>LEX Admin &amp; OtherOther Overheads as % of Total Gross Profit</v>
      </c>
      <c r="K3772" s="315" t="str">
        <f t="shared" si="312"/>
        <v>936Other franchise/business expense</v>
      </c>
      <c r="L3772" s="311">
        <f>+SUMIF('TUNZ Extracted TB'!M:M,$P3772,'TUNZ Extracted TB'!G:G)</f>
        <v>0</v>
      </c>
      <c r="M3772" s="311"/>
      <c r="N3772" s="311">
        <f>+SUMIF('Input Sheet'!$AE:$AE,P3772,'Input Sheet'!$X:$X)</f>
        <v>0</v>
      </c>
      <c r="O3772" s="311"/>
      <c r="P3772" t="str">
        <f t="shared" si="313"/>
        <v>936-8800</v>
      </c>
      <c r="Q3772" s="315" t="str">
        <f t="shared" si="314"/>
        <v>LEX Admin &amp; Other</v>
      </c>
      <c r="R3772" s="315" t="str">
        <f t="shared" si="315"/>
        <v>LEX Admin &amp; OtherOther Overheads as % of Total Gross Profit</v>
      </c>
      <c r="S3772" s="199"/>
      <c r="T3772" s="199"/>
      <c r="U3772" s="199"/>
    </row>
    <row r="3773" spans="1:21" x14ac:dyDescent="0.25">
      <c r="A3773" t="s">
        <v>996</v>
      </c>
      <c r="B3773" t="s">
        <v>997</v>
      </c>
      <c r="C3773" t="s">
        <v>997</v>
      </c>
      <c r="D3773">
        <v>8800</v>
      </c>
      <c r="E3773">
        <v>935</v>
      </c>
      <c r="F3773" t="s">
        <v>1175</v>
      </c>
      <c r="G3773" t="s">
        <v>1176</v>
      </c>
      <c r="H3773" s="315" t="s">
        <v>1023</v>
      </c>
      <c r="I3773" s="315" t="s">
        <v>1001</v>
      </c>
      <c r="J3773" s="315" t="str">
        <f t="shared" si="311"/>
        <v>LEX Admin &amp; OtherOther Overheads as % of Total Gross Profit</v>
      </c>
      <c r="K3773" s="315" t="str">
        <f t="shared" si="312"/>
        <v>935Other franchise/business expense</v>
      </c>
      <c r="L3773" s="311">
        <f>+SUMIF('TUNZ Extracted TB'!M:M,$P3773,'TUNZ Extracted TB'!G:G)</f>
        <v>0</v>
      </c>
      <c r="M3773" s="311"/>
      <c r="N3773" s="311">
        <f>+SUMIF('Input Sheet'!$AE:$AE,P3773,'Input Sheet'!$X:$X)</f>
        <v>0</v>
      </c>
      <c r="O3773" s="311"/>
      <c r="P3773" t="str">
        <f t="shared" si="313"/>
        <v>935-8800</v>
      </c>
      <c r="Q3773" s="315" t="str">
        <f t="shared" si="314"/>
        <v>LEX Admin &amp; Other</v>
      </c>
      <c r="R3773" s="315" t="str">
        <f t="shared" si="315"/>
        <v>LEX Admin &amp; OtherOther Overheads as % of Total Gross Profit</v>
      </c>
      <c r="S3773" s="199"/>
      <c r="T3773" s="199"/>
      <c r="U3773" s="199"/>
    </row>
    <row r="3774" spans="1:21" x14ac:dyDescent="0.25">
      <c r="A3774" t="s">
        <v>996</v>
      </c>
      <c r="B3774" t="s">
        <v>997</v>
      </c>
      <c r="C3774" t="s">
        <v>997</v>
      </c>
      <c r="D3774">
        <v>8800</v>
      </c>
      <c r="E3774">
        <v>140</v>
      </c>
      <c r="F3774" t="s">
        <v>1364</v>
      </c>
      <c r="G3774" t="s">
        <v>1365</v>
      </c>
      <c r="H3774" s="315" t="s">
        <v>1000</v>
      </c>
      <c r="I3774" s="315" t="s">
        <v>1001</v>
      </c>
      <c r="J3774" s="315" t="str">
        <f t="shared" si="311"/>
        <v>Admin &amp; OtherOther Overheads as % of Total Gross Profit</v>
      </c>
      <c r="K3774" s="315" t="str">
        <f t="shared" si="312"/>
        <v>140Bad Debts - Toyota</v>
      </c>
      <c r="L3774" s="311">
        <f>+SUMIF('TUNZ Extracted TB'!M:M,$P3774,'TUNZ Extracted TB'!G:G)</f>
        <v>0</v>
      </c>
      <c r="M3774" s="311"/>
      <c r="N3774" s="311">
        <f>+SUMIF('Input Sheet'!$AE:$AE,P3774,'Input Sheet'!$X:$X)</f>
        <v>0</v>
      </c>
      <c r="O3774" s="311"/>
      <c r="P3774" t="str">
        <f t="shared" si="313"/>
        <v>140-8800</v>
      </c>
      <c r="Q3774" s="315" t="str">
        <f t="shared" si="314"/>
        <v>Admin &amp; Other</v>
      </c>
      <c r="R3774" s="315" t="str">
        <f t="shared" si="315"/>
        <v>Admin &amp; OtherOther Overheads as % of Total Gross Profit</v>
      </c>
      <c r="S3774" s="199"/>
      <c r="T3774" s="199"/>
      <c r="U3774" s="199"/>
    </row>
    <row r="3775" spans="1:21" x14ac:dyDescent="0.25">
      <c r="A3775" t="s">
        <v>996</v>
      </c>
      <c r="B3775" t="s">
        <v>997</v>
      </c>
      <c r="C3775" t="s">
        <v>997</v>
      </c>
      <c r="D3775">
        <v>8800</v>
      </c>
      <c r="E3775">
        <v>142</v>
      </c>
      <c r="F3775" t="s">
        <v>1366</v>
      </c>
      <c r="G3775" t="s">
        <v>1367</v>
      </c>
      <c r="H3775" s="315" t="s">
        <v>1023</v>
      </c>
      <c r="I3775" s="315" t="s">
        <v>1001</v>
      </c>
      <c r="J3775" s="315" t="str">
        <f t="shared" si="311"/>
        <v>LEX Admin &amp; OtherOther Overheads as % of Total Gross Profit</v>
      </c>
      <c r="K3775" s="315" t="str">
        <f t="shared" si="312"/>
        <v>142Bad Debts - Lexus</v>
      </c>
      <c r="L3775" s="311">
        <f>+SUMIF('TUNZ Extracted TB'!M:M,$P3775,'TUNZ Extracted TB'!G:G)</f>
        <v>0</v>
      </c>
      <c r="M3775" s="311"/>
      <c r="N3775" s="311">
        <f>+SUMIF('Input Sheet'!$AE:$AE,P3775,'Input Sheet'!$X:$X)</f>
        <v>0</v>
      </c>
      <c r="O3775" s="311"/>
      <c r="P3775" t="str">
        <f t="shared" si="313"/>
        <v>142-8800</v>
      </c>
      <c r="Q3775" s="315" t="str">
        <f t="shared" si="314"/>
        <v>LEX Admin &amp; Other</v>
      </c>
      <c r="R3775" s="315" t="str">
        <f t="shared" si="315"/>
        <v>LEX Admin &amp; OtherOther Overheads as % of Total Gross Profit</v>
      </c>
      <c r="S3775" s="199"/>
      <c r="T3775" s="199"/>
      <c r="U3775" s="199"/>
    </row>
    <row r="3776" spans="1:21" x14ac:dyDescent="0.25">
      <c r="A3776" t="s">
        <v>996</v>
      </c>
      <c r="B3776" t="s">
        <v>997</v>
      </c>
      <c r="C3776" t="s">
        <v>997</v>
      </c>
      <c r="D3776">
        <v>8800</v>
      </c>
      <c r="E3776">
        <v>132</v>
      </c>
      <c r="F3776" t="s">
        <v>1366</v>
      </c>
      <c r="G3776" t="s">
        <v>1367</v>
      </c>
      <c r="H3776" s="315" t="s">
        <v>1023</v>
      </c>
      <c r="I3776" s="315" t="s">
        <v>1001</v>
      </c>
      <c r="J3776" s="315" t="str">
        <f t="shared" si="311"/>
        <v>LEX Admin &amp; OtherOther Overheads as % of Total Gross Profit</v>
      </c>
      <c r="K3776" s="315" t="str">
        <f t="shared" si="312"/>
        <v>132Bad Debts - Lexus</v>
      </c>
      <c r="L3776" s="311">
        <f>+SUMIF('TUNZ Extracted TB'!M:M,$P3776,'TUNZ Extracted TB'!G:G)</f>
        <v>0</v>
      </c>
      <c r="M3776" s="311"/>
      <c r="N3776" s="311">
        <f>+SUMIF('Input Sheet'!$AE:$AE,P3776,'Input Sheet'!$X:$X)</f>
        <v>0</v>
      </c>
      <c r="O3776" s="311"/>
      <c r="P3776" t="str">
        <f t="shared" si="313"/>
        <v>132-8800</v>
      </c>
      <c r="Q3776" s="315" t="str">
        <f t="shared" si="314"/>
        <v>LEX Admin &amp; Other</v>
      </c>
      <c r="R3776" s="315" t="str">
        <f t="shared" si="315"/>
        <v>LEX Admin &amp; OtherOther Overheads as % of Total Gross Profit</v>
      </c>
      <c r="S3776" s="199"/>
      <c r="T3776" s="199"/>
      <c r="U3776" s="199"/>
    </row>
    <row r="3777" spans="1:21" x14ac:dyDescent="0.25">
      <c r="A3777" t="s">
        <v>996</v>
      </c>
      <c r="B3777" t="s">
        <v>997</v>
      </c>
      <c r="C3777" t="s">
        <v>997</v>
      </c>
      <c r="D3777">
        <v>8800</v>
      </c>
      <c r="E3777">
        <v>130</v>
      </c>
      <c r="F3777" t="s">
        <v>1364</v>
      </c>
      <c r="G3777" t="s">
        <v>1365</v>
      </c>
      <c r="H3777" s="315" t="s">
        <v>1000</v>
      </c>
      <c r="I3777" s="315" t="s">
        <v>1001</v>
      </c>
      <c r="J3777" s="315" t="str">
        <f t="shared" si="311"/>
        <v>Admin &amp; OtherOther Overheads as % of Total Gross Profit</v>
      </c>
      <c r="K3777" s="315" t="str">
        <f t="shared" si="312"/>
        <v>130Bad Debts - Toyota</v>
      </c>
      <c r="L3777" s="311">
        <f>+SUMIF('TUNZ Extracted TB'!M:M,$P3777,'TUNZ Extracted TB'!G:G)</f>
        <v>0</v>
      </c>
      <c r="M3777" s="311"/>
      <c r="N3777" s="311">
        <f>+SUMIF('Input Sheet'!$AE:$AE,P3777,'Input Sheet'!$X:$X)</f>
        <v>0</v>
      </c>
      <c r="O3777" s="311"/>
      <c r="P3777" t="str">
        <f t="shared" si="313"/>
        <v>130-8800</v>
      </c>
      <c r="Q3777" s="315" t="str">
        <f t="shared" si="314"/>
        <v>Admin &amp; Other</v>
      </c>
      <c r="R3777" s="315" t="str">
        <f t="shared" si="315"/>
        <v>Admin &amp; OtherOther Overheads as % of Total Gross Profit</v>
      </c>
      <c r="S3777" s="199"/>
      <c r="T3777" s="199"/>
      <c r="U3777" s="199"/>
    </row>
    <row r="3778" spans="1:21" x14ac:dyDescent="0.25">
      <c r="A3778" t="s">
        <v>996</v>
      </c>
      <c r="B3778" t="s">
        <v>997</v>
      </c>
      <c r="C3778" t="s">
        <v>997</v>
      </c>
      <c r="D3778">
        <v>8800</v>
      </c>
      <c r="E3778">
        <v>112</v>
      </c>
      <c r="F3778" t="s">
        <v>1366</v>
      </c>
      <c r="G3778" t="s">
        <v>1367</v>
      </c>
      <c r="H3778" s="315" t="s">
        <v>1023</v>
      </c>
      <c r="I3778" s="315" t="s">
        <v>1001</v>
      </c>
      <c r="J3778" s="315" t="str">
        <f t="shared" si="311"/>
        <v>LEX Admin &amp; OtherOther Overheads as % of Total Gross Profit</v>
      </c>
      <c r="K3778" s="315" t="str">
        <f t="shared" si="312"/>
        <v>112Bad Debts - Lexus</v>
      </c>
      <c r="L3778" s="311">
        <f>+SUMIF('TUNZ Extracted TB'!M:M,$P3778,'TUNZ Extracted TB'!G:G)</f>
        <v>0</v>
      </c>
      <c r="M3778" s="311"/>
      <c r="N3778" s="311">
        <f>+SUMIF('Input Sheet'!$AE:$AE,P3778,'Input Sheet'!$X:$X)</f>
        <v>0</v>
      </c>
      <c r="O3778" s="311"/>
      <c r="P3778" t="str">
        <f t="shared" si="313"/>
        <v>112-8800</v>
      </c>
      <c r="Q3778" s="315" t="str">
        <f t="shared" si="314"/>
        <v>LEX Admin &amp; Other</v>
      </c>
      <c r="R3778" s="315" t="str">
        <f t="shared" si="315"/>
        <v>LEX Admin &amp; OtherOther Overheads as % of Total Gross Profit</v>
      </c>
    </row>
    <row r="3779" spans="1:21" x14ac:dyDescent="0.25">
      <c r="A3779" t="s">
        <v>996</v>
      </c>
      <c r="B3779" t="s">
        <v>997</v>
      </c>
      <c r="C3779" t="s">
        <v>997</v>
      </c>
      <c r="D3779">
        <v>8800</v>
      </c>
      <c r="E3779">
        <v>100</v>
      </c>
      <c r="F3779" t="s">
        <v>1364</v>
      </c>
      <c r="G3779" t="s">
        <v>1365</v>
      </c>
      <c r="H3779" s="315" t="s">
        <v>1000</v>
      </c>
      <c r="I3779" s="315" t="s">
        <v>1001</v>
      </c>
      <c r="J3779" s="315" t="str">
        <f t="shared" ref="J3779:J3842" si="316">+H3779&amp;I3779</f>
        <v>Admin &amp; OtherOther Overheads as % of Total Gross Profit</v>
      </c>
      <c r="K3779" s="315" t="str">
        <f t="shared" ref="K3779:K3842" si="317">+E3779&amp;G3779</f>
        <v>100Bad Debts - Toyota</v>
      </c>
      <c r="L3779" s="311">
        <f>+SUMIF('TUNZ Extracted TB'!M:M,$P3779,'TUNZ Extracted TB'!G:G)</f>
        <v>0</v>
      </c>
      <c r="M3779" s="311"/>
      <c r="N3779" s="311">
        <f>+SUMIF('Input Sheet'!$AE:$AE,P3779,'Input Sheet'!$X:$X)</f>
        <v>0</v>
      </c>
      <c r="O3779" s="311"/>
      <c r="P3779" t="str">
        <f t="shared" ref="P3779:P3842" si="318">+E3779&amp;"-"&amp;D3779</f>
        <v>100-8800</v>
      </c>
      <c r="Q3779" s="315" t="str">
        <f t="shared" ref="Q3779:Q3842" si="319">H3779</f>
        <v>Admin &amp; Other</v>
      </c>
      <c r="R3779" s="315" t="str">
        <f t="shared" ref="R3779:R3842" si="320">J3779</f>
        <v>Admin &amp; OtherOther Overheads as % of Total Gross Profit</v>
      </c>
    </row>
    <row r="3780" spans="1:21" x14ac:dyDescent="0.25">
      <c r="A3780" t="s">
        <v>996</v>
      </c>
      <c r="B3780" t="s">
        <v>997</v>
      </c>
      <c r="C3780" t="s">
        <v>997</v>
      </c>
      <c r="D3780">
        <v>8800</v>
      </c>
      <c r="E3780">
        <v>110</v>
      </c>
      <c r="F3780" t="s">
        <v>1364</v>
      </c>
      <c r="G3780" t="s">
        <v>1365</v>
      </c>
      <c r="H3780" s="315" t="s">
        <v>1000</v>
      </c>
      <c r="I3780" s="315" t="s">
        <v>1001</v>
      </c>
      <c r="J3780" s="315" t="str">
        <f t="shared" si="316"/>
        <v>Admin &amp; OtherOther Overheads as % of Total Gross Profit</v>
      </c>
      <c r="K3780" s="315" t="str">
        <f t="shared" si="317"/>
        <v>110Bad Debts - Toyota</v>
      </c>
      <c r="L3780" s="311">
        <f>+SUMIF('TUNZ Extracted TB'!M:M,$P3780,'TUNZ Extracted TB'!G:G)</f>
        <v>0</v>
      </c>
      <c r="M3780" s="311"/>
      <c r="N3780" s="311">
        <f>+SUMIF('Input Sheet'!$AE:$AE,P3780,'Input Sheet'!$X:$X)</f>
        <v>0</v>
      </c>
      <c r="O3780" s="311"/>
      <c r="P3780" t="str">
        <f t="shared" si="318"/>
        <v>110-8800</v>
      </c>
      <c r="Q3780" s="315" t="str">
        <f t="shared" si="319"/>
        <v>Admin &amp; Other</v>
      </c>
      <c r="R3780" s="315" t="str">
        <f t="shared" si="320"/>
        <v>Admin &amp; OtherOther Overheads as % of Total Gross Profit</v>
      </c>
    </row>
    <row r="3781" spans="1:21" x14ac:dyDescent="0.25">
      <c r="A3781" t="s">
        <v>996</v>
      </c>
      <c r="B3781" t="s">
        <v>997</v>
      </c>
      <c r="C3781" t="s">
        <v>997</v>
      </c>
      <c r="D3781">
        <v>8805</v>
      </c>
      <c r="E3781">
        <v>122</v>
      </c>
      <c r="F3781" t="s">
        <v>1449</v>
      </c>
      <c r="G3781" t="s">
        <v>1450</v>
      </c>
      <c r="H3781" s="315" t="s">
        <v>1023</v>
      </c>
      <c r="I3781" s="315" t="s">
        <v>1448</v>
      </c>
      <c r="J3781" s="315" t="str">
        <f t="shared" si="316"/>
        <v>LEX Admin &amp; OtherDepreciation as % of Total Gross Profit</v>
      </c>
      <c r="K3781" s="315" t="str">
        <f t="shared" si="317"/>
        <v>122Depreciation - Lexus</v>
      </c>
      <c r="L3781" s="311">
        <f>+SUMIF('TUNZ Extracted TB'!M:M,$P3781,'TUNZ Extracted TB'!G:G)</f>
        <v>0</v>
      </c>
      <c r="M3781" s="311"/>
      <c r="N3781" s="311">
        <f>+SUMIF('Input Sheet'!$AE:$AE,P3781,'Input Sheet'!$X:$X)</f>
        <v>0</v>
      </c>
      <c r="O3781" s="311"/>
      <c r="P3781" t="str">
        <f t="shared" si="318"/>
        <v>122-8805</v>
      </c>
      <c r="Q3781" s="315" t="str">
        <f t="shared" si="319"/>
        <v>LEX Admin &amp; Other</v>
      </c>
      <c r="R3781" s="315" t="str">
        <f t="shared" si="320"/>
        <v>LEX Admin &amp; OtherDepreciation as % of Total Gross Profit</v>
      </c>
      <c r="S3781" s="199"/>
      <c r="T3781" s="199"/>
      <c r="U3781" s="199"/>
    </row>
    <row r="3782" spans="1:21" x14ac:dyDescent="0.25">
      <c r="A3782" t="s">
        <v>996</v>
      </c>
      <c r="B3782" t="s">
        <v>997</v>
      </c>
      <c r="C3782" t="s">
        <v>997</v>
      </c>
      <c r="D3782">
        <v>8805</v>
      </c>
      <c r="E3782">
        <v>162</v>
      </c>
      <c r="F3782" t="s">
        <v>1449</v>
      </c>
      <c r="G3782" t="s">
        <v>1450</v>
      </c>
      <c r="H3782" s="315" t="s">
        <v>1023</v>
      </c>
      <c r="I3782" s="315" t="s">
        <v>1448</v>
      </c>
      <c r="J3782" s="315" t="str">
        <f t="shared" si="316"/>
        <v>LEX Admin &amp; OtherDepreciation as % of Total Gross Profit</v>
      </c>
      <c r="K3782" s="315" t="str">
        <f t="shared" si="317"/>
        <v>162Depreciation - Lexus</v>
      </c>
      <c r="L3782" s="311">
        <f>+SUMIF('TUNZ Extracted TB'!M:M,$P3782,'TUNZ Extracted TB'!G:G)</f>
        <v>0</v>
      </c>
      <c r="M3782" s="311"/>
      <c r="N3782" s="311">
        <f>+SUMIF('Input Sheet'!$AE:$AE,P3782,'Input Sheet'!$X:$X)</f>
        <v>0</v>
      </c>
      <c r="O3782" s="311"/>
      <c r="P3782" t="str">
        <f t="shared" si="318"/>
        <v>162-8805</v>
      </c>
      <c r="Q3782" s="315" t="str">
        <f t="shared" si="319"/>
        <v>LEX Admin &amp; Other</v>
      </c>
      <c r="R3782" s="315" t="str">
        <f t="shared" si="320"/>
        <v>LEX Admin &amp; OtherDepreciation as % of Total Gross Profit</v>
      </c>
      <c r="S3782" s="199"/>
      <c r="T3782" s="199"/>
      <c r="U3782" s="199"/>
    </row>
    <row r="3783" spans="1:21" x14ac:dyDescent="0.25">
      <c r="A3783" t="s">
        <v>996</v>
      </c>
      <c r="B3783" t="s">
        <v>997</v>
      </c>
      <c r="C3783" t="s">
        <v>1005</v>
      </c>
      <c r="D3783">
        <v>8805</v>
      </c>
      <c r="E3783">
        <v>200</v>
      </c>
      <c r="F3783" t="s">
        <v>1446</v>
      </c>
      <c r="G3783" t="s">
        <v>1447</v>
      </c>
      <c r="H3783" s="315" t="s">
        <v>1000</v>
      </c>
      <c r="I3783" s="315" t="s">
        <v>1448</v>
      </c>
      <c r="J3783" s="315" t="str">
        <f t="shared" si="316"/>
        <v>Admin &amp; OtherDepreciation as % of Total Gross Profit</v>
      </c>
      <c r="K3783" s="315" t="str">
        <f t="shared" si="317"/>
        <v>200Depreciation - Toyota</v>
      </c>
      <c r="L3783" s="311">
        <f>+SUMIF('TUNZ Extracted TB'!M:M,$P3783,'TUNZ Extracted TB'!G:G)</f>
        <v>0</v>
      </c>
      <c r="M3783" s="311"/>
      <c r="N3783" s="311">
        <f>+SUMIF('Input Sheet'!$AE:$AE,P3783,'Input Sheet'!$X:$X)</f>
        <v>0</v>
      </c>
      <c r="O3783" s="311"/>
      <c r="P3783" t="str">
        <f t="shared" si="318"/>
        <v>200-8805</v>
      </c>
      <c r="Q3783" s="315" t="str">
        <f t="shared" si="319"/>
        <v>Admin &amp; Other</v>
      </c>
      <c r="R3783" s="315" t="str">
        <f t="shared" si="320"/>
        <v>Admin &amp; OtherDepreciation as % of Total Gross Profit</v>
      </c>
      <c r="S3783" s="199"/>
      <c r="T3783" s="199"/>
      <c r="U3783" s="199"/>
    </row>
    <row r="3784" spans="1:21" x14ac:dyDescent="0.25">
      <c r="A3784" t="s">
        <v>996</v>
      </c>
      <c r="B3784" t="s">
        <v>997</v>
      </c>
      <c r="C3784" t="s">
        <v>1005</v>
      </c>
      <c r="D3784">
        <v>8805</v>
      </c>
      <c r="E3784">
        <v>210</v>
      </c>
      <c r="F3784" t="s">
        <v>1446</v>
      </c>
      <c r="G3784" t="s">
        <v>1447</v>
      </c>
      <c r="H3784" s="315" t="s">
        <v>1000</v>
      </c>
      <c r="I3784" s="315" t="s">
        <v>1448</v>
      </c>
      <c r="J3784" s="315" t="str">
        <f t="shared" si="316"/>
        <v>Admin &amp; OtherDepreciation as % of Total Gross Profit</v>
      </c>
      <c r="K3784" s="315" t="str">
        <f t="shared" si="317"/>
        <v>210Depreciation - Toyota</v>
      </c>
      <c r="L3784" s="311">
        <f>+SUMIF('TUNZ Extracted TB'!M:M,$P3784,'TUNZ Extracted TB'!G:G)</f>
        <v>0</v>
      </c>
      <c r="M3784" s="311"/>
      <c r="N3784" s="311">
        <f>+SUMIF('Input Sheet'!$AE:$AE,P3784,'Input Sheet'!$X:$X)</f>
        <v>0</v>
      </c>
      <c r="O3784" s="311"/>
      <c r="P3784" t="str">
        <f t="shared" si="318"/>
        <v>210-8805</v>
      </c>
      <c r="Q3784" s="315" t="str">
        <f t="shared" si="319"/>
        <v>Admin &amp; Other</v>
      </c>
      <c r="R3784" s="315" t="str">
        <f t="shared" si="320"/>
        <v>Admin &amp; OtherDepreciation as % of Total Gross Profit</v>
      </c>
      <c r="S3784" s="199"/>
      <c r="T3784" s="199"/>
      <c r="U3784" s="199"/>
    </row>
    <row r="3785" spans="1:21" x14ac:dyDescent="0.25">
      <c r="A3785" t="s">
        <v>996</v>
      </c>
      <c r="B3785" t="s">
        <v>997</v>
      </c>
      <c r="C3785" t="s">
        <v>1005</v>
      </c>
      <c r="D3785">
        <v>8805</v>
      </c>
      <c r="E3785">
        <v>220</v>
      </c>
      <c r="F3785" t="s">
        <v>1446</v>
      </c>
      <c r="G3785" t="s">
        <v>1447</v>
      </c>
      <c r="H3785" s="315" t="s">
        <v>1000</v>
      </c>
      <c r="I3785" s="315" t="s">
        <v>1448</v>
      </c>
      <c r="J3785" s="315" t="str">
        <f t="shared" si="316"/>
        <v>Admin &amp; OtherDepreciation as % of Total Gross Profit</v>
      </c>
      <c r="K3785" s="315" t="str">
        <f t="shared" si="317"/>
        <v>220Depreciation - Toyota</v>
      </c>
      <c r="L3785" s="311">
        <f>+SUMIF('TUNZ Extracted TB'!M:M,$P3785,'TUNZ Extracted TB'!G:G)</f>
        <v>0</v>
      </c>
      <c r="M3785" s="311"/>
      <c r="N3785" s="311">
        <f>+SUMIF('Input Sheet'!$AE:$AE,P3785,'Input Sheet'!$X:$X)</f>
        <v>0</v>
      </c>
      <c r="O3785" s="311"/>
      <c r="P3785" t="str">
        <f t="shared" si="318"/>
        <v>220-8805</v>
      </c>
      <c r="Q3785" s="315" t="str">
        <f t="shared" si="319"/>
        <v>Admin &amp; Other</v>
      </c>
      <c r="R3785" s="315" t="str">
        <f t="shared" si="320"/>
        <v>Admin &amp; OtherDepreciation as % of Total Gross Profit</v>
      </c>
      <c r="S3785" s="199"/>
      <c r="T3785" s="199"/>
      <c r="U3785" s="199"/>
    </row>
    <row r="3786" spans="1:21" x14ac:dyDescent="0.25">
      <c r="A3786" t="s">
        <v>996</v>
      </c>
      <c r="B3786" t="s">
        <v>997</v>
      </c>
      <c r="C3786" t="s">
        <v>1005</v>
      </c>
      <c r="D3786">
        <v>8805</v>
      </c>
      <c r="E3786">
        <v>221</v>
      </c>
      <c r="F3786" t="s">
        <v>1446</v>
      </c>
      <c r="G3786" t="s">
        <v>1447</v>
      </c>
      <c r="H3786" s="315" t="s">
        <v>1000</v>
      </c>
      <c r="I3786" s="315" t="s">
        <v>1448</v>
      </c>
      <c r="J3786" s="315" t="str">
        <f t="shared" si="316"/>
        <v>Admin &amp; OtherDepreciation as % of Total Gross Profit</v>
      </c>
      <c r="K3786" s="315" t="str">
        <f t="shared" si="317"/>
        <v>221Depreciation - Toyota</v>
      </c>
      <c r="L3786" s="311">
        <f>+SUMIF('TUNZ Extracted TB'!M:M,$P3786,'TUNZ Extracted TB'!G:G)</f>
        <v>0</v>
      </c>
      <c r="M3786" s="311"/>
      <c r="N3786" s="311">
        <f>+SUMIF('Input Sheet'!$AE:$AE,P3786,'Input Sheet'!$X:$X)</f>
        <v>0</v>
      </c>
      <c r="O3786" s="311"/>
      <c r="P3786" t="str">
        <f t="shared" si="318"/>
        <v>221-8805</v>
      </c>
      <c r="Q3786" s="315" t="str">
        <f t="shared" si="319"/>
        <v>Admin &amp; Other</v>
      </c>
      <c r="R3786" s="315" t="str">
        <f t="shared" si="320"/>
        <v>Admin &amp; OtherDepreciation as % of Total Gross Profit</v>
      </c>
      <c r="S3786" s="199"/>
      <c r="T3786" s="199"/>
      <c r="U3786" s="199"/>
    </row>
    <row r="3787" spans="1:21" x14ac:dyDescent="0.25">
      <c r="A3787" t="s">
        <v>996</v>
      </c>
      <c r="B3787" t="s">
        <v>997</v>
      </c>
      <c r="C3787" t="s">
        <v>1005</v>
      </c>
      <c r="D3787">
        <v>8805</v>
      </c>
      <c r="E3787">
        <v>230</v>
      </c>
      <c r="F3787" t="s">
        <v>1446</v>
      </c>
      <c r="G3787" t="s">
        <v>1447</v>
      </c>
      <c r="H3787" s="315" t="s">
        <v>1000</v>
      </c>
      <c r="I3787" s="315" t="s">
        <v>1448</v>
      </c>
      <c r="J3787" s="315" t="str">
        <f t="shared" si="316"/>
        <v>Admin &amp; OtherDepreciation as % of Total Gross Profit</v>
      </c>
      <c r="K3787" s="315" t="str">
        <f t="shared" si="317"/>
        <v>230Depreciation - Toyota</v>
      </c>
      <c r="L3787" s="311">
        <f>+SUMIF('TUNZ Extracted TB'!M:M,$P3787,'TUNZ Extracted TB'!G:G)</f>
        <v>0</v>
      </c>
      <c r="M3787" s="311"/>
      <c r="N3787" s="311">
        <f>+SUMIF('Input Sheet'!$AE:$AE,P3787,'Input Sheet'!$X:$X)</f>
        <v>0</v>
      </c>
      <c r="O3787" s="311"/>
      <c r="P3787" t="str">
        <f t="shared" si="318"/>
        <v>230-8805</v>
      </c>
      <c r="Q3787" s="315" t="str">
        <f t="shared" si="319"/>
        <v>Admin &amp; Other</v>
      </c>
      <c r="R3787" s="315" t="str">
        <f t="shared" si="320"/>
        <v>Admin &amp; OtherDepreciation as % of Total Gross Profit</v>
      </c>
      <c r="S3787" s="199"/>
      <c r="T3787" s="199"/>
      <c r="U3787" s="199"/>
    </row>
    <row r="3788" spans="1:21" x14ac:dyDescent="0.25">
      <c r="A3788" t="s">
        <v>996</v>
      </c>
      <c r="B3788" t="s">
        <v>997</v>
      </c>
      <c r="C3788" t="s">
        <v>1005</v>
      </c>
      <c r="D3788">
        <v>8805</v>
      </c>
      <c r="E3788">
        <v>240</v>
      </c>
      <c r="F3788" t="s">
        <v>1446</v>
      </c>
      <c r="G3788" t="s">
        <v>1447</v>
      </c>
      <c r="H3788" s="315" t="s">
        <v>1000</v>
      </c>
      <c r="I3788" s="315" t="s">
        <v>1448</v>
      </c>
      <c r="J3788" s="315" t="str">
        <f t="shared" si="316"/>
        <v>Admin &amp; OtherDepreciation as % of Total Gross Profit</v>
      </c>
      <c r="K3788" s="315" t="str">
        <f t="shared" si="317"/>
        <v>240Depreciation - Toyota</v>
      </c>
      <c r="L3788" s="311">
        <f>+SUMIF('TUNZ Extracted TB'!M:M,$P3788,'TUNZ Extracted TB'!G:G)</f>
        <v>0</v>
      </c>
      <c r="M3788" s="311"/>
      <c r="N3788" s="311">
        <f>+SUMIF('Input Sheet'!$AE:$AE,P3788,'Input Sheet'!$X:$X)</f>
        <v>0</v>
      </c>
      <c r="O3788" s="311"/>
      <c r="P3788" t="str">
        <f t="shared" si="318"/>
        <v>240-8805</v>
      </c>
      <c r="Q3788" s="315" t="str">
        <f t="shared" si="319"/>
        <v>Admin &amp; Other</v>
      </c>
      <c r="R3788" s="315" t="str">
        <f t="shared" si="320"/>
        <v>Admin &amp; OtherDepreciation as % of Total Gross Profit</v>
      </c>
      <c r="S3788" s="199"/>
      <c r="T3788" s="199"/>
      <c r="U3788" s="199"/>
    </row>
    <row r="3789" spans="1:21" x14ac:dyDescent="0.25">
      <c r="A3789" t="s">
        <v>996</v>
      </c>
      <c r="B3789" t="s">
        <v>997</v>
      </c>
      <c r="C3789" t="s">
        <v>1005</v>
      </c>
      <c r="D3789">
        <v>8805</v>
      </c>
      <c r="E3789">
        <v>260</v>
      </c>
      <c r="F3789" t="s">
        <v>1446</v>
      </c>
      <c r="G3789" t="s">
        <v>1447</v>
      </c>
      <c r="H3789" s="315" t="s">
        <v>1000</v>
      </c>
      <c r="I3789" s="315" t="s">
        <v>1448</v>
      </c>
      <c r="J3789" s="315" t="str">
        <f t="shared" si="316"/>
        <v>Admin &amp; OtherDepreciation as % of Total Gross Profit</v>
      </c>
      <c r="K3789" s="315" t="str">
        <f t="shared" si="317"/>
        <v>260Depreciation - Toyota</v>
      </c>
      <c r="L3789" s="311">
        <f>+SUMIF('TUNZ Extracted TB'!M:M,$P3789,'TUNZ Extracted TB'!G:G)</f>
        <v>0</v>
      </c>
      <c r="M3789" s="311"/>
      <c r="N3789" s="311">
        <f>+SUMIF('Input Sheet'!$AE:$AE,P3789,'Input Sheet'!$X:$X)</f>
        <v>0</v>
      </c>
      <c r="O3789" s="311"/>
      <c r="P3789" t="str">
        <f t="shared" si="318"/>
        <v>260-8805</v>
      </c>
      <c r="Q3789" s="315" t="str">
        <f t="shared" si="319"/>
        <v>Admin &amp; Other</v>
      </c>
      <c r="R3789" s="315" t="str">
        <f t="shared" si="320"/>
        <v>Admin &amp; OtherDepreciation as % of Total Gross Profit</v>
      </c>
      <c r="S3789" s="199"/>
      <c r="T3789" s="199"/>
      <c r="U3789" s="199"/>
    </row>
    <row r="3790" spans="1:21" x14ac:dyDescent="0.25">
      <c r="A3790" t="s">
        <v>996</v>
      </c>
      <c r="B3790" t="s">
        <v>997</v>
      </c>
      <c r="C3790" t="s">
        <v>1012</v>
      </c>
      <c r="D3790">
        <v>8805</v>
      </c>
      <c r="E3790">
        <v>400</v>
      </c>
      <c r="F3790" t="s">
        <v>1446</v>
      </c>
      <c r="G3790" t="s">
        <v>1447</v>
      </c>
      <c r="H3790" s="315" t="s">
        <v>1000</v>
      </c>
      <c r="I3790" s="315" t="s">
        <v>1448</v>
      </c>
      <c r="J3790" s="315" t="str">
        <f t="shared" si="316"/>
        <v>Admin &amp; OtherDepreciation as % of Total Gross Profit</v>
      </c>
      <c r="K3790" s="315" t="str">
        <f t="shared" si="317"/>
        <v>400Depreciation - Toyota</v>
      </c>
      <c r="L3790" s="311">
        <f>+SUMIF('TUNZ Extracted TB'!M:M,$P3790,'TUNZ Extracted TB'!G:G)</f>
        <v>0</v>
      </c>
      <c r="M3790" s="311"/>
      <c r="N3790" s="311">
        <f>+SUMIF('Input Sheet'!$AE:$AE,P3790,'Input Sheet'!$X:$X)</f>
        <v>0</v>
      </c>
      <c r="O3790" s="311"/>
      <c r="P3790" t="str">
        <f t="shared" si="318"/>
        <v>400-8805</v>
      </c>
      <c r="Q3790" s="315" t="str">
        <f t="shared" si="319"/>
        <v>Admin &amp; Other</v>
      </c>
      <c r="R3790" s="315" t="str">
        <f t="shared" si="320"/>
        <v>Admin &amp; OtherDepreciation as % of Total Gross Profit</v>
      </c>
      <c r="S3790" s="199"/>
      <c r="T3790" s="199"/>
      <c r="U3790" s="199"/>
    </row>
    <row r="3791" spans="1:21" x14ac:dyDescent="0.25">
      <c r="A3791" t="s">
        <v>996</v>
      </c>
      <c r="B3791" t="s">
        <v>997</v>
      </c>
      <c r="C3791" t="s">
        <v>1012</v>
      </c>
      <c r="D3791">
        <v>8805</v>
      </c>
      <c r="E3791">
        <v>410</v>
      </c>
      <c r="F3791" t="s">
        <v>1446</v>
      </c>
      <c r="G3791" t="s">
        <v>1447</v>
      </c>
      <c r="H3791" s="315" t="s">
        <v>1000</v>
      </c>
      <c r="I3791" s="315" t="s">
        <v>1448</v>
      </c>
      <c r="J3791" s="315" t="str">
        <f t="shared" si="316"/>
        <v>Admin &amp; OtherDepreciation as % of Total Gross Profit</v>
      </c>
      <c r="K3791" s="315" t="str">
        <f t="shared" si="317"/>
        <v>410Depreciation - Toyota</v>
      </c>
      <c r="L3791" s="311">
        <f>+SUMIF('TUNZ Extracted TB'!M:M,$P3791,'TUNZ Extracted TB'!G:G)</f>
        <v>0</v>
      </c>
      <c r="M3791" s="311"/>
      <c r="N3791" s="311">
        <f>+SUMIF('Input Sheet'!$AE:$AE,P3791,'Input Sheet'!$X:$X)</f>
        <v>0</v>
      </c>
      <c r="O3791" s="311"/>
      <c r="P3791" t="str">
        <f t="shared" si="318"/>
        <v>410-8805</v>
      </c>
      <c r="Q3791" s="315" t="str">
        <f t="shared" si="319"/>
        <v>Admin &amp; Other</v>
      </c>
      <c r="R3791" s="315" t="str">
        <f t="shared" si="320"/>
        <v>Admin &amp; OtherDepreciation as % of Total Gross Profit</v>
      </c>
      <c r="S3791" s="199"/>
      <c r="T3791" s="199"/>
      <c r="U3791" s="199"/>
    </row>
    <row r="3792" spans="1:21" x14ac:dyDescent="0.25">
      <c r="A3792" t="s">
        <v>996</v>
      </c>
      <c r="B3792" t="s">
        <v>997</v>
      </c>
      <c r="C3792" t="s">
        <v>1012</v>
      </c>
      <c r="D3792">
        <v>8805</v>
      </c>
      <c r="E3792">
        <v>420</v>
      </c>
      <c r="F3792" t="s">
        <v>1446</v>
      </c>
      <c r="G3792" t="s">
        <v>1447</v>
      </c>
      <c r="H3792" s="315" t="s">
        <v>1000</v>
      </c>
      <c r="I3792" s="315" t="s">
        <v>1448</v>
      </c>
      <c r="J3792" s="315" t="str">
        <f t="shared" si="316"/>
        <v>Admin &amp; OtherDepreciation as % of Total Gross Profit</v>
      </c>
      <c r="K3792" s="315" t="str">
        <f t="shared" si="317"/>
        <v>420Depreciation - Toyota</v>
      </c>
      <c r="L3792" s="311">
        <f>+SUMIF('TUNZ Extracted TB'!M:M,$P3792,'TUNZ Extracted TB'!G:G)</f>
        <v>0</v>
      </c>
      <c r="M3792" s="311"/>
      <c r="N3792" s="311">
        <f>+SUMIF('Input Sheet'!$AE:$AE,P3792,'Input Sheet'!$X:$X)</f>
        <v>0</v>
      </c>
      <c r="O3792" s="311"/>
      <c r="P3792" t="str">
        <f t="shared" si="318"/>
        <v>420-8805</v>
      </c>
      <c r="Q3792" s="315" t="str">
        <f t="shared" si="319"/>
        <v>Admin &amp; Other</v>
      </c>
      <c r="R3792" s="315" t="str">
        <f t="shared" si="320"/>
        <v>Admin &amp; OtherDepreciation as % of Total Gross Profit</v>
      </c>
      <c r="S3792" s="199"/>
      <c r="T3792" s="199"/>
      <c r="U3792" s="199"/>
    </row>
    <row r="3793" spans="1:21" x14ac:dyDescent="0.25">
      <c r="A3793" t="s">
        <v>996</v>
      </c>
      <c r="B3793" t="s">
        <v>997</v>
      </c>
      <c r="C3793" t="s">
        <v>1012</v>
      </c>
      <c r="D3793">
        <v>8805</v>
      </c>
      <c r="E3793">
        <v>421</v>
      </c>
      <c r="F3793" t="s">
        <v>1446</v>
      </c>
      <c r="G3793" t="s">
        <v>1447</v>
      </c>
      <c r="H3793" s="315" t="s">
        <v>1000</v>
      </c>
      <c r="I3793" s="315" t="s">
        <v>1448</v>
      </c>
      <c r="J3793" s="315" t="str">
        <f t="shared" si="316"/>
        <v>Admin &amp; OtherDepreciation as % of Total Gross Profit</v>
      </c>
      <c r="K3793" s="315" t="str">
        <f t="shared" si="317"/>
        <v>421Depreciation - Toyota</v>
      </c>
      <c r="L3793" s="311">
        <f>+SUMIF('TUNZ Extracted TB'!M:M,$P3793,'TUNZ Extracted TB'!G:G)</f>
        <v>0</v>
      </c>
      <c r="M3793" s="311"/>
      <c r="N3793" s="311">
        <f>+SUMIF('Input Sheet'!$AE:$AE,P3793,'Input Sheet'!$X:$X)</f>
        <v>0</v>
      </c>
      <c r="O3793" s="311"/>
      <c r="P3793" t="str">
        <f t="shared" si="318"/>
        <v>421-8805</v>
      </c>
      <c r="Q3793" s="315" t="str">
        <f t="shared" si="319"/>
        <v>Admin &amp; Other</v>
      </c>
      <c r="R3793" s="315" t="str">
        <f t="shared" si="320"/>
        <v>Admin &amp; OtherDepreciation as % of Total Gross Profit</v>
      </c>
      <c r="S3793" s="199"/>
      <c r="T3793" s="199"/>
      <c r="U3793" s="199"/>
    </row>
    <row r="3794" spans="1:21" x14ac:dyDescent="0.25">
      <c r="A3794" t="s">
        <v>996</v>
      </c>
      <c r="B3794" t="s">
        <v>997</v>
      </c>
      <c r="C3794" t="s">
        <v>1012</v>
      </c>
      <c r="D3794">
        <v>8805</v>
      </c>
      <c r="E3794">
        <v>430</v>
      </c>
      <c r="F3794" t="s">
        <v>1446</v>
      </c>
      <c r="G3794" t="s">
        <v>1447</v>
      </c>
      <c r="H3794" s="315" t="s">
        <v>1000</v>
      </c>
      <c r="I3794" s="315" t="s">
        <v>1448</v>
      </c>
      <c r="J3794" s="315" t="str">
        <f t="shared" si="316"/>
        <v>Admin &amp; OtherDepreciation as % of Total Gross Profit</v>
      </c>
      <c r="K3794" s="315" t="str">
        <f t="shared" si="317"/>
        <v>430Depreciation - Toyota</v>
      </c>
      <c r="L3794" s="311">
        <f>+SUMIF('TUNZ Extracted TB'!M:M,$P3794,'TUNZ Extracted TB'!G:G)</f>
        <v>0</v>
      </c>
      <c r="M3794" s="311"/>
      <c r="N3794" s="311">
        <f>+SUMIF('Input Sheet'!$AE:$AE,P3794,'Input Sheet'!$X:$X)</f>
        <v>0</v>
      </c>
      <c r="O3794" s="311"/>
      <c r="P3794" t="str">
        <f t="shared" si="318"/>
        <v>430-8805</v>
      </c>
      <c r="Q3794" s="315" t="str">
        <f t="shared" si="319"/>
        <v>Admin &amp; Other</v>
      </c>
      <c r="R3794" s="315" t="str">
        <f t="shared" si="320"/>
        <v>Admin &amp; OtherDepreciation as % of Total Gross Profit</v>
      </c>
      <c r="S3794" s="199"/>
      <c r="T3794" s="199"/>
      <c r="U3794" s="199"/>
    </row>
    <row r="3795" spans="1:21" x14ac:dyDescent="0.25">
      <c r="A3795" t="s">
        <v>996</v>
      </c>
      <c r="B3795" t="s">
        <v>997</v>
      </c>
      <c r="C3795" t="s">
        <v>1012</v>
      </c>
      <c r="D3795">
        <v>8805</v>
      </c>
      <c r="E3795">
        <v>440</v>
      </c>
      <c r="F3795" t="s">
        <v>1446</v>
      </c>
      <c r="G3795" t="s">
        <v>1447</v>
      </c>
      <c r="H3795" s="315" t="s">
        <v>1000</v>
      </c>
      <c r="I3795" s="315" t="s">
        <v>1448</v>
      </c>
      <c r="J3795" s="315" t="str">
        <f t="shared" si="316"/>
        <v>Admin &amp; OtherDepreciation as % of Total Gross Profit</v>
      </c>
      <c r="K3795" s="315" t="str">
        <f t="shared" si="317"/>
        <v>440Depreciation - Toyota</v>
      </c>
      <c r="L3795" s="311">
        <f>+SUMIF('TUNZ Extracted TB'!M:M,$P3795,'TUNZ Extracted TB'!G:G)</f>
        <v>0</v>
      </c>
      <c r="M3795" s="311"/>
      <c r="N3795" s="311">
        <f>+SUMIF('Input Sheet'!$AE:$AE,P3795,'Input Sheet'!$X:$X)</f>
        <v>0</v>
      </c>
      <c r="O3795" s="311"/>
      <c r="P3795" t="str">
        <f t="shared" si="318"/>
        <v>440-8805</v>
      </c>
      <c r="Q3795" s="315" t="str">
        <f t="shared" si="319"/>
        <v>Admin &amp; Other</v>
      </c>
      <c r="R3795" s="315" t="str">
        <f t="shared" si="320"/>
        <v>Admin &amp; OtherDepreciation as % of Total Gross Profit</v>
      </c>
      <c r="S3795" s="199"/>
      <c r="T3795" s="199"/>
      <c r="U3795" s="199"/>
    </row>
    <row r="3796" spans="1:21" x14ac:dyDescent="0.25">
      <c r="A3796" t="s">
        <v>996</v>
      </c>
      <c r="B3796" t="s">
        <v>997</v>
      </c>
      <c r="C3796" t="s">
        <v>1012</v>
      </c>
      <c r="D3796">
        <v>8805</v>
      </c>
      <c r="E3796">
        <v>460</v>
      </c>
      <c r="F3796" t="s">
        <v>1446</v>
      </c>
      <c r="G3796" t="s">
        <v>1447</v>
      </c>
      <c r="H3796" s="315" t="s">
        <v>1000</v>
      </c>
      <c r="I3796" s="315" t="s">
        <v>1448</v>
      </c>
      <c r="J3796" s="315" t="str">
        <f t="shared" si="316"/>
        <v>Admin &amp; OtherDepreciation as % of Total Gross Profit</v>
      </c>
      <c r="K3796" s="315" t="str">
        <f t="shared" si="317"/>
        <v>460Depreciation - Toyota</v>
      </c>
      <c r="L3796" s="311">
        <f>+SUMIF('TUNZ Extracted TB'!M:M,$P3796,'TUNZ Extracted TB'!G:G)</f>
        <v>0</v>
      </c>
      <c r="M3796" s="311"/>
      <c r="N3796" s="311">
        <f>+SUMIF('Input Sheet'!$AE:$AE,P3796,'Input Sheet'!$X:$X)</f>
        <v>0</v>
      </c>
      <c r="O3796" s="311"/>
      <c r="P3796" t="str">
        <f t="shared" si="318"/>
        <v>460-8805</v>
      </c>
      <c r="Q3796" s="315" t="str">
        <f t="shared" si="319"/>
        <v>Admin &amp; Other</v>
      </c>
      <c r="R3796" s="315" t="str">
        <f t="shared" si="320"/>
        <v>Admin &amp; OtherDepreciation as % of Total Gross Profit</v>
      </c>
      <c r="S3796" s="199"/>
      <c r="T3796" s="199"/>
      <c r="U3796" s="199"/>
    </row>
    <row r="3797" spans="1:21" x14ac:dyDescent="0.25">
      <c r="A3797" t="s">
        <v>996</v>
      </c>
      <c r="B3797" t="s">
        <v>997</v>
      </c>
      <c r="C3797" t="s">
        <v>1013</v>
      </c>
      <c r="D3797">
        <v>8805</v>
      </c>
      <c r="E3797">
        <v>300</v>
      </c>
      <c r="F3797" t="s">
        <v>1446</v>
      </c>
      <c r="G3797" t="s">
        <v>1447</v>
      </c>
      <c r="H3797" s="315" t="s">
        <v>1000</v>
      </c>
      <c r="I3797" s="315" t="s">
        <v>1448</v>
      </c>
      <c r="J3797" s="315" t="str">
        <f t="shared" si="316"/>
        <v>Admin &amp; OtherDepreciation as % of Total Gross Profit</v>
      </c>
      <c r="K3797" s="315" t="str">
        <f t="shared" si="317"/>
        <v>300Depreciation - Toyota</v>
      </c>
      <c r="L3797" s="311">
        <f>+SUMIF('TUNZ Extracted TB'!M:M,$P3797,'TUNZ Extracted TB'!G:G)</f>
        <v>0</v>
      </c>
      <c r="M3797" s="311"/>
      <c r="N3797" s="311">
        <f>+SUMIF('Input Sheet'!$AE:$AE,P3797,'Input Sheet'!$X:$X)</f>
        <v>0</v>
      </c>
      <c r="O3797" s="311"/>
      <c r="P3797" t="str">
        <f t="shared" si="318"/>
        <v>300-8805</v>
      </c>
      <c r="Q3797" s="315" t="str">
        <f t="shared" si="319"/>
        <v>Admin &amp; Other</v>
      </c>
      <c r="R3797" s="315" t="str">
        <f t="shared" si="320"/>
        <v>Admin &amp; OtherDepreciation as % of Total Gross Profit</v>
      </c>
      <c r="S3797" s="199"/>
      <c r="T3797" s="199"/>
      <c r="U3797" s="199"/>
    </row>
    <row r="3798" spans="1:21" x14ac:dyDescent="0.25">
      <c r="A3798" t="s">
        <v>996</v>
      </c>
      <c r="B3798" t="s">
        <v>997</v>
      </c>
      <c r="C3798" t="s">
        <v>1013</v>
      </c>
      <c r="D3798">
        <v>8805</v>
      </c>
      <c r="E3798">
        <v>310</v>
      </c>
      <c r="F3798" t="s">
        <v>1446</v>
      </c>
      <c r="G3798" t="s">
        <v>1447</v>
      </c>
      <c r="H3798" s="315" t="s">
        <v>1000</v>
      </c>
      <c r="I3798" s="315" t="s">
        <v>1448</v>
      </c>
      <c r="J3798" s="315" t="str">
        <f t="shared" si="316"/>
        <v>Admin &amp; OtherDepreciation as % of Total Gross Profit</v>
      </c>
      <c r="K3798" s="315" t="str">
        <f t="shared" si="317"/>
        <v>310Depreciation - Toyota</v>
      </c>
      <c r="L3798" s="311">
        <f>+SUMIF('TUNZ Extracted TB'!M:M,$P3798,'TUNZ Extracted TB'!G:G)</f>
        <v>0</v>
      </c>
      <c r="M3798" s="311"/>
      <c r="N3798" s="311">
        <f>+SUMIF('Input Sheet'!$AE:$AE,P3798,'Input Sheet'!$X:$X)</f>
        <v>0</v>
      </c>
      <c r="O3798" s="311"/>
      <c r="P3798" t="str">
        <f t="shared" si="318"/>
        <v>310-8805</v>
      </c>
      <c r="Q3798" s="315" t="str">
        <f t="shared" si="319"/>
        <v>Admin &amp; Other</v>
      </c>
      <c r="R3798" s="315" t="str">
        <f t="shared" si="320"/>
        <v>Admin &amp; OtherDepreciation as % of Total Gross Profit</v>
      </c>
      <c r="S3798" s="199"/>
      <c r="T3798" s="199"/>
      <c r="U3798" s="199"/>
    </row>
    <row r="3799" spans="1:21" x14ac:dyDescent="0.25">
      <c r="A3799" t="s">
        <v>996</v>
      </c>
      <c r="B3799" t="s">
        <v>997</v>
      </c>
      <c r="C3799" t="s">
        <v>1013</v>
      </c>
      <c r="D3799">
        <v>8805</v>
      </c>
      <c r="E3799">
        <v>321</v>
      </c>
      <c r="F3799" t="s">
        <v>1446</v>
      </c>
      <c r="G3799" t="s">
        <v>1447</v>
      </c>
      <c r="H3799" s="315" t="s">
        <v>1000</v>
      </c>
      <c r="I3799" s="315" t="s">
        <v>1448</v>
      </c>
      <c r="J3799" s="315" t="str">
        <f t="shared" si="316"/>
        <v>Admin &amp; OtherDepreciation as % of Total Gross Profit</v>
      </c>
      <c r="K3799" s="315" t="str">
        <f t="shared" si="317"/>
        <v>321Depreciation - Toyota</v>
      </c>
      <c r="L3799" s="311">
        <f>+SUMIF('TUNZ Extracted TB'!M:M,$P3799,'TUNZ Extracted TB'!G:G)</f>
        <v>0</v>
      </c>
      <c r="M3799" s="311"/>
      <c r="N3799" s="311">
        <f>+SUMIF('Input Sheet'!$AE:$AE,P3799,'Input Sheet'!$X:$X)</f>
        <v>0</v>
      </c>
      <c r="O3799" s="311"/>
      <c r="P3799" t="str">
        <f t="shared" si="318"/>
        <v>321-8805</v>
      </c>
      <c r="Q3799" s="315" t="str">
        <f t="shared" si="319"/>
        <v>Admin &amp; Other</v>
      </c>
      <c r="R3799" s="315" t="str">
        <f t="shared" si="320"/>
        <v>Admin &amp; OtherDepreciation as % of Total Gross Profit</v>
      </c>
      <c r="S3799" s="199"/>
      <c r="T3799" s="199"/>
      <c r="U3799" s="199"/>
    </row>
    <row r="3800" spans="1:21" x14ac:dyDescent="0.25">
      <c r="A3800" t="s">
        <v>996</v>
      </c>
      <c r="B3800" t="s">
        <v>997</v>
      </c>
      <c r="C3800" t="s">
        <v>1013</v>
      </c>
      <c r="D3800">
        <v>8805</v>
      </c>
      <c r="E3800">
        <v>330</v>
      </c>
      <c r="F3800" t="s">
        <v>1446</v>
      </c>
      <c r="G3800" t="s">
        <v>1447</v>
      </c>
      <c r="H3800" s="315" t="s">
        <v>1000</v>
      </c>
      <c r="I3800" s="315" t="s">
        <v>1448</v>
      </c>
      <c r="J3800" s="315" t="str">
        <f t="shared" si="316"/>
        <v>Admin &amp; OtherDepreciation as % of Total Gross Profit</v>
      </c>
      <c r="K3800" s="315" t="str">
        <f t="shared" si="317"/>
        <v>330Depreciation - Toyota</v>
      </c>
      <c r="L3800" s="311">
        <f>+SUMIF('TUNZ Extracted TB'!M:M,$P3800,'TUNZ Extracted TB'!G:G)</f>
        <v>0</v>
      </c>
      <c r="M3800" s="311"/>
      <c r="N3800" s="311">
        <f>+SUMIF('Input Sheet'!$AE:$AE,P3800,'Input Sheet'!$X:$X)</f>
        <v>0</v>
      </c>
      <c r="O3800" s="311"/>
      <c r="P3800" t="str">
        <f t="shared" si="318"/>
        <v>330-8805</v>
      </c>
      <c r="Q3800" s="315" t="str">
        <f t="shared" si="319"/>
        <v>Admin &amp; Other</v>
      </c>
      <c r="R3800" s="315" t="str">
        <f t="shared" si="320"/>
        <v>Admin &amp; OtherDepreciation as % of Total Gross Profit</v>
      </c>
      <c r="S3800" s="199"/>
      <c r="T3800" s="199"/>
      <c r="U3800" s="199"/>
    </row>
    <row r="3801" spans="1:21" x14ac:dyDescent="0.25">
      <c r="A3801" t="s">
        <v>996</v>
      </c>
      <c r="B3801" t="s">
        <v>997</v>
      </c>
      <c r="C3801" t="s">
        <v>1013</v>
      </c>
      <c r="D3801">
        <v>8805</v>
      </c>
      <c r="E3801">
        <v>340</v>
      </c>
      <c r="F3801" t="s">
        <v>1446</v>
      </c>
      <c r="G3801" t="s">
        <v>1447</v>
      </c>
      <c r="H3801" s="315" t="s">
        <v>1000</v>
      </c>
      <c r="I3801" s="315" t="s">
        <v>1448</v>
      </c>
      <c r="J3801" s="315" t="str">
        <f t="shared" si="316"/>
        <v>Admin &amp; OtherDepreciation as % of Total Gross Profit</v>
      </c>
      <c r="K3801" s="315" t="str">
        <f t="shared" si="317"/>
        <v>340Depreciation - Toyota</v>
      </c>
      <c r="L3801" s="311">
        <f>+SUMIF('TUNZ Extracted TB'!M:M,$P3801,'TUNZ Extracted TB'!G:G)</f>
        <v>0</v>
      </c>
      <c r="M3801" s="311"/>
      <c r="N3801" s="311">
        <f>+SUMIF('Input Sheet'!$AE:$AE,P3801,'Input Sheet'!$X:$X)</f>
        <v>0</v>
      </c>
      <c r="O3801" s="311"/>
      <c r="P3801" t="str">
        <f t="shared" si="318"/>
        <v>340-8805</v>
      </c>
      <c r="Q3801" s="315" t="str">
        <f t="shared" si="319"/>
        <v>Admin &amp; Other</v>
      </c>
      <c r="R3801" s="315" t="str">
        <f t="shared" si="320"/>
        <v>Admin &amp; OtherDepreciation as % of Total Gross Profit</v>
      </c>
      <c r="S3801" s="199"/>
      <c r="T3801" s="199"/>
      <c r="U3801" s="199"/>
    </row>
    <row r="3802" spans="1:21" x14ac:dyDescent="0.25">
      <c r="A3802" t="s">
        <v>996</v>
      </c>
      <c r="B3802" t="s">
        <v>997</v>
      </c>
      <c r="C3802" t="s">
        <v>1013</v>
      </c>
      <c r="D3802">
        <v>8805</v>
      </c>
      <c r="E3802">
        <v>360</v>
      </c>
      <c r="F3802" t="s">
        <v>1446</v>
      </c>
      <c r="G3802" t="s">
        <v>1447</v>
      </c>
      <c r="H3802" s="315" t="s">
        <v>1000</v>
      </c>
      <c r="I3802" s="315" t="s">
        <v>1448</v>
      </c>
      <c r="J3802" s="315" t="str">
        <f t="shared" si="316"/>
        <v>Admin &amp; OtherDepreciation as % of Total Gross Profit</v>
      </c>
      <c r="K3802" s="315" t="str">
        <f t="shared" si="317"/>
        <v>360Depreciation - Toyota</v>
      </c>
      <c r="L3802" s="311">
        <f>+SUMIF('TUNZ Extracted TB'!M:M,$P3802,'TUNZ Extracted TB'!G:G)</f>
        <v>0</v>
      </c>
      <c r="M3802" s="311"/>
      <c r="N3802" s="311">
        <f>+SUMIF('Input Sheet'!$AE:$AE,P3802,'Input Sheet'!$X:$X)</f>
        <v>0</v>
      </c>
      <c r="O3802" s="311"/>
      <c r="P3802" t="str">
        <f t="shared" si="318"/>
        <v>360-8805</v>
      </c>
      <c r="Q3802" s="315" t="str">
        <f t="shared" si="319"/>
        <v>Admin &amp; Other</v>
      </c>
      <c r="R3802" s="315" t="str">
        <f t="shared" si="320"/>
        <v>Admin &amp; OtherDepreciation as % of Total Gross Profit</v>
      </c>
      <c r="S3802" s="199"/>
      <c r="T3802" s="199"/>
      <c r="U3802" s="199"/>
    </row>
    <row r="3803" spans="1:21" x14ac:dyDescent="0.25">
      <c r="A3803" t="s">
        <v>996</v>
      </c>
      <c r="B3803" t="s">
        <v>997</v>
      </c>
      <c r="C3803" t="s">
        <v>997</v>
      </c>
      <c r="D3803">
        <v>8805</v>
      </c>
      <c r="E3803">
        <v>120</v>
      </c>
      <c r="F3803" t="s">
        <v>1446</v>
      </c>
      <c r="G3803" t="s">
        <v>1447</v>
      </c>
      <c r="H3803" s="315" t="s">
        <v>1000</v>
      </c>
      <c r="I3803" s="315" t="s">
        <v>1448</v>
      </c>
      <c r="J3803" s="315" t="str">
        <f t="shared" si="316"/>
        <v>Admin &amp; OtherDepreciation as % of Total Gross Profit</v>
      </c>
      <c r="K3803" s="315" t="str">
        <f t="shared" si="317"/>
        <v>120Depreciation - Toyota</v>
      </c>
      <c r="L3803" s="311">
        <f>+SUMIF('TUNZ Extracted TB'!M:M,$P3803,'TUNZ Extracted TB'!G:G)</f>
        <v>0</v>
      </c>
      <c r="M3803" s="311"/>
      <c r="N3803" s="311">
        <f>+SUMIF('Input Sheet'!$AE:$AE,P3803,'Input Sheet'!$X:$X)</f>
        <v>0</v>
      </c>
      <c r="O3803" s="311"/>
      <c r="P3803" t="str">
        <f t="shared" si="318"/>
        <v>120-8805</v>
      </c>
      <c r="Q3803" s="315" t="str">
        <f t="shared" si="319"/>
        <v>Admin &amp; Other</v>
      </c>
      <c r="R3803" s="315" t="str">
        <f t="shared" si="320"/>
        <v>Admin &amp; OtherDepreciation as % of Total Gross Profit</v>
      </c>
      <c r="S3803" s="199"/>
      <c r="T3803" s="199"/>
      <c r="U3803" s="199"/>
    </row>
    <row r="3804" spans="1:21" x14ac:dyDescent="0.25">
      <c r="A3804" t="s">
        <v>996</v>
      </c>
      <c r="B3804" t="s">
        <v>997</v>
      </c>
      <c r="C3804" t="s">
        <v>997</v>
      </c>
      <c r="D3804">
        <v>8805</v>
      </c>
      <c r="E3804">
        <v>121</v>
      </c>
      <c r="F3804" t="s">
        <v>1446</v>
      </c>
      <c r="G3804" t="s">
        <v>1447</v>
      </c>
      <c r="H3804" s="315" t="s">
        <v>1000</v>
      </c>
      <c r="I3804" s="315" t="s">
        <v>1448</v>
      </c>
      <c r="J3804" s="315" t="str">
        <f t="shared" si="316"/>
        <v>Admin &amp; OtherDepreciation as % of Total Gross Profit</v>
      </c>
      <c r="K3804" s="315" t="str">
        <f t="shared" si="317"/>
        <v>121Depreciation - Toyota</v>
      </c>
      <c r="L3804" s="311">
        <f>+SUMIF('TUNZ Extracted TB'!M:M,$P3804,'TUNZ Extracted TB'!G:G)</f>
        <v>0</v>
      </c>
      <c r="M3804" s="311"/>
      <c r="N3804" s="311">
        <f>+SUMIF('Input Sheet'!$AE:$AE,P3804,'Input Sheet'!$X:$X)</f>
        <v>0</v>
      </c>
      <c r="O3804" s="311"/>
      <c r="P3804" t="str">
        <f t="shared" si="318"/>
        <v>121-8805</v>
      </c>
      <c r="Q3804" s="315" t="str">
        <f t="shared" si="319"/>
        <v>Admin &amp; Other</v>
      </c>
      <c r="R3804" s="315" t="str">
        <f t="shared" si="320"/>
        <v>Admin &amp; OtherDepreciation as % of Total Gross Profit</v>
      </c>
      <c r="S3804" s="199"/>
      <c r="T3804" s="199"/>
      <c r="U3804" s="199"/>
    </row>
    <row r="3805" spans="1:21" x14ac:dyDescent="0.25">
      <c r="A3805" t="s">
        <v>996</v>
      </c>
      <c r="B3805" t="s">
        <v>997</v>
      </c>
      <c r="C3805" t="s">
        <v>997</v>
      </c>
      <c r="D3805">
        <v>8805</v>
      </c>
      <c r="E3805">
        <v>147</v>
      </c>
      <c r="F3805" t="s">
        <v>1446</v>
      </c>
      <c r="G3805" t="s">
        <v>1447</v>
      </c>
      <c r="H3805" s="315" t="s">
        <v>1000</v>
      </c>
      <c r="I3805" s="315" t="s">
        <v>1448</v>
      </c>
      <c r="J3805" s="315" t="str">
        <f t="shared" si="316"/>
        <v>Admin &amp; OtherDepreciation as % of Total Gross Profit</v>
      </c>
      <c r="K3805" s="315" t="str">
        <f t="shared" si="317"/>
        <v>147Depreciation - Toyota</v>
      </c>
      <c r="L3805" s="311">
        <f>+SUMIF('TUNZ Extracted TB'!M:M,$P3805,'TUNZ Extracted TB'!G:G)</f>
        <v>0</v>
      </c>
      <c r="M3805" s="311"/>
      <c r="N3805" s="311">
        <f>+SUMIF('Input Sheet'!$AE:$AE,P3805,'Input Sheet'!$X:$X)</f>
        <v>0</v>
      </c>
      <c r="O3805" s="311"/>
      <c r="P3805" t="str">
        <f t="shared" si="318"/>
        <v>147-8805</v>
      </c>
      <c r="Q3805" s="315" t="str">
        <f t="shared" si="319"/>
        <v>Admin &amp; Other</v>
      </c>
      <c r="R3805" s="315" t="str">
        <f t="shared" si="320"/>
        <v>Admin &amp; OtherDepreciation as % of Total Gross Profit</v>
      </c>
      <c r="S3805" s="199"/>
      <c r="T3805" s="199"/>
      <c r="U3805" s="199"/>
    </row>
    <row r="3806" spans="1:21" x14ac:dyDescent="0.25">
      <c r="A3806" t="s">
        <v>996</v>
      </c>
      <c r="B3806" t="s">
        <v>997</v>
      </c>
      <c r="C3806" t="s">
        <v>997</v>
      </c>
      <c r="D3806">
        <v>8805</v>
      </c>
      <c r="E3806">
        <v>160</v>
      </c>
      <c r="F3806" t="s">
        <v>1446</v>
      </c>
      <c r="G3806" t="s">
        <v>1447</v>
      </c>
      <c r="H3806" s="315" t="s">
        <v>1000</v>
      </c>
      <c r="I3806" s="315" t="s">
        <v>1448</v>
      </c>
      <c r="J3806" s="315" t="str">
        <f t="shared" si="316"/>
        <v>Admin &amp; OtherDepreciation as % of Total Gross Profit</v>
      </c>
      <c r="K3806" s="315" t="str">
        <f t="shared" si="317"/>
        <v>160Depreciation - Toyota</v>
      </c>
      <c r="L3806" s="311">
        <f>+SUMIF('TUNZ Extracted TB'!M:M,$P3806,'TUNZ Extracted TB'!G:G)</f>
        <v>0</v>
      </c>
      <c r="M3806" s="311"/>
      <c r="N3806" s="311">
        <f>+SUMIF('Input Sheet'!$AE:$AE,P3806,'Input Sheet'!$X:$X)</f>
        <v>0</v>
      </c>
      <c r="O3806" s="311"/>
      <c r="P3806" t="str">
        <f t="shared" si="318"/>
        <v>160-8805</v>
      </c>
      <c r="Q3806" s="315" t="str">
        <f t="shared" si="319"/>
        <v>Admin &amp; Other</v>
      </c>
      <c r="R3806" s="315" t="str">
        <f t="shared" si="320"/>
        <v>Admin &amp; OtherDepreciation as % of Total Gross Profit</v>
      </c>
      <c r="S3806" s="199"/>
      <c r="T3806" s="199"/>
      <c r="U3806" s="199"/>
    </row>
    <row r="3807" spans="1:21" x14ac:dyDescent="0.25">
      <c r="A3807" t="s">
        <v>996</v>
      </c>
      <c r="B3807" t="s">
        <v>997</v>
      </c>
      <c r="C3807" t="s">
        <v>997</v>
      </c>
      <c r="D3807">
        <v>8805</v>
      </c>
      <c r="E3807">
        <v>936</v>
      </c>
      <c r="F3807" t="s">
        <v>1175</v>
      </c>
      <c r="G3807" t="s">
        <v>1176</v>
      </c>
      <c r="H3807" s="315" t="s">
        <v>1023</v>
      </c>
      <c r="I3807" s="315" t="s">
        <v>1448</v>
      </c>
      <c r="J3807" s="315" t="str">
        <f t="shared" si="316"/>
        <v>LEX Admin &amp; OtherDepreciation as % of Total Gross Profit</v>
      </c>
      <c r="K3807" s="315" t="str">
        <f t="shared" si="317"/>
        <v>936Other franchise/business expense</v>
      </c>
      <c r="L3807" s="311">
        <f>+SUMIF('TUNZ Extracted TB'!M:M,$P3807,'TUNZ Extracted TB'!G:G)</f>
        <v>0</v>
      </c>
      <c r="M3807" s="311"/>
      <c r="N3807" s="311">
        <f>+SUMIF('Input Sheet'!$AE:$AE,P3807,'Input Sheet'!$X:$X)</f>
        <v>0</v>
      </c>
      <c r="O3807" s="311"/>
      <c r="P3807" t="str">
        <f t="shared" si="318"/>
        <v>936-8805</v>
      </c>
      <c r="Q3807" s="315" t="str">
        <f t="shared" si="319"/>
        <v>LEX Admin &amp; Other</v>
      </c>
      <c r="R3807" s="315" t="str">
        <f t="shared" si="320"/>
        <v>LEX Admin &amp; OtherDepreciation as % of Total Gross Profit</v>
      </c>
      <c r="S3807" s="199"/>
      <c r="T3807" s="199"/>
      <c r="U3807" s="199"/>
    </row>
    <row r="3808" spans="1:21" x14ac:dyDescent="0.25">
      <c r="A3808" t="s">
        <v>996</v>
      </c>
      <c r="B3808" t="s">
        <v>997</v>
      </c>
      <c r="C3808" t="s">
        <v>997</v>
      </c>
      <c r="D3808">
        <v>8805</v>
      </c>
      <c r="E3808">
        <v>935</v>
      </c>
      <c r="F3808" t="s">
        <v>1175</v>
      </c>
      <c r="G3808" t="s">
        <v>1176</v>
      </c>
      <c r="H3808" s="315" t="s">
        <v>1023</v>
      </c>
      <c r="I3808" s="315" t="s">
        <v>1448</v>
      </c>
      <c r="J3808" s="315" t="str">
        <f t="shared" si="316"/>
        <v>LEX Admin &amp; OtherDepreciation as % of Total Gross Profit</v>
      </c>
      <c r="K3808" s="315" t="str">
        <f t="shared" si="317"/>
        <v>935Other franchise/business expense</v>
      </c>
      <c r="L3808" s="311">
        <f>+SUMIF('TUNZ Extracted TB'!M:M,$P3808,'TUNZ Extracted TB'!G:G)</f>
        <v>0</v>
      </c>
      <c r="M3808" s="311"/>
      <c r="N3808" s="311">
        <f>+SUMIF('Input Sheet'!$AE:$AE,P3808,'Input Sheet'!$X:$X)</f>
        <v>0</v>
      </c>
      <c r="O3808" s="311"/>
      <c r="P3808" t="str">
        <f t="shared" si="318"/>
        <v>935-8805</v>
      </c>
      <c r="Q3808" s="315" t="str">
        <f t="shared" si="319"/>
        <v>LEX Admin &amp; Other</v>
      </c>
      <c r="R3808" s="315" t="str">
        <f t="shared" si="320"/>
        <v>LEX Admin &amp; OtherDepreciation as % of Total Gross Profit</v>
      </c>
      <c r="S3808" s="199"/>
      <c r="T3808" s="199"/>
      <c r="U3808" s="199"/>
    </row>
    <row r="3809" spans="1:21" x14ac:dyDescent="0.25">
      <c r="A3809" t="s">
        <v>996</v>
      </c>
      <c r="B3809" t="s">
        <v>997</v>
      </c>
      <c r="C3809" t="s">
        <v>997</v>
      </c>
      <c r="D3809">
        <v>8805</v>
      </c>
      <c r="E3809">
        <v>140</v>
      </c>
      <c r="F3809" t="s">
        <v>1446</v>
      </c>
      <c r="G3809" t="s">
        <v>1447</v>
      </c>
      <c r="H3809" s="315" t="s">
        <v>1000</v>
      </c>
      <c r="I3809" s="315" t="s">
        <v>1448</v>
      </c>
      <c r="J3809" s="315" t="str">
        <f t="shared" si="316"/>
        <v>Admin &amp; OtherDepreciation as % of Total Gross Profit</v>
      </c>
      <c r="K3809" s="315" t="str">
        <f t="shared" si="317"/>
        <v>140Depreciation - Toyota</v>
      </c>
      <c r="L3809" s="311">
        <f>+SUMIF('TUNZ Extracted TB'!M:M,$P3809,'TUNZ Extracted TB'!G:G)</f>
        <v>0</v>
      </c>
      <c r="M3809" s="311"/>
      <c r="N3809" s="311">
        <f>+SUMIF('Input Sheet'!$AE:$AE,P3809,'Input Sheet'!$X:$X)</f>
        <v>0</v>
      </c>
      <c r="O3809" s="311"/>
      <c r="P3809" t="str">
        <f t="shared" si="318"/>
        <v>140-8805</v>
      </c>
      <c r="Q3809" s="315" t="str">
        <f t="shared" si="319"/>
        <v>Admin &amp; Other</v>
      </c>
      <c r="R3809" s="315" t="str">
        <f t="shared" si="320"/>
        <v>Admin &amp; OtherDepreciation as % of Total Gross Profit</v>
      </c>
      <c r="S3809" s="199"/>
      <c r="T3809" s="199"/>
      <c r="U3809" s="199"/>
    </row>
    <row r="3810" spans="1:21" x14ac:dyDescent="0.25">
      <c r="A3810" t="s">
        <v>996</v>
      </c>
      <c r="B3810" t="s">
        <v>997</v>
      </c>
      <c r="C3810" t="s">
        <v>997</v>
      </c>
      <c r="D3810">
        <v>8805</v>
      </c>
      <c r="E3810">
        <v>142</v>
      </c>
      <c r="F3810" t="s">
        <v>1449</v>
      </c>
      <c r="G3810" t="s">
        <v>1450</v>
      </c>
      <c r="H3810" s="315" t="s">
        <v>1023</v>
      </c>
      <c r="I3810" s="315" t="s">
        <v>1448</v>
      </c>
      <c r="J3810" s="315" t="str">
        <f t="shared" si="316"/>
        <v>LEX Admin &amp; OtherDepreciation as % of Total Gross Profit</v>
      </c>
      <c r="K3810" s="315" t="str">
        <f t="shared" si="317"/>
        <v>142Depreciation - Lexus</v>
      </c>
      <c r="L3810" s="311">
        <f>+SUMIF('TUNZ Extracted TB'!M:M,$P3810,'TUNZ Extracted TB'!G:G)</f>
        <v>0</v>
      </c>
      <c r="M3810" s="311"/>
      <c r="N3810" s="311">
        <f>+SUMIF('Input Sheet'!$AE:$AE,P3810,'Input Sheet'!$X:$X)</f>
        <v>0</v>
      </c>
      <c r="O3810" s="311"/>
      <c r="P3810" t="str">
        <f t="shared" si="318"/>
        <v>142-8805</v>
      </c>
      <c r="Q3810" s="315" t="str">
        <f t="shared" si="319"/>
        <v>LEX Admin &amp; Other</v>
      </c>
      <c r="R3810" s="315" t="str">
        <f t="shared" si="320"/>
        <v>LEX Admin &amp; OtherDepreciation as % of Total Gross Profit</v>
      </c>
      <c r="S3810" s="199"/>
      <c r="T3810" s="199"/>
      <c r="U3810" s="199"/>
    </row>
    <row r="3811" spans="1:21" x14ac:dyDescent="0.25">
      <c r="A3811" t="s">
        <v>996</v>
      </c>
      <c r="B3811" t="s">
        <v>997</v>
      </c>
      <c r="C3811" t="s">
        <v>997</v>
      </c>
      <c r="D3811">
        <v>8805</v>
      </c>
      <c r="E3811">
        <v>132</v>
      </c>
      <c r="F3811" t="s">
        <v>1449</v>
      </c>
      <c r="G3811" t="s">
        <v>1450</v>
      </c>
      <c r="H3811" s="315" t="s">
        <v>1023</v>
      </c>
      <c r="I3811" s="315" t="s">
        <v>1448</v>
      </c>
      <c r="J3811" s="315" t="str">
        <f t="shared" si="316"/>
        <v>LEX Admin &amp; OtherDepreciation as % of Total Gross Profit</v>
      </c>
      <c r="K3811" s="315" t="str">
        <f t="shared" si="317"/>
        <v>132Depreciation - Lexus</v>
      </c>
      <c r="L3811" s="311">
        <f>+SUMIF('TUNZ Extracted TB'!M:M,$P3811,'TUNZ Extracted TB'!G:G)</f>
        <v>0</v>
      </c>
      <c r="M3811" s="311"/>
      <c r="N3811" s="311">
        <f>+SUMIF('Input Sheet'!$AE:$AE,P3811,'Input Sheet'!$X:$X)</f>
        <v>0</v>
      </c>
      <c r="O3811" s="311"/>
      <c r="P3811" t="str">
        <f t="shared" si="318"/>
        <v>132-8805</v>
      </c>
      <c r="Q3811" s="315" t="str">
        <f t="shared" si="319"/>
        <v>LEX Admin &amp; Other</v>
      </c>
      <c r="R3811" s="315" t="str">
        <f t="shared" si="320"/>
        <v>LEX Admin &amp; OtherDepreciation as % of Total Gross Profit</v>
      </c>
      <c r="S3811" s="199"/>
      <c r="T3811" s="199"/>
      <c r="U3811" s="199"/>
    </row>
    <row r="3812" spans="1:21" x14ac:dyDescent="0.25">
      <c r="A3812" t="s">
        <v>996</v>
      </c>
      <c r="B3812" t="s">
        <v>997</v>
      </c>
      <c r="C3812" t="s">
        <v>997</v>
      </c>
      <c r="D3812">
        <v>8805</v>
      </c>
      <c r="E3812">
        <v>130</v>
      </c>
      <c r="F3812" t="s">
        <v>1446</v>
      </c>
      <c r="G3812" t="s">
        <v>1447</v>
      </c>
      <c r="H3812" s="315" t="s">
        <v>1000</v>
      </c>
      <c r="I3812" s="315" t="s">
        <v>1448</v>
      </c>
      <c r="J3812" s="315" t="str">
        <f t="shared" si="316"/>
        <v>Admin &amp; OtherDepreciation as % of Total Gross Profit</v>
      </c>
      <c r="K3812" s="315" t="str">
        <f t="shared" si="317"/>
        <v>130Depreciation - Toyota</v>
      </c>
      <c r="L3812" s="311">
        <f>+SUMIF('TUNZ Extracted TB'!M:M,$P3812,'TUNZ Extracted TB'!G:G)</f>
        <v>0</v>
      </c>
      <c r="M3812" s="311"/>
      <c r="N3812" s="311">
        <f>+SUMIF('Input Sheet'!$AE:$AE,P3812,'Input Sheet'!$X:$X)</f>
        <v>0</v>
      </c>
      <c r="O3812" s="311"/>
      <c r="P3812" t="str">
        <f t="shared" si="318"/>
        <v>130-8805</v>
      </c>
      <c r="Q3812" s="315" t="str">
        <f t="shared" si="319"/>
        <v>Admin &amp; Other</v>
      </c>
      <c r="R3812" s="315" t="str">
        <f t="shared" si="320"/>
        <v>Admin &amp; OtherDepreciation as % of Total Gross Profit</v>
      </c>
      <c r="S3812" s="199"/>
      <c r="T3812" s="199"/>
      <c r="U3812" s="199"/>
    </row>
    <row r="3813" spans="1:21" x14ac:dyDescent="0.25">
      <c r="A3813" t="s">
        <v>996</v>
      </c>
      <c r="B3813" t="s">
        <v>997</v>
      </c>
      <c r="C3813" t="s">
        <v>997</v>
      </c>
      <c r="D3813">
        <v>8805</v>
      </c>
      <c r="E3813">
        <v>112</v>
      </c>
      <c r="F3813" t="s">
        <v>1449</v>
      </c>
      <c r="G3813" t="s">
        <v>1450</v>
      </c>
      <c r="H3813" s="315" t="s">
        <v>1023</v>
      </c>
      <c r="I3813" s="315" t="s">
        <v>1448</v>
      </c>
      <c r="J3813" s="315" t="str">
        <f t="shared" si="316"/>
        <v>LEX Admin &amp; OtherDepreciation as % of Total Gross Profit</v>
      </c>
      <c r="K3813" s="315" t="str">
        <f t="shared" si="317"/>
        <v>112Depreciation - Lexus</v>
      </c>
      <c r="L3813" s="311">
        <f>+SUMIF('TUNZ Extracted TB'!M:M,$P3813,'TUNZ Extracted TB'!G:G)</f>
        <v>0</v>
      </c>
      <c r="M3813" s="311"/>
      <c r="N3813" s="311">
        <f>+SUMIF('Input Sheet'!$AE:$AE,P3813,'Input Sheet'!$X:$X)</f>
        <v>0</v>
      </c>
      <c r="O3813" s="311"/>
      <c r="P3813" t="str">
        <f t="shared" si="318"/>
        <v>112-8805</v>
      </c>
      <c r="Q3813" s="315" t="str">
        <f t="shared" si="319"/>
        <v>LEX Admin &amp; Other</v>
      </c>
      <c r="R3813" s="315" t="str">
        <f t="shared" si="320"/>
        <v>LEX Admin &amp; OtherDepreciation as % of Total Gross Profit</v>
      </c>
    </row>
    <row r="3814" spans="1:21" x14ac:dyDescent="0.25">
      <c r="A3814" t="s">
        <v>996</v>
      </c>
      <c r="B3814" t="s">
        <v>997</v>
      </c>
      <c r="C3814" t="s">
        <v>997</v>
      </c>
      <c r="D3814">
        <v>8805</v>
      </c>
      <c r="E3814">
        <v>100</v>
      </c>
      <c r="F3814" t="s">
        <v>1446</v>
      </c>
      <c r="G3814" t="s">
        <v>1447</v>
      </c>
      <c r="H3814" s="315" t="s">
        <v>1000</v>
      </c>
      <c r="I3814" s="315" t="s">
        <v>1448</v>
      </c>
      <c r="J3814" s="315" t="str">
        <f t="shared" si="316"/>
        <v>Admin &amp; OtherDepreciation as % of Total Gross Profit</v>
      </c>
      <c r="K3814" s="315" t="str">
        <f t="shared" si="317"/>
        <v>100Depreciation - Toyota</v>
      </c>
      <c r="L3814" s="311">
        <f>+SUMIF('TUNZ Extracted TB'!M:M,$P3814,'TUNZ Extracted TB'!G:G)</f>
        <v>0</v>
      </c>
      <c r="M3814" s="311"/>
      <c r="N3814" s="311">
        <f>+SUMIF('Input Sheet'!$AE:$AE,P3814,'Input Sheet'!$X:$X)</f>
        <v>0</v>
      </c>
      <c r="O3814" s="311"/>
      <c r="P3814" t="str">
        <f t="shared" si="318"/>
        <v>100-8805</v>
      </c>
      <c r="Q3814" s="315" t="str">
        <f t="shared" si="319"/>
        <v>Admin &amp; Other</v>
      </c>
      <c r="R3814" s="315" t="str">
        <f t="shared" si="320"/>
        <v>Admin &amp; OtherDepreciation as % of Total Gross Profit</v>
      </c>
    </row>
    <row r="3815" spans="1:21" x14ac:dyDescent="0.25">
      <c r="A3815" t="s">
        <v>996</v>
      </c>
      <c r="B3815" t="s">
        <v>997</v>
      </c>
      <c r="C3815" t="s">
        <v>997</v>
      </c>
      <c r="D3815">
        <v>8805</v>
      </c>
      <c r="E3815">
        <v>110</v>
      </c>
      <c r="F3815" t="s">
        <v>1446</v>
      </c>
      <c r="G3815" t="s">
        <v>1447</v>
      </c>
      <c r="H3815" s="315" t="s">
        <v>1000</v>
      </c>
      <c r="I3815" s="315" t="s">
        <v>1448</v>
      </c>
      <c r="J3815" s="315" t="str">
        <f t="shared" si="316"/>
        <v>Admin &amp; OtherDepreciation as % of Total Gross Profit</v>
      </c>
      <c r="K3815" s="315" t="str">
        <f t="shared" si="317"/>
        <v>110Depreciation - Toyota</v>
      </c>
      <c r="L3815" s="311">
        <f>+SUMIF('TUNZ Extracted TB'!M:M,$P3815,'TUNZ Extracted TB'!G:G)</f>
        <v>0</v>
      </c>
      <c r="M3815" s="311"/>
      <c r="N3815" s="311">
        <f>+SUMIF('Input Sheet'!$AE:$AE,P3815,'Input Sheet'!$X:$X)</f>
        <v>0</v>
      </c>
      <c r="O3815" s="311"/>
      <c r="P3815" t="str">
        <f t="shared" si="318"/>
        <v>110-8805</v>
      </c>
      <c r="Q3815" s="315" t="str">
        <f t="shared" si="319"/>
        <v>Admin &amp; Other</v>
      </c>
      <c r="R3815" s="315" t="str">
        <f t="shared" si="320"/>
        <v>Admin &amp; OtherDepreciation as % of Total Gross Profit</v>
      </c>
    </row>
    <row r="3816" spans="1:21" x14ac:dyDescent="0.25">
      <c r="A3816" t="s">
        <v>996</v>
      </c>
      <c r="B3816" t="s">
        <v>997</v>
      </c>
      <c r="C3816" t="s">
        <v>1005</v>
      </c>
      <c r="D3816">
        <v>8820</v>
      </c>
      <c r="E3816">
        <v>200</v>
      </c>
      <c r="F3816" t="s">
        <v>1446</v>
      </c>
      <c r="G3816" t="s">
        <v>1447</v>
      </c>
      <c r="H3816" s="315" t="s">
        <v>1000</v>
      </c>
      <c r="I3816" s="315" t="s">
        <v>1448</v>
      </c>
      <c r="J3816" s="315" t="str">
        <f t="shared" si="316"/>
        <v>Admin &amp; OtherDepreciation as % of Total Gross Profit</v>
      </c>
      <c r="K3816" s="315" t="str">
        <f t="shared" si="317"/>
        <v>200Depreciation - Toyota</v>
      </c>
      <c r="L3816" s="311">
        <f>+SUMIF('TUNZ Extracted TB'!M:M,$P3816,'TUNZ Extracted TB'!G:G)</f>
        <v>0</v>
      </c>
      <c r="M3816" s="311"/>
      <c r="N3816" s="311">
        <f>+SUMIF('Input Sheet'!$AE:$AE,P3816,'Input Sheet'!$X:$X)</f>
        <v>0</v>
      </c>
      <c r="O3816" s="311"/>
      <c r="P3816" t="str">
        <f t="shared" si="318"/>
        <v>200-8820</v>
      </c>
      <c r="Q3816" s="315" t="str">
        <f t="shared" si="319"/>
        <v>Admin &amp; Other</v>
      </c>
      <c r="R3816" s="315" t="str">
        <f t="shared" si="320"/>
        <v>Admin &amp; OtherDepreciation as % of Total Gross Profit</v>
      </c>
      <c r="S3816" s="199"/>
      <c r="T3816" s="199"/>
      <c r="U3816" s="199"/>
    </row>
    <row r="3817" spans="1:21" x14ac:dyDescent="0.25">
      <c r="A3817" t="s">
        <v>996</v>
      </c>
      <c r="B3817" t="s">
        <v>997</v>
      </c>
      <c r="C3817" t="s">
        <v>1005</v>
      </c>
      <c r="D3817">
        <v>8820</v>
      </c>
      <c r="E3817">
        <v>210</v>
      </c>
      <c r="F3817" t="s">
        <v>1446</v>
      </c>
      <c r="G3817" t="s">
        <v>1447</v>
      </c>
      <c r="H3817" s="315" t="s">
        <v>1000</v>
      </c>
      <c r="I3817" s="315" t="s">
        <v>1448</v>
      </c>
      <c r="J3817" s="315" t="str">
        <f t="shared" si="316"/>
        <v>Admin &amp; OtherDepreciation as % of Total Gross Profit</v>
      </c>
      <c r="K3817" s="315" t="str">
        <f t="shared" si="317"/>
        <v>210Depreciation - Toyota</v>
      </c>
      <c r="L3817" s="311">
        <f>+SUMIF('TUNZ Extracted TB'!M:M,$P3817,'TUNZ Extracted TB'!G:G)</f>
        <v>0</v>
      </c>
      <c r="M3817" s="311"/>
      <c r="N3817" s="311">
        <f>+SUMIF('Input Sheet'!$AE:$AE,P3817,'Input Sheet'!$X:$X)</f>
        <v>0</v>
      </c>
      <c r="O3817" s="311"/>
      <c r="P3817" t="str">
        <f t="shared" si="318"/>
        <v>210-8820</v>
      </c>
      <c r="Q3817" s="315" t="str">
        <f t="shared" si="319"/>
        <v>Admin &amp; Other</v>
      </c>
      <c r="R3817" s="315" t="str">
        <f t="shared" si="320"/>
        <v>Admin &amp; OtherDepreciation as % of Total Gross Profit</v>
      </c>
      <c r="S3817" s="199"/>
      <c r="T3817" s="199"/>
      <c r="U3817" s="199"/>
    </row>
    <row r="3818" spans="1:21" x14ac:dyDescent="0.25">
      <c r="A3818" t="s">
        <v>996</v>
      </c>
      <c r="B3818" t="s">
        <v>997</v>
      </c>
      <c r="C3818" t="s">
        <v>1005</v>
      </c>
      <c r="D3818">
        <v>8820</v>
      </c>
      <c r="E3818">
        <v>240</v>
      </c>
      <c r="F3818" t="s">
        <v>1446</v>
      </c>
      <c r="G3818" t="s">
        <v>1447</v>
      </c>
      <c r="H3818" s="315" t="s">
        <v>1000</v>
      </c>
      <c r="I3818" s="315" t="s">
        <v>1448</v>
      </c>
      <c r="J3818" s="315" t="str">
        <f t="shared" si="316"/>
        <v>Admin &amp; OtherDepreciation as % of Total Gross Profit</v>
      </c>
      <c r="K3818" s="315" t="str">
        <f t="shared" si="317"/>
        <v>240Depreciation - Toyota</v>
      </c>
      <c r="L3818" s="311">
        <f>+SUMIF('TUNZ Extracted TB'!M:M,$P3818,'TUNZ Extracted TB'!G:G)</f>
        <v>0</v>
      </c>
      <c r="M3818" s="311"/>
      <c r="N3818" s="311">
        <f>+SUMIF('Input Sheet'!$AE:$AE,P3818,'Input Sheet'!$X:$X)</f>
        <v>0</v>
      </c>
      <c r="O3818" s="311"/>
      <c r="P3818" t="str">
        <f t="shared" si="318"/>
        <v>240-8820</v>
      </c>
      <c r="Q3818" s="315" t="str">
        <f t="shared" si="319"/>
        <v>Admin &amp; Other</v>
      </c>
      <c r="R3818" s="315" t="str">
        <f t="shared" si="320"/>
        <v>Admin &amp; OtherDepreciation as % of Total Gross Profit</v>
      </c>
      <c r="S3818" s="199"/>
      <c r="T3818" s="199"/>
      <c r="U3818" s="199"/>
    </row>
    <row r="3819" spans="1:21" x14ac:dyDescent="0.25">
      <c r="A3819" t="s">
        <v>996</v>
      </c>
      <c r="B3819" t="s">
        <v>997</v>
      </c>
      <c r="C3819" t="s">
        <v>1005</v>
      </c>
      <c r="D3819">
        <v>8820</v>
      </c>
      <c r="E3819">
        <v>260</v>
      </c>
      <c r="F3819" t="s">
        <v>1446</v>
      </c>
      <c r="G3819" t="s">
        <v>1447</v>
      </c>
      <c r="H3819" s="315" t="s">
        <v>1000</v>
      </c>
      <c r="I3819" s="315" t="s">
        <v>1448</v>
      </c>
      <c r="J3819" s="315" t="str">
        <f t="shared" si="316"/>
        <v>Admin &amp; OtherDepreciation as % of Total Gross Profit</v>
      </c>
      <c r="K3819" s="315" t="str">
        <f t="shared" si="317"/>
        <v>260Depreciation - Toyota</v>
      </c>
      <c r="L3819" s="311">
        <f>+SUMIF('TUNZ Extracted TB'!M:M,$P3819,'TUNZ Extracted TB'!G:G)</f>
        <v>0</v>
      </c>
      <c r="M3819" s="311"/>
      <c r="N3819" s="311">
        <f>+SUMIF('Input Sheet'!$AE:$AE,P3819,'Input Sheet'!$X:$X)</f>
        <v>0</v>
      </c>
      <c r="O3819" s="311"/>
      <c r="P3819" t="str">
        <f t="shared" si="318"/>
        <v>260-8820</v>
      </c>
      <c r="Q3819" s="315" t="str">
        <f t="shared" si="319"/>
        <v>Admin &amp; Other</v>
      </c>
      <c r="R3819" s="315" t="str">
        <f t="shared" si="320"/>
        <v>Admin &amp; OtherDepreciation as % of Total Gross Profit</v>
      </c>
      <c r="S3819" s="199"/>
      <c r="T3819" s="199"/>
      <c r="U3819" s="199"/>
    </row>
    <row r="3820" spans="1:21" x14ac:dyDescent="0.25">
      <c r="A3820" t="s">
        <v>996</v>
      </c>
      <c r="B3820" t="s">
        <v>997</v>
      </c>
      <c r="C3820" t="s">
        <v>1012</v>
      </c>
      <c r="D3820">
        <v>8820</v>
      </c>
      <c r="E3820">
        <v>400</v>
      </c>
      <c r="F3820" t="s">
        <v>1446</v>
      </c>
      <c r="G3820" t="s">
        <v>1447</v>
      </c>
      <c r="H3820" s="315" t="s">
        <v>1000</v>
      </c>
      <c r="I3820" s="315" t="s">
        <v>1448</v>
      </c>
      <c r="J3820" s="315" t="str">
        <f t="shared" si="316"/>
        <v>Admin &amp; OtherDepreciation as % of Total Gross Profit</v>
      </c>
      <c r="K3820" s="315" t="str">
        <f t="shared" si="317"/>
        <v>400Depreciation - Toyota</v>
      </c>
      <c r="L3820" s="311">
        <f>+SUMIF('TUNZ Extracted TB'!M:M,$P3820,'TUNZ Extracted TB'!G:G)</f>
        <v>0</v>
      </c>
      <c r="M3820" s="311"/>
      <c r="N3820" s="311">
        <f>+SUMIF('Input Sheet'!$AE:$AE,P3820,'Input Sheet'!$X:$X)</f>
        <v>0</v>
      </c>
      <c r="O3820" s="311"/>
      <c r="P3820" t="str">
        <f t="shared" si="318"/>
        <v>400-8820</v>
      </c>
      <c r="Q3820" s="315" t="str">
        <f t="shared" si="319"/>
        <v>Admin &amp; Other</v>
      </c>
      <c r="R3820" s="315" t="str">
        <f t="shared" si="320"/>
        <v>Admin &amp; OtherDepreciation as % of Total Gross Profit</v>
      </c>
      <c r="S3820" s="199"/>
      <c r="T3820" s="199"/>
      <c r="U3820" s="199"/>
    </row>
    <row r="3821" spans="1:21" x14ac:dyDescent="0.25">
      <c r="A3821" t="s">
        <v>996</v>
      </c>
      <c r="B3821" t="s">
        <v>997</v>
      </c>
      <c r="C3821" t="s">
        <v>1012</v>
      </c>
      <c r="D3821">
        <v>8820</v>
      </c>
      <c r="E3821">
        <v>410</v>
      </c>
      <c r="F3821" t="s">
        <v>1446</v>
      </c>
      <c r="G3821" t="s">
        <v>1447</v>
      </c>
      <c r="H3821" s="315" t="s">
        <v>1000</v>
      </c>
      <c r="I3821" s="315" t="s">
        <v>1448</v>
      </c>
      <c r="J3821" s="315" t="str">
        <f t="shared" si="316"/>
        <v>Admin &amp; OtherDepreciation as % of Total Gross Profit</v>
      </c>
      <c r="K3821" s="315" t="str">
        <f t="shared" si="317"/>
        <v>410Depreciation - Toyota</v>
      </c>
      <c r="L3821" s="311">
        <f>+SUMIF('TUNZ Extracted TB'!M:M,$P3821,'TUNZ Extracted TB'!G:G)</f>
        <v>0</v>
      </c>
      <c r="M3821" s="311"/>
      <c r="N3821" s="311">
        <f>+SUMIF('Input Sheet'!$AE:$AE,P3821,'Input Sheet'!$X:$X)</f>
        <v>0</v>
      </c>
      <c r="O3821" s="311"/>
      <c r="P3821" t="str">
        <f t="shared" si="318"/>
        <v>410-8820</v>
      </c>
      <c r="Q3821" s="315" t="str">
        <f t="shared" si="319"/>
        <v>Admin &amp; Other</v>
      </c>
      <c r="R3821" s="315" t="str">
        <f t="shared" si="320"/>
        <v>Admin &amp; OtherDepreciation as % of Total Gross Profit</v>
      </c>
      <c r="S3821" s="199"/>
      <c r="T3821" s="199"/>
      <c r="U3821" s="199"/>
    </row>
    <row r="3822" spans="1:21" x14ac:dyDescent="0.25">
      <c r="A3822" t="s">
        <v>996</v>
      </c>
      <c r="B3822" t="s">
        <v>997</v>
      </c>
      <c r="C3822" t="s">
        <v>1012</v>
      </c>
      <c r="D3822">
        <v>8820</v>
      </c>
      <c r="E3822">
        <v>440</v>
      </c>
      <c r="F3822" t="s">
        <v>1446</v>
      </c>
      <c r="G3822" t="s">
        <v>1447</v>
      </c>
      <c r="H3822" s="315" t="s">
        <v>1000</v>
      </c>
      <c r="I3822" s="315" t="s">
        <v>1448</v>
      </c>
      <c r="J3822" s="315" t="str">
        <f t="shared" si="316"/>
        <v>Admin &amp; OtherDepreciation as % of Total Gross Profit</v>
      </c>
      <c r="K3822" s="315" t="str">
        <f t="shared" si="317"/>
        <v>440Depreciation - Toyota</v>
      </c>
      <c r="L3822" s="311">
        <f>+SUMIF('TUNZ Extracted TB'!M:M,$P3822,'TUNZ Extracted TB'!G:G)</f>
        <v>0</v>
      </c>
      <c r="M3822" s="311"/>
      <c r="N3822" s="311">
        <f>+SUMIF('Input Sheet'!$AE:$AE,P3822,'Input Sheet'!$X:$X)</f>
        <v>0</v>
      </c>
      <c r="O3822" s="311"/>
      <c r="P3822" t="str">
        <f t="shared" si="318"/>
        <v>440-8820</v>
      </c>
      <c r="Q3822" s="315" t="str">
        <f t="shared" si="319"/>
        <v>Admin &amp; Other</v>
      </c>
      <c r="R3822" s="315" t="str">
        <f t="shared" si="320"/>
        <v>Admin &amp; OtherDepreciation as % of Total Gross Profit</v>
      </c>
      <c r="S3822" s="199"/>
      <c r="T3822" s="199"/>
      <c r="U3822" s="199"/>
    </row>
    <row r="3823" spans="1:21" x14ac:dyDescent="0.25">
      <c r="A3823" t="s">
        <v>996</v>
      </c>
      <c r="B3823" t="s">
        <v>997</v>
      </c>
      <c r="C3823" t="s">
        <v>1012</v>
      </c>
      <c r="D3823">
        <v>8820</v>
      </c>
      <c r="E3823">
        <v>460</v>
      </c>
      <c r="F3823" t="s">
        <v>1446</v>
      </c>
      <c r="G3823" t="s">
        <v>1447</v>
      </c>
      <c r="H3823" s="315" t="s">
        <v>1000</v>
      </c>
      <c r="I3823" s="315" t="s">
        <v>1448</v>
      </c>
      <c r="J3823" s="315" t="str">
        <f t="shared" si="316"/>
        <v>Admin &amp; OtherDepreciation as % of Total Gross Profit</v>
      </c>
      <c r="K3823" s="315" t="str">
        <f t="shared" si="317"/>
        <v>460Depreciation - Toyota</v>
      </c>
      <c r="L3823" s="311">
        <f>+SUMIF('TUNZ Extracted TB'!M:M,$P3823,'TUNZ Extracted TB'!G:G)</f>
        <v>0</v>
      </c>
      <c r="M3823" s="311"/>
      <c r="N3823" s="311">
        <f>+SUMIF('Input Sheet'!$AE:$AE,P3823,'Input Sheet'!$X:$X)</f>
        <v>0</v>
      </c>
      <c r="O3823" s="311"/>
      <c r="P3823" t="str">
        <f t="shared" si="318"/>
        <v>460-8820</v>
      </c>
      <c r="Q3823" s="315" t="str">
        <f t="shared" si="319"/>
        <v>Admin &amp; Other</v>
      </c>
      <c r="R3823" s="315" t="str">
        <f t="shared" si="320"/>
        <v>Admin &amp; OtherDepreciation as % of Total Gross Profit</v>
      </c>
      <c r="S3823" s="199"/>
      <c r="T3823" s="199"/>
      <c r="U3823" s="199"/>
    </row>
    <row r="3824" spans="1:21" x14ac:dyDescent="0.25">
      <c r="A3824" t="s">
        <v>996</v>
      </c>
      <c r="B3824" t="s">
        <v>997</v>
      </c>
      <c r="C3824" t="s">
        <v>1013</v>
      </c>
      <c r="D3824">
        <v>8820</v>
      </c>
      <c r="E3824">
        <v>300</v>
      </c>
      <c r="F3824" t="s">
        <v>1446</v>
      </c>
      <c r="G3824" t="s">
        <v>1447</v>
      </c>
      <c r="H3824" s="315" t="s">
        <v>1000</v>
      </c>
      <c r="I3824" s="315" t="s">
        <v>1448</v>
      </c>
      <c r="J3824" s="315" t="str">
        <f t="shared" si="316"/>
        <v>Admin &amp; OtherDepreciation as % of Total Gross Profit</v>
      </c>
      <c r="K3824" s="315" t="str">
        <f t="shared" si="317"/>
        <v>300Depreciation - Toyota</v>
      </c>
      <c r="L3824" s="311">
        <f>+SUMIF('TUNZ Extracted TB'!M:M,$P3824,'TUNZ Extracted TB'!G:G)</f>
        <v>0</v>
      </c>
      <c r="M3824" s="311"/>
      <c r="N3824" s="311">
        <f>+SUMIF('Input Sheet'!$AE:$AE,P3824,'Input Sheet'!$X:$X)</f>
        <v>0</v>
      </c>
      <c r="O3824" s="311"/>
      <c r="P3824" t="str">
        <f t="shared" si="318"/>
        <v>300-8820</v>
      </c>
      <c r="Q3824" s="315" t="str">
        <f t="shared" si="319"/>
        <v>Admin &amp; Other</v>
      </c>
      <c r="R3824" s="315" t="str">
        <f t="shared" si="320"/>
        <v>Admin &amp; OtherDepreciation as % of Total Gross Profit</v>
      </c>
      <c r="S3824" s="199"/>
      <c r="T3824" s="199"/>
      <c r="U3824" s="199"/>
    </row>
    <row r="3825" spans="1:21" x14ac:dyDescent="0.25">
      <c r="A3825" t="s">
        <v>996</v>
      </c>
      <c r="B3825" t="s">
        <v>997</v>
      </c>
      <c r="C3825" t="s">
        <v>1013</v>
      </c>
      <c r="D3825">
        <v>8820</v>
      </c>
      <c r="E3825">
        <v>310</v>
      </c>
      <c r="F3825" t="s">
        <v>1446</v>
      </c>
      <c r="G3825" t="s">
        <v>1447</v>
      </c>
      <c r="H3825" s="315" t="s">
        <v>1000</v>
      </c>
      <c r="I3825" s="315" t="s">
        <v>1448</v>
      </c>
      <c r="J3825" s="315" t="str">
        <f t="shared" si="316"/>
        <v>Admin &amp; OtherDepreciation as % of Total Gross Profit</v>
      </c>
      <c r="K3825" s="315" t="str">
        <f t="shared" si="317"/>
        <v>310Depreciation - Toyota</v>
      </c>
      <c r="L3825" s="311">
        <f>+SUMIF('TUNZ Extracted TB'!M:M,$P3825,'TUNZ Extracted TB'!G:G)</f>
        <v>0</v>
      </c>
      <c r="M3825" s="311"/>
      <c r="N3825" s="311">
        <f>+SUMIF('Input Sheet'!$AE:$AE,P3825,'Input Sheet'!$X:$X)</f>
        <v>0</v>
      </c>
      <c r="O3825" s="311"/>
      <c r="P3825" t="str">
        <f t="shared" si="318"/>
        <v>310-8820</v>
      </c>
      <c r="Q3825" s="315" t="str">
        <f t="shared" si="319"/>
        <v>Admin &amp; Other</v>
      </c>
      <c r="R3825" s="315" t="str">
        <f t="shared" si="320"/>
        <v>Admin &amp; OtherDepreciation as % of Total Gross Profit</v>
      </c>
      <c r="S3825" s="199"/>
      <c r="T3825" s="199"/>
      <c r="U3825" s="199"/>
    </row>
    <row r="3826" spans="1:21" x14ac:dyDescent="0.25">
      <c r="A3826" t="s">
        <v>996</v>
      </c>
      <c r="B3826" t="s">
        <v>997</v>
      </c>
      <c r="C3826" t="s">
        <v>1013</v>
      </c>
      <c r="D3826">
        <v>8820</v>
      </c>
      <c r="E3826">
        <v>340</v>
      </c>
      <c r="F3826" t="s">
        <v>1446</v>
      </c>
      <c r="G3826" t="s">
        <v>1447</v>
      </c>
      <c r="H3826" s="315" t="s">
        <v>1000</v>
      </c>
      <c r="I3826" s="315" t="s">
        <v>1448</v>
      </c>
      <c r="J3826" s="315" t="str">
        <f t="shared" si="316"/>
        <v>Admin &amp; OtherDepreciation as % of Total Gross Profit</v>
      </c>
      <c r="K3826" s="315" t="str">
        <f t="shared" si="317"/>
        <v>340Depreciation - Toyota</v>
      </c>
      <c r="L3826" s="311">
        <f>+SUMIF('TUNZ Extracted TB'!M:M,$P3826,'TUNZ Extracted TB'!G:G)</f>
        <v>0</v>
      </c>
      <c r="M3826" s="311"/>
      <c r="N3826" s="311">
        <f>+SUMIF('Input Sheet'!$AE:$AE,P3826,'Input Sheet'!$X:$X)</f>
        <v>0</v>
      </c>
      <c r="O3826" s="311"/>
      <c r="P3826" t="str">
        <f t="shared" si="318"/>
        <v>340-8820</v>
      </c>
      <c r="Q3826" s="315" t="str">
        <f t="shared" si="319"/>
        <v>Admin &amp; Other</v>
      </c>
      <c r="R3826" s="315" t="str">
        <f t="shared" si="320"/>
        <v>Admin &amp; OtherDepreciation as % of Total Gross Profit</v>
      </c>
      <c r="S3826" s="199"/>
      <c r="T3826" s="199"/>
      <c r="U3826" s="199"/>
    </row>
    <row r="3827" spans="1:21" x14ac:dyDescent="0.25">
      <c r="A3827" t="s">
        <v>996</v>
      </c>
      <c r="B3827" t="s">
        <v>997</v>
      </c>
      <c r="C3827" t="s">
        <v>1013</v>
      </c>
      <c r="D3827">
        <v>8820</v>
      </c>
      <c r="E3827">
        <v>360</v>
      </c>
      <c r="F3827" t="s">
        <v>1446</v>
      </c>
      <c r="G3827" t="s">
        <v>1447</v>
      </c>
      <c r="H3827" s="315" t="s">
        <v>1000</v>
      </c>
      <c r="I3827" s="315" t="s">
        <v>1448</v>
      </c>
      <c r="J3827" s="315" t="str">
        <f t="shared" si="316"/>
        <v>Admin &amp; OtherDepreciation as % of Total Gross Profit</v>
      </c>
      <c r="K3827" s="315" t="str">
        <f t="shared" si="317"/>
        <v>360Depreciation - Toyota</v>
      </c>
      <c r="L3827" s="311">
        <f>+SUMIF('TUNZ Extracted TB'!M:M,$P3827,'TUNZ Extracted TB'!G:G)</f>
        <v>0</v>
      </c>
      <c r="M3827" s="311"/>
      <c r="N3827" s="311">
        <f>+SUMIF('Input Sheet'!$AE:$AE,P3827,'Input Sheet'!$X:$X)</f>
        <v>0</v>
      </c>
      <c r="O3827" s="311"/>
      <c r="P3827" t="str">
        <f t="shared" si="318"/>
        <v>360-8820</v>
      </c>
      <c r="Q3827" s="315" t="str">
        <f t="shared" si="319"/>
        <v>Admin &amp; Other</v>
      </c>
      <c r="R3827" s="315" t="str">
        <f t="shared" si="320"/>
        <v>Admin &amp; OtherDepreciation as % of Total Gross Profit</v>
      </c>
      <c r="S3827" s="199"/>
      <c r="T3827" s="199"/>
      <c r="U3827" s="199"/>
    </row>
    <row r="3828" spans="1:21" x14ac:dyDescent="0.25">
      <c r="A3828" t="s">
        <v>996</v>
      </c>
      <c r="B3828" t="s">
        <v>997</v>
      </c>
      <c r="C3828" t="s">
        <v>997</v>
      </c>
      <c r="D3828">
        <v>8820</v>
      </c>
      <c r="E3828">
        <v>147</v>
      </c>
      <c r="F3828" t="s">
        <v>1446</v>
      </c>
      <c r="G3828" t="s">
        <v>1447</v>
      </c>
      <c r="H3828" s="315" t="s">
        <v>1000</v>
      </c>
      <c r="I3828" s="315" t="s">
        <v>1448</v>
      </c>
      <c r="J3828" s="315" t="str">
        <f t="shared" si="316"/>
        <v>Admin &amp; OtherDepreciation as % of Total Gross Profit</v>
      </c>
      <c r="K3828" s="315" t="str">
        <f t="shared" si="317"/>
        <v>147Depreciation - Toyota</v>
      </c>
      <c r="L3828" s="311">
        <f>+SUMIF('TUNZ Extracted TB'!M:M,$P3828,'TUNZ Extracted TB'!G:G)</f>
        <v>0</v>
      </c>
      <c r="M3828" s="311"/>
      <c r="N3828" s="311">
        <f>+SUMIF('Input Sheet'!$AE:$AE,P3828,'Input Sheet'!$X:$X)</f>
        <v>0</v>
      </c>
      <c r="O3828" s="311"/>
      <c r="P3828" t="str">
        <f t="shared" si="318"/>
        <v>147-8820</v>
      </c>
      <c r="Q3828" s="315" t="str">
        <f t="shared" si="319"/>
        <v>Admin &amp; Other</v>
      </c>
      <c r="R3828" s="315" t="str">
        <f t="shared" si="320"/>
        <v>Admin &amp; OtherDepreciation as % of Total Gross Profit</v>
      </c>
      <c r="S3828" s="199"/>
      <c r="T3828" s="199"/>
      <c r="U3828" s="199"/>
    </row>
    <row r="3829" spans="1:21" x14ac:dyDescent="0.25">
      <c r="A3829" t="s">
        <v>996</v>
      </c>
      <c r="B3829" t="s">
        <v>997</v>
      </c>
      <c r="C3829" t="s">
        <v>997</v>
      </c>
      <c r="D3829">
        <v>8820</v>
      </c>
      <c r="E3829">
        <v>160</v>
      </c>
      <c r="F3829" t="s">
        <v>1446</v>
      </c>
      <c r="G3829" t="s">
        <v>1447</v>
      </c>
      <c r="H3829" s="315" t="s">
        <v>1000</v>
      </c>
      <c r="I3829" s="315" t="s">
        <v>1448</v>
      </c>
      <c r="J3829" s="315" t="str">
        <f t="shared" si="316"/>
        <v>Admin &amp; OtherDepreciation as % of Total Gross Profit</v>
      </c>
      <c r="K3829" s="315" t="str">
        <f t="shared" si="317"/>
        <v>160Depreciation - Toyota</v>
      </c>
      <c r="L3829" s="311">
        <f>+SUMIF('TUNZ Extracted TB'!M:M,$P3829,'TUNZ Extracted TB'!G:G)</f>
        <v>0</v>
      </c>
      <c r="M3829" s="311"/>
      <c r="N3829" s="311">
        <f>+SUMIF('Input Sheet'!$AE:$AE,P3829,'Input Sheet'!$X:$X)</f>
        <v>0</v>
      </c>
      <c r="O3829" s="311"/>
      <c r="P3829" t="str">
        <f t="shared" si="318"/>
        <v>160-8820</v>
      </c>
      <c r="Q3829" s="315" t="str">
        <f t="shared" si="319"/>
        <v>Admin &amp; Other</v>
      </c>
      <c r="R3829" s="315" t="str">
        <f t="shared" si="320"/>
        <v>Admin &amp; OtherDepreciation as % of Total Gross Profit</v>
      </c>
      <c r="S3829" s="199"/>
      <c r="T3829" s="199"/>
      <c r="U3829" s="199"/>
    </row>
    <row r="3830" spans="1:21" x14ac:dyDescent="0.25">
      <c r="A3830" t="s">
        <v>996</v>
      </c>
      <c r="B3830" t="s">
        <v>997</v>
      </c>
      <c r="C3830" t="s">
        <v>1005</v>
      </c>
      <c r="D3830">
        <v>8820</v>
      </c>
      <c r="E3830">
        <v>220</v>
      </c>
      <c r="F3830" t="s">
        <v>998</v>
      </c>
      <c r="G3830" t="s">
        <v>999</v>
      </c>
      <c r="H3830" s="315" t="s">
        <v>1000</v>
      </c>
      <c r="I3830" s="315" t="s">
        <v>1001</v>
      </c>
      <c r="J3830" s="315" t="str">
        <f t="shared" si="316"/>
        <v>Admin &amp; OtherOther Overheads as % of Total Gross Profit</v>
      </c>
      <c r="K3830" s="315" t="str">
        <f t="shared" si="317"/>
        <v>220Miscellaneous expenses - Toyota</v>
      </c>
      <c r="L3830" s="311">
        <f>+SUMIF('TUNZ Extracted TB'!M:M,$P3830,'TUNZ Extracted TB'!G:G)</f>
        <v>0</v>
      </c>
      <c r="M3830" s="311"/>
      <c r="N3830" s="311">
        <f>+SUMIF('Input Sheet'!$AE:$AE,P3830,'Input Sheet'!$X:$X)</f>
        <v>0</v>
      </c>
      <c r="O3830" s="311"/>
      <c r="P3830" t="str">
        <f t="shared" si="318"/>
        <v>220-8820</v>
      </c>
      <c r="Q3830" s="315" t="str">
        <f t="shared" si="319"/>
        <v>Admin &amp; Other</v>
      </c>
      <c r="R3830" s="315" t="str">
        <f t="shared" si="320"/>
        <v>Admin &amp; OtherOther Overheads as % of Total Gross Profit</v>
      </c>
      <c r="S3830" s="199"/>
      <c r="T3830" s="199"/>
      <c r="U3830" s="199"/>
    </row>
    <row r="3831" spans="1:21" x14ac:dyDescent="0.25">
      <c r="A3831" t="s">
        <v>996</v>
      </c>
      <c r="B3831" t="s">
        <v>997</v>
      </c>
      <c r="C3831" t="s">
        <v>1005</v>
      </c>
      <c r="D3831">
        <v>8820</v>
      </c>
      <c r="E3831">
        <v>221</v>
      </c>
      <c r="F3831" t="s">
        <v>998</v>
      </c>
      <c r="G3831" t="s">
        <v>999</v>
      </c>
      <c r="H3831" s="315" t="s">
        <v>1000</v>
      </c>
      <c r="I3831" s="315" t="s">
        <v>1001</v>
      </c>
      <c r="J3831" s="315" t="str">
        <f t="shared" si="316"/>
        <v>Admin &amp; OtherOther Overheads as % of Total Gross Profit</v>
      </c>
      <c r="K3831" s="315" t="str">
        <f t="shared" si="317"/>
        <v>221Miscellaneous expenses - Toyota</v>
      </c>
      <c r="L3831" s="311">
        <f>+SUMIF('TUNZ Extracted TB'!M:M,$P3831,'TUNZ Extracted TB'!G:G)</f>
        <v>0</v>
      </c>
      <c r="M3831" s="311"/>
      <c r="N3831" s="311">
        <f>+SUMIF('Input Sheet'!$AE:$AE,P3831,'Input Sheet'!$X:$X)</f>
        <v>0</v>
      </c>
      <c r="O3831" s="311"/>
      <c r="P3831" t="str">
        <f t="shared" si="318"/>
        <v>221-8820</v>
      </c>
      <c r="Q3831" s="315" t="str">
        <f t="shared" si="319"/>
        <v>Admin &amp; Other</v>
      </c>
      <c r="R3831" s="315" t="str">
        <f t="shared" si="320"/>
        <v>Admin &amp; OtherOther Overheads as % of Total Gross Profit</v>
      </c>
      <c r="S3831" s="199"/>
      <c r="T3831" s="199"/>
      <c r="U3831" s="199"/>
    </row>
    <row r="3832" spans="1:21" x14ac:dyDescent="0.25">
      <c r="A3832" t="s">
        <v>996</v>
      </c>
      <c r="B3832" t="s">
        <v>997</v>
      </c>
      <c r="C3832" t="s">
        <v>1012</v>
      </c>
      <c r="D3832">
        <v>8820</v>
      </c>
      <c r="E3832">
        <v>420</v>
      </c>
      <c r="F3832" t="s">
        <v>998</v>
      </c>
      <c r="G3832" t="s">
        <v>999</v>
      </c>
      <c r="H3832" s="315" t="s">
        <v>1000</v>
      </c>
      <c r="I3832" s="315" t="s">
        <v>1001</v>
      </c>
      <c r="J3832" s="315" t="str">
        <f t="shared" si="316"/>
        <v>Admin &amp; OtherOther Overheads as % of Total Gross Profit</v>
      </c>
      <c r="K3832" s="315" t="str">
        <f t="shared" si="317"/>
        <v>420Miscellaneous expenses - Toyota</v>
      </c>
      <c r="L3832" s="311">
        <f>+SUMIF('TUNZ Extracted TB'!M:M,$P3832,'TUNZ Extracted TB'!G:G)</f>
        <v>0</v>
      </c>
      <c r="M3832" s="311"/>
      <c r="N3832" s="311">
        <f>+SUMIF('Input Sheet'!$AE:$AE,P3832,'Input Sheet'!$X:$X)</f>
        <v>0</v>
      </c>
      <c r="O3832" s="311"/>
      <c r="P3832" t="str">
        <f t="shared" si="318"/>
        <v>420-8820</v>
      </c>
      <c r="Q3832" s="315" t="str">
        <f t="shared" si="319"/>
        <v>Admin &amp; Other</v>
      </c>
      <c r="R3832" s="315" t="str">
        <f t="shared" si="320"/>
        <v>Admin &amp; OtherOther Overheads as % of Total Gross Profit</v>
      </c>
      <c r="S3832" s="199"/>
      <c r="T3832" s="199"/>
      <c r="U3832" s="199"/>
    </row>
    <row r="3833" spans="1:21" x14ac:dyDescent="0.25">
      <c r="A3833" t="s">
        <v>996</v>
      </c>
      <c r="B3833" t="s">
        <v>997</v>
      </c>
      <c r="C3833" t="s">
        <v>1012</v>
      </c>
      <c r="D3833">
        <v>8820</v>
      </c>
      <c r="E3833">
        <v>421</v>
      </c>
      <c r="F3833" t="s">
        <v>998</v>
      </c>
      <c r="G3833" t="s">
        <v>999</v>
      </c>
      <c r="H3833" s="315" t="s">
        <v>1000</v>
      </c>
      <c r="I3833" s="315" t="s">
        <v>1001</v>
      </c>
      <c r="J3833" s="315" t="str">
        <f t="shared" si="316"/>
        <v>Admin &amp; OtherOther Overheads as % of Total Gross Profit</v>
      </c>
      <c r="K3833" s="315" t="str">
        <f t="shared" si="317"/>
        <v>421Miscellaneous expenses - Toyota</v>
      </c>
      <c r="L3833" s="311">
        <f>+SUMIF('TUNZ Extracted TB'!M:M,$P3833,'TUNZ Extracted TB'!G:G)</f>
        <v>0</v>
      </c>
      <c r="M3833" s="311"/>
      <c r="N3833" s="311">
        <f>+SUMIF('Input Sheet'!$AE:$AE,P3833,'Input Sheet'!$X:$X)</f>
        <v>0</v>
      </c>
      <c r="O3833" s="311"/>
      <c r="P3833" t="str">
        <f t="shared" si="318"/>
        <v>421-8820</v>
      </c>
      <c r="Q3833" s="315" t="str">
        <f t="shared" si="319"/>
        <v>Admin &amp; Other</v>
      </c>
      <c r="R3833" s="315" t="str">
        <f t="shared" si="320"/>
        <v>Admin &amp; OtherOther Overheads as % of Total Gross Profit</v>
      </c>
      <c r="S3833" s="199"/>
      <c r="T3833" s="199"/>
      <c r="U3833" s="199"/>
    </row>
    <row r="3834" spans="1:21" x14ac:dyDescent="0.25">
      <c r="A3834" t="s">
        <v>996</v>
      </c>
      <c r="B3834" t="s">
        <v>997</v>
      </c>
      <c r="C3834" t="s">
        <v>1013</v>
      </c>
      <c r="D3834">
        <v>8820</v>
      </c>
      <c r="E3834">
        <v>321</v>
      </c>
      <c r="F3834" t="s">
        <v>998</v>
      </c>
      <c r="G3834" t="s">
        <v>999</v>
      </c>
      <c r="H3834" s="315" t="s">
        <v>1000</v>
      </c>
      <c r="I3834" s="315" t="s">
        <v>1001</v>
      </c>
      <c r="J3834" s="315" t="str">
        <f t="shared" si="316"/>
        <v>Admin &amp; OtherOther Overheads as % of Total Gross Profit</v>
      </c>
      <c r="K3834" s="315" t="str">
        <f t="shared" si="317"/>
        <v>321Miscellaneous expenses - Toyota</v>
      </c>
      <c r="L3834" s="311">
        <f>+SUMIF('TUNZ Extracted TB'!M:M,$P3834,'TUNZ Extracted TB'!G:G)</f>
        <v>0</v>
      </c>
      <c r="M3834" s="311"/>
      <c r="N3834" s="311">
        <f>+SUMIF('Input Sheet'!$AE:$AE,P3834,'Input Sheet'!$X:$X)</f>
        <v>0</v>
      </c>
      <c r="O3834" s="311"/>
      <c r="P3834" t="str">
        <f t="shared" si="318"/>
        <v>321-8820</v>
      </c>
      <c r="Q3834" s="315" t="str">
        <f t="shared" si="319"/>
        <v>Admin &amp; Other</v>
      </c>
      <c r="R3834" s="315" t="str">
        <f t="shared" si="320"/>
        <v>Admin &amp; OtherOther Overheads as % of Total Gross Profit</v>
      </c>
      <c r="S3834" s="199"/>
      <c r="T3834" s="199"/>
      <c r="U3834" s="199"/>
    </row>
    <row r="3835" spans="1:21" x14ac:dyDescent="0.25">
      <c r="A3835" t="s">
        <v>996</v>
      </c>
      <c r="B3835" t="s">
        <v>997</v>
      </c>
      <c r="C3835" t="s">
        <v>997</v>
      </c>
      <c r="D3835">
        <v>8820</v>
      </c>
      <c r="E3835">
        <v>120</v>
      </c>
      <c r="F3835" t="s">
        <v>998</v>
      </c>
      <c r="G3835" t="s">
        <v>999</v>
      </c>
      <c r="H3835" s="315" t="s">
        <v>1000</v>
      </c>
      <c r="I3835" s="315" t="s">
        <v>1001</v>
      </c>
      <c r="J3835" s="315" t="str">
        <f t="shared" si="316"/>
        <v>Admin &amp; OtherOther Overheads as % of Total Gross Profit</v>
      </c>
      <c r="K3835" s="315" t="str">
        <f t="shared" si="317"/>
        <v>120Miscellaneous expenses - Toyota</v>
      </c>
      <c r="L3835" s="311">
        <f>+SUMIF('TUNZ Extracted TB'!M:M,$P3835,'TUNZ Extracted TB'!G:G)</f>
        <v>0</v>
      </c>
      <c r="M3835" s="311"/>
      <c r="N3835" s="311">
        <f>+SUMIF('Input Sheet'!$AE:$AE,P3835,'Input Sheet'!$X:$X)</f>
        <v>0</v>
      </c>
      <c r="O3835" s="311"/>
      <c r="P3835" t="str">
        <f t="shared" si="318"/>
        <v>120-8820</v>
      </c>
      <c r="Q3835" s="315" t="str">
        <f t="shared" si="319"/>
        <v>Admin &amp; Other</v>
      </c>
      <c r="R3835" s="315" t="str">
        <f t="shared" si="320"/>
        <v>Admin &amp; OtherOther Overheads as % of Total Gross Profit</v>
      </c>
      <c r="S3835" s="199"/>
      <c r="T3835" s="199"/>
      <c r="U3835" s="199"/>
    </row>
    <row r="3836" spans="1:21" x14ac:dyDescent="0.25">
      <c r="A3836" t="s">
        <v>996</v>
      </c>
      <c r="B3836" t="s">
        <v>997</v>
      </c>
      <c r="C3836" t="s">
        <v>997</v>
      </c>
      <c r="D3836">
        <v>8820</v>
      </c>
      <c r="E3836">
        <v>121</v>
      </c>
      <c r="F3836" t="s">
        <v>998</v>
      </c>
      <c r="G3836" t="s">
        <v>999</v>
      </c>
      <c r="H3836" s="315" t="s">
        <v>1000</v>
      </c>
      <c r="I3836" s="315" t="s">
        <v>1001</v>
      </c>
      <c r="J3836" s="315" t="str">
        <f t="shared" si="316"/>
        <v>Admin &amp; OtherOther Overheads as % of Total Gross Profit</v>
      </c>
      <c r="K3836" s="315" t="str">
        <f t="shared" si="317"/>
        <v>121Miscellaneous expenses - Toyota</v>
      </c>
      <c r="L3836" s="311">
        <f>+SUMIF('TUNZ Extracted TB'!M:M,$P3836,'TUNZ Extracted TB'!G:G)</f>
        <v>0</v>
      </c>
      <c r="M3836" s="311"/>
      <c r="N3836" s="311">
        <f>+SUMIF('Input Sheet'!$AE:$AE,P3836,'Input Sheet'!$X:$X)</f>
        <v>0</v>
      </c>
      <c r="O3836" s="311"/>
      <c r="P3836" t="str">
        <f t="shared" si="318"/>
        <v>121-8820</v>
      </c>
      <c r="Q3836" s="315" t="str">
        <f t="shared" si="319"/>
        <v>Admin &amp; Other</v>
      </c>
      <c r="R3836" s="315" t="str">
        <f t="shared" si="320"/>
        <v>Admin &amp; OtherOther Overheads as % of Total Gross Profit</v>
      </c>
      <c r="S3836" s="199"/>
      <c r="T3836" s="199"/>
      <c r="U3836" s="199"/>
    </row>
    <row r="3837" spans="1:21" x14ac:dyDescent="0.25">
      <c r="A3837" t="s">
        <v>996</v>
      </c>
      <c r="B3837" t="s">
        <v>997</v>
      </c>
      <c r="C3837" t="s">
        <v>997</v>
      </c>
      <c r="D3837">
        <v>8820</v>
      </c>
      <c r="E3837">
        <v>936</v>
      </c>
      <c r="F3837" t="s">
        <v>1175</v>
      </c>
      <c r="G3837" t="s">
        <v>1176</v>
      </c>
      <c r="H3837" s="315" t="s">
        <v>1023</v>
      </c>
      <c r="I3837" s="315" t="s">
        <v>1001</v>
      </c>
      <c r="J3837" s="315" t="str">
        <f t="shared" si="316"/>
        <v>LEX Admin &amp; OtherOther Overheads as % of Total Gross Profit</v>
      </c>
      <c r="K3837" s="315" t="str">
        <f t="shared" si="317"/>
        <v>936Other franchise/business expense</v>
      </c>
      <c r="L3837" s="311">
        <f>+SUMIF('TUNZ Extracted TB'!M:M,$P3837,'TUNZ Extracted TB'!G:G)</f>
        <v>0</v>
      </c>
      <c r="M3837" s="311"/>
      <c r="N3837" s="311">
        <f>+SUMIF('Input Sheet'!$AE:$AE,P3837,'Input Sheet'!$X:$X)</f>
        <v>0</v>
      </c>
      <c r="O3837" s="311"/>
      <c r="P3837" t="str">
        <f t="shared" si="318"/>
        <v>936-8820</v>
      </c>
      <c r="Q3837" s="315" t="str">
        <f t="shared" si="319"/>
        <v>LEX Admin &amp; Other</v>
      </c>
      <c r="R3837" s="315" t="str">
        <f t="shared" si="320"/>
        <v>LEX Admin &amp; OtherOther Overheads as % of Total Gross Profit</v>
      </c>
      <c r="S3837" s="199"/>
      <c r="T3837" s="199"/>
      <c r="U3837" s="199"/>
    </row>
    <row r="3838" spans="1:21" x14ac:dyDescent="0.25">
      <c r="A3838" t="s">
        <v>996</v>
      </c>
      <c r="B3838" t="s">
        <v>997</v>
      </c>
      <c r="C3838" t="s">
        <v>997</v>
      </c>
      <c r="D3838">
        <v>8820</v>
      </c>
      <c r="E3838">
        <v>935</v>
      </c>
      <c r="F3838" t="s">
        <v>1175</v>
      </c>
      <c r="G3838" t="s">
        <v>1176</v>
      </c>
      <c r="H3838" s="315" t="s">
        <v>1023</v>
      </c>
      <c r="I3838" s="315" t="s">
        <v>1001</v>
      </c>
      <c r="J3838" s="315" t="str">
        <f t="shared" si="316"/>
        <v>LEX Admin &amp; OtherOther Overheads as % of Total Gross Profit</v>
      </c>
      <c r="K3838" s="315" t="str">
        <f t="shared" si="317"/>
        <v>935Other franchise/business expense</v>
      </c>
      <c r="L3838" s="311">
        <f>+SUMIF('TUNZ Extracted TB'!M:M,$P3838,'TUNZ Extracted TB'!G:G)</f>
        <v>0</v>
      </c>
      <c r="M3838" s="311"/>
      <c r="N3838" s="311">
        <f>+SUMIF('Input Sheet'!$AE:$AE,P3838,'Input Sheet'!$X:$X)</f>
        <v>0</v>
      </c>
      <c r="O3838" s="311"/>
      <c r="P3838" t="str">
        <f t="shared" si="318"/>
        <v>935-8820</v>
      </c>
      <c r="Q3838" s="315" t="str">
        <f t="shared" si="319"/>
        <v>LEX Admin &amp; Other</v>
      </c>
      <c r="R3838" s="315" t="str">
        <f t="shared" si="320"/>
        <v>LEX Admin &amp; OtherOther Overheads as % of Total Gross Profit</v>
      </c>
      <c r="S3838" s="199"/>
      <c r="T3838" s="199"/>
      <c r="U3838" s="199"/>
    </row>
    <row r="3839" spans="1:21" x14ac:dyDescent="0.25">
      <c r="A3839" t="s">
        <v>996</v>
      </c>
      <c r="B3839" t="s">
        <v>997</v>
      </c>
      <c r="C3839" t="s">
        <v>997</v>
      </c>
      <c r="D3839">
        <v>8820</v>
      </c>
      <c r="E3839">
        <v>122</v>
      </c>
      <c r="F3839" t="s">
        <v>1460</v>
      </c>
      <c r="G3839" t="s">
        <v>1461</v>
      </c>
      <c r="H3839" s="315" t="s">
        <v>1023</v>
      </c>
      <c r="I3839" s="315" t="s">
        <v>1001</v>
      </c>
      <c r="J3839" s="315" t="str">
        <f t="shared" si="316"/>
        <v>LEX Admin &amp; OtherOther Overheads as % of Total Gross Profit</v>
      </c>
      <c r="K3839" s="315" t="str">
        <f t="shared" si="317"/>
        <v>122Other Income - Lexus</v>
      </c>
      <c r="L3839" s="311">
        <f>+SUMIF('TUNZ Extracted TB'!M:M,$P3839,'TUNZ Extracted TB'!G:G)</f>
        <v>0</v>
      </c>
      <c r="M3839" s="311"/>
      <c r="N3839" s="311">
        <f>+SUMIF('Input Sheet'!$AE:$AE,P3839,'Input Sheet'!$X:$X)</f>
        <v>0</v>
      </c>
      <c r="O3839" s="311"/>
      <c r="P3839" t="str">
        <f t="shared" si="318"/>
        <v>122-8820</v>
      </c>
      <c r="Q3839" s="315" t="str">
        <f t="shared" si="319"/>
        <v>LEX Admin &amp; Other</v>
      </c>
      <c r="R3839" s="315" t="str">
        <f t="shared" si="320"/>
        <v>LEX Admin &amp; OtherOther Overheads as % of Total Gross Profit</v>
      </c>
      <c r="S3839" s="199"/>
      <c r="T3839" s="199"/>
      <c r="U3839" s="199"/>
    </row>
    <row r="3840" spans="1:21" x14ac:dyDescent="0.25">
      <c r="A3840" t="s">
        <v>996</v>
      </c>
      <c r="B3840" t="s">
        <v>997</v>
      </c>
      <c r="C3840" t="s">
        <v>997</v>
      </c>
      <c r="D3840">
        <v>8820</v>
      </c>
      <c r="E3840">
        <v>162</v>
      </c>
      <c r="F3840" t="s">
        <v>1460</v>
      </c>
      <c r="G3840" t="s">
        <v>1461</v>
      </c>
      <c r="H3840" s="315" t="s">
        <v>1023</v>
      </c>
      <c r="I3840" s="315" t="s">
        <v>1001</v>
      </c>
      <c r="J3840" s="315" t="str">
        <f t="shared" si="316"/>
        <v>LEX Admin &amp; OtherOther Overheads as % of Total Gross Profit</v>
      </c>
      <c r="K3840" s="315" t="str">
        <f t="shared" si="317"/>
        <v>162Other Income - Lexus</v>
      </c>
      <c r="L3840" s="311">
        <f>+SUMIF('TUNZ Extracted TB'!M:M,$P3840,'TUNZ Extracted TB'!G:G)</f>
        <v>0</v>
      </c>
      <c r="M3840" s="311"/>
      <c r="N3840" s="311">
        <f>+SUMIF('Input Sheet'!$AE:$AE,P3840,'Input Sheet'!$X:$X)</f>
        <v>0</v>
      </c>
      <c r="O3840" s="311"/>
      <c r="P3840" t="str">
        <f t="shared" si="318"/>
        <v>162-8820</v>
      </c>
      <c r="Q3840" s="315" t="str">
        <f t="shared" si="319"/>
        <v>LEX Admin &amp; Other</v>
      </c>
      <c r="R3840" s="315" t="str">
        <f t="shared" si="320"/>
        <v>LEX Admin &amp; OtherOther Overheads as % of Total Gross Profit</v>
      </c>
      <c r="S3840" s="199"/>
      <c r="T3840" s="199"/>
      <c r="U3840" s="199"/>
    </row>
    <row r="3841" spans="1:21" x14ac:dyDescent="0.25">
      <c r="A3841" t="s">
        <v>996</v>
      </c>
      <c r="B3841" t="s">
        <v>997</v>
      </c>
      <c r="C3841" t="s">
        <v>1005</v>
      </c>
      <c r="D3841">
        <v>8820</v>
      </c>
      <c r="E3841">
        <v>230</v>
      </c>
      <c r="F3841" t="s">
        <v>1291</v>
      </c>
      <c r="G3841" t="s">
        <v>1292</v>
      </c>
      <c r="H3841" s="315" t="s">
        <v>1000</v>
      </c>
      <c r="I3841" s="315" t="s">
        <v>1001</v>
      </c>
      <c r="J3841" s="315" t="str">
        <f t="shared" si="316"/>
        <v>Admin &amp; OtherOther Overheads as % of Total Gross Profit</v>
      </c>
      <c r="K3841" s="315" t="str">
        <f t="shared" si="317"/>
        <v>230Parts Other Expenses - Toyota</v>
      </c>
      <c r="L3841" s="311">
        <f>+SUMIF('TUNZ Extracted TB'!M:M,$P3841,'TUNZ Extracted TB'!G:G)</f>
        <v>0</v>
      </c>
      <c r="M3841" s="311"/>
      <c r="N3841" s="311">
        <f>+SUMIF('Input Sheet'!$AE:$AE,P3841,'Input Sheet'!$X:$X)</f>
        <v>0</v>
      </c>
      <c r="O3841" s="311"/>
      <c r="P3841" t="str">
        <f t="shared" si="318"/>
        <v>230-8820</v>
      </c>
      <c r="Q3841" s="315" t="str">
        <f t="shared" si="319"/>
        <v>Admin &amp; Other</v>
      </c>
      <c r="R3841" s="315" t="str">
        <f t="shared" si="320"/>
        <v>Admin &amp; OtherOther Overheads as % of Total Gross Profit</v>
      </c>
      <c r="S3841" s="199"/>
      <c r="T3841" s="199"/>
      <c r="U3841" s="199"/>
    </row>
    <row r="3842" spans="1:21" x14ac:dyDescent="0.25">
      <c r="A3842" t="s">
        <v>996</v>
      </c>
      <c r="B3842" t="s">
        <v>997</v>
      </c>
      <c r="C3842" t="s">
        <v>1012</v>
      </c>
      <c r="D3842">
        <v>8820</v>
      </c>
      <c r="E3842">
        <v>430</v>
      </c>
      <c r="F3842" t="s">
        <v>1291</v>
      </c>
      <c r="G3842" t="s">
        <v>1292</v>
      </c>
      <c r="H3842" s="315" t="s">
        <v>1000</v>
      </c>
      <c r="I3842" s="315" t="s">
        <v>1001</v>
      </c>
      <c r="J3842" s="315" t="str">
        <f t="shared" si="316"/>
        <v>Admin &amp; OtherOther Overheads as % of Total Gross Profit</v>
      </c>
      <c r="K3842" s="315" t="str">
        <f t="shared" si="317"/>
        <v>430Parts Other Expenses - Toyota</v>
      </c>
      <c r="L3842" s="311">
        <f>+SUMIF('TUNZ Extracted TB'!M:M,$P3842,'TUNZ Extracted TB'!G:G)</f>
        <v>0</v>
      </c>
      <c r="M3842" s="311"/>
      <c r="N3842" s="311">
        <f>+SUMIF('Input Sheet'!$AE:$AE,P3842,'Input Sheet'!$X:$X)</f>
        <v>0</v>
      </c>
      <c r="O3842" s="311"/>
      <c r="P3842" t="str">
        <f t="shared" si="318"/>
        <v>430-8820</v>
      </c>
      <c r="Q3842" s="315" t="str">
        <f t="shared" si="319"/>
        <v>Admin &amp; Other</v>
      </c>
      <c r="R3842" s="315" t="str">
        <f t="shared" si="320"/>
        <v>Admin &amp; OtherOther Overheads as % of Total Gross Profit</v>
      </c>
      <c r="S3842" s="199"/>
      <c r="T3842" s="199"/>
      <c r="U3842" s="199"/>
    </row>
    <row r="3843" spans="1:21" x14ac:dyDescent="0.25">
      <c r="A3843" t="s">
        <v>996</v>
      </c>
      <c r="B3843" t="s">
        <v>997</v>
      </c>
      <c r="C3843" t="s">
        <v>1013</v>
      </c>
      <c r="D3843">
        <v>8820</v>
      </c>
      <c r="E3843">
        <v>330</v>
      </c>
      <c r="F3843" t="s">
        <v>1291</v>
      </c>
      <c r="G3843" t="s">
        <v>1292</v>
      </c>
      <c r="H3843" s="315" t="s">
        <v>1000</v>
      </c>
      <c r="I3843" s="315" t="s">
        <v>1001</v>
      </c>
      <c r="J3843" s="315" t="str">
        <f t="shared" ref="J3843:J3906" si="321">+H3843&amp;I3843</f>
        <v>Admin &amp; OtherOther Overheads as % of Total Gross Profit</v>
      </c>
      <c r="K3843" s="315" t="str">
        <f t="shared" ref="K3843:K3906" si="322">+E3843&amp;G3843</f>
        <v>330Parts Other Expenses - Toyota</v>
      </c>
      <c r="L3843" s="311">
        <f>+SUMIF('TUNZ Extracted TB'!M:M,$P3843,'TUNZ Extracted TB'!G:G)</f>
        <v>0</v>
      </c>
      <c r="M3843" s="311"/>
      <c r="N3843" s="311">
        <f>+SUMIF('Input Sheet'!$AE:$AE,P3843,'Input Sheet'!$X:$X)</f>
        <v>0</v>
      </c>
      <c r="O3843" s="311"/>
      <c r="P3843" t="str">
        <f t="shared" ref="P3843:P3906" si="323">+E3843&amp;"-"&amp;D3843</f>
        <v>330-8820</v>
      </c>
      <c r="Q3843" s="315" t="str">
        <f t="shared" ref="Q3843:Q3906" si="324">H3843</f>
        <v>Admin &amp; Other</v>
      </c>
      <c r="R3843" s="315" t="str">
        <f t="shared" ref="R3843:R3906" si="325">J3843</f>
        <v>Admin &amp; OtherOther Overheads as % of Total Gross Profit</v>
      </c>
      <c r="S3843" s="199"/>
      <c r="T3843" s="199"/>
      <c r="U3843" s="199"/>
    </row>
    <row r="3844" spans="1:21" x14ac:dyDescent="0.25">
      <c r="A3844" t="s">
        <v>996</v>
      </c>
      <c r="B3844" t="s">
        <v>997</v>
      </c>
      <c r="C3844" t="s">
        <v>997</v>
      </c>
      <c r="D3844">
        <v>8820</v>
      </c>
      <c r="E3844">
        <v>140</v>
      </c>
      <c r="F3844" t="s">
        <v>1446</v>
      </c>
      <c r="G3844" t="s">
        <v>1447</v>
      </c>
      <c r="H3844" s="315" t="s">
        <v>1000</v>
      </c>
      <c r="I3844" s="315" t="s">
        <v>1001</v>
      </c>
      <c r="J3844" s="315" t="str">
        <f t="shared" si="321"/>
        <v>Admin &amp; OtherOther Overheads as % of Total Gross Profit</v>
      </c>
      <c r="K3844" s="315" t="str">
        <f t="shared" si="322"/>
        <v>140Depreciation - Toyota</v>
      </c>
      <c r="L3844" s="311">
        <f>+SUMIF('TUNZ Extracted TB'!M:M,$P3844,'TUNZ Extracted TB'!G:G)</f>
        <v>0</v>
      </c>
      <c r="M3844" s="311"/>
      <c r="N3844" s="311">
        <f>+SUMIF('Input Sheet'!$AE:$AE,P3844,'Input Sheet'!$X:$X)</f>
        <v>0</v>
      </c>
      <c r="O3844" s="311"/>
      <c r="P3844" t="str">
        <f t="shared" si="323"/>
        <v>140-8820</v>
      </c>
      <c r="Q3844" s="315" t="str">
        <f t="shared" si="324"/>
        <v>Admin &amp; Other</v>
      </c>
      <c r="R3844" s="315" t="str">
        <f t="shared" si="325"/>
        <v>Admin &amp; OtherOther Overheads as % of Total Gross Profit</v>
      </c>
      <c r="S3844" s="199"/>
      <c r="T3844" s="199"/>
      <c r="U3844" s="199"/>
    </row>
    <row r="3845" spans="1:21" x14ac:dyDescent="0.25">
      <c r="A3845" t="s">
        <v>996</v>
      </c>
      <c r="B3845" t="s">
        <v>997</v>
      </c>
      <c r="C3845" t="s">
        <v>997</v>
      </c>
      <c r="D3845">
        <v>8820</v>
      </c>
      <c r="E3845">
        <v>132</v>
      </c>
      <c r="F3845" t="s">
        <v>1460</v>
      </c>
      <c r="G3845" t="s">
        <v>1461</v>
      </c>
      <c r="H3845" s="315" t="s">
        <v>1023</v>
      </c>
      <c r="I3845" s="315" t="s">
        <v>1001</v>
      </c>
      <c r="J3845" s="315" t="str">
        <f t="shared" si="321"/>
        <v>LEX Admin &amp; OtherOther Overheads as % of Total Gross Profit</v>
      </c>
      <c r="K3845" s="315" t="str">
        <f t="shared" si="322"/>
        <v>132Other Income - Lexus</v>
      </c>
      <c r="L3845" s="311">
        <f>+SUMIF('TUNZ Extracted TB'!M:M,$P3845,'TUNZ Extracted TB'!G:G)</f>
        <v>0</v>
      </c>
      <c r="M3845" s="311"/>
      <c r="N3845" s="311">
        <f>+SUMIF('Input Sheet'!$AE:$AE,P3845,'Input Sheet'!$X:$X)</f>
        <v>0</v>
      </c>
      <c r="O3845" s="311"/>
      <c r="P3845" t="str">
        <f t="shared" si="323"/>
        <v>132-8820</v>
      </c>
      <c r="Q3845" s="315" t="str">
        <f t="shared" si="324"/>
        <v>LEX Admin &amp; Other</v>
      </c>
      <c r="R3845" s="315" t="str">
        <f t="shared" si="325"/>
        <v>LEX Admin &amp; OtherOther Overheads as % of Total Gross Profit</v>
      </c>
      <c r="S3845" s="199"/>
      <c r="T3845" s="199"/>
      <c r="U3845" s="199"/>
    </row>
    <row r="3846" spans="1:21" x14ac:dyDescent="0.25">
      <c r="A3846" t="s">
        <v>996</v>
      </c>
      <c r="B3846" t="s">
        <v>997</v>
      </c>
      <c r="C3846" t="s">
        <v>997</v>
      </c>
      <c r="D3846">
        <v>8820</v>
      </c>
      <c r="E3846">
        <v>130</v>
      </c>
      <c r="F3846" t="s">
        <v>1291</v>
      </c>
      <c r="G3846" t="s">
        <v>1292</v>
      </c>
      <c r="H3846" s="315" t="s">
        <v>1000</v>
      </c>
      <c r="I3846" s="315" t="s">
        <v>1001</v>
      </c>
      <c r="J3846" s="315" t="str">
        <f t="shared" si="321"/>
        <v>Admin &amp; OtherOther Overheads as % of Total Gross Profit</v>
      </c>
      <c r="K3846" s="315" t="str">
        <f t="shared" si="322"/>
        <v>130Parts Other Expenses - Toyota</v>
      </c>
      <c r="L3846" s="311">
        <f>+SUMIF('TUNZ Extracted TB'!M:M,$P3846,'TUNZ Extracted TB'!G:G)</f>
        <v>0</v>
      </c>
      <c r="M3846" s="311"/>
      <c r="N3846" s="311">
        <f>+SUMIF('Input Sheet'!$AE:$AE,P3846,'Input Sheet'!$X:$X)</f>
        <v>0</v>
      </c>
      <c r="O3846" s="311"/>
      <c r="P3846" t="str">
        <f t="shared" si="323"/>
        <v>130-8820</v>
      </c>
      <c r="Q3846" s="315" t="str">
        <f t="shared" si="324"/>
        <v>Admin &amp; Other</v>
      </c>
      <c r="R3846" s="315" t="str">
        <f t="shared" si="325"/>
        <v>Admin &amp; OtherOther Overheads as % of Total Gross Profit</v>
      </c>
      <c r="S3846" s="199"/>
      <c r="T3846" s="199"/>
      <c r="U3846" s="199"/>
    </row>
    <row r="3847" spans="1:21" x14ac:dyDescent="0.25">
      <c r="A3847" t="s">
        <v>996</v>
      </c>
      <c r="B3847" t="s">
        <v>997</v>
      </c>
      <c r="C3847" t="s">
        <v>997</v>
      </c>
      <c r="D3847">
        <v>8820</v>
      </c>
      <c r="E3847">
        <v>100</v>
      </c>
      <c r="F3847" t="s">
        <v>1446</v>
      </c>
      <c r="G3847" t="s">
        <v>1447</v>
      </c>
      <c r="H3847" s="315" t="s">
        <v>1000</v>
      </c>
      <c r="I3847" s="315" t="s">
        <v>1001</v>
      </c>
      <c r="J3847" s="315" t="str">
        <f t="shared" si="321"/>
        <v>Admin &amp; OtherOther Overheads as % of Total Gross Profit</v>
      </c>
      <c r="K3847" s="315" t="str">
        <f t="shared" si="322"/>
        <v>100Depreciation - Toyota</v>
      </c>
      <c r="L3847" s="311">
        <f>+SUMIF('TUNZ Extracted TB'!M:M,$P3847,'TUNZ Extracted TB'!G:G)</f>
        <v>0</v>
      </c>
      <c r="M3847" s="311"/>
      <c r="N3847" s="311">
        <f>+SUMIF('Input Sheet'!$AE:$AE,P3847,'Input Sheet'!$X:$X)</f>
        <v>0</v>
      </c>
      <c r="O3847" s="311"/>
      <c r="P3847" t="str">
        <f t="shared" si="323"/>
        <v>100-8820</v>
      </c>
      <c r="Q3847" s="315" t="str">
        <f t="shared" si="324"/>
        <v>Admin &amp; Other</v>
      </c>
      <c r="R3847" s="315" t="str">
        <f t="shared" si="325"/>
        <v>Admin &amp; OtherOther Overheads as % of Total Gross Profit</v>
      </c>
    </row>
    <row r="3848" spans="1:21" x14ac:dyDescent="0.25">
      <c r="A3848" t="s">
        <v>996</v>
      </c>
      <c r="B3848" t="s">
        <v>997</v>
      </c>
      <c r="C3848" t="s">
        <v>997</v>
      </c>
      <c r="D3848">
        <v>8820</v>
      </c>
      <c r="E3848">
        <v>110</v>
      </c>
      <c r="F3848" t="s">
        <v>1446</v>
      </c>
      <c r="G3848" t="s">
        <v>1447</v>
      </c>
      <c r="H3848" s="315" t="s">
        <v>1000</v>
      </c>
      <c r="I3848" s="315" t="s">
        <v>1001</v>
      </c>
      <c r="J3848" s="315" t="str">
        <f t="shared" si="321"/>
        <v>Admin &amp; OtherOther Overheads as % of Total Gross Profit</v>
      </c>
      <c r="K3848" s="315" t="str">
        <f t="shared" si="322"/>
        <v>110Depreciation - Toyota</v>
      </c>
      <c r="L3848" s="311">
        <f>+SUMIF('TUNZ Extracted TB'!M:M,$P3848,'TUNZ Extracted TB'!G:G)</f>
        <v>0</v>
      </c>
      <c r="M3848" s="311"/>
      <c r="N3848" s="311">
        <f>+SUMIF('Input Sheet'!$AE:$AE,P3848,'Input Sheet'!$X:$X)</f>
        <v>0</v>
      </c>
      <c r="O3848" s="311"/>
      <c r="P3848" t="str">
        <f t="shared" si="323"/>
        <v>110-8820</v>
      </c>
      <c r="Q3848" s="315" t="str">
        <f t="shared" si="324"/>
        <v>Admin &amp; Other</v>
      </c>
      <c r="R3848" s="315" t="str">
        <f t="shared" si="325"/>
        <v>Admin &amp; OtherOther Overheads as % of Total Gross Profit</v>
      </c>
    </row>
    <row r="3849" spans="1:21" x14ac:dyDescent="0.25">
      <c r="A3849" t="s">
        <v>996</v>
      </c>
      <c r="B3849" t="s">
        <v>997</v>
      </c>
      <c r="C3849" t="s">
        <v>997</v>
      </c>
      <c r="D3849">
        <v>8820</v>
      </c>
      <c r="E3849">
        <v>112</v>
      </c>
      <c r="F3849" t="s">
        <v>1460</v>
      </c>
      <c r="G3849" t="s">
        <v>1461</v>
      </c>
      <c r="H3849" s="315" t="s">
        <v>1023</v>
      </c>
      <c r="I3849" s="315" t="s">
        <v>1001</v>
      </c>
      <c r="J3849" s="315" t="str">
        <f t="shared" si="321"/>
        <v>LEX Admin &amp; OtherOther Overheads as % of Total Gross Profit</v>
      </c>
      <c r="K3849" s="315" t="str">
        <f t="shared" si="322"/>
        <v>112Other Income - Lexus</v>
      </c>
      <c r="L3849" s="311">
        <f>+SUMIF('TUNZ Extracted TB'!M:M,$P3849,'TUNZ Extracted TB'!G:G)</f>
        <v>0</v>
      </c>
      <c r="M3849" s="311"/>
      <c r="N3849" s="311">
        <f>+SUMIF('Input Sheet'!$AE:$AE,P3849,'Input Sheet'!$X:$X)</f>
        <v>0</v>
      </c>
      <c r="O3849" s="311"/>
      <c r="P3849" t="str">
        <f t="shared" si="323"/>
        <v>112-8820</v>
      </c>
      <c r="Q3849" s="315" t="str">
        <f t="shared" si="324"/>
        <v>LEX Admin &amp; Other</v>
      </c>
      <c r="R3849" s="315" t="str">
        <f t="shared" si="325"/>
        <v>LEX Admin &amp; OtherOther Overheads as % of Total Gross Profit</v>
      </c>
    </row>
    <row r="3850" spans="1:21" x14ac:dyDescent="0.25">
      <c r="A3850" t="s">
        <v>996</v>
      </c>
      <c r="B3850" t="s">
        <v>997</v>
      </c>
      <c r="C3850" t="s">
        <v>997</v>
      </c>
      <c r="D3850">
        <v>8840</v>
      </c>
      <c r="E3850">
        <v>147</v>
      </c>
      <c r="F3850" t="s">
        <v>1446</v>
      </c>
      <c r="G3850" t="s">
        <v>1447</v>
      </c>
      <c r="H3850" s="315" t="s">
        <v>1000</v>
      </c>
      <c r="I3850" s="315" t="s">
        <v>1001</v>
      </c>
      <c r="J3850" s="315" t="str">
        <f t="shared" si="321"/>
        <v>Admin &amp; OtherOther Overheads as % of Total Gross Profit</v>
      </c>
      <c r="K3850" s="315" t="str">
        <f t="shared" si="322"/>
        <v>147Depreciation - Toyota</v>
      </c>
      <c r="L3850" s="311">
        <f>+SUMIF('TUNZ Extracted TB'!M:M,$P3850,'TUNZ Extracted TB'!G:G)</f>
        <v>0</v>
      </c>
      <c r="M3850" s="311"/>
      <c r="N3850" s="311">
        <f>+SUMIF('Input Sheet'!$AE:$AE,P3850,'Input Sheet'!$X:$X)</f>
        <v>0</v>
      </c>
      <c r="O3850" s="311"/>
      <c r="P3850" t="str">
        <f t="shared" si="323"/>
        <v>147-8840</v>
      </c>
      <c r="Q3850" s="315" t="str">
        <f t="shared" si="324"/>
        <v>Admin &amp; Other</v>
      </c>
      <c r="R3850" s="315" t="str">
        <f t="shared" si="325"/>
        <v>Admin &amp; OtherOther Overheads as % of Total Gross Profit</v>
      </c>
      <c r="S3850" s="199"/>
      <c r="T3850" s="199"/>
      <c r="U3850" s="199"/>
    </row>
    <row r="3851" spans="1:21" x14ac:dyDescent="0.25">
      <c r="A3851" t="s">
        <v>996</v>
      </c>
      <c r="B3851" t="s">
        <v>997</v>
      </c>
      <c r="C3851" t="s">
        <v>997</v>
      </c>
      <c r="D3851" t="s">
        <v>480</v>
      </c>
      <c r="E3851">
        <v>110</v>
      </c>
      <c r="F3851" t="s">
        <v>1014</v>
      </c>
      <c r="G3851" t="s">
        <v>1015</v>
      </c>
      <c r="H3851" s="315" t="s">
        <v>30</v>
      </c>
      <c r="I3851" s="315" t="s">
        <v>1016</v>
      </c>
      <c r="J3851" s="315" t="str">
        <f t="shared" si="321"/>
        <v>Used VehicleEx NV demonstrators gross profit p.u.</v>
      </c>
      <c r="K3851" s="315" t="str">
        <f t="shared" si="322"/>
        <v>110Ex-Toyota NV Demonstrator revenue</v>
      </c>
      <c r="L3851" s="311">
        <f>+SUMIF('TUNZ Extracted TB'!M:M,$P3851,'TUNZ Extracted TB'!G:G)</f>
        <v>0</v>
      </c>
      <c r="M3851" s="311"/>
      <c r="N3851" s="311">
        <f>+SUMIF('Input Sheet'!$AE:$AE,P3851,'Input Sheet'!$X:$X)</f>
        <v>0</v>
      </c>
      <c r="O3851" s="311"/>
      <c r="P3851" t="str">
        <f t="shared" si="323"/>
        <v>110-3002R</v>
      </c>
      <c r="Q3851" s="315" t="str">
        <f t="shared" si="324"/>
        <v>Used Vehicle</v>
      </c>
      <c r="R3851" s="315" t="str">
        <f t="shared" si="325"/>
        <v>Used VehicleEx NV demonstrators gross profit p.u.</v>
      </c>
      <c r="S3851" s="199"/>
      <c r="T3851" s="199"/>
      <c r="U3851" s="199"/>
    </row>
    <row r="3852" spans="1:21" x14ac:dyDescent="0.25">
      <c r="A3852" t="s">
        <v>996</v>
      </c>
      <c r="B3852" t="s">
        <v>997</v>
      </c>
      <c r="C3852" t="s">
        <v>997</v>
      </c>
      <c r="D3852" t="s">
        <v>483</v>
      </c>
      <c r="E3852">
        <v>100</v>
      </c>
      <c r="F3852" t="s">
        <v>1024</v>
      </c>
      <c r="G3852" t="s">
        <v>1027</v>
      </c>
      <c r="H3852" s="315" t="s">
        <v>29</v>
      </c>
      <c r="I3852" s="315" t="s">
        <v>1026</v>
      </c>
      <c r="J3852" s="315" t="str">
        <f t="shared" si="321"/>
        <v>New VehicleOther Income per NV unit</v>
      </c>
      <c r="K3852" s="315" t="str">
        <f t="shared" si="322"/>
        <v>100New Vehicle Other Income - Toyota</v>
      </c>
      <c r="L3852" s="311">
        <f>+SUMIF('TUNZ Extracted TB'!M:M,$P3852,'TUNZ Extracted TB'!G:G)</f>
        <v>0</v>
      </c>
      <c r="M3852" s="311"/>
      <c r="N3852" s="311">
        <f>+SUMIF('Input Sheet'!$AE:$AE,P3852,'Input Sheet'!$X:$X)</f>
        <v>0</v>
      </c>
      <c r="O3852" s="311"/>
      <c r="P3852" t="str">
        <f t="shared" si="323"/>
        <v>100-3002RD</v>
      </c>
      <c r="Q3852" s="315" t="str">
        <f t="shared" si="324"/>
        <v>New Vehicle</v>
      </c>
      <c r="R3852" s="315" t="str">
        <f t="shared" si="325"/>
        <v>New VehicleOther Income per NV unit</v>
      </c>
      <c r="S3852" s="199"/>
      <c r="T3852" s="199"/>
      <c r="U3852" s="199"/>
    </row>
    <row r="3853" spans="1:21" x14ac:dyDescent="0.25">
      <c r="A3853" t="s">
        <v>996</v>
      </c>
      <c r="B3853" t="s">
        <v>997</v>
      </c>
      <c r="C3853" t="s">
        <v>1012</v>
      </c>
      <c r="D3853" t="s">
        <v>480</v>
      </c>
      <c r="E3853">
        <v>410</v>
      </c>
      <c r="F3853" t="s">
        <v>1014</v>
      </c>
      <c r="G3853" t="s">
        <v>1015</v>
      </c>
      <c r="H3853" s="315" t="s">
        <v>30</v>
      </c>
      <c r="I3853" s="315" t="s">
        <v>1016</v>
      </c>
      <c r="J3853" s="315" t="str">
        <f t="shared" si="321"/>
        <v>Used VehicleEx NV demonstrators gross profit p.u.</v>
      </c>
      <c r="K3853" s="315" t="str">
        <f t="shared" si="322"/>
        <v>410Ex-Toyota NV Demonstrator revenue</v>
      </c>
      <c r="L3853" s="311">
        <f>+SUMIF('TUNZ Extracted TB'!M:M,$P3853,'TUNZ Extracted TB'!G:G)</f>
        <v>0</v>
      </c>
      <c r="M3853" s="311"/>
      <c r="N3853" s="311">
        <f>+SUMIF('Input Sheet'!$AE:$AE,P3853,'Input Sheet'!$X:$X)</f>
        <v>0</v>
      </c>
      <c r="O3853" s="311"/>
      <c r="P3853" t="str">
        <f t="shared" si="323"/>
        <v>410-3002R</v>
      </c>
      <c r="Q3853" s="315" t="str">
        <f t="shared" si="324"/>
        <v>Used Vehicle</v>
      </c>
      <c r="R3853" s="315" t="str">
        <f t="shared" si="325"/>
        <v>Used VehicleEx NV demonstrators gross profit p.u.</v>
      </c>
      <c r="S3853" s="199"/>
      <c r="T3853" s="199"/>
      <c r="U3853" s="199"/>
    </row>
    <row r="3854" spans="1:21" x14ac:dyDescent="0.25">
      <c r="A3854" t="s">
        <v>996</v>
      </c>
      <c r="B3854" t="s">
        <v>997</v>
      </c>
      <c r="C3854" t="s">
        <v>1013</v>
      </c>
      <c r="D3854" t="s">
        <v>480</v>
      </c>
      <c r="E3854">
        <v>310</v>
      </c>
      <c r="F3854" t="s">
        <v>1014</v>
      </c>
      <c r="G3854" t="s">
        <v>1015</v>
      </c>
      <c r="H3854" s="315" t="s">
        <v>30</v>
      </c>
      <c r="I3854" s="315" t="s">
        <v>1016</v>
      </c>
      <c r="J3854" s="315" t="str">
        <f t="shared" si="321"/>
        <v>Used VehicleEx NV demonstrators gross profit p.u.</v>
      </c>
      <c r="K3854" s="315" t="str">
        <f t="shared" si="322"/>
        <v>310Ex-Toyota NV Demonstrator revenue</v>
      </c>
      <c r="L3854" s="311">
        <f>+SUMIF('TUNZ Extracted TB'!M:M,$P3854,'TUNZ Extracted TB'!G:G)</f>
        <v>0</v>
      </c>
      <c r="M3854" s="311"/>
      <c r="N3854" s="311">
        <f>+SUMIF('Input Sheet'!$AE:$AE,P3854,'Input Sheet'!$X:$X)</f>
        <v>0</v>
      </c>
      <c r="O3854" s="311"/>
      <c r="P3854" t="str">
        <f t="shared" si="323"/>
        <v>310-3002R</v>
      </c>
      <c r="Q3854" s="315" t="str">
        <f t="shared" si="324"/>
        <v>Used Vehicle</v>
      </c>
      <c r="R3854" s="315" t="str">
        <f t="shared" si="325"/>
        <v>Used VehicleEx NV demonstrators gross profit p.u.</v>
      </c>
      <c r="S3854" s="199"/>
      <c r="T3854" s="199"/>
      <c r="U3854" s="199"/>
    </row>
    <row r="3855" spans="1:21" x14ac:dyDescent="0.25">
      <c r="A3855" t="s">
        <v>996</v>
      </c>
      <c r="B3855" t="s">
        <v>997</v>
      </c>
      <c r="C3855" t="s">
        <v>1005</v>
      </c>
      <c r="D3855" t="s">
        <v>480</v>
      </c>
      <c r="E3855">
        <v>210</v>
      </c>
      <c r="F3855" t="s">
        <v>1014</v>
      </c>
      <c r="G3855" t="s">
        <v>1015</v>
      </c>
      <c r="H3855" s="315" t="s">
        <v>30</v>
      </c>
      <c r="I3855" s="315" t="s">
        <v>1016</v>
      </c>
      <c r="J3855" s="315" t="str">
        <f t="shared" si="321"/>
        <v>Used VehicleEx NV demonstrators gross profit p.u.</v>
      </c>
      <c r="K3855" s="315" t="str">
        <f t="shared" si="322"/>
        <v>210Ex-Toyota NV Demonstrator revenue</v>
      </c>
      <c r="L3855" s="311">
        <f>+SUMIF('TUNZ Extracted TB'!M:M,$P3855,'TUNZ Extracted TB'!G:G)</f>
        <v>-97017.39</v>
      </c>
      <c r="M3855" s="311"/>
      <c r="N3855" s="311">
        <f>+SUMIF('Input Sheet'!$AE:$AE,P3855,'Input Sheet'!$X:$X)</f>
        <v>0</v>
      </c>
      <c r="O3855" s="311"/>
      <c r="P3855" t="str">
        <f t="shared" si="323"/>
        <v>210-3002R</v>
      </c>
      <c r="Q3855" s="315" t="str">
        <f t="shared" si="324"/>
        <v>Used Vehicle</v>
      </c>
      <c r="R3855" s="315" t="str">
        <f t="shared" si="325"/>
        <v>Used VehicleEx NV demonstrators gross profit p.u.</v>
      </c>
      <c r="S3855" s="199"/>
      <c r="T3855" s="199"/>
      <c r="U3855" s="199"/>
    </row>
    <row r="3856" spans="1:21" x14ac:dyDescent="0.25">
      <c r="A3856" t="s">
        <v>996</v>
      </c>
      <c r="B3856" t="s">
        <v>997</v>
      </c>
      <c r="C3856" t="s">
        <v>1005</v>
      </c>
      <c r="D3856" t="s">
        <v>483</v>
      </c>
      <c r="E3856">
        <v>200</v>
      </c>
      <c r="F3856" t="s">
        <v>1024</v>
      </c>
      <c r="G3856" t="s">
        <v>1027</v>
      </c>
      <c r="H3856" s="315" t="s">
        <v>29</v>
      </c>
      <c r="I3856" s="315" t="s">
        <v>1026</v>
      </c>
      <c r="J3856" s="315" t="str">
        <f t="shared" si="321"/>
        <v>New VehicleOther Income per NV unit</v>
      </c>
      <c r="K3856" s="315" t="str">
        <f t="shared" si="322"/>
        <v>200New Vehicle Other Income - Toyota</v>
      </c>
      <c r="L3856" s="311">
        <f>+SUMIF('TUNZ Extracted TB'!M:M,$P3856,'TUNZ Extracted TB'!G:G)</f>
        <v>0</v>
      </c>
      <c r="M3856" s="311"/>
      <c r="N3856" s="311">
        <f>+SUMIF('Input Sheet'!$AE:$AE,P3856,'Input Sheet'!$X:$X)</f>
        <v>0</v>
      </c>
      <c r="O3856" s="311"/>
      <c r="P3856" t="str">
        <f t="shared" si="323"/>
        <v>200-3002RD</v>
      </c>
      <c r="Q3856" s="315" t="str">
        <f t="shared" si="324"/>
        <v>New Vehicle</v>
      </c>
      <c r="R3856" s="315" t="str">
        <f t="shared" si="325"/>
        <v>New VehicleOther Income per NV unit</v>
      </c>
      <c r="S3856" s="199"/>
      <c r="T3856" s="199"/>
      <c r="U3856" s="199"/>
    </row>
    <row r="3857" spans="1:21" x14ac:dyDescent="0.25">
      <c r="A3857" t="s">
        <v>996</v>
      </c>
      <c r="B3857" t="s">
        <v>997</v>
      </c>
      <c r="C3857" t="s">
        <v>1012</v>
      </c>
      <c r="D3857" t="s">
        <v>483</v>
      </c>
      <c r="E3857">
        <v>400</v>
      </c>
      <c r="F3857" t="s">
        <v>1024</v>
      </c>
      <c r="G3857" t="s">
        <v>1027</v>
      </c>
      <c r="H3857" s="315" t="s">
        <v>29</v>
      </c>
      <c r="I3857" s="315" t="s">
        <v>1026</v>
      </c>
      <c r="J3857" s="315" t="str">
        <f t="shared" si="321"/>
        <v>New VehicleOther Income per NV unit</v>
      </c>
      <c r="K3857" s="315" t="str">
        <f t="shared" si="322"/>
        <v>400New Vehicle Other Income - Toyota</v>
      </c>
      <c r="L3857" s="311">
        <f>+SUMIF('TUNZ Extracted TB'!M:M,$P3857,'TUNZ Extracted TB'!G:G)</f>
        <v>0</v>
      </c>
      <c r="M3857" s="311"/>
      <c r="N3857" s="311">
        <f>+SUMIF('Input Sheet'!$AE:$AE,P3857,'Input Sheet'!$X:$X)</f>
        <v>0</v>
      </c>
      <c r="O3857" s="311"/>
      <c r="P3857" t="str">
        <f t="shared" si="323"/>
        <v>400-3002RD</v>
      </c>
      <c r="Q3857" s="315" t="str">
        <f t="shared" si="324"/>
        <v>New Vehicle</v>
      </c>
      <c r="R3857" s="315" t="str">
        <f t="shared" si="325"/>
        <v>New VehicleOther Income per NV unit</v>
      </c>
      <c r="S3857" s="199"/>
      <c r="T3857" s="199"/>
      <c r="U3857" s="199"/>
    </row>
    <row r="3858" spans="1:21" x14ac:dyDescent="0.25">
      <c r="A3858" t="s">
        <v>996</v>
      </c>
      <c r="B3858" t="s">
        <v>997</v>
      </c>
      <c r="C3858" t="s">
        <v>1013</v>
      </c>
      <c r="D3858" t="s">
        <v>483</v>
      </c>
      <c r="E3858">
        <v>300</v>
      </c>
      <c r="F3858" t="s">
        <v>1024</v>
      </c>
      <c r="G3858" t="s">
        <v>1027</v>
      </c>
      <c r="H3858" s="315" t="s">
        <v>29</v>
      </c>
      <c r="I3858" s="315" t="s">
        <v>1026</v>
      </c>
      <c r="J3858" s="315" t="str">
        <f t="shared" si="321"/>
        <v>New VehicleOther Income per NV unit</v>
      </c>
      <c r="K3858" s="315" t="str">
        <f t="shared" si="322"/>
        <v>300New Vehicle Other Income - Toyota</v>
      </c>
      <c r="L3858" s="311">
        <f>+SUMIF('TUNZ Extracted TB'!M:M,$P3858,'TUNZ Extracted TB'!G:G)</f>
        <v>0</v>
      </c>
      <c r="M3858" s="311"/>
      <c r="N3858" s="311">
        <f>+SUMIF('Input Sheet'!$AE:$AE,P3858,'Input Sheet'!$X:$X)</f>
        <v>0</v>
      </c>
      <c r="O3858" s="311"/>
      <c r="P3858" t="str">
        <f t="shared" si="323"/>
        <v>300-3002RD</v>
      </c>
      <c r="Q3858" s="315" t="str">
        <f t="shared" si="324"/>
        <v>New Vehicle</v>
      </c>
      <c r="R3858" s="315" t="str">
        <f t="shared" si="325"/>
        <v>New VehicleOther Income per NV unit</v>
      </c>
      <c r="S3858" s="199"/>
      <c r="T3858" s="199"/>
      <c r="U3858" s="199"/>
    </row>
    <row r="3859" spans="1:21" x14ac:dyDescent="0.25">
      <c r="A3859" t="s">
        <v>996</v>
      </c>
      <c r="B3859" t="s">
        <v>997</v>
      </c>
      <c r="C3859" t="s">
        <v>997</v>
      </c>
      <c r="D3859" t="s">
        <v>483</v>
      </c>
      <c r="E3859">
        <v>110</v>
      </c>
      <c r="F3859" t="s">
        <v>1014</v>
      </c>
      <c r="G3859" t="s">
        <v>1015</v>
      </c>
      <c r="H3859" s="315" t="s">
        <v>30</v>
      </c>
      <c r="I3859" s="315" t="s">
        <v>1016</v>
      </c>
      <c r="J3859" s="315" t="str">
        <f t="shared" si="321"/>
        <v>Used VehicleEx NV demonstrators gross profit p.u.</v>
      </c>
      <c r="K3859" s="315" t="str">
        <f t="shared" si="322"/>
        <v>110Ex-Toyota NV Demonstrator revenue</v>
      </c>
      <c r="L3859" s="311">
        <f>+SUMIF('TUNZ Extracted TB'!M:M,$P3859,'TUNZ Extracted TB'!G:G)</f>
        <v>0</v>
      </c>
      <c r="M3859" s="311"/>
      <c r="N3859" s="311">
        <f>+SUMIF('Input Sheet'!$AE:$AE,P3859,'Input Sheet'!$X:$X)</f>
        <v>0</v>
      </c>
      <c r="O3859" s="311"/>
      <c r="P3859" t="str">
        <f t="shared" si="323"/>
        <v>110-3002RD</v>
      </c>
      <c r="Q3859" s="315" t="str">
        <f t="shared" si="324"/>
        <v>Used Vehicle</v>
      </c>
      <c r="R3859" s="315" t="str">
        <f t="shared" si="325"/>
        <v>Used VehicleEx NV demonstrators gross profit p.u.</v>
      </c>
      <c r="S3859" s="199"/>
      <c r="T3859" s="199"/>
      <c r="U3859" s="199"/>
    </row>
    <row r="3860" spans="1:21" x14ac:dyDescent="0.25">
      <c r="A3860" t="s">
        <v>996</v>
      </c>
      <c r="B3860" t="s">
        <v>997</v>
      </c>
      <c r="C3860" t="s">
        <v>997</v>
      </c>
      <c r="D3860" t="s">
        <v>485</v>
      </c>
      <c r="E3860">
        <v>100</v>
      </c>
      <c r="F3860" t="s">
        <v>1024</v>
      </c>
      <c r="G3860" t="s">
        <v>1027</v>
      </c>
      <c r="H3860" s="315" t="s">
        <v>29</v>
      </c>
      <c r="I3860" s="315" t="s">
        <v>1026</v>
      </c>
      <c r="J3860" s="315" t="str">
        <f t="shared" si="321"/>
        <v>New VehicleOther Income per NV unit</v>
      </c>
      <c r="K3860" s="315" t="str">
        <f t="shared" si="322"/>
        <v>100New Vehicle Other Income - Toyota</v>
      </c>
      <c r="L3860" s="311">
        <f>+SUMIF('TUNZ Extracted TB'!M:M,$P3860,'TUNZ Extracted TB'!G:G)</f>
        <v>-1919.47</v>
      </c>
      <c r="M3860" s="311"/>
      <c r="N3860" s="311">
        <f>+SUMIF('Input Sheet'!$AE:$AE,P3860,'Input Sheet'!$X:$X)</f>
        <v>0</v>
      </c>
      <c r="O3860" s="311"/>
      <c r="P3860" t="str">
        <f t="shared" si="323"/>
        <v>100-3004R</v>
      </c>
      <c r="Q3860" s="315" t="str">
        <f t="shared" si="324"/>
        <v>New Vehicle</v>
      </c>
      <c r="R3860" s="315" t="str">
        <f t="shared" si="325"/>
        <v>New VehicleOther Income per NV unit</v>
      </c>
      <c r="S3860" s="199" t="s">
        <v>1466</v>
      </c>
      <c r="T3860" s="199"/>
      <c r="U3860" s="199"/>
    </row>
    <row r="3861" spans="1:21" x14ac:dyDescent="0.25">
      <c r="A3861" t="s">
        <v>996</v>
      </c>
      <c r="B3861" t="s">
        <v>997</v>
      </c>
      <c r="C3861" t="s">
        <v>1005</v>
      </c>
      <c r="D3861" t="s">
        <v>483</v>
      </c>
      <c r="E3861">
        <v>210</v>
      </c>
      <c r="F3861" t="s">
        <v>1014</v>
      </c>
      <c r="G3861" t="s">
        <v>1015</v>
      </c>
      <c r="H3861" s="315" t="s">
        <v>30</v>
      </c>
      <c r="I3861" s="315" t="s">
        <v>1016</v>
      </c>
      <c r="J3861" s="315" t="str">
        <f t="shared" si="321"/>
        <v>Used VehicleEx NV demonstrators gross profit p.u.</v>
      </c>
      <c r="K3861" s="315" t="str">
        <f t="shared" si="322"/>
        <v>210Ex-Toyota NV Demonstrator revenue</v>
      </c>
      <c r="L3861" s="311">
        <f>+SUMIF('TUNZ Extracted TB'!M:M,$P3861,'TUNZ Extracted TB'!G:G)</f>
        <v>7217.39</v>
      </c>
      <c r="M3861" s="311"/>
      <c r="N3861" s="311">
        <f>+SUMIF('Input Sheet'!$AE:$AE,P3861,'Input Sheet'!$X:$X)</f>
        <v>0</v>
      </c>
      <c r="O3861" s="311"/>
      <c r="P3861" t="str">
        <f t="shared" si="323"/>
        <v>210-3002RD</v>
      </c>
      <c r="Q3861" s="315" t="str">
        <f t="shared" si="324"/>
        <v>Used Vehicle</v>
      </c>
      <c r="R3861" s="315" t="str">
        <f t="shared" si="325"/>
        <v>Used VehicleEx NV demonstrators gross profit p.u.</v>
      </c>
      <c r="S3861" s="199"/>
      <c r="T3861" s="199"/>
      <c r="U3861" s="199"/>
    </row>
    <row r="3862" spans="1:21" x14ac:dyDescent="0.25">
      <c r="A3862" t="s">
        <v>996</v>
      </c>
      <c r="B3862" t="s">
        <v>997</v>
      </c>
      <c r="C3862" t="s">
        <v>1012</v>
      </c>
      <c r="D3862" t="s">
        <v>483</v>
      </c>
      <c r="E3862">
        <v>410</v>
      </c>
      <c r="F3862" t="s">
        <v>1014</v>
      </c>
      <c r="G3862" t="s">
        <v>1015</v>
      </c>
      <c r="H3862" s="315" t="s">
        <v>30</v>
      </c>
      <c r="I3862" s="315" t="s">
        <v>1016</v>
      </c>
      <c r="J3862" s="315" t="str">
        <f t="shared" si="321"/>
        <v>Used VehicleEx NV demonstrators gross profit p.u.</v>
      </c>
      <c r="K3862" s="315" t="str">
        <f t="shared" si="322"/>
        <v>410Ex-Toyota NV Demonstrator revenue</v>
      </c>
      <c r="L3862" s="311">
        <f>+SUMIF('TUNZ Extracted TB'!M:M,$P3862,'TUNZ Extracted TB'!G:G)</f>
        <v>0</v>
      </c>
      <c r="M3862" s="311"/>
      <c r="N3862" s="311">
        <f>+SUMIF('Input Sheet'!$AE:$AE,P3862,'Input Sheet'!$X:$X)</f>
        <v>0</v>
      </c>
      <c r="O3862" s="311"/>
      <c r="P3862" t="str">
        <f t="shared" si="323"/>
        <v>410-3002RD</v>
      </c>
      <c r="Q3862" s="315" t="str">
        <f t="shared" si="324"/>
        <v>Used Vehicle</v>
      </c>
      <c r="R3862" s="315" t="str">
        <f t="shared" si="325"/>
        <v>Used VehicleEx NV demonstrators gross profit p.u.</v>
      </c>
      <c r="S3862" s="199"/>
      <c r="T3862" s="199"/>
      <c r="U3862" s="199"/>
    </row>
    <row r="3863" spans="1:21" x14ac:dyDescent="0.25">
      <c r="A3863" t="s">
        <v>996</v>
      </c>
      <c r="B3863" t="s">
        <v>997</v>
      </c>
      <c r="C3863" t="s">
        <v>1013</v>
      </c>
      <c r="D3863" t="s">
        <v>483</v>
      </c>
      <c r="E3863">
        <v>310</v>
      </c>
      <c r="F3863" t="s">
        <v>1014</v>
      </c>
      <c r="G3863" t="s">
        <v>1015</v>
      </c>
      <c r="H3863" s="315" t="s">
        <v>30</v>
      </c>
      <c r="I3863" s="315" t="s">
        <v>1016</v>
      </c>
      <c r="J3863" s="315" t="str">
        <f t="shared" si="321"/>
        <v>Used VehicleEx NV demonstrators gross profit p.u.</v>
      </c>
      <c r="K3863" s="315" t="str">
        <f t="shared" si="322"/>
        <v>310Ex-Toyota NV Demonstrator revenue</v>
      </c>
      <c r="L3863" s="311">
        <f>+SUMIF('TUNZ Extracted TB'!M:M,$P3863,'TUNZ Extracted TB'!G:G)</f>
        <v>0</v>
      </c>
      <c r="M3863" s="311"/>
      <c r="N3863" s="311">
        <f>+SUMIF('Input Sheet'!$AE:$AE,P3863,'Input Sheet'!$X:$X)</f>
        <v>0</v>
      </c>
      <c r="O3863" s="311"/>
      <c r="P3863" t="str">
        <f t="shared" si="323"/>
        <v>310-3002RD</v>
      </c>
      <c r="Q3863" s="315" t="str">
        <f t="shared" si="324"/>
        <v>Used Vehicle</v>
      </c>
      <c r="R3863" s="315" t="str">
        <f t="shared" si="325"/>
        <v>Used VehicleEx NV demonstrators gross profit p.u.</v>
      </c>
      <c r="S3863" s="199"/>
      <c r="T3863" s="199"/>
      <c r="U3863" s="199"/>
    </row>
    <row r="3864" spans="1:21" x14ac:dyDescent="0.25">
      <c r="A3864" t="s">
        <v>996</v>
      </c>
      <c r="B3864" t="s">
        <v>997</v>
      </c>
      <c r="C3864" t="s">
        <v>1012</v>
      </c>
      <c r="D3864" t="s">
        <v>485</v>
      </c>
      <c r="E3864">
        <v>400</v>
      </c>
      <c r="F3864" t="s">
        <v>1024</v>
      </c>
      <c r="G3864" t="s">
        <v>1027</v>
      </c>
      <c r="H3864" s="315" t="s">
        <v>29</v>
      </c>
      <c r="I3864" s="315" t="s">
        <v>1026</v>
      </c>
      <c r="J3864" s="315" t="str">
        <f t="shared" si="321"/>
        <v>New VehicleOther Income per NV unit</v>
      </c>
      <c r="K3864" s="315" t="str">
        <f t="shared" si="322"/>
        <v>400New Vehicle Other Income - Toyota</v>
      </c>
      <c r="L3864" s="311">
        <f>+SUMIF('TUNZ Extracted TB'!M:M,$P3864,'TUNZ Extracted TB'!G:G)</f>
        <v>0</v>
      </c>
      <c r="M3864" s="311"/>
      <c r="N3864" s="311">
        <f>+SUMIF('Input Sheet'!$AE:$AE,P3864,'Input Sheet'!$X:$X)</f>
        <v>0</v>
      </c>
      <c r="O3864" s="311"/>
      <c r="P3864" t="str">
        <f t="shared" si="323"/>
        <v>400-3004R</v>
      </c>
      <c r="Q3864" s="315" t="str">
        <f t="shared" si="324"/>
        <v>New Vehicle</v>
      </c>
      <c r="R3864" s="315" t="str">
        <f t="shared" si="325"/>
        <v>New VehicleOther Income per NV unit</v>
      </c>
      <c r="S3864" s="199"/>
      <c r="T3864" s="199"/>
      <c r="U3864" s="199"/>
    </row>
    <row r="3865" spans="1:21" x14ac:dyDescent="0.25">
      <c r="A3865" t="s">
        <v>996</v>
      </c>
      <c r="B3865" t="s">
        <v>997</v>
      </c>
      <c r="C3865" t="s">
        <v>1013</v>
      </c>
      <c r="D3865" t="s">
        <v>485</v>
      </c>
      <c r="E3865">
        <v>300</v>
      </c>
      <c r="F3865" t="s">
        <v>1024</v>
      </c>
      <c r="G3865" t="s">
        <v>1027</v>
      </c>
      <c r="H3865" s="315" t="s">
        <v>29</v>
      </c>
      <c r="I3865" s="315" t="s">
        <v>1026</v>
      </c>
      <c r="J3865" s="315" t="str">
        <f t="shared" si="321"/>
        <v>New VehicleOther Income per NV unit</v>
      </c>
      <c r="K3865" s="315" t="str">
        <f t="shared" si="322"/>
        <v>300New Vehicle Other Income - Toyota</v>
      </c>
      <c r="L3865" s="311">
        <f>+SUMIF('TUNZ Extracted TB'!M:M,$P3865,'TUNZ Extracted TB'!G:G)</f>
        <v>0</v>
      </c>
      <c r="M3865" s="311"/>
      <c r="N3865" s="311">
        <f>+SUMIF('Input Sheet'!$AE:$AE,P3865,'Input Sheet'!$X:$X)</f>
        <v>0</v>
      </c>
      <c r="O3865" s="311"/>
      <c r="P3865" t="str">
        <f t="shared" si="323"/>
        <v>300-3004R</v>
      </c>
      <c r="Q3865" s="315" t="str">
        <f t="shared" si="324"/>
        <v>New Vehicle</v>
      </c>
      <c r="R3865" s="315" t="str">
        <f t="shared" si="325"/>
        <v>New VehicleOther Income per NV unit</v>
      </c>
      <c r="S3865" s="199"/>
      <c r="T3865" s="199"/>
      <c r="U3865" s="199"/>
    </row>
    <row r="3866" spans="1:21" x14ac:dyDescent="0.25">
      <c r="A3866" t="s">
        <v>996</v>
      </c>
      <c r="B3866" t="s">
        <v>997</v>
      </c>
      <c r="C3866" t="s">
        <v>1005</v>
      </c>
      <c r="D3866" t="s">
        <v>485</v>
      </c>
      <c r="E3866">
        <v>200</v>
      </c>
      <c r="F3866" t="s">
        <v>1024</v>
      </c>
      <c r="G3866" t="s">
        <v>1027</v>
      </c>
      <c r="H3866" s="315" t="s">
        <v>29</v>
      </c>
      <c r="I3866" s="315" t="s">
        <v>1026</v>
      </c>
      <c r="J3866" s="315" t="str">
        <f t="shared" si="321"/>
        <v>New VehicleOther Income per NV unit</v>
      </c>
      <c r="K3866" s="315" t="str">
        <f t="shared" si="322"/>
        <v>200New Vehicle Other Income - Toyota</v>
      </c>
      <c r="L3866" s="311">
        <f>+SUMIF('TUNZ Extracted TB'!M:M,$P3866,'TUNZ Extracted TB'!G:G)</f>
        <v>-1439.84</v>
      </c>
      <c r="M3866" s="311"/>
      <c r="N3866" s="311">
        <f>+SUMIF('Input Sheet'!$AE:$AE,P3866,'Input Sheet'!$X:$X)</f>
        <v>0</v>
      </c>
      <c r="O3866" s="311"/>
      <c r="P3866" t="str">
        <f t="shared" si="323"/>
        <v>200-3004R</v>
      </c>
      <c r="Q3866" s="315" t="str">
        <f t="shared" si="324"/>
        <v>New Vehicle</v>
      </c>
      <c r="R3866" s="315" t="str">
        <f t="shared" si="325"/>
        <v>New VehicleOther Income per NV unit</v>
      </c>
      <c r="S3866" s="199"/>
      <c r="T3866" s="199"/>
      <c r="U3866" s="199"/>
    </row>
    <row r="3867" spans="1:21" x14ac:dyDescent="0.25">
      <c r="A3867" t="s">
        <v>996</v>
      </c>
      <c r="B3867" t="s">
        <v>997</v>
      </c>
      <c r="C3867" t="s">
        <v>997</v>
      </c>
      <c r="D3867" t="s">
        <v>485</v>
      </c>
      <c r="E3867">
        <v>110</v>
      </c>
      <c r="F3867" t="s">
        <v>1014</v>
      </c>
      <c r="G3867" t="s">
        <v>1015</v>
      </c>
      <c r="H3867" s="315" t="s">
        <v>30</v>
      </c>
      <c r="I3867" s="315" t="s">
        <v>1016</v>
      </c>
      <c r="J3867" s="315" t="str">
        <f t="shared" si="321"/>
        <v>Used VehicleEx NV demonstrators gross profit p.u.</v>
      </c>
      <c r="K3867" s="315" t="str">
        <f t="shared" si="322"/>
        <v>110Ex-Toyota NV Demonstrator revenue</v>
      </c>
      <c r="L3867" s="311">
        <f>+SUMIF('TUNZ Extracted TB'!M:M,$P3867,'TUNZ Extracted TB'!G:G)</f>
        <v>0</v>
      </c>
      <c r="M3867" s="311"/>
      <c r="N3867" s="311">
        <f>+SUMIF('Input Sheet'!$AE:$AE,P3867,'Input Sheet'!$X:$X)</f>
        <v>0</v>
      </c>
      <c r="O3867" s="311"/>
      <c r="P3867" t="str">
        <f t="shared" si="323"/>
        <v>110-3004R</v>
      </c>
      <c r="Q3867" s="315" t="str">
        <f t="shared" si="324"/>
        <v>Used Vehicle</v>
      </c>
      <c r="R3867" s="315" t="str">
        <f t="shared" si="325"/>
        <v>Used VehicleEx NV demonstrators gross profit p.u.</v>
      </c>
      <c r="S3867" s="199"/>
    </row>
    <row r="3868" spans="1:21" x14ac:dyDescent="0.25">
      <c r="A3868" t="s">
        <v>996</v>
      </c>
      <c r="B3868" t="s">
        <v>997</v>
      </c>
      <c r="C3868" t="s">
        <v>997</v>
      </c>
      <c r="D3868" t="s">
        <v>487</v>
      </c>
      <c r="E3868">
        <v>100</v>
      </c>
      <c r="F3868" t="s">
        <v>1024</v>
      </c>
      <c r="G3868" t="s">
        <v>1027</v>
      </c>
      <c r="H3868" s="315" t="s">
        <v>29</v>
      </c>
      <c r="I3868" s="315" t="s">
        <v>1026</v>
      </c>
      <c r="J3868" s="315" t="str">
        <f t="shared" si="321"/>
        <v>New VehicleOther Income per NV unit</v>
      </c>
      <c r="K3868" s="315" t="str">
        <f t="shared" si="322"/>
        <v>100New Vehicle Other Income - Toyota</v>
      </c>
      <c r="L3868" s="311">
        <f>+SUMIF('TUNZ Extracted TB'!M:M,$P3868,'TUNZ Extracted TB'!G:G)</f>
        <v>0</v>
      </c>
      <c r="M3868" s="311"/>
      <c r="N3868" s="311">
        <f>+SUMIF('Input Sheet'!$AE:$AE,P3868,'Input Sheet'!$X:$X)</f>
        <v>0</v>
      </c>
      <c r="O3868" s="311"/>
      <c r="P3868" t="str">
        <f t="shared" si="323"/>
        <v>100-3004RD</v>
      </c>
      <c r="Q3868" s="315" t="str">
        <f t="shared" si="324"/>
        <v>New Vehicle</v>
      </c>
      <c r="R3868" s="315" t="str">
        <f t="shared" si="325"/>
        <v>New VehicleOther Income per NV unit</v>
      </c>
      <c r="S3868" s="199"/>
      <c r="T3868" s="199">
        <v>4</v>
      </c>
      <c r="U3868" s="199">
        <v>5</v>
      </c>
    </row>
    <row r="3869" spans="1:21" x14ac:dyDescent="0.25">
      <c r="A3869" t="s">
        <v>996</v>
      </c>
      <c r="B3869" t="s">
        <v>997</v>
      </c>
      <c r="C3869" t="s">
        <v>1012</v>
      </c>
      <c r="D3869" t="s">
        <v>485</v>
      </c>
      <c r="E3869">
        <v>410</v>
      </c>
      <c r="F3869" t="s">
        <v>1014</v>
      </c>
      <c r="G3869" t="s">
        <v>1015</v>
      </c>
      <c r="H3869" s="315" t="s">
        <v>30</v>
      </c>
      <c r="I3869" s="315" t="s">
        <v>1016</v>
      </c>
      <c r="J3869" s="315" t="str">
        <f t="shared" si="321"/>
        <v>Used VehicleEx NV demonstrators gross profit p.u.</v>
      </c>
      <c r="K3869" s="315" t="str">
        <f t="shared" si="322"/>
        <v>410Ex-Toyota NV Demonstrator revenue</v>
      </c>
      <c r="L3869" s="311">
        <f>+SUMIF('TUNZ Extracted TB'!M:M,$P3869,'TUNZ Extracted TB'!G:G)</f>
        <v>0</v>
      </c>
      <c r="M3869" s="311"/>
      <c r="N3869" s="311">
        <f>+SUMIF('Input Sheet'!$AE:$AE,P3869,'Input Sheet'!$X:$X)</f>
        <v>0</v>
      </c>
      <c r="O3869" s="311"/>
      <c r="P3869" t="str">
        <f t="shared" si="323"/>
        <v>410-3004R</v>
      </c>
      <c r="Q3869" s="315" t="str">
        <f t="shared" si="324"/>
        <v>Used Vehicle</v>
      </c>
      <c r="R3869" s="315" t="str">
        <f t="shared" si="325"/>
        <v>Used VehicleEx NV demonstrators gross profit p.u.</v>
      </c>
      <c r="S3869" s="199"/>
      <c r="T3869" s="199"/>
      <c r="U3869" s="199"/>
    </row>
    <row r="3870" spans="1:21" x14ac:dyDescent="0.25">
      <c r="A3870" t="s">
        <v>996</v>
      </c>
      <c r="B3870" t="s">
        <v>997</v>
      </c>
      <c r="C3870" t="s">
        <v>1013</v>
      </c>
      <c r="D3870" t="s">
        <v>485</v>
      </c>
      <c r="E3870">
        <v>310</v>
      </c>
      <c r="F3870" t="s">
        <v>1014</v>
      </c>
      <c r="G3870" t="s">
        <v>1015</v>
      </c>
      <c r="H3870" s="315" t="s">
        <v>30</v>
      </c>
      <c r="I3870" s="315" t="s">
        <v>1016</v>
      </c>
      <c r="J3870" s="315" t="str">
        <f t="shared" si="321"/>
        <v>Used VehicleEx NV demonstrators gross profit p.u.</v>
      </c>
      <c r="K3870" s="315" t="str">
        <f t="shared" si="322"/>
        <v>310Ex-Toyota NV Demonstrator revenue</v>
      </c>
      <c r="L3870" s="311">
        <f>+SUMIF('TUNZ Extracted TB'!M:M,$P3870,'TUNZ Extracted TB'!G:G)</f>
        <v>0</v>
      </c>
      <c r="M3870" s="311"/>
      <c r="N3870" s="311">
        <f>+SUMIF('Input Sheet'!$AE:$AE,P3870,'Input Sheet'!$X:$X)</f>
        <v>0</v>
      </c>
      <c r="O3870" s="311"/>
      <c r="P3870" t="str">
        <f t="shared" si="323"/>
        <v>310-3004R</v>
      </c>
      <c r="Q3870" s="315" t="str">
        <f t="shared" si="324"/>
        <v>Used Vehicle</v>
      </c>
      <c r="R3870" s="315" t="str">
        <f t="shared" si="325"/>
        <v>Used VehicleEx NV demonstrators gross profit p.u.</v>
      </c>
      <c r="S3870" s="199"/>
      <c r="T3870" s="199"/>
      <c r="U3870" s="199"/>
    </row>
    <row r="3871" spans="1:21" x14ac:dyDescent="0.25">
      <c r="A3871" t="s">
        <v>996</v>
      </c>
      <c r="B3871" t="s">
        <v>997</v>
      </c>
      <c r="C3871" t="s">
        <v>1005</v>
      </c>
      <c r="D3871" t="s">
        <v>485</v>
      </c>
      <c r="E3871">
        <v>210</v>
      </c>
      <c r="F3871" t="s">
        <v>1014</v>
      </c>
      <c r="G3871" t="s">
        <v>1015</v>
      </c>
      <c r="H3871" s="315" t="s">
        <v>30</v>
      </c>
      <c r="I3871" s="315" t="s">
        <v>1016</v>
      </c>
      <c r="J3871" s="315" t="str">
        <f t="shared" si="321"/>
        <v>Used VehicleEx NV demonstrators gross profit p.u.</v>
      </c>
      <c r="K3871" s="315" t="str">
        <f t="shared" si="322"/>
        <v>210Ex-Toyota NV Demonstrator revenue</v>
      </c>
      <c r="L3871" s="311">
        <f>+SUMIF('TUNZ Extracted TB'!M:M,$P3871,'TUNZ Extracted TB'!G:G)</f>
        <v>-32327.27</v>
      </c>
      <c r="M3871" s="311"/>
      <c r="N3871" s="311">
        <f>+SUMIF('Input Sheet'!$AE:$AE,P3871,'Input Sheet'!$X:$X)</f>
        <v>0</v>
      </c>
      <c r="O3871" s="311"/>
      <c r="P3871" t="str">
        <f t="shared" si="323"/>
        <v>210-3004R</v>
      </c>
      <c r="Q3871" s="315" t="str">
        <f t="shared" si="324"/>
        <v>Used Vehicle</v>
      </c>
      <c r="R3871" s="315" t="str">
        <f t="shared" si="325"/>
        <v>Used VehicleEx NV demonstrators gross profit p.u.</v>
      </c>
      <c r="S3871" s="199"/>
      <c r="T3871" s="199"/>
      <c r="U3871" s="199"/>
    </row>
    <row r="3872" spans="1:21" x14ac:dyDescent="0.25">
      <c r="A3872" t="s">
        <v>996</v>
      </c>
      <c r="B3872" t="s">
        <v>997</v>
      </c>
      <c r="C3872" t="s">
        <v>1005</v>
      </c>
      <c r="D3872" t="s">
        <v>487</v>
      </c>
      <c r="E3872">
        <v>200</v>
      </c>
      <c r="F3872" t="s">
        <v>1024</v>
      </c>
      <c r="G3872" t="s">
        <v>1027</v>
      </c>
      <c r="H3872" s="315" t="s">
        <v>29</v>
      </c>
      <c r="I3872" s="315" t="s">
        <v>1026</v>
      </c>
      <c r="J3872" s="315" t="str">
        <f t="shared" si="321"/>
        <v>New VehicleOther Income per NV unit</v>
      </c>
      <c r="K3872" s="315" t="str">
        <f t="shared" si="322"/>
        <v>200New Vehicle Other Income - Toyota</v>
      </c>
      <c r="L3872" s="311">
        <f>+SUMIF('TUNZ Extracted TB'!M:M,$P3872,'TUNZ Extracted TB'!G:G)</f>
        <v>0</v>
      </c>
      <c r="M3872" s="311"/>
      <c r="N3872" s="311">
        <f>+SUMIF('Input Sheet'!$AE:$AE,P3872,'Input Sheet'!$X:$X)</f>
        <v>0</v>
      </c>
      <c r="O3872" s="311"/>
      <c r="P3872" t="str">
        <f t="shared" si="323"/>
        <v>200-3004RD</v>
      </c>
      <c r="Q3872" s="315" t="str">
        <f t="shared" si="324"/>
        <v>New Vehicle</v>
      </c>
      <c r="R3872" s="315" t="str">
        <f t="shared" si="325"/>
        <v>New VehicleOther Income per NV unit</v>
      </c>
      <c r="S3872" s="199"/>
      <c r="T3872" s="199"/>
      <c r="U3872" s="199"/>
    </row>
    <row r="3873" spans="1:21" x14ac:dyDescent="0.25">
      <c r="A3873" t="s">
        <v>996</v>
      </c>
      <c r="B3873" t="s">
        <v>997</v>
      </c>
      <c r="C3873" t="s">
        <v>1012</v>
      </c>
      <c r="D3873" t="s">
        <v>487</v>
      </c>
      <c r="E3873">
        <v>400</v>
      </c>
      <c r="F3873" t="s">
        <v>1024</v>
      </c>
      <c r="G3873" t="s">
        <v>1027</v>
      </c>
      <c r="H3873" s="315" t="s">
        <v>29</v>
      </c>
      <c r="I3873" s="315" t="s">
        <v>1026</v>
      </c>
      <c r="J3873" s="315" t="str">
        <f t="shared" si="321"/>
        <v>New VehicleOther Income per NV unit</v>
      </c>
      <c r="K3873" s="315" t="str">
        <f t="shared" si="322"/>
        <v>400New Vehicle Other Income - Toyota</v>
      </c>
      <c r="L3873" s="311">
        <f>+SUMIF('TUNZ Extracted TB'!M:M,$P3873,'TUNZ Extracted TB'!G:G)</f>
        <v>0</v>
      </c>
      <c r="M3873" s="311"/>
      <c r="N3873" s="311">
        <f>+SUMIF('Input Sheet'!$AE:$AE,P3873,'Input Sheet'!$X:$X)</f>
        <v>0</v>
      </c>
      <c r="O3873" s="311"/>
      <c r="P3873" t="str">
        <f t="shared" si="323"/>
        <v>400-3004RD</v>
      </c>
      <c r="Q3873" s="315" t="str">
        <f t="shared" si="324"/>
        <v>New Vehicle</v>
      </c>
      <c r="R3873" s="315" t="str">
        <f t="shared" si="325"/>
        <v>New VehicleOther Income per NV unit</v>
      </c>
      <c r="S3873" s="199"/>
      <c r="T3873" s="199"/>
      <c r="U3873" s="199"/>
    </row>
    <row r="3874" spans="1:21" x14ac:dyDescent="0.25">
      <c r="A3874" t="s">
        <v>996</v>
      </c>
      <c r="B3874" t="s">
        <v>997</v>
      </c>
      <c r="C3874" t="s">
        <v>1013</v>
      </c>
      <c r="D3874" t="s">
        <v>487</v>
      </c>
      <c r="E3874">
        <v>300</v>
      </c>
      <c r="F3874" t="s">
        <v>1024</v>
      </c>
      <c r="G3874" t="s">
        <v>1027</v>
      </c>
      <c r="H3874" s="315" t="s">
        <v>29</v>
      </c>
      <c r="I3874" s="315" t="s">
        <v>1026</v>
      </c>
      <c r="J3874" s="315" t="str">
        <f t="shared" si="321"/>
        <v>New VehicleOther Income per NV unit</v>
      </c>
      <c r="K3874" s="315" t="str">
        <f t="shared" si="322"/>
        <v>300New Vehicle Other Income - Toyota</v>
      </c>
      <c r="L3874" s="311">
        <f>+SUMIF('TUNZ Extracted TB'!M:M,$P3874,'TUNZ Extracted TB'!G:G)</f>
        <v>0</v>
      </c>
      <c r="M3874" s="311"/>
      <c r="N3874" s="311">
        <f>+SUMIF('Input Sheet'!$AE:$AE,P3874,'Input Sheet'!$X:$X)</f>
        <v>0</v>
      </c>
      <c r="O3874" s="311"/>
      <c r="P3874" t="str">
        <f t="shared" si="323"/>
        <v>300-3004RD</v>
      </c>
      <c r="Q3874" s="315" t="str">
        <f t="shared" si="324"/>
        <v>New Vehicle</v>
      </c>
      <c r="R3874" s="315" t="str">
        <f t="shared" si="325"/>
        <v>New VehicleOther Income per NV unit</v>
      </c>
      <c r="S3874" s="199"/>
      <c r="T3874" s="199"/>
      <c r="U3874" s="199"/>
    </row>
    <row r="3875" spans="1:21" x14ac:dyDescent="0.25">
      <c r="A3875" t="s">
        <v>996</v>
      </c>
      <c r="B3875" t="s">
        <v>997</v>
      </c>
      <c r="C3875" t="s">
        <v>997</v>
      </c>
      <c r="D3875" t="s">
        <v>487</v>
      </c>
      <c r="E3875">
        <v>110</v>
      </c>
      <c r="F3875" t="s">
        <v>1014</v>
      </c>
      <c r="G3875" t="s">
        <v>1015</v>
      </c>
      <c r="H3875" s="315" t="s">
        <v>30</v>
      </c>
      <c r="I3875" s="315" t="s">
        <v>1016</v>
      </c>
      <c r="J3875" s="315" t="str">
        <f t="shared" si="321"/>
        <v>Used VehicleEx NV demonstrators gross profit p.u.</v>
      </c>
      <c r="K3875" s="315" t="str">
        <f t="shared" si="322"/>
        <v>110Ex-Toyota NV Demonstrator revenue</v>
      </c>
      <c r="L3875" s="311">
        <f>+SUMIF('TUNZ Extracted TB'!M:M,$P3875,'TUNZ Extracted TB'!G:G)</f>
        <v>0</v>
      </c>
      <c r="M3875" s="311"/>
      <c r="N3875" s="311">
        <f>+SUMIF('Input Sheet'!$AE:$AE,P3875,'Input Sheet'!$X:$X)</f>
        <v>0</v>
      </c>
      <c r="O3875" s="311"/>
      <c r="P3875" t="str">
        <f t="shared" si="323"/>
        <v>110-3004RD</v>
      </c>
      <c r="Q3875" s="315" t="str">
        <f t="shared" si="324"/>
        <v>Used Vehicle</v>
      </c>
      <c r="R3875" s="315" t="str">
        <f t="shared" si="325"/>
        <v>Used VehicleEx NV demonstrators gross profit p.u.</v>
      </c>
      <c r="S3875" s="199"/>
      <c r="T3875" s="199"/>
      <c r="U3875" s="199"/>
    </row>
    <row r="3876" spans="1:21" x14ac:dyDescent="0.25">
      <c r="A3876" t="s">
        <v>996</v>
      </c>
      <c r="B3876" t="s">
        <v>997</v>
      </c>
      <c r="C3876" t="s">
        <v>997</v>
      </c>
      <c r="D3876" t="s">
        <v>489</v>
      </c>
      <c r="E3876">
        <v>100</v>
      </c>
      <c r="F3876" t="s">
        <v>1024</v>
      </c>
      <c r="G3876" t="s">
        <v>1027</v>
      </c>
      <c r="H3876" s="315" t="s">
        <v>29</v>
      </c>
      <c r="I3876" s="315" t="s">
        <v>1026</v>
      </c>
      <c r="J3876" s="315" t="str">
        <f t="shared" si="321"/>
        <v>New VehicleOther Income per NV unit</v>
      </c>
      <c r="K3876" s="315" t="str">
        <f t="shared" si="322"/>
        <v>100New Vehicle Other Income - Toyota</v>
      </c>
      <c r="L3876" s="311">
        <f>+SUMIF('TUNZ Extracted TB'!M:M,$P3876,'TUNZ Extracted TB'!G:G)</f>
        <v>0</v>
      </c>
      <c r="M3876" s="311"/>
      <c r="N3876" s="311">
        <f>+SUMIF('Input Sheet'!$AE:$AE,P3876,'Input Sheet'!$X:$X)</f>
        <v>0</v>
      </c>
      <c r="O3876" s="311"/>
      <c r="P3876" t="str">
        <f t="shared" si="323"/>
        <v>100-3006R</v>
      </c>
      <c r="Q3876" s="315" t="str">
        <f t="shared" si="324"/>
        <v>New Vehicle</v>
      </c>
      <c r="R3876" s="315" t="str">
        <f t="shared" si="325"/>
        <v>New VehicleOther Income per NV unit</v>
      </c>
      <c r="S3876" s="199"/>
      <c r="T3876" s="199"/>
      <c r="U3876" s="199"/>
    </row>
    <row r="3877" spans="1:21" x14ac:dyDescent="0.25">
      <c r="A3877" t="s">
        <v>996</v>
      </c>
      <c r="B3877" t="s">
        <v>997</v>
      </c>
      <c r="C3877" t="s">
        <v>1005</v>
      </c>
      <c r="D3877" t="s">
        <v>487</v>
      </c>
      <c r="E3877">
        <v>210</v>
      </c>
      <c r="F3877" t="s">
        <v>1014</v>
      </c>
      <c r="G3877" t="s">
        <v>1015</v>
      </c>
      <c r="H3877" s="315" t="s">
        <v>30</v>
      </c>
      <c r="I3877" s="315" t="s">
        <v>1016</v>
      </c>
      <c r="J3877" s="315" t="str">
        <f t="shared" si="321"/>
        <v>Used VehicleEx NV demonstrators gross profit p.u.</v>
      </c>
      <c r="K3877" s="315" t="str">
        <f t="shared" si="322"/>
        <v>210Ex-Toyota NV Demonstrator revenue</v>
      </c>
      <c r="L3877" s="311">
        <f>+SUMIF('TUNZ Extracted TB'!M:M,$P3877,'TUNZ Extracted TB'!G:G)</f>
        <v>944.66</v>
      </c>
      <c r="M3877" s="311"/>
      <c r="N3877" s="311">
        <f>+SUMIF('Input Sheet'!$AE:$AE,P3877,'Input Sheet'!$X:$X)</f>
        <v>0</v>
      </c>
      <c r="O3877" s="311"/>
      <c r="P3877" t="str">
        <f t="shared" si="323"/>
        <v>210-3004RD</v>
      </c>
      <c r="Q3877" s="315" t="str">
        <f t="shared" si="324"/>
        <v>Used Vehicle</v>
      </c>
      <c r="R3877" s="315" t="str">
        <f t="shared" si="325"/>
        <v>Used VehicleEx NV demonstrators gross profit p.u.</v>
      </c>
      <c r="S3877" s="199"/>
      <c r="T3877" s="199"/>
      <c r="U3877" s="199"/>
    </row>
    <row r="3878" spans="1:21" x14ac:dyDescent="0.25">
      <c r="A3878" t="s">
        <v>996</v>
      </c>
      <c r="B3878" t="s">
        <v>997</v>
      </c>
      <c r="C3878" t="s">
        <v>1012</v>
      </c>
      <c r="D3878" t="s">
        <v>487</v>
      </c>
      <c r="E3878">
        <v>410</v>
      </c>
      <c r="F3878" t="s">
        <v>1014</v>
      </c>
      <c r="G3878" t="s">
        <v>1015</v>
      </c>
      <c r="H3878" s="315" t="s">
        <v>30</v>
      </c>
      <c r="I3878" s="315" t="s">
        <v>1016</v>
      </c>
      <c r="J3878" s="315" t="str">
        <f t="shared" si="321"/>
        <v>Used VehicleEx NV demonstrators gross profit p.u.</v>
      </c>
      <c r="K3878" s="315" t="str">
        <f t="shared" si="322"/>
        <v>410Ex-Toyota NV Demonstrator revenue</v>
      </c>
      <c r="L3878" s="311">
        <f>+SUMIF('TUNZ Extracted TB'!M:M,$P3878,'TUNZ Extracted TB'!G:G)</f>
        <v>0</v>
      </c>
      <c r="M3878" s="311"/>
      <c r="N3878" s="311">
        <f>+SUMIF('Input Sheet'!$AE:$AE,P3878,'Input Sheet'!$X:$X)</f>
        <v>0</v>
      </c>
      <c r="O3878" s="311"/>
      <c r="P3878" t="str">
        <f t="shared" si="323"/>
        <v>410-3004RD</v>
      </c>
      <c r="Q3878" s="315" t="str">
        <f t="shared" si="324"/>
        <v>Used Vehicle</v>
      </c>
      <c r="R3878" s="315" t="str">
        <f t="shared" si="325"/>
        <v>Used VehicleEx NV demonstrators gross profit p.u.</v>
      </c>
      <c r="S3878" s="199"/>
      <c r="T3878" s="199"/>
      <c r="U3878" s="199"/>
    </row>
    <row r="3879" spans="1:21" x14ac:dyDescent="0.25">
      <c r="A3879" t="s">
        <v>996</v>
      </c>
      <c r="B3879" t="s">
        <v>997</v>
      </c>
      <c r="C3879" t="s">
        <v>1013</v>
      </c>
      <c r="D3879" t="s">
        <v>487</v>
      </c>
      <c r="E3879">
        <v>310</v>
      </c>
      <c r="F3879" t="s">
        <v>1014</v>
      </c>
      <c r="G3879" t="s">
        <v>1015</v>
      </c>
      <c r="H3879" s="315" t="s">
        <v>30</v>
      </c>
      <c r="I3879" s="315" t="s">
        <v>1016</v>
      </c>
      <c r="J3879" s="315" t="str">
        <f t="shared" si="321"/>
        <v>Used VehicleEx NV demonstrators gross profit p.u.</v>
      </c>
      <c r="K3879" s="315" t="str">
        <f t="shared" si="322"/>
        <v>310Ex-Toyota NV Demonstrator revenue</v>
      </c>
      <c r="L3879" s="311">
        <f>+SUMIF('TUNZ Extracted TB'!M:M,$P3879,'TUNZ Extracted TB'!G:G)</f>
        <v>0</v>
      </c>
      <c r="M3879" s="311"/>
      <c r="N3879" s="311">
        <f>+SUMIF('Input Sheet'!$AE:$AE,P3879,'Input Sheet'!$X:$X)</f>
        <v>0</v>
      </c>
      <c r="O3879" s="311"/>
      <c r="P3879" t="str">
        <f t="shared" si="323"/>
        <v>310-3004RD</v>
      </c>
      <c r="Q3879" s="315" t="str">
        <f t="shared" si="324"/>
        <v>Used Vehicle</v>
      </c>
      <c r="R3879" s="315" t="str">
        <f t="shared" si="325"/>
        <v>Used VehicleEx NV demonstrators gross profit p.u.</v>
      </c>
      <c r="S3879" s="199"/>
      <c r="T3879" s="199"/>
      <c r="U3879" s="199"/>
    </row>
    <row r="3880" spans="1:21" x14ac:dyDescent="0.25">
      <c r="A3880" t="s">
        <v>996</v>
      </c>
      <c r="B3880" t="s">
        <v>997</v>
      </c>
      <c r="C3880" t="s">
        <v>1005</v>
      </c>
      <c r="D3880" t="s">
        <v>489</v>
      </c>
      <c r="E3880">
        <v>200</v>
      </c>
      <c r="F3880" t="s">
        <v>1024</v>
      </c>
      <c r="G3880" t="s">
        <v>1027</v>
      </c>
      <c r="H3880" s="315" t="s">
        <v>29</v>
      </c>
      <c r="I3880" s="315" t="s">
        <v>1026</v>
      </c>
      <c r="J3880" s="315" t="str">
        <f t="shared" si="321"/>
        <v>New VehicleOther Income per NV unit</v>
      </c>
      <c r="K3880" s="315" t="str">
        <f t="shared" si="322"/>
        <v>200New Vehicle Other Income - Toyota</v>
      </c>
      <c r="L3880" s="311">
        <f>+SUMIF('TUNZ Extracted TB'!M:M,$P3880,'TUNZ Extracted TB'!G:G)</f>
        <v>0</v>
      </c>
      <c r="M3880" s="311"/>
      <c r="N3880" s="311">
        <f>+SUMIF('Input Sheet'!$AE:$AE,P3880,'Input Sheet'!$X:$X)</f>
        <v>0</v>
      </c>
      <c r="O3880" s="311"/>
      <c r="P3880" t="str">
        <f t="shared" si="323"/>
        <v>200-3006R</v>
      </c>
      <c r="Q3880" s="315" t="str">
        <f t="shared" si="324"/>
        <v>New Vehicle</v>
      </c>
      <c r="R3880" s="315" t="str">
        <f t="shared" si="325"/>
        <v>New VehicleOther Income per NV unit</v>
      </c>
      <c r="S3880" s="199"/>
      <c r="T3880" s="199"/>
      <c r="U3880" s="199"/>
    </row>
    <row r="3881" spans="1:21" x14ac:dyDescent="0.25">
      <c r="A3881" t="s">
        <v>996</v>
      </c>
      <c r="B3881" t="s">
        <v>997</v>
      </c>
      <c r="C3881" t="s">
        <v>1012</v>
      </c>
      <c r="D3881" t="s">
        <v>489</v>
      </c>
      <c r="E3881">
        <v>400</v>
      </c>
      <c r="F3881" t="s">
        <v>1024</v>
      </c>
      <c r="G3881" t="s">
        <v>1027</v>
      </c>
      <c r="H3881" s="315" t="s">
        <v>29</v>
      </c>
      <c r="I3881" s="315" t="s">
        <v>1026</v>
      </c>
      <c r="J3881" s="315" t="str">
        <f t="shared" si="321"/>
        <v>New VehicleOther Income per NV unit</v>
      </c>
      <c r="K3881" s="315" t="str">
        <f t="shared" si="322"/>
        <v>400New Vehicle Other Income - Toyota</v>
      </c>
      <c r="L3881" s="311">
        <f>+SUMIF('TUNZ Extracted TB'!M:M,$P3881,'TUNZ Extracted TB'!G:G)</f>
        <v>0</v>
      </c>
      <c r="M3881" s="311"/>
      <c r="N3881" s="311">
        <f>+SUMIF('Input Sheet'!$AE:$AE,P3881,'Input Sheet'!$X:$X)</f>
        <v>0</v>
      </c>
      <c r="O3881" s="311"/>
      <c r="P3881" t="str">
        <f t="shared" si="323"/>
        <v>400-3006R</v>
      </c>
      <c r="Q3881" s="315" t="str">
        <f t="shared" si="324"/>
        <v>New Vehicle</v>
      </c>
      <c r="R3881" s="315" t="str">
        <f t="shared" si="325"/>
        <v>New VehicleOther Income per NV unit</v>
      </c>
      <c r="S3881" s="199"/>
      <c r="T3881" s="199"/>
      <c r="U3881" s="199"/>
    </row>
    <row r="3882" spans="1:21" x14ac:dyDescent="0.25">
      <c r="A3882" t="s">
        <v>996</v>
      </c>
      <c r="B3882" t="s">
        <v>997</v>
      </c>
      <c r="C3882" t="s">
        <v>1013</v>
      </c>
      <c r="D3882" t="s">
        <v>489</v>
      </c>
      <c r="E3882">
        <v>300</v>
      </c>
      <c r="F3882" t="s">
        <v>1024</v>
      </c>
      <c r="G3882" t="s">
        <v>1027</v>
      </c>
      <c r="H3882" s="315" t="s">
        <v>29</v>
      </c>
      <c r="I3882" s="315" t="s">
        <v>1026</v>
      </c>
      <c r="J3882" s="315" t="str">
        <f t="shared" si="321"/>
        <v>New VehicleOther Income per NV unit</v>
      </c>
      <c r="K3882" s="315" t="str">
        <f t="shared" si="322"/>
        <v>300New Vehicle Other Income - Toyota</v>
      </c>
      <c r="L3882" s="311">
        <f>+SUMIF('TUNZ Extracted TB'!M:M,$P3882,'TUNZ Extracted TB'!G:G)</f>
        <v>0</v>
      </c>
      <c r="M3882" s="311"/>
      <c r="N3882" s="311">
        <f>+SUMIF('Input Sheet'!$AE:$AE,P3882,'Input Sheet'!$X:$X)</f>
        <v>0</v>
      </c>
      <c r="O3882" s="311"/>
      <c r="P3882" t="str">
        <f t="shared" si="323"/>
        <v>300-3006R</v>
      </c>
      <c r="Q3882" s="315" t="str">
        <f t="shared" si="324"/>
        <v>New Vehicle</v>
      </c>
      <c r="R3882" s="315" t="str">
        <f t="shared" si="325"/>
        <v>New VehicleOther Income per NV unit</v>
      </c>
      <c r="S3882" s="199"/>
      <c r="T3882" s="199"/>
      <c r="U3882" s="199"/>
    </row>
    <row r="3883" spans="1:21" x14ac:dyDescent="0.25">
      <c r="A3883" t="s">
        <v>996</v>
      </c>
      <c r="B3883" t="s">
        <v>997</v>
      </c>
      <c r="C3883" t="s">
        <v>997</v>
      </c>
      <c r="D3883" t="s">
        <v>489</v>
      </c>
      <c r="E3883">
        <v>110</v>
      </c>
      <c r="F3883" t="s">
        <v>1014</v>
      </c>
      <c r="G3883" t="s">
        <v>1015</v>
      </c>
      <c r="H3883" s="315" t="s">
        <v>30</v>
      </c>
      <c r="I3883" s="315" t="s">
        <v>1016</v>
      </c>
      <c r="J3883" s="315" t="str">
        <f t="shared" si="321"/>
        <v>Used VehicleEx NV demonstrators gross profit p.u.</v>
      </c>
      <c r="K3883" s="315" t="str">
        <f t="shared" si="322"/>
        <v>110Ex-Toyota NV Demonstrator revenue</v>
      </c>
      <c r="L3883" s="311">
        <f>+SUMIF('TUNZ Extracted TB'!M:M,$P3883,'TUNZ Extracted TB'!G:G)</f>
        <v>0</v>
      </c>
      <c r="M3883" s="311"/>
      <c r="N3883" s="311">
        <f>+SUMIF('Input Sheet'!$AE:$AE,P3883,'Input Sheet'!$X:$X)</f>
        <v>0</v>
      </c>
      <c r="O3883" s="311"/>
      <c r="P3883" t="str">
        <f t="shared" si="323"/>
        <v>110-3006R</v>
      </c>
      <c r="Q3883" s="315" t="str">
        <f t="shared" si="324"/>
        <v>Used Vehicle</v>
      </c>
      <c r="R3883" s="315" t="str">
        <f t="shared" si="325"/>
        <v>Used VehicleEx NV demonstrators gross profit p.u.</v>
      </c>
      <c r="S3883" s="199"/>
      <c r="T3883" s="199"/>
      <c r="U3883" s="199"/>
    </row>
    <row r="3884" spans="1:21" x14ac:dyDescent="0.25">
      <c r="A3884" t="s">
        <v>996</v>
      </c>
      <c r="B3884" t="s">
        <v>997</v>
      </c>
      <c r="C3884" t="s">
        <v>997</v>
      </c>
      <c r="D3884" t="s">
        <v>491</v>
      </c>
      <c r="E3884">
        <v>100</v>
      </c>
      <c r="F3884" t="s">
        <v>1024</v>
      </c>
      <c r="G3884" t="s">
        <v>1027</v>
      </c>
      <c r="H3884" s="315" t="s">
        <v>29</v>
      </c>
      <c r="I3884" s="315" t="s">
        <v>1026</v>
      </c>
      <c r="J3884" s="315" t="str">
        <f t="shared" si="321"/>
        <v>New VehicleOther Income per NV unit</v>
      </c>
      <c r="K3884" s="315" t="str">
        <f t="shared" si="322"/>
        <v>100New Vehicle Other Income - Toyota</v>
      </c>
      <c r="L3884" s="311">
        <f>+SUMIF('TUNZ Extracted TB'!M:M,$P3884,'TUNZ Extracted TB'!G:G)</f>
        <v>0</v>
      </c>
      <c r="M3884" s="311"/>
      <c r="N3884" s="311">
        <f>+SUMIF('Input Sheet'!$AE:$AE,P3884,'Input Sheet'!$X:$X)</f>
        <v>0</v>
      </c>
      <c r="O3884" s="311"/>
      <c r="P3884" t="str">
        <f t="shared" si="323"/>
        <v>100-3006RD</v>
      </c>
      <c r="Q3884" s="315" t="str">
        <f t="shared" si="324"/>
        <v>New Vehicle</v>
      </c>
      <c r="R3884" s="315" t="str">
        <f t="shared" si="325"/>
        <v>New VehicleOther Income per NV unit</v>
      </c>
      <c r="S3884" s="199"/>
      <c r="T3884" s="199"/>
      <c r="U3884" s="199"/>
    </row>
    <row r="3885" spans="1:21" x14ac:dyDescent="0.25">
      <c r="A3885" t="s">
        <v>996</v>
      </c>
      <c r="B3885" t="s">
        <v>997</v>
      </c>
      <c r="C3885" t="s">
        <v>1012</v>
      </c>
      <c r="D3885" t="s">
        <v>489</v>
      </c>
      <c r="E3885">
        <v>410</v>
      </c>
      <c r="F3885" t="s">
        <v>1014</v>
      </c>
      <c r="G3885" t="s">
        <v>1015</v>
      </c>
      <c r="H3885" s="315" t="s">
        <v>30</v>
      </c>
      <c r="I3885" s="315" t="s">
        <v>1016</v>
      </c>
      <c r="J3885" s="315" t="str">
        <f t="shared" si="321"/>
        <v>Used VehicleEx NV demonstrators gross profit p.u.</v>
      </c>
      <c r="K3885" s="315" t="str">
        <f t="shared" si="322"/>
        <v>410Ex-Toyota NV Demonstrator revenue</v>
      </c>
      <c r="L3885" s="311">
        <f>+SUMIF('TUNZ Extracted TB'!M:M,$P3885,'TUNZ Extracted TB'!G:G)</f>
        <v>0</v>
      </c>
      <c r="M3885" s="311"/>
      <c r="N3885" s="311">
        <f>+SUMIF('Input Sheet'!$AE:$AE,P3885,'Input Sheet'!$X:$X)</f>
        <v>0</v>
      </c>
      <c r="O3885" s="311"/>
      <c r="P3885" t="str">
        <f t="shared" si="323"/>
        <v>410-3006R</v>
      </c>
      <c r="Q3885" s="315" t="str">
        <f t="shared" si="324"/>
        <v>Used Vehicle</v>
      </c>
      <c r="R3885" s="315" t="str">
        <f t="shared" si="325"/>
        <v>Used VehicleEx NV demonstrators gross profit p.u.</v>
      </c>
      <c r="S3885" s="199"/>
      <c r="T3885" s="199"/>
      <c r="U3885" s="199"/>
    </row>
    <row r="3886" spans="1:21" x14ac:dyDescent="0.25">
      <c r="A3886" t="s">
        <v>996</v>
      </c>
      <c r="B3886" t="s">
        <v>997</v>
      </c>
      <c r="C3886" t="s">
        <v>1013</v>
      </c>
      <c r="D3886" t="s">
        <v>489</v>
      </c>
      <c r="E3886">
        <v>310</v>
      </c>
      <c r="F3886" t="s">
        <v>1014</v>
      </c>
      <c r="G3886" t="s">
        <v>1015</v>
      </c>
      <c r="H3886" s="315" t="s">
        <v>30</v>
      </c>
      <c r="I3886" s="315" t="s">
        <v>1016</v>
      </c>
      <c r="J3886" s="315" t="str">
        <f t="shared" si="321"/>
        <v>Used VehicleEx NV demonstrators gross profit p.u.</v>
      </c>
      <c r="K3886" s="315" t="str">
        <f t="shared" si="322"/>
        <v>310Ex-Toyota NV Demonstrator revenue</v>
      </c>
      <c r="L3886" s="311">
        <f>+SUMIF('TUNZ Extracted TB'!M:M,$P3886,'TUNZ Extracted TB'!G:G)</f>
        <v>0</v>
      </c>
      <c r="M3886" s="311"/>
      <c r="N3886" s="311">
        <f>+SUMIF('Input Sheet'!$AE:$AE,P3886,'Input Sheet'!$X:$X)</f>
        <v>0</v>
      </c>
      <c r="O3886" s="311"/>
      <c r="P3886" t="str">
        <f t="shared" si="323"/>
        <v>310-3006R</v>
      </c>
      <c r="Q3886" s="315" t="str">
        <f t="shared" si="324"/>
        <v>Used Vehicle</v>
      </c>
      <c r="R3886" s="315" t="str">
        <f t="shared" si="325"/>
        <v>Used VehicleEx NV demonstrators gross profit p.u.</v>
      </c>
      <c r="S3886" s="199"/>
      <c r="T3886" s="199"/>
      <c r="U3886" s="199"/>
    </row>
    <row r="3887" spans="1:21" x14ac:dyDescent="0.25">
      <c r="A3887" t="s">
        <v>996</v>
      </c>
      <c r="B3887" t="s">
        <v>997</v>
      </c>
      <c r="C3887" t="s">
        <v>1005</v>
      </c>
      <c r="D3887" t="s">
        <v>489</v>
      </c>
      <c r="E3887">
        <v>210</v>
      </c>
      <c r="F3887" t="s">
        <v>1014</v>
      </c>
      <c r="G3887" t="s">
        <v>1015</v>
      </c>
      <c r="H3887" s="315" t="s">
        <v>30</v>
      </c>
      <c r="I3887" s="315" t="s">
        <v>1016</v>
      </c>
      <c r="J3887" s="315" t="str">
        <f t="shared" si="321"/>
        <v>Used VehicleEx NV demonstrators gross profit p.u.</v>
      </c>
      <c r="K3887" s="315" t="str">
        <f t="shared" si="322"/>
        <v>210Ex-Toyota NV Demonstrator revenue</v>
      </c>
      <c r="L3887" s="311">
        <f>+SUMIF('TUNZ Extracted TB'!M:M,$P3887,'TUNZ Extracted TB'!G:G)</f>
        <v>0</v>
      </c>
      <c r="M3887" s="311"/>
      <c r="N3887" s="311">
        <f>+SUMIF('Input Sheet'!$AE:$AE,P3887,'Input Sheet'!$X:$X)</f>
        <v>0</v>
      </c>
      <c r="O3887" s="311"/>
      <c r="P3887" t="str">
        <f t="shared" si="323"/>
        <v>210-3006R</v>
      </c>
      <c r="Q3887" s="315" t="str">
        <f t="shared" si="324"/>
        <v>Used Vehicle</v>
      </c>
      <c r="R3887" s="315" t="str">
        <f t="shared" si="325"/>
        <v>Used VehicleEx NV demonstrators gross profit p.u.</v>
      </c>
      <c r="S3887" s="199"/>
      <c r="T3887" s="199"/>
      <c r="U3887" s="199"/>
    </row>
    <row r="3888" spans="1:21" x14ac:dyDescent="0.25">
      <c r="A3888" t="s">
        <v>996</v>
      </c>
      <c r="B3888" t="s">
        <v>997</v>
      </c>
      <c r="C3888" t="s">
        <v>1005</v>
      </c>
      <c r="D3888" t="s">
        <v>491</v>
      </c>
      <c r="E3888">
        <v>200</v>
      </c>
      <c r="F3888" t="s">
        <v>1024</v>
      </c>
      <c r="G3888" t="s">
        <v>1027</v>
      </c>
      <c r="H3888" s="315" t="s">
        <v>29</v>
      </c>
      <c r="I3888" s="315" t="s">
        <v>1026</v>
      </c>
      <c r="J3888" s="315" t="str">
        <f t="shared" si="321"/>
        <v>New VehicleOther Income per NV unit</v>
      </c>
      <c r="K3888" s="315" t="str">
        <f t="shared" si="322"/>
        <v>200New Vehicle Other Income - Toyota</v>
      </c>
      <c r="L3888" s="311">
        <f>+SUMIF('TUNZ Extracted TB'!M:M,$P3888,'TUNZ Extracted TB'!G:G)</f>
        <v>0</v>
      </c>
      <c r="M3888" s="311"/>
      <c r="N3888" s="311">
        <f>+SUMIF('Input Sheet'!$AE:$AE,P3888,'Input Sheet'!$X:$X)</f>
        <v>0</v>
      </c>
      <c r="O3888" s="311"/>
      <c r="P3888" t="str">
        <f t="shared" si="323"/>
        <v>200-3006RD</v>
      </c>
      <c r="Q3888" s="315" t="str">
        <f t="shared" si="324"/>
        <v>New Vehicle</v>
      </c>
      <c r="R3888" s="315" t="str">
        <f t="shared" si="325"/>
        <v>New VehicleOther Income per NV unit</v>
      </c>
      <c r="S3888" s="199"/>
      <c r="T3888" s="199"/>
      <c r="U3888" s="199"/>
    </row>
    <row r="3889" spans="1:21" x14ac:dyDescent="0.25">
      <c r="A3889" t="s">
        <v>996</v>
      </c>
      <c r="B3889" t="s">
        <v>997</v>
      </c>
      <c r="C3889" t="s">
        <v>1012</v>
      </c>
      <c r="D3889" t="s">
        <v>491</v>
      </c>
      <c r="E3889">
        <v>400</v>
      </c>
      <c r="F3889" t="s">
        <v>1024</v>
      </c>
      <c r="G3889" t="s">
        <v>1027</v>
      </c>
      <c r="H3889" s="315" t="s">
        <v>29</v>
      </c>
      <c r="I3889" s="315" t="s">
        <v>1026</v>
      </c>
      <c r="J3889" s="315" t="str">
        <f t="shared" si="321"/>
        <v>New VehicleOther Income per NV unit</v>
      </c>
      <c r="K3889" s="315" t="str">
        <f t="shared" si="322"/>
        <v>400New Vehicle Other Income - Toyota</v>
      </c>
      <c r="L3889" s="311">
        <f>+SUMIF('TUNZ Extracted TB'!M:M,$P3889,'TUNZ Extracted TB'!G:G)</f>
        <v>0</v>
      </c>
      <c r="M3889" s="311"/>
      <c r="N3889" s="311">
        <f>+SUMIF('Input Sheet'!$AE:$AE,P3889,'Input Sheet'!$X:$X)</f>
        <v>0</v>
      </c>
      <c r="O3889" s="311"/>
      <c r="P3889" t="str">
        <f t="shared" si="323"/>
        <v>400-3006RD</v>
      </c>
      <c r="Q3889" s="315" t="str">
        <f t="shared" si="324"/>
        <v>New Vehicle</v>
      </c>
      <c r="R3889" s="315" t="str">
        <f t="shared" si="325"/>
        <v>New VehicleOther Income per NV unit</v>
      </c>
      <c r="S3889" s="199"/>
      <c r="T3889" s="199"/>
      <c r="U3889" s="199"/>
    </row>
    <row r="3890" spans="1:21" x14ac:dyDescent="0.25">
      <c r="A3890" t="s">
        <v>996</v>
      </c>
      <c r="B3890" t="s">
        <v>997</v>
      </c>
      <c r="C3890" t="s">
        <v>1013</v>
      </c>
      <c r="D3890" t="s">
        <v>491</v>
      </c>
      <c r="E3890">
        <v>300</v>
      </c>
      <c r="F3890" t="s">
        <v>1024</v>
      </c>
      <c r="G3890" t="s">
        <v>1027</v>
      </c>
      <c r="H3890" s="315" t="s">
        <v>29</v>
      </c>
      <c r="I3890" s="315" t="s">
        <v>1026</v>
      </c>
      <c r="J3890" s="315" t="str">
        <f t="shared" si="321"/>
        <v>New VehicleOther Income per NV unit</v>
      </c>
      <c r="K3890" s="315" t="str">
        <f t="shared" si="322"/>
        <v>300New Vehicle Other Income - Toyota</v>
      </c>
      <c r="L3890" s="311">
        <f>+SUMIF('TUNZ Extracted TB'!M:M,$P3890,'TUNZ Extracted TB'!G:G)</f>
        <v>0</v>
      </c>
      <c r="M3890" s="311"/>
      <c r="N3890" s="311">
        <f>+SUMIF('Input Sheet'!$AE:$AE,P3890,'Input Sheet'!$X:$X)</f>
        <v>0</v>
      </c>
      <c r="O3890" s="311"/>
      <c r="P3890" t="str">
        <f t="shared" si="323"/>
        <v>300-3006RD</v>
      </c>
      <c r="Q3890" s="315" t="str">
        <f t="shared" si="324"/>
        <v>New Vehicle</v>
      </c>
      <c r="R3890" s="315" t="str">
        <f t="shared" si="325"/>
        <v>New VehicleOther Income per NV unit</v>
      </c>
      <c r="S3890" s="199"/>
      <c r="T3890" s="199"/>
      <c r="U3890" s="199"/>
    </row>
    <row r="3891" spans="1:21" x14ac:dyDescent="0.25">
      <c r="A3891" t="s">
        <v>996</v>
      </c>
      <c r="B3891" t="s">
        <v>997</v>
      </c>
      <c r="C3891" t="s">
        <v>997</v>
      </c>
      <c r="D3891" t="s">
        <v>491</v>
      </c>
      <c r="E3891">
        <v>110</v>
      </c>
      <c r="F3891" t="s">
        <v>1014</v>
      </c>
      <c r="G3891" t="s">
        <v>1015</v>
      </c>
      <c r="H3891" s="315" t="s">
        <v>30</v>
      </c>
      <c r="I3891" s="315" t="s">
        <v>1016</v>
      </c>
      <c r="J3891" s="315" t="str">
        <f t="shared" si="321"/>
        <v>Used VehicleEx NV demonstrators gross profit p.u.</v>
      </c>
      <c r="K3891" s="315" t="str">
        <f t="shared" si="322"/>
        <v>110Ex-Toyota NV Demonstrator revenue</v>
      </c>
      <c r="L3891" s="311">
        <f>+SUMIF('TUNZ Extracted TB'!M:M,$P3891,'TUNZ Extracted TB'!G:G)</f>
        <v>0</v>
      </c>
      <c r="M3891" s="311"/>
      <c r="N3891" s="311">
        <f>+SUMIF('Input Sheet'!$AE:$AE,P3891,'Input Sheet'!$X:$X)</f>
        <v>0</v>
      </c>
      <c r="O3891" s="311"/>
      <c r="P3891" t="str">
        <f t="shared" si="323"/>
        <v>110-3006RD</v>
      </c>
      <c r="Q3891" s="315" t="str">
        <f t="shared" si="324"/>
        <v>Used Vehicle</v>
      </c>
      <c r="R3891" s="315" t="str">
        <f t="shared" si="325"/>
        <v>Used VehicleEx NV demonstrators gross profit p.u.</v>
      </c>
      <c r="S3891" s="199"/>
      <c r="T3891" s="199"/>
      <c r="U3891" s="199"/>
    </row>
    <row r="3892" spans="1:21" x14ac:dyDescent="0.25">
      <c r="A3892" t="s">
        <v>996</v>
      </c>
      <c r="B3892" t="s">
        <v>997</v>
      </c>
      <c r="C3892" t="s">
        <v>997</v>
      </c>
      <c r="D3892" t="s">
        <v>493</v>
      </c>
      <c r="E3892">
        <v>100</v>
      </c>
      <c r="F3892" t="s">
        <v>1024</v>
      </c>
      <c r="G3892" t="s">
        <v>1027</v>
      </c>
      <c r="H3892" s="315" t="s">
        <v>29</v>
      </c>
      <c r="I3892" s="315" t="s">
        <v>1026</v>
      </c>
      <c r="J3892" s="315" t="str">
        <f t="shared" si="321"/>
        <v>New VehicleOther Income per NV unit</v>
      </c>
      <c r="K3892" s="315" t="str">
        <f t="shared" si="322"/>
        <v>100New Vehicle Other Income - Toyota</v>
      </c>
      <c r="L3892" s="311">
        <f>+SUMIF('TUNZ Extracted TB'!M:M,$P3892,'TUNZ Extracted TB'!G:G)</f>
        <v>0</v>
      </c>
      <c r="M3892" s="311"/>
      <c r="N3892" s="311">
        <f>+SUMIF('Input Sheet'!$AE:$AE,P3892,'Input Sheet'!$X:$X)</f>
        <v>0</v>
      </c>
      <c r="O3892" s="311"/>
      <c r="P3892" t="str">
        <f t="shared" si="323"/>
        <v>100-3007R</v>
      </c>
      <c r="Q3892" s="315" t="str">
        <f t="shared" si="324"/>
        <v>New Vehicle</v>
      </c>
      <c r="R3892" s="315" t="str">
        <f t="shared" si="325"/>
        <v>New VehicleOther Income per NV unit</v>
      </c>
      <c r="S3892" s="199"/>
      <c r="T3892" s="199"/>
      <c r="U3892" s="199"/>
    </row>
    <row r="3893" spans="1:21" x14ac:dyDescent="0.25">
      <c r="A3893" t="s">
        <v>996</v>
      </c>
      <c r="B3893" t="s">
        <v>997</v>
      </c>
      <c r="C3893" t="s">
        <v>1005</v>
      </c>
      <c r="D3893" t="s">
        <v>491</v>
      </c>
      <c r="E3893">
        <v>210</v>
      </c>
      <c r="F3893" t="s">
        <v>1014</v>
      </c>
      <c r="G3893" t="s">
        <v>1015</v>
      </c>
      <c r="H3893" s="315" t="s">
        <v>30</v>
      </c>
      <c r="I3893" s="315" t="s">
        <v>1016</v>
      </c>
      <c r="J3893" s="315" t="str">
        <f t="shared" si="321"/>
        <v>Used VehicleEx NV demonstrators gross profit p.u.</v>
      </c>
      <c r="K3893" s="315" t="str">
        <f t="shared" si="322"/>
        <v>210Ex-Toyota NV Demonstrator revenue</v>
      </c>
      <c r="L3893" s="311">
        <f>+SUMIF('TUNZ Extracted TB'!M:M,$P3893,'TUNZ Extracted TB'!G:G)</f>
        <v>0</v>
      </c>
      <c r="M3893" s="311"/>
      <c r="N3893" s="311">
        <f>+SUMIF('Input Sheet'!$AE:$AE,P3893,'Input Sheet'!$X:$X)</f>
        <v>0</v>
      </c>
      <c r="O3893" s="311"/>
      <c r="P3893" t="str">
        <f t="shared" si="323"/>
        <v>210-3006RD</v>
      </c>
      <c r="Q3893" s="315" t="str">
        <f t="shared" si="324"/>
        <v>Used Vehicle</v>
      </c>
      <c r="R3893" s="315" t="str">
        <f t="shared" si="325"/>
        <v>Used VehicleEx NV demonstrators gross profit p.u.</v>
      </c>
      <c r="S3893" s="199"/>
      <c r="T3893" s="199"/>
      <c r="U3893" s="199"/>
    </row>
    <row r="3894" spans="1:21" x14ac:dyDescent="0.25">
      <c r="A3894" t="s">
        <v>996</v>
      </c>
      <c r="B3894" t="s">
        <v>997</v>
      </c>
      <c r="C3894" t="s">
        <v>1012</v>
      </c>
      <c r="D3894" t="s">
        <v>491</v>
      </c>
      <c r="E3894">
        <v>410</v>
      </c>
      <c r="F3894" t="s">
        <v>1014</v>
      </c>
      <c r="G3894" t="s">
        <v>1015</v>
      </c>
      <c r="H3894" s="315" t="s">
        <v>30</v>
      </c>
      <c r="I3894" s="315" t="s">
        <v>1016</v>
      </c>
      <c r="J3894" s="315" t="str">
        <f t="shared" si="321"/>
        <v>Used VehicleEx NV demonstrators gross profit p.u.</v>
      </c>
      <c r="K3894" s="315" t="str">
        <f t="shared" si="322"/>
        <v>410Ex-Toyota NV Demonstrator revenue</v>
      </c>
      <c r="L3894" s="311">
        <f>+SUMIF('TUNZ Extracted TB'!M:M,$P3894,'TUNZ Extracted TB'!G:G)</f>
        <v>0</v>
      </c>
      <c r="M3894" s="311"/>
      <c r="N3894" s="311">
        <f>+SUMIF('Input Sheet'!$AE:$AE,P3894,'Input Sheet'!$X:$X)</f>
        <v>0</v>
      </c>
      <c r="O3894" s="311"/>
      <c r="P3894" t="str">
        <f t="shared" si="323"/>
        <v>410-3006RD</v>
      </c>
      <c r="Q3894" s="315" t="str">
        <f t="shared" si="324"/>
        <v>Used Vehicle</v>
      </c>
      <c r="R3894" s="315" t="str">
        <f t="shared" si="325"/>
        <v>Used VehicleEx NV demonstrators gross profit p.u.</v>
      </c>
      <c r="S3894" s="199"/>
      <c r="T3894" s="199"/>
      <c r="U3894" s="199"/>
    </row>
    <row r="3895" spans="1:21" x14ac:dyDescent="0.25">
      <c r="A3895" t="s">
        <v>996</v>
      </c>
      <c r="B3895" t="s">
        <v>997</v>
      </c>
      <c r="C3895" t="s">
        <v>1013</v>
      </c>
      <c r="D3895" t="s">
        <v>491</v>
      </c>
      <c r="E3895">
        <v>310</v>
      </c>
      <c r="F3895" t="s">
        <v>1014</v>
      </c>
      <c r="G3895" t="s">
        <v>1015</v>
      </c>
      <c r="H3895" s="315" t="s">
        <v>30</v>
      </c>
      <c r="I3895" s="315" t="s">
        <v>1016</v>
      </c>
      <c r="J3895" s="315" t="str">
        <f t="shared" si="321"/>
        <v>Used VehicleEx NV demonstrators gross profit p.u.</v>
      </c>
      <c r="K3895" s="315" t="str">
        <f t="shared" si="322"/>
        <v>310Ex-Toyota NV Demonstrator revenue</v>
      </c>
      <c r="L3895" s="311">
        <f>+SUMIF('TUNZ Extracted TB'!M:M,$P3895,'TUNZ Extracted TB'!G:G)</f>
        <v>0</v>
      </c>
      <c r="M3895" s="311"/>
      <c r="N3895" s="311">
        <f>+SUMIF('Input Sheet'!$AE:$AE,P3895,'Input Sheet'!$X:$X)</f>
        <v>0</v>
      </c>
      <c r="O3895" s="311"/>
      <c r="P3895" t="str">
        <f t="shared" si="323"/>
        <v>310-3006RD</v>
      </c>
      <c r="Q3895" s="315" t="str">
        <f t="shared" si="324"/>
        <v>Used Vehicle</v>
      </c>
      <c r="R3895" s="315" t="str">
        <f t="shared" si="325"/>
        <v>Used VehicleEx NV demonstrators gross profit p.u.</v>
      </c>
      <c r="S3895" s="199"/>
      <c r="T3895" s="199"/>
      <c r="U3895" s="199"/>
    </row>
    <row r="3896" spans="1:21" x14ac:dyDescent="0.25">
      <c r="A3896" t="s">
        <v>996</v>
      </c>
      <c r="B3896" t="s">
        <v>997</v>
      </c>
      <c r="C3896" t="s">
        <v>1005</v>
      </c>
      <c r="D3896" t="s">
        <v>493</v>
      </c>
      <c r="E3896">
        <v>200</v>
      </c>
      <c r="F3896" t="s">
        <v>1024</v>
      </c>
      <c r="G3896" t="s">
        <v>1027</v>
      </c>
      <c r="H3896" s="315" t="s">
        <v>29</v>
      </c>
      <c r="I3896" s="315" t="s">
        <v>1026</v>
      </c>
      <c r="J3896" s="315" t="str">
        <f t="shared" si="321"/>
        <v>New VehicleOther Income per NV unit</v>
      </c>
      <c r="K3896" s="315" t="str">
        <f t="shared" si="322"/>
        <v>200New Vehicle Other Income - Toyota</v>
      </c>
      <c r="L3896" s="311">
        <f>+SUMIF('TUNZ Extracted TB'!M:M,$P3896,'TUNZ Extracted TB'!G:G)</f>
        <v>0</v>
      </c>
      <c r="M3896" s="311"/>
      <c r="N3896" s="311">
        <f>+SUMIF('Input Sheet'!$AE:$AE,P3896,'Input Sheet'!$X:$X)</f>
        <v>0</v>
      </c>
      <c r="O3896" s="311"/>
      <c r="P3896" t="str">
        <f t="shared" si="323"/>
        <v>200-3007R</v>
      </c>
      <c r="Q3896" s="315" t="str">
        <f t="shared" si="324"/>
        <v>New Vehicle</v>
      </c>
      <c r="R3896" s="315" t="str">
        <f t="shared" si="325"/>
        <v>New VehicleOther Income per NV unit</v>
      </c>
      <c r="S3896" s="199"/>
      <c r="T3896" s="199"/>
      <c r="U3896" s="199"/>
    </row>
    <row r="3897" spans="1:21" x14ac:dyDescent="0.25">
      <c r="A3897" t="s">
        <v>996</v>
      </c>
      <c r="B3897" t="s">
        <v>997</v>
      </c>
      <c r="C3897" t="s">
        <v>1012</v>
      </c>
      <c r="D3897" t="s">
        <v>493</v>
      </c>
      <c r="E3897">
        <v>400</v>
      </c>
      <c r="F3897" t="s">
        <v>1024</v>
      </c>
      <c r="G3897" t="s">
        <v>1027</v>
      </c>
      <c r="H3897" s="315" t="s">
        <v>29</v>
      </c>
      <c r="I3897" s="315" t="s">
        <v>1026</v>
      </c>
      <c r="J3897" s="315" t="str">
        <f t="shared" si="321"/>
        <v>New VehicleOther Income per NV unit</v>
      </c>
      <c r="K3897" s="315" t="str">
        <f t="shared" si="322"/>
        <v>400New Vehicle Other Income - Toyota</v>
      </c>
      <c r="L3897" s="311">
        <f>+SUMIF('TUNZ Extracted TB'!M:M,$P3897,'TUNZ Extracted TB'!G:G)</f>
        <v>0</v>
      </c>
      <c r="M3897" s="311"/>
      <c r="N3897" s="311">
        <f>+SUMIF('Input Sheet'!$AE:$AE,P3897,'Input Sheet'!$X:$X)</f>
        <v>0</v>
      </c>
      <c r="O3897" s="311"/>
      <c r="P3897" t="str">
        <f t="shared" si="323"/>
        <v>400-3007R</v>
      </c>
      <c r="Q3897" s="315" t="str">
        <f t="shared" si="324"/>
        <v>New Vehicle</v>
      </c>
      <c r="R3897" s="315" t="str">
        <f t="shared" si="325"/>
        <v>New VehicleOther Income per NV unit</v>
      </c>
      <c r="S3897" s="199"/>
      <c r="T3897" s="199"/>
      <c r="U3897" s="199"/>
    </row>
    <row r="3898" spans="1:21" x14ac:dyDescent="0.25">
      <c r="A3898" t="s">
        <v>996</v>
      </c>
      <c r="B3898" t="s">
        <v>997</v>
      </c>
      <c r="C3898" t="s">
        <v>1013</v>
      </c>
      <c r="D3898" t="s">
        <v>493</v>
      </c>
      <c r="E3898">
        <v>300</v>
      </c>
      <c r="F3898" t="s">
        <v>1024</v>
      </c>
      <c r="G3898" t="s">
        <v>1027</v>
      </c>
      <c r="H3898" s="315" t="s">
        <v>29</v>
      </c>
      <c r="I3898" s="315" t="s">
        <v>1026</v>
      </c>
      <c r="J3898" s="315" t="str">
        <f t="shared" si="321"/>
        <v>New VehicleOther Income per NV unit</v>
      </c>
      <c r="K3898" s="315" t="str">
        <f t="shared" si="322"/>
        <v>300New Vehicle Other Income - Toyota</v>
      </c>
      <c r="L3898" s="311">
        <f>+SUMIF('TUNZ Extracted TB'!M:M,$P3898,'TUNZ Extracted TB'!G:G)</f>
        <v>0</v>
      </c>
      <c r="M3898" s="311"/>
      <c r="N3898" s="311">
        <f>+SUMIF('Input Sheet'!$AE:$AE,P3898,'Input Sheet'!$X:$X)</f>
        <v>0</v>
      </c>
      <c r="O3898" s="311"/>
      <c r="P3898" t="str">
        <f t="shared" si="323"/>
        <v>300-3007R</v>
      </c>
      <c r="Q3898" s="315" t="str">
        <f t="shared" si="324"/>
        <v>New Vehicle</v>
      </c>
      <c r="R3898" s="315" t="str">
        <f t="shared" si="325"/>
        <v>New VehicleOther Income per NV unit</v>
      </c>
      <c r="S3898" s="199"/>
      <c r="T3898" s="199"/>
      <c r="U3898" s="199"/>
    </row>
    <row r="3899" spans="1:21" x14ac:dyDescent="0.25">
      <c r="A3899" t="s">
        <v>996</v>
      </c>
      <c r="B3899" t="s">
        <v>997</v>
      </c>
      <c r="C3899" t="s">
        <v>997</v>
      </c>
      <c r="D3899" t="s">
        <v>493</v>
      </c>
      <c r="E3899">
        <v>110</v>
      </c>
      <c r="F3899" t="s">
        <v>1014</v>
      </c>
      <c r="G3899" t="s">
        <v>1015</v>
      </c>
      <c r="H3899" s="315" t="s">
        <v>30</v>
      </c>
      <c r="I3899" s="315" t="s">
        <v>1016</v>
      </c>
      <c r="J3899" s="315" t="str">
        <f t="shared" si="321"/>
        <v>Used VehicleEx NV demonstrators gross profit p.u.</v>
      </c>
      <c r="K3899" s="315" t="str">
        <f t="shared" si="322"/>
        <v>110Ex-Toyota NV Demonstrator revenue</v>
      </c>
      <c r="L3899" s="311">
        <f>+SUMIF('TUNZ Extracted TB'!M:M,$P3899,'TUNZ Extracted TB'!G:G)</f>
        <v>0</v>
      </c>
      <c r="M3899" s="311"/>
      <c r="N3899" s="311">
        <f>+SUMIF('Input Sheet'!$AE:$AE,P3899,'Input Sheet'!$X:$X)</f>
        <v>0</v>
      </c>
      <c r="O3899" s="311"/>
      <c r="P3899" t="str">
        <f t="shared" si="323"/>
        <v>110-3007R</v>
      </c>
      <c r="Q3899" s="315" t="str">
        <f t="shared" si="324"/>
        <v>Used Vehicle</v>
      </c>
      <c r="R3899" s="315" t="str">
        <f t="shared" si="325"/>
        <v>Used VehicleEx NV demonstrators gross profit p.u.</v>
      </c>
      <c r="S3899" s="199"/>
      <c r="T3899" s="199"/>
      <c r="U3899" s="199"/>
    </row>
    <row r="3900" spans="1:21" x14ac:dyDescent="0.25">
      <c r="A3900" t="s">
        <v>996</v>
      </c>
      <c r="B3900" t="s">
        <v>997</v>
      </c>
      <c r="C3900" t="s">
        <v>997</v>
      </c>
      <c r="D3900" t="s">
        <v>495</v>
      </c>
      <c r="E3900">
        <v>100</v>
      </c>
      <c r="F3900" t="s">
        <v>1024</v>
      </c>
      <c r="G3900" t="s">
        <v>1027</v>
      </c>
      <c r="H3900" s="315" t="s">
        <v>29</v>
      </c>
      <c r="I3900" s="315" t="s">
        <v>1026</v>
      </c>
      <c r="J3900" s="315" t="str">
        <f t="shared" si="321"/>
        <v>New VehicleOther Income per NV unit</v>
      </c>
      <c r="K3900" s="315" t="str">
        <f t="shared" si="322"/>
        <v>100New Vehicle Other Income - Toyota</v>
      </c>
      <c r="L3900" s="311">
        <f>+SUMIF('TUNZ Extracted TB'!M:M,$P3900,'TUNZ Extracted TB'!G:G)</f>
        <v>0</v>
      </c>
      <c r="M3900" s="311"/>
      <c r="N3900" s="311">
        <f>+SUMIF('Input Sheet'!$AE:$AE,P3900,'Input Sheet'!$X:$X)</f>
        <v>0</v>
      </c>
      <c r="O3900" s="311"/>
      <c r="P3900" t="str">
        <f t="shared" si="323"/>
        <v>100-3007RD</v>
      </c>
      <c r="Q3900" s="315" t="str">
        <f t="shared" si="324"/>
        <v>New Vehicle</v>
      </c>
      <c r="R3900" s="315" t="str">
        <f t="shared" si="325"/>
        <v>New VehicleOther Income per NV unit</v>
      </c>
      <c r="S3900" s="199"/>
      <c r="T3900" s="199"/>
      <c r="U3900" s="199"/>
    </row>
    <row r="3901" spans="1:21" x14ac:dyDescent="0.25">
      <c r="A3901" t="s">
        <v>996</v>
      </c>
      <c r="B3901" t="s">
        <v>997</v>
      </c>
      <c r="C3901" t="s">
        <v>1012</v>
      </c>
      <c r="D3901" t="s">
        <v>493</v>
      </c>
      <c r="E3901">
        <v>410</v>
      </c>
      <c r="F3901" t="s">
        <v>1014</v>
      </c>
      <c r="G3901" t="s">
        <v>1015</v>
      </c>
      <c r="H3901" s="315" t="s">
        <v>30</v>
      </c>
      <c r="I3901" s="315" t="s">
        <v>1016</v>
      </c>
      <c r="J3901" s="315" t="str">
        <f t="shared" si="321"/>
        <v>Used VehicleEx NV demonstrators gross profit p.u.</v>
      </c>
      <c r="K3901" s="315" t="str">
        <f t="shared" si="322"/>
        <v>410Ex-Toyota NV Demonstrator revenue</v>
      </c>
      <c r="L3901" s="311">
        <f>+SUMIF('TUNZ Extracted TB'!M:M,$P3901,'TUNZ Extracted TB'!G:G)</f>
        <v>0</v>
      </c>
      <c r="M3901" s="311"/>
      <c r="N3901" s="311">
        <f>+SUMIF('Input Sheet'!$AE:$AE,P3901,'Input Sheet'!$X:$X)</f>
        <v>0</v>
      </c>
      <c r="O3901" s="311"/>
      <c r="P3901" t="str">
        <f t="shared" si="323"/>
        <v>410-3007R</v>
      </c>
      <c r="Q3901" s="315" t="str">
        <f t="shared" si="324"/>
        <v>Used Vehicle</v>
      </c>
      <c r="R3901" s="315" t="str">
        <f t="shared" si="325"/>
        <v>Used VehicleEx NV demonstrators gross profit p.u.</v>
      </c>
      <c r="S3901" s="199"/>
      <c r="T3901" s="199"/>
      <c r="U3901" s="199"/>
    </row>
    <row r="3902" spans="1:21" x14ac:dyDescent="0.25">
      <c r="A3902" t="s">
        <v>996</v>
      </c>
      <c r="B3902" t="s">
        <v>997</v>
      </c>
      <c r="C3902" t="s">
        <v>1013</v>
      </c>
      <c r="D3902" t="s">
        <v>493</v>
      </c>
      <c r="E3902">
        <v>310</v>
      </c>
      <c r="F3902" t="s">
        <v>1014</v>
      </c>
      <c r="G3902" t="s">
        <v>1015</v>
      </c>
      <c r="H3902" s="315" t="s">
        <v>30</v>
      </c>
      <c r="I3902" s="315" t="s">
        <v>1016</v>
      </c>
      <c r="J3902" s="315" t="str">
        <f t="shared" si="321"/>
        <v>Used VehicleEx NV demonstrators gross profit p.u.</v>
      </c>
      <c r="K3902" s="315" t="str">
        <f t="shared" si="322"/>
        <v>310Ex-Toyota NV Demonstrator revenue</v>
      </c>
      <c r="L3902" s="311">
        <f>+SUMIF('TUNZ Extracted TB'!M:M,$P3902,'TUNZ Extracted TB'!G:G)</f>
        <v>0</v>
      </c>
      <c r="M3902" s="311"/>
      <c r="N3902" s="311">
        <f>+SUMIF('Input Sheet'!$AE:$AE,P3902,'Input Sheet'!$X:$X)</f>
        <v>0</v>
      </c>
      <c r="O3902" s="311"/>
      <c r="P3902" t="str">
        <f t="shared" si="323"/>
        <v>310-3007R</v>
      </c>
      <c r="Q3902" s="315" t="str">
        <f t="shared" si="324"/>
        <v>Used Vehicle</v>
      </c>
      <c r="R3902" s="315" t="str">
        <f t="shared" si="325"/>
        <v>Used VehicleEx NV demonstrators gross profit p.u.</v>
      </c>
      <c r="S3902" s="199"/>
      <c r="T3902" s="199"/>
      <c r="U3902" s="199"/>
    </row>
    <row r="3903" spans="1:21" x14ac:dyDescent="0.25">
      <c r="A3903" t="s">
        <v>996</v>
      </c>
      <c r="B3903" t="s">
        <v>997</v>
      </c>
      <c r="C3903" t="s">
        <v>1005</v>
      </c>
      <c r="D3903" t="s">
        <v>493</v>
      </c>
      <c r="E3903">
        <v>210</v>
      </c>
      <c r="F3903" t="s">
        <v>1014</v>
      </c>
      <c r="G3903" t="s">
        <v>1015</v>
      </c>
      <c r="H3903" s="315" t="s">
        <v>30</v>
      </c>
      <c r="I3903" s="315" t="s">
        <v>1016</v>
      </c>
      <c r="J3903" s="315" t="str">
        <f t="shared" si="321"/>
        <v>Used VehicleEx NV demonstrators gross profit p.u.</v>
      </c>
      <c r="K3903" s="315" t="str">
        <f t="shared" si="322"/>
        <v>210Ex-Toyota NV Demonstrator revenue</v>
      </c>
      <c r="L3903" s="311">
        <f>+SUMIF('TUNZ Extracted TB'!M:M,$P3903,'TUNZ Extracted TB'!G:G)</f>
        <v>0</v>
      </c>
      <c r="M3903" s="311"/>
      <c r="N3903" s="311">
        <f>+SUMIF('Input Sheet'!$AE:$AE,P3903,'Input Sheet'!$X:$X)</f>
        <v>0</v>
      </c>
      <c r="O3903" s="311"/>
      <c r="P3903" t="str">
        <f t="shared" si="323"/>
        <v>210-3007R</v>
      </c>
      <c r="Q3903" s="315" t="str">
        <f t="shared" si="324"/>
        <v>Used Vehicle</v>
      </c>
      <c r="R3903" s="315" t="str">
        <f t="shared" si="325"/>
        <v>Used VehicleEx NV demonstrators gross profit p.u.</v>
      </c>
      <c r="S3903" s="199"/>
      <c r="T3903" s="199"/>
      <c r="U3903" s="199"/>
    </row>
    <row r="3904" spans="1:21" x14ac:dyDescent="0.25">
      <c r="A3904" t="s">
        <v>996</v>
      </c>
      <c r="B3904" t="s">
        <v>997</v>
      </c>
      <c r="C3904" t="s">
        <v>1005</v>
      </c>
      <c r="D3904" t="s">
        <v>495</v>
      </c>
      <c r="E3904">
        <v>200</v>
      </c>
      <c r="F3904" t="s">
        <v>1024</v>
      </c>
      <c r="G3904" t="s">
        <v>1027</v>
      </c>
      <c r="H3904" s="315" t="s">
        <v>29</v>
      </c>
      <c r="I3904" s="315" t="s">
        <v>1026</v>
      </c>
      <c r="J3904" s="315" t="str">
        <f t="shared" si="321"/>
        <v>New VehicleOther Income per NV unit</v>
      </c>
      <c r="K3904" s="315" t="str">
        <f t="shared" si="322"/>
        <v>200New Vehicle Other Income - Toyota</v>
      </c>
      <c r="L3904" s="311">
        <f>+SUMIF('TUNZ Extracted TB'!M:M,$P3904,'TUNZ Extracted TB'!G:G)</f>
        <v>0</v>
      </c>
      <c r="M3904" s="311"/>
      <c r="N3904" s="311">
        <f>+SUMIF('Input Sheet'!$AE:$AE,P3904,'Input Sheet'!$X:$X)</f>
        <v>0</v>
      </c>
      <c r="O3904" s="311"/>
      <c r="P3904" t="str">
        <f t="shared" si="323"/>
        <v>200-3007RD</v>
      </c>
      <c r="Q3904" s="315" t="str">
        <f t="shared" si="324"/>
        <v>New Vehicle</v>
      </c>
      <c r="R3904" s="315" t="str">
        <f t="shared" si="325"/>
        <v>New VehicleOther Income per NV unit</v>
      </c>
      <c r="S3904" s="199"/>
      <c r="T3904" s="199"/>
      <c r="U3904" s="199"/>
    </row>
    <row r="3905" spans="1:21" x14ac:dyDescent="0.25">
      <c r="A3905" t="s">
        <v>996</v>
      </c>
      <c r="B3905" t="s">
        <v>997</v>
      </c>
      <c r="C3905" t="s">
        <v>1012</v>
      </c>
      <c r="D3905" t="s">
        <v>495</v>
      </c>
      <c r="E3905">
        <v>400</v>
      </c>
      <c r="F3905" t="s">
        <v>1024</v>
      </c>
      <c r="G3905" t="s">
        <v>1027</v>
      </c>
      <c r="H3905" s="315" t="s">
        <v>29</v>
      </c>
      <c r="I3905" s="315" t="s">
        <v>1026</v>
      </c>
      <c r="J3905" s="315" t="str">
        <f t="shared" si="321"/>
        <v>New VehicleOther Income per NV unit</v>
      </c>
      <c r="K3905" s="315" t="str">
        <f t="shared" si="322"/>
        <v>400New Vehicle Other Income - Toyota</v>
      </c>
      <c r="L3905" s="311">
        <f>+SUMIF('TUNZ Extracted TB'!M:M,$P3905,'TUNZ Extracted TB'!G:G)</f>
        <v>0</v>
      </c>
      <c r="M3905" s="311"/>
      <c r="N3905" s="311">
        <f>+SUMIF('Input Sheet'!$AE:$AE,P3905,'Input Sheet'!$X:$X)</f>
        <v>0</v>
      </c>
      <c r="O3905" s="311"/>
      <c r="P3905" t="str">
        <f t="shared" si="323"/>
        <v>400-3007RD</v>
      </c>
      <c r="Q3905" s="315" t="str">
        <f t="shared" si="324"/>
        <v>New Vehicle</v>
      </c>
      <c r="R3905" s="315" t="str">
        <f t="shared" si="325"/>
        <v>New VehicleOther Income per NV unit</v>
      </c>
      <c r="S3905" s="199"/>
      <c r="T3905" s="199"/>
      <c r="U3905" s="199"/>
    </row>
    <row r="3906" spans="1:21" x14ac:dyDescent="0.25">
      <c r="A3906" t="s">
        <v>996</v>
      </c>
      <c r="B3906" t="s">
        <v>997</v>
      </c>
      <c r="C3906" t="s">
        <v>1013</v>
      </c>
      <c r="D3906" t="s">
        <v>495</v>
      </c>
      <c r="E3906">
        <v>300</v>
      </c>
      <c r="F3906" t="s">
        <v>1024</v>
      </c>
      <c r="G3906" t="s">
        <v>1027</v>
      </c>
      <c r="H3906" s="315" t="s">
        <v>29</v>
      </c>
      <c r="I3906" s="315" t="s">
        <v>1026</v>
      </c>
      <c r="J3906" s="315" t="str">
        <f t="shared" si="321"/>
        <v>New VehicleOther Income per NV unit</v>
      </c>
      <c r="K3906" s="315" t="str">
        <f t="shared" si="322"/>
        <v>300New Vehicle Other Income - Toyota</v>
      </c>
      <c r="L3906" s="311">
        <f>+SUMIF('TUNZ Extracted TB'!M:M,$P3906,'TUNZ Extracted TB'!G:G)</f>
        <v>0</v>
      </c>
      <c r="M3906" s="311"/>
      <c r="N3906" s="311">
        <f>+SUMIF('Input Sheet'!$AE:$AE,P3906,'Input Sheet'!$X:$X)</f>
        <v>0</v>
      </c>
      <c r="O3906" s="311"/>
      <c r="P3906" t="str">
        <f t="shared" si="323"/>
        <v>300-3007RD</v>
      </c>
      <c r="Q3906" s="315" t="str">
        <f t="shared" si="324"/>
        <v>New Vehicle</v>
      </c>
      <c r="R3906" s="315" t="str">
        <f t="shared" si="325"/>
        <v>New VehicleOther Income per NV unit</v>
      </c>
      <c r="S3906" s="199"/>
      <c r="T3906" s="199"/>
      <c r="U3906" s="199"/>
    </row>
    <row r="3907" spans="1:21" x14ac:dyDescent="0.25">
      <c r="A3907" t="s">
        <v>996</v>
      </c>
      <c r="B3907" t="s">
        <v>997</v>
      </c>
      <c r="C3907" t="s">
        <v>997</v>
      </c>
      <c r="D3907" t="s">
        <v>495</v>
      </c>
      <c r="E3907">
        <v>110</v>
      </c>
      <c r="F3907" t="s">
        <v>1014</v>
      </c>
      <c r="G3907" t="s">
        <v>1015</v>
      </c>
      <c r="H3907" s="315" t="s">
        <v>30</v>
      </c>
      <c r="I3907" s="315" t="s">
        <v>1016</v>
      </c>
      <c r="J3907" s="315" t="str">
        <f t="shared" ref="J3907:J3970" si="326">+H3907&amp;I3907</f>
        <v>Used VehicleEx NV demonstrators gross profit p.u.</v>
      </c>
      <c r="K3907" s="315" t="str">
        <f t="shared" ref="K3907:K3970" si="327">+E3907&amp;G3907</f>
        <v>110Ex-Toyota NV Demonstrator revenue</v>
      </c>
      <c r="L3907" s="311">
        <f>+SUMIF('TUNZ Extracted TB'!M:M,$P3907,'TUNZ Extracted TB'!G:G)</f>
        <v>0</v>
      </c>
      <c r="M3907" s="311"/>
      <c r="N3907" s="311">
        <f>+SUMIF('Input Sheet'!$AE:$AE,P3907,'Input Sheet'!$X:$X)</f>
        <v>0</v>
      </c>
      <c r="O3907" s="311"/>
      <c r="P3907" t="str">
        <f t="shared" ref="P3907:P3970" si="328">+E3907&amp;"-"&amp;D3907</f>
        <v>110-3007RD</v>
      </c>
      <c r="Q3907" s="315" t="str">
        <f t="shared" ref="Q3907:Q3970" si="329">H3907</f>
        <v>Used Vehicle</v>
      </c>
      <c r="R3907" s="315" t="str">
        <f t="shared" ref="R3907:R3970" si="330">J3907</f>
        <v>Used VehicleEx NV demonstrators gross profit p.u.</v>
      </c>
      <c r="S3907" s="199"/>
      <c r="T3907" s="199"/>
      <c r="U3907" s="199"/>
    </row>
    <row r="3908" spans="1:21" x14ac:dyDescent="0.25">
      <c r="A3908" t="s">
        <v>996</v>
      </c>
      <c r="B3908" t="s">
        <v>997</v>
      </c>
      <c r="C3908" t="s">
        <v>997</v>
      </c>
      <c r="D3908" t="s">
        <v>497</v>
      </c>
      <c r="E3908">
        <v>100</v>
      </c>
      <c r="F3908" t="s">
        <v>1024</v>
      </c>
      <c r="G3908" t="s">
        <v>1027</v>
      </c>
      <c r="H3908" s="315" t="s">
        <v>29</v>
      </c>
      <c r="I3908" s="315" t="s">
        <v>1026</v>
      </c>
      <c r="J3908" s="315" t="str">
        <f t="shared" si="326"/>
        <v>New VehicleOther Income per NV unit</v>
      </c>
      <c r="K3908" s="315" t="str">
        <f t="shared" si="327"/>
        <v>100New Vehicle Other Income - Toyota</v>
      </c>
      <c r="L3908" s="311">
        <f>+SUMIF('TUNZ Extracted TB'!M:M,$P3908,'TUNZ Extracted TB'!G:G)</f>
        <v>0</v>
      </c>
      <c r="M3908" s="311"/>
      <c r="N3908" s="311">
        <f>+SUMIF('Input Sheet'!$AE:$AE,P3908,'Input Sheet'!$X:$X)</f>
        <v>0</v>
      </c>
      <c r="O3908" s="311"/>
      <c r="P3908" t="str">
        <f t="shared" si="328"/>
        <v>100-3008R</v>
      </c>
      <c r="Q3908" s="315" t="str">
        <f t="shared" si="329"/>
        <v>New Vehicle</v>
      </c>
      <c r="R3908" s="315" t="str">
        <f t="shared" si="330"/>
        <v>New VehicleOther Income per NV unit</v>
      </c>
      <c r="S3908" s="199"/>
      <c r="T3908" s="199"/>
      <c r="U3908" s="199"/>
    </row>
    <row r="3909" spans="1:21" x14ac:dyDescent="0.25">
      <c r="A3909" t="s">
        <v>996</v>
      </c>
      <c r="B3909" t="s">
        <v>997</v>
      </c>
      <c r="C3909" t="s">
        <v>1005</v>
      </c>
      <c r="D3909" t="s">
        <v>495</v>
      </c>
      <c r="E3909">
        <v>210</v>
      </c>
      <c r="F3909" t="s">
        <v>1014</v>
      </c>
      <c r="G3909" t="s">
        <v>1015</v>
      </c>
      <c r="H3909" s="315" t="s">
        <v>30</v>
      </c>
      <c r="I3909" s="315" t="s">
        <v>1016</v>
      </c>
      <c r="J3909" s="315" t="str">
        <f t="shared" si="326"/>
        <v>Used VehicleEx NV demonstrators gross profit p.u.</v>
      </c>
      <c r="K3909" s="315" t="str">
        <f t="shared" si="327"/>
        <v>210Ex-Toyota NV Demonstrator revenue</v>
      </c>
      <c r="L3909" s="311">
        <f>+SUMIF('TUNZ Extracted TB'!M:M,$P3909,'TUNZ Extracted TB'!G:G)</f>
        <v>0</v>
      </c>
      <c r="M3909" s="311"/>
      <c r="N3909" s="311">
        <f>+SUMIF('Input Sheet'!$AE:$AE,P3909,'Input Sheet'!$X:$X)</f>
        <v>0</v>
      </c>
      <c r="O3909" s="311"/>
      <c r="P3909" t="str">
        <f t="shared" si="328"/>
        <v>210-3007RD</v>
      </c>
      <c r="Q3909" s="315" t="str">
        <f t="shared" si="329"/>
        <v>Used Vehicle</v>
      </c>
      <c r="R3909" s="315" t="str">
        <f t="shared" si="330"/>
        <v>Used VehicleEx NV demonstrators gross profit p.u.</v>
      </c>
      <c r="S3909" s="199"/>
      <c r="T3909" s="199"/>
      <c r="U3909" s="199"/>
    </row>
    <row r="3910" spans="1:21" x14ac:dyDescent="0.25">
      <c r="A3910" t="s">
        <v>996</v>
      </c>
      <c r="B3910" t="s">
        <v>997</v>
      </c>
      <c r="C3910" t="s">
        <v>1012</v>
      </c>
      <c r="D3910" t="s">
        <v>495</v>
      </c>
      <c r="E3910">
        <v>410</v>
      </c>
      <c r="F3910" t="s">
        <v>1014</v>
      </c>
      <c r="G3910" t="s">
        <v>1015</v>
      </c>
      <c r="H3910" s="315" t="s">
        <v>30</v>
      </c>
      <c r="I3910" s="315" t="s">
        <v>1016</v>
      </c>
      <c r="J3910" s="315" t="str">
        <f t="shared" si="326"/>
        <v>Used VehicleEx NV demonstrators gross profit p.u.</v>
      </c>
      <c r="K3910" s="315" t="str">
        <f t="shared" si="327"/>
        <v>410Ex-Toyota NV Demonstrator revenue</v>
      </c>
      <c r="L3910" s="311">
        <f>+SUMIF('TUNZ Extracted TB'!M:M,$P3910,'TUNZ Extracted TB'!G:G)</f>
        <v>0</v>
      </c>
      <c r="M3910" s="311"/>
      <c r="N3910" s="311">
        <f>+SUMIF('Input Sheet'!$AE:$AE,P3910,'Input Sheet'!$X:$X)</f>
        <v>0</v>
      </c>
      <c r="O3910" s="311"/>
      <c r="P3910" t="str">
        <f t="shared" si="328"/>
        <v>410-3007RD</v>
      </c>
      <c r="Q3910" s="315" t="str">
        <f t="shared" si="329"/>
        <v>Used Vehicle</v>
      </c>
      <c r="R3910" s="315" t="str">
        <f t="shared" si="330"/>
        <v>Used VehicleEx NV demonstrators gross profit p.u.</v>
      </c>
      <c r="S3910" s="199"/>
      <c r="T3910" s="199"/>
      <c r="U3910" s="199"/>
    </row>
    <row r="3911" spans="1:21" x14ac:dyDescent="0.25">
      <c r="A3911" t="s">
        <v>996</v>
      </c>
      <c r="B3911" t="s">
        <v>997</v>
      </c>
      <c r="C3911" t="s">
        <v>1013</v>
      </c>
      <c r="D3911" t="s">
        <v>495</v>
      </c>
      <c r="E3911">
        <v>310</v>
      </c>
      <c r="F3911" t="s">
        <v>1014</v>
      </c>
      <c r="G3911" t="s">
        <v>1015</v>
      </c>
      <c r="H3911" s="315" t="s">
        <v>30</v>
      </c>
      <c r="I3911" s="315" t="s">
        <v>1016</v>
      </c>
      <c r="J3911" s="315" t="str">
        <f t="shared" si="326"/>
        <v>Used VehicleEx NV demonstrators gross profit p.u.</v>
      </c>
      <c r="K3911" s="315" t="str">
        <f t="shared" si="327"/>
        <v>310Ex-Toyota NV Demonstrator revenue</v>
      </c>
      <c r="L3911" s="311">
        <f>+SUMIF('TUNZ Extracted TB'!M:M,$P3911,'TUNZ Extracted TB'!G:G)</f>
        <v>0</v>
      </c>
      <c r="M3911" s="311"/>
      <c r="N3911" s="311">
        <f>+SUMIF('Input Sheet'!$AE:$AE,P3911,'Input Sheet'!$X:$X)</f>
        <v>0</v>
      </c>
      <c r="O3911" s="311"/>
      <c r="P3911" t="str">
        <f t="shared" si="328"/>
        <v>310-3007RD</v>
      </c>
      <c r="Q3911" s="315" t="str">
        <f t="shared" si="329"/>
        <v>Used Vehicle</v>
      </c>
      <c r="R3911" s="315" t="str">
        <f t="shared" si="330"/>
        <v>Used VehicleEx NV demonstrators gross profit p.u.</v>
      </c>
      <c r="S3911" s="199"/>
      <c r="T3911" s="199"/>
      <c r="U3911" s="199"/>
    </row>
    <row r="3912" spans="1:21" x14ac:dyDescent="0.25">
      <c r="A3912" t="s">
        <v>996</v>
      </c>
      <c r="B3912" t="s">
        <v>997</v>
      </c>
      <c r="C3912" t="s">
        <v>1005</v>
      </c>
      <c r="D3912" t="s">
        <v>497</v>
      </c>
      <c r="E3912">
        <v>200</v>
      </c>
      <c r="F3912" t="s">
        <v>1024</v>
      </c>
      <c r="G3912" t="s">
        <v>1027</v>
      </c>
      <c r="H3912" s="315" t="s">
        <v>29</v>
      </c>
      <c r="I3912" s="315" t="s">
        <v>1026</v>
      </c>
      <c r="J3912" s="315" t="str">
        <f t="shared" si="326"/>
        <v>New VehicleOther Income per NV unit</v>
      </c>
      <c r="K3912" s="315" t="str">
        <f t="shared" si="327"/>
        <v>200New Vehicle Other Income - Toyota</v>
      </c>
      <c r="L3912" s="311">
        <f>+SUMIF('TUNZ Extracted TB'!M:M,$P3912,'TUNZ Extracted TB'!G:G)</f>
        <v>0</v>
      </c>
      <c r="M3912" s="311"/>
      <c r="N3912" s="311">
        <f>+SUMIF('Input Sheet'!$AE:$AE,P3912,'Input Sheet'!$X:$X)</f>
        <v>0</v>
      </c>
      <c r="O3912" s="311"/>
      <c r="P3912" t="str">
        <f t="shared" si="328"/>
        <v>200-3008R</v>
      </c>
      <c r="Q3912" s="315" t="str">
        <f t="shared" si="329"/>
        <v>New Vehicle</v>
      </c>
      <c r="R3912" s="315" t="str">
        <f t="shared" si="330"/>
        <v>New VehicleOther Income per NV unit</v>
      </c>
      <c r="S3912" s="199"/>
      <c r="T3912" s="199"/>
      <c r="U3912" s="199"/>
    </row>
    <row r="3913" spans="1:21" x14ac:dyDescent="0.25">
      <c r="A3913" t="s">
        <v>996</v>
      </c>
      <c r="B3913" t="s">
        <v>997</v>
      </c>
      <c r="C3913" t="s">
        <v>1012</v>
      </c>
      <c r="D3913" t="s">
        <v>497</v>
      </c>
      <c r="E3913">
        <v>400</v>
      </c>
      <c r="F3913" t="s">
        <v>1024</v>
      </c>
      <c r="G3913" t="s">
        <v>1027</v>
      </c>
      <c r="H3913" s="315" t="s">
        <v>29</v>
      </c>
      <c r="I3913" s="315" t="s">
        <v>1026</v>
      </c>
      <c r="J3913" s="315" t="str">
        <f t="shared" si="326"/>
        <v>New VehicleOther Income per NV unit</v>
      </c>
      <c r="K3913" s="315" t="str">
        <f t="shared" si="327"/>
        <v>400New Vehicle Other Income - Toyota</v>
      </c>
      <c r="L3913" s="311">
        <f>+SUMIF('TUNZ Extracted TB'!M:M,$P3913,'TUNZ Extracted TB'!G:G)</f>
        <v>0</v>
      </c>
      <c r="M3913" s="311"/>
      <c r="N3913" s="311">
        <f>+SUMIF('Input Sheet'!$AE:$AE,P3913,'Input Sheet'!$X:$X)</f>
        <v>0</v>
      </c>
      <c r="O3913" s="311"/>
      <c r="P3913" t="str">
        <f t="shared" si="328"/>
        <v>400-3008R</v>
      </c>
      <c r="Q3913" s="315" t="str">
        <f t="shared" si="329"/>
        <v>New Vehicle</v>
      </c>
      <c r="R3913" s="315" t="str">
        <f t="shared" si="330"/>
        <v>New VehicleOther Income per NV unit</v>
      </c>
      <c r="S3913" s="199"/>
      <c r="T3913" s="199"/>
      <c r="U3913" s="199"/>
    </row>
    <row r="3914" spans="1:21" x14ac:dyDescent="0.25">
      <c r="A3914" t="s">
        <v>996</v>
      </c>
      <c r="B3914" t="s">
        <v>997</v>
      </c>
      <c r="C3914" t="s">
        <v>1013</v>
      </c>
      <c r="D3914" t="s">
        <v>497</v>
      </c>
      <c r="E3914">
        <v>300</v>
      </c>
      <c r="F3914" t="s">
        <v>1024</v>
      </c>
      <c r="G3914" t="s">
        <v>1027</v>
      </c>
      <c r="H3914" s="315" t="s">
        <v>29</v>
      </c>
      <c r="I3914" s="315" t="s">
        <v>1026</v>
      </c>
      <c r="J3914" s="315" t="str">
        <f t="shared" si="326"/>
        <v>New VehicleOther Income per NV unit</v>
      </c>
      <c r="K3914" s="315" t="str">
        <f t="shared" si="327"/>
        <v>300New Vehicle Other Income - Toyota</v>
      </c>
      <c r="L3914" s="311">
        <f>+SUMIF('TUNZ Extracted TB'!M:M,$P3914,'TUNZ Extracted TB'!G:G)</f>
        <v>0</v>
      </c>
      <c r="M3914" s="311"/>
      <c r="N3914" s="311">
        <f>+SUMIF('Input Sheet'!$AE:$AE,P3914,'Input Sheet'!$X:$X)</f>
        <v>0</v>
      </c>
      <c r="O3914" s="311"/>
      <c r="P3914" t="str">
        <f t="shared" si="328"/>
        <v>300-3008R</v>
      </c>
      <c r="Q3914" s="315" t="str">
        <f t="shared" si="329"/>
        <v>New Vehicle</v>
      </c>
      <c r="R3914" s="315" t="str">
        <f t="shared" si="330"/>
        <v>New VehicleOther Income per NV unit</v>
      </c>
      <c r="S3914" s="199"/>
      <c r="T3914" s="199"/>
      <c r="U3914" s="199"/>
    </row>
    <row r="3915" spans="1:21" x14ac:dyDescent="0.25">
      <c r="A3915" t="s">
        <v>996</v>
      </c>
      <c r="B3915" t="s">
        <v>997</v>
      </c>
      <c r="C3915" t="s">
        <v>997</v>
      </c>
      <c r="D3915" t="s">
        <v>497</v>
      </c>
      <c r="E3915">
        <v>110</v>
      </c>
      <c r="F3915" t="s">
        <v>1014</v>
      </c>
      <c r="G3915" t="s">
        <v>1015</v>
      </c>
      <c r="H3915" s="315" t="s">
        <v>30</v>
      </c>
      <c r="I3915" s="315" t="s">
        <v>1016</v>
      </c>
      <c r="J3915" s="315" t="str">
        <f t="shared" si="326"/>
        <v>Used VehicleEx NV demonstrators gross profit p.u.</v>
      </c>
      <c r="K3915" s="315" t="str">
        <f t="shared" si="327"/>
        <v>110Ex-Toyota NV Demonstrator revenue</v>
      </c>
      <c r="L3915" s="311">
        <f>+SUMIF('TUNZ Extracted TB'!M:M,$P3915,'TUNZ Extracted TB'!G:G)</f>
        <v>0</v>
      </c>
      <c r="M3915" s="311"/>
      <c r="N3915" s="311">
        <f>+SUMIF('Input Sheet'!$AE:$AE,P3915,'Input Sheet'!$X:$X)</f>
        <v>0</v>
      </c>
      <c r="O3915" s="311"/>
      <c r="P3915" t="str">
        <f t="shared" si="328"/>
        <v>110-3008R</v>
      </c>
      <c r="Q3915" s="315" t="str">
        <f t="shared" si="329"/>
        <v>Used Vehicle</v>
      </c>
      <c r="R3915" s="315" t="str">
        <f t="shared" si="330"/>
        <v>Used VehicleEx NV demonstrators gross profit p.u.</v>
      </c>
      <c r="S3915" s="199"/>
      <c r="T3915" s="199"/>
      <c r="U3915" s="199"/>
    </row>
    <row r="3916" spans="1:21" x14ac:dyDescent="0.25">
      <c r="A3916" t="s">
        <v>996</v>
      </c>
      <c r="B3916" t="s">
        <v>997</v>
      </c>
      <c r="C3916" t="s">
        <v>997</v>
      </c>
      <c r="D3916" t="s">
        <v>499</v>
      </c>
      <c r="E3916">
        <v>100</v>
      </c>
      <c r="F3916" t="s">
        <v>1024</v>
      </c>
      <c r="G3916" t="s">
        <v>1027</v>
      </c>
      <c r="H3916" s="315" t="s">
        <v>29</v>
      </c>
      <c r="I3916" s="315" t="s">
        <v>1026</v>
      </c>
      <c r="J3916" s="315" t="str">
        <f t="shared" si="326"/>
        <v>New VehicleOther Income per NV unit</v>
      </c>
      <c r="K3916" s="315" t="str">
        <f t="shared" si="327"/>
        <v>100New Vehicle Other Income - Toyota</v>
      </c>
      <c r="L3916" s="311">
        <f>+SUMIF('TUNZ Extracted TB'!M:M,$P3916,'TUNZ Extracted TB'!G:G)</f>
        <v>0</v>
      </c>
      <c r="M3916" s="311"/>
      <c r="N3916" s="311">
        <f>+SUMIF('Input Sheet'!$AE:$AE,P3916,'Input Sheet'!$X:$X)</f>
        <v>0</v>
      </c>
      <c r="O3916" s="311"/>
      <c r="P3916" t="str">
        <f t="shared" si="328"/>
        <v>100-3008RD</v>
      </c>
      <c r="Q3916" s="315" t="str">
        <f t="shared" si="329"/>
        <v>New Vehicle</v>
      </c>
      <c r="R3916" s="315" t="str">
        <f t="shared" si="330"/>
        <v>New VehicleOther Income per NV unit</v>
      </c>
      <c r="S3916" s="199"/>
      <c r="T3916" s="199"/>
      <c r="U3916" s="199"/>
    </row>
    <row r="3917" spans="1:21" x14ac:dyDescent="0.25">
      <c r="A3917" t="s">
        <v>996</v>
      </c>
      <c r="B3917" t="s">
        <v>997</v>
      </c>
      <c r="C3917" t="s">
        <v>1012</v>
      </c>
      <c r="D3917" t="s">
        <v>497</v>
      </c>
      <c r="E3917">
        <v>410</v>
      </c>
      <c r="F3917" t="s">
        <v>1014</v>
      </c>
      <c r="G3917" t="s">
        <v>1015</v>
      </c>
      <c r="H3917" s="315" t="s">
        <v>30</v>
      </c>
      <c r="I3917" s="315" t="s">
        <v>1016</v>
      </c>
      <c r="J3917" s="315" t="str">
        <f t="shared" si="326"/>
        <v>Used VehicleEx NV demonstrators gross profit p.u.</v>
      </c>
      <c r="K3917" s="315" t="str">
        <f t="shared" si="327"/>
        <v>410Ex-Toyota NV Demonstrator revenue</v>
      </c>
      <c r="L3917" s="311">
        <f>+SUMIF('TUNZ Extracted TB'!M:M,$P3917,'TUNZ Extracted TB'!G:G)</f>
        <v>0</v>
      </c>
      <c r="M3917" s="311"/>
      <c r="N3917" s="311">
        <f>+SUMIF('Input Sheet'!$AE:$AE,P3917,'Input Sheet'!$X:$X)</f>
        <v>0</v>
      </c>
      <c r="O3917" s="311"/>
      <c r="P3917" t="str">
        <f t="shared" si="328"/>
        <v>410-3008R</v>
      </c>
      <c r="Q3917" s="315" t="str">
        <f t="shared" si="329"/>
        <v>Used Vehicle</v>
      </c>
      <c r="R3917" s="315" t="str">
        <f t="shared" si="330"/>
        <v>Used VehicleEx NV demonstrators gross profit p.u.</v>
      </c>
      <c r="S3917" s="199"/>
      <c r="T3917" s="199"/>
      <c r="U3917" s="199"/>
    </row>
    <row r="3918" spans="1:21" x14ac:dyDescent="0.25">
      <c r="A3918" t="s">
        <v>996</v>
      </c>
      <c r="B3918" t="s">
        <v>997</v>
      </c>
      <c r="C3918" t="s">
        <v>1013</v>
      </c>
      <c r="D3918" t="s">
        <v>497</v>
      </c>
      <c r="E3918">
        <v>310</v>
      </c>
      <c r="F3918" t="s">
        <v>1014</v>
      </c>
      <c r="G3918" t="s">
        <v>1015</v>
      </c>
      <c r="H3918" s="315" t="s">
        <v>30</v>
      </c>
      <c r="I3918" s="315" t="s">
        <v>1016</v>
      </c>
      <c r="J3918" s="315" t="str">
        <f t="shared" si="326"/>
        <v>Used VehicleEx NV demonstrators gross profit p.u.</v>
      </c>
      <c r="K3918" s="315" t="str">
        <f t="shared" si="327"/>
        <v>310Ex-Toyota NV Demonstrator revenue</v>
      </c>
      <c r="L3918" s="311">
        <f>+SUMIF('TUNZ Extracted TB'!M:M,$P3918,'TUNZ Extracted TB'!G:G)</f>
        <v>0</v>
      </c>
      <c r="M3918" s="311"/>
      <c r="N3918" s="311">
        <f>+SUMIF('Input Sheet'!$AE:$AE,P3918,'Input Sheet'!$X:$X)</f>
        <v>0</v>
      </c>
      <c r="O3918" s="311"/>
      <c r="P3918" t="str">
        <f t="shared" si="328"/>
        <v>310-3008R</v>
      </c>
      <c r="Q3918" s="315" t="str">
        <f t="shared" si="329"/>
        <v>Used Vehicle</v>
      </c>
      <c r="R3918" s="315" t="str">
        <f t="shared" si="330"/>
        <v>Used VehicleEx NV demonstrators gross profit p.u.</v>
      </c>
      <c r="S3918" s="199"/>
      <c r="T3918" s="199"/>
      <c r="U3918" s="199"/>
    </row>
    <row r="3919" spans="1:21" x14ac:dyDescent="0.25">
      <c r="A3919" t="s">
        <v>996</v>
      </c>
      <c r="B3919" t="s">
        <v>997</v>
      </c>
      <c r="C3919" t="s">
        <v>1005</v>
      </c>
      <c r="D3919" t="s">
        <v>497</v>
      </c>
      <c r="E3919">
        <v>210</v>
      </c>
      <c r="F3919" t="s">
        <v>1014</v>
      </c>
      <c r="G3919" t="s">
        <v>1015</v>
      </c>
      <c r="H3919" s="315" t="s">
        <v>30</v>
      </c>
      <c r="I3919" s="315" t="s">
        <v>1016</v>
      </c>
      <c r="J3919" s="315" t="str">
        <f t="shared" si="326"/>
        <v>Used VehicleEx NV demonstrators gross profit p.u.</v>
      </c>
      <c r="K3919" s="315" t="str">
        <f t="shared" si="327"/>
        <v>210Ex-Toyota NV Demonstrator revenue</v>
      </c>
      <c r="L3919" s="311">
        <f>+SUMIF('TUNZ Extracted TB'!M:M,$P3919,'TUNZ Extracted TB'!G:G)</f>
        <v>0</v>
      </c>
      <c r="M3919" s="311"/>
      <c r="N3919" s="311">
        <f>+SUMIF('Input Sheet'!$AE:$AE,P3919,'Input Sheet'!$X:$X)</f>
        <v>0</v>
      </c>
      <c r="O3919" s="311"/>
      <c r="P3919" t="str">
        <f t="shared" si="328"/>
        <v>210-3008R</v>
      </c>
      <c r="Q3919" s="315" t="str">
        <f t="shared" si="329"/>
        <v>Used Vehicle</v>
      </c>
      <c r="R3919" s="315" t="str">
        <f t="shared" si="330"/>
        <v>Used VehicleEx NV demonstrators gross profit p.u.</v>
      </c>
      <c r="S3919" s="199"/>
      <c r="T3919" s="199"/>
      <c r="U3919" s="199"/>
    </row>
    <row r="3920" spans="1:21" x14ac:dyDescent="0.25">
      <c r="A3920" t="s">
        <v>996</v>
      </c>
      <c r="B3920" t="s">
        <v>997</v>
      </c>
      <c r="C3920" t="s">
        <v>1005</v>
      </c>
      <c r="D3920" t="s">
        <v>499</v>
      </c>
      <c r="E3920">
        <v>200</v>
      </c>
      <c r="F3920" t="s">
        <v>1024</v>
      </c>
      <c r="G3920" t="s">
        <v>1027</v>
      </c>
      <c r="H3920" s="315" t="s">
        <v>29</v>
      </c>
      <c r="I3920" s="315" t="s">
        <v>1026</v>
      </c>
      <c r="J3920" s="315" t="str">
        <f t="shared" si="326"/>
        <v>New VehicleOther Income per NV unit</v>
      </c>
      <c r="K3920" s="315" t="str">
        <f t="shared" si="327"/>
        <v>200New Vehicle Other Income - Toyota</v>
      </c>
      <c r="L3920" s="311">
        <f>+SUMIF('TUNZ Extracted TB'!M:M,$P3920,'TUNZ Extracted TB'!G:G)</f>
        <v>0</v>
      </c>
      <c r="M3920" s="311"/>
      <c r="N3920" s="311">
        <f>+SUMIF('Input Sheet'!$AE:$AE,P3920,'Input Sheet'!$X:$X)</f>
        <v>0</v>
      </c>
      <c r="O3920" s="311"/>
      <c r="P3920" t="str">
        <f t="shared" si="328"/>
        <v>200-3008RD</v>
      </c>
      <c r="Q3920" s="315" t="str">
        <f t="shared" si="329"/>
        <v>New Vehicle</v>
      </c>
      <c r="R3920" s="315" t="str">
        <f t="shared" si="330"/>
        <v>New VehicleOther Income per NV unit</v>
      </c>
      <c r="S3920" s="199"/>
      <c r="T3920" s="199"/>
      <c r="U3920" s="199"/>
    </row>
    <row r="3921" spans="1:21" x14ac:dyDescent="0.25">
      <c r="A3921" t="s">
        <v>996</v>
      </c>
      <c r="B3921" t="s">
        <v>997</v>
      </c>
      <c r="C3921" t="s">
        <v>1012</v>
      </c>
      <c r="D3921" t="s">
        <v>499</v>
      </c>
      <c r="E3921">
        <v>400</v>
      </c>
      <c r="F3921" t="s">
        <v>1024</v>
      </c>
      <c r="G3921" t="s">
        <v>1027</v>
      </c>
      <c r="H3921" s="315" t="s">
        <v>29</v>
      </c>
      <c r="I3921" s="315" t="s">
        <v>1026</v>
      </c>
      <c r="J3921" s="315" t="str">
        <f t="shared" si="326"/>
        <v>New VehicleOther Income per NV unit</v>
      </c>
      <c r="K3921" s="315" t="str">
        <f t="shared" si="327"/>
        <v>400New Vehicle Other Income - Toyota</v>
      </c>
      <c r="L3921" s="311">
        <f>+SUMIF('TUNZ Extracted TB'!M:M,$P3921,'TUNZ Extracted TB'!G:G)</f>
        <v>0</v>
      </c>
      <c r="M3921" s="311"/>
      <c r="N3921" s="311">
        <f>+SUMIF('Input Sheet'!$AE:$AE,P3921,'Input Sheet'!$X:$X)</f>
        <v>0</v>
      </c>
      <c r="O3921" s="311"/>
      <c r="P3921" t="str">
        <f t="shared" si="328"/>
        <v>400-3008RD</v>
      </c>
      <c r="Q3921" s="315" t="str">
        <f t="shared" si="329"/>
        <v>New Vehicle</v>
      </c>
      <c r="R3921" s="315" t="str">
        <f t="shared" si="330"/>
        <v>New VehicleOther Income per NV unit</v>
      </c>
      <c r="S3921" s="199"/>
      <c r="T3921" s="199"/>
      <c r="U3921" s="199"/>
    </row>
    <row r="3922" spans="1:21" x14ac:dyDescent="0.25">
      <c r="A3922" t="s">
        <v>996</v>
      </c>
      <c r="B3922" t="s">
        <v>997</v>
      </c>
      <c r="C3922" t="s">
        <v>1013</v>
      </c>
      <c r="D3922" t="s">
        <v>499</v>
      </c>
      <c r="E3922">
        <v>300</v>
      </c>
      <c r="F3922" t="s">
        <v>1024</v>
      </c>
      <c r="G3922" t="s">
        <v>1027</v>
      </c>
      <c r="H3922" s="315" t="s">
        <v>29</v>
      </c>
      <c r="I3922" s="315" t="s">
        <v>1026</v>
      </c>
      <c r="J3922" s="315" t="str">
        <f t="shared" si="326"/>
        <v>New VehicleOther Income per NV unit</v>
      </c>
      <c r="K3922" s="315" t="str">
        <f t="shared" si="327"/>
        <v>300New Vehicle Other Income - Toyota</v>
      </c>
      <c r="L3922" s="311">
        <f>+SUMIF('TUNZ Extracted TB'!M:M,$P3922,'TUNZ Extracted TB'!G:G)</f>
        <v>0</v>
      </c>
      <c r="M3922" s="311"/>
      <c r="N3922" s="311">
        <f>+SUMIF('Input Sheet'!$AE:$AE,P3922,'Input Sheet'!$X:$X)</f>
        <v>0</v>
      </c>
      <c r="O3922" s="311"/>
      <c r="P3922" t="str">
        <f t="shared" si="328"/>
        <v>300-3008RD</v>
      </c>
      <c r="Q3922" s="315" t="str">
        <f t="shared" si="329"/>
        <v>New Vehicle</v>
      </c>
      <c r="R3922" s="315" t="str">
        <f t="shared" si="330"/>
        <v>New VehicleOther Income per NV unit</v>
      </c>
      <c r="S3922" s="199"/>
      <c r="T3922" s="199"/>
      <c r="U3922" s="199"/>
    </row>
    <row r="3923" spans="1:21" x14ac:dyDescent="0.25">
      <c r="A3923" t="s">
        <v>996</v>
      </c>
      <c r="B3923" t="s">
        <v>997</v>
      </c>
      <c r="C3923" t="s">
        <v>997</v>
      </c>
      <c r="D3923" t="s">
        <v>499</v>
      </c>
      <c r="E3923">
        <v>110</v>
      </c>
      <c r="F3923" t="s">
        <v>1014</v>
      </c>
      <c r="G3923" t="s">
        <v>1015</v>
      </c>
      <c r="H3923" s="315" t="s">
        <v>30</v>
      </c>
      <c r="I3923" s="315" t="s">
        <v>1016</v>
      </c>
      <c r="J3923" s="315" t="str">
        <f t="shared" si="326"/>
        <v>Used VehicleEx NV demonstrators gross profit p.u.</v>
      </c>
      <c r="K3923" s="315" t="str">
        <f t="shared" si="327"/>
        <v>110Ex-Toyota NV Demonstrator revenue</v>
      </c>
      <c r="L3923" s="311">
        <f>+SUMIF('TUNZ Extracted TB'!M:M,$P3923,'TUNZ Extracted TB'!G:G)</f>
        <v>0</v>
      </c>
      <c r="M3923" s="311"/>
      <c r="N3923" s="311">
        <f>+SUMIF('Input Sheet'!$AE:$AE,P3923,'Input Sheet'!$X:$X)</f>
        <v>0</v>
      </c>
      <c r="O3923" s="311"/>
      <c r="P3923" t="str">
        <f t="shared" si="328"/>
        <v>110-3008RD</v>
      </c>
      <c r="Q3923" s="315" t="str">
        <f t="shared" si="329"/>
        <v>Used Vehicle</v>
      </c>
      <c r="R3923" s="315" t="str">
        <f t="shared" si="330"/>
        <v>Used VehicleEx NV demonstrators gross profit p.u.</v>
      </c>
      <c r="S3923" s="199"/>
      <c r="T3923" s="199"/>
      <c r="U3923" s="199"/>
    </row>
    <row r="3924" spans="1:21" x14ac:dyDescent="0.25">
      <c r="A3924" t="s">
        <v>996</v>
      </c>
      <c r="B3924" t="s">
        <v>997</v>
      </c>
      <c r="C3924" t="s">
        <v>997</v>
      </c>
      <c r="D3924" t="s">
        <v>1467</v>
      </c>
      <c r="E3924">
        <v>100</v>
      </c>
      <c r="F3924" t="s">
        <v>1024</v>
      </c>
      <c r="G3924" t="s">
        <v>1027</v>
      </c>
      <c r="H3924" s="315" t="s">
        <v>29</v>
      </c>
      <c r="I3924" s="315" t="s">
        <v>1026</v>
      </c>
      <c r="J3924" s="315" t="str">
        <f t="shared" si="326"/>
        <v>New VehicleOther Income per NV unit</v>
      </c>
      <c r="K3924" s="315" t="str">
        <f t="shared" si="327"/>
        <v>100New Vehicle Other Income - Toyota</v>
      </c>
      <c r="L3924" s="311">
        <f>+SUMIF('TUNZ Extracted TB'!M:M,$P3924,'TUNZ Extracted TB'!G:G)</f>
        <v>0</v>
      </c>
      <c r="M3924" s="311"/>
      <c r="N3924" s="311">
        <f>+SUMIF('Input Sheet'!$AE:$AE,P3924,'Input Sheet'!$X:$X)</f>
        <v>0</v>
      </c>
      <c r="O3924" s="311"/>
      <c r="P3924" t="str">
        <f t="shared" si="328"/>
        <v>100-3009R</v>
      </c>
      <c r="Q3924" s="315" t="str">
        <f t="shared" si="329"/>
        <v>New Vehicle</v>
      </c>
      <c r="R3924" s="315" t="str">
        <f t="shared" si="330"/>
        <v>New VehicleOther Income per NV unit</v>
      </c>
      <c r="S3924" s="199"/>
      <c r="T3924" s="199"/>
      <c r="U3924" s="199"/>
    </row>
    <row r="3925" spans="1:21" x14ac:dyDescent="0.25">
      <c r="A3925" t="s">
        <v>996</v>
      </c>
      <c r="B3925" t="s">
        <v>997</v>
      </c>
      <c r="C3925" t="s">
        <v>1005</v>
      </c>
      <c r="D3925" t="s">
        <v>499</v>
      </c>
      <c r="E3925">
        <v>210</v>
      </c>
      <c r="F3925" t="s">
        <v>1014</v>
      </c>
      <c r="G3925" t="s">
        <v>1015</v>
      </c>
      <c r="H3925" s="315" t="s">
        <v>30</v>
      </c>
      <c r="I3925" s="315" t="s">
        <v>1016</v>
      </c>
      <c r="J3925" s="315" t="str">
        <f t="shared" si="326"/>
        <v>Used VehicleEx NV demonstrators gross profit p.u.</v>
      </c>
      <c r="K3925" s="315" t="str">
        <f t="shared" si="327"/>
        <v>210Ex-Toyota NV Demonstrator revenue</v>
      </c>
      <c r="L3925" s="311">
        <f>+SUMIF('TUNZ Extracted TB'!M:M,$P3925,'TUNZ Extracted TB'!G:G)</f>
        <v>0</v>
      </c>
      <c r="M3925" s="311"/>
      <c r="N3925" s="311">
        <f>+SUMIF('Input Sheet'!$AE:$AE,P3925,'Input Sheet'!$X:$X)</f>
        <v>0</v>
      </c>
      <c r="O3925" s="311"/>
      <c r="P3925" t="str">
        <f t="shared" si="328"/>
        <v>210-3008RD</v>
      </c>
      <c r="Q3925" s="315" t="str">
        <f t="shared" si="329"/>
        <v>Used Vehicle</v>
      </c>
      <c r="R3925" s="315" t="str">
        <f t="shared" si="330"/>
        <v>Used VehicleEx NV demonstrators gross profit p.u.</v>
      </c>
      <c r="S3925" s="199"/>
      <c r="T3925" s="199"/>
      <c r="U3925" s="199"/>
    </row>
    <row r="3926" spans="1:21" x14ac:dyDescent="0.25">
      <c r="A3926" t="s">
        <v>996</v>
      </c>
      <c r="B3926" t="s">
        <v>997</v>
      </c>
      <c r="C3926" t="s">
        <v>1012</v>
      </c>
      <c r="D3926" t="s">
        <v>499</v>
      </c>
      <c r="E3926">
        <v>410</v>
      </c>
      <c r="F3926" t="s">
        <v>1014</v>
      </c>
      <c r="G3926" t="s">
        <v>1015</v>
      </c>
      <c r="H3926" s="315" t="s">
        <v>30</v>
      </c>
      <c r="I3926" s="315" t="s">
        <v>1016</v>
      </c>
      <c r="J3926" s="315" t="str">
        <f t="shared" si="326"/>
        <v>Used VehicleEx NV demonstrators gross profit p.u.</v>
      </c>
      <c r="K3926" s="315" t="str">
        <f t="shared" si="327"/>
        <v>410Ex-Toyota NV Demonstrator revenue</v>
      </c>
      <c r="L3926" s="311">
        <f>+SUMIF('TUNZ Extracted TB'!M:M,$P3926,'TUNZ Extracted TB'!G:G)</f>
        <v>0</v>
      </c>
      <c r="M3926" s="311"/>
      <c r="N3926" s="311">
        <f>+SUMIF('Input Sheet'!$AE:$AE,P3926,'Input Sheet'!$X:$X)</f>
        <v>0</v>
      </c>
      <c r="O3926" s="311"/>
      <c r="P3926" t="str">
        <f t="shared" si="328"/>
        <v>410-3008RD</v>
      </c>
      <c r="Q3926" s="315" t="str">
        <f t="shared" si="329"/>
        <v>Used Vehicle</v>
      </c>
      <c r="R3926" s="315" t="str">
        <f t="shared" si="330"/>
        <v>Used VehicleEx NV demonstrators gross profit p.u.</v>
      </c>
      <c r="S3926" s="199"/>
      <c r="T3926" s="199"/>
      <c r="U3926" s="199"/>
    </row>
    <row r="3927" spans="1:21" x14ac:dyDescent="0.25">
      <c r="A3927" t="s">
        <v>996</v>
      </c>
      <c r="B3927" t="s">
        <v>997</v>
      </c>
      <c r="C3927" t="s">
        <v>1013</v>
      </c>
      <c r="D3927" t="s">
        <v>499</v>
      </c>
      <c r="E3927">
        <v>310</v>
      </c>
      <c r="F3927" t="s">
        <v>1014</v>
      </c>
      <c r="G3927" t="s">
        <v>1015</v>
      </c>
      <c r="H3927" s="315" t="s">
        <v>30</v>
      </c>
      <c r="I3927" s="315" t="s">
        <v>1016</v>
      </c>
      <c r="J3927" s="315" t="str">
        <f t="shared" si="326"/>
        <v>Used VehicleEx NV demonstrators gross profit p.u.</v>
      </c>
      <c r="K3927" s="315" t="str">
        <f t="shared" si="327"/>
        <v>310Ex-Toyota NV Demonstrator revenue</v>
      </c>
      <c r="L3927" s="311">
        <f>+SUMIF('TUNZ Extracted TB'!M:M,$P3927,'TUNZ Extracted TB'!G:G)</f>
        <v>0</v>
      </c>
      <c r="M3927" s="311"/>
      <c r="N3927" s="311">
        <f>+SUMIF('Input Sheet'!$AE:$AE,P3927,'Input Sheet'!$X:$X)</f>
        <v>0</v>
      </c>
      <c r="O3927" s="311"/>
      <c r="P3927" t="str">
        <f t="shared" si="328"/>
        <v>310-3008RD</v>
      </c>
      <c r="Q3927" s="315" t="str">
        <f t="shared" si="329"/>
        <v>Used Vehicle</v>
      </c>
      <c r="R3927" s="315" t="str">
        <f t="shared" si="330"/>
        <v>Used VehicleEx NV demonstrators gross profit p.u.</v>
      </c>
      <c r="S3927" s="199"/>
      <c r="T3927" s="199"/>
      <c r="U3927" s="199"/>
    </row>
    <row r="3928" spans="1:21" x14ac:dyDescent="0.25">
      <c r="A3928" t="s">
        <v>996</v>
      </c>
      <c r="B3928" t="s">
        <v>997</v>
      </c>
      <c r="C3928" t="s">
        <v>1005</v>
      </c>
      <c r="D3928" t="s">
        <v>1467</v>
      </c>
      <c r="E3928">
        <v>200</v>
      </c>
      <c r="F3928" t="s">
        <v>1024</v>
      </c>
      <c r="G3928" t="s">
        <v>1027</v>
      </c>
      <c r="H3928" s="315" t="s">
        <v>29</v>
      </c>
      <c r="I3928" s="315" t="s">
        <v>1026</v>
      </c>
      <c r="J3928" s="315" t="str">
        <f t="shared" si="326"/>
        <v>New VehicleOther Income per NV unit</v>
      </c>
      <c r="K3928" s="315" t="str">
        <f t="shared" si="327"/>
        <v>200New Vehicle Other Income - Toyota</v>
      </c>
      <c r="L3928" s="311">
        <f>+SUMIF('TUNZ Extracted TB'!M:M,$P3928,'TUNZ Extracted TB'!G:G)</f>
        <v>0</v>
      </c>
      <c r="M3928" s="311"/>
      <c r="N3928" s="311">
        <f>+SUMIF('Input Sheet'!$AE:$AE,P3928,'Input Sheet'!$X:$X)</f>
        <v>0</v>
      </c>
      <c r="O3928" s="311"/>
      <c r="P3928" t="str">
        <f t="shared" si="328"/>
        <v>200-3009R</v>
      </c>
      <c r="Q3928" s="315" t="str">
        <f t="shared" si="329"/>
        <v>New Vehicle</v>
      </c>
      <c r="R3928" s="315" t="str">
        <f t="shared" si="330"/>
        <v>New VehicleOther Income per NV unit</v>
      </c>
      <c r="S3928" s="199"/>
      <c r="T3928" s="199"/>
      <c r="U3928" s="199"/>
    </row>
    <row r="3929" spans="1:21" x14ac:dyDescent="0.25">
      <c r="A3929" t="s">
        <v>996</v>
      </c>
      <c r="B3929" t="s">
        <v>997</v>
      </c>
      <c r="C3929" t="s">
        <v>1012</v>
      </c>
      <c r="D3929" t="s">
        <v>1467</v>
      </c>
      <c r="E3929">
        <v>400</v>
      </c>
      <c r="F3929" t="s">
        <v>1024</v>
      </c>
      <c r="G3929" t="s">
        <v>1027</v>
      </c>
      <c r="H3929" s="315" t="s">
        <v>29</v>
      </c>
      <c r="I3929" s="315" t="s">
        <v>1026</v>
      </c>
      <c r="J3929" s="315" t="str">
        <f t="shared" si="326"/>
        <v>New VehicleOther Income per NV unit</v>
      </c>
      <c r="K3929" s="315" t="str">
        <f t="shared" si="327"/>
        <v>400New Vehicle Other Income - Toyota</v>
      </c>
      <c r="L3929" s="311">
        <f>+SUMIF('TUNZ Extracted TB'!M:M,$P3929,'TUNZ Extracted TB'!G:G)</f>
        <v>0</v>
      </c>
      <c r="M3929" s="311"/>
      <c r="N3929" s="311">
        <f>+SUMIF('Input Sheet'!$AE:$AE,P3929,'Input Sheet'!$X:$X)</f>
        <v>0</v>
      </c>
      <c r="O3929" s="311"/>
      <c r="P3929" t="str">
        <f t="shared" si="328"/>
        <v>400-3009R</v>
      </c>
      <c r="Q3929" s="315" t="str">
        <f t="shared" si="329"/>
        <v>New Vehicle</v>
      </c>
      <c r="R3929" s="315" t="str">
        <f t="shared" si="330"/>
        <v>New VehicleOther Income per NV unit</v>
      </c>
      <c r="S3929" s="199"/>
      <c r="T3929" s="199"/>
      <c r="U3929" s="199"/>
    </row>
    <row r="3930" spans="1:21" x14ac:dyDescent="0.25">
      <c r="A3930" t="s">
        <v>996</v>
      </c>
      <c r="B3930" t="s">
        <v>997</v>
      </c>
      <c r="C3930" t="s">
        <v>1013</v>
      </c>
      <c r="D3930" t="s">
        <v>1467</v>
      </c>
      <c r="E3930">
        <v>300</v>
      </c>
      <c r="F3930" t="s">
        <v>1024</v>
      </c>
      <c r="G3930" t="s">
        <v>1027</v>
      </c>
      <c r="H3930" s="315" t="s">
        <v>29</v>
      </c>
      <c r="I3930" s="315" t="s">
        <v>1026</v>
      </c>
      <c r="J3930" s="315" t="str">
        <f t="shared" si="326"/>
        <v>New VehicleOther Income per NV unit</v>
      </c>
      <c r="K3930" s="315" t="str">
        <f t="shared" si="327"/>
        <v>300New Vehicle Other Income - Toyota</v>
      </c>
      <c r="L3930" s="311">
        <f>+SUMIF('TUNZ Extracted TB'!M:M,$P3930,'TUNZ Extracted TB'!G:G)</f>
        <v>0</v>
      </c>
      <c r="M3930" s="311"/>
      <c r="N3930" s="311">
        <f>+SUMIF('Input Sheet'!$AE:$AE,P3930,'Input Sheet'!$X:$X)</f>
        <v>0</v>
      </c>
      <c r="O3930" s="311"/>
      <c r="P3930" t="str">
        <f t="shared" si="328"/>
        <v>300-3009R</v>
      </c>
      <c r="Q3930" s="315" t="str">
        <f t="shared" si="329"/>
        <v>New Vehicle</v>
      </c>
      <c r="R3930" s="315" t="str">
        <f t="shared" si="330"/>
        <v>New VehicleOther Income per NV unit</v>
      </c>
      <c r="S3930" s="199"/>
      <c r="T3930" s="199"/>
      <c r="U3930" s="199"/>
    </row>
    <row r="3931" spans="1:21" x14ac:dyDescent="0.25">
      <c r="A3931" t="s">
        <v>996</v>
      </c>
      <c r="B3931" t="s">
        <v>997</v>
      </c>
      <c r="C3931" t="s">
        <v>997</v>
      </c>
      <c r="D3931" t="s">
        <v>1467</v>
      </c>
      <c r="E3931">
        <v>110</v>
      </c>
      <c r="F3931" t="s">
        <v>1014</v>
      </c>
      <c r="G3931" t="s">
        <v>1015</v>
      </c>
      <c r="H3931" s="315" t="s">
        <v>30</v>
      </c>
      <c r="I3931" s="315" t="s">
        <v>1016</v>
      </c>
      <c r="J3931" s="315" t="str">
        <f t="shared" si="326"/>
        <v>Used VehicleEx NV demonstrators gross profit p.u.</v>
      </c>
      <c r="K3931" s="315" t="str">
        <f t="shared" si="327"/>
        <v>110Ex-Toyota NV Demonstrator revenue</v>
      </c>
      <c r="L3931" s="311">
        <f>+SUMIF('TUNZ Extracted TB'!M:M,$P3931,'TUNZ Extracted TB'!G:G)</f>
        <v>0</v>
      </c>
      <c r="M3931" s="311"/>
      <c r="N3931" s="311">
        <f>+SUMIF('Input Sheet'!$AE:$AE,P3931,'Input Sheet'!$X:$X)</f>
        <v>0</v>
      </c>
      <c r="O3931" s="311"/>
      <c r="P3931" t="str">
        <f t="shared" si="328"/>
        <v>110-3009R</v>
      </c>
      <c r="Q3931" s="315" t="str">
        <f t="shared" si="329"/>
        <v>Used Vehicle</v>
      </c>
      <c r="R3931" s="315" t="str">
        <f t="shared" si="330"/>
        <v>Used VehicleEx NV demonstrators gross profit p.u.</v>
      </c>
      <c r="S3931" s="199"/>
      <c r="T3931" s="199"/>
      <c r="U3931" s="199"/>
    </row>
    <row r="3932" spans="1:21" x14ac:dyDescent="0.25">
      <c r="A3932" t="s">
        <v>996</v>
      </c>
      <c r="B3932" t="s">
        <v>997</v>
      </c>
      <c r="C3932" t="s">
        <v>997</v>
      </c>
      <c r="D3932" t="s">
        <v>1468</v>
      </c>
      <c r="E3932">
        <v>100</v>
      </c>
      <c r="F3932" t="s">
        <v>1024</v>
      </c>
      <c r="G3932" t="s">
        <v>1027</v>
      </c>
      <c r="H3932" s="315" t="s">
        <v>29</v>
      </c>
      <c r="I3932" s="315" t="s">
        <v>1026</v>
      </c>
      <c r="J3932" s="315" t="str">
        <f t="shared" si="326"/>
        <v>New VehicleOther Income per NV unit</v>
      </c>
      <c r="K3932" s="315" t="str">
        <f t="shared" si="327"/>
        <v>100New Vehicle Other Income - Toyota</v>
      </c>
      <c r="L3932" s="311">
        <f>+SUMIF('TUNZ Extracted TB'!M:M,$P3932,'TUNZ Extracted TB'!G:G)</f>
        <v>0</v>
      </c>
      <c r="M3932" s="311"/>
      <c r="N3932" s="311">
        <f>+SUMIF('Input Sheet'!$AE:$AE,P3932,'Input Sheet'!$X:$X)</f>
        <v>0</v>
      </c>
      <c r="O3932" s="311"/>
      <c r="P3932" t="str">
        <f t="shared" si="328"/>
        <v>100-3009RD</v>
      </c>
      <c r="Q3932" s="315" t="str">
        <f t="shared" si="329"/>
        <v>New Vehicle</v>
      </c>
      <c r="R3932" s="315" t="str">
        <f t="shared" si="330"/>
        <v>New VehicleOther Income per NV unit</v>
      </c>
      <c r="S3932" s="199"/>
      <c r="T3932" s="199"/>
      <c r="U3932" s="199"/>
    </row>
    <row r="3933" spans="1:21" x14ac:dyDescent="0.25">
      <c r="A3933" t="s">
        <v>996</v>
      </c>
      <c r="B3933" t="s">
        <v>997</v>
      </c>
      <c r="C3933" t="s">
        <v>1005</v>
      </c>
      <c r="D3933" t="s">
        <v>1467</v>
      </c>
      <c r="E3933">
        <v>210</v>
      </c>
      <c r="F3933" t="s">
        <v>1014</v>
      </c>
      <c r="G3933" t="s">
        <v>1015</v>
      </c>
      <c r="H3933" s="315" t="s">
        <v>30</v>
      </c>
      <c r="I3933" s="315" t="s">
        <v>1016</v>
      </c>
      <c r="J3933" s="315" t="str">
        <f t="shared" si="326"/>
        <v>Used VehicleEx NV demonstrators gross profit p.u.</v>
      </c>
      <c r="K3933" s="315" t="str">
        <f t="shared" si="327"/>
        <v>210Ex-Toyota NV Demonstrator revenue</v>
      </c>
      <c r="L3933" s="311">
        <f>+SUMIF('TUNZ Extracted TB'!M:M,$P3933,'TUNZ Extracted TB'!G:G)</f>
        <v>0</v>
      </c>
      <c r="M3933" s="311"/>
      <c r="N3933" s="311">
        <f>+SUMIF('Input Sheet'!$AE:$AE,P3933,'Input Sheet'!$X:$X)</f>
        <v>0</v>
      </c>
      <c r="O3933" s="311"/>
      <c r="P3933" t="str">
        <f t="shared" si="328"/>
        <v>210-3009R</v>
      </c>
      <c r="Q3933" s="315" t="str">
        <f t="shared" si="329"/>
        <v>Used Vehicle</v>
      </c>
      <c r="R3933" s="315" t="str">
        <f t="shared" si="330"/>
        <v>Used VehicleEx NV demonstrators gross profit p.u.</v>
      </c>
      <c r="S3933" s="199"/>
      <c r="T3933" s="199"/>
      <c r="U3933" s="199"/>
    </row>
    <row r="3934" spans="1:21" x14ac:dyDescent="0.25">
      <c r="A3934" t="s">
        <v>996</v>
      </c>
      <c r="B3934" t="s">
        <v>997</v>
      </c>
      <c r="C3934" t="s">
        <v>1012</v>
      </c>
      <c r="D3934" t="s">
        <v>1467</v>
      </c>
      <c r="E3934">
        <v>410</v>
      </c>
      <c r="F3934" t="s">
        <v>1014</v>
      </c>
      <c r="G3934" t="s">
        <v>1015</v>
      </c>
      <c r="H3934" s="315" t="s">
        <v>30</v>
      </c>
      <c r="I3934" s="315" t="s">
        <v>1016</v>
      </c>
      <c r="J3934" s="315" t="str">
        <f t="shared" si="326"/>
        <v>Used VehicleEx NV demonstrators gross profit p.u.</v>
      </c>
      <c r="K3934" s="315" t="str">
        <f t="shared" si="327"/>
        <v>410Ex-Toyota NV Demonstrator revenue</v>
      </c>
      <c r="L3934" s="311">
        <f>+SUMIF('TUNZ Extracted TB'!M:M,$P3934,'TUNZ Extracted TB'!G:G)</f>
        <v>0</v>
      </c>
      <c r="M3934" s="311"/>
      <c r="N3934" s="311">
        <f>+SUMIF('Input Sheet'!$AE:$AE,P3934,'Input Sheet'!$X:$X)</f>
        <v>0</v>
      </c>
      <c r="O3934" s="311"/>
      <c r="P3934" t="str">
        <f t="shared" si="328"/>
        <v>410-3009R</v>
      </c>
      <c r="Q3934" s="315" t="str">
        <f t="shared" si="329"/>
        <v>Used Vehicle</v>
      </c>
      <c r="R3934" s="315" t="str">
        <f t="shared" si="330"/>
        <v>Used VehicleEx NV demonstrators gross profit p.u.</v>
      </c>
      <c r="S3934" s="199"/>
      <c r="T3934" s="199"/>
      <c r="U3934" s="199"/>
    </row>
    <row r="3935" spans="1:21" x14ac:dyDescent="0.25">
      <c r="A3935" t="s">
        <v>996</v>
      </c>
      <c r="B3935" t="s">
        <v>997</v>
      </c>
      <c r="C3935" t="s">
        <v>1013</v>
      </c>
      <c r="D3935" t="s">
        <v>1467</v>
      </c>
      <c r="E3935">
        <v>310</v>
      </c>
      <c r="F3935" t="s">
        <v>1014</v>
      </c>
      <c r="G3935" t="s">
        <v>1015</v>
      </c>
      <c r="H3935" s="315" t="s">
        <v>30</v>
      </c>
      <c r="I3935" s="315" t="s">
        <v>1016</v>
      </c>
      <c r="J3935" s="315" t="str">
        <f t="shared" si="326"/>
        <v>Used VehicleEx NV demonstrators gross profit p.u.</v>
      </c>
      <c r="K3935" s="315" t="str">
        <f t="shared" si="327"/>
        <v>310Ex-Toyota NV Demonstrator revenue</v>
      </c>
      <c r="L3935" s="311">
        <f>+SUMIF('TUNZ Extracted TB'!M:M,$P3935,'TUNZ Extracted TB'!G:G)</f>
        <v>0</v>
      </c>
      <c r="M3935" s="311"/>
      <c r="N3935" s="311">
        <f>+SUMIF('Input Sheet'!$AE:$AE,P3935,'Input Sheet'!$X:$X)</f>
        <v>0</v>
      </c>
      <c r="O3935" s="311"/>
      <c r="P3935" t="str">
        <f t="shared" si="328"/>
        <v>310-3009R</v>
      </c>
      <c r="Q3935" s="315" t="str">
        <f t="shared" si="329"/>
        <v>Used Vehicle</v>
      </c>
      <c r="R3935" s="315" t="str">
        <f t="shared" si="330"/>
        <v>Used VehicleEx NV demonstrators gross profit p.u.</v>
      </c>
      <c r="S3935" s="199"/>
      <c r="T3935" s="199"/>
      <c r="U3935" s="199"/>
    </row>
    <row r="3936" spans="1:21" x14ac:dyDescent="0.25">
      <c r="A3936" t="s">
        <v>996</v>
      </c>
      <c r="B3936" t="s">
        <v>997</v>
      </c>
      <c r="C3936" t="s">
        <v>1005</v>
      </c>
      <c r="D3936" t="s">
        <v>1468</v>
      </c>
      <c r="E3936">
        <v>200</v>
      </c>
      <c r="F3936" t="s">
        <v>1024</v>
      </c>
      <c r="G3936" t="s">
        <v>1027</v>
      </c>
      <c r="H3936" s="315" t="s">
        <v>29</v>
      </c>
      <c r="I3936" s="315" t="s">
        <v>1026</v>
      </c>
      <c r="J3936" s="315" t="str">
        <f t="shared" si="326"/>
        <v>New VehicleOther Income per NV unit</v>
      </c>
      <c r="K3936" s="315" t="str">
        <f t="shared" si="327"/>
        <v>200New Vehicle Other Income - Toyota</v>
      </c>
      <c r="L3936" s="311">
        <f>+SUMIF('TUNZ Extracted TB'!M:M,$P3936,'TUNZ Extracted TB'!G:G)</f>
        <v>0</v>
      </c>
      <c r="M3936" s="311"/>
      <c r="N3936" s="311">
        <f>+SUMIF('Input Sheet'!$AE:$AE,P3936,'Input Sheet'!$X:$X)</f>
        <v>0</v>
      </c>
      <c r="O3936" s="311"/>
      <c r="P3936" t="str">
        <f t="shared" si="328"/>
        <v>200-3009RD</v>
      </c>
      <c r="Q3936" s="315" t="str">
        <f t="shared" si="329"/>
        <v>New Vehicle</v>
      </c>
      <c r="R3936" s="315" t="str">
        <f t="shared" si="330"/>
        <v>New VehicleOther Income per NV unit</v>
      </c>
      <c r="S3936" s="199"/>
      <c r="T3936" s="199"/>
      <c r="U3936" s="199"/>
    </row>
    <row r="3937" spans="1:21" x14ac:dyDescent="0.25">
      <c r="A3937" t="s">
        <v>996</v>
      </c>
      <c r="B3937" t="s">
        <v>997</v>
      </c>
      <c r="C3937" t="s">
        <v>1012</v>
      </c>
      <c r="D3937" t="s">
        <v>1468</v>
      </c>
      <c r="E3937">
        <v>400</v>
      </c>
      <c r="F3937" t="s">
        <v>1024</v>
      </c>
      <c r="G3937" t="s">
        <v>1027</v>
      </c>
      <c r="H3937" s="315" t="s">
        <v>29</v>
      </c>
      <c r="I3937" s="315" t="s">
        <v>1026</v>
      </c>
      <c r="J3937" s="315" t="str">
        <f t="shared" si="326"/>
        <v>New VehicleOther Income per NV unit</v>
      </c>
      <c r="K3937" s="315" t="str">
        <f t="shared" si="327"/>
        <v>400New Vehicle Other Income - Toyota</v>
      </c>
      <c r="L3937" s="311">
        <f>+SUMIF('TUNZ Extracted TB'!M:M,$P3937,'TUNZ Extracted TB'!G:G)</f>
        <v>0</v>
      </c>
      <c r="M3937" s="311"/>
      <c r="N3937" s="311">
        <f>+SUMIF('Input Sheet'!$AE:$AE,P3937,'Input Sheet'!$X:$X)</f>
        <v>0</v>
      </c>
      <c r="O3937" s="311"/>
      <c r="P3937" t="str">
        <f t="shared" si="328"/>
        <v>400-3009RD</v>
      </c>
      <c r="Q3937" s="315" t="str">
        <f t="shared" si="329"/>
        <v>New Vehicle</v>
      </c>
      <c r="R3937" s="315" t="str">
        <f t="shared" si="330"/>
        <v>New VehicleOther Income per NV unit</v>
      </c>
      <c r="S3937" s="199"/>
      <c r="T3937" s="199"/>
      <c r="U3937" s="199"/>
    </row>
    <row r="3938" spans="1:21" x14ac:dyDescent="0.25">
      <c r="A3938" t="s">
        <v>996</v>
      </c>
      <c r="B3938" t="s">
        <v>997</v>
      </c>
      <c r="C3938" t="s">
        <v>1013</v>
      </c>
      <c r="D3938" t="s">
        <v>1468</v>
      </c>
      <c r="E3938">
        <v>300</v>
      </c>
      <c r="F3938" t="s">
        <v>1024</v>
      </c>
      <c r="G3938" t="s">
        <v>1027</v>
      </c>
      <c r="H3938" s="315" t="s">
        <v>29</v>
      </c>
      <c r="I3938" s="315" t="s">
        <v>1026</v>
      </c>
      <c r="J3938" s="315" t="str">
        <f t="shared" si="326"/>
        <v>New VehicleOther Income per NV unit</v>
      </c>
      <c r="K3938" s="315" t="str">
        <f t="shared" si="327"/>
        <v>300New Vehicle Other Income - Toyota</v>
      </c>
      <c r="L3938" s="311">
        <f>+SUMIF('TUNZ Extracted TB'!M:M,$P3938,'TUNZ Extracted TB'!G:G)</f>
        <v>0</v>
      </c>
      <c r="M3938" s="311"/>
      <c r="N3938" s="311">
        <f>+SUMIF('Input Sheet'!$AE:$AE,P3938,'Input Sheet'!$X:$X)</f>
        <v>0</v>
      </c>
      <c r="O3938" s="311"/>
      <c r="P3938" t="str">
        <f t="shared" si="328"/>
        <v>300-3009RD</v>
      </c>
      <c r="Q3938" s="315" t="str">
        <f t="shared" si="329"/>
        <v>New Vehicle</v>
      </c>
      <c r="R3938" s="315" t="str">
        <f t="shared" si="330"/>
        <v>New VehicleOther Income per NV unit</v>
      </c>
      <c r="S3938" s="199"/>
      <c r="T3938" s="199"/>
      <c r="U3938" s="199"/>
    </row>
    <row r="3939" spans="1:21" x14ac:dyDescent="0.25">
      <c r="A3939" t="s">
        <v>996</v>
      </c>
      <c r="B3939" t="s">
        <v>997</v>
      </c>
      <c r="C3939" t="s">
        <v>997</v>
      </c>
      <c r="D3939" t="s">
        <v>1468</v>
      </c>
      <c r="E3939">
        <v>110</v>
      </c>
      <c r="F3939" t="s">
        <v>1014</v>
      </c>
      <c r="G3939" t="s">
        <v>1015</v>
      </c>
      <c r="H3939" s="315" t="s">
        <v>30</v>
      </c>
      <c r="I3939" s="315" t="s">
        <v>1016</v>
      </c>
      <c r="J3939" s="315" t="str">
        <f t="shared" si="326"/>
        <v>Used VehicleEx NV demonstrators gross profit p.u.</v>
      </c>
      <c r="K3939" s="315" t="str">
        <f t="shared" si="327"/>
        <v>110Ex-Toyota NV Demonstrator revenue</v>
      </c>
      <c r="L3939" s="311">
        <f>+SUMIF('TUNZ Extracted TB'!M:M,$P3939,'TUNZ Extracted TB'!G:G)</f>
        <v>0</v>
      </c>
      <c r="M3939" s="311"/>
      <c r="N3939" s="311">
        <f>+SUMIF('Input Sheet'!$AE:$AE,P3939,'Input Sheet'!$X:$X)</f>
        <v>0</v>
      </c>
      <c r="O3939" s="311"/>
      <c r="P3939" t="str">
        <f t="shared" si="328"/>
        <v>110-3009RD</v>
      </c>
      <c r="Q3939" s="315" t="str">
        <f t="shared" si="329"/>
        <v>Used Vehicle</v>
      </c>
      <c r="R3939" s="315" t="str">
        <f t="shared" si="330"/>
        <v>Used VehicleEx NV demonstrators gross profit p.u.</v>
      </c>
      <c r="S3939" s="199"/>
      <c r="T3939" s="199"/>
      <c r="U3939" s="199"/>
    </row>
    <row r="3940" spans="1:21" x14ac:dyDescent="0.25">
      <c r="A3940" t="s">
        <v>996</v>
      </c>
      <c r="B3940" t="s">
        <v>997</v>
      </c>
      <c r="C3940" t="s">
        <v>997</v>
      </c>
      <c r="D3940" t="s">
        <v>501</v>
      </c>
      <c r="E3940">
        <v>100</v>
      </c>
      <c r="F3940" t="s">
        <v>1024</v>
      </c>
      <c r="G3940" t="s">
        <v>1027</v>
      </c>
      <c r="H3940" s="315" t="s">
        <v>29</v>
      </c>
      <c r="I3940" s="315" t="s">
        <v>1026</v>
      </c>
      <c r="J3940" s="315" t="str">
        <f t="shared" si="326"/>
        <v>New VehicleOther Income per NV unit</v>
      </c>
      <c r="K3940" s="315" t="str">
        <f t="shared" si="327"/>
        <v>100New Vehicle Other Income - Toyota</v>
      </c>
      <c r="L3940" s="311">
        <f>+SUMIF('TUNZ Extracted TB'!M:M,$P3940,'TUNZ Extracted TB'!G:G)</f>
        <v>-213.84</v>
      </c>
      <c r="M3940" s="311"/>
      <c r="N3940" s="311">
        <f>+SUMIF('Input Sheet'!$AE:$AE,P3940,'Input Sheet'!$X:$X)</f>
        <v>0</v>
      </c>
      <c r="O3940" s="311"/>
      <c r="P3940" t="str">
        <f t="shared" si="328"/>
        <v>100-3010R</v>
      </c>
      <c r="Q3940" s="315" t="str">
        <f t="shared" si="329"/>
        <v>New Vehicle</v>
      </c>
      <c r="R3940" s="315" t="str">
        <f t="shared" si="330"/>
        <v>New VehicleOther Income per NV unit</v>
      </c>
      <c r="S3940" s="199"/>
      <c r="T3940" s="199"/>
      <c r="U3940" s="199"/>
    </row>
    <row r="3941" spans="1:21" x14ac:dyDescent="0.25">
      <c r="A3941" t="s">
        <v>996</v>
      </c>
      <c r="B3941" t="s">
        <v>997</v>
      </c>
      <c r="C3941" t="s">
        <v>1005</v>
      </c>
      <c r="D3941" t="s">
        <v>1468</v>
      </c>
      <c r="E3941">
        <v>210</v>
      </c>
      <c r="F3941" t="s">
        <v>1014</v>
      </c>
      <c r="G3941" t="s">
        <v>1015</v>
      </c>
      <c r="H3941" s="315" t="s">
        <v>30</v>
      </c>
      <c r="I3941" s="315" t="s">
        <v>1016</v>
      </c>
      <c r="J3941" s="315" t="str">
        <f t="shared" si="326"/>
        <v>Used VehicleEx NV demonstrators gross profit p.u.</v>
      </c>
      <c r="K3941" s="315" t="str">
        <f t="shared" si="327"/>
        <v>210Ex-Toyota NV Demonstrator revenue</v>
      </c>
      <c r="L3941" s="311">
        <f>+SUMIF('TUNZ Extracted TB'!M:M,$P3941,'TUNZ Extracted TB'!G:G)</f>
        <v>0</v>
      </c>
      <c r="M3941" s="311"/>
      <c r="N3941" s="311">
        <f>+SUMIF('Input Sheet'!$AE:$AE,P3941,'Input Sheet'!$X:$X)</f>
        <v>0</v>
      </c>
      <c r="O3941" s="311"/>
      <c r="P3941" t="str">
        <f t="shared" si="328"/>
        <v>210-3009RD</v>
      </c>
      <c r="Q3941" s="315" t="str">
        <f t="shared" si="329"/>
        <v>Used Vehicle</v>
      </c>
      <c r="R3941" s="315" t="str">
        <f t="shared" si="330"/>
        <v>Used VehicleEx NV demonstrators gross profit p.u.</v>
      </c>
      <c r="S3941" s="199"/>
      <c r="T3941" s="199"/>
      <c r="U3941" s="199"/>
    </row>
    <row r="3942" spans="1:21" x14ac:dyDescent="0.25">
      <c r="A3942" t="s">
        <v>996</v>
      </c>
      <c r="B3942" t="s">
        <v>997</v>
      </c>
      <c r="C3942" t="s">
        <v>1012</v>
      </c>
      <c r="D3942" t="s">
        <v>1468</v>
      </c>
      <c r="E3942">
        <v>410</v>
      </c>
      <c r="F3942" t="s">
        <v>1014</v>
      </c>
      <c r="G3942" t="s">
        <v>1015</v>
      </c>
      <c r="H3942" s="315" t="s">
        <v>30</v>
      </c>
      <c r="I3942" s="315" t="s">
        <v>1016</v>
      </c>
      <c r="J3942" s="315" t="str">
        <f t="shared" si="326"/>
        <v>Used VehicleEx NV demonstrators gross profit p.u.</v>
      </c>
      <c r="K3942" s="315" t="str">
        <f t="shared" si="327"/>
        <v>410Ex-Toyota NV Demonstrator revenue</v>
      </c>
      <c r="L3942" s="311">
        <f>+SUMIF('TUNZ Extracted TB'!M:M,$P3942,'TUNZ Extracted TB'!G:G)</f>
        <v>0</v>
      </c>
      <c r="M3942" s="311"/>
      <c r="N3942" s="311">
        <f>+SUMIF('Input Sheet'!$AE:$AE,P3942,'Input Sheet'!$X:$X)</f>
        <v>0</v>
      </c>
      <c r="O3942" s="311"/>
      <c r="P3942" t="str">
        <f t="shared" si="328"/>
        <v>410-3009RD</v>
      </c>
      <c r="Q3942" s="315" t="str">
        <f t="shared" si="329"/>
        <v>Used Vehicle</v>
      </c>
      <c r="R3942" s="315" t="str">
        <f t="shared" si="330"/>
        <v>Used VehicleEx NV demonstrators gross profit p.u.</v>
      </c>
      <c r="S3942" s="199"/>
      <c r="T3942" s="199"/>
      <c r="U3942" s="199"/>
    </row>
    <row r="3943" spans="1:21" x14ac:dyDescent="0.25">
      <c r="A3943" t="s">
        <v>996</v>
      </c>
      <c r="B3943" t="s">
        <v>997</v>
      </c>
      <c r="C3943" t="s">
        <v>1013</v>
      </c>
      <c r="D3943" t="s">
        <v>1468</v>
      </c>
      <c r="E3943">
        <v>310</v>
      </c>
      <c r="F3943" t="s">
        <v>1014</v>
      </c>
      <c r="G3943" t="s">
        <v>1015</v>
      </c>
      <c r="H3943" s="315" t="s">
        <v>30</v>
      </c>
      <c r="I3943" s="315" t="s">
        <v>1016</v>
      </c>
      <c r="J3943" s="315" t="str">
        <f t="shared" si="326"/>
        <v>Used VehicleEx NV demonstrators gross profit p.u.</v>
      </c>
      <c r="K3943" s="315" t="str">
        <f t="shared" si="327"/>
        <v>310Ex-Toyota NV Demonstrator revenue</v>
      </c>
      <c r="L3943" s="311">
        <f>+SUMIF('TUNZ Extracted TB'!M:M,$P3943,'TUNZ Extracted TB'!G:G)</f>
        <v>0</v>
      </c>
      <c r="M3943" s="311"/>
      <c r="N3943" s="311">
        <f>+SUMIF('Input Sheet'!$AE:$AE,P3943,'Input Sheet'!$X:$X)</f>
        <v>0</v>
      </c>
      <c r="O3943" s="311"/>
      <c r="P3943" t="str">
        <f t="shared" si="328"/>
        <v>310-3009RD</v>
      </c>
      <c r="Q3943" s="315" t="str">
        <f t="shared" si="329"/>
        <v>Used Vehicle</v>
      </c>
      <c r="R3943" s="315" t="str">
        <f t="shared" si="330"/>
        <v>Used VehicleEx NV demonstrators gross profit p.u.</v>
      </c>
      <c r="S3943" s="199"/>
      <c r="T3943" s="199"/>
      <c r="U3943" s="199"/>
    </row>
    <row r="3944" spans="1:21" x14ac:dyDescent="0.25">
      <c r="A3944" t="s">
        <v>996</v>
      </c>
      <c r="B3944" t="s">
        <v>997</v>
      </c>
      <c r="C3944" t="s">
        <v>1012</v>
      </c>
      <c r="D3944" t="s">
        <v>501</v>
      </c>
      <c r="E3944">
        <v>400</v>
      </c>
      <c r="F3944" t="s">
        <v>1024</v>
      </c>
      <c r="G3944" t="s">
        <v>1027</v>
      </c>
      <c r="H3944" s="315" t="s">
        <v>29</v>
      </c>
      <c r="I3944" s="315" t="s">
        <v>1026</v>
      </c>
      <c r="J3944" s="315" t="str">
        <f t="shared" si="326"/>
        <v>New VehicleOther Income per NV unit</v>
      </c>
      <c r="K3944" s="315" t="str">
        <f t="shared" si="327"/>
        <v>400New Vehicle Other Income - Toyota</v>
      </c>
      <c r="L3944" s="311">
        <f>+SUMIF('TUNZ Extracted TB'!M:M,$P3944,'TUNZ Extracted TB'!G:G)</f>
        <v>0</v>
      </c>
      <c r="M3944" s="311"/>
      <c r="N3944" s="311">
        <f>+SUMIF('Input Sheet'!$AE:$AE,P3944,'Input Sheet'!$X:$X)</f>
        <v>0</v>
      </c>
      <c r="O3944" s="311"/>
      <c r="P3944" t="str">
        <f t="shared" si="328"/>
        <v>400-3010R</v>
      </c>
      <c r="Q3944" s="315" t="str">
        <f t="shared" si="329"/>
        <v>New Vehicle</v>
      </c>
      <c r="R3944" s="315" t="str">
        <f t="shared" si="330"/>
        <v>New VehicleOther Income per NV unit</v>
      </c>
      <c r="S3944" s="199"/>
      <c r="T3944" s="199"/>
      <c r="U3944" s="199"/>
    </row>
    <row r="3945" spans="1:21" x14ac:dyDescent="0.25">
      <c r="A3945" t="s">
        <v>996</v>
      </c>
      <c r="B3945" t="s">
        <v>997</v>
      </c>
      <c r="C3945" t="s">
        <v>1013</v>
      </c>
      <c r="D3945" t="s">
        <v>501</v>
      </c>
      <c r="E3945">
        <v>300</v>
      </c>
      <c r="F3945" t="s">
        <v>1024</v>
      </c>
      <c r="G3945" t="s">
        <v>1027</v>
      </c>
      <c r="H3945" s="315" t="s">
        <v>29</v>
      </c>
      <c r="I3945" s="315" t="s">
        <v>1026</v>
      </c>
      <c r="J3945" s="315" t="str">
        <f t="shared" si="326"/>
        <v>New VehicleOther Income per NV unit</v>
      </c>
      <c r="K3945" s="315" t="str">
        <f t="shared" si="327"/>
        <v>300New Vehicle Other Income - Toyota</v>
      </c>
      <c r="L3945" s="311">
        <f>+SUMIF('TUNZ Extracted TB'!M:M,$P3945,'TUNZ Extracted TB'!G:G)</f>
        <v>0</v>
      </c>
      <c r="M3945" s="311"/>
      <c r="N3945" s="311">
        <f>+SUMIF('Input Sheet'!$AE:$AE,P3945,'Input Sheet'!$X:$X)</f>
        <v>0</v>
      </c>
      <c r="O3945" s="311"/>
      <c r="P3945" t="str">
        <f t="shared" si="328"/>
        <v>300-3010R</v>
      </c>
      <c r="Q3945" s="315" t="str">
        <f t="shared" si="329"/>
        <v>New Vehicle</v>
      </c>
      <c r="R3945" s="315" t="str">
        <f t="shared" si="330"/>
        <v>New VehicleOther Income per NV unit</v>
      </c>
      <c r="S3945" s="199"/>
      <c r="T3945" s="199"/>
      <c r="U3945" s="199"/>
    </row>
    <row r="3946" spans="1:21" x14ac:dyDescent="0.25">
      <c r="A3946" t="s">
        <v>996</v>
      </c>
      <c r="B3946" t="s">
        <v>997</v>
      </c>
      <c r="C3946" t="s">
        <v>1005</v>
      </c>
      <c r="D3946" t="s">
        <v>501</v>
      </c>
      <c r="E3946">
        <v>200</v>
      </c>
      <c r="F3946" t="s">
        <v>1024</v>
      </c>
      <c r="G3946" t="s">
        <v>1027</v>
      </c>
      <c r="H3946" s="315" t="s">
        <v>29</v>
      </c>
      <c r="I3946" s="315" t="s">
        <v>1026</v>
      </c>
      <c r="J3946" s="315" t="str">
        <f t="shared" si="326"/>
        <v>New VehicleOther Income per NV unit</v>
      </c>
      <c r="K3946" s="315" t="str">
        <f t="shared" si="327"/>
        <v>200New Vehicle Other Income - Toyota</v>
      </c>
      <c r="L3946" s="311">
        <f>+SUMIF('TUNZ Extracted TB'!M:M,$P3946,'TUNZ Extracted TB'!G:G)</f>
        <v>0</v>
      </c>
      <c r="M3946" s="311"/>
      <c r="N3946" s="311">
        <f>+SUMIF('Input Sheet'!$AE:$AE,P3946,'Input Sheet'!$X:$X)</f>
        <v>0</v>
      </c>
      <c r="O3946" s="311"/>
      <c r="P3946" t="str">
        <f t="shared" si="328"/>
        <v>200-3010R</v>
      </c>
      <c r="Q3946" s="315" t="str">
        <f t="shared" si="329"/>
        <v>New Vehicle</v>
      </c>
      <c r="R3946" s="315" t="str">
        <f t="shared" si="330"/>
        <v>New VehicleOther Income per NV unit</v>
      </c>
      <c r="S3946" s="199"/>
      <c r="T3946" s="199"/>
      <c r="U3946" s="199"/>
    </row>
    <row r="3947" spans="1:21" x14ac:dyDescent="0.25">
      <c r="A3947" t="s">
        <v>996</v>
      </c>
      <c r="B3947" t="s">
        <v>997</v>
      </c>
      <c r="C3947" t="s">
        <v>997</v>
      </c>
      <c r="D3947" t="s">
        <v>501</v>
      </c>
      <c r="E3947">
        <v>110</v>
      </c>
      <c r="F3947" t="s">
        <v>1014</v>
      </c>
      <c r="G3947" t="s">
        <v>1015</v>
      </c>
      <c r="H3947" s="315" t="s">
        <v>30</v>
      </c>
      <c r="I3947" s="315" t="s">
        <v>1016</v>
      </c>
      <c r="J3947" s="315" t="str">
        <f t="shared" si="326"/>
        <v>Used VehicleEx NV demonstrators gross profit p.u.</v>
      </c>
      <c r="K3947" s="315" t="str">
        <f t="shared" si="327"/>
        <v>110Ex-Toyota NV Demonstrator revenue</v>
      </c>
      <c r="L3947" s="311">
        <f>+SUMIF('TUNZ Extracted TB'!M:M,$P3947,'TUNZ Extracted TB'!G:G)</f>
        <v>0</v>
      </c>
      <c r="M3947" s="311"/>
      <c r="N3947" s="311">
        <f>+SUMIF('Input Sheet'!$AE:$AE,P3947,'Input Sheet'!$X:$X)</f>
        <v>0</v>
      </c>
      <c r="O3947" s="311"/>
      <c r="P3947" t="str">
        <f t="shared" si="328"/>
        <v>110-3010R</v>
      </c>
      <c r="Q3947" s="315" t="str">
        <f t="shared" si="329"/>
        <v>Used Vehicle</v>
      </c>
      <c r="R3947" s="315" t="str">
        <f t="shared" si="330"/>
        <v>Used VehicleEx NV demonstrators gross profit p.u.</v>
      </c>
      <c r="S3947" s="199"/>
      <c r="T3947" s="199"/>
      <c r="U3947" s="199"/>
    </row>
    <row r="3948" spans="1:21" x14ac:dyDescent="0.25">
      <c r="A3948" t="s">
        <v>996</v>
      </c>
      <c r="B3948" t="s">
        <v>997</v>
      </c>
      <c r="C3948" t="s">
        <v>997</v>
      </c>
      <c r="D3948" t="s">
        <v>503</v>
      </c>
      <c r="E3948">
        <v>100</v>
      </c>
      <c r="F3948" t="s">
        <v>1024</v>
      </c>
      <c r="G3948" t="s">
        <v>1027</v>
      </c>
      <c r="H3948" s="315" t="s">
        <v>29</v>
      </c>
      <c r="I3948" s="315" t="s">
        <v>1026</v>
      </c>
      <c r="J3948" s="315" t="str">
        <f t="shared" si="326"/>
        <v>New VehicleOther Income per NV unit</v>
      </c>
      <c r="K3948" s="315" t="str">
        <f t="shared" si="327"/>
        <v>100New Vehicle Other Income - Toyota</v>
      </c>
      <c r="L3948" s="311">
        <f>+SUMIF('TUNZ Extracted TB'!M:M,$P3948,'TUNZ Extracted TB'!G:G)</f>
        <v>0</v>
      </c>
      <c r="M3948" s="311"/>
      <c r="N3948" s="311">
        <f>+SUMIF('Input Sheet'!$AE:$AE,P3948,'Input Sheet'!$X:$X)</f>
        <v>0</v>
      </c>
      <c r="O3948" s="311"/>
      <c r="P3948" t="str">
        <f t="shared" si="328"/>
        <v>100-3010RD</v>
      </c>
      <c r="Q3948" s="315" t="str">
        <f t="shared" si="329"/>
        <v>New Vehicle</v>
      </c>
      <c r="R3948" s="315" t="str">
        <f t="shared" si="330"/>
        <v>New VehicleOther Income per NV unit</v>
      </c>
      <c r="S3948" s="199"/>
      <c r="T3948" s="199"/>
      <c r="U3948" s="199"/>
    </row>
    <row r="3949" spans="1:21" x14ac:dyDescent="0.25">
      <c r="A3949" t="s">
        <v>996</v>
      </c>
      <c r="B3949" t="s">
        <v>997</v>
      </c>
      <c r="C3949" t="s">
        <v>1005</v>
      </c>
      <c r="D3949" t="s">
        <v>501</v>
      </c>
      <c r="E3949">
        <v>210</v>
      </c>
      <c r="F3949" t="s">
        <v>1014</v>
      </c>
      <c r="G3949" t="s">
        <v>1015</v>
      </c>
      <c r="H3949" s="315" t="s">
        <v>30</v>
      </c>
      <c r="I3949" s="315" t="s">
        <v>1016</v>
      </c>
      <c r="J3949" s="315" t="str">
        <f t="shared" si="326"/>
        <v>Used VehicleEx NV demonstrators gross profit p.u.</v>
      </c>
      <c r="K3949" s="315" t="str">
        <f t="shared" si="327"/>
        <v>210Ex-Toyota NV Demonstrator revenue</v>
      </c>
      <c r="L3949" s="311">
        <f>+SUMIF('TUNZ Extracted TB'!M:M,$P3949,'TUNZ Extracted TB'!G:G)</f>
        <v>0</v>
      </c>
      <c r="M3949" s="311"/>
      <c r="N3949" s="311">
        <f>+SUMIF('Input Sheet'!$AE:$AE,P3949,'Input Sheet'!$X:$X)</f>
        <v>0</v>
      </c>
      <c r="O3949" s="311"/>
      <c r="P3949" t="str">
        <f t="shared" si="328"/>
        <v>210-3010R</v>
      </c>
      <c r="Q3949" s="315" t="str">
        <f t="shared" si="329"/>
        <v>Used Vehicle</v>
      </c>
      <c r="R3949" s="315" t="str">
        <f t="shared" si="330"/>
        <v>Used VehicleEx NV demonstrators gross profit p.u.</v>
      </c>
      <c r="S3949" s="199"/>
      <c r="T3949" s="199"/>
      <c r="U3949" s="199"/>
    </row>
    <row r="3950" spans="1:21" x14ac:dyDescent="0.25">
      <c r="A3950" t="s">
        <v>996</v>
      </c>
      <c r="B3950" t="s">
        <v>997</v>
      </c>
      <c r="C3950" t="s">
        <v>1012</v>
      </c>
      <c r="D3950" t="s">
        <v>501</v>
      </c>
      <c r="E3950">
        <v>410</v>
      </c>
      <c r="F3950" t="s">
        <v>1014</v>
      </c>
      <c r="G3950" t="s">
        <v>1015</v>
      </c>
      <c r="H3950" s="315" t="s">
        <v>30</v>
      </c>
      <c r="I3950" s="315" t="s">
        <v>1016</v>
      </c>
      <c r="J3950" s="315" t="str">
        <f t="shared" si="326"/>
        <v>Used VehicleEx NV demonstrators gross profit p.u.</v>
      </c>
      <c r="K3950" s="315" t="str">
        <f t="shared" si="327"/>
        <v>410Ex-Toyota NV Demonstrator revenue</v>
      </c>
      <c r="L3950" s="311">
        <f>+SUMIF('TUNZ Extracted TB'!M:M,$P3950,'TUNZ Extracted TB'!G:G)</f>
        <v>0</v>
      </c>
      <c r="M3950" s="311"/>
      <c r="N3950" s="311">
        <f>+SUMIF('Input Sheet'!$AE:$AE,P3950,'Input Sheet'!$X:$X)</f>
        <v>0</v>
      </c>
      <c r="O3950" s="311"/>
      <c r="P3950" t="str">
        <f t="shared" si="328"/>
        <v>410-3010R</v>
      </c>
      <c r="Q3950" s="315" t="str">
        <f t="shared" si="329"/>
        <v>Used Vehicle</v>
      </c>
      <c r="R3950" s="315" t="str">
        <f t="shared" si="330"/>
        <v>Used VehicleEx NV demonstrators gross profit p.u.</v>
      </c>
      <c r="S3950" s="199"/>
      <c r="T3950" s="199"/>
      <c r="U3950" s="199"/>
    </row>
    <row r="3951" spans="1:21" x14ac:dyDescent="0.25">
      <c r="A3951" t="s">
        <v>996</v>
      </c>
      <c r="B3951" t="s">
        <v>997</v>
      </c>
      <c r="C3951" t="s">
        <v>1013</v>
      </c>
      <c r="D3951" t="s">
        <v>501</v>
      </c>
      <c r="E3951">
        <v>310</v>
      </c>
      <c r="F3951" t="s">
        <v>1014</v>
      </c>
      <c r="G3951" t="s">
        <v>1015</v>
      </c>
      <c r="H3951" s="315" t="s">
        <v>30</v>
      </c>
      <c r="I3951" s="315" t="s">
        <v>1016</v>
      </c>
      <c r="J3951" s="315" t="str">
        <f t="shared" si="326"/>
        <v>Used VehicleEx NV demonstrators gross profit p.u.</v>
      </c>
      <c r="K3951" s="315" t="str">
        <f t="shared" si="327"/>
        <v>310Ex-Toyota NV Demonstrator revenue</v>
      </c>
      <c r="L3951" s="311">
        <f>+SUMIF('TUNZ Extracted TB'!M:M,$P3951,'TUNZ Extracted TB'!G:G)</f>
        <v>0</v>
      </c>
      <c r="M3951" s="311"/>
      <c r="N3951" s="311">
        <f>+SUMIF('Input Sheet'!$AE:$AE,P3951,'Input Sheet'!$X:$X)</f>
        <v>0</v>
      </c>
      <c r="O3951" s="311"/>
      <c r="P3951" t="str">
        <f t="shared" si="328"/>
        <v>310-3010R</v>
      </c>
      <c r="Q3951" s="315" t="str">
        <f t="shared" si="329"/>
        <v>Used Vehicle</v>
      </c>
      <c r="R3951" s="315" t="str">
        <f t="shared" si="330"/>
        <v>Used VehicleEx NV demonstrators gross profit p.u.</v>
      </c>
      <c r="S3951" s="199"/>
      <c r="T3951" s="199"/>
      <c r="U3951" s="199"/>
    </row>
    <row r="3952" spans="1:21" x14ac:dyDescent="0.25">
      <c r="A3952" t="s">
        <v>996</v>
      </c>
      <c r="B3952" t="s">
        <v>997</v>
      </c>
      <c r="C3952" t="s">
        <v>1005</v>
      </c>
      <c r="D3952" t="s">
        <v>503</v>
      </c>
      <c r="E3952">
        <v>200</v>
      </c>
      <c r="F3952" t="s">
        <v>1024</v>
      </c>
      <c r="G3952" t="s">
        <v>1027</v>
      </c>
      <c r="H3952" s="315" t="s">
        <v>29</v>
      </c>
      <c r="I3952" s="315" t="s">
        <v>1026</v>
      </c>
      <c r="J3952" s="315" t="str">
        <f t="shared" si="326"/>
        <v>New VehicleOther Income per NV unit</v>
      </c>
      <c r="K3952" s="315" t="str">
        <f t="shared" si="327"/>
        <v>200New Vehicle Other Income - Toyota</v>
      </c>
      <c r="L3952" s="311">
        <f>+SUMIF('TUNZ Extracted TB'!M:M,$P3952,'TUNZ Extracted TB'!G:G)</f>
        <v>0</v>
      </c>
      <c r="M3952" s="311"/>
      <c r="N3952" s="311">
        <f>+SUMIF('Input Sheet'!$AE:$AE,P3952,'Input Sheet'!$X:$X)</f>
        <v>0</v>
      </c>
      <c r="O3952" s="311"/>
      <c r="P3952" t="str">
        <f t="shared" si="328"/>
        <v>200-3010RD</v>
      </c>
      <c r="Q3952" s="315" t="str">
        <f t="shared" si="329"/>
        <v>New Vehicle</v>
      </c>
      <c r="R3952" s="315" t="str">
        <f t="shared" si="330"/>
        <v>New VehicleOther Income per NV unit</v>
      </c>
      <c r="S3952" s="199"/>
      <c r="T3952" s="199"/>
      <c r="U3952" s="199"/>
    </row>
    <row r="3953" spans="1:21" x14ac:dyDescent="0.25">
      <c r="A3953" t="s">
        <v>996</v>
      </c>
      <c r="B3953" t="s">
        <v>997</v>
      </c>
      <c r="C3953" t="s">
        <v>1012</v>
      </c>
      <c r="D3953" t="s">
        <v>503</v>
      </c>
      <c r="E3953">
        <v>400</v>
      </c>
      <c r="F3953" t="s">
        <v>1024</v>
      </c>
      <c r="G3953" t="s">
        <v>1027</v>
      </c>
      <c r="H3953" s="315" t="s">
        <v>29</v>
      </c>
      <c r="I3953" s="315" t="s">
        <v>1026</v>
      </c>
      <c r="J3953" s="315" t="str">
        <f t="shared" si="326"/>
        <v>New VehicleOther Income per NV unit</v>
      </c>
      <c r="K3953" s="315" t="str">
        <f t="shared" si="327"/>
        <v>400New Vehicle Other Income - Toyota</v>
      </c>
      <c r="L3953" s="311">
        <f>+SUMIF('TUNZ Extracted TB'!M:M,$P3953,'TUNZ Extracted TB'!G:G)</f>
        <v>0</v>
      </c>
      <c r="M3953" s="311"/>
      <c r="N3953" s="311">
        <f>+SUMIF('Input Sheet'!$AE:$AE,P3953,'Input Sheet'!$X:$X)</f>
        <v>0</v>
      </c>
      <c r="O3953" s="311"/>
      <c r="P3953" t="str">
        <f t="shared" si="328"/>
        <v>400-3010RD</v>
      </c>
      <c r="Q3953" s="315" t="str">
        <f t="shared" si="329"/>
        <v>New Vehicle</v>
      </c>
      <c r="R3953" s="315" t="str">
        <f t="shared" si="330"/>
        <v>New VehicleOther Income per NV unit</v>
      </c>
      <c r="S3953" s="199"/>
      <c r="T3953" s="199"/>
      <c r="U3953" s="199"/>
    </row>
    <row r="3954" spans="1:21" x14ac:dyDescent="0.25">
      <c r="A3954" t="s">
        <v>996</v>
      </c>
      <c r="B3954" t="s">
        <v>997</v>
      </c>
      <c r="C3954" t="s">
        <v>1013</v>
      </c>
      <c r="D3954" t="s">
        <v>503</v>
      </c>
      <c r="E3954">
        <v>300</v>
      </c>
      <c r="F3954" t="s">
        <v>1024</v>
      </c>
      <c r="G3954" t="s">
        <v>1027</v>
      </c>
      <c r="H3954" s="315" t="s">
        <v>29</v>
      </c>
      <c r="I3954" s="315" t="s">
        <v>1026</v>
      </c>
      <c r="J3954" s="315" t="str">
        <f t="shared" si="326"/>
        <v>New VehicleOther Income per NV unit</v>
      </c>
      <c r="K3954" s="315" t="str">
        <f t="shared" si="327"/>
        <v>300New Vehicle Other Income - Toyota</v>
      </c>
      <c r="L3954" s="311">
        <f>+SUMIF('TUNZ Extracted TB'!M:M,$P3954,'TUNZ Extracted TB'!G:G)</f>
        <v>0</v>
      </c>
      <c r="M3954" s="311"/>
      <c r="N3954" s="311">
        <f>+SUMIF('Input Sheet'!$AE:$AE,P3954,'Input Sheet'!$X:$X)</f>
        <v>0</v>
      </c>
      <c r="O3954" s="311"/>
      <c r="P3954" t="str">
        <f t="shared" si="328"/>
        <v>300-3010RD</v>
      </c>
      <c r="Q3954" s="315" t="str">
        <f t="shared" si="329"/>
        <v>New Vehicle</v>
      </c>
      <c r="R3954" s="315" t="str">
        <f t="shared" si="330"/>
        <v>New VehicleOther Income per NV unit</v>
      </c>
      <c r="S3954" s="199"/>
      <c r="T3954" s="199"/>
      <c r="U3954" s="199"/>
    </row>
    <row r="3955" spans="1:21" x14ac:dyDescent="0.25">
      <c r="A3955" t="s">
        <v>996</v>
      </c>
      <c r="B3955" t="s">
        <v>997</v>
      </c>
      <c r="C3955" t="s">
        <v>997</v>
      </c>
      <c r="D3955" t="s">
        <v>503</v>
      </c>
      <c r="E3955">
        <v>110</v>
      </c>
      <c r="F3955" t="s">
        <v>1014</v>
      </c>
      <c r="G3955" t="s">
        <v>1015</v>
      </c>
      <c r="H3955" s="315" t="s">
        <v>30</v>
      </c>
      <c r="I3955" s="315" t="s">
        <v>1016</v>
      </c>
      <c r="J3955" s="315" t="str">
        <f t="shared" si="326"/>
        <v>Used VehicleEx NV demonstrators gross profit p.u.</v>
      </c>
      <c r="K3955" s="315" t="str">
        <f t="shared" si="327"/>
        <v>110Ex-Toyota NV Demonstrator revenue</v>
      </c>
      <c r="L3955" s="311">
        <f>+SUMIF('TUNZ Extracted TB'!M:M,$P3955,'TUNZ Extracted TB'!G:G)</f>
        <v>0</v>
      </c>
      <c r="M3955" s="311"/>
      <c r="N3955" s="311">
        <f>+SUMIF('Input Sheet'!$AE:$AE,P3955,'Input Sheet'!$X:$X)</f>
        <v>0</v>
      </c>
      <c r="O3955" s="311"/>
      <c r="P3955" t="str">
        <f t="shared" si="328"/>
        <v>110-3010RD</v>
      </c>
      <c r="Q3955" s="315" t="str">
        <f t="shared" si="329"/>
        <v>Used Vehicle</v>
      </c>
      <c r="R3955" s="315" t="str">
        <f t="shared" si="330"/>
        <v>Used VehicleEx NV demonstrators gross profit p.u.</v>
      </c>
      <c r="S3955" s="199"/>
      <c r="T3955" s="199"/>
      <c r="U3955" s="199"/>
    </row>
    <row r="3956" spans="1:21" x14ac:dyDescent="0.25">
      <c r="A3956" t="s">
        <v>996</v>
      </c>
      <c r="B3956" t="s">
        <v>997</v>
      </c>
      <c r="C3956" t="s">
        <v>997</v>
      </c>
      <c r="D3956" t="s">
        <v>505</v>
      </c>
      <c r="E3956">
        <v>100</v>
      </c>
      <c r="F3956" t="s">
        <v>1024</v>
      </c>
      <c r="G3956" t="s">
        <v>1027</v>
      </c>
      <c r="H3956" s="315" t="s">
        <v>29</v>
      </c>
      <c r="I3956" s="315" t="s">
        <v>1026</v>
      </c>
      <c r="J3956" s="315" t="str">
        <f t="shared" si="326"/>
        <v>New VehicleOther Income per NV unit</v>
      </c>
      <c r="K3956" s="315" t="str">
        <f t="shared" si="327"/>
        <v>100New Vehicle Other Income - Toyota</v>
      </c>
      <c r="L3956" s="311">
        <f>+SUMIF('TUNZ Extracted TB'!M:M,$P3956,'TUNZ Extracted TB'!G:G)</f>
        <v>0</v>
      </c>
      <c r="M3956" s="311"/>
      <c r="N3956" s="311">
        <f>+SUMIF('Input Sheet'!$AE:$AE,P3956,'Input Sheet'!$X:$X)</f>
        <v>0</v>
      </c>
      <c r="O3956" s="311"/>
      <c r="P3956" t="str">
        <f t="shared" si="328"/>
        <v>100-3011R</v>
      </c>
      <c r="Q3956" s="315" t="str">
        <f t="shared" si="329"/>
        <v>New Vehicle</v>
      </c>
      <c r="R3956" s="315" t="str">
        <f t="shared" si="330"/>
        <v>New VehicleOther Income per NV unit</v>
      </c>
      <c r="S3956" s="199"/>
      <c r="T3956" s="199"/>
      <c r="U3956" s="199"/>
    </row>
    <row r="3957" spans="1:21" x14ac:dyDescent="0.25">
      <c r="A3957" t="s">
        <v>996</v>
      </c>
      <c r="B3957" t="s">
        <v>997</v>
      </c>
      <c r="C3957" t="s">
        <v>1005</v>
      </c>
      <c r="D3957" t="s">
        <v>503</v>
      </c>
      <c r="E3957">
        <v>210</v>
      </c>
      <c r="F3957" t="s">
        <v>1014</v>
      </c>
      <c r="G3957" t="s">
        <v>1015</v>
      </c>
      <c r="H3957" s="315" t="s">
        <v>30</v>
      </c>
      <c r="I3957" s="315" t="s">
        <v>1016</v>
      </c>
      <c r="J3957" s="315" t="str">
        <f t="shared" si="326"/>
        <v>Used VehicleEx NV demonstrators gross profit p.u.</v>
      </c>
      <c r="K3957" s="315" t="str">
        <f t="shared" si="327"/>
        <v>210Ex-Toyota NV Demonstrator revenue</v>
      </c>
      <c r="L3957" s="311">
        <f>+SUMIF('TUNZ Extracted TB'!M:M,$P3957,'TUNZ Extracted TB'!G:G)</f>
        <v>0</v>
      </c>
      <c r="M3957" s="311"/>
      <c r="N3957" s="311">
        <f>+SUMIF('Input Sheet'!$AE:$AE,P3957,'Input Sheet'!$X:$X)</f>
        <v>0</v>
      </c>
      <c r="O3957" s="311"/>
      <c r="P3957" t="str">
        <f t="shared" si="328"/>
        <v>210-3010RD</v>
      </c>
      <c r="Q3957" s="315" t="str">
        <f t="shared" si="329"/>
        <v>Used Vehicle</v>
      </c>
      <c r="R3957" s="315" t="str">
        <f t="shared" si="330"/>
        <v>Used VehicleEx NV demonstrators gross profit p.u.</v>
      </c>
      <c r="S3957" s="199"/>
      <c r="T3957" s="199"/>
      <c r="U3957" s="199"/>
    </row>
    <row r="3958" spans="1:21" x14ac:dyDescent="0.25">
      <c r="A3958" t="s">
        <v>996</v>
      </c>
      <c r="B3958" t="s">
        <v>997</v>
      </c>
      <c r="C3958" t="s">
        <v>1012</v>
      </c>
      <c r="D3958" t="s">
        <v>503</v>
      </c>
      <c r="E3958">
        <v>410</v>
      </c>
      <c r="F3958" t="s">
        <v>1014</v>
      </c>
      <c r="G3958" t="s">
        <v>1015</v>
      </c>
      <c r="H3958" s="315" t="s">
        <v>30</v>
      </c>
      <c r="I3958" s="315" t="s">
        <v>1016</v>
      </c>
      <c r="J3958" s="315" t="str">
        <f t="shared" si="326"/>
        <v>Used VehicleEx NV demonstrators gross profit p.u.</v>
      </c>
      <c r="K3958" s="315" t="str">
        <f t="shared" si="327"/>
        <v>410Ex-Toyota NV Demonstrator revenue</v>
      </c>
      <c r="L3958" s="311">
        <f>+SUMIF('TUNZ Extracted TB'!M:M,$P3958,'TUNZ Extracted TB'!G:G)</f>
        <v>0</v>
      </c>
      <c r="M3958" s="311"/>
      <c r="N3958" s="311">
        <f>+SUMIF('Input Sheet'!$AE:$AE,P3958,'Input Sheet'!$X:$X)</f>
        <v>0</v>
      </c>
      <c r="O3958" s="311"/>
      <c r="P3958" t="str">
        <f t="shared" si="328"/>
        <v>410-3010RD</v>
      </c>
      <c r="Q3958" s="315" t="str">
        <f t="shared" si="329"/>
        <v>Used Vehicle</v>
      </c>
      <c r="R3958" s="315" t="str">
        <f t="shared" si="330"/>
        <v>Used VehicleEx NV demonstrators gross profit p.u.</v>
      </c>
      <c r="S3958" s="199"/>
      <c r="T3958" s="199"/>
      <c r="U3958" s="199"/>
    </row>
    <row r="3959" spans="1:21" x14ac:dyDescent="0.25">
      <c r="A3959" t="s">
        <v>996</v>
      </c>
      <c r="B3959" t="s">
        <v>997</v>
      </c>
      <c r="C3959" t="s">
        <v>1013</v>
      </c>
      <c r="D3959" t="s">
        <v>503</v>
      </c>
      <c r="E3959">
        <v>310</v>
      </c>
      <c r="F3959" t="s">
        <v>1014</v>
      </c>
      <c r="G3959" t="s">
        <v>1015</v>
      </c>
      <c r="H3959" s="315" t="s">
        <v>30</v>
      </c>
      <c r="I3959" s="315" t="s">
        <v>1016</v>
      </c>
      <c r="J3959" s="315" t="str">
        <f t="shared" si="326"/>
        <v>Used VehicleEx NV demonstrators gross profit p.u.</v>
      </c>
      <c r="K3959" s="315" t="str">
        <f t="shared" si="327"/>
        <v>310Ex-Toyota NV Demonstrator revenue</v>
      </c>
      <c r="L3959" s="311">
        <f>+SUMIF('TUNZ Extracted TB'!M:M,$P3959,'TUNZ Extracted TB'!G:G)</f>
        <v>0</v>
      </c>
      <c r="M3959" s="311"/>
      <c r="N3959" s="311">
        <f>+SUMIF('Input Sheet'!$AE:$AE,P3959,'Input Sheet'!$X:$X)</f>
        <v>0</v>
      </c>
      <c r="O3959" s="311"/>
      <c r="P3959" t="str">
        <f t="shared" si="328"/>
        <v>310-3010RD</v>
      </c>
      <c r="Q3959" s="315" t="str">
        <f t="shared" si="329"/>
        <v>Used Vehicle</v>
      </c>
      <c r="R3959" s="315" t="str">
        <f t="shared" si="330"/>
        <v>Used VehicleEx NV demonstrators gross profit p.u.</v>
      </c>
      <c r="S3959" s="199"/>
      <c r="T3959" s="199"/>
      <c r="U3959" s="199"/>
    </row>
    <row r="3960" spans="1:21" x14ac:dyDescent="0.25">
      <c r="A3960" t="s">
        <v>996</v>
      </c>
      <c r="B3960" t="s">
        <v>997</v>
      </c>
      <c r="C3960" t="s">
        <v>1005</v>
      </c>
      <c r="D3960" t="s">
        <v>505</v>
      </c>
      <c r="E3960">
        <v>200</v>
      </c>
      <c r="F3960" t="s">
        <v>1024</v>
      </c>
      <c r="G3960" t="s">
        <v>1027</v>
      </c>
      <c r="H3960" s="315" t="s">
        <v>29</v>
      </c>
      <c r="I3960" s="315" t="s">
        <v>1026</v>
      </c>
      <c r="J3960" s="315" t="str">
        <f t="shared" si="326"/>
        <v>New VehicleOther Income per NV unit</v>
      </c>
      <c r="K3960" s="315" t="str">
        <f t="shared" si="327"/>
        <v>200New Vehicle Other Income - Toyota</v>
      </c>
      <c r="L3960" s="311">
        <f>+SUMIF('TUNZ Extracted TB'!M:M,$P3960,'TUNZ Extracted TB'!G:G)</f>
        <v>0</v>
      </c>
      <c r="M3960" s="311"/>
      <c r="N3960" s="311">
        <f>+SUMIF('Input Sheet'!$AE:$AE,P3960,'Input Sheet'!$X:$X)</f>
        <v>0</v>
      </c>
      <c r="O3960" s="311"/>
      <c r="P3960" t="str">
        <f t="shared" si="328"/>
        <v>200-3011R</v>
      </c>
      <c r="Q3960" s="315" t="str">
        <f t="shared" si="329"/>
        <v>New Vehicle</v>
      </c>
      <c r="R3960" s="315" t="str">
        <f t="shared" si="330"/>
        <v>New VehicleOther Income per NV unit</v>
      </c>
      <c r="S3960" s="199"/>
      <c r="T3960" s="199"/>
      <c r="U3960" s="199"/>
    </row>
    <row r="3961" spans="1:21" x14ac:dyDescent="0.25">
      <c r="A3961" t="s">
        <v>996</v>
      </c>
      <c r="B3961" t="s">
        <v>997</v>
      </c>
      <c r="C3961" t="s">
        <v>1012</v>
      </c>
      <c r="D3961" t="s">
        <v>505</v>
      </c>
      <c r="E3961">
        <v>400</v>
      </c>
      <c r="F3961" t="s">
        <v>1024</v>
      </c>
      <c r="G3961" t="s">
        <v>1027</v>
      </c>
      <c r="H3961" s="315" t="s">
        <v>29</v>
      </c>
      <c r="I3961" s="315" t="s">
        <v>1026</v>
      </c>
      <c r="J3961" s="315" t="str">
        <f t="shared" si="326"/>
        <v>New VehicleOther Income per NV unit</v>
      </c>
      <c r="K3961" s="315" t="str">
        <f t="shared" si="327"/>
        <v>400New Vehicle Other Income - Toyota</v>
      </c>
      <c r="L3961" s="311">
        <f>+SUMIF('TUNZ Extracted TB'!M:M,$P3961,'TUNZ Extracted TB'!G:G)</f>
        <v>0</v>
      </c>
      <c r="M3961" s="311"/>
      <c r="N3961" s="311">
        <f>+SUMIF('Input Sheet'!$AE:$AE,P3961,'Input Sheet'!$X:$X)</f>
        <v>0</v>
      </c>
      <c r="O3961" s="311"/>
      <c r="P3961" t="str">
        <f t="shared" si="328"/>
        <v>400-3011R</v>
      </c>
      <c r="Q3961" s="315" t="str">
        <f t="shared" si="329"/>
        <v>New Vehicle</v>
      </c>
      <c r="R3961" s="315" t="str">
        <f t="shared" si="330"/>
        <v>New VehicleOther Income per NV unit</v>
      </c>
      <c r="S3961" s="199"/>
      <c r="T3961" s="199"/>
      <c r="U3961" s="199"/>
    </row>
    <row r="3962" spans="1:21" x14ac:dyDescent="0.25">
      <c r="A3962" t="s">
        <v>996</v>
      </c>
      <c r="B3962" t="s">
        <v>997</v>
      </c>
      <c r="C3962" t="s">
        <v>1013</v>
      </c>
      <c r="D3962" t="s">
        <v>505</v>
      </c>
      <c r="E3962">
        <v>300</v>
      </c>
      <c r="F3962" t="s">
        <v>1024</v>
      </c>
      <c r="G3962" t="s">
        <v>1027</v>
      </c>
      <c r="H3962" s="315" t="s">
        <v>29</v>
      </c>
      <c r="I3962" s="315" t="s">
        <v>1026</v>
      </c>
      <c r="J3962" s="315" t="str">
        <f t="shared" si="326"/>
        <v>New VehicleOther Income per NV unit</v>
      </c>
      <c r="K3962" s="315" t="str">
        <f t="shared" si="327"/>
        <v>300New Vehicle Other Income - Toyota</v>
      </c>
      <c r="L3962" s="311">
        <f>+SUMIF('TUNZ Extracted TB'!M:M,$P3962,'TUNZ Extracted TB'!G:G)</f>
        <v>0</v>
      </c>
      <c r="M3962" s="311"/>
      <c r="N3962" s="311">
        <f>+SUMIF('Input Sheet'!$AE:$AE,P3962,'Input Sheet'!$X:$X)</f>
        <v>0</v>
      </c>
      <c r="O3962" s="311"/>
      <c r="P3962" t="str">
        <f t="shared" si="328"/>
        <v>300-3011R</v>
      </c>
      <c r="Q3962" s="315" t="str">
        <f t="shared" si="329"/>
        <v>New Vehicle</v>
      </c>
      <c r="R3962" s="315" t="str">
        <f t="shared" si="330"/>
        <v>New VehicleOther Income per NV unit</v>
      </c>
      <c r="S3962" s="199"/>
      <c r="T3962" s="199"/>
      <c r="U3962" s="199"/>
    </row>
    <row r="3963" spans="1:21" x14ac:dyDescent="0.25">
      <c r="A3963" t="s">
        <v>996</v>
      </c>
      <c r="B3963" t="s">
        <v>997</v>
      </c>
      <c r="C3963" t="s">
        <v>997</v>
      </c>
      <c r="D3963" t="s">
        <v>505</v>
      </c>
      <c r="E3963">
        <v>110</v>
      </c>
      <c r="F3963" t="s">
        <v>1014</v>
      </c>
      <c r="G3963" t="s">
        <v>1015</v>
      </c>
      <c r="H3963" s="315" t="s">
        <v>30</v>
      </c>
      <c r="I3963" s="315" t="s">
        <v>1016</v>
      </c>
      <c r="J3963" s="315" t="str">
        <f t="shared" si="326"/>
        <v>Used VehicleEx NV demonstrators gross profit p.u.</v>
      </c>
      <c r="K3963" s="315" t="str">
        <f t="shared" si="327"/>
        <v>110Ex-Toyota NV Demonstrator revenue</v>
      </c>
      <c r="L3963" s="311">
        <f>+SUMIF('TUNZ Extracted TB'!M:M,$P3963,'TUNZ Extracted TB'!G:G)</f>
        <v>0</v>
      </c>
      <c r="M3963" s="311"/>
      <c r="N3963" s="311">
        <f>+SUMIF('Input Sheet'!$AE:$AE,P3963,'Input Sheet'!$X:$X)</f>
        <v>0</v>
      </c>
      <c r="O3963" s="311"/>
      <c r="P3963" t="str">
        <f t="shared" si="328"/>
        <v>110-3011R</v>
      </c>
      <c r="Q3963" s="315" t="str">
        <f t="shared" si="329"/>
        <v>Used Vehicle</v>
      </c>
      <c r="R3963" s="315" t="str">
        <f t="shared" si="330"/>
        <v>Used VehicleEx NV demonstrators gross profit p.u.</v>
      </c>
      <c r="S3963" s="199"/>
      <c r="T3963" s="199"/>
      <c r="U3963" s="199"/>
    </row>
    <row r="3964" spans="1:21" x14ac:dyDescent="0.25">
      <c r="A3964" t="s">
        <v>996</v>
      </c>
      <c r="B3964" t="s">
        <v>997</v>
      </c>
      <c r="C3964" t="s">
        <v>997</v>
      </c>
      <c r="D3964" t="s">
        <v>507</v>
      </c>
      <c r="E3964">
        <v>100</v>
      </c>
      <c r="F3964" t="s">
        <v>1024</v>
      </c>
      <c r="G3964" t="s">
        <v>1027</v>
      </c>
      <c r="H3964" s="315" t="s">
        <v>29</v>
      </c>
      <c r="I3964" s="315" t="s">
        <v>1026</v>
      </c>
      <c r="J3964" s="315" t="str">
        <f t="shared" si="326"/>
        <v>New VehicleOther Income per NV unit</v>
      </c>
      <c r="K3964" s="315" t="str">
        <f t="shared" si="327"/>
        <v>100New Vehicle Other Income - Toyota</v>
      </c>
      <c r="L3964" s="311">
        <f>+SUMIF('TUNZ Extracted TB'!M:M,$P3964,'TUNZ Extracted TB'!G:G)</f>
        <v>0</v>
      </c>
      <c r="M3964" s="311"/>
      <c r="N3964" s="311">
        <f>+SUMIF('Input Sheet'!$AE:$AE,P3964,'Input Sheet'!$X:$X)</f>
        <v>0</v>
      </c>
      <c r="O3964" s="311"/>
      <c r="P3964" t="str">
        <f t="shared" si="328"/>
        <v>100-3011RD</v>
      </c>
      <c r="Q3964" s="315" t="str">
        <f t="shared" si="329"/>
        <v>New Vehicle</v>
      </c>
      <c r="R3964" s="315" t="str">
        <f t="shared" si="330"/>
        <v>New VehicleOther Income per NV unit</v>
      </c>
      <c r="S3964" s="199"/>
      <c r="T3964" s="199"/>
      <c r="U3964" s="199"/>
    </row>
    <row r="3965" spans="1:21" x14ac:dyDescent="0.25">
      <c r="A3965" t="s">
        <v>996</v>
      </c>
      <c r="B3965" t="s">
        <v>997</v>
      </c>
      <c r="C3965" t="s">
        <v>1012</v>
      </c>
      <c r="D3965" t="s">
        <v>505</v>
      </c>
      <c r="E3965">
        <v>410</v>
      </c>
      <c r="F3965" t="s">
        <v>1014</v>
      </c>
      <c r="G3965" t="s">
        <v>1015</v>
      </c>
      <c r="H3965" s="315" t="s">
        <v>30</v>
      </c>
      <c r="I3965" s="315" t="s">
        <v>1016</v>
      </c>
      <c r="J3965" s="315" t="str">
        <f t="shared" si="326"/>
        <v>Used VehicleEx NV demonstrators gross profit p.u.</v>
      </c>
      <c r="K3965" s="315" t="str">
        <f t="shared" si="327"/>
        <v>410Ex-Toyota NV Demonstrator revenue</v>
      </c>
      <c r="L3965" s="311">
        <f>+SUMIF('TUNZ Extracted TB'!M:M,$P3965,'TUNZ Extracted TB'!G:G)</f>
        <v>0</v>
      </c>
      <c r="M3965" s="311"/>
      <c r="N3965" s="311">
        <f>+SUMIF('Input Sheet'!$AE:$AE,P3965,'Input Sheet'!$X:$X)</f>
        <v>0</v>
      </c>
      <c r="O3965" s="311"/>
      <c r="P3965" t="str">
        <f t="shared" si="328"/>
        <v>410-3011R</v>
      </c>
      <c r="Q3965" s="315" t="str">
        <f t="shared" si="329"/>
        <v>Used Vehicle</v>
      </c>
      <c r="R3965" s="315" t="str">
        <f t="shared" si="330"/>
        <v>Used VehicleEx NV demonstrators gross profit p.u.</v>
      </c>
      <c r="S3965" s="199"/>
      <c r="T3965" s="199"/>
      <c r="U3965" s="199"/>
    </row>
    <row r="3966" spans="1:21" x14ac:dyDescent="0.25">
      <c r="A3966" t="s">
        <v>996</v>
      </c>
      <c r="B3966" t="s">
        <v>997</v>
      </c>
      <c r="C3966" t="s">
        <v>1013</v>
      </c>
      <c r="D3966" t="s">
        <v>505</v>
      </c>
      <c r="E3966">
        <v>310</v>
      </c>
      <c r="F3966" t="s">
        <v>1014</v>
      </c>
      <c r="G3966" t="s">
        <v>1015</v>
      </c>
      <c r="H3966" s="315" t="s">
        <v>30</v>
      </c>
      <c r="I3966" s="315" t="s">
        <v>1016</v>
      </c>
      <c r="J3966" s="315" t="str">
        <f t="shared" si="326"/>
        <v>Used VehicleEx NV demonstrators gross profit p.u.</v>
      </c>
      <c r="K3966" s="315" t="str">
        <f t="shared" si="327"/>
        <v>310Ex-Toyota NV Demonstrator revenue</v>
      </c>
      <c r="L3966" s="311">
        <f>+SUMIF('TUNZ Extracted TB'!M:M,$P3966,'TUNZ Extracted TB'!G:G)</f>
        <v>0</v>
      </c>
      <c r="M3966" s="311"/>
      <c r="N3966" s="311">
        <f>+SUMIF('Input Sheet'!$AE:$AE,P3966,'Input Sheet'!$X:$X)</f>
        <v>0</v>
      </c>
      <c r="O3966" s="311"/>
      <c r="P3966" t="str">
        <f t="shared" si="328"/>
        <v>310-3011R</v>
      </c>
      <c r="Q3966" s="315" t="str">
        <f t="shared" si="329"/>
        <v>Used Vehicle</v>
      </c>
      <c r="R3966" s="315" t="str">
        <f t="shared" si="330"/>
        <v>Used VehicleEx NV demonstrators gross profit p.u.</v>
      </c>
      <c r="S3966" s="199"/>
      <c r="T3966" s="199"/>
      <c r="U3966" s="199"/>
    </row>
    <row r="3967" spans="1:21" x14ac:dyDescent="0.25">
      <c r="A3967" t="s">
        <v>996</v>
      </c>
      <c r="B3967" t="s">
        <v>997</v>
      </c>
      <c r="C3967" t="s">
        <v>1005</v>
      </c>
      <c r="D3967" t="s">
        <v>505</v>
      </c>
      <c r="E3967">
        <v>210</v>
      </c>
      <c r="F3967" t="s">
        <v>1014</v>
      </c>
      <c r="G3967" t="s">
        <v>1015</v>
      </c>
      <c r="H3967" s="315" t="s">
        <v>30</v>
      </c>
      <c r="I3967" s="315" t="s">
        <v>1016</v>
      </c>
      <c r="J3967" s="315" t="str">
        <f t="shared" si="326"/>
        <v>Used VehicleEx NV demonstrators gross profit p.u.</v>
      </c>
      <c r="K3967" s="315" t="str">
        <f t="shared" si="327"/>
        <v>210Ex-Toyota NV Demonstrator revenue</v>
      </c>
      <c r="L3967" s="311">
        <f>+SUMIF('TUNZ Extracted TB'!M:M,$P3967,'TUNZ Extracted TB'!G:G)</f>
        <v>0</v>
      </c>
      <c r="M3967" s="311"/>
      <c r="N3967" s="311">
        <f>+SUMIF('Input Sheet'!$AE:$AE,P3967,'Input Sheet'!$X:$X)</f>
        <v>0</v>
      </c>
      <c r="O3967" s="311"/>
      <c r="P3967" t="str">
        <f t="shared" si="328"/>
        <v>210-3011R</v>
      </c>
      <c r="Q3967" s="315" t="str">
        <f t="shared" si="329"/>
        <v>Used Vehicle</v>
      </c>
      <c r="R3967" s="315" t="str">
        <f t="shared" si="330"/>
        <v>Used VehicleEx NV demonstrators gross profit p.u.</v>
      </c>
      <c r="S3967" s="199"/>
      <c r="T3967" s="199"/>
      <c r="U3967" s="199"/>
    </row>
    <row r="3968" spans="1:21" x14ac:dyDescent="0.25">
      <c r="A3968" t="s">
        <v>996</v>
      </c>
      <c r="B3968" t="s">
        <v>997</v>
      </c>
      <c r="C3968" t="s">
        <v>1005</v>
      </c>
      <c r="D3968" t="s">
        <v>507</v>
      </c>
      <c r="E3968">
        <v>200</v>
      </c>
      <c r="F3968" t="s">
        <v>1024</v>
      </c>
      <c r="G3968" t="s">
        <v>1027</v>
      </c>
      <c r="H3968" s="315" t="s">
        <v>29</v>
      </c>
      <c r="I3968" s="315" t="s">
        <v>1026</v>
      </c>
      <c r="J3968" s="315" t="str">
        <f t="shared" si="326"/>
        <v>New VehicleOther Income per NV unit</v>
      </c>
      <c r="K3968" s="315" t="str">
        <f t="shared" si="327"/>
        <v>200New Vehicle Other Income - Toyota</v>
      </c>
      <c r="L3968" s="311">
        <f>+SUMIF('TUNZ Extracted TB'!M:M,$P3968,'TUNZ Extracted TB'!G:G)</f>
        <v>0</v>
      </c>
      <c r="M3968" s="311"/>
      <c r="N3968" s="311">
        <f>+SUMIF('Input Sheet'!$AE:$AE,P3968,'Input Sheet'!$X:$X)</f>
        <v>0</v>
      </c>
      <c r="O3968" s="311"/>
      <c r="P3968" t="str">
        <f t="shared" si="328"/>
        <v>200-3011RD</v>
      </c>
      <c r="Q3968" s="315" t="str">
        <f t="shared" si="329"/>
        <v>New Vehicle</v>
      </c>
      <c r="R3968" s="315" t="str">
        <f t="shared" si="330"/>
        <v>New VehicleOther Income per NV unit</v>
      </c>
      <c r="S3968" s="199"/>
      <c r="T3968" s="199"/>
      <c r="U3968" s="199"/>
    </row>
    <row r="3969" spans="1:21" x14ac:dyDescent="0.25">
      <c r="A3969" t="s">
        <v>996</v>
      </c>
      <c r="B3969" t="s">
        <v>997</v>
      </c>
      <c r="C3969" t="s">
        <v>1012</v>
      </c>
      <c r="D3969" t="s">
        <v>507</v>
      </c>
      <c r="E3969">
        <v>400</v>
      </c>
      <c r="F3969" t="s">
        <v>1024</v>
      </c>
      <c r="G3969" t="s">
        <v>1027</v>
      </c>
      <c r="H3969" s="315" t="s">
        <v>29</v>
      </c>
      <c r="I3969" s="315" t="s">
        <v>1026</v>
      </c>
      <c r="J3969" s="315" t="str">
        <f t="shared" si="326"/>
        <v>New VehicleOther Income per NV unit</v>
      </c>
      <c r="K3969" s="315" t="str">
        <f t="shared" si="327"/>
        <v>400New Vehicle Other Income - Toyota</v>
      </c>
      <c r="L3969" s="311">
        <f>+SUMIF('TUNZ Extracted TB'!M:M,$P3969,'TUNZ Extracted TB'!G:G)</f>
        <v>0</v>
      </c>
      <c r="M3969" s="311"/>
      <c r="N3969" s="311">
        <f>+SUMIF('Input Sheet'!$AE:$AE,P3969,'Input Sheet'!$X:$X)</f>
        <v>0</v>
      </c>
      <c r="O3969" s="311"/>
      <c r="P3969" t="str">
        <f t="shared" si="328"/>
        <v>400-3011RD</v>
      </c>
      <c r="Q3969" s="315" t="str">
        <f t="shared" si="329"/>
        <v>New Vehicle</v>
      </c>
      <c r="R3969" s="315" t="str">
        <f t="shared" si="330"/>
        <v>New VehicleOther Income per NV unit</v>
      </c>
      <c r="S3969" s="199"/>
      <c r="T3969" s="199"/>
      <c r="U3969" s="199"/>
    </row>
    <row r="3970" spans="1:21" x14ac:dyDescent="0.25">
      <c r="A3970" t="s">
        <v>996</v>
      </c>
      <c r="B3970" t="s">
        <v>997</v>
      </c>
      <c r="C3970" t="s">
        <v>1013</v>
      </c>
      <c r="D3970" t="s">
        <v>507</v>
      </c>
      <c r="E3970">
        <v>300</v>
      </c>
      <c r="F3970" t="s">
        <v>1024</v>
      </c>
      <c r="G3970" t="s">
        <v>1027</v>
      </c>
      <c r="H3970" s="315" t="s">
        <v>29</v>
      </c>
      <c r="I3970" s="315" t="s">
        <v>1026</v>
      </c>
      <c r="J3970" s="315" t="str">
        <f t="shared" si="326"/>
        <v>New VehicleOther Income per NV unit</v>
      </c>
      <c r="K3970" s="315" t="str">
        <f t="shared" si="327"/>
        <v>300New Vehicle Other Income - Toyota</v>
      </c>
      <c r="L3970" s="311">
        <f>+SUMIF('TUNZ Extracted TB'!M:M,$P3970,'TUNZ Extracted TB'!G:G)</f>
        <v>0</v>
      </c>
      <c r="M3970" s="311"/>
      <c r="N3970" s="311">
        <f>+SUMIF('Input Sheet'!$AE:$AE,P3970,'Input Sheet'!$X:$X)</f>
        <v>0</v>
      </c>
      <c r="O3970" s="311"/>
      <c r="P3970" t="str">
        <f t="shared" si="328"/>
        <v>300-3011RD</v>
      </c>
      <c r="Q3970" s="315" t="str">
        <f t="shared" si="329"/>
        <v>New Vehicle</v>
      </c>
      <c r="R3970" s="315" t="str">
        <f t="shared" si="330"/>
        <v>New VehicleOther Income per NV unit</v>
      </c>
      <c r="S3970" s="199"/>
      <c r="T3970" s="199"/>
      <c r="U3970" s="199"/>
    </row>
    <row r="3971" spans="1:21" x14ac:dyDescent="0.25">
      <c r="A3971" t="s">
        <v>996</v>
      </c>
      <c r="B3971" t="s">
        <v>997</v>
      </c>
      <c r="C3971" t="s">
        <v>997</v>
      </c>
      <c r="D3971" t="s">
        <v>507</v>
      </c>
      <c r="E3971">
        <v>110</v>
      </c>
      <c r="F3971" t="s">
        <v>1014</v>
      </c>
      <c r="G3971" t="s">
        <v>1015</v>
      </c>
      <c r="H3971" s="315" t="s">
        <v>30</v>
      </c>
      <c r="I3971" s="315" t="s">
        <v>1016</v>
      </c>
      <c r="J3971" s="315" t="str">
        <f t="shared" ref="J3971:J4034" si="331">+H3971&amp;I3971</f>
        <v>Used VehicleEx NV demonstrators gross profit p.u.</v>
      </c>
      <c r="K3971" s="315" t="str">
        <f t="shared" ref="K3971:K4034" si="332">+E3971&amp;G3971</f>
        <v>110Ex-Toyota NV Demonstrator revenue</v>
      </c>
      <c r="L3971" s="311">
        <f>+SUMIF('TUNZ Extracted TB'!M:M,$P3971,'TUNZ Extracted TB'!G:G)</f>
        <v>0</v>
      </c>
      <c r="M3971" s="311"/>
      <c r="N3971" s="311">
        <f>+SUMIF('Input Sheet'!$AE:$AE,P3971,'Input Sheet'!$X:$X)</f>
        <v>0</v>
      </c>
      <c r="O3971" s="311"/>
      <c r="P3971" t="str">
        <f t="shared" ref="P3971:P4034" si="333">+E3971&amp;"-"&amp;D3971</f>
        <v>110-3011RD</v>
      </c>
      <c r="Q3971" s="315" t="str">
        <f t="shared" ref="Q3971:Q4034" si="334">H3971</f>
        <v>Used Vehicle</v>
      </c>
      <c r="R3971" s="315" t="str">
        <f t="shared" ref="R3971:R4034" si="335">J3971</f>
        <v>Used VehicleEx NV demonstrators gross profit p.u.</v>
      </c>
      <c r="S3971" s="199"/>
      <c r="T3971" s="199"/>
      <c r="U3971" s="199"/>
    </row>
    <row r="3972" spans="1:21" x14ac:dyDescent="0.25">
      <c r="A3972" t="s">
        <v>996</v>
      </c>
      <c r="B3972" t="s">
        <v>997</v>
      </c>
      <c r="C3972" t="s">
        <v>997</v>
      </c>
      <c r="D3972" t="s">
        <v>1469</v>
      </c>
      <c r="E3972">
        <v>100</v>
      </c>
      <c r="F3972" t="s">
        <v>1024</v>
      </c>
      <c r="G3972" t="s">
        <v>1027</v>
      </c>
      <c r="H3972" s="315" t="s">
        <v>29</v>
      </c>
      <c r="I3972" s="315" t="s">
        <v>1026</v>
      </c>
      <c r="J3972" s="315" t="str">
        <f t="shared" si="331"/>
        <v>New VehicleOther Income per NV unit</v>
      </c>
      <c r="K3972" s="315" t="str">
        <f t="shared" si="332"/>
        <v>100New Vehicle Other Income - Toyota</v>
      </c>
      <c r="L3972" s="311">
        <f>+SUMIF('TUNZ Extracted TB'!M:M,$P3972,'TUNZ Extracted TB'!G:G)</f>
        <v>0</v>
      </c>
      <c r="M3972" s="311"/>
      <c r="N3972" s="311">
        <f>+SUMIF('Input Sheet'!$AE:$AE,P3972,'Input Sheet'!$X:$X)</f>
        <v>0</v>
      </c>
      <c r="O3972" s="311"/>
      <c r="P3972" t="str">
        <f t="shared" si="333"/>
        <v>100-3021R</v>
      </c>
      <c r="Q3972" s="315" t="str">
        <f t="shared" si="334"/>
        <v>New Vehicle</v>
      </c>
      <c r="R3972" s="315" t="str">
        <f t="shared" si="335"/>
        <v>New VehicleOther Income per NV unit</v>
      </c>
      <c r="S3972" s="199"/>
      <c r="T3972" s="199"/>
      <c r="U3972" s="199"/>
    </row>
    <row r="3973" spans="1:21" x14ac:dyDescent="0.25">
      <c r="A3973" t="s">
        <v>996</v>
      </c>
      <c r="B3973" t="s">
        <v>997</v>
      </c>
      <c r="C3973" t="s">
        <v>1005</v>
      </c>
      <c r="D3973" t="s">
        <v>507</v>
      </c>
      <c r="E3973">
        <v>210</v>
      </c>
      <c r="F3973" t="s">
        <v>1014</v>
      </c>
      <c r="G3973" t="s">
        <v>1015</v>
      </c>
      <c r="H3973" s="315" t="s">
        <v>30</v>
      </c>
      <c r="I3973" s="315" t="s">
        <v>1016</v>
      </c>
      <c r="J3973" s="315" t="str">
        <f t="shared" si="331"/>
        <v>Used VehicleEx NV demonstrators gross profit p.u.</v>
      </c>
      <c r="K3973" s="315" t="str">
        <f t="shared" si="332"/>
        <v>210Ex-Toyota NV Demonstrator revenue</v>
      </c>
      <c r="L3973" s="311">
        <f>+SUMIF('TUNZ Extracted TB'!M:M,$P3973,'TUNZ Extracted TB'!G:G)</f>
        <v>0</v>
      </c>
      <c r="M3973" s="311"/>
      <c r="N3973" s="311">
        <f>+SUMIF('Input Sheet'!$AE:$AE,P3973,'Input Sheet'!$X:$X)</f>
        <v>0</v>
      </c>
      <c r="O3973" s="311"/>
      <c r="P3973" t="str">
        <f t="shared" si="333"/>
        <v>210-3011RD</v>
      </c>
      <c r="Q3973" s="315" t="str">
        <f t="shared" si="334"/>
        <v>Used Vehicle</v>
      </c>
      <c r="R3973" s="315" t="str">
        <f t="shared" si="335"/>
        <v>Used VehicleEx NV demonstrators gross profit p.u.</v>
      </c>
      <c r="S3973" s="199"/>
      <c r="T3973" s="199"/>
      <c r="U3973" s="199"/>
    </row>
    <row r="3974" spans="1:21" x14ac:dyDescent="0.25">
      <c r="A3974" t="s">
        <v>996</v>
      </c>
      <c r="B3974" t="s">
        <v>997</v>
      </c>
      <c r="C3974" t="s">
        <v>1012</v>
      </c>
      <c r="D3974" t="s">
        <v>507</v>
      </c>
      <c r="E3974">
        <v>410</v>
      </c>
      <c r="F3974" t="s">
        <v>1014</v>
      </c>
      <c r="G3974" t="s">
        <v>1015</v>
      </c>
      <c r="H3974" s="315" t="s">
        <v>30</v>
      </c>
      <c r="I3974" s="315" t="s">
        <v>1016</v>
      </c>
      <c r="J3974" s="315" t="str">
        <f t="shared" si="331"/>
        <v>Used VehicleEx NV demonstrators gross profit p.u.</v>
      </c>
      <c r="K3974" s="315" t="str">
        <f t="shared" si="332"/>
        <v>410Ex-Toyota NV Demonstrator revenue</v>
      </c>
      <c r="L3974" s="311">
        <f>+SUMIF('TUNZ Extracted TB'!M:M,$P3974,'TUNZ Extracted TB'!G:G)</f>
        <v>0</v>
      </c>
      <c r="M3974" s="311"/>
      <c r="N3974" s="311">
        <f>+SUMIF('Input Sheet'!$AE:$AE,P3974,'Input Sheet'!$X:$X)</f>
        <v>0</v>
      </c>
      <c r="O3974" s="311"/>
      <c r="P3974" t="str">
        <f t="shared" si="333"/>
        <v>410-3011RD</v>
      </c>
      <c r="Q3974" s="315" t="str">
        <f t="shared" si="334"/>
        <v>Used Vehicle</v>
      </c>
      <c r="R3974" s="315" t="str">
        <f t="shared" si="335"/>
        <v>Used VehicleEx NV demonstrators gross profit p.u.</v>
      </c>
      <c r="S3974" s="199"/>
      <c r="T3974" s="199"/>
      <c r="U3974" s="199"/>
    </row>
    <row r="3975" spans="1:21" x14ac:dyDescent="0.25">
      <c r="A3975" t="s">
        <v>996</v>
      </c>
      <c r="B3975" t="s">
        <v>997</v>
      </c>
      <c r="C3975" t="s">
        <v>1013</v>
      </c>
      <c r="D3975" t="s">
        <v>507</v>
      </c>
      <c r="E3975">
        <v>310</v>
      </c>
      <c r="F3975" t="s">
        <v>1014</v>
      </c>
      <c r="G3975" t="s">
        <v>1015</v>
      </c>
      <c r="H3975" s="315" t="s">
        <v>30</v>
      </c>
      <c r="I3975" s="315" t="s">
        <v>1016</v>
      </c>
      <c r="J3975" s="315" t="str">
        <f t="shared" si="331"/>
        <v>Used VehicleEx NV demonstrators gross profit p.u.</v>
      </c>
      <c r="K3975" s="315" t="str">
        <f t="shared" si="332"/>
        <v>310Ex-Toyota NV Demonstrator revenue</v>
      </c>
      <c r="L3975" s="311">
        <f>+SUMIF('TUNZ Extracted TB'!M:M,$P3975,'TUNZ Extracted TB'!G:G)</f>
        <v>0</v>
      </c>
      <c r="M3975" s="311"/>
      <c r="N3975" s="311">
        <f>+SUMIF('Input Sheet'!$AE:$AE,P3975,'Input Sheet'!$X:$X)</f>
        <v>0</v>
      </c>
      <c r="O3975" s="311"/>
      <c r="P3975" t="str">
        <f t="shared" si="333"/>
        <v>310-3011RD</v>
      </c>
      <c r="Q3975" s="315" t="str">
        <f t="shared" si="334"/>
        <v>Used Vehicle</v>
      </c>
      <c r="R3975" s="315" t="str">
        <f t="shared" si="335"/>
        <v>Used VehicleEx NV demonstrators gross profit p.u.</v>
      </c>
      <c r="S3975" s="199"/>
      <c r="T3975" s="199"/>
      <c r="U3975" s="199"/>
    </row>
    <row r="3976" spans="1:21" x14ac:dyDescent="0.25">
      <c r="A3976" t="s">
        <v>996</v>
      </c>
      <c r="B3976" t="s">
        <v>997</v>
      </c>
      <c r="C3976" t="s">
        <v>1005</v>
      </c>
      <c r="D3976" t="s">
        <v>1469</v>
      </c>
      <c r="E3976">
        <v>200</v>
      </c>
      <c r="F3976" t="s">
        <v>1024</v>
      </c>
      <c r="G3976" t="s">
        <v>1027</v>
      </c>
      <c r="H3976" s="315" t="s">
        <v>29</v>
      </c>
      <c r="I3976" s="315" t="s">
        <v>1026</v>
      </c>
      <c r="J3976" s="315" t="str">
        <f t="shared" si="331"/>
        <v>New VehicleOther Income per NV unit</v>
      </c>
      <c r="K3976" s="315" t="str">
        <f t="shared" si="332"/>
        <v>200New Vehicle Other Income - Toyota</v>
      </c>
      <c r="L3976" s="311">
        <f>+SUMIF('TUNZ Extracted TB'!M:M,$P3976,'TUNZ Extracted TB'!G:G)</f>
        <v>0</v>
      </c>
      <c r="M3976" s="311"/>
      <c r="N3976" s="311">
        <f>+SUMIF('Input Sheet'!$AE:$AE,P3976,'Input Sheet'!$X:$X)</f>
        <v>0</v>
      </c>
      <c r="O3976" s="311"/>
      <c r="P3976" t="str">
        <f t="shared" si="333"/>
        <v>200-3021R</v>
      </c>
      <c r="Q3976" s="315" t="str">
        <f t="shared" si="334"/>
        <v>New Vehicle</v>
      </c>
      <c r="R3976" s="315" t="str">
        <f t="shared" si="335"/>
        <v>New VehicleOther Income per NV unit</v>
      </c>
      <c r="S3976" s="199"/>
      <c r="T3976" s="199"/>
      <c r="U3976" s="199"/>
    </row>
    <row r="3977" spans="1:21" x14ac:dyDescent="0.25">
      <c r="A3977" t="s">
        <v>996</v>
      </c>
      <c r="B3977" t="s">
        <v>997</v>
      </c>
      <c r="C3977" t="s">
        <v>1012</v>
      </c>
      <c r="D3977" t="s">
        <v>1469</v>
      </c>
      <c r="E3977">
        <v>400</v>
      </c>
      <c r="F3977" t="s">
        <v>1024</v>
      </c>
      <c r="G3977" t="s">
        <v>1027</v>
      </c>
      <c r="H3977" s="315" t="s">
        <v>29</v>
      </c>
      <c r="I3977" s="315" t="s">
        <v>1026</v>
      </c>
      <c r="J3977" s="315" t="str">
        <f t="shared" si="331"/>
        <v>New VehicleOther Income per NV unit</v>
      </c>
      <c r="K3977" s="315" t="str">
        <f t="shared" si="332"/>
        <v>400New Vehicle Other Income - Toyota</v>
      </c>
      <c r="L3977" s="311">
        <f>+SUMIF('TUNZ Extracted TB'!M:M,$P3977,'TUNZ Extracted TB'!G:G)</f>
        <v>0</v>
      </c>
      <c r="M3977" s="311"/>
      <c r="N3977" s="311">
        <f>+SUMIF('Input Sheet'!$AE:$AE,P3977,'Input Sheet'!$X:$X)</f>
        <v>0</v>
      </c>
      <c r="O3977" s="311"/>
      <c r="P3977" t="str">
        <f t="shared" si="333"/>
        <v>400-3021R</v>
      </c>
      <c r="Q3977" s="315" t="str">
        <f t="shared" si="334"/>
        <v>New Vehicle</v>
      </c>
      <c r="R3977" s="315" t="str">
        <f t="shared" si="335"/>
        <v>New VehicleOther Income per NV unit</v>
      </c>
      <c r="S3977" s="199"/>
      <c r="T3977" s="199"/>
      <c r="U3977" s="199"/>
    </row>
    <row r="3978" spans="1:21" x14ac:dyDescent="0.25">
      <c r="A3978" t="s">
        <v>996</v>
      </c>
      <c r="B3978" t="s">
        <v>997</v>
      </c>
      <c r="C3978" t="s">
        <v>1013</v>
      </c>
      <c r="D3978" t="s">
        <v>1469</v>
      </c>
      <c r="E3978">
        <v>300</v>
      </c>
      <c r="F3978" t="s">
        <v>1024</v>
      </c>
      <c r="G3978" t="s">
        <v>1027</v>
      </c>
      <c r="H3978" s="315" t="s">
        <v>29</v>
      </c>
      <c r="I3978" s="315" t="s">
        <v>1026</v>
      </c>
      <c r="J3978" s="315" t="str">
        <f t="shared" si="331"/>
        <v>New VehicleOther Income per NV unit</v>
      </c>
      <c r="K3978" s="315" t="str">
        <f t="shared" si="332"/>
        <v>300New Vehicle Other Income - Toyota</v>
      </c>
      <c r="L3978" s="311">
        <f>+SUMIF('TUNZ Extracted TB'!M:M,$P3978,'TUNZ Extracted TB'!G:G)</f>
        <v>0</v>
      </c>
      <c r="M3978" s="311"/>
      <c r="N3978" s="311">
        <f>+SUMIF('Input Sheet'!$AE:$AE,P3978,'Input Sheet'!$X:$X)</f>
        <v>0</v>
      </c>
      <c r="O3978" s="311"/>
      <c r="P3978" t="str">
        <f t="shared" si="333"/>
        <v>300-3021R</v>
      </c>
      <c r="Q3978" s="315" t="str">
        <f t="shared" si="334"/>
        <v>New Vehicle</v>
      </c>
      <c r="R3978" s="315" t="str">
        <f t="shared" si="335"/>
        <v>New VehicleOther Income per NV unit</v>
      </c>
      <c r="S3978" s="199"/>
      <c r="T3978" s="199"/>
      <c r="U3978" s="199"/>
    </row>
    <row r="3979" spans="1:21" x14ac:dyDescent="0.25">
      <c r="A3979" t="s">
        <v>996</v>
      </c>
      <c r="B3979" t="s">
        <v>997</v>
      </c>
      <c r="C3979" t="s">
        <v>997</v>
      </c>
      <c r="D3979" t="s">
        <v>1469</v>
      </c>
      <c r="E3979">
        <v>110</v>
      </c>
      <c r="F3979" t="s">
        <v>1014</v>
      </c>
      <c r="G3979" t="s">
        <v>1015</v>
      </c>
      <c r="H3979" s="315" t="s">
        <v>30</v>
      </c>
      <c r="I3979" s="315" t="s">
        <v>1016</v>
      </c>
      <c r="J3979" s="315" t="str">
        <f t="shared" si="331"/>
        <v>Used VehicleEx NV demonstrators gross profit p.u.</v>
      </c>
      <c r="K3979" s="315" t="str">
        <f t="shared" si="332"/>
        <v>110Ex-Toyota NV Demonstrator revenue</v>
      </c>
      <c r="L3979" s="311">
        <f>+SUMIF('TUNZ Extracted TB'!M:M,$P3979,'TUNZ Extracted TB'!G:G)</f>
        <v>0</v>
      </c>
      <c r="M3979" s="311"/>
      <c r="N3979" s="311">
        <f>+SUMIF('Input Sheet'!$AE:$AE,P3979,'Input Sheet'!$X:$X)</f>
        <v>0</v>
      </c>
      <c r="O3979" s="311"/>
      <c r="P3979" t="str">
        <f t="shared" si="333"/>
        <v>110-3021R</v>
      </c>
      <c r="Q3979" s="315" t="str">
        <f t="shared" si="334"/>
        <v>Used Vehicle</v>
      </c>
      <c r="R3979" s="315" t="str">
        <f t="shared" si="335"/>
        <v>Used VehicleEx NV demonstrators gross profit p.u.</v>
      </c>
      <c r="S3979" s="199"/>
      <c r="T3979" s="199"/>
      <c r="U3979" s="199"/>
    </row>
    <row r="3980" spans="1:21" x14ac:dyDescent="0.25">
      <c r="A3980" t="s">
        <v>996</v>
      </c>
      <c r="B3980" t="s">
        <v>997</v>
      </c>
      <c r="C3980" t="s">
        <v>997</v>
      </c>
      <c r="D3980" t="s">
        <v>1470</v>
      </c>
      <c r="E3980">
        <v>100</v>
      </c>
      <c r="F3980" t="s">
        <v>1024</v>
      </c>
      <c r="G3980" t="s">
        <v>1027</v>
      </c>
      <c r="H3980" s="315" t="s">
        <v>29</v>
      </c>
      <c r="I3980" s="315" t="s">
        <v>1026</v>
      </c>
      <c r="J3980" s="315" t="str">
        <f t="shared" si="331"/>
        <v>New VehicleOther Income per NV unit</v>
      </c>
      <c r="K3980" s="315" t="str">
        <f t="shared" si="332"/>
        <v>100New Vehicle Other Income - Toyota</v>
      </c>
      <c r="L3980" s="311">
        <f>+SUMIF('TUNZ Extracted TB'!M:M,$P3980,'TUNZ Extracted TB'!G:G)</f>
        <v>0</v>
      </c>
      <c r="M3980" s="311"/>
      <c r="N3980" s="311">
        <f>+SUMIF('Input Sheet'!$AE:$AE,P3980,'Input Sheet'!$X:$X)</f>
        <v>0</v>
      </c>
      <c r="O3980" s="311"/>
      <c r="P3980" t="str">
        <f t="shared" si="333"/>
        <v>100-3021RD</v>
      </c>
      <c r="Q3980" s="315" t="str">
        <f t="shared" si="334"/>
        <v>New Vehicle</v>
      </c>
      <c r="R3980" s="315" t="str">
        <f t="shared" si="335"/>
        <v>New VehicleOther Income per NV unit</v>
      </c>
      <c r="S3980" s="199"/>
      <c r="T3980" s="199"/>
      <c r="U3980" s="199"/>
    </row>
    <row r="3981" spans="1:21" x14ac:dyDescent="0.25">
      <c r="A3981" t="s">
        <v>996</v>
      </c>
      <c r="B3981" t="s">
        <v>997</v>
      </c>
      <c r="C3981" t="s">
        <v>1005</v>
      </c>
      <c r="D3981" t="s">
        <v>1469</v>
      </c>
      <c r="E3981">
        <v>210</v>
      </c>
      <c r="F3981" t="s">
        <v>1014</v>
      </c>
      <c r="G3981" t="s">
        <v>1015</v>
      </c>
      <c r="H3981" s="315" t="s">
        <v>30</v>
      </c>
      <c r="I3981" s="315" t="s">
        <v>1016</v>
      </c>
      <c r="J3981" s="315" t="str">
        <f t="shared" si="331"/>
        <v>Used VehicleEx NV demonstrators gross profit p.u.</v>
      </c>
      <c r="K3981" s="315" t="str">
        <f t="shared" si="332"/>
        <v>210Ex-Toyota NV Demonstrator revenue</v>
      </c>
      <c r="L3981" s="311">
        <f>+SUMIF('TUNZ Extracted TB'!M:M,$P3981,'TUNZ Extracted TB'!G:G)</f>
        <v>0</v>
      </c>
      <c r="M3981" s="311"/>
      <c r="N3981" s="311">
        <f>+SUMIF('Input Sheet'!$AE:$AE,P3981,'Input Sheet'!$X:$X)</f>
        <v>0</v>
      </c>
      <c r="O3981" s="311"/>
      <c r="P3981" t="str">
        <f t="shared" si="333"/>
        <v>210-3021R</v>
      </c>
      <c r="Q3981" s="315" t="str">
        <f t="shared" si="334"/>
        <v>Used Vehicle</v>
      </c>
      <c r="R3981" s="315" t="str">
        <f t="shared" si="335"/>
        <v>Used VehicleEx NV demonstrators gross profit p.u.</v>
      </c>
      <c r="S3981" s="199"/>
      <c r="T3981" s="199"/>
      <c r="U3981" s="199"/>
    </row>
    <row r="3982" spans="1:21" x14ac:dyDescent="0.25">
      <c r="A3982" t="s">
        <v>996</v>
      </c>
      <c r="B3982" t="s">
        <v>997</v>
      </c>
      <c r="C3982" t="s">
        <v>1012</v>
      </c>
      <c r="D3982" t="s">
        <v>1469</v>
      </c>
      <c r="E3982">
        <v>410</v>
      </c>
      <c r="F3982" t="s">
        <v>1014</v>
      </c>
      <c r="G3982" t="s">
        <v>1015</v>
      </c>
      <c r="H3982" s="315" t="s">
        <v>30</v>
      </c>
      <c r="I3982" s="315" t="s">
        <v>1016</v>
      </c>
      <c r="J3982" s="315" t="str">
        <f t="shared" si="331"/>
        <v>Used VehicleEx NV demonstrators gross profit p.u.</v>
      </c>
      <c r="K3982" s="315" t="str">
        <f t="shared" si="332"/>
        <v>410Ex-Toyota NV Demonstrator revenue</v>
      </c>
      <c r="L3982" s="311">
        <f>+SUMIF('TUNZ Extracted TB'!M:M,$P3982,'TUNZ Extracted TB'!G:G)</f>
        <v>0</v>
      </c>
      <c r="M3982" s="311"/>
      <c r="N3982" s="311">
        <f>+SUMIF('Input Sheet'!$AE:$AE,P3982,'Input Sheet'!$X:$X)</f>
        <v>0</v>
      </c>
      <c r="O3982" s="311"/>
      <c r="P3982" t="str">
        <f t="shared" si="333"/>
        <v>410-3021R</v>
      </c>
      <c r="Q3982" s="315" t="str">
        <f t="shared" si="334"/>
        <v>Used Vehicle</v>
      </c>
      <c r="R3982" s="315" t="str">
        <f t="shared" si="335"/>
        <v>Used VehicleEx NV demonstrators gross profit p.u.</v>
      </c>
      <c r="S3982" s="199"/>
      <c r="T3982" s="199"/>
      <c r="U3982" s="199"/>
    </row>
    <row r="3983" spans="1:21" x14ac:dyDescent="0.25">
      <c r="A3983" t="s">
        <v>996</v>
      </c>
      <c r="B3983" t="s">
        <v>997</v>
      </c>
      <c r="C3983" t="s">
        <v>1013</v>
      </c>
      <c r="D3983" t="s">
        <v>1469</v>
      </c>
      <c r="E3983">
        <v>310</v>
      </c>
      <c r="F3983" t="s">
        <v>1014</v>
      </c>
      <c r="G3983" t="s">
        <v>1015</v>
      </c>
      <c r="H3983" s="315" t="s">
        <v>30</v>
      </c>
      <c r="I3983" s="315" t="s">
        <v>1016</v>
      </c>
      <c r="J3983" s="315" t="str">
        <f t="shared" si="331"/>
        <v>Used VehicleEx NV demonstrators gross profit p.u.</v>
      </c>
      <c r="K3983" s="315" t="str">
        <f t="shared" si="332"/>
        <v>310Ex-Toyota NV Demonstrator revenue</v>
      </c>
      <c r="L3983" s="311">
        <f>+SUMIF('TUNZ Extracted TB'!M:M,$P3983,'TUNZ Extracted TB'!G:G)</f>
        <v>0</v>
      </c>
      <c r="M3983" s="311"/>
      <c r="N3983" s="311">
        <f>+SUMIF('Input Sheet'!$AE:$AE,P3983,'Input Sheet'!$X:$X)</f>
        <v>0</v>
      </c>
      <c r="O3983" s="311"/>
      <c r="P3983" t="str">
        <f t="shared" si="333"/>
        <v>310-3021R</v>
      </c>
      <c r="Q3983" s="315" t="str">
        <f t="shared" si="334"/>
        <v>Used Vehicle</v>
      </c>
      <c r="R3983" s="315" t="str">
        <f t="shared" si="335"/>
        <v>Used VehicleEx NV demonstrators gross profit p.u.</v>
      </c>
      <c r="S3983" s="199"/>
      <c r="T3983" s="199"/>
      <c r="U3983" s="199"/>
    </row>
    <row r="3984" spans="1:21" x14ac:dyDescent="0.25">
      <c r="A3984" t="s">
        <v>996</v>
      </c>
      <c r="B3984" t="s">
        <v>997</v>
      </c>
      <c r="C3984" t="s">
        <v>1005</v>
      </c>
      <c r="D3984" t="s">
        <v>1470</v>
      </c>
      <c r="E3984">
        <v>200</v>
      </c>
      <c r="F3984" t="s">
        <v>1024</v>
      </c>
      <c r="G3984" t="s">
        <v>1027</v>
      </c>
      <c r="H3984" s="315" t="s">
        <v>29</v>
      </c>
      <c r="I3984" s="315" t="s">
        <v>1026</v>
      </c>
      <c r="J3984" s="315" t="str">
        <f t="shared" si="331"/>
        <v>New VehicleOther Income per NV unit</v>
      </c>
      <c r="K3984" s="315" t="str">
        <f t="shared" si="332"/>
        <v>200New Vehicle Other Income - Toyota</v>
      </c>
      <c r="L3984" s="311">
        <f>+SUMIF('TUNZ Extracted TB'!M:M,$P3984,'TUNZ Extracted TB'!G:G)</f>
        <v>0</v>
      </c>
      <c r="M3984" s="311"/>
      <c r="N3984" s="311">
        <f>+SUMIF('Input Sheet'!$AE:$AE,P3984,'Input Sheet'!$X:$X)</f>
        <v>0</v>
      </c>
      <c r="O3984" s="311"/>
      <c r="P3984" t="str">
        <f t="shared" si="333"/>
        <v>200-3021RD</v>
      </c>
      <c r="Q3984" s="315" t="str">
        <f t="shared" si="334"/>
        <v>New Vehicle</v>
      </c>
      <c r="R3984" s="315" t="str">
        <f t="shared" si="335"/>
        <v>New VehicleOther Income per NV unit</v>
      </c>
      <c r="S3984" s="199"/>
      <c r="T3984" s="199"/>
      <c r="U3984" s="199"/>
    </row>
    <row r="3985" spans="1:21" x14ac:dyDescent="0.25">
      <c r="A3985" t="s">
        <v>996</v>
      </c>
      <c r="B3985" t="s">
        <v>997</v>
      </c>
      <c r="C3985" t="s">
        <v>1012</v>
      </c>
      <c r="D3985" t="s">
        <v>1470</v>
      </c>
      <c r="E3985">
        <v>400</v>
      </c>
      <c r="F3985" t="s">
        <v>1024</v>
      </c>
      <c r="G3985" t="s">
        <v>1027</v>
      </c>
      <c r="H3985" s="315" t="s">
        <v>29</v>
      </c>
      <c r="I3985" s="315" t="s">
        <v>1026</v>
      </c>
      <c r="J3985" s="315" t="str">
        <f t="shared" si="331"/>
        <v>New VehicleOther Income per NV unit</v>
      </c>
      <c r="K3985" s="315" t="str">
        <f t="shared" si="332"/>
        <v>400New Vehicle Other Income - Toyota</v>
      </c>
      <c r="L3985" s="311">
        <f>+SUMIF('TUNZ Extracted TB'!M:M,$P3985,'TUNZ Extracted TB'!G:G)</f>
        <v>0</v>
      </c>
      <c r="M3985" s="311"/>
      <c r="N3985" s="311">
        <f>+SUMIF('Input Sheet'!$AE:$AE,P3985,'Input Sheet'!$X:$X)</f>
        <v>0</v>
      </c>
      <c r="O3985" s="311"/>
      <c r="P3985" t="str">
        <f t="shared" si="333"/>
        <v>400-3021RD</v>
      </c>
      <c r="Q3985" s="315" t="str">
        <f t="shared" si="334"/>
        <v>New Vehicle</v>
      </c>
      <c r="R3985" s="315" t="str">
        <f t="shared" si="335"/>
        <v>New VehicleOther Income per NV unit</v>
      </c>
      <c r="S3985" s="199"/>
      <c r="T3985" s="199"/>
      <c r="U3985" s="199"/>
    </row>
    <row r="3986" spans="1:21" x14ac:dyDescent="0.25">
      <c r="A3986" t="s">
        <v>996</v>
      </c>
      <c r="B3986" t="s">
        <v>997</v>
      </c>
      <c r="C3986" t="s">
        <v>1013</v>
      </c>
      <c r="D3986" t="s">
        <v>1470</v>
      </c>
      <c r="E3986">
        <v>300</v>
      </c>
      <c r="F3986" t="s">
        <v>1024</v>
      </c>
      <c r="G3986" t="s">
        <v>1027</v>
      </c>
      <c r="H3986" s="315" t="s">
        <v>29</v>
      </c>
      <c r="I3986" s="315" t="s">
        <v>1026</v>
      </c>
      <c r="J3986" s="315" t="str">
        <f t="shared" si="331"/>
        <v>New VehicleOther Income per NV unit</v>
      </c>
      <c r="K3986" s="315" t="str">
        <f t="shared" si="332"/>
        <v>300New Vehicle Other Income - Toyota</v>
      </c>
      <c r="L3986" s="311">
        <f>+SUMIF('TUNZ Extracted TB'!M:M,$P3986,'TUNZ Extracted TB'!G:G)</f>
        <v>0</v>
      </c>
      <c r="M3986" s="311"/>
      <c r="N3986" s="311">
        <f>+SUMIF('Input Sheet'!$AE:$AE,P3986,'Input Sheet'!$X:$X)</f>
        <v>0</v>
      </c>
      <c r="O3986" s="311"/>
      <c r="P3986" t="str">
        <f t="shared" si="333"/>
        <v>300-3021RD</v>
      </c>
      <c r="Q3986" s="315" t="str">
        <f t="shared" si="334"/>
        <v>New Vehicle</v>
      </c>
      <c r="R3986" s="315" t="str">
        <f t="shared" si="335"/>
        <v>New VehicleOther Income per NV unit</v>
      </c>
      <c r="S3986" s="199"/>
      <c r="T3986" s="199"/>
      <c r="U3986" s="199"/>
    </row>
    <row r="3987" spans="1:21" x14ac:dyDescent="0.25">
      <c r="A3987" t="s">
        <v>996</v>
      </c>
      <c r="B3987" t="s">
        <v>997</v>
      </c>
      <c r="C3987" t="s">
        <v>997</v>
      </c>
      <c r="D3987" t="s">
        <v>1470</v>
      </c>
      <c r="E3987">
        <v>110</v>
      </c>
      <c r="F3987" t="s">
        <v>1014</v>
      </c>
      <c r="G3987" t="s">
        <v>1015</v>
      </c>
      <c r="H3987" s="315" t="s">
        <v>30</v>
      </c>
      <c r="I3987" s="315" t="s">
        <v>1016</v>
      </c>
      <c r="J3987" s="315" t="str">
        <f t="shared" si="331"/>
        <v>Used VehicleEx NV demonstrators gross profit p.u.</v>
      </c>
      <c r="K3987" s="315" t="str">
        <f t="shared" si="332"/>
        <v>110Ex-Toyota NV Demonstrator revenue</v>
      </c>
      <c r="L3987" s="311">
        <f>+SUMIF('TUNZ Extracted TB'!M:M,$P3987,'TUNZ Extracted TB'!G:G)</f>
        <v>0</v>
      </c>
      <c r="M3987" s="311"/>
      <c r="N3987" s="311">
        <f>+SUMIF('Input Sheet'!$AE:$AE,P3987,'Input Sheet'!$X:$X)</f>
        <v>0</v>
      </c>
      <c r="O3987" s="311"/>
      <c r="P3987" t="str">
        <f t="shared" si="333"/>
        <v>110-3021RD</v>
      </c>
      <c r="Q3987" s="315" t="str">
        <f t="shared" si="334"/>
        <v>Used Vehicle</v>
      </c>
      <c r="R3987" s="315" t="str">
        <f t="shared" si="335"/>
        <v>Used VehicleEx NV demonstrators gross profit p.u.</v>
      </c>
      <c r="S3987" s="199"/>
      <c r="T3987" s="199"/>
      <c r="U3987" s="199"/>
    </row>
    <row r="3988" spans="1:21" x14ac:dyDescent="0.25">
      <c r="A3988" t="s">
        <v>996</v>
      </c>
      <c r="B3988" t="s">
        <v>997</v>
      </c>
      <c r="C3988" t="s">
        <v>997</v>
      </c>
      <c r="D3988" t="s">
        <v>1471</v>
      </c>
      <c r="E3988">
        <v>100</v>
      </c>
      <c r="F3988" t="s">
        <v>1024</v>
      </c>
      <c r="G3988" t="s">
        <v>1027</v>
      </c>
      <c r="H3988" s="315" t="s">
        <v>29</v>
      </c>
      <c r="I3988" s="315" t="s">
        <v>1026</v>
      </c>
      <c r="J3988" s="315" t="str">
        <f t="shared" si="331"/>
        <v>New VehicleOther Income per NV unit</v>
      </c>
      <c r="K3988" s="315" t="str">
        <f t="shared" si="332"/>
        <v>100New Vehicle Other Income - Toyota</v>
      </c>
      <c r="L3988" s="311">
        <f>+SUMIF('TUNZ Extracted TB'!M:M,$P3988,'TUNZ Extracted TB'!G:G)</f>
        <v>0</v>
      </c>
      <c r="M3988" s="311"/>
      <c r="N3988" s="311">
        <f>+SUMIF('Input Sheet'!$AE:$AE,P3988,'Input Sheet'!$X:$X)</f>
        <v>0</v>
      </c>
      <c r="O3988" s="311"/>
      <c r="P3988" t="str">
        <f t="shared" si="333"/>
        <v>100-3023R</v>
      </c>
      <c r="Q3988" s="315" t="str">
        <f t="shared" si="334"/>
        <v>New Vehicle</v>
      </c>
      <c r="R3988" s="315" t="str">
        <f t="shared" si="335"/>
        <v>New VehicleOther Income per NV unit</v>
      </c>
      <c r="S3988" s="199"/>
      <c r="T3988" s="199"/>
      <c r="U3988" s="199"/>
    </row>
    <row r="3989" spans="1:21" x14ac:dyDescent="0.25">
      <c r="A3989" t="s">
        <v>996</v>
      </c>
      <c r="B3989" t="s">
        <v>997</v>
      </c>
      <c r="C3989" t="s">
        <v>1005</v>
      </c>
      <c r="D3989" t="s">
        <v>1470</v>
      </c>
      <c r="E3989">
        <v>210</v>
      </c>
      <c r="F3989" t="s">
        <v>1014</v>
      </c>
      <c r="G3989" t="s">
        <v>1015</v>
      </c>
      <c r="H3989" s="315" t="s">
        <v>30</v>
      </c>
      <c r="I3989" s="315" t="s">
        <v>1016</v>
      </c>
      <c r="J3989" s="315" t="str">
        <f t="shared" si="331"/>
        <v>Used VehicleEx NV demonstrators gross profit p.u.</v>
      </c>
      <c r="K3989" s="315" t="str">
        <f t="shared" si="332"/>
        <v>210Ex-Toyota NV Demonstrator revenue</v>
      </c>
      <c r="L3989" s="311">
        <f>+SUMIF('TUNZ Extracted TB'!M:M,$P3989,'TUNZ Extracted TB'!G:G)</f>
        <v>0</v>
      </c>
      <c r="M3989" s="311"/>
      <c r="N3989" s="311">
        <f>+SUMIF('Input Sheet'!$AE:$AE,P3989,'Input Sheet'!$X:$X)</f>
        <v>0</v>
      </c>
      <c r="O3989" s="311"/>
      <c r="P3989" t="str">
        <f t="shared" si="333"/>
        <v>210-3021RD</v>
      </c>
      <c r="Q3989" s="315" t="str">
        <f t="shared" si="334"/>
        <v>Used Vehicle</v>
      </c>
      <c r="R3989" s="315" t="str">
        <f t="shared" si="335"/>
        <v>Used VehicleEx NV demonstrators gross profit p.u.</v>
      </c>
      <c r="S3989" s="199"/>
      <c r="T3989" s="199"/>
      <c r="U3989" s="199"/>
    </row>
    <row r="3990" spans="1:21" x14ac:dyDescent="0.25">
      <c r="A3990" t="s">
        <v>996</v>
      </c>
      <c r="B3990" t="s">
        <v>997</v>
      </c>
      <c r="C3990" t="s">
        <v>1012</v>
      </c>
      <c r="D3990" t="s">
        <v>1470</v>
      </c>
      <c r="E3990">
        <v>410</v>
      </c>
      <c r="F3990" t="s">
        <v>1014</v>
      </c>
      <c r="G3990" t="s">
        <v>1015</v>
      </c>
      <c r="H3990" s="315" t="s">
        <v>30</v>
      </c>
      <c r="I3990" s="315" t="s">
        <v>1016</v>
      </c>
      <c r="J3990" s="315" t="str">
        <f t="shared" si="331"/>
        <v>Used VehicleEx NV demonstrators gross profit p.u.</v>
      </c>
      <c r="K3990" s="315" t="str">
        <f t="shared" si="332"/>
        <v>410Ex-Toyota NV Demonstrator revenue</v>
      </c>
      <c r="L3990" s="311">
        <f>+SUMIF('TUNZ Extracted TB'!M:M,$P3990,'TUNZ Extracted TB'!G:G)</f>
        <v>0</v>
      </c>
      <c r="M3990" s="311"/>
      <c r="N3990" s="311">
        <f>+SUMIF('Input Sheet'!$AE:$AE,P3990,'Input Sheet'!$X:$X)</f>
        <v>0</v>
      </c>
      <c r="O3990" s="311"/>
      <c r="P3990" t="str">
        <f t="shared" si="333"/>
        <v>410-3021RD</v>
      </c>
      <c r="Q3990" s="315" t="str">
        <f t="shared" si="334"/>
        <v>Used Vehicle</v>
      </c>
      <c r="R3990" s="315" t="str">
        <f t="shared" si="335"/>
        <v>Used VehicleEx NV demonstrators gross profit p.u.</v>
      </c>
      <c r="S3990" s="199"/>
      <c r="T3990" s="199"/>
      <c r="U3990" s="199"/>
    </row>
    <row r="3991" spans="1:21" x14ac:dyDescent="0.25">
      <c r="A3991" t="s">
        <v>996</v>
      </c>
      <c r="B3991" t="s">
        <v>997</v>
      </c>
      <c r="C3991" t="s">
        <v>1013</v>
      </c>
      <c r="D3991" t="s">
        <v>1470</v>
      </c>
      <c r="E3991">
        <v>310</v>
      </c>
      <c r="F3991" t="s">
        <v>1014</v>
      </c>
      <c r="G3991" t="s">
        <v>1015</v>
      </c>
      <c r="H3991" s="315" t="s">
        <v>30</v>
      </c>
      <c r="I3991" s="315" t="s">
        <v>1016</v>
      </c>
      <c r="J3991" s="315" t="str">
        <f t="shared" si="331"/>
        <v>Used VehicleEx NV demonstrators gross profit p.u.</v>
      </c>
      <c r="K3991" s="315" t="str">
        <f t="shared" si="332"/>
        <v>310Ex-Toyota NV Demonstrator revenue</v>
      </c>
      <c r="L3991" s="311">
        <f>+SUMIF('TUNZ Extracted TB'!M:M,$P3991,'TUNZ Extracted TB'!G:G)</f>
        <v>0</v>
      </c>
      <c r="M3991" s="311"/>
      <c r="N3991" s="311">
        <f>+SUMIF('Input Sheet'!$AE:$AE,P3991,'Input Sheet'!$X:$X)</f>
        <v>0</v>
      </c>
      <c r="O3991" s="311"/>
      <c r="P3991" t="str">
        <f t="shared" si="333"/>
        <v>310-3021RD</v>
      </c>
      <c r="Q3991" s="315" t="str">
        <f t="shared" si="334"/>
        <v>Used Vehicle</v>
      </c>
      <c r="R3991" s="315" t="str">
        <f t="shared" si="335"/>
        <v>Used VehicleEx NV demonstrators gross profit p.u.</v>
      </c>
      <c r="S3991" s="199"/>
      <c r="T3991" s="199"/>
      <c r="U3991" s="199"/>
    </row>
    <row r="3992" spans="1:21" x14ac:dyDescent="0.25">
      <c r="A3992" t="s">
        <v>996</v>
      </c>
      <c r="B3992" t="s">
        <v>997</v>
      </c>
      <c r="C3992" t="s">
        <v>1005</v>
      </c>
      <c r="D3992" t="s">
        <v>1471</v>
      </c>
      <c r="E3992">
        <v>200</v>
      </c>
      <c r="F3992" t="s">
        <v>1024</v>
      </c>
      <c r="G3992" t="s">
        <v>1027</v>
      </c>
      <c r="H3992" s="315" t="s">
        <v>29</v>
      </c>
      <c r="I3992" s="315" t="s">
        <v>1026</v>
      </c>
      <c r="J3992" s="315" t="str">
        <f t="shared" si="331"/>
        <v>New VehicleOther Income per NV unit</v>
      </c>
      <c r="K3992" s="315" t="str">
        <f t="shared" si="332"/>
        <v>200New Vehicle Other Income - Toyota</v>
      </c>
      <c r="L3992" s="311">
        <f>+SUMIF('TUNZ Extracted TB'!M:M,$P3992,'TUNZ Extracted TB'!G:G)</f>
        <v>0</v>
      </c>
      <c r="M3992" s="311"/>
      <c r="N3992" s="311">
        <f>+SUMIF('Input Sheet'!$AE:$AE,P3992,'Input Sheet'!$X:$X)</f>
        <v>0</v>
      </c>
      <c r="O3992" s="311"/>
      <c r="P3992" t="str">
        <f t="shared" si="333"/>
        <v>200-3023R</v>
      </c>
      <c r="Q3992" s="315" t="str">
        <f t="shared" si="334"/>
        <v>New Vehicle</v>
      </c>
      <c r="R3992" s="315" t="str">
        <f t="shared" si="335"/>
        <v>New VehicleOther Income per NV unit</v>
      </c>
      <c r="S3992" s="199"/>
      <c r="T3992" s="199"/>
      <c r="U3992" s="199"/>
    </row>
    <row r="3993" spans="1:21" x14ac:dyDescent="0.25">
      <c r="A3993" t="s">
        <v>996</v>
      </c>
      <c r="B3993" t="s">
        <v>997</v>
      </c>
      <c r="C3993" t="s">
        <v>1012</v>
      </c>
      <c r="D3993" t="s">
        <v>1471</v>
      </c>
      <c r="E3993">
        <v>400</v>
      </c>
      <c r="F3993" t="s">
        <v>1024</v>
      </c>
      <c r="G3993" t="s">
        <v>1027</v>
      </c>
      <c r="H3993" s="315" t="s">
        <v>29</v>
      </c>
      <c r="I3993" s="315" t="s">
        <v>1026</v>
      </c>
      <c r="J3993" s="315" t="str">
        <f t="shared" si="331"/>
        <v>New VehicleOther Income per NV unit</v>
      </c>
      <c r="K3993" s="315" t="str">
        <f t="shared" si="332"/>
        <v>400New Vehicle Other Income - Toyota</v>
      </c>
      <c r="L3993" s="311">
        <f>+SUMIF('TUNZ Extracted TB'!M:M,$P3993,'TUNZ Extracted TB'!G:G)</f>
        <v>0</v>
      </c>
      <c r="M3993" s="311"/>
      <c r="N3993" s="311">
        <f>+SUMIF('Input Sheet'!$AE:$AE,P3993,'Input Sheet'!$X:$X)</f>
        <v>0</v>
      </c>
      <c r="O3993" s="311"/>
      <c r="P3993" t="str">
        <f t="shared" si="333"/>
        <v>400-3023R</v>
      </c>
      <c r="Q3993" s="315" t="str">
        <f t="shared" si="334"/>
        <v>New Vehicle</v>
      </c>
      <c r="R3993" s="315" t="str">
        <f t="shared" si="335"/>
        <v>New VehicleOther Income per NV unit</v>
      </c>
      <c r="S3993" s="199"/>
      <c r="T3993" s="199"/>
      <c r="U3993" s="199"/>
    </row>
    <row r="3994" spans="1:21" x14ac:dyDescent="0.25">
      <c r="A3994" t="s">
        <v>996</v>
      </c>
      <c r="B3994" t="s">
        <v>997</v>
      </c>
      <c r="C3994" t="s">
        <v>1013</v>
      </c>
      <c r="D3994" t="s">
        <v>1471</v>
      </c>
      <c r="E3994">
        <v>300</v>
      </c>
      <c r="F3994" t="s">
        <v>1024</v>
      </c>
      <c r="G3994" t="s">
        <v>1027</v>
      </c>
      <c r="H3994" s="315" t="s">
        <v>29</v>
      </c>
      <c r="I3994" s="315" t="s">
        <v>1026</v>
      </c>
      <c r="J3994" s="315" t="str">
        <f t="shared" si="331"/>
        <v>New VehicleOther Income per NV unit</v>
      </c>
      <c r="K3994" s="315" t="str">
        <f t="shared" si="332"/>
        <v>300New Vehicle Other Income - Toyota</v>
      </c>
      <c r="L3994" s="311">
        <f>+SUMIF('TUNZ Extracted TB'!M:M,$P3994,'TUNZ Extracted TB'!G:G)</f>
        <v>0</v>
      </c>
      <c r="M3994" s="311"/>
      <c r="N3994" s="311">
        <f>+SUMIF('Input Sheet'!$AE:$AE,P3994,'Input Sheet'!$X:$X)</f>
        <v>0</v>
      </c>
      <c r="O3994" s="311"/>
      <c r="P3994" t="str">
        <f t="shared" si="333"/>
        <v>300-3023R</v>
      </c>
      <c r="Q3994" s="315" t="str">
        <f t="shared" si="334"/>
        <v>New Vehicle</v>
      </c>
      <c r="R3994" s="315" t="str">
        <f t="shared" si="335"/>
        <v>New VehicleOther Income per NV unit</v>
      </c>
      <c r="S3994" s="199"/>
      <c r="T3994" s="199"/>
      <c r="U3994" s="199"/>
    </row>
    <row r="3995" spans="1:21" x14ac:dyDescent="0.25">
      <c r="A3995" t="s">
        <v>996</v>
      </c>
      <c r="B3995" t="s">
        <v>997</v>
      </c>
      <c r="C3995" t="s">
        <v>997</v>
      </c>
      <c r="D3995" t="s">
        <v>1471</v>
      </c>
      <c r="E3995">
        <v>110</v>
      </c>
      <c r="F3995" t="s">
        <v>1014</v>
      </c>
      <c r="G3995" t="s">
        <v>1015</v>
      </c>
      <c r="H3995" s="315" t="s">
        <v>30</v>
      </c>
      <c r="I3995" s="315" t="s">
        <v>1016</v>
      </c>
      <c r="J3995" s="315" t="str">
        <f t="shared" si="331"/>
        <v>Used VehicleEx NV demonstrators gross profit p.u.</v>
      </c>
      <c r="K3995" s="315" t="str">
        <f t="shared" si="332"/>
        <v>110Ex-Toyota NV Demonstrator revenue</v>
      </c>
      <c r="L3995" s="311">
        <f>+SUMIF('TUNZ Extracted TB'!M:M,$P3995,'TUNZ Extracted TB'!G:G)</f>
        <v>0</v>
      </c>
      <c r="M3995" s="311"/>
      <c r="N3995" s="311">
        <f>+SUMIF('Input Sheet'!$AE:$AE,P3995,'Input Sheet'!$X:$X)</f>
        <v>0</v>
      </c>
      <c r="O3995" s="311"/>
      <c r="P3995" t="str">
        <f t="shared" si="333"/>
        <v>110-3023R</v>
      </c>
      <c r="Q3995" s="315" t="str">
        <f t="shared" si="334"/>
        <v>Used Vehicle</v>
      </c>
      <c r="R3995" s="315" t="str">
        <f t="shared" si="335"/>
        <v>Used VehicleEx NV demonstrators gross profit p.u.</v>
      </c>
      <c r="S3995" s="199"/>
      <c r="T3995" s="199"/>
      <c r="U3995" s="199"/>
    </row>
    <row r="3996" spans="1:21" x14ac:dyDescent="0.25">
      <c r="A3996" t="s">
        <v>996</v>
      </c>
      <c r="B3996" t="s">
        <v>997</v>
      </c>
      <c r="C3996" t="s">
        <v>997</v>
      </c>
      <c r="D3996" t="s">
        <v>1472</v>
      </c>
      <c r="E3996">
        <v>100</v>
      </c>
      <c r="F3996" t="s">
        <v>1024</v>
      </c>
      <c r="G3996" t="s">
        <v>1027</v>
      </c>
      <c r="H3996" s="315" t="s">
        <v>29</v>
      </c>
      <c r="I3996" s="315" t="s">
        <v>1026</v>
      </c>
      <c r="J3996" s="315" t="str">
        <f t="shared" si="331"/>
        <v>New VehicleOther Income per NV unit</v>
      </c>
      <c r="K3996" s="315" t="str">
        <f t="shared" si="332"/>
        <v>100New Vehicle Other Income - Toyota</v>
      </c>
      <c r="L3996" s="311">
        <f>+SUMIF('TUNZ Extracted TB'!M:M,$P3996,'TUNZ Extracted TB'!G:G)</f>
        <v>0</v>
      </c>
      <c r="M3996" s="311"/>
      <c r="N3996" s="311">
        <f>+SUMIF('Input Sheet'!$AE:$AE,P3996,'Input Sheet'!$X:$X)</f>
        <v>0</v>
      </c>
      <c r="O3996" s="311"/>
      <c r="P3996" t="str">
        <f t="shared" si="333"/>
        <v>100-3023RD</v>
      </c>
      <c r="Q3996" s="315" t="str">
        <f t="shared" si="334"/>
        <v>New Vehicle</v>
      </c>
      <c r="R3996" s="315" t="str">
        <f t="shared" si="335"/>
        <v>New VehicleOther Income per NV unit</v>
      </c>
      <c r="S3996" s="199"/>
      <c r="T3996" s="199"/>
      <c r="U3996" s="199"/>
    </row>
    <row r="3997" spans="1:21" x14ac:dyDescent="0.25">
      <c r="A3997" t="s">
        <v>996</v>
      </c>
      <c r="B3997" t="s">
        <v>997</v>
      </c>
      <c r="C3997" t="s">
        <v>1005</v>
      </c>
      <c r="D3997" t="s">
        <v>1471</v>
      </c>
      <c r="E3997">
        <v>210</v>
      </c>
      <c r="F3997" t="s">
        <v>1014</v>
      </c>
      <c r="G3997" t="s">
        <v>1015</v>
      </c>
      <c r="H3997" s="315" t="s">
        <v>30</v>
      </c>
      <c r="I3997" s="315" t="s">
        <v>1016</v>
      </c>
      <c r="J3997" s="315" t="str">
        <f t="shared" si="331"/>
        <v>Used VehicleEx NV demonstrators gross profit p.u.</v>
      </c>
      <c r="K3997" s="315" t="str">
        <f t="shared" si="332"/>
        <v>210Ex-Toyota NV Demonstrator revenue</v>
      </c>
      <c r="L3997" s="311">
        <f>+SUMIF('TUNZ Extracted TB'!M:M,$P3997,'TUNZ Extracted TB'!G:G)</f>
        <v>0</v>
      </c>
      <c r="M3997" s="311"/>
      <c r="N3997" s="311">
        <f>+SUMIF('Input Sheet'!$AE:$AE,P3997,'Input Sheet'!$X:$X)</f>
        <v>0</v>
      </c>
      <c r="O3997" s="311"/>
      <c r="P3997" t="str">
        <f t="shared" si="333"/>
        <v>210-3023R</v>
      </c>
      <c r="Q3997" s="315" t="str">
        <f t="shared" si="334"/>
        <v>Used Vehicle</v>
      </c>
      <c r="R3997" s="315" t="str">
        <f t="shared" si="335"/>
        <v>Used VehicleEx NV demonstrators gross profit p.u.</v>
      </c>
      <c r="S3997" s="199"/>
      <c r="T3997" s="199"/>
      <c r="U3997" s="199"/>
    </row>
    <row r="3998" spans="1:21" x14ac:dyDescent="0.25">
      <c r="A3998" t="s">
        <v>996</v>
      </c>
      <c r="B3998" t="s">
        <v>997</v>
      </c>
      <c r="C3998" t="s">
        <v>1012</v>
      </c>
      <c r="D3998" t="s">
        <v>1471</v>
      </c>
      <c r="E3998">
        <v>410</v>
      </c>
      <c r="F3998" t="s">
        <v>1014</v>
      </c>
      <c r="G3998" t="s">
        <v>1015</v>
      </c>
      <c r="H3998" s="315" t="s">
        <v>30</v>
      </c>
      <c r="I3998" s="315" t="s">
        <v>1016</v>
      </c>
      <c r="J3998" s="315" t="str">
        <f t="shared" si="331"/>
        <v>Used VehicleEx NV demonstrators gross profit p.u.</v>
      </c>
      <c r="K3998" s="315" t="str">
        <f t="shared" si="332"/>
        <v>410Ex-Toyota NV Demonstrator revenue</v>
      </c>
      <c r="L3998" s="311">
        <f>+SUMIF('TUNZ Extracted TB'!M:M,$P3998,'TUNZ Extracted TB'!G:G)</f>
        <v>0</v>
      </c>
      <c r="M3998" s="311"/>
      <c r="N3998" s="311">
        <f>+SUMIF('Input Sheet'!$AE:$AE,P3998,'Input Sheet'!$X:$X)</f>
        <v>0</v>
      </c>
      <c r="O3998" s="311"/>
      <c r="P3998" t="str">
        <f t="shared" si="333"/>
        <v>410-3023R</v>
      </c>
      <c r="Q3998" s="315" t="str">
        <f t="shared" si="334"/>
        <v>Used Vehicle</v>
      </c>
      <c r="R3998" s="315" t="str">
        <f t="shared" si="335"/>
        <v>Used VehicleEx NV demonstrators gross profit p.u.</v>
      </c>
      <c r="S3998" s="199"/>
      <c r="T3998" s="199"/>
      <c r="U3998" s="199"/>
    </row>
    <row r="3999" spans="1:21" x14ac:dyDescent="0.25">
      <c r="A3999" t="s">
        <v>996</v>
      </c>
      <c r="B3999" t="s">
        <v>997</v>
      </c>
      <c r="C3999" t="s">
        <v>1013</v>
      </c>
      <c r="D3999" t="s">
        <v>1471</v>
      </c>
      <c r="E3999">
        <v>310</v>
      </c>
      <c r="F3999" t="s">
        <v>1014</v>
      </c>
      <c r="G3999" t="s">
        <v>1015</v>
      </c>
      <c r="H3999" s="315" t="s">
        <v>30</v>
      </c>
      <c r="I3999" s="315" t="s">
        <v>1016</v>
      </c>
      <c r="J3999" s="315" t="str">
        <f t="shared" si="331"/>
        <v>Used VehicleEx NV demonstrators gross profit p.u.</v>
      </c>
      <c r="K3999" s="315" t="str">
        <f t="shared" si="332"/>
        <v>310Ex-Toyota NV Demonstrator revenue</v>
      </c>
      <c r="L3999" s="311">
        <f>+SUMIF('TUNZ Extracted TB'!M:M,$P3999,'TUNZ Extracted TB'!G:G)</f>
        <v>0</v>
      </c>
      <c r="M3999" s="311"/>
      <c r="N3999" s="311">
        <f>+SUMIF('Input Sheet'!$AE:$AE,P3999,'Input Sheet'!$X:$X)</f>
        <v>0</v>
      </c>
      <c r="O3999" s="311"/>
      <c r="P3999" t="str">
        <f t="shared" si="333"/>
        <v>310-3023R</v>
      </c>
      <c r="Q3999" s="315" t="str">
        <f t="shared" si="334"/>
        <v>Used Vehicle</v>
      </c>
      <c r="R3999" s="315" t="str">
        <f t="shared" si="335"/>
        <v>Used VehicleEx NV demonstrators gross profit p.u.</v>
      </c>
      <c r="S3999" s="199"/>
      <c r="T3999" s="199"/>
      <c r="U3999" s="199"/>
    </row>
    <row r="4000" spans="1:21" x14ac:dyDescent="0.25">
      <c r="A4000" t="s">
        <v>996</v>
      </c>
      <c r="B4000" t="s">
        <v>997</v>
      </c>
      <c r="C4000" t="s">
        <v>1005</v>
      </c>
      <c r="D4000" t="s">
        <v>1472</v>
      </c>
      <c r="E4000">
        <v>200</v>
      </c>
      <c r="F4000" t="s">
        <v>1024</v>
      </c>
      <c r="G4000" t="s">
        <v>1027</v>
      </c>
      <c r="H4000" s="315" t="s">
        <v>29</v>
      </c>
      <c r="I4000" s="315" t="s">
        <v>1026</v>
      </c>
      <c r="J4000" s="315" t="str">
        <f t="shared" si="331"/>
        <v>New VehicleOther Income per NV unit</v>
      </c>
      <c r="K4000" s="315" t="str">
        <f t="shared" si="332"/>
        <v>200New Vehicle Other Income - Toyota</v>
      </c>
      <c r="L4000" s="311">
        <f>+SUMIF('TUNZ Extracted TB'!M:M,$P4000,'TUNZ Extracted TB'!G:G)</f>
        <v>0</v>
      </c>
      <c r="M4000" s="311"/>
      <c r="N4000" s="311">
        <f>+SUMIF('Input Sheet'!$AE:$AE,P4000,'Input Sheet'!$X:$X)</f>
        <v>0</v>
      </c>
      <c r="O4000" s="311"/>
      <c r="P4000" t="str">
        <f t="shared" si="333"/>
        <v>200-3023RD</v>
      </c>
      <c r="Q4000" s="315" t="str">
        <f t="shared" si="334"/>
        <v>New Vehicle</v>
      </c>
      <c r="R4000" s="315" t="str">
        <f t="shared" si="335"/>
        <v>New VehicleOther Income per NV unit</v>
      </c>
      <c r="S4000" s="199"/>
      <c r="T4000" s="199"/>
      <c r="U4000" s="199"/>
    </row>
    <row r="4001" spans="1:21" x14ac:dyDescent="0.25">
      <c r="A4001" t="s">
        <v>996</v>
      </c>
      <c r="B4001" t="s">
        <v>997</v>
      </c>
      <c r="C4001" t="s">
        <v>1012</v>
      </c>
      <c r="D4001" t="s">
        <v>1472</v>
      </c>
      <c r="E4001">
        <v>400</v>
      </c>
      <c r="F4001" t="s">
        <v>1024</v>
      </c>
      <c r="G4001" t="s">
        <v>1027</v>
      </c>
      <c r="H4001" s="315" t="s">
        <v>29</v>
      </c>
      <c r="I4001" s="315" t="s">
        <v>1026</v>
      </c>
      <c r="J4001" s="315" t="str">
        <f t="shared" si="331"/>
        <v>New VehicleOther Income per NV unit</v>
      </c>
      <c r="K4001" s="315" t="str">
        <f t="shared" si="332"/>
        <v>400New Vehicle Other Income - Toyota</v>
      </c>
      <c r="L4001" s="311">
        <f>+SUMIF('TUNZ Extracted TB'!M:M,$P4001,'TUNZ Extracted TB'!G:G)</f>
        <v>0</v>
      </c>
      <c r="M4001" s="311"/>
      <c r="N4001" s="311">
        <f>+SUMIF('Input Sheet'!$AE:$AE,P4001,'Input Sheet'!$X:$X)</f>
        <v>0</v>
      </c>
      <c r="O4001" s="311"/>
      <c r="P4001" t="str">
        <f t="shared" si="333"/>
        <v>400-3023RD</v>
      </c>
      <c r="Q4001" s="315" t="str">
        <f t="shared" si="334"/>
        <v>New Vehicle</v>
      </c>
      <c r="R4001" s="315" t="str">
        <f t="shared" si="335"/>
        <v>New VehicleOther Income per NV unit</v>
      </c>
      <c r="S4001" s="199"/>
      <c r="T4001" s="199"/>
      <c r="U4001" s="199"/>
    </row>
    <row r="4002" spans="1:21" x14ac:dyDescent="0.25">
      <c r="A4002" t="s">
        <v>996</v>
      </c>
      <c r="B4002" t="s">
        <v>997</v>
      </c>
      <c r="C4002" t="s">
        <v>1013</v>
      </c>
      <c r="D4002" t="s">
        <v>1472</v>
      </c>
      <c r="E4002">
        <v>300</v>
      </c>
      <c r="F4002" t="s">
        <v>1024</v>
      </c>
      <c r="G4002" t="s">
        <v>1027</v>
      </c>
      <c r="H4002" s="315" t="s">
        <v>29</v>
      </c>
      <c r="I4002" s="315" t="s">
        <v>1026</v>
      </c>
      <c r="J4002" s="315" t="str">
        <f t="shared" si="331"/>
        <v>New VehicleOther Income per NV unit</v>
      </c>
      <c r="K4002" s="315" t="str">
        <f t="shared" si="332"/>
        <v>300New Vehicle Other Income - Toyota</v>
      </c>
      <c r="L4002" s="311">
        <f>+SUMIF('TUNZ Extracted TB'!M:M,$P4002,'TUNZ Extracted TB'!G:G)</f>
        <v>0</v>
      </c>
      <c r="M4002" s="311"/>
      <c r="N4002" s="311">
        <f>+SUMIF('Input Sheet'!$AE:$AE,P4002,'Input Sheet'!$X:$X)</f>
        <v>0</v>
      </c>
      <c r="O4002" s="311"/>
      <c r="P4002" t="str">
        <f t="shared" si="333"/>
        <v>300-3023RD</v>
      </c>
      <c r="Q4002" s="315" t="str">
        <f t="shared" si="334"/>
        <v>New Vehicle</v>
      </c>
      <c r="R4002" s="315" t="str">
        <f t="shared" si="335"/>
        <v>New VehicleOther Income per NV unit</v>
      </c>
      <c r="S4002" s="199"/>
      <c r="T4002" s="199"/>
      <c r="U4002" s="199"/>
    </row>
    <row r="4003" spans="1:21" x14ac:dyDescent="0.25">
      <c r="A4003" t="s">
        <v>996</v>
      </c>
      <c r="B4003" t="s">
        <v>997</v>
      </c>
      <c r="C4003" t="s">
        <v>997</v>
      </c>
      <c r="D4003" t="s">
        <v>1472</v>
      </c>
      <c r="E4003">
        <v>110</v>
      </c>
      <c r="F4003" t="s">
        <v>1014</v>
      </c>
      <c r="G4003" t="s">
        <v>1015</v>
      </c>
      <c r="H4003" s="315" t="s">
        <v>30</v>
      </c>
      <c r="I4003" s="315" t="s">
        <v>1016</v>
      </c>
      <c r="J4003" s="315" t="str">
        <f t="shared" si="331"/>
        <v>Used VehicleEx NV demonstrators gross profit p.u.</v>
      </c>
      <c r="K4003" s="315" t="str">
        <f t="shared" si="332"/>
        <v>110Ex-Toyota NV Demonstrator revenue</v>
      </c>
      <c r="L4003" s="311">
        <f>+SUMIF('TUNZ Extracted TB'!M:M,$P4003,'TUNZ Extracted TB'!G:G)</f>
        <v>0</v>
      </c>
      <c r="M4003" s="311"/>
      <c r="N4003" s="311">
        <f>+SUMIF('Input Sheet'!$AE:$AE,P4003,'Input Sheet'!$X:$X)</f>
        <v>0</v>
      </c>
      <c r="O4003" s="311"/>
      <c r="P4003" t="str">
        <f t="shared" si="333"/>
        <v>110-3023RD</v>
      </c>
      <c r="Q4003" s="315" t="str">
        <f t="shared" si="334"/>
        <v>Used Vehicle</v>
      </c>
      <c r="R4003" s="315" t="str">
        <f t="shared" si="335"/>
        <v>Used VehicleEx NV demonstrators gross profit p.u.</v>
      </c>
      <c r="S4003" s="199"/>
      <c r="T4003" s="199"/>
      <c r="U4003" s="199"/>
    </row>
    <row r="4004" spans="1:21" x14ac:dyDescent="0.25">
      <c r="A4004" t="s">
        <v>996</v>
      </c>
      <c r="B4004" t="s">
        <v>997</v>
      </c>
      <c r="C4004" t="s">
        <v>997</v>
      </c>
      <c r="D4004" t="s">
        <v>1473</v>
      </c>
      <c r="E4004">
        <v>100</v>
      </c>
      <c r="F4004" t="s">
        <v>1024</v>
      </c>
      <c r="G4004" t="s">
        <v>1027</v>
      </c>
      <c r="H4004" s="315" t="s">
        <v>29</v>
      </c>
      <c r="I4004" s="315" t="s">
        <v>1026</v>
      </c>
      <c r="J4004" s="315" t="str">
        <f t="shared" si="331"/>
        <v>New VehicleOther Income per NV unit</v>
      </c>
      <c r="K4004" s="315" t="str">
        <f t="shared" si="332"/>
        <v>100New Vehicle Other Income - Toyota</v>
      </c>
      <c r="L4004" s="311">
        <f>+SUMIF('TUNZ Extracted TB'!M:M,$P4004,'TUNZ Extracted TB'!G:G)</f>
        <v>0</v>
      </c>
      <c r="M4004" s="311"/>
      <c r="N4004" s="311">
        <f>+SUMIF('Input Sheet'!$AE:$AE,P4004,'Input Sheet'!$X:$X)</f>
        <v>0</v>
      </c>
      <c r="O4004" s="311"/>
      <c r="P4004" t="str">
        <f t="shared" si="333"/>
        <v>100-3024R</v>
      </c>
      <c r="Q4004" s="315" t="str">
        <f t="shared" si="334"/>
        <v>New Vehicle</v>
      </c>
      <c r="R4004" s="315" t="str">
        <f t="shared" si="335"/>
        <v>New VehicleOther Income per NV unit</v>
      </c>
      <c r="S4004" s="199"/>
      <c r="T4004" s="199"/>
      <c r="U4004" s="199"/>
    </row>
    <row r="4005" spans="1:21" x14ac:dyDescent="0.25">
      <c r="A4005" t="s">
        <v>996</v>
      </c>
      <c r="B4005" t="s">
        <v>997</v>
      </c>
      <c r="C4005" t="s">
        <v>1005</v>
      </c>
      <c r="D4005" t="s">
        <v>1472</v>
      </c>
      <c r="E4005">
        <v>210</v>
      </c>
      <c r="F4005" t="s">
        <v>1014</v>
      </c>
      <c r="G4005" t="s">
        <v>1015</v>
      </c>
      <c r="H4005" s="315" t="s">
        <v>30</v>
      </c>
      <c r="I4005" s="315" t="s">
        <v>1016</v>
      </c>
      <c r="J4005" s="315" t="str">
        <f t="shared" si="331"/>
        <v>Used VehicleEx NV demonstrators gross profit p.u.</v>
      </c>
      <c r="K4005" s="315" t="str">
        <f t="shared" si="332"/>
        <v>210Ex-Toyota NV Demonstrator revenue</v>
      </c>
      <c r="L4005" s="311">
        <f>+SUMIF('TUNZ Extracted TB'!M:M,$P4005,'TUNZ Extracted TB'!G:G)</f>
        <v>0</v>
      </c>
      <c r="M4005" s="311"/>
      <c r="N4005" s="311">
        <f>+SUMIF('Input Sheet'!$AE:$AE,P4005,'Input Sheet'!$X:$X)</f>
        <v>0</v>
      </c>
      <c r="O4005" s="311"/>
      <c r="P4005" t="str">
        <f t="shared" si="333"/>
        <v>210-3023RD</v>
      </c>
      <c r="Q4005" s="315" t="str">
        <f t="shared" si="334"/>
        <v>Used Vehicle</v>
      </c>
      <c r="R4005" s="315" t="str">
        <f t="shared" si="335"/>
        <v>Used VehicleEx NV demonstrators gross profit p.u.</v>
      </c>
      <c r="S4005" s="199"/>
      <c r="T4005" s="199"/>
      <c r="U4005" s="199"/>
    </row>
    <row r="4006" spans="1:21" x14ac:dyDescent="0.25">
      <c r="A4006" t="s">
        <v>996</v>
      </c>
      <c r="B4006" t="s">
        <v>997</v>
      </c>
      <c r="C4006" t="s">
        <v>1012</v>
      </c>
      <c r="D4006" t="s">
        <v>1472</v>
      </c>
      <c r="E4006">
        <v>410</v>
      </c>
      <c r="F4006" t="s">
        <v>1014</v>
      </c>
      <c r="G4006" t="s">
        <v>1015</v>
      </c>
      <c r="H4006" s="315" t="s">
        <v>30</v>
      </c>
      <c r="I4006" s="315" t="s">
        <v>1016</v>
      </c>
      <c r="J4006" s="315" t="str">
        <f t="shared" si="331"/>
        <v>Used VehicleEx NV demonstrators gross profit p.u.</v>
      </c>
      <c r="K4006" s="315" t="str">
        <f t="shared" si="332"/>
        <v>410Ex-Toyota NV Demonstrator revenue</v>
      </c>
      <c r="L4006" s="311">
        <f>+SUMIF('TUNZ Extracted TB'!M:M,$P4006,'TUNZ Extracted TB'!G:G)</f>
        <v>0</v>
      </c>
      <c r="M4006" s="311"/>
      <c r="N4006" s="311">
        <f>+SUMIF('Input Sheet'!$AE:$AE,P4006,'Input Sheet'!$X:$X)</f>
        <v>0</v>
      </c>
      <c r="O4006" s="311"/>
      <c r="P4006" t="str">
        <f t="shared" si="333"/>
        <v>410-3023RD</v>
      </c>
      <c r="Q4006" s="315" t="str">
        <f t="shared" si="334"/>
        <v>Used Vehicle</v>
      </c>
      <c r="R4006" s="315" t="str">
        <f t="shared" si="335"/>
        <v>Used VehicleEx NV demonstrators gross profit p.u.</v>
      </c>
      <c r="S4006" s="199"/>
      <c r="T4006" s="199"/>
      <c r="U4006" s="199"/>
    </row>
    <row r="4007" spans="1:21" x14ac:dyDescent="0.25">
      <c r="A4007" t="s">
        <v>996</v>
      </c>
      <c r="B4007" t="s">
        <v>997</v>
      </c>
      <c r="C4007" t="s">
        <v>1013</v>
      </c>
      <c r="D4007" t="s">
        <v>1472</v>
      </c>
      <c r="E4007">
        <v>310</v>
      </c>
      <c r="F4007" t="s">
        <v>1014</v>
      </c>
      <c r="G4007" t="s">
        <v>1015</v>
      </c>
      <c r="H4007" s="315" t="s">
        <v>30</v>
      </c>
      <c r="I4007" s="315" t="s">
        <v>1016</v>
      </c>
      <c r="J4007" s="315" t="str">
        <f t="shared" si="331"/>
        <v>Used VehicleEx NV demonstrators gross profit p.u.</v>
      </c>
      <c r="K4007" s="315" t="str">
        <f t="shared" si="332"/>
        <v>310Ex-Toyota NV Demonstrator revenue</v>
      </c>
      <c r="L4007" s="311">
        <f>+SUMIF('TUNZ Extracted TB'!M:M,$P4007,'TUNZ Extracted TB'!G:G)</f>
        <v>0</v>
      </c>
      <c r="M4007" s="311"/>
      <c r="N4007" s="311">
        <f>+SUMIF('Input Sheet'!$AE:$AE,P4007,'Input Sheet'!$X:$X)</f>
        <v>0</v>
      </c>
      <c r="O4007" s="311"/>
      <c r="P4007" t="str">
        <f t="shared" si="333"/>
        <v>310-3023RD</v>
      </c>
      <c r="Q4007" s="315" t="str">
        <f t="shared" si="334"/>
        <v>Used Vehicle</v>
      </c>
      <c r="R4007" s="315" t="str">
        <f t="shared" si="335"/>
        <v>Used VehicleEx NV demonstrators gross profit p.u.</v>
      </c>
      <c r="S4007" s="199"/>
      <c r="T4007" s="199"/>
      <c r="U4007" s="199"/>
    </row>
    <row r="4008" spans="1:21" x14ac:dyDescent="0.25">
      <c r="A4008" t="s">
        <v>996</v>
      </c>
      <c r="B4008" t="s">
        <v>997</v>
      </c>
      <c r="C4008" t="s">
        <v>1005</v>
      </c>
      <c r="D4008" t="s">
        <v>1473</v>
      </c>
      <c r="E4008">
        <v>200</v>
      </c>
      <c r="F4008" t="s">
        <v>1024</v>
      </c>
      <c r="G4008" t="s">
        <v>1027</v>
      </c>
      <c r="H4008" s="315" t="s">
        <v>29</v>
      </c>
      <c r="I4008" s="315" t="s">
        <v>1026</v>
      </c>
      <c r="J4008" s="315" t="str">
        <f t="shared" si="331"/>
        <v>New VehicleOther Income per NV unit</v>
      </c>
      <c r="K4008" s="315" t="str">
        <f t="shared" si="332"/>
        <v>200New Vehicle Other Income - Toyota</v>
      </c>
      <c r="L4008" s="311">
        <f>+SUMIF('TUNZ Extracted TB'!M:M,$P4008,'TUNZ Extracted TB'!G:G)</f>
        <v>0</v>
      </c>
      <c r="M4008" s="311"/>
      <c r="N4008" s="311">
        <f>+SUMIF('Input Sheet'!$AE:$AE,P4008,'Input Sheet'!$X:$X)</f>
        <v>0</v>
      </c>
      <c r="O4008" s="311"/>
      <c r="P4008" t="str">
        <f t="shared" si="333"/>
        <v>200-3024R</v>
      </c>
      <c r="Q4008" s="315" t="str">
        <f t="shared" si="334"/>
        <v>New Vehicle</v>
      </c>
      <c r="R4008" s="315" t="str">
        <f t="shared" si="335"/>
        <v>New VehicleOther Income per NV unit</v>
      </c>
      <c r="S4008" s="199"/>
      <c r="T4008" s="199"/>
      <c r="U4008" s="199"/>
    </row>
    <row r="4009" spans="1:21" x14ac:dyDescent="0.25">
      <c r="A4009" t="s">
        <v>996</v>
      </c>
      <c r="B4009" t="s">
        <v>997</v>
      </c>
      <c r="C4009" t="s">
        <v>1012</v>
      </c>
      <c r="D4009" t="s">
        <v>1473</v>
      </c>
      <c r="E4009">
        <v>400</v>
      </c>
      <c r="F4009" t="s">
        <v>1024</v>
      </c>
      <c r="G4009" t="s">
        <v>1027</v>
      </c>
      <c r="H4009" s="315" t="s">
        <v>29</v>
      </c>
      <c r="I4009" s="315" t="s">
        <v>1026</v>
      </c>
      <c r="J4009" s="315" t="str">
        <f t="shared" si="331"/>
        <v>New VehicleOther Income per NV unit</v>
      </c>
      <c r="K4009" s="315" t="str">
        <f t="shared" si="332"/>
        <v>400New Vehicle Other Income - Toyota</v>
      </c>
      <c r="L4009" s="311">
        <f>+SUMIF('TUNZ Extracted TB'!M:M,$P4009,'TUNZ Extracted TB'!G:G)</f>
        <v>0</v>
      </c>
      <c r="M4009" s="311"/>
      <c r="N4009" s="311">
        <f>+SUMIF('Input Sheet'!$AE:$AE,P4009,'Input Sheet'!$X:$X)</f>
        <v>0</v>
      </c>
      <c r="O4009" s="311"/>
      <c r="P4009" t="str">
        <f t="shared" si="333"/>
        <v>400-3024R</v>
      </c>
      <c r="Q4009" s="315" t="str">
        <f t="shared" si="334"/>
        <v>New Vehicle</v>
      </c>
      <c r="R4009" s="315" t="str">
        <f t="shared" si="335"/>
        <v>New VehicleOther Income per NV unit</v>
      </c>
      <c r="S4009" s="199"/>
      <c r="T4009" s="199"/>
      <c r="U4009" s="199"/>
    </row>
    <row r="4010" spans="1:21" x14ac:dyDescent="0.25">
      <c r="A4010" t="s">
        <v>996</v>
      </c>
      <c r="B4010" t="s">
        <v>997</v>
      </c>
      <c r="C4010" t="s">
        <v>1013</v>
      </c>
      <c r="D4010" t="s">
        <v>1473</v>
      </c>
      <c r="E4010">
        <v>300</v>
      </c>
      <c r="F4010" t="s">
        <v>1024</v>
      </c>
      <c r="G4010" t="s">
        <v>1027</v>
      </c>
      <c r="H4010" s="315" t="s">
        <v>29</v>
      </c>
      <c r="I4010" s="315" t="s">
        <v>1026</v>
      </c>
      <c r="J4010" s="315" t="str">
        <f t="shared" si="331"/>
        <v>New VehicleOther Income per NV unit</v>
      </c>
      <c r="K4010" s="315" t="str">
        <f t="shared" si="332"/>
        <v>300New Vehicle Other Income - Toyota</v>
      </c>
      <c r="L4010" s="311">
        <f>+SUMIF('TUNZ Extracted TB'!M:M,$P4010,'TUNZ Extracted TB'!G:G)</f>
        <v>0</v>
      </c>
      <c r="M4010" s="311"/>
      <c r="N4010" s="311">
        <f>+SUMIF('Input Sheet'!$AE:$AE,P4010,'Input Sheet'!$X:$X)</f>
        <v>0</v>
      </c>
      <c r="O4010" s="311"/>
      <c r="P4010" t="str">
        <f t="shared" si="333"/>
        <v>300-3024R</v>
      </c>
      <c r="Q4010" s="315" t="str">
        <f t="shared" si="334"/>
        <v>New Vehicle</v>
      </c>
      <c r="R4010" s="315" t="str">
        <f t="shared" si="335"/>
        <v>New VehicleOther Income per NV unit</v>
      </c>
      <c r="S4010" s="199"/>
      <c r="T4010" s="199"/>
      <c r="U4010" s="199"/>
    </row>
    <row r="4011" spans="1:21" x14ac:dyDescent="0.25">
      <c r="A4011" t="s">
        <v>996</v>
      </c>
      <c r="B4011" t="s">
        <v>997</v>
      </c>
      <c r="C4011" t="s">
        <v>997</v>
      </c>
      <c r="D4011" t="s">
        <v>1473</v>
      </c>
      <c r="E4011">
        <v>110</v>
      </c>
      <c r="F4011" t="s">
        <v>1014</v>
      </c>
      <c r="G4011" t="s">
        <v>1015</v>
      </c>
      <c r="H4011" s="315" t="s">
        <v>30</v>
      </c>
      <c r="I4011" s="315" t="s">
        <v>1016</v>
      </c>
      <c r="J4011" s="315" t="str">
        <f t="shared" si="331"/>
        <v>Used VehicleEx NV demonstrators gross profit p.u.</v>
      </c>
      <c r="K4011" s="315" t="str">
        <f t="shared" si="332"/>
        <v>110Ex-Toyota NV Demonstrator revenue</v>
      </c>
      <c r="L4011" s="311">
        <f>+SUMIF('TUNZ Extracted TB'!M:M,$P4011,'TUNZ Extracted TB'!G:G)</f>
        <v>0</v>
      </c>
      <c r="M4011" s="311"/>
      <c r="N4011" s="311">
        <f>+SUMIF('Input Sheet'!$AE:$AE,P4011,'Input Sheet'!$X:$X)</f>
        <v>0</v>
      </c>
      <c r="O4011" s="311"/>
      <c r="P4011" t="str">
        <f t="shared" si="333"/>
        <v>110-3024R</v>
      </c>
      <c r="Q4011" s="315" t="str">
        <f t="shared" si="334"/>
        <v>Used Vehicle</v>
      </c>
      <c r="R4011" s="315" t="str">
        <f t="shared" si="335"/>
        <v>Used VehicleEx NV demonstrators gross profit p.u.</v>
      </c>
      <c r="S4011" s="199"/>
      <c r="T4011" s="199"/>
      <c r="U4011" s="199"/>
    </row>
    <row r="4012" spans="1:21" x14ac:dyDescent="0.25">
      <c r="A4012" t="s">
        <v>996</v>
      </c>
      <c r="B4012" t="s">
        <v>997</v>
      </c>
      <c r="C4012" t="s">
        <v>997</v>
      </c>
      <c r="D4012" t="s">
        <v>1474</v>
      </c>
      <c r="E4012">
        <v>100</v>
      </c>
      <c r="F4012" t="s">
        <v>1024</v>
      </c>
      <c r="G4012" t="s">
        <v>1027</v>
      </c>
      <c r="H4012" s="315" t="s">
        <v>29</v>
      </c>
      <c r="I4012" s="315" t="s">
        <v>1026</v>
      </c>
      <c r="J4012" s="315" t="str">
        <f t="shared" si="331"/>
        <v>New VehicleOther Income per NV unit</v>
      </c>
      <c r="K4012" s="315" t="str">
        <f t="shared" si="332"/>
        <v>100New Vehicle Other Income - Toyota</v>
      </c>
      <c r="L4012" s="311">
        <f>+SUMIF('TUNZ Extracted TB'!M:M,$P4012,'TUNZ Extracted TB'!G:G)</f>
        <v>0</v>
      </c>
      <c r="M4012" s="311"/>
      <c r="N4012" s="311">
        <f>+SUMIF('Input Sheet'!$AE:$AE,P4012,'Input Sheet'!$X:$X)</f>
        <v>0</v>
      </c>
      <c r="O4012" s="311"/>
      <c r="P4012" t="str">
        <f t="shared" si="333"/>
        <v>100-3024RD</v>
      </c>
      <c r="Q4012" s="315" t="str">
        <f t="shared" si="334"/>
        <v>New Vehicle</v>
      </c>
      <c r="R4012" s="315" t="str">
        <f t="shared" si="335"/>
        <v>New VehicleOther Income per NV unit</v>
      </c>
      <c r="S4012" s="199"/>
      <c r="T4012" s="199"/>
      <c r="U4012" s="199"/>
    </row>
    <row r="4013" spans="1:21" x14ac:dyDescent="0.25">
      <c r="A4013" t="s">
        <v>996</v>
      </c>
      <c r="B4013" t="s">
        <v>997</v>
      </c>
      <c r="C4013" t="s">
        <v>1005</v>
      </c>
      <c r="D4013" t="s">
        <v>1473</v>
      </c>
      <c r="E4013">
        <v>210</v>
      </c>
      <c r="F4013" t="s">
        <v>1014</v>
      </c>
      <c r="G4013" t="s">
        <v>1015</v>
      </c>
      <c r="H4013" s="315" t="s">
        <v>30</v>
      </c>
      <c r="I4013" s="315" t="s">
        <v>1016</v>
      </c>
      <c r="J4013" s="315" t="str">
        <f t="shared" si="331"/>
        <v>Used VehicleEx NV demonstrators gross profit p.u.</v>
      </c>
      <c r="K4013" s="315" t="str">
        <f t="shared" si="332"/>
        <v>210Ex-Toyota NV Demonstrator revenue</v>
      </c>
      <c r="L4013" s="311">
        <f>+SUMIF('TUNZ Extracted TB'!M:M,$P4013,'TUNZ Extracted TB'!G:G)</f>
        <v>0</v>
      </c>
      <c r="M4013" s="311"/>
      <c r="N4013" s="311">
        <f>+SUMIF('Input Sheet'!$AE:$AE,P4013,'Input Sheet'!$X:$X)</f>
        <v>0</v>
      </c>
      <c r="O4013" s="311"/>
      <c r="P4013" t="str">
        <f t="shared" si="333"/>
        <v>210-3024R</v>
      </c>
      <c r="Q4013" s="315" t="str">
        <f t="shared" si="334"/>
        <v>Used Vehicle</v>
      </c>
      <c r="R4013" s="315" t="str">
        <f t="shared" si="335"/>
        <v>Used VehicleEx NV demonstrators gross profit p.u.</v>
      </c>
      <c r="S4013" s="199"/>
      <c r="T4013" s="199"/>
      <c r="U4013" s="199"/>
    </row>
    <row r="4014" spans="1:21" x14ac:dyDescent="0.25">
      <c r="A4014" t="s">
        <v>996</v>
      </c>
      <c r="B4014" t="s">
        <v>997</v>
      </c>
      <c r="C4014" t="s">
        <v>1012</v>
      </c>
      <c r="D4014" t="s">
        <v>1473</v>
      </c>
      <c r="E4014">
        <v>410</v>
      </c>
      <c r="F4014" t="s">
        <v>1014</v>
      </c>
      <c r="G4014" t="s">
        <v>1015</v>
      </c>
      <c r="H4014" s="315" t="s">
        <v>30</v>
      </c>
      <c r="I4014" s="315" t="s">
        <v>1016</v>
      </c>
      <c r="J4014" s="315" t="str">
        <f t="shared" si="331"/>
        <v>Used VehicleEx NV demonstrators gross profit p.u.</v>
      </c>
      <c r="K4014" s="315" t="str">
        <f t="shared" si="332"/>
        <v>410Ex-Toyota NV Demonstrator revenue</v>
      </c>
      <c r="L4014" s="311">
        <f>+SUMIF('TUNZ Extracted TB'!M:M,$P4014,'TUNZ Extracted TB'!G:G)</f>
        <v>0</v>
      </c>
      <c r="M4014" s="311"/>
      <c r="N4014" s="311">
        <f>+SUMIF('Input Sheet'!$AE:$AE,P4014,'Input Sheet'!$X:$X)</f>
        <v>0</v>
      </c>
      <c r="O4014" s="311"/>
      <c r="P4014" t="str">
        <f t="shared" si="333"/>
        <v>410-3024R</v>
      </c>
      <c r="Q4014" s="315" t="str">
        <f t="shared" si="334"/>
        <v>Used Vehicle</v>
      </c>
      <c r="R4014" s="315" t="str">
        <f t="shared" si="335"/>
        <v>Used VehicleEx NV demonstrators gross profit p.u.</v>
      </c>
      <c r="S4014" s="199"/>
      <c r="T4014" s="199"/>
      <c r="U4014" s="199"/>
    </row>
    <row r="4015" spans="1:21" x14ac:dyDescent="0.25">
      <c r="A4015" t="s">
        <v>996</v>
      </c>
      <c r="B4015" t="s">
        <v>997</v>
      </c>
      <c r="C4015" t="s">
        <v>1013</v>
      </c>
      <c r="D4015" t="s">
        <v>1473</v>
      </c>
      <c r="E4015">
        <v>310</v>
      </c>
      <c r="F4015" t="s">
        <v>1014</v>
      </c>
      <c r="G4015" t="s">
        <v>1015</v>
      </c>
      <c r="H4015" s="315" t="s">
        <v>30</v>
      </c>
      <c r="I4015" s="315" t="s">
        <v>1016</v>
      </c>
      <c r="J4015" s="315" t="str">
        <f t="shared" si="331"/>
        <v>Used VehicleEx NV demonstrators gross profit p.u.</v>
      </c>
      <c r="K4015" s="315" t="str">
        <f t="shared" si="332"/>
        <v>310Ex-Toyota NV Demonstrator revenue</v>
      </c>
      <c r="L4015" s="311">
        <f>+SUMIF('TUNZ Extracted TB'!M:M,$P4015,'TUNZ Extracted TB'!G:G)</f>
        <v>0</v>
      </c>
      <c r="M4015" s="311"/>
      <c r="N4015" s="311">
        <f>+SUMIF('Input Sheet'!$AE:$AE,P4015,'Input Sheet'!$X:$X)</f>
        <v>0</v>
      </c>
      <c r="O4015" s="311"/>
      <c r="P4015" t="str">
        <f t="shared" si="333"/>
        <v>310-3024R</v>
      </c>
      <c r="Q4015" s="315" t="str">
        <f t="shared" si="334"/>
        <v>Used Vehicle</v>
      </c>
      <c r="R4015" s="315" t="str">
        <f t="shared" si="335"/>
        <v>Used VehicleEx NV demonstrators gross profit p.u.</v>
      </c>
      <c r="S4015" s="199"/>
      <c r="T4015" s="199"/>
      <c r="U4015" s="199"/>
    </row>
    <row r="4016" spans="1:21" x14ac:dyDescent="0.25">
      <c r="A4016" t="s">
        <v>996</v>
      </c>
      <c r="B4016" t="s">
        <v>997</v>
      </c>
      <c r="C4016" t="s">
        <v>1005</v>
      </c>
      <c r="D4016" t="s">
        <v>1474</v>
      </c>
      <c r="E4016">
        <v>200</v>
      </c>
      <c r="F4016" t="s">
        <v>1024</v>
      </c>
      <c r="G4016" t="s">
        <v>1027</v>
      </c>
      <c r="H4016" s="315" t="s">
        <v>29</v>
      </c>
      <c r="I4016" s="315" t="s">
        <v>1026</v>
      </c>
      <c r="J4016" s="315" t="str">
        <f t="shared" si="331"/>
        <v>New VehicleOther Income per NV unit</v>
      </c>
      <c r="K4016" s="315" t="str">
        <f t="shared" si="332"/>
        <v>200New Vehicle Other Income - Toyota</v>
      </c>
      <c r="L4016" s="311">
        <f>+SUMIF('TUNZ Extracted TB'!M:M,$P4016,'TUNZ Extracted TB'!G:G)</f>
        <v>0</v>
      </c>
      <c r="M4016" s="311"/>
      <c r="N4016" s="311">
        <f>+SUMIF('Input Sheet'!$AE:$AE,P4016,'Input Sheet'!$X:$X)</f>
        <v>0</v>
      </c>
      <c r="O4016" s="311"/>
      <c r="P4016" t="str">
        <f t="shared" si="333"/>
        <v>200-3024RD</v>
      </c>
      <c r="Q4016" s="315" t="str">
        <f t="shared" si="334"/>
        <v>New Vehicle</v>
      </c>
      <c r="R4016" s="315" t="str">
        <f t="shared" si="335"/>
        <v>New VehicleOther Income per NV unit</v>
      </c>
      <c r="S4016" s="199"/>
      <c r="T4016" s="199"/>
      <c r="U4016" s="199"/>
    </row>
    <row r="4017" spans="1:21" x14ac:dyDescent="0.25">
      <c r="A4017" t="s">
        <v>996</v>
      </c>
      <c r="B4017" t="s">
        <v>997</v>
      </c>
      <c r="C4017" t="s">
        <v>1012</v>
      </c>
      <c r="D4017" t="s">
        <v>1474</v>
      </c>
      <c r="E4017">
        <v>400</v>
      </c>
      <c r="F4017" t="s">
        <v>1024</v>
      </c>
      <c r="G4017" t="s">
        <v>1027</v>
      </c>
      <c r="H4017" s="315" t="s">
        <v>29</v>
      </c>
      <c r="I4017" s="315" t="s">
        <v>1026</v>
      </c>
      <c r="J4017" s="315" t="str">
        <f t="shared" si="331"/>
        <v>New VehicleOther Income per NV unit</v>
      </c>
      <c r="K4017" s="315" t="str">
        <f t="shared" si="332"/>
        <v>400New Vehicle Other Income - Toyota</v>
      </c>
      <c r="L4017" s="311">
        <f>+SUMIF('TUNZ Extracted TB'!M:M,$P4017,'TUNZ Extracted TB'!G:G)</f>
        <v>0</v>
      </c>
      <c r="M4017" s="311"/>
      <c r="N4017" s="311">
        <f>+SUMIF('Input Sheet'!$AE:$AE,P4017,'Input Sheet'!$X:$X)</f>
        <v>0</v>
      </c>
      <c r="O4017" s="311"/>
      <c r="P4017" t="str">
        <f t="shared" si="333"/>
        <v>400-3024RD</v>
      </c>
      <c r="Q4017" s="315" t="str">
        <f t="shared" si="334"/>
        <v>New Vehicle</v>
      </c>
      <c r="R4017" s="315" t="str">
        <f t="shared" si="335"/>
        <v>New VehicleOther Income per NV unit</v>
      </c>
      <c r="S4017" s="199"/>
      <c r="T4017" s="199"/>
      <c r="U4017" s="199"/>
    </row>
    <row r="4018" spans="1:21" x14ac:dyDescent="0.25">
      <c r="A4018" t="s">
        <v>996</v>
      </c>
      <c r="B4018" t="s">
        <v>997</v>
      </c>
      <c r="C4018" t="s">
        <v>1013</v>
      </c>
      <c r="D4018" t="s">
        <v>1474</v>
      </c>
      <c r="E4018">
        <v>300</v>
      </c>
      <c r="F4018" t="s">
        <v>1024</v>
      </c>
      <c r="G4018" t="s">
        <v>1027</v>
      </c>
      <c r="H4018" s="315" t="s">
        <v>29</v>
      </c>
      <c r="I4018" s="315" t="s">
        <v>1026</v>
      </c>
      <c r="J4018" s="315" t="str">
        <f t="shared" si="331"/>
        <v>New VehicleOther Income per NV unit</v>
      </c>
      <c r="K4018" s="315" t="str">
        <f t="shared" si="332"/>
        <v>300New Vehicle Other Income - Toyota</v>
      </c>
      <c r="L4018" s="311">
        <f>+SUMIF('TUNZ Extracted TB'!M:M,$P4018,'TUNZ Extracted TB'!G:G)</f>
        <v>0</v>
      </c>
      <c r="M4018" s="311"/>
      <c r="N4018" s="311">
        <f>+SUMIF('Input Sheet'!$AE:$AE,P4018,'Input Sheet'!$X:$X)</f>
        <v>0</v>
      </c>
      <c r="O4018" s="311"/>
      <c r="P4018" t="str">
        <f t="shared" si="333"/>
        <v>300-3024RD</v>
      </c>
      <c r="Q4018" s="315" t="str">
        <f t="shared" si="334"/>
        <v>New Vehicle</v>
      </c>
      <c r="R4018" s="315" t="str">
        <f t="shared" si="335"/>
        <v>New VehicleOther Income per NV unit</v>
      </c>
      <c r="S4018" s="199"/>
      <c r="T4018" s="199"/>
      <c r="U4018" s="199"/>
    </row>
    <row r="4019" spans="1:21" x14ac:dyDescent="0.25">
      <c r="A4019" t="s">
        <v>996</v>
      </c>
      <c r="B4019" t="s">
        <v>997</v>
      </c>
      <c r="C4019" t="s">
        <v>997</v>
      </c>
      <c r="D4019" t="s">
        <v>1474</v>
      </c>
      <c r="E4019">
        <v>110</v>
      </c>
      <c r="F4019" t="s">
        <v>1014</v>
      </c>
      <c r="G4019" t="s">
        <v>1015</v>
      </c>
      <c r="H4019" s="315" t="s">
        <v>30</v>
      </c>
      <c r="I4019" s="315" t="s">
        <v>1016</v>
      </c>
      <c r="J4019" s="315" t="str">
        <f t="shared" si="331"/>
        <v>Used VehicleEx NV demonstrators gross profit p.u.</v>
      </c>
      <c r="K4019" s="315" t="str">
        <f t="shared" si="332"/>
        <v>110Ex-Toyota NV Demonstrator revenue</v>
      </c>
      <c r="L4019" s="311">
        <f>+SUMIF('TUNZ Extracted TB'!M:M,$P4019,'TUNZ Extracted TB'!G:G)</f>
        <v>0</v>
      </c>
      <c r="M4019" s="311"/>
      <c r="N4019" s="311">
        <f>+SUMIF('Input Sheet'!$AE:$AE,P4019,'Input Sheet'!$X:$X)</f>
        <v>0</v>
      </c>
      <c r="O4019" s="311"/>
      <c r="P4019" t="str">
        <f t="shared" si="333"/>
        <v>110-3024RD</v>
      </c>
      <c r="Q4019" s="315" t="str">
        <f t="shared" si="334"/>
        <v>Used Vehicle</v>
      </c>
      <c r="R4019" s="315" t="str">
        <f t="shared" si="335"/>
        <v>Used VehicleEx NV demonstrators gross profit p.u.</v>
      </c>
      <c r="S4019" s="199"/>
      <c r="T4019" s="199"/>
      <c r="U4019" s="199"/>
    </row>
    <row r="4020" spans="1:21" x14ac:dyDescent="0.25">
      <c r="A4020" t="s">
        <v>996</v>
      </c>
      <c r="B4020" t="s">
        <v>997</v>
      </c>
      <c r="C4020" t="s">
        <v>997</v>
      </c>
      <c r="D4020" t="s">
        <v>509</v>
      </c>
      <c r="E4020">
        <v>100</v>
      </c>
      <c r="F4020" t="s">
        <v>1024</v>
      </c>
      <c r="G4020" t="s">
        <v>1027</v>
      </c>
      <c r="H4020" s="315" t="s">
        <v>29</v>
      </c>
      <c r="I4020" s="315" t="s">
        <v>1026</v>
      </c>
      <c r="J4020" s="315" t="str">
        <f t="shared" si="331"/>
        <v>New VehicleOther Income per NV unit</v>
      </c>
      <c r="K4020" s="315" t="str">
        <f t="shared" si="332"/>
        <v>100New Vehicle Other Income - Toyota</v>
      </c>
      <c r="L4020" s="311">
        <f>+SUMIF('TUNZ Extracted TB'!M:M,$P4020,'TUNZ Extracted TB'!G:G)</f>
        <v>0</v>
      </c>
      <c r="M4020" s="311"/>
      <c r="N4020" s="311">
        <f>+SUMIF('Input Sheet'!$AE:$AE,P4020,'Input Sheet'!$X:$X)</f>
        <v>0</v>
      </c>
      <c r="O4020" s="311"/>
      <c r="P4020" t="str">
        <f t="shared" si="333"/>
        <v>100-3037R</v>
      </c>
      <c r="Q4020" s="315" t="str">
        <f t="shared" si="334"/>
        <v>New Vehicle</v>
      </c>
      <c r="R4020" s="315" t="str">
        <f t="shared" si="335"/>
        <v>New VehicleOther Income per NV unit</v>
      </c>
      <c r="S4020" s="199"/>
      <c r="T4020" s="199"/>
      <c r="U4020" s="199"/>
    </row>
    <row r="4021" spans="1:21" x14ac:dyDescent="0.25">
      <c r="A4021" t="s">
        <v>996</v>
      </c>
      <c r="B4021" t="s">
        <v>997</v>
      </c>
      <c r="C4021" t="s">
        <v>1005</v>
      </c>
      <c r="D4021" t="s">
        <v>1474</v>
      </c>
      <c r="E4021">
        <v>210</v>
      </c>
      <c r="F4021" t="s">
        <v>1014</v>
      </c>
      <c r="G4021" t="s">
        <v>1015</v>
      </c>
      <c r="H4021" s="315" t="s">
        <v>30</v>
      </c>
      <c r="I4021" s="315" t="s">
        <v>1016</v>
      </c>
      <c r="J4021" s="315" t="str">
        <f t="shared" si="331"/>
        <v>Used VehicleEx NV demonstrators gross profit p.u.</v>
      </c>
      <c r="K4021" s="315" t="str">
        <f t="shared" si="332"/>
        <v>210Ex-Toyota NV Demonstrator revenue</v>
      </c>
      <c r="L4021" s="311">
        <f>+SUMIF('TUNZ Extracted TB'!M:M,$P4021,'TUNZ Extracted TB'!G:G)</f>
        <v>0</v>
      </c>
      <c r="M4021" s="311"/>
      <c r="N4021" s="311">
        <f>+SUMIF('Input Sheet'!$AE:$AE,P4021,'Input Sheet'!$X:$X)</f>
        <v>0</v>
      </c>
      <c r="O4021" s="311"/>
      <c r="P4021" t="str">
        <f t="shared" si="333"/>
        <v>210-3024RD</v>
      </c>
      <c r="Q4021" s="315" t="str">
        <f t="shared" si="334"/>
        <v>Used Vehicle</v>
      </c>
      <c r="R4021" s="315" t="str">
        <f t="shared" si="335"/>
        <v>Used VehicleEx NV demonstrators gross profit p.u.</v>
      </c>
      <c r="S4021" s="199"/>
      <c r="T4021" s="199"/>
      <c r="U4021" s="199"/>
    </row>
    <row r="4022" spans="1:21" x14ac:dyDescent="0.25">
      <c r="A4022" t="s">
        <v>996</v>
      </c>
      <c r="B4022" t="s">
        <v>997</v>
      </c>
      <c r="C4022" t="s">
        <v>1012</v>
      </c>
      <c r="D4022" t="s">
        <v>1474</v>
      </c>
      <c r="E4022">
        <v>410</v>
      </c>
      <c r="F4022" t="s">
        <v>1014</v>
      </c>
      <c r="G4022" t="s">
        <v>1015</v>
      </c>
      <c r="H4022" s="315" t="s">
        <v>30</v>
      </c>
      <c r="I4022" s="315" t="s">
        <v>1016</v>
      </c>
      <c r="J4022" s="315" t="str">
        <f t="shared" si="331"/>
        <v>Used VehicleEx NV demonstrators gross profit p.u.</v>
      </c>
      <c r="K4022" s="315" t="str">
        <f t="shared" si="332"/>
        <v>410Ex-Toyota NV Demonstrator revenue</v>
      </c>
      <c r="L4022" s="311">
        <f>+SUMIF('TUNZ Extracted TB'!M:M,$P4022,'TUNZ Extracted TB'!G:G)</f>
        <v>0</v>
      </c>
      <c r="M4022" s="311"/>
      <c r="N4022" s="311">
        <f>+SUMIF('Input Sheet'!$AE:$AE,P4022,'Input Sheet'!$X:$X)</f>
        <v>0</v>
      </c>
      <c r="O4022" s="311"/>
      <c r="P4022" t="str">
        <f t="shared" si="333"/>
        <v>410-3024RD</v>
      </c>
      <c r="Q4022" s="315" t="str">
        <f t="shared" si="334"/>
        <v>Used Vehicle</v>
      </c>
      <c r="R4022" s="315" t="str">
        <f t="shared" si="335"/>
        <v>Used VehicleEx NV demonstrators gross profit p.u.</v>
      </c>
      <c r="S4022" s="199"/>
      <c r="T4022" s="199"/>
      <c r="U4022" s="199"/>
    </row>
    <row r="4023" spans="1:21" x14ac:dyDescent="0.25">
      <c r="A4023" t="s">
        <v>996</v>
      </c>
      <c r="B4023" t="s">
        <v>997</v>
      </c>
      <c r="C4023" t="s">
        <v>1013</v>
      </c>
      <c r="D4023" t="s">
        <v>1474</v>
      </c>
      <c r="E4023">
        <v>310</v>
      </c>
      <c r="F4023" t="s">
        <v>1014</v>
      </c>
      <c r="G4023" t="s">
        <v>1015</v>
      </c>
      <c r="H4023" s="315" t="s">
        <v>30</v>
      </c>
      <c r="I4023" s="315" t="s">
        <v>1016</v>
      </c>
      <c r="J4023" s="315" t="str">
        <f t="shared" si="331"/>
        <v>Used VehicleEx NV demonstrators gross profit p.u.</v>
      </c>
      <c r="K4023" s="315" t="str">
        <f t="shared" si="332"/>
        <v>310Ex-Toyota NV Demonstrator revenue</v>
      </c>
      <c r="L4023" s="311">
        <f>+SUMIF('TUNZ Extracted TB'!M:M,$P4023,'TUNZ Extracted TB'!G:G)</f>
        <v>0</v>
      </c>
      <c r="M4023" s="311"/>
      <c r="N4023" s="311">
        <f>+SUMIF('Input Sheet'!$AE:$AE,P4023,'Input Sheet'!$X:$X)</f>
        <v>0</v>
      </c>
      <c r="O4023" s="311"/>
      <c r="P4023" t="str">
        <f t="shared" si="333"/>
        <v>310-3024RD</v>
      </c>
      <c r="Q4023" s="315" t="str">
        <f t="shared" si="334"/>
        <v>Used Vehicle</v>
      </c>
      <c r="R4023" s="315" t="str">
        <f t="shared" si="335"/>
        <v>Used VehicleEx NV demonstrators gross profit p.u.</v>
      </c>
      <c r="S4023" s="199"/>
      <c r="T4023" s="199"/>
      <c r="U4023" s="199"/>
    </row>
    <row r="4024" spans="1:21" x14ac:dyDescent="0.25">
      <c r="A4024" t="s">
        <v>996</v>
      </c>
      <c r="B4024" t="s">
        <v>997</v>
      </c>
      <c r="C4024" t="s">
        <v>1005</v>
      </c>
      <c r="D4024" t="s">
        <v>509</v>
      </c>
      <c r="E4024">
        <v>200</v>
      </c>
      <c r="F4024" t="s">
        <v>1024</v>
      </c>
      <c r="G4024" t="s">
        <v>1027</v>
      </c>
      <c r="H4024" s="315" t="s">
        <v>29</v>
      </c>
      <c r="I4024" s="315" t="s">
        <v>1026</v>
      </c>
      <c r="J4024" s="315" t="str">
        <f t="shared" si="331"/>
        <v>New VehicleOther Income per NV unit</v>
      </c>
      <c r="K4024" s="315" t="str">
        <f t="shared" si="332"/>
        <v>200New Vehicle Other Income - Toyota</v>
      </c>
      <c r="L4024" s="311">
        <f>+SUMIF('TUNZ Extracted TB'!M:M,$P4024,'TUNZ Extracted TB'!G:G)</f>
        <v>0</v>
      </c>
      <c r="M4024" s="311"/>
      <c r="N4024" s="311">
        <f>+SUMIF('Input Sheet'!$AE:$AE,P4024,'Input Sheet'!$X:$X)</f>
        <v>0</v>
      </c>
      <c r="O4024" s="311"/>
      <c r="P4024" t="str">
        <f t="shared" si="333"/>
        <v>200-3037R</v>
      </c>
      <c r="Q4024" s="315" t="str">
        <f t="shared" si="334"/>
        <v>New Vehicle</v>
      </c>
      <c r="R4024" s="315" t="str">
        <f t="shared" si="335"/>
        <v>New VehicleOther Income per NV unit</v>
      </c>
      <c r="S4024" s="199"/>
      <c r="T4024" s="199"/>
      <c r="U4024" s="199"/>
    </row>
    <row r="4025" spans="1:21" x14ac:dyDescent="0.25">
      <c r="A4025" t="s">
        <v>996</v>
      </c>
      <c r="B4025" t="s">
        <v>997</v>
      </c>
      <c r="C4025" t="s">
        <v>1012</v>
      </c>
      <c r="D4025" t="s">
        <v>509</v>
      </c>
      <c r="E4025">
        <v>400</v>
      </c>
      <c r="F4025" t="s">
        <v>1024</v>
      </c>
      <c r="G4025" t="s">
        <v>1027</v>
      </c>
      <c r="H4025" s="315" t="s">
        <v>29</v>
      </c>
      <c r="I4025" s="315" t="s">
        <v>1026</v>
      </c>
      <c r="J4025" s="315" t="str">
        <f t="shared" si="331"/>
        <v>New VehicleOther Income per NV unit</v>
      </c>
      <c r="K4025" s="315" t="str">
        <f t="shared" si="332"/>
        <v>400New Vehicle Other Income - Toyota</v>
      </c>
      <c r="L4025" s="311">
        <f>+SUMIF('TUNZ Extracted TB'!M:M,$P4025,'TUNZ Extracted TB'!G:G)</f>
        <v>0</v>
      </c>
      <c r="M4025" s="311"/>
      <c r="N4025" s="311">
        <f>+SUMIF('Input Sheet'!$AE:$AE,P4025,'Input Sheet'!$X:$X)</f>
        <v>0</v>
      </c>
      <c r="O4025" s="311"/>
      <c r="P4025" t="str">
        <f t="shared" si="333"/>
        <v>400-3037R</v>
      </c>
      <c r="Q4025" s="315" t="str">
        <f t="shared" si="334"/>
        <v>New Vehicle</v>
      </c>
      <c r="R4025" s="315" t="str">
        <f t="shared" si="335"/>
        <v>New VehicleOther Income per NV unit</v>
      </c>
      <c r="S4025" s="199"/>
      <c r="T4025" s="199"/>
      <c r="U4025" s="199"/>
    </row>
    <row r="4026" spans="1:21" x14ac:dyDescent="0.25">
      <c r="A4026" t="s">
        <v>996</v>
      </c>
      <c r="B4026" t="s">
        <v>997</v>
      </c>
      <c r="C4026" t="s">
        <v>1013</v>
      </c>
      <c r="D4026" t="s">
        <v>509</v>
      </c>
      <c r="E4026">
        <v>300</v>
      </c>
      <c r="F4026" t="s">
        <v>1024</v>
      </c>
      <c r="G4026" t="s">
        <v>1027</v>
      </c>
      <c r="H4026" s="315" t="s">
        <v>29</v>
      </c>
      <c r="I4026" s="315" t="s">
        <v>1026</v>
      </c>
      <c r="J4026" s="315" t="str">
        <f t="shared" si="331"/>
        <v>New VehicleOther Income per NV unit</v>
      </c>
      <c r="K4026" s="315" t="str">
        <f t="shared" si="332"/>
        <v>300New Vehicle Other Income - Toyota</v>
      </c>
      <c r="L4026" s="311">
        <f>+SUMIF('TUNZ Extracted TB'!M:M,$P4026,'TUNZ Extracted TB'!G:G)</f>
        <v>0</v>
      </c>
      <c r="M4026" s="311"/>
      <c r="N4026" s="311">
        <f>+SUMIF('Input Sheet'!$AE:$AE,P4026,'Input Sheet'!$X:$X)</f>
        <v>0</v>
      </c>
      <c r="O4026" s="311"/>
      <c r="P4026" t="str">
        <f t="shared" si="333"/>
        <v>300-3037R</v>
      </c>
      <c r="Q4026" s="315" t="str">
        <f t="shared" si="334"/>
        <v>New Vehicle</v>
      </c>
      <c r="R4026" s="315" t="str">
        <f t="shared" si="335"/>
        <v>New VehicleOther Income per NV unit</v>
      </c>
      <c r="S4026" s="199"/>
      <c r="T4026" s="199"/>
      <c r="U4026" s="199"/>
    </row>
    <row r="4027" spans="1:21" x14ac:dyDescent="0.25">
      <c r="A4027" t="s">
        <v>996</v>
      </c>
      <c r="B4027" t="s">
        <v>997</v>
      </c>
      <c r="C4027" t="s">
        <v>997</v>
      </c>
      <c r="D4027" t="s">
        <v>509</v>
      </c>
      <c r="E4027">
        <v>110</v>
      </c>
      <c r="F4027" t="s">
        <v>1014</v>
      </c>
      <c r="G4027" t="s">
        <v>1015</v>
      </c>
      <c r="H4027" s="315" t="s">
        <v>30</v>
      </c>
      <c r="I4027" s="315" t="s">
        <v>1016</v>
      </c>
      <c r="J4027" s="315" t="str">
        <f t="shared" si="331"/>
        <v>Used VehicleEx NV demonstrators gross profit p.u.</v>
      </c>
      <c r="K4027" s="315" t="str">
        <f t="shared" si="332"/>
        <v>110Ex-Toyota NV Demonstrator revenue</v>
      </c>
      <c r="L4027" s="311">
        <f>+SUMIF('TUNZ Extracted TB'!M:M,$P4027,'TUNZ Extracted TB'!G:G)</f>
        <v>0</v>
      </c>
      <c r="M4027" s="311"/>
      <c r="N4027" s="311">
        <f>+SUMIF('Input Sheet'!$AE:$AE,P4027,'Input Sheet'!$X:$X)</f>
        <v>0</v>
      </c>
      <c r="O4027" s="311"/>
      <c r="P4027" t="str">
        <f t="shared" si="333"/>
        <v>110-3037R</v>
      </c>
      <c r="Q4027" s="315" t="str">
        <f t="shared" si="334"/>
        <v>Used Vehicle</v>
      </c>
      <c r="R4027" s="315" t="str">
        <f t="shared" si="335"/>
        <v>Used VehicleEx NV demonstrators gross profit p.u.</v>
      </c>
      <c r="S4027" s="199"/>
      <c r="T4027" s="199"/>
      <c r="U4027" s="199"/>
    </row>
    <row r="4028" spans="1:21" x14ac:dyDescent="0.25">
      <c r="A4028" t="s">
        <v>996</v>
      </c>
      <c r="B4028" t="s">
        <v>997</v>
      </c>
      <c r="C4028" t="s">
        <v>997</v>
      </c>
      <c r="D4028" t="s">
        <v>1475</v>
      </c>
      <c r="E4028">
        <v>100</v>
      </c>
      <c r="F4028" t="s">
        <v>1024</v>
      </c>
      <c r="G4028" t="s">
        <v>1027</v>
      </c>
      <c r="H4028" s="315" t="s">
        <v>29</v>
      </c>
      <c r="I4028" s="315" t="s">
        <v>1026</v>
      </c>
      <c r="J4028" s="315" t="str">
        <f t="shared" si="331"/>
        <v>New VehicleOther Income per NV unit</v>
      </c>
      <c r="K4028" s="315" t="str">
        <f t="shared" si="332"/>
        <v>100New Vehicle Other Income - Toyota</v>
      </c>
      <c r="L4028" s="311">
        <f>+SUMIF('TUNZ Extracted TB'!M:M,$P4028,'TUNZ Extracted TB'!G:G)</f>
        <v>0</v>
      </c>
      <c r="M4028" s="311"/>
      <c r="N4028" s="311">
        <f>+SUMIF('Input Sheet'!$AE:$AE,P4028,'Input Sheet'!$X:$X)</f>
        <v>0</v>
      </c>
      <c r="O4028" s="311"/>
      <c r="P4028" t="str">
        <f t="shared" si="333"/>
        <v>100-3037RD</v>
      </c>
      <c r="Q4028" s="315" t="str">
        <f t="shared" si="334"/>
        <v>New Vehicle</v>
      </c>
      <c r="R4028" s="315" t="str">
        <f t="shared" si="335"/>
        <v>New VehicleOther Income per NV unit</v>
      </c>
      <c r="S4028" s="199"/>
      <c r="T4028" s="199"/>
      <c r="U4028" s="199"/>
    </row>
    <row r="4029" spans="1:21" x14ac:dyDescent="0.25">
      <c r="A4029" t="s">
        <v>996</v>
      </c>
      <c r="B4029" t="s">
        <v>997</v>
      </c>
      <c r="C4029" t="s">
        <v>1005</v>
      </c>
      <c r="D4029" t="s">
        <v>509</v>
      </c>
      <c r="E4029">
        <v>210</v>
      </c>
      <c r="F4029" t="s">
        <v>1014</v>
      </c>
      <c r="G4029" t="s">
        <v>1015</v>
      </c>
      <c r="H4029" s="315" t="s">
        <v>30</v>
      </c>
      <c r="I4029" s="315" t="s">
        <v>1016</v>
      </c>
      <c r="J4029" s="315" t="str">
        <f t="shared" si="331"/>
        <v>Used VehicleEx NV demonstrators gross profit p.u.</v>
      </c>
      <c r="K4029" s="315" t="str">
        <f t="shared" si="332"/>
        <v>210Ex-Toyota NV Demonstrator revenue</v>
      </c>
      <c r="L4029" s="311">
        <f>+SUMIF('TUNZ Extracted TB'!M:M,$P4029,'TUNZ Extracted TB'!G:G)</f>
        <v>0</v>
      </c>
      <c r="M4029" s="311"/>
      <c r="N4029" s="311">
        <f>+SUMIF('Input Sheet'!$AE:$AE,P4029,'Input Sheet'!$X:$X)</f>
        <v>0</v>
      </c>
      <c r="O4029" s="311"/>
      <c r="P4029" t="str">
        <f t="shared" si="333"/>
        <v>210-3037R</v>
      </c>
      <c r="Q4029" s="315" t="str">
        <f t="shared" si="334"/>
        <v>Used Vehicle</v>
      </c>
      <c r="R4029" s="315" t="str">
        <f t="shared" si="335"/>
        <v>Used VehicleEx NV demonstrators gross profit p.u.</v>
      </c>
      <c r="S4029" s="199"/>
      <c r="T4029" s="199"/>
      <c r="U4029" s="199"/>
    </row>
    <row r="4030" spans="1:21" x14ac:dyDescent="0.25">
      <c r="A4030" t="s">
        <v>996</v>
      </c>
      <c r="B4030" t="s">
        <v>997</v>
      </c>
      <c r="C4030" t="s">
        <v>1012</v>
      </c>
      <c r="D4030" t="s">
        <v>509</v>
      </c>
      <c r="E4030">
        <v>410</v>
      </c>
      <c r="F4030" t="s">
        <v>1014</v>
      </c>
      <c r="G4030" t="s">
        <v>1015</v>
      </c>
      <c r="H4030" s="315" t="s">
        <v>30</v>
      </c>
      <c r="I4030" s="315" t="s">
        <v>1016</v>
      </c>
      <c r="J4030" s="315" t="str">
        <f t="shared" si="331"/>
        <v>Used VehicleEx NV demonstrators gross profit p.u.</v>
      </c>
      <c r="K4030" s="315" t="str">
        <f t="shared" si="332"/>
        <v>410Ex-Toyota NV Demonstrator revenue</v>
      </c>
      <c r="L4030" s="311">
        <f>+SUMIF('TUNZ Extracted TB'!M:M,$P4030,'TUNZ Extracted TB'!G:G)</f>
        <v>0</v>
      </c>
      <c r="M4030" s="311"/>
      <c r="N4030" s="311">
        <f>+SUMIF('Input Sheet'!$AE:$AE,P4030,'Input Sheet'!$X:$X)</f>
        <v>0</v>
      </c>
      <c r="O4030" s="311"/>
      <c r="P4030" t="str">
        <f t="shared" si="333"/>
        <v>410-3037R</v>
      </c>
      <c r="Q4030" s="315" t="str">
        <f t="shared" si="334"/>
        <v>Used Vehicle</v>
      </c>
      <c r="R4030" s="315" t="str">
        <f t="shared" si="335"/>
        <v>Used VehicleEx NV demonstrators gross profit p.u.</v>
      </c>
      <c r="S4030" s="199"/>
      <c r="T4030" s="199"/>
      <c r="U4030" s="199"/>
    </row>
    <row r="4031" spans="1:21" x14ac:dyDescent="0.25">
      <c r="A4031" t="s">
        <v>996</v>
      </c>
      <c r="B4031" t="s">
        <v>997</v>
      </c>
      <c r="C4031" t="s">
        <v>1013</v>
      </c>
      <c r="D4031" t="s">
        <v>509</v>
      </c>
      <c r="E4031">
        <v>310</v>
      </c>
      <c r="F4031" t="s">
        <v>1014</v>
      </c>
      <c r="G4031" t="s">
        <v>1015</v>
      </c>
      <c r="H4031" s="315" t="s">
        <v>30</v>
      </c>
      <c r="I4031" s="315" t="s">
        <v>1016</v>
      </c>
      <c r="J4031" s="315" t="str">
        <f t="shared" si="331"/>
        <v>Used VehicleEx NV demonstrators gross profit p.u.</v>
      </c>
      <c r="K4031" s="315" t="str">
        <f t="shared" si="332"/>
        <v>310Ex-Toyota NV Demonstrator revenue</v>
      </c>
      <c r="L4031" s="311">
        <f>+SUMIF('TUNZ Extracted TB'!M:M,$P4031,'TUNZ Extracted TB'!G:G)</f>
        <v>0</v>
      </c>
      <c r="M4031" s="311"/>
      <c r="N4031" s="311">
        <f>+SUMIF('Input Sheet'!$AE:$AE,P4031,'Input Sheet'!$X:$X)</f>
        <v>0</v>
      </c>
      <c r="O4031" s="311"/>
      <c r="P4031" t="str">
        <f t="shared" si="333"/>
        <v>310-3037R</v>
      </c>
      <c r="Q4031" s="315" t="str">
        <f t="shared" si="334"/>
        <v>Used Vehicle</v>
      </c>
      <c r="R4031" s="315" t="str">
        <f t="shared" si="335"/>
        <v>Used VehicleEx NV demonstrators gross profit p.u.</v>
      </c>
      <c r="S4031" s="199"/>
      <c r="T4031" s="199"/>
      <c r="U4031" s="199"/>
    </row>
    <row r="4032" spans="1:21" x14ac:dyDescent="0.25">
      <c r="A4032" t="s">
        <v>996</v>
      </c>
      <c r="B4032" t="s">
        <v>997</v>
      </c>
      <c r="C4032" t="s">
        <v>1005</v>
      </c>
      <c r="D4032" t="s">
        <v>1475</v>
      </c>
      <c r="E4032">
        <v>200</v>
      </c>
      <c r="F4032" t="s">
        <v>1024</v>
      </c>
      <c r="G4032" t="s">
        <v>1027</v>
      </c>
      <c r="H4032" s="315" t="s">
        <v>29</v>
      </c>
      <c r="I4032" s="315" t="s">
        <v>1026</v>
      </c>
      <c r="J4032" s="315" t="str">
        <f t="shared" si="331"/>
        <v>New VehicleOther Income per NV unit</v>
      </c>
      <c r="K4032" s="315" t="str">
        <f t="shared" si="332"/>
        <v>200New Vehicle Other Income - Toyota</v>
      </c>
      <c r="L4032" s="311">
        <f>+SUMIF('TUNZ Extracted TB'!M:M,$P4032,'TUNZ Extracted TB'!G:G)</f>
        <v>0</v>
      </c>
      <c r="M4032" s="311"/>
      <c r="N4032" s="311">
        <f>+SUMIF('Input Sheet'!$AE:$AE,P4032,'Input Sheet'!$X:$X)</f>
        <v>0</v>
      </c>
      <c r="O4032" s="311"/>
      <c r="P4032" t="str">
        <f t="shared" si="333"/>
        <v>200-3037RD</v>
      </c>
      <c r="Q4032" s="315" t="str">
        <f t="shared" si="334"/>
        <v>New Vehicle</v>
      </c>
      <c r="R4032" s="315" t="str">
        <f t="shared" si="335"/>
        <v>New VehicleOther Income per NV unit</v>
      </c>
      <c r="S4032" s="199"/>
      <c r="T4032" s="199"/>
      <c r="U4032" s="199"/>
    </row>
    <row r="4033" spans="1:21" x14ac:dyDescent="0.25">
      <c r="A4033" t="s">
        <v>996</v>
      </c>
      <c r="B4033" t="s">
        <v>997</v>
      </c>
      <c r="C4033" t="s">
        <v>1012</v>
      </c>
      <c r="D4033" t="s">
        <v>1475</v>
      </c>
      <c r="E4033">
        <v>400</v>
      </c>
      <c r="F4033" t="s">
        <v>1024</v>
      </c>
      <c r="G4033" t="s">
        <v>1027</v>
      </c>
      <c r="H4033" s="315" t="s">
        <v>29</v>
      </c>
      <c r="I4033" s="315" t="s">
        <v>1026</v>
      </c>
      <c r="J4033" s="315" t="str">
        <f t="shared" si="331"/>
        <v>New VehicleOther Income per NV unit</v>
      </c>
      <c r="K4033" s="315" t="str">
        <f t="shared" si="332"/>
        <v>400New Vehicle Other Income - Toyota</v>
      </c>
      <c r="L4033" s="311">
        <f>+SUMIF('TUNZ Extracted TB'!M:M,$P4033,'TUNZ Extracted TB'!G:G)</f>
        <v>0</v>
      </c>
      <c r="M4033" s="311"/>
      <c r="N4033" s="311">
        <f>+SUMIF('Input Sheet'!$AE:$AE,P4033,'Input Sheet'!$X:$X)</f>
        <v>0</v>
      </c>
      <c r="O4033" s="311"/>
      <c r="P4033" t="str">
        <f t="shared" si="333"/>
        <v>400-3037RD</v>
      </c>
      <c r="Q4033" s="315" t="str">
        <f t="shared" si="334"/>
        <v>New Vehicle</v>
      </c>
      <c r="R4033" s="315" t="str">
        <f t="shared" si="335"/>
        <v>New VehicleOther Income per NV unit</v>
      </c>
      <c r="S4033" s="199"/>
      <c r="T4033" s="199"/>
      <c r="U4033" s="199"/>
    </row>
    <row r="4034" spans="1:21" x14ac:dyDescent="0.25">
      <c r="A4034" t="s">
        <v>996</v>
      </c>
      <c r="B4034" t="s">
        <v>997</v>
      </c>
      <c r="C4034" t="s">
        <v>1013</v>
      </c>
      <c r="D4034" t="s">
        <v>1475</v>
      </c>
      <c r="E4034">
        <v>300</v>
      </c>
      <c r="F4034" t="s">
        <v>1024</v>
      </c>
      <c r="G4034" t="s">
        <v>1027</v>
      </c>
      <c r="H4034" s="315" t="s">
        <v>29</v>
      </c>
      <c r="I4034" s="315" t="s">
        <v>1026</v>
      </c>
      <c r="J4034" s="315" t="str">
        <f t="shared" si="331"/>
        <v>New VehicleOther Income per NV unit</v>
      </c>
      <c r="K4034" s="315" t="str">
        <f t="shared" si="332"/>
        <v>300New Vehicle Other Income - Toyota</v>
      </c>
      <c r="L4034" s="311">
        <f>+SUMIF('TUNZ Extracted TB'!M:M,$P4034,'TUNZ Extracted TB'!G:G)</f>
        <v>0</v>
      </c>
      <c r="M4034" s="311"/>
      <c r="N4034" s="311">
        <f>+SUMIF('Input Sheet'!$AE:$AE,P4034,'Input Sheet'!$X:$X)</f>
        <v>0</v>
      </c>
      <c r="O4034" s="311"/>
      <c r="P4034" t="str">
        <f t="shared" si="333"/>
        <v>300-3037RD</v>
      </c>
      <c r="Q4034" s="315" t="str">
        <f t="shared" si="334"/>
        <v>New Vehicle</v>
      </c>
      <c r="R4034" s="315" t="str">
        <f t="shared" si="335"/>
        <v>New VehicleOther Income per NV unit</v>
      </c>
      <c r="S4034" s="199"/>
      <c r="T4034" s="199"/>
      <c r="U4034" s="199"/>
    </row>
    <row r="4035" spans="1:21" x14ac:dyDescent="0.25">
      <c r="A4035" t="s">
        <v>996</v>
      </c>
      <c r="B4035" t="s">
        <v>997</v>
      </c>
      <c r="C4035" t="s">
        <v>997</v>
      </c>
      <c r="D4035" t="s">
        <v>1475</v>
      </c>
      <c r="E4035">
        <v>110</v>
      </c>
      <c r="F4035" t="s">
        <v>1014</v>
      </c>
      <c r="G4035" t="s">
        <v>1015</v>
      </c>
      <c r="H4035" s="315" t="s">
        <v>30</v>
      </c>
      <c r="I4035" s="315" t="s">
        <v>1016</v>
      </c>
      <c r="J4035" s="315" t="str">
        <f t="shared" ref="J4035:J4098" si="336">+H4035&amp;I4035</f>
        <v>Used VehicleEx NV demonstrators gross profit p.u.</v>
      </c>
      <c r="K4035" s="315" t="str">
        <f t="shared" ref="K4035:K4098" si="337">+E4035&amp;G4035</f>
        <v>110Ex-Toyota NV Demonstrator revenue</v>
      </c>
      <c r="L4035" s="311">
        <f>+SUMIF('TUNZ Extracted TB'!M:M,$P4035,'TUNZ Extracted TB'!G:G)</f>
        <v>0</v>
      </c>
      <c r="M4035" s="311"/>
      <c r="N4035" s="311">
        <f>+SUMIF('Input Sheet'!$AE:$AE,P4035,'Input Sheet'!$X:$X)</f>
        <v>0</v>
      </c>
      <c r="O4035" s="311"/>
      <c r="P4035" t="str">
        <f t="shared" ref="P4035:P4098" si="338">+E4035&amp;"-"&amp;D4035</f>
        <v>110-3037RD</v>
      </c>
      <c r="Q4035" s="315" t="str">
        <f t="shared" ref="Q4035:Q4098" si="339">H4035</f>
        <v>Used Vehicle</v>
      </c>
      <c r="R4035" s="315" t="str">
        <f t="shared" ref="R4035:R4098" si="340">J4035</f>
        <v>Used VehicleEx NV demonstrators gross profit p.u.</v>
      </c>
      <c r="S4035" s="199"/>
      <c r="T4035" s="199"/>
      <c r="U4035" s="199"/>
    </row>
    <row r="4036" spans="1:21" x14ac:dyDescent="0.25">
      <c r="A4036" t="s">
        <v>996</v>
      </c>
      <c r="B4036" t="s">
        <v>997</v>
      </c>
      <c r="C4036" t="s">
        <v>997</v>
      </c>
      <c r="D4036" t="s">
        <v>1476</v>
      </c>
      <c r="E4036">
        <v>112</v>
      </c>
      <c r="F4036" t="s">
        <v>1477</v>
      </c>
      <c r="G4036" t="s">
        <v>1478</v>
      </c>
      <c r="H4036" s="315" t="s">
        <v>1011</v>
      </c>
      <c r="I4036" s="315" t="s">
        <v>1004</v>
      </c>
      <c r="J4036" s="315" t="str">
        <f t="shared" si="336"/>
        <v>LEX New VehicleRetail Gross p.u.</v>
      </c>
      <c r="K4036" s="315" t="str">
        <f t="shared" si="337"/>
        <v>112New Vehicle Sales - Lexus</v>
      </c>
      <c r="L4036" s="311">
        <f>+SUMIF('TUNZ Extracted TB'!M:M,$P4036,'TUNZ Extracted TB'!G:G)</f>
        <v>0</v>
      </c>
      <c r="M4036" s="311"/>
      <c r="N4036" s="311">
        <f>+SUMIF('Input Sheet'!$AE:$AE,P4036,'Input Sheet'!$X:$X)</f>
        <v>0</v>
      </c>
      <c r="O4036" s="311"/>
      <c r="P4036" t="str">
        <f t="shared" si="338"/>
        <v>112-3038R</v>
      </c>
      <c r="Q4036" s="315" t="str">
        <f t="shared" si="339"/>
        <v>LEX New Vehicle</v>
      </c>
      <c r="R4036" s="315" t="str">
        <f t="shared" si="340"/>
        <v>LEX New VehicleRetail Gross p.u.</v>
      </c>
      <c r="S4036" s="199"/>
      <c r="T4036" s="199"/>
      <c r="U4036" s="199"/>
    </row>
    <row r="4037" spans="1:21" x14ac:dyDescent="0.25">
      <c r="A4037" t="s">
        <v>996</v>
      </c>
      <c r="B4037" t="s">
        <v>997</v>
      </c>
      <c r="C4037" t="s">
        <v>1005</v>
      </c>
      <c r="D4037" t="s">
        <v>1475</v>
      </c>
      <c r="E4037">
        <v>210</v>
      </c>
      <c r="F4037" t="s">
        <v>1014</v>
      </c>
      <c r="G4037" t="s">
        <v>1015</v>
      </c>
      <c r="H4037" s="315" t="s">
        <v>30</v>
      </c>
      <c r="I4037" s="315" t="s">
        <v>1016</v>
      </c>
      <c r="J4037" s="315" t="str">
        <f t="shared" si="336"/>
        <v>Used VehicleEx NV demonstrators gross profit p.u.</v>
      </c>
      <c r="K4037" s="315" t="str">
        <f t="shared" si="337"/>
        <v>210Ex-Toyota NV Demonstrator revenue</v>
      </c>
      <c r="L4037" s="311">
        <f>+SUMIF('TUNZ Extracted TB'!M:M,$P4037,'TUNZ Extracted TB'!G:G)</f>
        <v>0</v>
      </c>
      <c r="M4037" s="311"/>
      <c r="N4037" s="311">
        <f>+SUMIF('Input Sheet'!$AE:$AE,P4037,'Input Sheet'!$X:$X)</f>
        <v>0</v>
      </c>
      <c r="O4037" s="311"/>
      <c r="P4037" t="str">
        <f t="shared" si="338"/>
        <v>210-3037RD</v>
      </c>
      <c r="Q4037" s="315" t="str">
        <f t="shared" si="339"/>
        <v>Used Vehicle</v>
      </c>
      <c r="R4037" s="315" t="str">
        <f t="shared" si="340"/>
        <v>Used VehicleEx NV demonstrators gross profit p.u.</v>
      </c>
      <c r="S4037" s="199"/>
      <c r="T4037" s="199"/>
      <c r="U4037" s="199"/>
    </row>
    <row r="4038" spans="1:21" x14ac:dyDescent="0.25">
      <c r="A4038" t="s">
        <v>996</v>
      </c>
      <c r="B4038" t="s">
        <v>997</v>
      </c>
      <c r="C4038" t="s">
        <v>1012</v>
      </c>
      <c r="D4038" t="s">
        <v>1475</v>
      </c>
      <c r="E4038">
        <v>410</v>
      </c>
      <c r="F4038" t="s">
        <v>1014</v>
      </c>
      <c r="G4038" t="s">
        <v>1015</v>
      </c>
      <c r="H4038" s="315" t="s">
        <v>30</v>
      </c>
      <c r="I4038" s="315" t="s">
        <v>1016</v>
      </c>
      <c r="J4038" s="315" t="str">
        <f t="shared" si="336"/>
        <v>Used VehicleEx NV demonstrators gross profit p.u.</v>
      </c>
      <c r="K4038" s="315" t="str">
        <f t="shared" si="337"/>
        <v>410Ex-Toyota NV Demonstrator revenue</v>
      </c>
      <c r="L4038" s="311">
        <f>+SUMIF('TUNZ Extracted TB'!M:M,$P4038,'TUNZ Extracted TB'!G:G)</f>
        <v>0</v>
      </c>
      <c r="M4038" s="311"/>
      <c r="N4038" s="311">
        <f>+SUMIF('Input Sheet'!$AE:$AE,P4038,'Input Sheet'!$X:$X)</f>
        <v>0</v>
      </c>
      <c r="O4038" s="311"/>
      <c r="P4038" t="str">
        <f t="shared" si="338"/>
        <v>410-3037RD</v>
      </c>
      <c r="Q4038" s="315" t="str">
        <f t="shared" si="339"/>
        <v>Used Vehicle</v>
      </c>
      <c r="R4038" s="315" t="str">
        <f t="shared" si="340"/>
        <v>Used VehicleEx NV demonstrators gross profit p.u.</v>
      </c>
      <c r="S4038" s="199"/>
      <c r="T4038" s="199"/>
      <c r="U4038" s="199"/>
    </row>
    <row r="4039" spans="1:21" x14ac:dyDescent="0.25">
      <c r="A4039" t="s">
        <v>996</v>
      </c>
      <c r="B4039" t="s">
        <v>997</v>
      </c>
      <c r="C4039" t="s">
        <v>1013</v>
      </c>
      <c r="D4039" t="s">
        <v>1475</v>
      </c>
      <c r="E4039">
        <v>310</v>
      </c>
      <c r="F4039" t="s">
        <v>1014</v>
      </c>
      <c r="G4039" t="s">
        <v>1015</v>
      </c>
      <c r="H4039" s="315" t="s">
        <v>30</v>
      </c>
      <c r="I4039" s="315" t="s">
        <v>1016</v>
      </c>
      <c r="J4039" s="315" t="str">
        <f t="shared" si="336"/>
        <v>Used VehicleEx NV demonstrators gross profit p.u.</v>
      </c>
      <c r="K4039" s="315" t="str">
        <f t="shared" si="337"/>
        <v>310Ex-Toyota NV Demonstrator revenue</v>
      </c>
      <c r="L4039" s="311">
        <f>+SUMIF('TUNZ Extracted TB'!M:M,$P4039,'TUNZ Extracted TB'!G:G)</f>
        <v>0</v>
      </c>
      <c r="M4039" s="311"/>
      <c r="N4039" s="311">
        <f>+SUMIF('Input Sheet'!$AE:$AE,P4039,'Input Sheet'!$X:$X)</f>
        <v>0</v>
      </c>
      <c r="O4039" s="311"/>
      <c r="P4039" t="str">
        <f t="shared" si="338"/>
        <v>310-3037RD</v>
      </c>
      <c r="Q4039" s="315" t="str">
        <f t="shared" si="339"/>
        <v>Used Vehicle</v>
      </c>
      <c r="R4039" s="315" t="str">
        <f t="shared" si="340"/>
        <v>Used VehicleEx NV demonstrators gross profit p.u.</v>
      </c>
      <c r="S4039" s="199"/>
      <c r="T4039" s="199"/>
      <c r="U4039" s="199"/>
    </row>
    <row r="4040" spans="1:21" x14ac:dyDescent="0.25">
      <c r="A4040" t="s">
        <v>996</v>
      </c>
      <c r="B4040" t="s">
        <v>997</v>
      </c>
      <c r="C4040" t="s">
        <v>997</v>
      </c>
      <c r="D4040" t="s">
        <v>1479</v>
      </c>
      <c r="E4040">
        <v>112</v>
      </c>
      <c r="F4040" t="s">
        <v>1477</v>
      </c>
      <c r="G4040" t="s">
        <v>1478</v>
      </c>
      <c r="H4040" s="315" t="s">
        <v>1011</v>
      </c>
      <c r="I4040" s="315" t="s">
        <v>1004</v>
      </c>
      <c r="J4040" s="315" t="str">
        <f t="shared" si="336"/>
        <v>LEX New VehicleRetail Gross p.u.</v>
      </c>
      <c r="K4040" s="315" t="str">
        <f t="shared" si="337"/>
        <v>112New Vehicle Sales - Lexus</v>
      </c>
      <c r="L4040" s="311">
        <f>+SUMIF('TUNZ Extracted TB'!M:M,$P4040,'TUNZ Extracted TB'!G:G)</f>
        <v>0</v>
      </c>
      <c r="M4040" s="311"/>
      <c r="N4040" s="311">
        <f>+SUMIF('Input Sheet'!$AE:$AE,P4040,'Input Sheet'!$X:$X)</f>
        <v>0</v>
      </c>
      <c r="O4040" s="311"/>
      <c r="P4040" t="str">
        <f t="shared" si="338"/>
        <v>112-3038RD</v>
      </c>
      <c r="Q4040" s="315" t="str">
        <f t="shared" si="339"/>
        <v>LEX New Vehicle</v>
      </c>
      <c r="R4040" s="315" t="str">
        <f t="shared" si="340"/>
        <v>LEX New VehicleRetail Gross p.u.</v>
      </c>
      <c r="S4040" s="199"/>
      <c r="T4040" s="199"/>
      <c r="U4040" s="199"/>
    </row>
    <row r="4041" spans="1:21" x14ac:dyDescent="0.25">
      <c r="A4041" t="s">
        <v>996</v>
      </c>
      <c r="B4041" t="s">
        <v>997</v>
      </c>
      <c r="C4041" t="s">
        <v>997</v>
      </c>
      <c r="D4041" t="s">
        <v>511</v>
      </c>
      <c r="E4041">
        <v>112</v>
      </c>
      <c r="F4041" t="s">
        <v>1477</v>
      </c>
      <c r="G4041" t="s">
        <v>1478</v>
      </c>
      <c r="H4041" s="315" t="s">
        <v>1011</v>
      </c>
      <c r="I4041" s="315" t="s">
        <v>1004</v>
      </c>
      <c r="J4041" s="315" t="str">
        <f t="shared" si="336"/>
        <v>LEX New VehicleRetail Gross p.u.</v>
      </c>
      <c r="K4041" s="315" t="str">
        <f t="shared" si="337"/>
        <v>112New Vehicle Sales - Lexus</v>
      </c>
      <c r="L4041" s="311">
        <f>+SUMIF('TUNZ Extracted TB'!M:M,$P4041,'TUNZ Extracted TB'!G:G)</f>
        <v>0</v>
      </c>
      <c r="M4041" s="311"/>
      <c r="N4041" s="311">
        <f>+SUMIF('Input Sheet'!$AE:$AE,P4041,'Input Sheet'!$X:$X)</f>
        <v>0</v>
      </c>
      <c r="O4041" s="311"/>
      <c r="P4041" t="str">
        <f t="shared" si="338"/>
        <v>112-3039R</v>
      </c>
      <c r="Q4041" s="315" t="str">
        <f t="shared" si="339"/>
        <v>LEX New Vehicle</v>
      </c>
      <c r="R4041" s="315" t="str">
        <f t="shared" si="340"/>
        <v>LEX New VehicleRetail Gross p.u.</v>
      </c>
      <c r="S4041" s="199"/>
      <c r="T4041" s="199"/>
      <c r="U4041" s="199"/>
    </row>
    <row r="4042" spans="1:21" x14ac:dyDescent="0.25">
      <c r="A4042" t="s">
        <v>996</v>
      </c>
      <c r="B4042" t="s">
        <v>997</v>
      </c>
      <c r="C4042" t="s">
        <v>997</v>
      </c>
      <c r="D4042" t="s">
        <v>513</v>
      </c>
      <c r="E4042">
        <v>112</v>
      </c>
      <c r="F4042" t="s">
        <v>1477</v>
      </c>
      <c r="G4042" t="s">
        <v>1478</v>
      </c>
      <c r="H4042" s="315" t="s">
        <v>1011</v>
      </c>
      <c r="I4042" s="315" t="s">
        <v>1004</v>
      </c>
      <c r="J4042" s="315" t="str">
        <f t="shared" si="336"/>
        <v>LEX New VehicleRetail Gross p.u.</v>
      </c>
      <c r="K4042" s="315" t="str">
        <f t="shared" si="337"/>
        <v>112New Vehicle Sales - Lexus</v>
      </c>
      <c r="L4042" s="311">
        <f>+SUMIF('TUNZ Extracted TB'!M:M,$P4042,'TUNZ Extracted TB'!G:G)</f>
        <v>0</v>
      </c>
      <c r="M4042" s="311"/>
      <c r="N4042" s="311">
        <f>+SUMIF('Input Sheet'!$AE:$AE,P4042,'Input Sheet'!$X:$X)</f>
        <v>0</v>
      </c>
      <c r="O4042" s="311"/>
      <c r="P4042" t="str">
        <f t="shared" si="338"/>
        <v>112-3039RD</v>
      </c>
      <c r="Q4042" s="315" t="str">
        <f t="shared" si="339"/>
        <v>LEX New Vehicle</v>
      </c>
      <c r="R4042" s="315" t="str">
        <f t="shared" si="340"/>
        <v>LEX New VehicleRetail Gross p.u.</v>
      </c>
      <c r="S4042" s="199"/>
      <c r="T4042" s="199"/>
      <c r="U4042" s="199"/>
    </row>
    <row r="4043" spans="1:21" x14ac:dyDescent="0.25">
      <c r="A4043" t="s">
        <v>996</v>
      </c>
      <c r="B4043" t="s">
        <v>997</v>
      </c>
      <c r="C4043" t="s">
        <v>997</v>
      </c>
      <c r="D4043" t="s">
        <v>515</v>
      </c>
      <c r="E4043">
        <v>112</v>
      </c>
      <c r="F4043" t="s">
        <v>1477</v>
      </c>
      <c r="G4043" t="s">
        <v>1478</v>
      </c>
      <c r="H4043" s="315" t="s">
        <v>1011</v>
      </c>
      <c r="I4043" s="315" t="s">
        <v>1004</v>
      </c>
      <c r="J4043" s="315" t="str">
        <f t="shared" si="336"/>
        <v>LEX New VehicleRetail Gross p.u.</v>
      </c>
      <c r="K4043" s="315" t="str">
        <f t="shared" si="337"/>
        <v>112New Vehicle Sales - Lexus</v>
      </c>
      <c r="L4043" s="311">
        <f>+SUMIF('TUNZ Extracted TB'!M:M,$P4043,'TUNZ Extracted TB'!G:G)</f>
        <v>-66869.570000000007</v>
      </c>
      <c r="M4043" s="311"/>
      <c r="N4043" s="311">
        <f>+SUMIF('Input Sheet'!$AE:$AE,P4043,'Input Sheet'!$X:$X)</f>
        <v>0</v>
      </c>
      <c r="O4043" s="311"/>
      <c r="P4043" t="str">
        <f t="shared" si="338"/>
        <v>112-3040R</v>
      </c>
      <c r="Q4043" s="315" t="str">
        <f t="shared" si="339"/>
        <v>LEX New Vehicle</v>
      </c>
      <c r="R4043" s="315" t="str">
        <f t="shared" si="340"/>
        <v>LEX New VehicleRetail Gross p.u.</v>
      </c>
      <c r="S4043" s="199"/>
      <c r="T4043" s="199"/>
      <c r="U4043" s="199"/>
    </row>
    <row r="4044" spans="1:21" x14ac:dyDescent="0.25">
      <c r="A4044" t="s">
        <v>996</v>
      </c>
      <c r="B4044" t="s">
        <v>997</v>
      </c>
      <c r="C4044" t="s">
        <v>997</v>
      </c>
      <c r="D4044" t="s">
        <v>517</v>
      </c>
      <c r="E4044">
        <v>112</v>
      </c>
      <c r="F4044" t="s">
        <v>1477</v>
      </c>
      <c r="G4044" t="s">
        <v>1478</v>
      </c>
      <c r="H4044" s="315" t="s">
        <v>1011</v>
      </c>
      <c r="I4044" s="315" t="s">
        <v>1004</v>
      </c>
      <c r="J4044" s="315" t="str">
        <f t="shared" si="336"/>
        <v>LEX New VehicleRetail Gross p.u.</v>
      </c>
      <c r="K4044" s="315" t="str">
        <f t="shared" si="337"/>
        <v>112New Vehicle Sales - Lexus</v>
      </c>
      <c r="L4044" s="311">
        <f>+SUMIF('TUNZ Extracted TB'!M:M,$P4044,'TUNZ Extracted TB'!G:G)</f>
        <v>2256.52</v>
      </c>
      <c r="M4044" s="311"/>
      <c r="N4044" s="311">
        <f>+SUMIF('Input Sheet'!$AE:$AE,P4044,'Input Sheet'!$X:$X)</f>
        <v>0</v>
      </c>
      <c r="O4044" s="311"/>
      <c r="P4044" t="str">
        <f t="shared" si="338"/>
        <v>112-3040RD</v>
      </c>
      <c r="Q4044" s="315" t="str">
        <f t="shared" si="339"/>
        <v>LEX New Vehicle</v>
      </c>
      <c r="R4044" s="315" t="str">
        <f t="shared" si="340"/>
        <v>LEX New VehicleRetail Gross p.u.</v>
      </c>
      <c r="S4044" s="199"/>
      <c r="T4044" s="199"/>
      <c r="U4044" s="199"/>
    </row>
    <row r="4045" spans="1:21" x14ac:dyDescent="0.25">
      <c r="A4045" t="s">
        <v>996</v>
      </c>
      <c r="B4045" t="s">
        <v>997</v>
      </c>
      <c r="C4045" t="s">
        <v>997</v>
      </c>
      <c r="D4045" t="s">
        <v>1480</v>
      </c>
      <c r="E4045">
        <v>112</v>
      </c>
      <c r="F4045" t="s">
        <v>1477</v>
      </c>
      <c r="G4045" t="s">
        <v>1478</v>
      </c>
      <c r="H4045" s="315" t="s">
        <v>1011</v>
      </c>
      <c r="I4045" s="315" t="s">
        <v>1004</v>
      </c>
      <c r="J4045" s="315" t="str">
        <f t="shared" si="336"/>
        <v>LEX New VehicleRetail Gross p.u.</v>
      </c>
      <c r="K4045" s="315" t="str">
        <f t="shared" si="337"/>
        <v>112New Vehicle Sales - Lexus</v>
      </c>
      <c r="L4045" s="311">
        <f>+SUMIF('TUNZ Extracted TB'!M:M,$P4045,'TUNZ Extracted TB'!G:G)</f>
        <v>0</v>
      </c>
      <c r="M4045" s="311"/>
      <c r="N4045" s="311">
        <f>+SUMIF('Input Sheet'!$AE:$AE,P4045,'Input Sheet'!$X:$X)</f>
        <v>0</v>
      </c>
      <c r="O4045" s="311"/>
      <c r="P4045" t="str">
        <f t="shared" si="338"/>
        <v>112-3041R</v>
      </c>
      <c r="Q4045" s="315" t="str">
        <f t="shared" si="339"/>
        <v>LEX New Vehicle</v>
      </c>
      <c r="R4045" s="315" t="str">
        <f t="shared" si="340"/>
        <v>LEX New VehicleRetail Gross p.u.</v>
      </c>
      <c r="S4045" s="199"/>
      <c r="T4045" s="199"/>
      <c r="U4045" s="199"/>
    </row>
    <row r="4046" spans="1:21" x14ac:dyDescent="0.25">
      <c r="A4046" t="s">
        <v>996</v>
      </c>
      <c r="B4046" t="s">
        <v>997</v>
      </c>
      <c r="C4046" t="s">
        <v>997</v>
      </c>
      <c r="D4046" t="s">
        <v>1481</v>
      </c>
      <c r="E4046">
        <v>112</v>
      </c>
      <c r="F4046" t="s">
        <v>1477</v>
      </c>
      <c r="G4046" t="s">
        <v>1478</v>
      </c>
      <c r="H4046" s="315" t="s">
        <v>1011</v>
      </c>
      <c r="I4046" s="315" t="s">
        <v>1004</v>
      </c>
      <c r="J4046" s="315" t="str">
        <f t="shared" si="336"/>
        <v>LEX New VehicleRetail Gross p.u.</v>
      </c>
      <c r="K4046" s="315" t="str">
        <f t="shared" si="337"/>
        <v>112New Vehicle Sales - Lexus</v>
      </c>
      <c r="L4046" s="311">
        <f>+SUMIF('TUNZ Extracted TB'!M:M,$P4046,'TUNZ Extracted TB'!G:G)</f>
        <v>0</v>
      </c>
      <c r="M4046" s="311"/>
      <c r="N4046" s="311">
        <f>+SUMIF('Input Sheet'!$AE:$AE,P4046,'Input Sheet'!$X:$X)</f>
        <v>0</v>
      </c>
      <c r="O4046" s="311"/>
      <c r="P4046" t="str">
        <f t="shared" si="338"/>
        <v>112-3041RD</v>
      </c>
      <c r="Q4046" s="315" t="str">
        <f t="shared" si="339"/>
        <v>LEX New Vehicle</v>
      </c>
      <c r="R4046" s="315" t="str">
        <f t="shared" si="340"/>
        <v>LEX New VehicleRetail Gross p.u.</v>
      </c>
      <c r="S4046" s="199"/>
      <c r="T4046" s="199"/>
      <c r="U4046" s="199"/>
    </row>
    <row r="4047" spans="1:21" x14ac:dyDescent="0.25">
      <c r="A4047" t="s">
        <v>996</v>
      </c>
      <c r="B4047" t="s">
        <v>997</v>
      </c>
      <c r="C4047" t="s">
        <v>997</v>
      </c>
      <c r="D4047" t="s">
        <v>519</v>
      </c>
      <c r="E4047">
        <v>112</v>
      </c>
      <c r="F4047" t="s">
        <v>1477</v>
      </c>
      <c r="G4047" t="s">
        <v>1478</v>
      </c>
      <c r="H4047" s="315" t="s">
        <v>1011</v>
      </c>
      <c r="I4047" s="315" t="s">
        <v>1004</v>
      </c>
      <c r="J4047" s="315" t="str">
        <f t="shared" si="336"/>
        <v>LEX New VehicleRetail Gross p.u.</v>
      </c>
      <c r="K4047" s="315" t="str">
        <f t="shared" si="337"/>
        <v>112New Vehicle Sales - Lexus</v>
      </c>
      <c r="L4047" s="311">
        <f>+SUMIF('TUNZ Extracted TB'!M:M,$P4047,'TUNZ Extracted TB'!G:G)</f>
        <v>0</v>
      </c>
      <c r="M4047" s="311"/>
      <c r="N4047" s="311">
        <f>+SUMIF('Input Sheet'!$AE:$AE,P4047,'Input Sheet'!$X:$X)</f>
        <v>0</v>
      </c>
      <c r="O4047" s="311"/>
      <c r="P4047" t="str">
        <f t="shared" si="338"/>
        <v>112-3042R</v>
      </c>
      <c r="Q4047" s="315" t="str">
        <f t="shared" si="339"/>
        <v>LEX New Vehicle</v>
      </c>
      <c r="R4047" s="315" t="str">
        <f t="shared" si="340"/>
        <v>LEX New VehicleRetail Gross p.u.</v>
      </c>
      <c r="S4047" s="199"/>
      <c r="T4047" s="199"/>
      <c r="U4047" s="199"/>
    </row>
    <row r="4048" spans="1:21" x14ac:dyDescent="0.25">
      <c r="A4048" t="s">
        <v>996</v>
      </c>
      <c r="B4048" t="s">
        <v>997</v>
      </c>
      <c r="C4048" t="s">
        <v>997</v>
      </c>
      <c r="D4048" t="s">
        <v>521</v>
      </c>
      <c r="E4048">
        <v>112</v>
      </c>
      <c r="F4048" t="s">
        <v>1477</v>
      </c>
      <c r="G4048" t="s">
        <v>1478</v>
      </c>
      <c r="H4048" s="315" t="s">
        <v>1011</v>
      </c>
      <c r="I4048" s="315" t="s">
        <v>1004</v>
      </c>
      <c r="J4048" s="315" t="str">
        <f t="shared" si="336"/>
        <v>LEX New VehicleRetail Gross p.u.</v>
      </c>
      <c r="K4048" s="315" t="str">
        <f t="shared" si="337"/>
        <v>112New Vehicle Sales - Lexus</v>
      </c>
      <c r="L4048" s="311">
        <f>+SUMIF('TUNZ Extracted TB'!M:M,$P4048,'TUNZ Extracted TB'!G:G)</f>
        <v>0</v>
      </c>
      <c r="M4048" s="311"/>
      <c r="N4048" s="311">
        <f>+SUMIF('Input Sheet'!$AE:$AE,P4048,'Input Sheet'!$X:$X)</f>
        <v>0</v>
      </c>
      <c r="O4048" s="311"/>
      <c r="P4048" t="str">
        <f t="shared" si="338"/>
        <v>112-3042RD</v>
      </c>
      <c r="Q4048" s="315" t="str">
        <f t="shared" si="339"/>
        <v>LEX New Vehicle</v>
      </c>
      <c r="R4048" s="315" t="str">
        <f t="shared" si="340"/>
        <v>LEX New VehicleRetail Gross p.u.</v>
      </c>
      <c r="S4048" s="199"/>
      <c r="T4048" s="199"/>
      <c r="U4048" s="199"/>
    </row>
    <row r="4049" spans="1:21" x14ac:dyDescent="0.25">
      <c r="A4049" t="s">
        <v>996</v>
      </c>
      <c r="B4049" t="s">
        <v>997</v>
      </c>
      <c r="C4049" t="s">
        <v>997</v>
      </c>
      <c r="D4049" t="s">
        <v>1482</v>
      </c>
      <c r="E4049">
        <v>112</v>
      </c>
      <c r="F4049" t="s">
        <v>1477</v>
      </c>
      <c r="G4049" t="s">
        <v>1478</v>
      </c>
      <c r="H4049" s="315" t="s">
        <v>1011</v>
      </c>
      <c r="I4049" s="315" t="s">
        <v>1004</v>
      </c>
      <c r="J4049" s="315" t="str">
        <f t="shared" si="336"/>
        <v>LEX New VehicleRetail Gross p.u.</v>
      </c>
      <c r="K4049" s="315" t="str">
        <f t="shared" si="337"/>
        <v>112New Vehicle Sales - Lexus</v>
      </c>
      <c r="L4049" s="311">
        <f>+SUMIF('TUNZ Extracted TB'!M:M,$P4049,'TUNZ Extracted TB'!G:G)</f>
        <v>0</v>
      </c>
      <c r="M4049" s="311"/>
      <c r="N4049" s="311">
        <f>+SUMIF('Input Sheet'!$AE:$AE,P4049,'Input Sheet'!$X:$X)</f>
        <v>0</v>
      </c>
      <c r="O4049" s="311"/>
      <c r="P4049" t="str">
        <f t="shared" si="338"/>
        <v>112-3043R</v>
      </c>
      <c r="Q4049" s="315" t="str">
        <f t="shared" si="339"/>
        <v>LEX New Vehicle</v>
      </c>
      <c r="R4049" s="315" t="str">
        <f t="shared" si="340"/>
        <v>LEX New VehicleRetail Gross p.u.</v>
      </c>
      <c r="S4049" s="199"/>
      <c r="T4049" s="199"/>
      <c r="U4049" s="199"/>
    </row>
    <row r="4050" spans="1:21" x14ac:dyDescent="0.25">
      <c r="A4050" t="s">
        <v>996</v>
      </c>
      <c r="B4050" t="s">
        <v>997</v>
      </c>
      <c r="C4050" t="s">
        <v>997</v>
      </c>
      <c r="D4050" t="s">
        <v>1483</v>
      </c>
      <c r="E4050">
        <v>112</v>
      </c>
      <c r="F4050" t="s">
        <v>1477</v>
      </c>
      <c r="G4050" t="s">
        <v>1478</v>
      </c>
      <c r="H4050" s="315" t="s">
        <v>1011</v>
      </c>
      <c r="I4050" s="315" t="s">
        <v>1004</v>
      </c>
      <c r="J4050" s="315" t="str">
        <f t="shared" si="336"/>
        <v>LEX New VehicleRetail Gross p.u.</v>
      </c>
      <c r="K4050" s="315" t="str">
        <f t="shared" si="337"/>
        <v>112New Vehicle Sales - Lexus</v>
      </c>
      <c r="L4050" s="311">
        <f>+SUMIF('TUNZ Extracted TB'!M:M,$P4050,'TUNZ Extracted TB'!G:G)</f>
        <v>0</v>
      </c>
      <c r="M4050" s="311"/>
      <c r="N4050" s="311">
        <f>+SUMIF('Input Sheet'!$AE:$AE,P4050,'Input Sheet'!$X:$X)</f>
        <v>0</v>
      </c>
      <c r="O4050" s="311"/>
      <c r="P4050" t="str">
        <f t="shared" si="338"/>
        <v>112-3043RD</v>
      </c>
      <c r="Q4050" s="315" t="str">
        <f t="shared" si="339"/>
        <v>LEX New Vehicle</v>
      </c>
      <c r="R4050" s="315" t="str">
        <f t="shared" si="340"/>
        <v>LEX New VehicleRetail Gross p.u.</v>
      </c>
      <c r="S4050" s="199"/>
      <c r="T4050" s="199"/>
      <c r="U4050" s="199"/>
    </row>
    <row r="4051" spans="1:21" x14ac:dyDescent="0.25">
      <c r="A4051" t="s">
        <v>996</v>
      </c>
      <c r="B4051" t="s">
        <v>997</v>
      </c>
      <c r="C4051" t="s">
        <v>997</v>
      </c>
      <c r="D4051" t="s">
        <v>1484</v>
      </c>
      <c r="E4051">
        <v>112</v>
      </c>
      <c r="F4051" t="s">
        <v>1477</v>
      </c>
      <c r="G4051" t="s">
        <v>1478</v>
      </c>
      <c r="H4051" s="315" t="s">
        <v>1011</v>
      </c>
      <c r="I4051" s="315" t="s">
        <v>1004</v>
      </c>
      <c r="J4051" s="315" t="str">
        <f t="shared" si="336"/>
        <v>LEX New VehicleRetail Gross p.u.</v>
      </c>
      <c r="K4051" s="315" t="str">
        <f t="shared" si="337"/>
        <v>112New Vehicle Sales - Lexus</v>
      </c>
      <c r="L4051" s="311">
        <f>+SUMIF('TUNZ Extracted TB'!M:M,$P4051,'TUNZ Extracted TB'!G:G)</f>
        <v>0</v>
      </c>
      <c r="M4051" s="311"/>
      <c r="N4051" s="311">
        <f>+SUMIF('Input Sheet'!$AE:$AE,P4051,'Input Sheet'!$X:$X)</f>
        <v>0</v>
      </c>
      <c r="O4051" s="311"/>
      <c r="P4051" t="str">
        <f t="shared" si="338"/>
        <v>112-3044R</v>
      </c>
      <c r="Q4051" s="315" t="str">
        <f t="shared" si="339"/>
        <v>LEX New Vehicle</v>
      </c>
      <c r="R4051" s="315" t="str">
        <f t="shared" si="340"/>
        <v>LEX New VehicleRetail Gross p.u.</v>
      </c>
      <c r="S4051" s="199"/>
      <c r="T4051" s="199"/>
      <c r="U4051" s="199"/>
    </row>
    <row r="4052" spans="1:21" x14ac:dyDescent="0.25">
      <c r="A4052" t="s">
        <v>996</v>
      </c>
      <c r="B4052" t="s">
        <v>997</v>
      </c>
      <c r="C4052" t="s">
        <v>997</v>
      </c>
      <c r="D4052" t="s">
        <v>1485</v>
      </c>
      <c r="E4052">
        <v>112</v>
      </c>
      <c r="F4052" t="s">
        <v>1477</v>
      </c>
      <c r="G4052" t="s">
        <v>1478</v>
      </c>
      <c r="H4052" s="315" t="s">
        <v>1011</v>
      </c>
      <c r="I4052" s="315" t="s">
        <v>1004</v>
      </c>
      <c r="J4052" s="315" t="str">
        <f t="shared" si="336"/>
        <v>LEX New VehicleRetail Gross p.u.</v>
      </c>
      <c r="K4052" s="315" t="str">
        <f t="shared" si="337"/>
        <v>112New Vehicle Sales - Lexus</v>
      </c>
      <c r="L4052" s="311">
        <f>+SUMIF('TUNZ Extracted TB'!M:M,$P4052,'TUNZ Extracted TB'!G:G)</f>
        <v>0</v>
      </c>
      <c r="M4052" s="311"/>
      <c r="N4052" s="311">
        <f>+SUMIF('Input Sheet'!$AE:$AE,P4052,'Input Sheet'!$X:$X)</f>
        <v>0</v>
      </c>
      <c r="O4052" s="311"/>
      <c r="P4052" t="str">
        <f t="shared" si="338"/>
        <v>112-3044RD</v>
      </c>
      <c r="Q4052" s="315" t="str">
        <f t="shared" si="339"/>
        <v>LEX New Vehicle</v>
      </c>
      <c r="R4052" s="315" t="str">
        <f t="shared" si="340"/>
        <v>LEX New VehicleRetail Gross p.u.</v>
      </c>
      <c r="S4052" s="199"/>
      <c r="T4052" s="199"/>
      <c r="U4052" s="199"/>
    </row>
    <row r="4053" spans="1:21" x14ac:dyDescent="0.25">
      <c r="A4053" t="s">
        <v>996</v>
      </c>
      <c r="B4053" t="s">
        <v>997</v>
      </c>
      <c r="C4053" t="s">
        <v>997</v>
      </c>
      <c r="D4053" t="s">
        <v>1486</v>
      </c>
      <c r="E4053">
        <v>112</v>
      </c>
      <c r="F4053" t="s">
        <v>1477</v>
      </c>
      <c r="G4053" t="s">
        <v>1478</v>
      </c>
      <c r="H4053" s="315" t="s">
        <v>1011</v>
      </c>
      <c r="I4053" s="315" t="s">
        <v>1004</v>
      </c>
      <c r="J4053" s="315" t="str">
        <f t="shared" si="336"/>
        <v>LEX New VehicleRetail Gross p.u.</v>
      </c>
      <c r="K4053" s="315" t="str">
        <f t="shared" si="337"/>
        <v>112New Vehicle Sales - Lexus</v>
      </c>
      <c r="L4053" s="311">
        <f>+SUMIF('TUNZ Extracted TB'!M:M,$P4053,'TUNZ Extracted TB'!G:G)</f>
        <v>0</v>
      </c>
      <c r="M4053" s="311"/>
      <c r="N4053" s="311">
        <f>+SUMIF('Input Sheet'!$AE:$AE,P4053,'Input Sheet'!$X:$X)</f>
        <v>0</v>
      </c>
      <c r="O4053" s="311"/>
      <c r="P4053" t="str">
        <f t="shared" si="338"/>
        <v>112-3045R</v>
      </c>
      <c r="Q4053" s="315" t="str">
        <f t="shared" si="339"/>
        <v>LEX New Vehicle</v>
      </c>
      <c r="R4053" s="315" t="str">
        <f t="shared" si="340"/>
        <v>LEX New VehicleRetail Gross p.u.</v>
      </c>
      <c r="S4053" s="199"/>
      <c r="T4053" s="199"/>
      <c r="U4053" s="199"/>
    </row>
    <row r="4054" spans="1:21" x14ac:dyDescent="0.25">
      <c r="A4054" t="s">
        <v>996</v>
      </c>
      <c r="B4054" t="s">
        <v>997</v>
      </c>
      <c r="C4054" t="s">
        <v>997</v>
      </c>
      <c r="D4054" t="s">
        <v>1487</v>
      </c>
      <c r="E4054">
        <v>112</v>
      </c>
      <c r="F4054" t="s">
        <v>1477</v>
      </c>
      <c r="G4054" t="s">
        <v>1478</v>
      </c>
      <c r="H4054" s="315" t="s">
        <v>1011</v>
      </c>
      <c r="I4054" s="315" t="s">
        <v>1004</v>
      </c>
      <c r="J4054" s="315" t="str">
        <f t="shared" si="336"/>
        <v>LEX New VehicleRetail Gross p.u.</v>
      </c>
      <c r="K4054" s="315" t="str">
        <f t="shared" si="337"/>
        <v>112New Vehicle Sales - Lexus</v>
      </c>
      <c r="L4054" s="311">
        <f>+SUMIF('TUNZ Extracted TB'!M:M,$P4054,'TUNZ Extracted TB'!G:G)</f>
        <v>0</v>
      </c>
      <c r="M4054" s="311"/>
      <c r="N4054" s="311">
        <f>+SUMIF('Input Sheet'!$AE:$AE,P4054,'Input Sheet'!$X:$X)</f>
        <v>0</v>
      </c>
      <c r="O4054" s="311"/>
      <c r="P4054" t="str">
        <f t="shared" si="338"/>
        <v>112-3045RD</v>
      </c>
      <c r="Q4054" s="315" t="str">
        <f t="shared" si="339"/>
        <v>LEX New Vehicle</v>
      </c>
      <c r="R4054" s="315" t="str">
        <f t="shared" si="340"/>
        <v>LEX New VehicleRetail Gross p.u.</v>
      </c>
      <c r="S4054" s="199"/>
      <c r="T4054" s="199"/>
      <c r="U4054" s="199"/>
    </row>
    <row r="4055" spans="1:21" x14ac:dyDescent="0.25">
      <c r="A4055" t="s">
        <v>996</v>
      </c>
      <c r="B4055" t="s">
        <v>997</v>
      </c>
      <c r="C4055" t="s">
        <v>997</v>
      </c>
      <c r="D4055" t="s">
        <v>523</v>
      </c>
      <c r="E4055">
        <v>112</v>
      </c>
      <c r="F4055" t="s">
        <v>1477</v>
      </c>
      <c r="G4055" t="s">
        <v>1478</v>
      </c>
      <c r="H4055" s="315" t="s">
        <v>1011</v>
      </c>
      <c r="I4055" s="315" t="s">
        <v>1004</v>
      </c>
      <c r="J4055" s="315" t="str">
        <f t="shared" si="336"/>
        <v>LEX New VehicleRetail Gross p.u.</v>
      </c>
      <c r="K4055" s="315" t="str">
        <f t="shared" si="337"/>
        <v>112New Vehicle Sales - Lexus</v>
      </c>
      <c r="L4055" s="311">
        <f>+SUMIF('TUNZ Extracted TB'!M:M,$P4055,'TUNZ Extracted TB'!G:G)</f>
        <v>0</v>
      </c>
      <c r="M4055" s="311"/>
      <c r="N4055" s="311">
        <f>+SUMIF('Input Sheet'!$AE:$AE,P4055,'Input Sheet'!$X:$X)</f>
        <v>0</v>
      </c>
      <c r="O4055" s="311"/>
      <c r="P4055" t="str">
        <f t="shared" si="338"/>
        <v>112-3046R</v>
      </c>
      <c r="Q4055" s="315" t="str">
        <f t="shared" si="339"/>
        <v>LEX New Vehicle</v>
      </c>
      <c r="R4055" s="315" t="str">
        <f t="shared" si="340"/>
        <v>LEX New VehicleRetail Gross p.u.</v>
      </c>
      <c r="S4055" s="199"/>
      <c r="T4055" s="199"/>
      <c r="U4055" s="199"/>
    </row>
    <row r="4056" spans="1:21" x14ac:dyDescent="0.25">
      <c r="A4056" t="s">
        <v>996</v>
      </c>
      <c r="B4056" t="s">
        <v>997</v>
      </c>
      <c r="C4056" t="s">
        <v>997</v>
      </c>
      <c r="D4056" t="s">
        <v>525</v>
      </c>
      <c r="E4056">
        <v>112</v>
      </c>
      <c r="F4056" t="s">
        <v>1477</v>
      </c>
      <c r="G4056" t="s">
        <v>1478</v>
      </c>
      <c r="H4056" s="315" t="s">
        <v>1011</v>
      </c>
      <c r="I4056" s="315" t="s">
        <v>1004</v>
      </c>
      <c r="J4056" s="315" t="str">
        <f t="shared" si="336"/>
        <v>LEX New VehicleRetail Gross p.u.</v>
      </c>
      <c r="K4056" s="315" t="str">
        <f t="shared" si="337"/>
        <v>112New Vehicle Sales - Lexus</v>
      </c>
      <c r="L4056" s="311">
        <f>+SUMIF('TUNZ Extracted TB'!M:M,$P4056,'TUNZ Extracted TB'!G:G)</f>
        <v>0</v>
      </c>
      <c r="M4056" s="311"/>
      <c r="N4056" s="311">
        <f>+SUMIF('Input Sheet'!$AE:$AE,P4056,'Input Sheet'!$X:$X)</f>
        <v>0</v>
      </c>
      <c r="O4056" s="311"/>
      <c r="P4056" t="str">
        <f t="shared" si="338"/>
        <v>112-3046RD</v>
      </c>
      <c r="Q4056" s="315" t="str">
        <f t="shared" si="339"/>
        <v>LEX New Vehicle</v>
      </c>
      <c r="R4056" s="315" t="str">
        <f t="shared" si="340"/>
        <v>LEX New VehicleRetail Gross p.u.</v>
      </c>
      <c r="S4056" s="199"/>
      <c r="T4056" s="199"/>
      <c r="U4056" s="199"/>
    </row>
    <row r="4057" spans="1:21" x14ac:dyDescent="0.25">
      <c r="A4057" t="s">
        <v>996</v>
      </c>
      <c r="B4057" t="s">
        <v>997</v>
      </c>
      <c r="C4057" t="s">
        <v>997</v>
      </c>
      <c r="D4057" t="s">
        <v>1488</v>
      </c>
      <c r="E4057">
        <v>112</v>
      </c>
      <c r="F4057" t="s">
        <v>1477</v>
      </c>
      <c r="G4057" t="s">
        <v>1478</v>
      </c>
      <c r="H4057" s="315" t="s">
        <v>1011</v>
      </c>
      <c r="I4057" s="315" t="s">
        <v>1004</v>
      </c>
      <c r="J4057" s="315" t="str">
        <f t="shared" si="336"/>
        <v>LEX New VehicleRetail Gross p.u.</v>
      </c>
      <c r="K4057" s="315" t="str">
        <f t="shared" si="337"/>
        <v>112New Vehicle Sales - Lexus</v>
      </c>
      <c r="L4057" s="311">
        <f>+SUMIF('TUNZ Extracted TB'!M:M,$P4057,'TUNZ Extracted TB'!G:G)</f>
        <v>0</v>
      </c>
      <c r="M4057" s="311"/>
      <c r="N4057" s="311">
        <f>+SUMIF('Input Sheet'!$AE:$AE,P4057,'Input Sheet'!$X:$X)</f>
        <v>0</v>
      </c>
      <c r="O4057" s="311"/>
      <c r="P4057" t="str">
        <f t="shared" si="338"/>
        <v>112-3047R</v>
      </c>
      <c r="Q4057" s="315" t="str">
        <f t="shared" si="339"/>
        <v>LEX New Vehicle</v>
      </c>
      <c r="R4057" s="315" t="str">
        <f t="shared" si="340"/>
        <v>LEX New VehicleRetail Gross p.u.</v>
      </c>
      <c r="S4057" s="199"/>
      <c r="T4057" s="199"/>
      <c r="U4057" s="199"/>
    </row>
    <row r="4058" spans="1:21" x14ac:dyDescent="0.25">
      <c r="A4058" t="s">
        <v>996</v>
      </c>
      <c r="B4058" t="s">
        <v>997</v>
      </c>
      <c r="C4058" t="s">
        <v>997</v>
      </c>
      <c r="D4058" t="s">
        <v>1489</v>
      </c>
      <c r="E4058">
        <v>112</v>
      </c>
      <c r="F4058" t="s">
        <v>1477</v>
      </c>
      <c r="G4058" t="s">
        <v>1478</v>
      </c>
      <c r="H4058" s="315" t="s">
        <v>1011</v>
      </c>
      <c r="I4058" s="315" t="s">
        <v>1004</v>
      </c>
      <c r="J4058" s="315" t="str">
        <f t="shared" si="336"/>
        <v>LEX New VehicleRetail Gross p.u.</v>
      </c>
      <c r="K4058" s="315" t="str">
        <f t="shared" si="337"/>
        <v>112New Vehicle Sales - Lexus</v>
      </c>
      <c r="L4058" s="311">
        <f>+SUMIF('TUNZ Extracted TB'!M:M,$P4058,'TUNZ Extracted TB'!G:G)</f>
        <v>0</v>
      </c>
      <c r="M4058" s="311"/>
      <c r="N4058" s="311">
        <f>+SUMIF('Input Sheet'!$AE:$AE,P4058,'Input Sheet'!$X:$X)</f>
        <v>0</v>
      </c>
      <c r="O4058" s="311"/>
      <c r="P4058" t="str">
        <f t="shared" si="338"/>
        <v>112-3047RD</v>
      </c>
      <c r="Q4058" s="315" t="str">
        <f t="shared" si="339"/>
        <v>LEX New Vehicle</v>
      </c>
      <c r="R4058" s="315" t="str">
        <f t="shared" si="340"/>
        <v>LEX New VehicleRetail Gross p.u.</v>
      </c>
      <c r="S4058" s="199"/>
      <c r="T4058" s="199"/>
      <c r="U4058" s="199"/>
    </row>
    <row r="4059" spans="1:21" x14ac:dyDescent="0.25">
      <c r="A4059" t="s">
        <v>996</v>
      </c>
      <c r="B4059" t="s">
        <v>997</v>
      </c>
      <c r="C4059" t="s">
        <v>997</v>
      </c>
      <c r="D4059" t="s">
        <v>527</v>
      </c>
      <c r="E4059">
        <v>112</v>
      </c>
      <c r="F4059" t="s">
        <v>1477</v>
      </c>
      <c r="G4059" t="s">
        <v>1478</v>
      </c>
      <c r="H4059" s="315" t="s">
        <v>1011</v>
      </c>
      <c r="I4059" s="315" t="s">
        <v>1004</v>
      </c>
      <c r="J4059" s="315" t="str">
        <f t="shared" si="336"/>
        <v>LEX New VehicleRetail Gross p.u.</v>
      </c>
      <c r="K4059" s="315" t="str">
        <f t="shared" si="337"/>
        <v>112New Vehicle Sales - Lexus</v>
      </c>
      <c r="L4059" s="311">
        <f>+SUMIF('TUNZ Extracted TB'!M:M,$P4059,'TUNZ Extracted TB'!G:G)</f>
        <v>0</v>
      </c>
      <c r="M4059" s="311"/>
      <c r="N4059" s="311">
        <f>+SUMIF('Input Sheet'!$AE:$AE,P4059,'Input Sheet'!$X:$X)</f>
        <v>0</v>
      </c>
      <c r="O4059" s="311"/>
      <c r="P4059" t="str">
        <f t="shared" si="338"/>
        <v>112-3048R</v>
      </c>
      <c r="Q4059" s="315" t="str">
        <f t="shared" si="339"/>
        <v>LEX New Vehicle</v>
      </c>
      <c r="R4059" s="315" t="str">
        <f t="shared" si="340"/>
        <v>LEX New VehicleRetail Gross p.u.</v>
      </c>
      <c r="S4059" s="199"/>
      <c r="T4059" s="199"/>
      <c r="U4059" s="199"/>
    </row>
    <row r="4060" spans="1:21" x14ac:dyDescent="0.25">
      <c r="A4060" t="s">
        <v>996</v>
      </c>
      <c r="B4060" t="s">
        <v>997</v>
      </c>
      <c r="C4060" t="s">
        <v>997</v>
      </c>
      <c r="D4060" t="s">
        <v>1490</v>
      </c>
      <c r="E4060">
        <v>112</v>
      </c>
      <c r="F4060" t="s">
        <v>1477</v>
      </c>
      <c r="G4060" t="s">
        <v>1478</v>
      </c>
      <c r="H4060" s="315" t="s">
        <v>1011</v>
      </c>
      <c r="I4060" s="315" t="s">
        <v>1004</v>
      </c>
      <c r="J4060" s="315" t="str">
        <f t="shared" si="336"/>
        <v>LEX New VehicleRetail Gross p.u.</v>
      </c>
      <c r="K4060" s="315" t="str">
        <f t="shared" si="337"/>
        <v>112New Vehicle Sales - Lexus</v>
      </c>
      <c r="L4060" s="311">
        <f>+SUMIF('TUNZ Extracted TB'!M:M,$P4060,'TUNZ Extracted TB'!G:G)</f>
        <v>0</v>
      </c>
      <c r="M4060" s="311"/>
      <c r="N4060" s="311">
        <f>+SUMIF('Input Sheet'!$AE:$AE,P4060,'Input Sheet'!$X:$X)</f>
        <v>0</v>
      </c>
      <c r="O4060" s="311"/>
      <c r="P4060" t="str">
        <f t="shared" si="338"/>
        <v>112-3048RD</v>
      </c>
      <c r="Q4060" s="315" t="str">
        <f t="shared" si="339"/>
        <v>LEX New Vehicle</v>
      </c>
      <c r="R4060" s="315" t="str">
        <f t="shared" si="340"/>
        <v>LEX New VehicleRetail Gross p.u.</v>
      </c>
      <c r="S4060" s="199"/>
      <c r="T4060" s="199"/>
      <c r="U4060" s="199"/>
    </row>
    <row r="4061" spans="1:21" x14ac:dyDescent="0.25">
      <c r="A4061" t="s">
        <v>996</v>
      </c>
      <c r="B4061" t="s">
        <v>997</v>
      </c>
      <c r="C4061" t="s">
        <v>997</v>
      </c>
      <c r="D4061" t="s">
        <v>529</v>
      </c>
      <c r="E4061">
        <v>112</v>
      </c>
      <c r="F4061" t="s">
        <v>1477</v>
      </c>
      <c r="G4061" t="s">
        <v>1478</v>
      </c>
      <c r="H4061" s="315" t="s">
        <v>1011</v>
      </c>
      <c r="I4061" s="315" t="s">
        <v>1004</v>
      </c>
      <c r="J4061" s="315" t="str">
        <f t="shared" si="336"/>
        <v>LEX New VehicleRetail Gross p.u.</v>
      </c>
      <c r="K4061" s="315" t="str">
        <f t="shared" si="337"/>
        <v>112New Vehicle Sales - Lexus</v>
      </c>
      <c r="L4061" s="311">
        <f>+SUMIF('TUNZ Extracted TB'!M:M,$P4061,'TUNZ Extracted TB'!G:G)</f>
        <v>0</v>
      </c>
      <c r="M4061" s="311"/>
      <c r="N4061" s="311">
        <f>+SUMIF('Input Sheet'!$AE:$AE,P4061,'Input Sheet'!$X:$X)</f>
        <v>0</v>
      </c>
      <c r="O4061" s="311"/>
      <c r="P4061" t="str">
        <f t="shared" si="338"/>
        <v>112-3049R</v>
      </c>
      <c r="Q4061" s="315" t="str">
        <f t="shared" si="339"/>
        <v>LEX New Vehicle</v>
      </c>
      <c r="R4061" s="315" t="str">
        <f t="shared" si="340"/>
        <v>LEX New VehicleRetail Gross p.u.</v>
      </c>
      <c r="S4061" s="199"/>
      <c r="T4061" s="199"/>
      <c r="U4061" s="199"/>
    </row>
    <row r="4062" spans="1:21" x14ac:dyDescent="0.25">
      <c r="A4062" t="s">
        <v>996</v>
      </c>
      <c r="B4062" t="s">
        <v>997</v>
      </c>
      <c r="C4062" t="s">
        <v>997</v>
      </c>
      <c r="D4062" t="s">
        <v>531</v>
      </c>
      <c r="E4062">
        <v>112</v>
      </c>
      <c r="F4062" t="s">
        <v>1477</v>
      </c>
      <c r="G4062" t="s">
        <v>1478</v>
      </c>
      <c r="H4062" s="315" t="s">
        <v>1011</v>
      </c>
      <c r="I4062" s="315" t="s">
        <v>1004</v>
      </c>
      <c r="J4062" s="315" t="str">
        <f t="shared" si="336"/>
        <v>LEX New VehicleRetail Gross p.u.</v>
      </c>
      <c r="K4062" s="315" t="str">
        <f t="shared" si="337"/>
        <v>112New Vehicle Sales - Lexus</v>
      </c>
      <c r="L4062" s="311">
        <f>+SUMIF('TUNZ Extracted TB'!M:M,$P4062,'TUNZ Extracted TB'!G:G)</f>
        <v>0</v>
      </c>
      <c r="M4062" s="311"/>
      <c r="N4062" s="311">
        <f>+SUMIF('Input Sheet'!$AE:$AE,P4062,'Input Sheet'!$X:$X)</f>
        <v>0</v>
      </c>
      <c r="O4062" s="311"/>
      <c r="P4062" t="str">
        <f t="shared" si="338"/>
        <v>112-3049RD</v>
      </c>
      <c r="Q4062" s="315" t="str">
        <f t="shared" si="339"/>
        <v>LEX New Vehicle</v>
      </c>
      <c r="R4062" s="315" t="str">
        <f t="shared" si="340"/>
        <v>LEX New VehicleRetail Gross p.u.</v>
      </c>
      <c r="S4062" s="199"/>
      <c r="T4062" s="199"/>
      <c r="U4062" s="199"/>
    </row>
    <row r="4063" spans="1:21" x14ac:dyDescent="0.25">
      <c r="A4063" t="s">
        <v>996</v>
      </c>
      <c r="B4063" t="s">
        <v>997</v>
      </c>
      <c r="C4063" t="s">
        <v>997</v>
      </c>
      <c r="D4063" t="s">
        <v>138</v>
      </c>
      <c r="E4063">
        <v>112</v>
      </c>
      <c r="F4063" t="s">
        <v>1477</v>
      </c>
      <c r="G4063" t="s">
        <v>1478</v>
      </c>
      <c r="H4063" s="315" t="s">
        <v>1011</v>
      </c>
      <c r="I4063" s="315" t="s">
        <v>1004</v>
      </c>
      <c r="J4063" s="315" t="str">
        <f t="shared" si="336"/>
        <v>LEX New VehicleRetail Gross p.u.</v>
      </c>
      <c r="K4063" s="315" t="str">
        <f t="shared" si="337"/>
        <v>112New Vehicle Sales - Lexus</v>
      </c>
      <c r="L4063" s="311">
        <f>+SUMIF('TUNZ Extracted TB'!M:M,$P4063,'TUNZ Extracted TB'!G:G)</f>
        <v>-463465.32</v>
      </c>
      <c r="M4063" s="311"/>
      <c r="N4063" s="311">
        <f>+SUMIF('Input Sheet'!$AE:$AE,P4063,'Input Sheet'!$X:$X)</f>
        <v>-290000</v>
      </c>
      <c r="O4063" s="311"/>
      <c r="P4063" t="str">
        <f t="shared" si="338"/>
        <v>112-3050R</v>
      </c>
      <c r="Q4063" s="315" t="str">
        <f t="shared" si="339"/>
        <v>LEX New Vehicle</v>
      </c>
      <c r="R4063" s="315" t="str">
        <f t="shared" si="340"/>
        <v>LEX New VehicleRetail Gross p.u.</v>
      </c>
      <c r="S4063" s="199"/>
      <c r="T4063" s="199"/>
      <c r="U4063" s="199"/>
    </row>
    <row r="4064" spans="1:21" x14ac:dyDescent="0.25">
      <c r="A4064" t="s">
        <v>996</v>
      </c>
      <c r="B4064" t="s">
        <v>997</v>
      </c>
      <c r="C4064" t="s">
        <v>997</v>
      </c>
      <c r="D4064" t="s">
        <v>534</v>
      </c>
      <c r="E4064">
        <v>112</v>
      </c>
      <c r="F4064" t="s">
        <v>1477</v>
      </c>
      <c r="G4064" t="s">
        <v>1478</v>
      </c>
      <c r="H4064" s="315" t="s">
        <v>1011</v>
      </c>
      <c r="I4064" s="315" t="s">
        <v>1004</v>
      </c>
      <c r="J4064" s="315" t="str">
        <f t="shared" si="336"/>
        <v>LEX New VehicleRetail Gross p.u.</v>
      </c>
      <c r="K4064" s="315" t="str">
        <f t="shared" si="337"/>
        <v>112New Vehicle Sales - Lexus</v>
      </c>
      <c r="L4064" s="311">
        <f>+SUMIF('TUNZ Extracted TB'!M:M,$P4064,'TUNZ Extracted TB'!G:G)</f>
        <v>22521.74</v>
      </c>
      <c r="M4064" s="311"/>
      <c r="N4064" s="311">
        <f>+SUMIF('Input Sheet'!$AE:$AE,P4064,'Input Sheet'!$X:$X)</f>
        <v>0</v>
      </c>
      <c r="O4064" s="311"/>
      <c r="P4064" t="str">
        <f t="shared" si="338"/>
        <v>112-3050RD</v>
      </c>
      <c r="Q4064" s="315" t="str">
        <f t="shared" si="339"/>
        <v>LEX New Vehicle</v>
      </c>
      <c r="R4064" s="315" t="str">
        <f t="shared" si="340"/>
        <v>LEX New VehicleRetail Gross p.u.</v>
      </c>
      <c r="S4064" s="199"/>
      <c r="T4064" s="199"/>
      <c r="U4064" s="199"/>
    </row>
    <row r="4065" spans="1:21" x14ac:dyDescent="0.25">
      <c r="A4065" t="s">
        <v>996</v>
      </c>
      <c r="B4065" t="s">
        <v>997</v>
      </c>
      <c r="C4065" t="s">
        <v>997</v>
      </c>
      <c r="D4065" t="s">
        <v>536</v>
      </c>
      <c r="E4065">
        <v>112</v>
      </c>
      <c r="F4065" t="s">
        <v>1477</v>
      </c>
      <c r="G4065" t="s">
        <v>1478</v>
      </c>
      <c r="H4065" s="315" t="s">
        <v>1011</v>
      </c>
      <c r="I4065" s="315" t="s">
        <v>1004</v>
      </c>
      <c r="J4065" s="315" t="str">
        <f t="shared" si="336"/>
        <v>LEX New VehicleRetail Gross p.u.</v>
      </c>
      <c r="K4065" s="315" t="str">
        <f t="shared" si="337"/>
        <v>112New Vehicle Sales - Lexus</v>
      </c>
      <c r="L4065" s="311">
        <f>+SUMIF('TUNZ Extracted TB'!M:M,$P4065,'TUNZ Extracted TB'!G:G)</f>
        <v>0</v>
      </c>
      <c r="M4065" s="311"/>
      <c r="N4065" s="311">
        <f>+SUMIF('Input Sheet'!$AE:$AE,P4065,'Input Sheet'!$X:$X)</f>
        <v>0</v>
      </c>
      <c r="O4065" s="311"/>
      <c r="P4065" t="str">
        <f t="shared" si="338"/>
        <v>112-3051R</v>
      </c>
      <c r="Q4065" s="315" t="str">
        <f t="shared" si="339"/>
        <v>LEX New Vehicle</v>
      </c>
      <c r="R4065" s="315" t="str">
        <f t="shared" si="340"/>
        <v>LEX New VehicleRetail Gross p.u.</v>
      </c>
      <c r="S4065" s="199"/>
      <c r="T4065" s="199"/>
      <c r="U4065" s="199"/>
    </row>
    <row r="4066" spans="1:21" x14ac:dyDescent="0.25">
      <c r="A4066" t="s">
        <v>996</v>
      </c>
      <c r="B4066" t="s">
        <v>997</v>
      </c>
      <c r="C4066" t="s">
        <v>997</v>
      </c>
      <c r="D4066" t="s">
        <v>538</v>
      </c>
      <c r="E4066">
        <v>112</v>
      </c>
      <c r="F4066" t="s">
        <v>1477</v>
      </c>
      <c r="G4066" t="s">
        <v>1478</v>
      </c>
      <c r="H4066" s="315" t="s">
        <v>1011</v>
      </c>
      <c r="I4066" s="315" t="s">
        <v>1004</v>
      </c>
      <c r="J4066" s="315" t="str">
        <f t="shared" si="336"/>
        <v>LEX New VehicleRetail Gross p.u.</v>
      </c>
      <c r="K4066" s="315" t="str">
        <f t="shared" si="337"/>
        <v>112New Vehicle Sales - Lexus</v>
      </c>
      <c r="L4066" s="311">
        <f>+SUMIF('TUNZ Extracted TB'!M:M,$P4066,'TUNZ Extracted TB'!G:G)</f>
        <v>0</v>
      </c>
      <c r="M4066" s="311"/>
      <c r="N4066" s="311">
        <f>+SUMIF('Input Sheet'!$AE:$AE,P4066,'Input Sheet'!$X:$X)</f>
        <v>0</v>
      </c>
      <c r="O4066" s="311"/>
      <c r="P4066" t="str">
        <f t="shared" si="338"/>
        <v>112-3051RD</v>
      </c>
      <c r="Q4066" s="315" t="str">
        <f t="shared" si="339"/>
        <v>LEX New Vehicle</v>
      </c>
      <c r="R4066" s="315" t="str">
        <f t="shared" si="340"/>
        <v>LEX New VehicleRetail Gross p.u.</v>
      </c>
      <c r="S4066" s="199"/>
      <c r="T4066" s="199"/>
      <c r="U4066" s="199"/>
    </row>
    <row r="4067" spans="1:21" x14ac:dyDescent="0.25">
      <c r="A4067" t="s">
        <v>996</v>
      </c>
      <c r="B4067" t="s">
        <v>997</v>
      </c>
      <c r="C4067" t="s">
        <v>997</v>
      </c>
      <c r="D4067" t="s">
        <v>540</v>
      </c>
      <c r="E4067">
        <v>112</v>
      </c>
      <c r="F4067" t="s">
        <v>1477</v>
      </c>
      <c r="G4067" t="s">
        <v>1478</v>
      </c>
      <c r="H4067" s="315" t="s">
        <v>1011</v>
      </c>
      <c r="I4067" s="315" t="s">
        <v>1004</v>
      </c>
      <c r="J4067" s="315" t="str">
        <f t="shared" si="336"/>
        <v>LEX New VehicleRetail Gross p.u.</v>
      </c>
      <c r="K4067" s="315" t="str">
        <f t="shared" si="337"/>
        <v>112New Vehicle Sales - Lexus</v>
      </c>
      <c r="L4067" s="311">
        <f>+SUMIF('TUNZ Extracted TB'!M:M,$P4067,'TUNZ Extracted TB'!G:G)</f>
        <v>0</v>
      </c>
      <c r="M4067" s="311"/>
      <c r="N4067" s="311">
        <f>+SUMIF('Input Sheet'!$AE:$AE,P4067,'Input Sheet'!$X:$X)</f>
        <v>0</v>
      </c>
      <c r="O4067" s="311"/>
      <c r="P4067" t="str">
        <f t="shared" si="338"/>
        <v>112-3052R</v>
      </c>
      <c r="Q4067" s="315" t="str">
        <f t="shared" si="339"/>
        <v>LEX New Vehicle</v>
      </c>
      <c r="R4067" s="315" t="str">
        <f t="shared" si="340"/>
        <v>LEX New VehicleRetail Gross p.u.</v>
      </c>
      <c r="S4067" s="199"/>
      <c r="T4067" s="199"/>
      <c r="U4067" s="199"/>
    </row>
    <row r="4068" spans="1:21" x14ac:dyDescent="0.25">
      <c r="A4068" t="s">
        <v>996</v>
      </c>
      <c r="B4068" t="s">
        <v>997</v>
      </c>
      <c r="C4068" t="s">
        <v>997</v>
      </c>
      <c r="D4068" t="s">
        <v>542</v>
      </c>
      <c r="E4068">
        <v>112</v>
      </c>
      <c r="F4068" t="s">
        <v>1477</v>
      </c>
      <c r="G4068" t="s">
        <v>1478</v>
      </c>
      <c r="H4068" s="315" t="s">
        <v>1011</v>
      </c>
      <c r="I4068" s="315" t="s">
        <v>1004</v>
      </c>
      <c r="J4068" s="315" t="str">
        <f t="shared" si="336"/>
        <v>LEX New VehicleRetail Gross p.u.</v>
      </c>
      <c r="K4068" s="315" t="str">
        <f t="shared" si="337"/>
        <v>112New Vehicle Sales - Lexus</v>
      </c>
      <c r="L4068" s="311">
        <f>+SUMIF('TUNZ Extracted TB'!M:M,$P4068,'TUNZ Extracted TB'!G:G)</f>
        <v>0</v>
      </c>
      <c r="M4068" s="311"/>
      <c r="N4068" s="311">
        <f>+SUMIF('Input Sheet'!$AE:$AE,P4068,'Input Sheet'!$X:$X)</f>
        <v>0</v>
      </c>
      <c r="O4068" s="311"/>
      <c r="P4068" t="str">
        <f t="shared" si="338"/>
        <v>112-3052RD</v>
      </c>
      <c r="Q4068" s="315" t="str">
        <f t="shared" si="339"/>
        <v>LEX New Vehicle</v>
      </c>
      <c r="R4068" s="315" t="str">
        <f t="shared" si="340"/>
        <v>LEX New VehicleRetail Gross p.u.</v>
      </c>
      <c r="S4068" s="199"/>
      <c r="T4068" s="199"/>
      <c r="U4068" s="199"/>
    </row>
    <row r="4069" spans="1:21" x14ac:dyDescent="0.25">
      <c r="A4069" t="s">
        <v>996</v>
      </c>
      <c r="B4069" t="s">
        <v>997</v>
      </c>
      <c r="C4069" t="s">
        <v>997</v>
      </c>
      <c r="D4069" t="s">
        <v>1491</v>
      </c>
      <c r="E4069">
        <v>112</v>
      </c>
      <c r="F4069" t="s">
        <v>1477</v>
      </c>
      <c r="G4069" t="s">
        <v>1478</v>
      </c>
      <c r="H4069" s="315" t="s">
        <v>1011</v>
      </c>
      <c r="I4069" s="315" t="s">
        <v>1004</v>
      </c>
      <c r="J4069" s="315" t="str">
        <f t="shared" si="336"/>
        <v>LEX New VehicleRetail Gross p.u.</v>
      </c>
      <c r="K4069" s="315" t="str">
        <f t="shared" si="337"/>
        <v>112New Vehicle Sales - Lexus</v>
      </c>
      <c r="L4069" s="311">
        <f>+SUMIF('TUNZ Extracted TB'!M:M,$P4069,'TUNZ Extracted TB'!G:G)</f>
        <v>0</v>
      </c>
      <c r="M4069" s="311"/>
      <c r="N4069" s="311">
        <f>+SUMIF('Input Sheet'!$AE:$AE,P4069,'Input Sheet'!$X:$X)</f>
        <v>0</v>
      </c>
      <c r="O4069" s="311"/>
      <c r="P4069" t="str">
        <f t="shared" si="338"/>
        <v>112-3053R</v>
      </c>
      <c r="Q4069" s="315" t="str">
        <f t="shared" si="339"/>
        <v>LEX New Vehicle</v>
      </c>
      <c r="R4069" s="315" t="str">
        <f t="shared" si="340"/>
        <v>LEX New VehicleRetail Gross p.u.</v>
      </c>
      <c r="S4069" s="199"/>
      <c r="T4069" s="199"/>
      <c r="U4069" s="199"/>
    </row>
    <row r="4070" spans="1:21" x14ac:dyDescent="0.25">
      <c r="A4070" t="s">
        <v>996</v>
      </c>
      <c r="B4070" t="s">
        <v>997</v>
      </c>
      <c r="C4070" t="s">
        <v>997</v>
      </c>
      <c r="D4070" t="s">
        <v>1492</v>
      </c>
      <c r="E4070">
        <v>112</v>
      </c>
      <c r="F4070" t="s">
        <v>1477</v>
      </c>
      <c r="G4070" t="s">
        <v>1478</v>
      </c>
      <c r="H4070" s="315" t="s">
        <v>1011</v>
      </c>
      <c r="I4070" s="315" t="s">
        <v>1004</v>
      </c>
      <c r="J4070" s="315" t="str">
        <f t="shared" si="336"/>
        <v>LEX New VehicleRetail Gross p.u.</v>
      </c>
      <c r="K4070" s="315" t="str">
        <f t="shared" si="337"/>
        <v>112New Vehicle Sales - Lexus</v>
      </c>
      <c r="L4070" s="311">
        <f>+SUMIF('TUNZ Extracted TB'!M:M,$P4070,'TUNZ Extracted TB'!G:G)</f>
        <v>0</v>
      </c>
      <c r="M4070" s="311"/>
      <c r="N4070" s="311">
        <f>+SUMIF('Input Sheet'!$AE:$AE,P4070,'Input Sheet'!$X:$X)</f>
        <v>0</v>
      </c>
      <c r="O4070" s="311"/>
      <c r="P4070" t="str">
        <f t="shared" si="338"/>
        <v>112-3053RD</v>
      </c>
      <c r="Q4070" s="315" t="str">
        <f t="shared" si="339"/>
        <v>LEX New Vehicle</v>
      </c>
      <c r="R4070" s="315" t="str">
        <f t="shared" si="340"/>
        <v>LEX New VehicleRetail Gross p.u.</v>
      </c>
      <c r="S4070" s="199"/>
      <c r="T4070" s="199"/>
      <c r="U4070" s="199"/>
    </row>
    <row r="4071" spans="1:21" x14ac:dyDescent="0.25">
      <c r="A4071" t="s">
        <v>996</v>
      </c>
      <c r="B4071" t="s">
        <v>997</v>
      </c>
      <c r="C4071" t="s">
        <v>997</v>
      </c>
      <c r="D4071" t="s">
        <v>544</v>
      </c>
      <c r="E4071">
        <v>112</v>
      </c>
      <c r="F4071" t="s">
        <v>1477</v>
      </c>
      <c r="G4071" t="s">
        <v>1478</v>
      </c>
      <c r="H4071" s="315" t="s">
        <v>1011</v>
      </c>
      <c r="I4071" s="315" t="s">
        <v>1004</v>
      </c>
      <c r="J4071" s="315" t="str">
        <f t="shared" si="336"/>
        <v>LEX New VehicleRetail Gross p.u.</v>
      </c>
      <c r="K4071" s="315" t="str">
        <f t="shared" si="337"/>
        <v>112New Vehicle Sales - Lexus</v>
      </c>
      <c r="L4071" s="311">
        <f>+SUMIF('TUNZ Extracted TB'!M:M,$P4071,'TUNZ Extracted TB'!G:G)</f>
        <v>-432290.77</v>
      </c>
      <c r="M4071" s="311"/>
      <c r="N4071" s="311">
        <f>+SUMIF('Input Sheet'!$AE:$AE,P4071,'Input Sheet'!$X:$X)</f>
        <v>0</v>
      </c>
      <c r="O4071" s="311"/>
      <c r="P4071" t="str">
        <f t="shared" si="338"/>
        <v>112-3054R</v>
      </c>
      <c r="Q4071" s="315" t="str">
        <f t="shared" si="339"/>
        <v>LEX New Vehicle</v>
      </c>
      <c r="R4071" s="315" t="str">
        <f t="shared" si="340"/>
        <v>LEX New VehicleRetail Gross p.u.</v>
      </c>
      <c r="S4071" s="199"/>
      <c r="T4071" s="199"/>
      <c r="U4071" s="199"/>
    </row>
    <row r="4072" spans="1:21" x14ac:dyDescent="0.25">
      <c r="A4072" t="s">
        <v>996</v>
      </c>
      <c r="B4072" t="s">
        <v>997</v>
      </c>
      <c r="C4072" t="s">
        <v>997</v>
      </c>
      <c r="D4072" t="s">
        <v>546</v>
      </c>
      <c r="E4072">
        <v>112</v>
      </c>
      <c r="F4072" t="s">
        <v>1477</v>
      </c>
      <c r="G4072" t="s">
        <v>1478</v>
      </c>
      <c r="H4072" s="315" t="s">
        <v>1011</v>
      </c>
      <c r="I4072" s="315" t="s">
        <v>1004</v>
      </c>
      <c r="J4072" s="315" t="str">
        <f t="shared" si="336"/>
        <v>LEX New VehicleRetail Gross p.u.</v>
      </c>
      <c r="K4072" s="315" t="str">
        <f t="shared" si="337"/>
        <v>112New Vehicle Sales - Lexus</v>
      </c>
      <c r="L4072" s="311">
        <f>+SUMIF('TUNZ Extracted TB'!M:M,$P4072,'TUNZ Extracted TB'!G:G)</f>
        <v>10860.87</v>
      </c>
      <c r="M4072" s="311"/>
      <c r="N4072" s="311">
        <f>+SUMIF('Input Sheet'!$AE:$AE,P4072,'Input Sheet'!$X:$X)</f>
        <v>0</v>
      </c>
      <c r="O4072" s="311"/>
      <c r="P4072" t="str">
        <f t="shared" si="338"/>
        <v>112-3054RD</v>
      </c>
      <c r="Q4072" s="315" t="str">
        <f t="shared" si="339"/>
        <v>LEX New Vehicle</v>
      </c>
      <c r="R4072" s="315" t="str">
        <f t="shared" si="340"/>
        <v>LEX New VehicleRetail Gross p.u.</v>
      </c>
      <c r="S4072" s="199"/>
      <c r="T4072" s="199"/>
      <c r="U4072" s="199"/>
    </row>
    <row r="4073" spans="1:21" x14ac:dyDescent="0.25">
      <c r="A4073" t="s">
        <v>996</v>
      </c>
      <c r="B4073" t="s">
        <v>997</v>
      </c>
      <c r="C4073" t="s">
        <v>997</v>
      </c>
      <c r="D4073" t="s">
        <v>1493</v>
      </c>
      <c r="E4073">
        <v>112</v>
      </c>
      <c r="F4073" t="s">
        <v>1477</v>
      </c>
      <c r="G4073" t="s">
        <v>1478</v>
      </c>
      <c r="H4073" s="315" t="s">
        <v>1011</v>
      </c>
      <c r="I4073" s="315" t="s">
        <v>1004</v>
      </c>
      <c r="J4073" s="315" t="str">
        <f t="shared" si="336"/>
        <v>LEX New VehicleRetail Gross p.u.</v>
      </c>
      <c r="K4073" s="315" t="str">
        <f t="shared" si="337"/>
        <v>112New Vehicle Sales - Lexus</v>
      </c>
      <c r="L4073" s="311">
        <f>+SUMIF('TUNZ Extracted TB'!M:M,$P4073,'TUNZ Extracted TB'!G:G)</f>
        <v>0</v>
      </c>
      <c r="M4073" s="311"/>
      <c r="N4073" s="311">
        <f>+SUMIF('Input Sheet'!$AE:$AE,P4073,'Input Sheet'!$X:$X)</f>
        <v>0</v>
      </c>
      <c r="O4073" s="311"/>
      <c r="P4073" t="str">
        <f t="shared" si="338"/>
        <v>112-3055R</v>
      </c>
      <c r="Q4073" s="315" t="str">
        <f t="shared" si="339"/>
        <v>LEX New Vehicle</v>
      </c>
      <c r="R4073" s="315" t="str">
        <f t="shared" si="340"/>
        <v>LEX New VehicleRetail Gross p.u.</v>
      </c>
      <c r="S4073" s="199"/>
      <c r="T4073" s="199"/>
      <c r="U4073" s="199"/>
    </row>
    <row r="4074" spans="1:21" x14ac:dyDescent="0.25">
      <c r="A4074" t="s">
        <v>996</v>
      </c>
      <c r="B4074" t="s">
        <v>997</v>
      </c>
      <c r="C4074" t="s">
        <v>997</v>
      </c>
      <c r="D4074" t="s">
        <v>1494</v>
      </c>
      <c r="E4074">
        <v>112</v>
      </c>
      <c r="F4074" t="s">
        <v>1477</v>
      </c>
      <c r="G4074" t="s">
        <v>1478</v>
      </c>
      <c r="H4074" s="315" t="s">
        <v>1011</v>
      </c>
      <c r="I4074" s="315" t="s">
        <v>1004</v>
      </c>
      <c r="J4074" s="315" t="str">
        <f t="shared" si="336"/>
        <v>LEX New VehicleRetail Gross p.u.</v>
      </c>
      <c r="K4074" s="315" t="str">
        <f t="shared" si="337"/>
        <v>112New Vehicle Sales - Lexus</v>
      </c>
      <c r="L4074" s="311">
        <f>+SUMIF('TUNZ Extracted TB'!M:M,$P4074,'TUNZ Extracted TB'!G:G)</f>
        <v>0</v>
      </c>
      <c r="M4074" s="311"/>
      <c r="N4074" s="311">
        <f>+SUMIF('Input Sheet'!$AE:$AE,P4074,'Input Sheet'!$X:$X)</f>
        <v>0</v>
      </c>
      <c r="O4074" s="311"/>
      <c r="P4074" t="str">
        <f t="shared" si="338"/>
        <v>112-3055RD</v>
      </c>
      <c r="Q4074" s="315" t="str">
        <f t="shared" si="339"/>
        <v>LEX New Vehicle</v>
      </c>
      <c r="R4074" s="315" t="str">
        <f t="shared" si="340"/>
        <v>LEX New VehicleRetail Gross p.u.</v>
      </c>
      <c r="S4074" s="199"/>
      <c r="T4074" s="199"/>
      <c r="U4074" s="199"/>
    </row>
    <row r="4075" spans="1:21" x14ac:dyDescent="0.25">
      <c r="A4075" t="s">
        <v>996</v>
      </c>
      <c r="B4075" t="s">
        <v>997</v>
      </c>
      <c r="C4075" t="s">
        <v>997</v>
      </c>
      <c r="D4075" t="s">
        <v>1495</v>
      </c>
      <c r="E4075">
        <v>112</v>
      </c>
      <c r="F4075" t="s">
        <v>1477</v>
      </c>
      <c r="G4075" t="s">
        <v>1478</v>
      </c>
      <c r="H4075" s="315" t="s">
        <v>1011</v>
      </c>
      <c r="I4075" s="315" t="s">
        <v>1004</v>
      </c>
      <c r="J4075" s="315" t="str">
        <f t="shared" si="336"/>
        <v>LEX New VehicleRetail Gross p.u.</v>
      </c>
      <c r="K4075" s="315" t="str">
        <f t="shared" si="337"/>
        <v>112New Vehicle Sales - Lexus</v>
      </c>
      <c r="L4075" s="311">
        <f>+SUMIF('TUNZ Extracted TB'!M:M,$P4075,'TUNZ Extracted TB'!G:G)</f>
        <v>0</v>
      </c>
      <c r="M4075" s="311"/>
      <c r="N4075" s="311">
        <f>+SUMIF('Input Sheet'!$AE:$AE,P4075,'Input Sheet'!$X:$X)</f>
        <v>0</v>
      </c>
      <c r="O4075" s="311"/>
      <c r="P4075" t="str">
        <f t="shared" si="338"/>
        <v>112-3056R</v>
      </c>
      <c r="Q4075" s="315" t="str">
        <f t="shared" si="339"/>
        <v>LEX New Vehicle</v>
      </c>
      <c r="R4075" s="315" t="str">
        <f t="shared" si="340"/>
        <v>LEX New VehicleRetail Gross p.u.</v>
      </c>
      <c r="S4075" s="199"/>
      <c r="T4075" s="199"/>
      <c r="U4075" s="199"/>
    </row>
    <row r="4076" spans="1:21" x14ac:dyDescent="0.25">
      <c r="A4076" t="s">
        <v>996</v>
      </c>
      <c r="B4076" t="s">
        <v>997</v>
      </c>
      <c r="C4076" t="s">
        <v>997</v>
      </c>
      <c r="D4076" t="s">
        <v>1496</v>
      </c>
      <c r="E4076">
        <v>112</v>
      </c>
      <c r="F4076" t="s">
        <v>1477</v>
      </c>
      <c r="G4076" t="s">
        <v>1478</v>
      </c>
      <c r="H4076" s="315" t="s">
        <v>1011</v>
      </c>
      <c r="I4076" s="315" t="s">
        <v>1004</v>
      </c>
      <c r="J4076" s="315" t="str">
        <f t="shared" si="336"/>
        <v>LEX New VehicleRetail Gross p.u.</v>
      </c>
      <c r="K4076" s="315" t="str">
        <f t="shared" si="337"/>
        <v>112New Vehicle Sales - Lexus</v>
      </c>
      <c r="L4076" s="311">
        <f>+SUMIF('TUNZ Extracted TB'!M:M,$P4076,'TUNZ Extracted TB'!G:G)</f>
        <v>0</v>
      </c>
      <c r="M4076" s="311"/>
      <c r="N4076" s="311">
        <f>+SUMIF('Input Sheet'!$AE:$AE,P4076,'Input Sheet'!$X:$X)</f>
        <v>0</v>
      </c>
      <c r="O4076" s="311"/>
      <c r="P4076" t="str">
        <f t="shared" si="338"/>
        <v>112-3056RD</v>
      </c>
      <c r="Q4076" s="315" t="str">
        <f t="shared" si="339"/>
        <v>LEX New Vehicle</v>
      </c>
      <c r="R4076" s="315" t="str">
        <f t="shared" si="340"/>
        <v>LEX New VehicleRetail Gross p.u.</v>
      </c>
      <c r="S4076" s="199"/>
      <c r="T4076" s="199"/>
      <c r="U4076" s="199"/>
    </row>
    <row r="4077" spans="1:21" x14ac:dyDescent="0.25">
      <c r="A4077" t="s">
        <v>996</v>
      </c>
      <c r="B4077" t="s">
        <v>997</v>
      </c>
      <c r="C4077" t="s">
        <v>997</v>
      </c>
      <c r="D4077" t="s">
        <v>1497</v>
      </c>
      <c r="E4077">
        <v>112</v>
      </c>
      <c r="F4077" t="s">
        <v>1477</v>
      </c>
      <c r="G4077" t="s">
        <v>1478</v>
      </c>
      <c r="H4077" s="315" t="s">
        <v>1011</v>
      </c>
      <c r="I4077" s="315" t="s">
        <v>1004</v>
      </c>
      <c r="J4077" s="315" t="str">
        <f t="shared" si="336"/>
        <v>LEX New VehicleRetail Gross p.u.</v>
      </c>
      <c r="K4077" s="315" t="str">
        <f t="shared" si="337"/>
        <v>112New Vehicle Sales - Lexus</v>
      </c>
      <c r="L4077" s="311">
        <f>+SUMIF('TUNZ Extracted TB'!M:M,$P4077,'TUNZ Extracted TB'!G:G)</f>
        <v>0</v>
      </c>
      <c r="M4077" s="311"/>
      <c r="N4077" s="311">
        <f>+SUMIF('Input Sheet'!$AE:$AE,P4077,'Input Sheet'!$X:$X)</f>
        <v>0</v>
      </c>
      <c r="O4077" s="311"/>
      <c r="P4077" t="str">
        <f t="shared" si="338"/>
        <v>112-3057R</v>
      </c>
      <c r="Q4077" s="315" t="str">
        <f t="shared" si="339"/>
        <v>LEX New Vehicle</v>
      </c>
      <c r="R4077" s="315" t="str">
        <f t="shared" si="340"/>
        <v>LEX New VehicleRetail Gross p.u.</v>
      </c>
      <c r="S4077" s="199"/>
      <c r="T4077" s="199"/>
      <c r="U4077" s="199"/>
    </row>
    <row r="4078" spans="1:21" x14ac:dyDescent="0.25">
      <c r="A4078" t="s">
        <v>996</v>
      </c>
      <c r="B4078" t="s">
        <v>997</v>
      </c>
      <c r="C4078" t="s">
        <v>997</v>
      </c>
      <c r="D4078" t="s">
        <v>1498</v>
      </c>
      <c r="E4078">
        <v>112</v>
      </c>
      <c r="F4078" t="s">
        <v>1477</v>
      </c>
      <c r="G4078" t="s">
        <v>1478</v>
      </c>
      <c r="H4078" s="315" t="s">
        <v>1011</v>
      </c>
      <c r="I4078" s="315" t="s">
        <v>1004</v>
      </c>
      <c r="J4078" s="315" t="str">
        <f t="shared" si="336"/>
        <v>LEX New VehicleRetail Gross p.u.</v>
      </c>
      <c r="K4078" s="315" t="str">
        <f t="shared" si="337"/>
        <v>112New Vehicle Sales - Lexus</v>
      </c>
      <c r="L4078" s="311">
        <f>+SUMIF('TUNZ Extracted TB'!M:M,$P4078,'TUNZ Extracted TB'!G:G)</f>
        <v>0</v>
      </c>
      <c r="M4078" s="311"/>
      <c r="N4078" s="311">
        <f>+SUMIF('Input Sheet'!$AE:$AE,P4078,'Input Sheet'!$X:$X)</f>
        <v>0</v>
      </c>
      <c r="O4078" s="311"/>
      <c r="P4078" t="str">
        <f t="shared" si="338"/>
        <v>112-3057RD</v>
      </c>
      <c r="Q4078" s="315" t="str">
        <f t="shared" si="339"/>
        <v>LEX New Vehicle</v>
      </c>
      <c r="R4078" s="315" t="str">
        <f t="shared" si="340"/>
        <v>LEX New VehicleRetail Gross p.u.</v>
      </c>
      <c r="S4078" s="199"/>
      <c r="T4078" s="199"/>
      <c r="U4078" s="199"/>
    </row>
    <row r="4079" spans="1:21" x14ac:dyDescent="0.25">
      <c r="A4079" t="s">
        <v>996</v>
      </c>
      <c r="B4079" t="s">
        <v>997</v>
      </c>
      <c r="C4079" t="s">
        <v>997</v>
      </c>
      <c r="D4079" t="s">
        <v>1499</v>
      </c>
      <c r="E4079">
        <v>112</v>
      </c>
      <c r="F4079" t="s">
        <v>1477</v>
      </c>
      <c r="G4079" t="s">
        <v>1478</v>
      </c>
      <c r="H4079" s="315" t="s">
        <v>1011</v>
      </c>
      <c r="I4079" s="315" t="s">
        <v>1004</v>
      </c>
      <c r="J4079" s="315" t="str">
        <f t="shared" si="336"/>
        <v>LEX New VehicleRetail Gross p.u.</v>
      </c>
      <c r="K4079" s="315" t="str">
        <f t="shared" si="337"/>
        <v>112New Vehicle Sales - Lexus</v>
      </c>
      <c r="L4079" s="311">
        <f>+SUMIF('TUNZ Extracted TB'!M:M,$P4079,'TUNZ Extracted TB'!G:G)</f>
        <v>0</v>
      </c>
      <c r="M4079" s="311"/>
      <c r="N4079" s="311">
        <f>+SUMIF('Input Sheet'!$AE:$AE,P4079,'Input Sheet'!$X:$X)</f>
        <v>0</v>
      </c>
      <c r="O4079" s="311"/>
      <c r="P4079" t="str">
        <f t="shared" si="338"/>
        <v>112-3058R</v>
      </c>
      <c r="Q4079" s="315" t="str">
        <f t="shared" si="339"/>
        <v>LEX New Vehicle</v>
      </c>
      <c r="R4079" s="315" t="str">
        <f t="shared" si="340"/>
        <v>LEX New VehicleRetail Gross p.u.</v>
      </c>
      <c r="S4079" s="199"/>
      <c r="T4079" s="199"/>
      <c r="U4079" s="199"/>
    </row>
    <row r="4080" spans="1:21" x14ac:dyDescent="0.25">
      <c r="A4080" t="s">
        <v>996</v>
      </c>
      <c r="B4080" t="s">
        <v>997</v>
      </c>
      <c r="C4080" t="s">
        <v>997</v>
      </c>
      <c r="D4080" t="s">
        <v>1500</v>
      </c>
      <c r="E4080">
        <v>112</v>
      </c>
      <c r="F4080" t="s">
        <v>1477</v>
      </c>
      <c r="G4080" t="s">
        <v>1478</v>
      </c>
      <c r="H4080" s="315" t="s">
        <v>1011</v>
      </c>
      <c r="I4080" s="315" t="s">
        <v>1004</v>
      </c>
      <c r="J4080" s="315" t="str">
        <f t="shared" si="336"/>
        <v>LEX New VehicleRetail Gross p.u.</v>
      </c>
      <c r="K4080" s="315" t="str">
        <f t="shared" si="337"/>
        <v>112New Vehicle Sales - Lexus</v>
      </c>
      <c r="L4080" s="311">
        <f>+SUMIF('TUNZ Extracted TB'!M:M,$P4080,'TUNZ Extracted TB'!G:G)</f>
        <v>0</v>
      </c>
      <c r="M4080" s="311"/>
      <c r="N4080" s="311">
        <f>+SUMIF('Input Sheet'!$AE:$AE,P4080,'Input Sheet'!$X:$X)</f>
        <v>0</v>
      </c>
      <c r="O4080" s="311"/>
      <c r="P4080" t="str">
        <f t="shared" si="338"/>
        <v>112-3058RD</v>
      </c>
      <c r="Q4080" s="315" t="str">
        <f t="shared" si="339"/>
        <v>LEX New Vehicle</v>
      </c>
      <c r="R4080" s="315" t="str">
        <f t="shared" si="340"/>
        <v>LEX New VehicleRetail Gross p.u.</v>
      </c>
      <c r="S4080" s="199"/>
      <c r="T4080" s="199"/>
      <c r="U4080" s="199"/>
    </row>
    <row r="4081" spans="1:21" x14ac:dyDescent="0.25">
      <c r="A4081" t="s">
        <v>996</v>
      </c>
      <c r="B4081" t="s">
        <v>997</v>
      </c>
      <c r="C4081" t="s">
        <v>997</v>
      </c>
      <c r="D4081" t="s">
        <v>1501</v>
      </c>
      <c r="E4081">
        <v>112</v>
      </c>
      <c r="F4081" t="s">
        <v>1477</v>
      </c>
      <c r="G4081" t="s">
        <v>1478</v>
      </c>
      <c r="H4081" s="315" t="s">
        <v>1011</v>
      </c>
      <c r="I4081" s="315" t="s">
        <v>1004</v>
      </c>
      <c r="J4081" s="315" t="str">
        <f t="shared" si="336"/>
        <v>LEX New VehicleRetail Gross p.u.</v>
      </c>
      <c r="K4081" s="315" t="str">
        <f t="shared" si="337"/>
        <v>112New Vehicle Sales - Lexus</v>
      </c>
      <c r="L4081" s="311">
        <f>+SUMIF('TUNZ Extracted TB'!M:M,$P4081,'TUNZ Extracted TB'!G:G)</f>
        <v>0</v>
      </c>
      <c r="M4081" s="311"/>
      <c r="N4081" s="311">
        <f>+SUMIF('Input Sheet'!$AE:$AE,P4081,'Input Sheet'!$X:$X)</f>
        <v>0</v>
      </c>
      <c r="O4081" s="311"/>
      <c r="P4081" t="str">
        <f t="shared" si="338"/>
        <v>112-3059R</v>
      </c>
      <c r="Q4081" s="315" t="str">
        <f t="shared" si="339"/>
        <v>LEX New Vehicle</v>
      </c>
      <c r="R4081" s="315" t="str">
        <f t="shared" si="340"/>
        <v>LEX New VehicleRetail Gross p.u.</v>
      </c>
      <c r="S4081" s="199"/>
      <c r="T4081" s="199"/>
      <c r="U4081" s="199"/>
    </row>
    <row r="4082" spans="1:21" x14ac:dyDescent="0.25">
      <c r="A4082" t="s">
        <v>996</v>
      </c>
      <c r="B4082" t="s">
        <v>997</v>
      </c>
      <c r="C4082" t="s">
        <v>997</v>
      </c>
      <c r="D4082" t="s">
        <v>1502</v>
      </c>
      <c r="E4082">
        <v>112</v>
      </c>
      <c r="F4082" t="s">
        <v>1477</v>
      </c>
      <c r="G4082" t="s">
        <v>1478</v>
      </c>
      <c r="H4082" s="315" t="s">
        <v>1011</v>
      </c>
      <c r="I4082" s="315" t="s">
        <v>1004</v>
      </c>
      <c r="J4082" s="315" t="str">
        <f t="shared" si="336"/>
        <v>LEX New VehicleRetail Gross p.u.</v>
      </c>
      <c r="K4082" s="315" t="str">
        <f t="shared" si="337"/>
        <v>112New Vehicle Sales - Lexus</v>
      </c>
      <c r="L4082" s="311">
        <f>+SUMIF('TUNZ Extracted TB'!M:M,$P4082,'TUNZ Extracted TB'!G:G)</f>
        <v>0</v>
      </c>
      <c r="M4082" s="311"/>
      <c r="N4082" s="311">
        <f>+SUMIF('Input Sheet'!$AE:$AE,P4082,'Input Sheet'!$X:$X)</f>
        <v>0</v>
      </c>
      <c r="O4082" s="311"/>
      <c r="P4082" t="str">
        <f t="shared" si="338"/>
        <v>112-3059RD</v>
      </c>
      <c r="Q4082" s="315" t="str">
        <f t="shared" si="339"/>
        <v>LEX New Vehicle</v>
      </c>
      <c r="R4082" s="315" t="str">
        <f t="shared" si="340"/>
        <v>LEX New VehicleRetail Gross p.u.</v>
      </c>
      <c r="S4082" s="199"/>
      <c r="T4082" s="199"/>
      <c r="U4082" s="199"/>
    </row>
    <row r="4083" spans="1:21" x14ac:dyDescent="0.25">
      <c r="A4083" t="s">
        <v>996</v>
      </c>
      <c r="B4083" t="s">
        <v>997</v>
      </c>
      <c r="C4083" t="s">
        <v>997</v>
      </c>
      <c r="D4083" t="s">
        <v>548</v>
      </c>
      <c r="E4083">
        <v>112</v>
      </c>
      <c r="F4083" t="s">
        <v>1477</v>
      </c>
      <c r="G4083" t="s">
        <v>1478</v>
      </c>
      <c r="H4083" s="315" t="s">
        <v>1011</v>
      </c>
      <c r="I4083" s="315" t="s">
        <v>1004</v>
      </c>
      <c r="J4083" s="315" t="str">
        <f t="shared" si="336"/>
        <v>LEX New VehicleRetail Gross p.u.</v>
      </c>
      <c r="K4083" s="315" t="str">
        <f t="shared" si="337"/>
        <v>112New Vehicle Sales - Lexus</v>
      </c>
      <c r="L4083" s="311">
        <f>+SUMIF('TUNZ Extracted TB'!M:M,$P4083,'TUNZ Extracted TB'!G:G)</f>
        <v>-825706.8</v>
      </c>
      <c r="M4083" s="311"/>
      <c r="N4083" s="311">
        <f>+SUMIF('Input Sheet'!$AE:$AE,P4083,'Input Sheet'!$X:$X)</f>
        <v>0</v>
      </c>
      <c r="O4083" s="311"/>
      <c r="P4083" t="str">
        <f t="shared" si="338"/>
        <v>112-3061R</v>
      </c>
      <c r="Q4083" s="315" t="str">
        <f t="shared" si="339"/>
        <v>LEX New Vehicle</v>
      </c>
      <c r="R4083" s="315" t="str">
        <f t="shared" si="340"/>
        <v>LEX New VehicleRetail Gross p.u.</v>
      </c>
      <c r="S4083" s="199"/>
      <c r="T4083" s="199"/>
      <c r="U4083" s="199"/>
    </row>
    <row r="4084" spans="1:21" x14ac:dyDescent="0.25">
      <c r="A4084" t="s">
        <v>996</v>
      </c>
      <c r="B4084" t="s">
        <v>997</v>
      </c>
      <c r="C4084" t="s">
        <v>997</v>
      </c>
      <c r="D4084" t="s">
        <v>550</v>
      </c>
      <c r="E4084">
        <v>112</v>
      </c>
      <c r="F4084" t="s">
        <v>1477</v>
      </c>
      <c r="G4084" t="s">
        <v>1478</v>
      </c>
      <c r="H4084" s="315" t="s">
        <v>1011</v>
      </c>
      <c r="I4084" s="315" t="s">
        <v>1004</v>
      </c>
      <c r="J4084" s="315" t="str">
        <f t="shared" si="336"/>
        <v>LEX New VehicleRetail Gross p.u.</v>
      </c>
      <c r="K4084" s="315" t="str">
        <f t="shared" si="337"/>
        <v>112New Vehicle Sales - Lexus</v>
      </c>
      <c r="L4084" s="311">
        <f>+SUMIF('TUNZ Extracted TB'!M:M,$P4084,'TUNZ Extracted TB'!G:G)</f>
        <v>21999.99</v>
      </c>
      <c r="M4084" s="311"/>
      <c r="N4084" s="311">
        <f>+SUMIF('Input Sheet'!$AE:$AE,P4084,'Input Sheet'!$X:$X)</f>
        <v>0</v>
      </c>
      <c r="O4084" s="311"/>
      <c r="P4084" t="str">
        <f t="shared" si="338"/>
        <v>112-3061RD</v>
      </c>
      <c r="Q4084" s="315" t="str">
        <f t="shared" si="339"/>
        <v>LEX New Vehicle</v>
      </c>
      <c r="R4084" s="315" t="str">
        <f t="shared" si="340"/>
        <v>LEX New VehicleRetail Gross p.u.</v>
      </c>
      <c r="S4084" s="199"/>
      <c r="T4084" s="199"/>
      <c r="U4084" s="199"/>
    </row>
    <row r="4085" spans="1:21" x14ac:dyDescent="0.25">
      <c r="A4085" t="s">
        <v>996</v>
      </c>
      <c r="B4085" t="s">
        <v>997</v>
      </c>
      <c r="C4085" t="s">
        <v>997</v>
      </c>
      <c r="D4085" t="s">
        <v>1503</v>
      </c>
      <c r="E4085">
        <v>112</v>
      </c>
      <c r="F4085" t="s">
        <v>1477</v>
      </c>
      <c r="G4085" t="s">
        <v>1478</v>
      </c>
      <c r="H4085" s="315" t="s">
        <v>1011</v>
      </c>
      <c r="I4085" s="315" t="s">
        <v>1004</v>
      </c>
      <c r="J4085" s="315" t="str">
        <f t="shared" si="336"/>
        <v>LEX New VehicleRetail Gross p.u.</v>
      </c>
      <c r="K4085" s="315" t="str">
        <f t="shared" si="337"/>
        <v>112New Vehicle Sales - Lexus</v>
      </c>
      <c r="L4085" s="311">
        <f>+SUMIF('TUNZ Extracted TB'!M:M,$P4085,'TUNZ Extracted TB'!G:G)</f>
        <v>0</v>
      </c>
      <c r="M4085" s="311"/>
      <c r="N4085" s="311">
        <f>+SUMIF('Input Sheet'!$AE:$AE,P4085,'Input Sheet'!$X:$X)</f>
        <v>0</v>
      </c>
      <c r="O4085" s="311"/>
      <c r="P4085" t="str">
        <f t="shared" si="338"/>
        <v>112-3062R</v>
      </c>
      <c r="Q4085" s="315" t="str">
        <f t="shared" si="339"/>
        <v>LEX New Vehicle</v>
      </c>
      <c r="R4085" s="315" t="str">
        <f t="shared" si="340"/>
        <v>LEX New VehicleRetail Gross p.u.</v>
      </c>
      <c r="S4085" s="199"/>
      <c r="T4085" s="199"/>
      <c r="U4085" s="199"/>
    </row>
    <row r="4086" spans="1:21" x14ac:dyDescent="0.25">
      <c r="A4086" t="s">
        <v>996</v>
      </c>
      <c r="B4086" t="s">
        <v>997</v>
      </c>
      <c r="C4086" t="s">
        <v>997</v>
      </c>
      <c r="D4086" t="s">
        <v>1504</v>
      </c>
      <c r="E4086">
        <v>112</v>
      </c>
      <c r="F4086" t="s">
        <v>1477</v>
      </c>
      <c r="G4086" t="s">
        <v>1478</v>
      </c>
      <c r="H4086" s="315" t="s">
        <v>1011</v>
      </c>
      <c r="I4086" s="315" t="s">
        <v>1004</v>
      </c>
      <c r="J4086" s="315" t="str">
        <f t="shared" si="336"/>
        <v>LEX New VehicleRetail Gross p.u.</v>
      </c>
      <c r="K4086" s="315" t="str">
        <f t="shared" si="337"/>
        <v>112New Vehicle Sales - Lexus</v>
      </c>
      <c r="L4086" s="311">
        <f>+SUMIF('TUNZ Extracted TB'!M:M,$P4086,'TUNZ Extracted TB'!G:G)</f>
        <v>0</v>
      </c>
      <c r="M4086" s="311"/>
      <c r="N4086" s="311">
        <f>+SUMIF('Input Sheet'!$AE:$AE,P4086,'Input Sheet'!$X:$X)</f>
        <v>0</v>
      </c>
      <c r="O4086" s="311"/>
      <c r="P4086" t="str">
        <f t="shared" si="338"/>
        <v>112-3062RD</v>
      </c>
      <c r="Q4086" s="315" t="str">
        <f t="shared" si="339"/>
        <v>LEX New Vehicle</v>
      </c>
      <c r="R4086" s="315" t="str">
        <f t="shared" si="340"/>
        <v>LEX New VehicleRetail Gross p.u.</v>
      </c>
      <c r="S4086" s="199"/>
      <c r="T4086" s="199"/>
      <c r="U4086" s="199"/>
    </row>
    <row r="4087" spans="1:21" x14ac:dyDescent="0.25">
      <c r="A4087" t="s">
        <v>996</v>
      </c>
      <c r="B4087" t="s">
        <v>997</v>
      </c>
      <c r="C4087" t="s">
        <v>997</v>
      </c>
      <c r="D4087" t="s">
        <v>552</v>
      </c>
      <c r="E4087">
        <v>112</v>
      </c>
      <c r="F4087" t="s">
        <v>1477</v>
      </c>
      <c r="G4087" t="s">
        <v>1478</v>
      </c>
      <c r="H4087" s="315" t="s">
        <v>1011</v>
      </c>
      <c r="I4087" s="315" t="s">
        <v>1004</v>
      </c>
      <c r="J4087" s="315" t="str">
        <f t="shared" si="336"/>
        <v>LEX New VehicleRetail Gross p.u.</v>
      </c>
      <c r="K4087" s="315" t="str">
        <f t="shared" si="337"/>
        <v>112New Vehicle Sales - Lexus</v>
      </c>
      <c r="L4087" s="311">
        <f>+SUMIF('TUNZ Extracted TB'!M:M,$P4087,'TUNZ Extracted TB'!G:G)</f>
        <v>0</v>
      </c>
      <c r="M4087" s="311"/>
      <c r="N4087" s="311">
        <f>+SUMIF('Input Sheet'!$AE:$AE,P4087,'Input Sheet'!$X:$X)</f>
        <v>0</v>
      </c>
      <c r="O4087" s="311"/>
      <c r="P4087" t="str">
        <f t="shared" si="338"/>
        <v>112-3063R</v>
      </c>
      <c r="Q4087" s="315" t="str">
        <f t="shared" si="339"/>
        <v>LEX New Vehicle</v>
      </c>
      <c r="R4087" s="315" t="str">
        <f t="shared" si="340"/>
        <v>LEX New VehicleRetail Gross p.u.</v>
      </c>
      <c r="S4087" s="199"/>
      <c r="T4087" s="199"/>
      <c r="U4087" s="199"/>
    </row>
    <row r="4088" spans="1:21" x14ac:dyDescent="0.25">
      <c r="A4088" t="s">
        <v>996</v>
      </c>
      <c r="B4088" t="s">
        <v>997</v>
      </c>
      <c r="C4088" t="s">
        <v>997</v>
      </c>
      <c r="D4088" t="s">
        <v>554</v>
      </c>
      <c r="E4088">
        <v>112</v>
      </c>
      <c r="F4088" t="s">
        <v>1477</v>
      </c>
      <c r="G4088" t="s">
        <v>1478</v>
      </c>
      <c r="H4088" s="315" t="s">
        <v>1011</v>
      </c>
      <c r="I4088" s="315" t="s">
        <v>1004</v>
      </c>
      <c r="J4088" s="315" t="str">
        <f t="shared" si="336"/>
        <v>LEX New VehicleRetail Gross p.u.</v>
      </c>
      <c r="K4088" s="315" t="str">
        <f t="shared" si="337"/>
        <v>112New Vehicle Sales - Lexus</v>
      </c>
      <c r="L4088" s="311">
        <f>+SUMIF('TUNZ Extracted TB'!M:M,$P4088,'TUNZ Extracted TB'!G:G)</f>
        <v>0</v>
      </c>
      <c r="M4088" s="311"/>
      <c r="N4088" s="311">
        <f>+SUMIF('Input Sheet'!$AE:$AE,P4088,'Input Sheet'!$X:$X)</f>
        <v>0</v>
      </c>
      <c r="O4088" s="311"/>
      <c r="P4088" t="str">
        <f t="shared" si="338"/>
        <v>112-3063RD</v>
      </c>
      <c r="Q4088" s="315" t="str">
        <f t="shared" si="339"/>
        <v>LEX New Vehicle</v>
      </c>
      <c r="R4088" s="315" t="str">
        <f t="shared" si="340"/>
        <v>LEX New VehicleRetail Gross p.u.</v>
      </c>
      <c r="S4088" s="199"/>
      <c r="T4088" s="199"/>
      <c r="U4088" s="199"/>
    </row>
    <row r="4089" spans="1:21" x14ac:dyDescent="0.25">
      <c r="A4089" t="s">
        <v>996</v>
      </c>
      <c r="B4089" t="s">
        <v>997</v>
      </c>
      <c r="C4089" t="s">
        <v>997</v>
      </c>
      <c r="D4089" t="s">
        <v>556</v>
      </c>
      <c r="E4089">
        <v>112</v>
      </c>
      <c r="F4089" t="s">
        <v>1477</v>
      </c>
      <c r="G4089" t="s">
        <v>1478</v>
      </c>
      <c r="H4089" s="315" t="s">
        <v>1011</v>
      </c>
      <c r="I4089" s="315" t="s">
        <v>1004</v>
      </c>
      <c r="J4089" s="315" t="str">
        <f t="shared" si="336"/>
        <v>LEX New VehicleRetail Gross p.u.</v>
      </c>
      <c r="K4089" s="315" t="str">
        <f t="shared" si="337"/>
        <v>112New Vehicle Sales - Lexus</v>
      </c>
      <c r="L4089" s="311">
        <f>+SUMIF('TUNZ Extracted TB'!M:M,$P4089,'TUNZ Extracted TB'!G:G)</f>
        <v>0</v>
      </c>
      <c r="M4089" s="311"/>
      <c r="N4089" s="311">
        <f>+SUMIF('Input Sheet'!$AE:$AE,P4089,'Input Sheet'!$X:$X)</f>
        <v>0</v>
      </c>
      <c r="O4089" s="311"/>
      <c r="P4089" t="str">
        <f t="shared" si="338"/>
        <v>112-3064R</v>
      </c>
      <c r="Q4089" s="315" t="str">
        <f t="shared" si="339"/>
        <v>LEX New Vehicle</v>
      </c>
      <c r="R4089" s="315" t="str">
        <f t="shared" si="340"/>
        <v>LEX New VehicleRetail Gross p.u.</v>
      </c>
      <c r="S4089" s="199"/>
      <c r="T4089" s="199"/>
      <c r="U4089" s="199"/>
    </row>
    <row r="4090" spans="1:21" x14ac:dyDescent="0.25">
      <c r="A4090" t="s">
        <v>996</v>
      </c>
      <c r="B4090" t="s">
        <v>997</v>
      </c>
      <c r="C4090" t="s">
        <v>997</v>
      </c>
      <c r="D4090" t="s">
        <v>558</v>
      </c>
      <c r="E4090">
        <v>112</v>
      </c>
      <c r="F4090" t="s">
        <v>1477</v>
      </c>
      <c r="G4090" t="s">
        <v>1478</v>
      </c>
      <c r="H4090" s="315" t="s">
        <v>1011</v>
      </c>
      <c r="I4090" s="315" t="s">
        <v>1004</v>
      </c>
      <c r="J4090" s="315" t="str">
        <f t="shared" si="336"/>
        <v>LEX New VehicleRetail Gross p.u.</v>
      </c>
      <c r="K4090" s="315" t="str">
        <f t="shared" si="337"/>
        <v>112New Vehicle Sales - Lexus</v>
      </c>
      <c r="L4090" s="311">
        <f>+SUMIF('TUNZ Extracted TB'!M:M,$P4090,'TUNZ Extracted TB'!G:G)</f>
        <v>0</v>
      </c>
      <c r="M4090" s="311"/>
      <c r="N4090" s="311">
        <f>+SUMIF('Input Sheet'!$AE:$AE,P4090,'Input Sheet'!$X:$X)</f>
        <v>0</v>
      </c>
      <c r="O4090" s="311"/>
      <c r="P4090" t="str">
        <f t="shared" si="338"/>
        <v>112-3064RD</v>
      </c>
      <c r="Q4090" s="315" t="str">
        <f t="shared" si="339"/>
        <v>LEX New Vehicle</v>
      </c>
      <c r="R4090" s="315" t="str">
        <f t="shared" si="340"/>
        <v>LEX New VehicleRetail Gross p.u.</v>
      </c>
      <c r="S4090" s="199"/>
      <c r="T4090" s="199"/>
      <c r="U4090" s="199"/>
    </row>
    <row r="4091" spans="1:21" x14ac:dyDescent="0.25">
      <c r="A4091" t="s">
        <v>996</v>
      </c>
      <c r="B4091" t="s">
        <v>997</v>
      </c>
      <c r="C4091" t="s">
        <v>997</v>
      </c>
      <c r="D4091" t="s">
        <v>1505</v>
      </c>
      <c r="E4091">
        <v>112</v>
      </c>
      <c r="F4091" t="s">
        <v>1477</v>
      </c>
      <c r="G4091" t="s">
        <v>1478</v>
      </c>
      <c r="H4091" s="315" t="s">
        <v>1011</v>
      </c>
      <c r="I4091" s="315" t="s">
        <v>1004</v>
      </c>
      <c r="J4091" s="315" t="str">
        <f t="shared" si="336"/>
        <v>LEX New VehicleRetail Gross p.u.</v>
      </c>
      <c r="K4091" s="315" t="str">
        <f t="shared" si="337"/>
        <v>112New Vehicle Sales - Lexus</v>
      </c>
      <c r="L4091" s="311">
        <f>+SUMIF('TUNZ Extracted TB'!M:M,$P4091,'TUNZ Extracted TB'!G:G)</f>
        <v>0</v>
      </c>
      <c r="M4091" s="311"/>
      <c r="N4091" s="311">
        <f>+SUMIF('Input Sheet'!$AE:$AE,P4091,'Input Sheet'!$X:$X)</f>
        <v>0</v>
      </c>
      <c r="O4091" s="311"/>
      <c r="P4091" t="str">
        <f t="shared" si="338"/>
        <v>112-3069R</v>
      </c>
      <c r="Q4091" s="315" t="str">
        <f t="shared" si="339"/>
        <v>LEX New Vehicle</v>
      </c>
      <c r="R4091" s="315" t="str">
        <f t="shared" si="340"/>
        <v>LEX New VehicleRetail Gross p.u.</v>
      </c>
      <c r="S4091" s="199"/>
      <c r="T4091" s="199"/>
      <c r="U4091" s="199"/>
    </row>
    <row r="4092" spans="1:21" x14ac:dyDescent="0.25">
      <c r="A4092" t="s">
        <v>996</v>
      </c>
      <c r="B4092" t="s">
        <v>997</v>
      </c>
      <c r="C4092" t="s">
        <v>997</v>
      </c>
      <c r="D4092" t="s">
        <v>1506</v>
      </c>
      <c r="E4092">
        <v>112</v>
      </c>
      <c r="F4092" t="s">
        <v>1477</v>
      </c>
      <c r="G4092" t="s">
        <v>1478</v>
      </c>
      <c r="H4092" s="315" t="s">
        <v>1011</v>
      </c>
      <c r="I4092" s="315" t="s">
        <v>1004</v>
      </c>
      <c r="J4092" s="315" t="str">
        <f t="shared" si="336"/>
        <v>LEX New VehicleRetail Gross p.u.</v>
      </c>
      <c r="K4092" s="315" t="str">
        <f t="shared" si="337"/>
        <v>112New Vehicle Sales - Lexus</v>
      </c>
      <c r="L4092" s="311">
        <f>+SUMIF('TUNZ Extracted TB'!M:M,$P4092,'TUNZ Extracted TB'!G:G)</f>
        <v>0</v>
      </c>
      <c r="M4092" s="311"/>
      <c r="N4092" s="311">
        <f>+SUMIF('Input Sheet'!$AE:$AE,P4092,'Input Sheet'!$X:$X)</f>
        <v>0</v>
      </c>
      <c r="O4092" s="311"/>
      <c r="P4092" t="str">
        <f t="shared" si="338"/>
        <v>112-3069RD</v>
      </c>
      <c r="Q4092" s="315" t="str">
        <f t="shared" si="339"/>
        <v>LEX New Vehicle</v>
      </c>
      <c r="R4092" s="315" t="str">
        <f t="shared" si="340"/>
        <v>LEX New VehicleRetail Gross p.u.</v>
      </c>
      <c r="S4092" s="199"/>
      <c r="T4092" s="199"/>
      <c r="U4092" s="199"/>
    </row>
    <row r="4093" spans="1:21" x14ac:dyDescent="0.25">
      <c r="A4093" t="s">
        <v>996</v>
      </c>
      <c r="B4093" t="s">
        <v>997</v>
      </c>
      <c r="C4093" t="s">
        <v>997</v>
      </c>
      <c r="D4093" t="s">
        <v>560</v>
      </c>
      <c r="E4093">
        <v>112</v>
      </c>
      <c r="F4093" t="s">
        <v>1477</v>
      </c>
      <c r="G4093" t="s">
        <v>1478</v>
      </c>
      <c r="H4093" s="315" t="s">
        <v>1011</v>
      </c>
      <c r="I4093" s="315" t="s">
        <v>1004</v>
      </c>
      <c r="J4093" s="315" t="str">
        <f t="shared" si="336"/>
        <v>LEX New VehicleRetail Gross p.u.</v>
      </c>
      <c r="K4093" s="315" t="str">
        <f t="shared" si="337"/>
        <v>112New Vehicle Sales - Lexus</v>
      </c>
      <c r="L4093" s="311">
        <f>+SUMIF('TUNZ Extracted TB'!M:M,$P4093,'TUNZ Extracted TB'!G:G)</f>
        <v>-57739.27</v>
      </c>
      <c r="M4093" s="311"/>
      <c r="N4093" s="311">
        <f>+SUMIF('Input Sheet'!$AE:$AE,P4093,'Input Sheet'!$X:$X)</f>
        <v>0</v>
      </c>
      <c r="O4093" s="311"/>
      <c r="P4093" t="str">
        <f t="shared" si="338"/>
        <v>112-3070R</v>
      </c>
      <c r="Q4093" s="315" t="str">
        <f t="shared" si="339"/>
        <v>LEX New Vehicle</v>
      </c>
      <c r="R4093" s="315" t="str">
        <f t="shared" si="340"/>
        <v>LEX New VehicleRetail Gross p.u.</v>
      </c>
      <c r="S4093" s="199"/>
      <c r="T4093" s="199"/>
      <c r="U4093" s="199"/>
    </row>
    <row r="4094" spans="1:21" x14ac:dyDescent="0.25">
      <c r="A4094" t="s">
        <v>996</v>
      </c>
      <c r="B4094" t="s">
        <v>997</v>
      </c>
      <c r="C4094" t="s">
        <v>997</v>
      </c>
      <c r="D4094" t="s">
        <v>562</v>
      </c>
      <c r="E4094">
        <v>112</v>
      </c>
      <c r="F4094" t="s">
        <v>1477</v>
      </c>
      <c r="G4094" t="s">
        <v>1478</v>
      </c>
      <c r="H4094" s="315" t="s">
        <v>1011</v>
      </c>
      <c r="I4094" s="315" t="s">
        <v>1004</v>
      </c>
      <c r="J4094" s="315" t="str">
        <f t="shared" si="336"/>
        <v>LEX New VehicleRetail Gross p.u.</v>
      </c>
      <c r="K4094" s="315" t="str">
        <f t="shared" si="337"/>
        <v>112New Vehicle Sales - Lexus</v>
      </c>
      <c r="L4094" s="311">
        <f>+SUMIF('TUNZ Extracted TB'!M:M,$P4094,'TUNZ Extracted TB'!G:G)</f>
        <v>3913.04</v>
      </c>
      <c r="M4094" s="311"/>
      <c r="N4094" s="311">
        <f>+SUMIF('Input Sheet'!$AE:$AE,P4094,'Input Sheet'!$X:$X)</f>
        <v>0</v>
      </c>
      <c r="O4094" s="311"/>
      <c r="P4094" t="str">
        <f t="shared" si="338"/>
        <v>112-3070RD</v>
      </c>
      <c r="Q4094" s="315" t="str">
        <f t="shared" si="339"/>
        <v>LEX New Vehicle</v>
      </c>
      <c r="R4094" s="315" t="str">
        <f t="shared" si="340"/>
        <v>LEX New VehicleRetail Gross p.u.</v>
      </c>
      <c r="S4094" s="199"/>
      <c r="T4094" s="199"/>
      <c r="U4094" s="199"/>
    </row>
    <row r="4095" spans="1:21" x14ac:dyDescent="0.25">
      <c r="A4095" t="s">
        <v>996</v>
      </c>
      <c r="B4095" t="s">
        <v>997</v>
      </c>
      <c r="C4095" t="s">
        <v>997</v>
      </c>
      <c r="D4095" t="s">
        <v>564</v>
      </c>
      <c r="E4095">
        <v>112</v>
      </c>
      <c r="F4095" t="s">
        <v>1477</v>
      </c>
      <c r="G4095" t="s">
        <v>1478</v>
      </c>
      <c r="H4095" s="315" t="s">
        <v>1011</v>
      </c>
      <c r="I4095" s="315" t="s">
        <v>1004</v>
      </c>
      <c r="J4095" s="315" t="str">
        <f t="shared" si="336"/>
        <v>LEX New VehicleRetail Gross p.u.</v>
      </c>
      <c r="K4095" s="315" t="str">
        <f t="shared" si="337"/>
        <v>112New Vehicle Sales - Lexus</v>
      </c>
      <c r="L4095" s="311">
        <f>+SUMIF('TUNZ Extracted TB'!M:M,$P4095,'TUNZ Extracted TB'!G:G)</f>
        <v>-56521.74</v>
      </c>
      <c r="M4095" s="311"/>
      <c r="N4095" s="311">
        <f>+SUMIF('Input Sheet'!$AE:$AE,P4095,'Input Sheet'!$X:$X)</f>
        <v>0</v>
      </c>
      <c r="O4095" s="311"/>
      <c r="P4095" t="str">
        <f t="shared" si="338"/>
        <v>112-3071R</v>
      </c>
      <c r="Q4095" s="315" t="str">
        <f t="shared" si="339"/>
        <v>LEX New Vehicle</v>
      </c>
      <c r="R4095" s="315" t="str">
        <f t="shared" si="340"/>
        <v>LEX New VehicleRetail Gross p.u.</v>
      </c>
      <c r="S4095" s="199"/>
      <c r="T4095" s="199"/>
      <c r="U4095" s="199"/>
    </row>
    <row r="4096" spans="1:21" x14ac:dyDescent="0.25">
      <c r="A4096" t="s">
        <v>996</v>
      </c>
      <c r="B4096" t="s">
        <v>997</v>
      </c>
      <c r="C4096" t="s">
        <v>997</v>
      </c>
      <c r="D4096" t="s">
        <v>566</v>
      </c>
      <c r="E4096">
        <v>112</v>
      </c>
      <c r="F4096" t="s">
        <v>1477</v>
      </c>
      <c r="G4096" t="s">
        <v>1478</v>
      </c>
      <c r="H4096" s="315" t="s">
        <v>1011</v>
      </c>
      <c r="I4096" s="315" t="s">
        <v>1004</v>
      </c>
      <c r="J4096" s="315" t="str">
        <f t="shared" si="336"/>
        <v>LEX New VehicleRetail Gross p.u.</v>
      </c>
      <c r="K4096" s="315" t="str">
        <f t="shared" si="337"/>
        <v>112New Vehicle Sales - Lexus</v>
      </c>
      <c r="L4096" s="311">
        <f>+SUMIF('TUNZ Extracted TB'!M:M,$P4096,'TUNZ Extracted TB'!G:G)</f>
        <v>0</v>
      </c>
      <c r="M4096" s="311"/>
      <c r="N4096" s="311">
        <f>+SUMIF('Input Sheet'!$AE:$AE,P4096,'Input Sheet'!$X:$X)</f>
        <v>0</v>
      </c>
      <c r="O4096" s="311"/>
      <c r="P4096" t="str">
        <f t="shared" si="338"/>
        <v>112-3071RD</v>
      </c>
      <c r="Q4096" s="315" t="str">
        <f t="shared" si="339"/>
        <v>LEX New Vehicle</v>
      </c>
      <c r="R4096" s="315" t="str">
        <f t="shared" si="340"/>
        <v>LEX New VehicleRetail Gross p.u.</v>
      </c>
      <c r="S4096" s="199"/>
      <c r="T4096" s="199"/>
      <c r="U4096" s="199"/>
    </row>
    <row r="4097" spans="1:21" x14ac:dyDescent="0.25">
      <c r="A4097" t="s">
        <v>996</v>
      </c>
      <c r="B4097" t="s">
        <v>997</v>
      </c>
      <c r="C4097" t="s">
        <v>997</v>
      </c>
      <c r="D4097" t="s">
        <v>568</v>
      </c>
      <c r="E4097">
        <v>112</v>
      </c>
      <c r="F4097" t="s">
        <v>1477</v>
      </c>
      <c r="G4097" t="s">
        <v>1478</v>
      </c>
      <c r="H4097" s="315" t="s">
        <v>1011</v>
      </c>
      <c r="I4097" s="315" t="s">
        <v>1004</v>
      </c>
      <c r="J4097" s="315" t="str">
        <f t="shared" si="336"/>
        <v>LEX New VehicleRetail Gross p.u.</v>
      </c>
      <c r="K4097" s="315" t="str">
        <f t="shared" si="337"/>
        <v>112New Vehicle Sales - Lexus</v>
      </c>
      <c r="L4097" s="311">
        <f>+SUMIF('TUNZ Extracted TB'!M:M,$P4097,'TUNZ Extracted TB'!G:G)</f>
        <v>0</v>
      </c>
      <c r="M4097" s="311"/>
      <c r="N4097" s="311">
        <f>+SUMIF('Input Sheet'!$AE:$AE,P4097,'Input Sheet'!$X:$X)</f>
        <v>0</v>
      </c>
      <c r="O4097" s="311"/>
      <c r="P4097" t="str">
        <f t="shared" si="338"/>
        <v>112-3074R</v>
      </c>
      <c r="Q4097" s="315" t="str">
        <f t="shared" si="339"/>
        <v>LEX New Vehicle</v>
      </c>
      <c r="R4097" s="315" t="str">
        <f t="shared" si="340"/>
        <v>LEX New VehicleRetail Gross p.u.</v>
      </c>
      <c r="S4097" s="199"/>
      <c r="T4097" s="199"/>
      <c r="U4097" s="199"/>
    </row>
    <row r="4098" spans="1:21" x14ac:dyDescent="0.25">
      <c r="A4098" t="s">
        <v>996</v>
      </c>
      <c r="B4098" t="s">
        <v>997</v>
      </c>
      <c r="C4098" t="s">
        <v>997</v>
      </c>
      <c r="D4098" t="s">
        <v>570</v>
      </c>
      <c r="E4098">
        <v>112</v>
      </c>
      <c r="F4098" t="s">
        <v>1477</v>
      </c>
      <c r="G4098" t="s">
        <v>1478</v>
      </c>
      <c r="H4098" s="315" t="s">
        <v>1011</v>
      </c>
      <c r="I4098" s="315" t="s">
        <v>1004</v>
      </c>
      <c r="J4098" s="315" t="str">
        <f t="shared" si="336"/>
        <v>LEX New VehicleRetail Gross p.u.</v>
      </c>
      <c r="K4098" s="315" t="str">
        <f t="shared" si="337"/>
        <v>112New Vehicle Sales - Lexus</v>
      </c>
      <c r="L4098" s="311">
        <f>+SUMIF('TUNZ Extracted TB'!M:M,$P4098,'TUNZ Extracted TB'!G:G)</f>
        <v>0</v>
      </c>
      <c r="M4098" s="311"/>
      <c r="N4098" s="311">
        <f>+SUMIF('Input Sheet'!$AE:$AE,P4098,'Input Sheet'!$X:$X)</f>
        <v>0</v>
      </c>
      <c r="O4098" s="311"/>
      <c r="P4098" t="str">
        <f t="shared" si="338"/>
        <v>112-3074RD</v>
      </c>
      <c r="Q4098" s="315" t="str">
        <f t="shared" si="339"/>
        <v>LEX New Vehicle</v>
      </c>
      <c r="R4098" s="315" t="str">
        <f t="shared" si="340"/>
        <v>LEX New VehicleRetail Gross p.u.</v>
      </c>
      <c r="S4098" s="199"/>
      <c r="T4098" s="199"/>
      <c r="U4098" s="199"/>
    </row>
    <row r="4099" spans="1:21" x14ac:dyDescent="0.25">
      <c r="A4099" t="s">
        <v>996</v>
      </c>
      <c r="B4099" t="s">
        <v>997</v>
      </c>
      <c r="C4099" t="s">
        <v>997</v>
      </c>
      <c r="D4099" t="s">
        <v>572</v>
      </c>
      <c r="E4099">
        <v>100</v>
      </c>
      <c r="F4099" t="s">
        <v>1024</v>
      </c>
      <c r="G4099" t="s">
        <v>1027</v>
      </c>
      <c r="H4099" s="315" t="s">
        <v>29</v>
      </c>
      <c r="I4099" s="315" t="s">
        <v>1026</v>
      </c>
      <c r="J4099" s="315" t="str">
        <f t="shared" ref="J4099:J4162" si="341">+H4099&amp;I4099</f>
        <v>New VehicleOther Income per NV unit</v>
      </c>
      <c r="K4099" s="315" t="str">
        <f t="shared" ref="K4099:K4162" si="342">+E4099&amp;G4099</f>
        <v>100New Vehicle Other Income - Toyota</v>
      </c>
      <c r="L4099" s="311">
        <f>+SUMIF('TUNZ Extracted TB'!M:M,$P4099,'TUNZ Extracted TB'!G:G)</f>
        <v>-2301.29</v>
      </c>
      <c r="M4099" s="311"/>
      <c r="N4099" s="311">
        <f>+SUMIF('Input Sheet'!$AE:$AE,P4099,'Input Sheet'!$X:$X)</f>
        <v>0</v>
      </c>
      <c r="O4099" s="311"/>
      <c r="P4099" t="str">
        <f t="shared" ref="P4099:P4162" si="343">+E4099&amp;"-"&amp;D4099</f>
        <v>100-3075R</v>
      </c>
      <c r="Q4099" s="315" t="str">
        <f t="shared" ref="Q4099:Q4162" si="344">H4099</f>
        <v>New Vehicle</v>
      </c>
      <c r="R4099" s="315" t="str">
        <f t="shared" ref="R4099:R4162" si="345">J4099</f>
        <v>New VehicleOther Income per NV unit</v>
      </c>
      <c r="S4099" s="199"/>
      <c r="T4099" s="199"/>
      <c r="U4099" s="199"/>
    </row>
    <row r="4100" spans="1:21" x14ac:dyDescent="0.25">
      <c r="A4100" t="s">
        <v>996</v>
      </c>
      <c r="B4100" t="s">
        <v>997</v>
      </c>
      <c r="C4100" t="s">
        <v>1012</v>
      </c>
      <c r="D4100" t="s">
        <v>572</v>
      </c>
      <c r="E4100">
        <v>400</v>
      </c>
      <c r="F4100" t="s">
        <v>1024</v>
      </c>
      <c r="G4100" t="s">
        <v>1027</v>
      </c>
      <c r="H4100" s="315" t="s">
        <v>29</v>
      </c>
      <c r="I4100" s="315" t="s">
        <v>1026</v>
      </c>
      <c r="J4100" s="315" t="str">
        <f t="shared" si="341"/>
        <v>New VehicleOther Income per NV unit</v>
      </c>
      <c r="K4100" s="315" t="str">
        <f t="shared" si="342"/>
        <v>400New Vehicle Other Income - Toyota</v>
      </c>
      <c r="L4100" s="311">
        <f>+SUMIF('TUNZ Extracted TB'!M:M,$P4100,'TUNZ Extracted TB'!G:G)</f>
        <v>0</v>
      </c>
      <c r="M4100" s="311"/>
      <c r="N4100" s="311">
        <f>+SUMIF('Input Sheet'!$AE:$AE,P4100,'Input Sheet'!$X:$X)</f>
        <v>0</v>
      </c>
      <c r="O4100" s="311"/>
      <c r="P4100" t="str">
        <f t="shared" si="343"/>
        <v>400-3075R</v>
      </c>
      <c r="Q4100" s="315" t="str">
        <f t="shared" si="344"/>
        <v>New Vehicle</v>
      </c>
      <c r="R4100" s="315" t="str">
        <f t="shared" si="345"/>
        <v>New VehicleOther Income per NV unit</v>
      </c>
      <c r="S4100" s="199"/>
      <c r="T4100" s="199"/>
      <c r="U4100" s="199"/>
    </row>
    <row r="4101" spans="1:21" x14ac:dyDescent="0.25">
      <c r="A4101" t="s">
        <v>996</v>
      </c>
      <c r="B4101" t="s">
        <v>997</v>
      </c>
      <c r="C4101" t="s">
        <v>1013</v>
      </c>
      <c r="D4101" t="s">
        <v>572</v>
      </c>
      <c r="E4101">
        <v>300</v>
      </c>
      <c r="F4101" t="s">
        <v>1024</v>
      </c>
      <c r="G4101" t="s">
        <v>1027</v>
      </c>
      <c r="H4101" s="315" t="s">
        <v>29</v>
      </c>
      <c r="I4101" s="315" t="s">
        <v>1026</v>
      </c>
      <c r="J4101" s="315" t="str">
        <f t="shared" si="341"/>
        <v>New VehicleOther Income per NV unit</v>
      </c>
      <c r="K4101" s="315" t="str">
        <f t="shared" si="342"/>
        <v>300New Vehicle Other Income - Toyota</v>
      </c>
      <c r="L4101" s="311">
        <f>+SUMIF('TUNZ Extracted TB'!M:M,$P4101,'TUNZ Extracted TB'!G:G)</f>
        <v>0</v>
      </c>
      <c r="M4101" s="311"/>
      <c r="N4101" s="311">
        <f>+SUMIF('Input Sheet'!$AE:$AE,P4101,'Input Sheet'!$X:$X)</f>
        <v>0</v>
      </c>
      <c r="O4101" s="311"/>
      <c r="P4101" t="str">
        <f t="shared" si="343"/>
        <v>300-3075R</v>
      </c>
      <c r="Q4101" s="315" t="str">
        <f t="shared" si="344"/>
        <v>New Vehicle</v>
      </c>
      <c r="R4101" s="315" t="str">
        <f t="shared" si="345"/>
        <v>New VehicleOther Income per NV unit</v>
      </c>
      <c r="S4101" s="199"/>
      <c r="T4101" s="199"/>
      <c r="U4101" s="199"/>
    </row>
    <row r="4102" spans="1:21" x14ac:dyDescent="0.25">
      <c r="A4102" t="s">
        <v>996</v>
      </c>
      <c r="B4102" t="s">
        <v>997</v>
      </c>
      <c r="C4102" t="s">
        <v>1005</v>
      </c>
      <c r="D4102" t="s">
        <v>572</v>
      </c>
      <c r="E4102">
        <v>200</v>
      </c>
      <c r="F4102" t="s">
        <v>1024</v>
      </c>
      <c r="G4102" t="s">
        <v>1027</v>
      </c>
      <c r="H4102" s="315" t="s">
        <v>29</v>
      </c>
      <c r="I4102" s="315" t="s">
        <v>1026</v>
      </c>
      <c r="J4102" s="315" t="str">
        <f t="shared" si="341"/>
        <v>New VehicleOther Income per NV unit</v>
      </c>
      <c r="K4102" s="315" t="str">
        <f t="shared" si="342"/>
        <v>200New Vehicle Other Income - Toyota</v>
      </c>
      <c r="L4102" s="311">
        <f>+SUMIF('TUNZ Extracted TB'!M:M,$P4102,'TUNZ Extracted TB'!G:G)</f>
        <v>-3083.24</v>
      </c>
      <c r="M4102" s="311"/>
      <c r="N4102" s="311">
        <f>+SUMIF('Input Sheet'!$AE:$AE,P4102,'Input Sheet'!$X:$X)</f>
        <v>0</v>
      </c>
      <c r="O4102" s="311"/>
      <c r="P4102" t="str">
        <f t="shared" si="343"/>
        <v>200-3075R</v>
      </c>
      <c r="Q4102" s="315" t="str">
        <f t="shared" si="344"/>
        <v>New Vehicle</v>
      </c>
      <c r="R4102" s="315" t="str">
        <f t="shared" si="345"/>
        <v>New VehicleOther Income per NV unit</v>
      </c>
      <c r="S4102" s="199"/>
      <c r="T4102" s="199"/>
      <c r="U4102" s="199"/>
    </row>
    <row r="4103" spans="1:21" x14ac:dyDescent="0.25">
      <c r="A4103" t="s">
        <v>996</v>
      </c>
      <c r="B4103" t="s">
        <v>997</v>
      </c>
      <c r="C4103" t="s">
        <v>997</v>
      </c>
      <c r="D4103" t="s">
        <v>572</v>
      </c>
      <c r="E4103">
        <v>110</v>
      </c>
      <c r="F4103" t="s">
        <v>1014</v>
      </c>
      <c r="G4103" t="s">
        <v>1015</v>
      </c>
      <c r="H4103" s="315" t="s">
        <v>30</v>
      </c>
      <c r="I4103" s="315" t="s">
        <v>1016</v>
      </c>
      <c r="J4103" s="315" t="str">
        <f t="shared" si="341"/>
        <v>Used VehicleEx NV demonstrators gross profit p.u.</v>
      </c>
      <c r="K4103" s="315" t="str">
        <f t="shared" si="342"/>
        <v>110Ex-Toyota NV Demonstrator revenue</v>
      </c>
      <c r="L4103" s="311">
        <f>+SUMIF('TUNZ Extracted TB'!M:M,$P4103,'TUNZ Extracted TB'!G:G)</f>
        <v>0</v>
      </c>
      <c r="M4103" s="311"/>
      <c r="N4103" s="311">
        <f>+SUMIF('Input Sheet'!$AE:$AE,P4103,'Input Sheet'!$X:$X)</f>
        <v>0</v>
      </c>
      <c r="O4103" s="311"/>
      <c r="P4103" t="str">
        <f t="shared" si="343"/>
        <v>110-3075R</v>
      </c>
      <c r="Q4103" s="315" t="str">
        <f t="shared" si="344"/>
        <v>Used Vehicle</v>
      </c>
      <c r="R4103" s="315" t="str">
        <f t="shared" si="345"/>
        <v>Used VehicleEx NV demonstrators gross profit p.u.</v>
      </c>
      <c r="S4103" s="199"/>
      <c r="T4103" s="199"/>
      <c r="U4103" s="199"/>
    </row>
    <row r="4104" spans="1:21" x14ac:dyDescent="0.25">
      <c r="A4104" t="s">
        <v>996</v>
      </c>
      <c r="B4104" t="s">
        <v>997</v>
      </c>
      <c r="C4104" t="s">
        <v>997</v>
      </c>
      <c r="D4104" t="s">
        <v>1507</v>
      </c>
      <c r="E4104">
        <v>100</v>
      </c>
      <c r="F4104" t="s">
        <v>1024</v>
      </c>
      <c r="G4104" t="s">
        <v>1027</v>
      </c>
      <c r="H4104" s="315" t="s">
        <v>29</v>
      </c>
      <c r="I4104" s="315" t="s">
        <v>1026</v>
      </c>
      <c r="J4104" s="315" t="str">
        <f t="shared" si="341"/>
        <v>New VehicleOther Income per NV unit</v>
      </c>
      <c r="K4104" s="315" t="str">
        <f t="shared" si="342"/>
        <v>100New Vehicle Other Income - Toyota</v>
      </c>
      <c r="L4104" s="311">
        <f>+SUMIF('TUNZ Extracted TB'!M:M,$P4104,'TUNZ Extracted TB'!G:G)</f>
        <v>0</v>
      </c>
      <c r="M4104" s="311"/>
      <c r="N4104" s="311">
        <f>+SUMIF('Input Sheet'!$AE:$AE,P4104,'Input Sheet'!$X:$X)</f>
        <v>0</v>
      </c>
      <c r="O4104" s="311"/>
      <c r="P4104" t="str">
        <f t="shared" si="343"/>
        <v>100-3075RD</v>
      </c>
      <c r="Q4104" s="315" t="str">
        <f t="shared" si="344"/>
        <v>New Vehicle</v>
      </c>
      <c r="R4104" s="315" t="str">
        <f t="shared" si="345"/>
        <v>New VehicleOther Income per NV unit</v>
      </c>
      <c r="S4104" s="199"/>
      <c r="T4104" s="199"/>
      <c r="U4104" s="199"/>
    </row>
    <row r="4105" spans="1:21" x14ac:dyDescent="0.25">
      <c r="A4105" t="s">
        <v>996</v>
      </c>
      <c r="B4105" t="s">
        <v>997</v>
      </c>
      <c r="C4105" t="s">
        <v>1005</v>
      </c>
      <c r="D4105" t="s">
        <v>572</v>
      </c>
      <c r="E4105">
        <v>210</v>
      </c>
      <c r="F4105" t="s">
        <v>1014</v>
      </c>
      <c r="G4105" t="s">
        <v>1015</v>
      </c>
      <c r="H4105" s="315" t="s">
        <v>30</v>
      </c>
      <c r="I4105" s="315" t="s">
        <v>1016</v>
      </c>
      <c r="J4105" s="315" t="str">
        <f t="shared" si="341"/>
        <v>Used VehicleEx NV demonstrators gross profit p.u.</v>
      </c>
      <c r="K4105" s="315" t="str">
        <f t="shared" si="342"/>
        <v>210Ex-Toyota NV Demonstrator revenue</v>
      </c>
      <c r="L4105" s="311">
        <f>+SUMIF('TUNZ Extracted TB'!M:M,$P4105,'TUNZ Extracted TB'!G:G)</f>
        <v>0</v>
      </c>
      <c r="M4105" s="311"/>
      <c r="N4105" s="311">
        <f>+SUMIF('Input Sheet'!$AE:$AE,P4105,'Input Sheet'!$X:$X)</f>
        <v>0</v>
      </c>
      <c r="O4105" s="311"/>
      <c r="P4105" t="str">
        <f t="shared" si="343"/>
        <v>210-3075R</v>
      </c>
      <c r="Q4105" s="315" t="str">
        <f t="shared" si="344"/>
        <v>Used Vehicle</v>
      </c>
      <c r="R4105" s="315" t="str">
        <f t="shared" si="345"/>
        <v>Used VehicleEx NV demonstrators gross profit p.u.</v>
      </c>
      <c r="S4105" s="199"/>
      <c r="T4105" s="199"/>
      <c r="U4105" s="199"/>
    </row>
    <row r="4106" spans="1:21" x14ac:dyDescent="0.25">
      <c r="A4106" t="s">
        <v>996</v>
      </c>
      <c r="B4106" t="s">
        <v>997</v>
      </c>
      <c r="C4106" t="s">
        <v>1012</v>
      </c>
      <c r="D4106" t="s">
        <v>572</v>
      </c>
      <c r="E4106">
        <v>410</v>
      </c>
      <c r="F4106" t="s">
        <v>1014</v>
      </c>
      <c r="G4106" t="s">
        <v>1015</v>
      </c>
      <c r="H4106" s="315" t="s">
        <v>30</v>
      </c>
      <c r="I4106" s="315" t="s">
        <v>1016</v>
      </c>
      <c r="J4106" s="315" t="str">
        <f t="shared" si="341"/>
        <v>Used VehicleEx NV demonstrators gross profit p.u.</v>
      </c>
      <c r="K4106" s="315" t="str">
        <f t="shared" si="342"/>
        <v>410Ex-Toyota NV Demonstrator revenue</v>
      </c>
      <c r="L4106" s="311">
        <f>+SUMIF('TUNZ Extracted TB'!M:M,$P4106,'TUNZ Extracted TB'!G:G)</f>
        <v>0</v>
      </c>
      <c r="M4106" s="311"/>
      <c r="N4106" s="311">
        <f>+SUMIF('Input Sheet'!$AE:$AE,P4106,'Input Sheet'!$X:$X)</f>
        <v>0</v>
      </c>
      <c r="O4106" s="311"/>
      <c r="P4106" t="str">
        <f t="shared" si="343"/>
        <v>410-3075R</v>
      </c>
      <c r="Q4106" s="315" t="str">
        <f t="shared" si="344"/>
        <v>Used Vehicle</v>
      </c>
      <c r="R4106" s="315" t="str">
        <f t="shared" si="345"/>
        <v>Used VehicleEx NV demonstrators gross profit p.u.</v>
      </c>
      <c r="S4106" s="199"/>
      <c r="T4106" s="199"/>
      <c r="U4106" s="199"/>
    </row>
    <row r="4107" spans="1:21" x14ac:dyDescent="0.25">
      <c r="A4107" t="s">
        <v>996</v>
      </c>
      <c r="B4107" t="s">
        <v>997</v>
      </c>
      <c r="C4107" t="s">
        <v>1013</v>
      </c>
      <c r="D4107" t="s">
        <v>572</v>
      </c>
      <c r="E4107">
        <v>310</v>
      </c>
      <c r="F4107" t="s">
        <v>1014</v>
      </c>
      <c r="G4107" t="s">
        <v>1015</v>
      </c>
      <c r="H4107" s="315" t="s">
        <v>30</v>
      </c>
      <c r="I4107" s="315" t="s">
        <v>1016</v>
      </c>
      <c r="J4107" s="315" t="str">
        <f t="shared" si="341"/>
        <v>Used VehicleEx NV demonstrators gross profit p.u.</v>
      </c>
      <c r="K4107" s="315" t="str">
        <f t="shared" si="342"/>
        <v>310Ex-Toyota NV Demonstrator revenue</v>
      </c>
      <c r="L4107" s="311">
        <f>+SUMIF('TUNZ Extracted TB'!M:M,$P4107,'TUNZ Extracted TB'!G:G)</f>
        <v>0</v>
      </c>
      <c r="M4107" s="311"/>
      <c r="N4107" s="311">
        <f>+SUMIF('Input Sheet'!$AE:$AE,P4107,'Input Sheet'!$X:$X)</f>
        <v>0</v>
      </c>
      <c r="O4107" s="311"/>
      <c r="P4107" t="str">
        <f t="shared" si="343"/>
        <v>310-3075R</v>
      </c>
      <c r="Q4107" s="315" t="str">
        <f t="shared" si="344"/>
        <v>Used Vehicle</v>
      </c>
      <c r="R4107" s="315" t="str">
        <f t="shared" si="345"/>
        <v>Used VehicleEx NV demonstrators gross profit p.u.</v>
      </c>
      <c r="S4107" s="199"/>
      <c r="T4107" s="199"/>
      <c r="U4107" s="199"/>
    </row>
    <row r="4108" spans="1:21" x14ac:dyDescent="0.25">
      <c r="A4108" t="s">
        <v>996</v>
      </c>
      <c r="B4108" t="s">
        <v>997</v>
      </c>
      <c r="C4108" t="s">
        <v>1005</v>
      </c>
      <c r="D4108" t="s">
        <v>1507</v>
      </c>
      <c r="E4108">
        <v>200</v>
      </c>
      <c r="F4108" t="s">
        <v>1024</v>
      </c>
      <c r="G4108" t="s">
        <v>1027</v>
      </c>
      <c r="H4108" s="315" t="s">
        <v>29</v>
      </c>
      <c r="I4108" s="315" t="s">
        <v>1026</v>
      </c>
      <c r="J4108" s="315" t="str">
        <f t="shared" si="341"/>
        <v>New VehicleOther Income per NV unit</v>
      </c>
      <c r="K4108" s="315" t="str">
        <f t="shared" si="342"/>
        <v>200New Vehicle Other Income - Toyota</v>
      </c>
      <c r="L4108" s="311">
        <f>+SUMIF('TUNZ Extracted TB'!M:M,$P4108,'TUNZ Extracted TB'!G:G)</f>
        <v>0</v>
      </c>
      <c r="M4108" s="311"/>
      <c r="N4108" s="311">
        <f>+SUMIF('Input Sheet'!$AE:$AE,P4108,'Input Sheet'!$X:$X)</f>
        <v>0</v>
      </c>
      <c r="O4108" s="311"/>
      <c r="P4108" t="str">
        <f t="shared" si="343"/>
        <v>200-3075RD</v>
      </c>
      <c r="Q4108" s="315" t="str">
        <f t="shared" si="344"/>
        <v>New Vehicle</v>
      </c>
      <c r="R4108" s="315" t="str">
        <f t="shared" si="345"/>
        <v>New VehicleOther Income per NV unit</v>
      </c>
      <c r="S4108" s="199"/>
      <c r="T4108" s="199"/>
      <c r="U4108" s="199"/>
    </row>
    <row r="4109" spans="1:21" x14ac:dyDescent="0.25">
      <c r="A4109" t="s">
        <v>996</v>
      </c>
      <c r="B4109" t="s">
        <v>997</v>
      </c>
      <c r="C4109" t="s">
        <v>1012</v>
      </c>
      <c r="D4109" t="s">
        <v>1507</v>
      </c>
      <c r="E4109">
        <v>400</v>
      </c>
      <c r="F4109" t="s">
        <v>1024</v>
      </c>
      <c r="G4109" t="s">
        <v>1027</v>
      </c>
      <c r="H4109" s="315" t="s">
        <v>29</v>
      </c>
      <c r="I4109" s="315" t="s">
        <v>1026</v>
      </c>
      <c r="J4109" s="315" t="str">
        <f t="shared" si="341"/>
        <v>New VehicleOther Income per NV unit</v>
      </c>
      <c r="K4109" s="315" t="str">
        <f t="shared" si="342"/>
        <v>400New Vehicle Other Income - Toyota</v>
      </c>
      <c r="L4109" s="311">
        <f>+SUMIF('TUNZ Extracted TB'!M:M,$P4109,'TUNZ Extracted TB'!G:G)</f>
        <v>0</v>
      </c>
      <c r="M4109" s="311"/>
      <c r="N4109" s="311">
        <f>+SUMIF('Input Sheet'!$AE:$AE,P4109,'Input Sheet'!$X:$X)</f>
        <v>0</v>
      </c>
      <c r="O4109" s="311"/>
      <c r="P4109" t="str">
        <f t="shared" si="343"/>
        <v>400-3075RD</v>
      </c>
      <c r="Q4109" s="315" t="str">
        <f t="shared" si="344"/>
        <v>New Vehicle</v>
      </c>
      <c r="R4109" s="315" t="str">
        <f t="shared" si="345"/>
        <v>New VehicleOther Income per NV unit</v>
      </c>
      <c r="S4109" s="199"/>
      <c r="T4109" s="199"/>
      <c r="U4109" s="199"/>
    </row>
    <row r="4110" spans="1:21" x14ac:dyDescent="0.25">
      <c r="A4110" t="s">
        <v>996</v>
      </c>
      <c r="B4110" t="s">
        <v>997</v>
      </c>
      <c r="C4110" t="s">
        <v>997</v>
      </c>
      <c r="D4110" t="s">
        <v>572</v>
      </c>
      <c r="E4110">
        <v>170</v>
      </c>
      <c r="F4110" t="s">
        <v>1098</v>
      </c>
      <c r="G4110" t="s">
        <v>1099</v>
      </c>
      <c r="H4110" s="315" t="s">
        <v>1000</v>
      </c>
      <c r="I4110" s="315" t="s">
        <v>1001</v>
      </c>
      <c r="J4110" s="315" t="str">
        <f t="shared" si="341"/>
        <v>Admin &amp; OtherOther Overheads as % of Total Gross Profit</v>
      </c>
      <c r="K4110" s="315" t="str">
        <f t="shared" si="342"/>
        <v>170Other Income - Toyota</v>
      </c>
      <c r="L4110" s="311">
        <f>+SUMIF('TUNZ Extracted TB'!M:M,$P4110,'TUNZ Extracted TB'!G:G)</f>
        <v>0</v>
      </c>
      <c r="M4110" s="311"/>
      <c r="N4110" s="311">
        <f>+SUMIF('Input Sheet'!$AE:$AE,P4110,'Input Sheet'!$X:$X)</f>
        <v>0</v>
      </c>
      <c r="O4110" s="311"/>
      <c r="P4110" t="str">
        <f t="shared" si="343"/>
        <v>170-3075R</v>
      </c>
      <c r="Q4110" s="315" t="str">
        <f t="shared" si="344"/>
        <v>Admin &amp; Other</v>
      </c>
      <c r="R4110" s="315" t="str">
        <f t="shared" si="345"/>
        <v>Admin &amp; OtherOther Overheads as % of Total Gross Profit</v>
      </c>
      <c r="S4110" s="199"/>
      <c r="T4110" s="199"/>
      <c r="U4110" s="199"/>
    </row>
    <row r="4111" spans="1:21" x14ac:dyDescent="0.25">
      <c r="A4111" t="s">
        <v>996</v>
      </c>
      <c r="B4111" t="s">
        <v>997</v>
      </c>
      <c r="C4111" t="s">
        <v>1013</v>
      </c>
      <c r="D4111" t="s">
        <v>1507</v>
      </c>
      <c r="E4111">
        <v>300</v>
      </c>
      <c r="F4111" t="s">
        <v>1024</v>
      </c>
      <c r="G4111" t="s">
        <v>1027</v>
      </c>
      <c r="H4111" s="315" t="s">
        <v>29</v>
      </c>
      <c r="I4111" s="315" t="s">
        <v>1026</v>
      </c>
      <c r="J4111" s="315" t="str">
        <f t="shared" si="341"/>
        <v>New VehicleOther Income per NV unit</v>
      </c>
      <c r="K4111" s="315" t="str">
        <f t="shared" si="342"/>
        <v>300New Vehicle Other Income - Toyota</v>
      </c>
      <c r="L4111" s="311">
        <f>+SUMIF('TUNZ Extracted TB'!M:M,$P4111,'TUNZ Extracted TB'!G:G)</f>
        <v>0</v>
      </c>
      <c r="M4111" s="311"/>
      <c r="N4111" s="311">
        <f>+SUMIF('Input Sheet'!$AE:$AE,P4111,'Input Sheet'!$X:$X)</f>
        <v>0</v>
      </c>
      <c r="O4111" s="311"/>
      <c r="P4111" t="str">
        <f t="shared" si="343"/>
        <v>300-3075RD</v>
      </c>
      <c r="Q4111" s="315" t="str">
        <f t="shared" si="344"/>
        <v>New Vehicle</v>
      </c>
      <c r="R4111" s="315" t="str">
        <f t="shared" si="345"/>
        <v>New VehicleOther Income per NV unit</v>
      </c>
      <c r="S4111" s="199"/>
      <c r="T4111" s="199"/>
      <c r="U4111" s="199"/>
    </row>
    <row r="4112" spans="1:21" x14ac:dyDescent="0.25">
      <c r="A4112" t="s">
        <v>996</v>
      </c>
      <c r="B4112" t="s">
        <v>997</v>
      </c>
      <c r="C4112" t="s">
        <v>997</v>
      </c>
      <c r="D4112" t="s">
        <v>1507</v>
      </c>
      <c r="E4112">
        <v>110</v>
      </c>
      <c r="F4112" t="s">
        <v>1014</v>
      </c>
      <c r="G4112" t="s">
        <v>1015</v>
      </c>
      <c r="H4112" s="315" t="s">
        <v>30</v>
      </c>
      <c r="I4112" s="315" t="s">
        <v>1016</v>
      </c>
      <c r="J4112" s="315" t="str">
        <f t="shared" si="341"/>
        <v>Used VehicleEx NV demonstrators gross profit p.u.</v>
      </c>
      <c r="K4112" s="315" t="str">
        <f t="shared" si="342"/>
        <v>110Ex-Toyota NV Demonstrator revenue</v>
      </c>
      <c r="L4112" s="311">
        <f>+SUMIF('TUNZ Extracted TB'!M:M,$P4112,'TUNZ Extracted TB'!G:G)</f>
        <v>0</v>
      </c>
      <c r="M4112" s="311"/>
      <c r="N4112" s="311">
        <f>+SUMIF('Input Sheet'!$AE:$AE,P4112,'Input Sheet'!$X:$X)</f>
        <v>0</v>
      </c>
      <c r="O4112" s="311"/>
      <c r="P4112" t="str">
        <f t="shared" si="343"/>
        <v>110-3075RD</v>
      </c>
      <c r="Q4112" s="315" t="str">
        <f t="shared" si="344"/>
        <v>Used Vehicle</v>
      </c>
      <c r="R4112" s="315" t="str">
        <f t="shared" si="345"/>
        <v>Used VehicleEx NV demonstrators gross profit p.u.</v>
      </c>
      <c r="S4112" s="199"/>
      <c r="T4112" s="199"/>
      <c r="U4112" s="199"/>
    </row>
    <row r="4113" spans="1:21" x14ac:dyDescent="0.25">
      <c r="A4113" t="s">
        <v>996</v>
      </c>
      <c r="B4113" t="s">
        <v>997</v>
      </c>
      <c r="C4113" t="s">
        <v>997</v>
      </c>
      <c r="D4113" t="s">
        <v>461</v>
      </c>
      <c r="E4113">
        <v>100</v>
      </c>
      <c r="F4113" t="s">
        <v>1024</v>
      </c>
      <c r="G4113" t="s">
        <v>1027</v>
      </c>
      <c r="H4113" s="315" t="s">
        <v>29</v>
      </c>
      <c r="I4113" s="315" t="s">
        <v>1026</v>
      </c>
      <c r="J4113" s="315" t="str">
        <f t="shared" si="341"/>
        <v>New VehicleOther Income per NV unit</v>
      </c>
      <c r="K4113" s="315" t="str">
        <f t="shared" si="342"/>
        <v>100New Vehicle Other Income - Toyota</v>
      </c>
      <c r="L4113" s="311">
        <f>+SUMIF('TUNZ Extracted TB'!M:M,$P4113,'TUNZ Extracted TB'!G:G)</f>
        <v>0</v>
      </c>
      <c r="M4113" s="311"/>
      <c r="N4113" s="311">
        <f>+SUMIF('Input Sheet'!$AE:$AE,P4113,'Input Sheet'!$X:$X)</f>
        <v>0</v>
      </c>
      <c r="O4113" s="311"/>
      <c r="P4113" t="str">
        <f t="shared" si="343"/>
        <v>100-3076R</v>
      </c>
      <c r="Q4113" s="315" t="str">
        <f t="shared" si="344"/>
        <v>New Vehicle</v>
      </c>
      <c r="R4113" s="315" t="str">
        <f t="shared" si="345"/>
        <v>New VehicleOther Income per NV unit</v>
      </c>
      <c r="S4113" s="199"/>
      <c r="T4113" s="199"/>
      <c r="U4113" s="199"/>
    </row>
    <row r="4114" spans="1:21" x14ac:dyDescent="0.25">
      <c r="A4114" t="s">
        <v>996</v>
      </c>
      <c r="B4114" t="s">
        <v>997</v>
      </c>
      <c r="C4114" t="s">
        <v>1005</v>
      </c>
      <c r="D4114" t="s">
        <v>1507</v>
      </c>
      <c r="E4114">
        <v>210</v>
      </c>
      <c r="F4114" t="s">
        <v>1014</v>
      </c>
      <c r="G4114" t="s">
        <v>1015</v>
      </c>
      <c r="H4114" s="315" t="s">
        <v>30</v>
      </c>
      <c r="I4114" s="315" t="s">
        <v>1016</v>
      </c>
      <c r="J4114" s="315" t="str">
        <f t="shared" si="341"/>
        <v>Used VehicleEx NV demonstrators gross profit p.u.</v>
      </c>
      <c r="K4114" s="315" t="str">
        <f t="shared" si="342"/>
        <v>210Ex-Toyota NV Demonstrator revenue</v>
      </c>
      <c r="L4114" s="311">
        <f>+SUMIF('TUNZ Extracted TB'!M:M,$P4114,'TUNZ Extracted TB'!G:G)</f>
        <v>0</v>
      </c>
      <c r="M4114" s="311"/>
      <c r="N4114" s="311">
        <f>+SUMIF('Input Sheet'!$AE:$AE,P4114,'Input Sheet'!$X:$X)</f>
        <v>0</v>
      </c>
      <c r="O4114" s="311"/>
      <c r="P4114" t="str">
        <f t="shared" si="343"/>
        <v>210-3075RD</v>
      </c>
      <c r="Q4114" s="315" t="str">
        <f t="shared" si="344"/>
        <v>Used Vehicle</v>
      </c>
      <c r="R4114" s="315" t="str">
        <f t="shared" si="345"/>
        <v>Used VehicleEx NV demonstrators gross profit p.u.</v>
      </c>
      <c r="S4114" s="199"/>
      <c r="T4114" s="199"/>
      <c r="U4114" s="199"/>
    </row>
    <row r="4115" spans="1:21" x14ac:dyDescent="0.25">
      <c r="A4115" t="s">
        <v>996</v>
      </c>
      <c r="B4115" t="s">
        <v>997</v>
      </c>
      <c r="C4115" t="s">
        <v>1012</v>
      </c>
      <c r="D4115" t="s">
        <v>1507</v>
      </c>
      <c r="E4115">
        <v>410</v>
      </c>
      <c r="F4115" t="s">
        <v>1014</v>
      </c>
      <c r="G4115" t="s">
        <v>1015</v>
      </c>
      <c r="H4115" s="315" t="s">
        <v>30</v>
      </c>
      <c r="I4115" s="315" t="s">
        <v>1016</v>
      </c>
      <c r="J4115" s="315" t="str">
        <f t="shared" si="341"/>
        <v>Used VehicleEx NV demonstrators gross profit p.u.</v>
      </c>
      <c r="K4115" s="315" t="str">
        <f t="shared" si="342"/>
        <v>410Ex-Toyota NV Demonstrator revenue</v>
      </c>
      <c r="L4115" s="311">
        <f>+SUMIF('TUNZ Extracted TB'!M:M,$P4115,'TUNZ Extracted TB'!G:G)</f>
        <v>0</v>
      </c>
      <c r="M4115" s="311"/>
      <c r="N4115" s="311">
        <f>+SUMIF('Input Sheet'!$AE:$AE,P4115,'Input Sheet'!$X:$X)</f>
        <v>0</v>
      </c>
      <c r="O4115" s="311"/>
      <c r="P4115" t="str">
        <f t="shared" si="343"/>
        <v>410-3075RD</v>
      </c>
      <c r="Q4115" s="315" t="str">
        <f t="shared" si="344"/>
        <v>Used Vehicle</v>
      </c>
      <c r="R4115" s="315" t="str">
        <f t="shared" si="345"/>
        <v>Used VehicleEx NV demonstrators gross profit p.u.</v>
      </c>
      <c r="S4115" s="199"/>
      <c r="T4115" s="199"/>
      <c r="U4115" s="199"/>
    </row>
    <row r="4116" spans="1:21" x14ac:dyDescent="0.25">
      <c r="A4116" t="s">
        <v>996</v>
      </c>
      <c r="B4116" t="s">
        <v>997</v>
      </c>
      <c r="C4116" t="s">
        <v>1013</v>
      </c>
      <c r="D4116" t="s">
        <v>1507</v>
      </c>
      <c r="E4116">
        <v>310</v>
      </c>
      <c r="F4116" t="s">
        <v>1014</v>
      </c>
      <c r="G4116" t="s">
        <v>1015</v>
      </c>
      <c r="H4116" s="315" t="s">
        <v>30</v>
      </c>
      <c r="I4116" s="315" t="s">
        <v>1016</v>
      </c>
      <c r="J4116" s="315" t="str">
        <f t="shared" si="341"/>
        <v>Used VehicleEx NV demonstrators gross profit p.u.</v>
      </c>
      <c r="K4116" s="315" t="str">
        <f t="shared" si="342"/>
        <v>310Ex-Toyota NV Demonstrator revenue</v>
      </c>
      <c r="L4116" s="311">
        <f>+SUMIF('TUNZ Extracted TB'!M:M,$P4116,'TUNZ Extracted TB'!G:G)</f>
        <v>0</v>
      </c>
      <c r="M4116" s="311"/>
      <c r="N4116" s="311">
        <f>+SUMIF('Input Sheet'!$AE:$AE,P4116,'Input Sheet'!$X:$X)</f>
        <v>0</v>
      </c>
      <c r="O4116" s="311"/>
      <c r="P4116" t="str">
        <f t="shared" si="343"/>
        <v>310-3075RD</v>
      </c>
      <c r="Q4116" s="315" t="str">
        <f t="shared" si="344"/>
        <v>Used Vehicle</v>
      </c>
      <c r="R4116" s="315" t="str">
        <f t="shared" si="345"/>
        <v>Used VehicleEx NV demonstrators gross profit p.u.</v>
      </c>
      <c r="S4116" s="199"/>
      <c r="T4116" s="199"/>
      <c r="U4116" s="199"/>
    </row>
    <row r="4117" spans="1:21" x14ac:dyDescent="0.25">
      <c r="A4117" t="s">
        <v>996</v>
      </c>
      <c r="B4117" t="s">
        <v>997</v>
      </c>
      <c r="C4117" t="s">
        <v>1012</v>
      </c>
      <c r="D4117" t="s">
        <v>461</v>
      </c>
      <c r="E4117">
        <v>400</v>
      </c>
      <c r="F4117" t="s">
        <v>1024</v>
      </c>
      <c r="G4117" t="s">
        <v>1027</v>
      </c>
      <c r="H4117" s="315" t="s">
        <v>29</v>
      </c>
      <c r="I4117" s="315" t="s">
        <v>1026</v>
      </c>
      <c r="J4117" s="315" t="str">
        <f t="shared" si="341"/>
        <v>New VehicleOther Income per NV unit</v>
      </c>
      <c r="K4117" s="315" t="str">
        <f t="shared" si="342"/>
        <v>400New Vehicle Other Income - Toyota</v>
      </c>
      <c r="L4117" s="311">
        <f>+SUMIF('TUNZ Extracted TB'!M:M,$P4117,'TUNZ Extracted TB'!G:G)</f>
        <v>0</v>
      </c>
      <c r="M4117" s="311"/>
      <c r="N4117" s="311">
        <f>+SUMIF('Input Sheet'!$AE:$AE,P4117,'Input Sheet'!$X:$X)</f>
        <v>0</v>
      </c>
      <c r="O4117" s="311"/>
      <c r="P4117" t="str">
        <f t="shared" si="343"/>
        <v>400-3076R</v>
      </c>
      <c r="Q4117" s="315" t="str">
        <f t="shared" si="344"/>
        <v>New Vehicle</v>
      </c>
      <c r="R4117" s="315" t="str">
        <f t="shared" si="345"/>
        <v>New VehicleOther Income per NV unit</v>
      </c>
      <c r="S4117" s="199"/>
      <c r="T4117" s="199"/>
      <c r="U4117" s="199"/>
    </row>
    <row r="4118" spans="1:21" x14ac:dyDescent="0.25">
      <c r="A4118" t="s">
        <v>996</v>
      </c>
      <c r="B4118" t="s">
        <v>997</v>
      </c>
      <c r="C4118" t="s">
        <v>1013</v>
      </c>
      <c r="D4118" t="s">
        <v>461</v>
      </c>
      <c r="E4118">
        <v>300</v>
      </c>
      <c r="F4118" t="s">
        <v>1024</v>
      </c>
      <c r="G4118" t="s">
        <v>1027</v>
      </c>
      <c r="H4118" s="315" t="s">
        <v>29</v>
      </c>
      <c r="I4118" s="315" t="s">
        <v>1026</v>
      </c>
      <c r="J4118" s="315" t="str">
        <f t="shared" si="341"/>
        <v>New VehicleOther Income per NV unit</v>
      </c>
      <c r="K4118" s="315" t="str">
        <f t="shared" si="342"/>
        <v>300New Vehicle Other Income - Toyota</v>
      </c>
      <c r="L4118" s="311">
        <f>+SUMIF('TUNZ Extracted TB'!M:M,$P4118,'TUNZ Extracted TB'!G:G)</f>
        <v>0</v>
      </c>
      <c r="M4118" s="311"/>
      <c r="N4118" s="311">
        <f>+SUMIF('Input Sheet'!$AE:$AE,P4118,'Input Sheet'!$X:$X)</f>
        <v>0</v>
      </c>
      <c r="O4118" s="311"/>
      <c r="P4118" t="str">
        <f t="shared" si="343"/>
        <v>300-3076R</v>
      </c>
      <c r="Q4118" s="315" t="str">
        <f t="shared" si="344"/>
        <v>New Vehicle</v>
      </c>
      <c r="R4118" s="315" t="str">
        <f t="shared" si="345"/>
        <v>New VehicleOther Income per NV unit</v>
      </c>
      <c r="S4118" s="199"/>
      <c r="T4118" s="199"/>
      <c r="U4118" s="199"/>
    </row>
    <row r="4119" spans="1:21" x14ac:dyDescent="0.25">
      <c r="A4119" t="s">
        <v>996</v>
      </c>
      <c r="B4119" t="s">
        <v>997</v>
      </c>
      <c r="C4119" t="s">
        <v>1005</v>
      </c>
      <c r="D4119" t="s">
        <v>461</v>
      </c>
      <c r="E4119">
        <v>200</v>
      </c>
      <c r="F4119" t="s">
        <v>1024</v>
      </c>
      <c r="G4119" t="s">
        <v>1027</v>
      </c>
      <c r="H4119" s="315" t="s">
        <v>29</v>
      </c>
      <c r="I4119" s="315" t="s">
        <v>1026</v>
      </c>
      <c r="J4119" s="315" t="str">
        <f t="shared" si="341"/>
        <v>New VehicleOther Income per NV unit</v>
      </c>
      <c r="K4119" s="315" t="str">
        <f t="shared" si="342"/>
        <v>200New Vehicle Other Income - Toyota</v>
      </c>
      <c r="L4119" s="311">
        <f>+SUMIF('TUNZ Extracted TB'!M:M,$P4119,'TUNZ Extracted TB'!G:G)</f>
        <v>-6038.04</v>
      </c>
      <c r="M4119" s="311"/>
      <c r="N4119" s="311">
        <f>+SUMIF('Input Sheet'!$AE:$AE,P4119,'Input Sheet'!$X:$X)</f>
        <v>0</v>
      </c>
      <c r="O4119" s="311"/>
      <c r="P4119" t="str">
        <f t="shared" si="343"/>
        <v>200-3076R</v>
      </c>
      <c r="Q4119" s="315" t="str">
        <f t="shared" si="344"/>
        <v>New Vehicle</v>
      </c>
      <c r="R4119" s="315" t="str">
        <f t="shared" si="345"/>
        <v>New VehicleOther Income per NV unit</v>
      </c>
      <c r="S4119" s="199"/>
      <c r="T4119" s="199"/>
      <c r="U4119" s="199"/>
    </row>
    <row r="4120" spans="1:21" x14ac:dyDescent="0.25">
      <c r="A4120" t="s">
        <v>996</v>
      </c>
      <c r="B4120" t="s">
        <v>997</v>
      </c>
      <c r="C4120" t="s">
        <v>997</v>
      </c>
      <c r="D4120" t="s">
        <v>1507</v>
      </c>
      <c r="E4120">
        <v>170</v>
      </c>
      <c r="F4120" t="s">
        <v>1098</v>
      </c>
      <c r="G4120" t="s">
        <v>1099</v>
      </c>
      <c r="H4120" s="315" t="s">
        <v>1000</v>
      </c>
      <c r="I4120" s="315" t="s">
        <v>1001</v>
      </c>
      <c r="J4120" s="315" t="str">
        <f t="shared" si="341"/>
        <v>Admin &amp; OtherOther Overheads as % of Total Gross Profit</v>
      </c>
      <c r="K4120" s="315" t="str">
        <f t="shared" si="342"/>
        <v>170Other Income - Toyota</v>
      </c>
      <c r="L4120" s="311">
        <f>+SUMIF('TUNZ Extracted TB'!M:M,$P4120,'TUNZ Extracted TB'!G:G)</f>
        <v>0</v>
      </c>
      <c r="M4120" s="311"/>
      <c r="N4120" s="311">
        <f>+SUMIF('Input Sheet'!$AE:$AE,P4120,'Input Sheet'!$X:$X)</f>
        <v>0</v>
      </c>
      <c r="O4120" s="311"/>
      <c r="P4120" t="str">
        <f t="shared" si="343"/>
        <v>170-3075RD</v>
      </c>
      <c r="Q4120" s="315" t="str">
        <f t="shared" si="344"/>
        <v>Admin &amp; Other</v>
      </c>
      <c r="R4120" s="315" t="str">
        <f t="shared" si="345"/>
        <v>Admin &amp; OtherOther Overheads as % of Total Gross Profit</v>
      </c>
      <c r="S4120" s="199"/>
      <c r="T4120" s="199"/>
      <c r="U4120" s="199"/>
    </row>
    <row r="4121" spans="1:21" x14ac:dyDescent="0.25">
      <c r="A4121" t="s">
        <v>996</v>
      </c>
      <c r="B4121" t="s">
        <v>997</v>
      </c>
      <c r="C4121" t="s">
        <v>997</v>
      </c>
      <c r="D4121" t="s">
        <v>1508</v>
      </c>
      <c r="E4121">
        <v>100</v>
      </c>
      <c r="F4121" t="s">
        <v>1024</v>
      </c>
      <c r="G4121" t="s">
        <v>1027</v>
      </c>
      <c r="H4121" s="315" t="s">
        <v>29</v>
      </c>
      <c r="I4121" s="315" t="s">
        <v>1026</v>
      </c>
      <c r="J4121" s="315" t="str">
        <f t="shared" si="341"/>
        <v>New VehicleOther Income per NV unit</v>
      </c>
      <c r="K4121" s="315" t="str">
        <f t="shared" si="342"/>
        <v>100New Vehicle Other Income - Toyota</v>
      </c>
      <c r="L4121" s="311">
        <f>+SUMIF('TUNZ Extracted TB'!M:M,$P4121,'TUNZ Extracted TB'!G:G)</f>
        <v>0</v>
      </c>
      <c r="M4121" s="311"/>
      <c r="N4121" s="311">
        <f>+SUMIF('Input Sheet'!$AE:$AE,P4121,'Input Sheet'!$X:$X)</f>
        <v>0</v>
      </c>
      <c r="O4121" s="311"/>
      <c r="P4121" t="str">
        <f t="shared" si="343"/>
        <v>100-3076RD</v>
      </c>
      <c r="Q4121" s="315" t="str">
        <f t="shared" si="344"/>
        <v>New Vehicle</v>
      </c>
      <c r="R4121" s="315" t="str">
        <f t="shared" si="345"/>
        <v>New VehicleOther Income per NV unit</v>
      </c>
      <c r="S4121" s="199"/>
      <c r="T4121" s="199"/>
      <c r="U4121" s="199"/>
    </row>
    <row r="4122" spans="1:21" x14ac:dyDescent="0.25">
      <c r="A4122" t="s">
        <v>996</v>
      </c>
      <c r="B4122" t="s">
        <v>997</v>
      </c>
      <c r="C4122" t="s">
        <v>997</v>
      </c>
      <c r="D4122" t="s">
        <v>461</v>
      </c>
      <c r="E4122">
        <v>110</v>
      </c>
      <c r="F4122" t="s">
        <v>1014</v>
      </c>
      <c r="G4122" t="s">
        <v>1015</v>
      </c>
      <c r="H4122" s="315" t="s">
        <v>30</v>
      </c>
      <c r="I4122" s="315" t="s">
        <v>1016</v>
      </c>
      <c r="J4122" s="315" t="str">
        <f t="shared" si="341"/>
        <v>Used VehicleEx NV demonstrators gross profit p.u.</v>
      </c>
      <c r="K4122" s="315" t="str">
        <f t="shared" si="342"/>
        <v>110Ex-Toyota NV Demonstrator revenue</v>
      </c>
      <c r="L4122" s="311">
        <f>+SUMIF('TUNZ Extracted TB'!M:M,$P4122,'TUNZ Extracted TB'!G:G)</f>
        <v>0</v>
      </c>
      <c r="M4122" s="311"/>
      <c r="N4122" s="311">
        <f>+SUMIF('Input Sheet'!$AE:$AE,P4122,'Input Sheet'!$X:$X)</f>
        <v>0</v>
      </c>
      <c r="O4122" s="311"/>
      <c r="P4122" t="str">
        <f t="shared" si="343"/>
        <v>110-3076R</v>
      </c>
      <c r="Q4122" s="315" t="str">
        <f t="shared" si="344"/>
        <v>Used Vehicle</v>
      </c>
      <c r="R4122" s="315" t="str">
        <f t="shared" si="345"/>
        <v>Used VehicleEx NV demonstrators gross profit p.u.</v>
      </c>
      <c r="S4122" s="199"/>
      <c r="T4122" s="199"/>
      <c r="U4122" s="199"/>
    </row>
    <row r="4123" spans="1:21" x14ac:dyDescent="0.25">
      <c r="A4123" t="s">
        <v>996</v>
      </c>
      <c r="B4123" t="s">
        <v>997</v>
      </c>
      <c r="C4123" t="s">
        <v>1005</v>
      </c>
      <c r="D4123" t="s">
        <v>461</v>
      </c>
      <c r="E4123">
        <v>210</v>
      </c>
      <c r="F4123" t="s">
        <v>1014</v>
      </c>
      <c r="G4123" t="s">
        <v>1015</v>
      </c>
      <c r="H4123" s="315" t="s">
        <v>30</v>
      </c>
      <c r="I4123" s="315" t="s">
        <v>1016</v>
      </c>
      <c r="J4123" s="315" t="str">
        <f t="shared" si="341"/>
        <v>Used VehicleEx NV demonstrators gross profit p.u.</v>
      </c>
      <c r="K4123" s="315" t="str">
        <f t="shared" si="342"/>
        <v>210Ex-Toyota NV Demonstrator revenue</v>
      </c>
      <c r="L4123" s="311">
        <f>+SUMIF('TUNZ Extracted TB'!M:M,$P4123,'TUNZ Extracted TB'!G:G)</f>
        <v>0</v>
      </c>
      <c r="M4123" s="311"/>
      <c r="N4123" s="311">
        <f>+SUMIF('Input Sheet'!$AE:$AE,P4123,'Input Sheet'!$X:$X)</f>
        <v>0</v>
      </c>
      <c r="O4123" s="311"/>
      <c r="P4123" t="str">
        <f t="shared" si="343"/>
        <v>210-3076R</v>
      </c>
      <c r="Q4123" s="315" t="str">
        <f t="shared" si="344"/>
        <v>Used Vehicle</v>
      </c>
      <c r="R4123" s="315" t="str">
        <f t="shared" si="345"/>
        <v>Used VehicleEx NV demonstrators gross profit p.u.</v>
      </c>
      <c r="S4123" s="199"/>
      <c r="T4123" s="199"/>
      <c r="U4123" s="199"/>
    </row>
    <row r="4124" spans="1:21" x14ac:dyDescent="0.25">
      <c r="A4124" t="s">
        <v>996</v>
      </c>
      <c r="B4124" t="s">
        <v>997</v>
      </c>
      <c r="C4124" t="s">
        <v>1012</v>
      </c>
      <c r="D4124" t="s">
        <v>461</v>
      </c>
      <c r="E4124">
        <v>410</v>
      </c>
      <c r="F4124" t="s">
        <v>1014</v>
      </c>
      <c r="G4124" t="s">
        <v>1015</v>
      </c>
      <c r="H4124" s="315" t="s">
        <v>30</v>
      </c>
      <c r="I4124" s="315" t="s">
        <v>1016</v>
      </c>
      <c r="J4124" s="315" t="str">
        <f t="shared" si="341"/>
        <v>Used VehicleEx NV demonstrators gross profit p.u.</v>
      </c>
      <c r="K4124" s="315" t="str">
        <f t="shared" si="342"/>
        <v>410Ex-Toyota NV Demonstrator revenue</v>
      </c>
      <c r="L4124" s="311">
        <f>+SUMIF('TUNZ Extracted TB'!M:M,$P4124,'TUNZ Extracted TB'!G:G)</f>
        <v>0</v>
      </c>
      <c r="M4124" s="311"/>
      <c r="N4124" s="311">
        <f>+SUMIF('Input Sheet'!$AE:$AE,P4124,'Input Sheet'!$X:$X)</f>
        <v>0</v>
      </c>
      <c r="O4124" s="311"/>
      <c r="P4124" t="str">
        <f t="shared" si="343"/>
        <v>410-3076R</v>
      </c>
      <c r="Q4124" s="315" t="str">
        <f t="shared" si="344"/>
        <v>Used Vehicle</v>
      </c>
      <c r="R4124" s="315" t="str">
        <f t="shared" si="345"/>
        <v>Used VehicleEx NV demonstrators gross profit p.u.</v>
      </c>
      <c r="S4124" s="199"/>
      <c r="T4124" s="199"/>
      <c r="U4124" s="199"/>
    </row>
    <row r="4125" spans="1:21" x14ac:dyDescent="0.25">
      <c r="A4125" t="s">
        <v>996</v>
      </c>
      <c r="B4125" t="s">
        <v>997</v>
      </c>
      <c r="C4125" t="s">
        <v>1013</v>
      </c>
      <c r="D4125" t="s">
        <v>461</v>
      </c>
      <c r="E4125">
        <v>310</v>
      </c>
      <c r="F4125" t="s">
        <v>1014</v>
      </c>
      <c r="G4125" t="s">
        <v>1015</v>
      </c>
      <c r="H4125" s="315" t="s">
        <v>30</v>
      </c>
      <c r="I4125" s="315" t="s">
        <v>1016</v>
      </c>
      <c r="J4125" s="315" t="str">
        <f t="shared" si="341"/>
        <v>Used VehicleEx NV demonstrators gross profit p.u.</v>
      </c>
      <c r="K4125" s="315" t="str">
        <f t="shared" si="342"/>
        <v>310Ex-Toyota NV Demonstrator revenue</v>
      </c>
      <c r="L4125" s="311">
        <f>+SUMIF('TUNZ Extracted TB'!M:M,$P4125,'TUNZ Extracted TB'!G:G)</f>
        <v>0</v>
      </c>
      <c r="M4125" s="311"/>
      <c r="N4125" s="311">
        <f>+SUMIF('Input Sheet'!$AE:$AE,P4125,'Input Sheet'!$X:$X)</f>
        <v>0</v>
      </c>
      <c r="O4125" s="311"/>
      <c r="P4125" t="str">
        <f t="shared" si="343"/>
        <v>310-3076R</v>
      </c>
      <c r="Q4125" s="315" t="str">
        <f t="shared" si="344"/>
        <v>Used Vehicle</v>
      </c>
      <c r="R4125" s="315" t="str">
        <f t="shared" si="345"/>
        <v>Used VehicleEx NV demonstrators gross profit p.u.</v>
      </c>
      <c r="S4125" s="199"/>
      <c r="T4125" s="199"/>
      <c r="U4125" s="199"/>
    </row>
    <row r="4126" spans="1:21" x14ac:dyDescent="0.25">
      <c r="A4126" t="s">
        <v>996</v>
      </c>
      <c r="B4126" t="s">
        <v>997</v>
      </c>
      <c r="C4126" t="s">
        <v>1005</v>
      </c>
      <c r="D4126" t="s">
        <v>1508</v>
      </c>
      <c r="E4126">
        <v>200</v>
      </c>
      <c r="F4126" t="s">
        <v>1024</v>
      </c>
      <c r="G4126" t="s">
        <v>1027</v>
      </c>
      <c r="H4126" s="315" t="s">
        <v>29</v>
      </c>
      <c r="I4126" s="315" t="s">
        <v>1026</v>
      </c>
      <c r="J4126" s="315" t="str">
        <f t="shared" si="341"/>
        <v>New VehicleOther Income per NV unit</v>
      </c>
      <c r="K4126" s="315" t="str">
        <f t="shared" si="342"/>
        <v>200New Vehicle Other Income - Toyota</v>
      </c>
      <c r="L4126" s="311">
        <f>+SUMIF('TUNZ Extracted TB'!M:M,$P4126,'TUNZ Extracted TB'!G:G)</f>
        <v>0</v>
      </c>
      <c r="M4126" s="311"/>
      <c r="N4126" s="311">
        <f>+SUMIF('Input Sheet'!$AE:$AE,P4126,'Input Sheet'!$X:$X)</f>
        <v>0</v>
      </c>
      <c r="O4126" s="311"/>
      <c r="P4126" t="str">
        <f t="shared" si="343"/>
        <v>200-3076RD</v>
      </c>
      <c r="Q4126" s="315" t="str">
        <f t="shared" si="344"/>
        <v>New Vehicle</v>
      </c>
      <c r="R4126" s="315" t="str">
        <f t="shared" si="345"/>
        <v>New VehicleOther Income per NV unit</v>
      </c>
      <c r="S4126" s="199"/>
      <c r="T4126" s="199"/>
      <c r="U4126" s="199"/>
    </row>
    <row r="4127" spans="1:21" x14ac:dyDescent="0.25">
      <c r="A4127" t="s">
        <v>996</v>
      </c>
      <c r="B4127" t="s">
        <v>997</v>
      </c>
      <c r="C4127" t="s">
        <v>1012</v>
      </c>
      <c r="D4127" t="s">
        <v>1508</v>
      </c>
      <c r="E4127">
        <v>400</v>
      </c>
      <c r="F4127" t="s">
        <v>1024</v>
      </c>
      <c r="G4127" t="s">
        <v>1027</v>
      </c>
      <c r="H4127" s="315" t="s">
        <v>29</v>
      </c>
      <c r="I4127" s="315" t="s">
        <v>1026</v>
      </c>
      <c r="J4127" s="315" t="str">
        <f t="shared" si="341"/>
        <v>New VehicleOther Income per NV unit</v>
      </c>
      <c r="K4127" s="315" t="str">
        <f t="shared" si="342"/>
        <v>400New Vehicle Other Income - Toyota</v>
      </c>
      <c r="L4127" s="311">
        <f>+SUMIF('TUNZ Extracted TB'!M:M,$P4127,'TUNZ Extracted TB'!G:G)</f>
        <v>0</v>
      </c>
      <c r="M4127" s="311"/>
      <c r="N4127" s="311">
        <f>+SUMIF('Input Sheet'!$AE:$AE,P4127,'Input Sheet'!$X:$X)</f>
        <v>0</v>
      </c>
      <c r="O4127" s="311"/>
      <c r="P4127" t="str">
        <f t="shared" si="343"/>
        <v>400-3076RD</v>
      </c>
      <c r="Q4127" s="315" t="str">
        <f t="shared" si="344"/>
        <v>New Vehicle</v>
      </c>
      <c r="R4127" s="315" t="str">
        <f t="shared" si="345"/>
        <v>New VehicleOther Income per NV unit</v>
      </c>
      <c r="S4127" s="199"/>
      <c r="T4127" s="199"/>
      <c r="U4127" s="199"/>
    </row>
    <row r="4128" spans="1:21" x14ac:dyDescent="0.25">
      <c r="A4128" t="s">
        <v>996</v>
      </c>
      <c r="B4128" t="s">
        <v>997</v>
      </c>
      <c r="C4128" t="s">
        <v>997</v>
      </c>
      <c r="D4128" t="s">
        <v>461</v>
      </c>
      <c r="E4128">
        <v>170</v>
      </c>
      <c r="F4128" t="s">
        <v>1098</v>
      </c>
      <c r="G4128" t="s">
        <v>1099</v>
      </c>
      <c r="H4128" s="315" t="s">
        <v>1000</v>
      </c>
      <c r="I4128" s="315" t="s">
        <v>1001</v>
      </c>
      <c r="J4128" s="315" t="str">
        <f t="shared" si="341"/>
        <v>Admin &amp; OtherOther Overheads as % of Total Gross Profit</v>
      </c>
      <c r="K4128" s="315" t="str">
        <f t="shared" si="342"/>
        <v>170Other Income - Toyota</v>
      </c>
      <c r="L4128" s="311">
        <f>+SUMIF('TUNZ Extracted TB'!M:M,$P4128,'TUNZ Extracted TB'!G:G)</f>
        <v>0</v>
      </c>
      <c r="M4128" s="311"/>
      <c r="N4128" s="311">
        <f>+SUMIF('Input Sheet'!$AE:$AE,P4128,'Input Sheet'!$X:$X)</f>
        <v>0</v>
      </c>
      <c r="O4128" s="311"/>
      <c r="P4128" t="str">
        <f t="shared" si="343"/>
        <v>170-3076R</v>
      </c>
      <c r="Q4128" s="315" t="str">
        <f t="shared" si="344"/>
        <v>Admin &amp; Other</v>
      </c>
      <c r="R4128" s="315" t="str">
        <f t="shared" si="345"/>
        <v>Admin &amp; OtherOther Overheads as % of Total Gross Profit</v>
      </c>
      <c r="S4128" s="199"/>
      <c r="T4128" s="199"/>
      <c r="U4128" s="199"/>
    </row>
    <row r="4129" spans="1:21" x14ac:dyDescent="0.25">
      <c r="A4129" t="s">
        <v>996</v>
      </c>
      <c r="B4129" t="s">
        <v>997</v>
      </c>
      <c r="C4129" t="s">
        <v>1013</v>
      </c>
      <c r="D4129" t="s">
        <v>1508</v>
      </c>
      <c r="E4129">
        <v>300</v>
      </c>
      <c r="F4129" t="s">
        <v>1024</v>
      </c>
      <c r="G4129" t="s">
        <v>1027</v>
      </c>
      <c r="H4129" s="315" t="s">
        <v>29</v>
      </c>
      <c r="I4129" s="315" t="s">
        <v>1026</v>
      </c>
      <c r="J4129" s="315" t="str">
        <f t="shared" si="341"/>
        <v>New VehicleOther Income per NV unit</v>
      </c>
      <c r="K4129" s="315" t="str">
        <f t="shared" si="342"/>
        <v>300New Vehicle Other Income - Toyota</v>
      </c>
      <c r="L4129" s="311">
        <f>+SUMIF('TUNZ Extracted TB'!M:M,$P4129,'TUNZ Extracted TB'!G:G)</f>
        <v>0</v>
      </c>
      <c r="M4129" s="311"/>
      <c r="N4129" s="311">
        <f>+SUMIF('Input Sheet'!$AE:$AE,P4129,'Input Sheet'!$X:$X)</f>
        <v>0</v>
      </c>
      <c r="O4129" s="311"/>
      <c r="P4129" t="str">
        <f t="shared" si="343"/>
        <v>300-3076RD</v>
      </c>
      <c r="Q4129" s="315" t="str">
        <f t="shared" si="344"/>
        <v>New Vehicle</v>
      </c>
      <c r="R4129" s="315" t="str">
        <f t="shared" si="345"/>
        <v>New VehicleOther Income per NV unit</v>
      </c>
      <c r="S4129" s="199"/>
      <c r="T4129" s="199"/>
      <c r="U4129" s="199"/>
    </row>
    <row r="4130" spans="1:21" x14ac:dyDescent="0.25">
      <c r="A4130" t="s">
        <v>996</v>
      </c>
      <c r="B4130" t="s">
        <v>997</v>
      </c>
      <c r="C4130" t="s">
        <v>997</v>
      </c>
      <c r="D4130" t="s">
        <v>1508</v>
      </c>
      <c r="E4130">
        <v>110</v>
      </c>
      <c r="F4130" t="s">
        <v>1014</v>
      </c>
      <c r="G4130" t="s">
        <v>1015</v>
      </c>
      <c r="H4130" s="315" t="s">
        <v>30</v>
      </c>
      <c r="I4130" s="315" t="s">
        <v>1016</v>
      </c>
      <c r="J4130" s="315" t="str">
        <f t="shared" si="341"/>
        <v>Used VehicleEx NV demonstrators gross profit p.u.</v>
      </c>
      <c r="K4130" s="315" t="str">
        <f t="shared" si="342"/>
        <v>110Ex-Toyota NV Demonstrator revenue</v>
      </c>
      <c r="L4130" s="311">
        <f>+SUMIF('TUNZ Extracted TB'!M:M,$P4130,'TUNZ Extracted TB'!G:G)</f>
        <v>0</v>
      </c>
      <c r="M4130" s="311"/>
      <c r="N4130" s="311">
        <f>+SUMIF('Input Sheet'!$AE:$AE,P4130,'Input Sheet'!$X:$X)</f>
        <v>0</v>
      </c>
      <c r="O4130" s="311"/>
      <c r="P4130" t="str">
        <f t="shared" si="343"/>
        <v>110-3076RD</v>
      </c>
      <c r="Q4130" s="315" t="str">
        <f t="shared" si="344"/>
        <v>Used Vehicle</v>
      </c>
      <c r="R4130" s="315" t="str">
        <f t="shared" si="345"/>
        <v>Used VehicleEx NV demonstrators gross profit p.u.</v>
      </c>
      <c r="S4130" s="199"/>
      <c r="T4130" s="199"/>
      <c r="U4130" s="199"/>
    </row>
    <row r="4131" spans="1:21" x14ac:dyDescent="0.25">
      <c r="A4131" t="s">
        <v>996</v>
      </c>
      <c r="B4131" t="s">
        <v>997</v>
      </c>
      <c r="C4131" t="s">
        <v>997</v>
      </c>
      <c r="D4131" t="s">
        <v>1509</v>
      </c>
      <c r="E4131">
        <v>100</v>
      </c>
      <c r="F4131" t="s">
        <v>1024</v>
      </c>
      <c r="G4131" t="s">
        <v>1027</v>
      </c>
      <c r="H4131" s="315" t="s">
        <v>29</v>
      </c>
      <c r="I4131" s="315" t="s">
        <v>1026</v>
      </c>
      <c r="J4131" s="315" t="str">
        <f t="shared" si="341"/>
        <v>New VehicleOther Income per NV unit</v>
      </c>
      <c r="K4131" s="315" t="str">
        <f t="shared" si="342"/>
        <v>100New Vehicle Other Income - Toyota</v>
      </c>
      <c r="L4131" s="311">
        <f>+SUMIF('TUNZ Extracted TB'!M:M,$P4131,'TUNZ Extracted TB'!G:G)</f>
        <v>0</v>
      </c>
      <c r="M4131" s="311"/>
      <c r="N4131" s="311">
        <f>+SUMIF('Input Sheet'!$AE:$AE,P4131,'Input Sheet'!$X:$X)</f>
        <v>0</v>
      </c>
      <c r="O4131" s="311"/>
      <c r="P4131" t="str">
        <f t="shared" si="343"/>
        <v>100-3077R</v>
      </c>
      <c r="Q4131" s="315" t="str">
        <f t="shared" si="344"/>
        <v>New Vehicle</v>
      </c>
      <c r="R4131" s="315" t="str">
        <f t="shared" si="345"/>
        <v>New VehicleOther Income per NV unit</v>
      </c>
      <c r="S4131" s="199"/>
      <c r="T4131" s="199"/>
      <c r="U4131" s="199"/>
    </row>
    <row r="4132" spans="1:21" x14ac:dyDescent="0.25">
      <c r="A4132" t="s">
        <v>996</v>
      </c>
      <c r="B4132" t="s">
        <v>997</v>
      </c>
      <c r="C4132" t="s">
        <v>1005</v>
      </c>
      <c r="D4132" t="s">
        <v>1508</v>
      </c>
      <c r="E4132">
        <v>210</v>
      </c>
      <c r="F4132" t="s">
        <v>1014</v>
      </c>
      <c r="G4132" t="s">
        <v>1015</v>
      </c>
      <c r="H4132" s="315" t="s">
        <v>30</v>
      </c>
      <c r="I4132" s="315" t="s">
        <v>1016</v>
      </c>
      <c r="J4132" s="315" t="str">
        <f t="shared" si="341"/>
        <v>Used VehicleEx NV demonstrators gross profit p.u.</v>
      </c>
      <c r="K4132" s="315" t="str">
        <f t="shared" si="342"/>
        <v>210Ex-Toyota NV Demonstrator revenue</v>
      </c>
      <c r="L4132" s="311">
        <f>+SUMIF('TUNZ Extracted TB'!M:M,$P4132,'TUNZ Extracted TB'!G:G)</f>
        <v>0</v>
      </c>
      <c r="M4132" s="311"/>
      <c r="N4132" s="311">
        <f>+SUMIF('Input Sheet'!$AE:$AE,P4132,'Input Sheet'!$X:$X)</f>
        <v>0</v>
      </c>
      <c r="O4132" s="311"/>
      <c r="P4132" t="str">
        <f t="shared" si="343"/>
        <v>210-3076RD</v>
      </c>
      <c r="Q4132" s="315" t="str">
        <f t="shared" si="344"/>
        <v>Used Vehicle</v>
      </c>
      <c r="R4132" s="315" t="str">
        <f t="shared" si="345"/>
        <v>Used VehicleEx NV demonstrators gross profit p.u.</v>
      </c>
      <c r="S4132" s="199"/>
      <c r="T4132" s="199"/>
      <c r="U4132" s="199"/>
    </row>
    <row r="4133" spans="1:21" x14ac:dyDescent="0.25">
      <c r="A4133" t="s">
        <v>996</v>
      </c>
      <c r="B4133" t="s">
        <v>997</v>
      </c>
      <c r="C4133" t="s">
        <v>1012</v>
      </c>
      <c r="D4133" t="s">
        <v>1508</v>
      </c>
      <c r="E4133">
        <v>410</v>
      </c>
      <c r="F4133" t="s">
        <v>1014</v>
      </c>
      <c r="G4133" t="s">
        <v>1015</v>
      </c>
      <c r="H4133" s="315" t="s">
        <v>30</v>
      </c>
      <c r="I4133" s="315" t="s">
        <v>1016</v>
      </c>
      <c r="J4133" s="315" t="str">
        <f t="shared" si="341"/>
        <v>Used VehicleEx NV demonstrators gross profit p.u.</v>
      </c>
      <c r="K4133" s="315" t="str">
        <f t="shared" si="342"/>
        <v>410Ex-Toyota NV Demonstrator revenue</v>
      </c>
      <c r="L4133" s="311">
        <f>+SUMIF('TUNZ Extracted TB'!M:M,$P4133,'TUNZ Extracted TB'!G:G)</f>
        <v>0</v>
      </c>
      <c r="M4133" s="311"/>
      <c r="N4133" s="311">
        <f>+SUMIF('Input Sheet'!$AE:$AE,P4133,'Input Sheet'!$X:$X)</f>
        <v>0</v>
      </c>
      <c r="O4133" s="311"/>
      <c r="P4133" t="str">
        <f t="shared" si="343"/>
        <v>410-3076RD</v>
      </c>
      <c r="Q4133" s="315" t="str">
        <f t="shared" si="344"/>
        <v>Used Vehicle</v>
      </c>
      <c r="R4133" s="315" t="str">
        <f t="shared" si="345"/>
        <v>Used VehicleEx NV demonstrators gross profit p.u.</v>
      </c>
      <c r="S4133" s="199"/>
      <c r="T4133" s="199"/>
      <c r="U4133" s="199"/>
    </row>
    <row r="4134" spans="1:21" x14ac:dyDescent="0.25">
      <c r="A4134" t="s">
        <v>996</v>
      </c>
      <c r="B4134" t="s">
        <v>997</v>
      </c>
      <c r="C4134" t="s">
        <v>1013</v>
      </c>
      <c r="D4134" t="s">
        <v>1508</v>
      </c>
      <c r="E4134">
        <v>310</v>
      </c>
      <c r="F4134" t="s">
        <v>1014</v>
      </c>
      <c r="G4134" t="s">
        <v>1015</v>
      </c>
      <c r="H4134" s="315" t="s">
        <v>30</v>
      </c>
      <c r="I4134" s="315" t="s">
        <v>1016</v>
      </c>
      <c r="J4134" s="315" t="str">
        <f t="shared" si="341"/>
        <v>Used VehicleEx NV demonstrators gross profit p.u.</v>
      </c>
      <c r="K4134" s="315" t="str">
        <f t="shared" si="342"/>
        <v>310Ex-Toyota NV Demonstrator revenue</v>
      </c>
      <c r="L4134" s="311">
        <f>+SUMIF('TUNZ Extracted TB'!M:M,$P4134,'TUNZ Extracted TB'!G:G)</f>
        <v>0</v>
      </c>
      <c r="M4134" s="311"/>
      <c r="N4134" s="311">
        <f>+SUMIF('Input Sheet'!$AE:$AE,P4134,'Input Sheet'!$X:$X)</f>
        <v>0</v>
      </c>
      <c r="O4134" s="311"/>
      <c r="P4134" t="str">
        <f t="shared" si="343"/>
        <v>310-3076RD</v>
      </c>
      <c r="Q4134" s="315" t="str">
        <f t="shared" si="344"/>
        <v>Used Vehicle</v>
      </c>
      <c r="R4134" s="315" t="str">
        <f t="shared" si="345"/>
        <v>Used VehicleEx NV demonstrators gross profit p.u.</v>
      </c>
      <c r="S4134" s="199"/>
      <c r="T4134" s="199"/>
      <c r="U4134" s="199"/>
    </row>
    <row r="4135" spans="1:21" x14ac:dyDescent="0.25">
      <c r="A4135" t="s">
        <v>996</v>
      </c>
      <c r="B4135" t="s">
        <v>997</v>
      </c>
      <c r="C4135" t="s">
        <v>1005</v>
      </c>
      <c r="D4135" t="s">
        <v>1509</v>
      </c>
      <c r="E4135">
        <v>200</v>
      </c>
      <c r="F4135" t="s">
        <v>1024</v>
      </c>
      <c r="G4135" t="s">
        <v>1027</v>
      </c>
      <c r="H4135" s="315" t="s">
        <v>29</v>
      </c>
      <c r="I4135" s="315" t="s">
        <v>1026</v>
      </c>
      <c r="J4135" s="315" t="str">
        <f t="shared" si="341"/>
        <v>New VehicleOther Income per NV unit</v>
      </c>
      <c r="K4135" s="315" t="str">
        <f t="shared" si="342"/>
        <v>200New Vehicle Other Income - Toyota</v>
      </c>
      <c r="L4135" s="311">
        <f>+SUMIF('TUNZ Extracted TB'!M:M,$P4135,'TUNZ Extracted TB'!G:G)</f>
        <v>0</v>
      </c>
      <c r="M4135" s="311"/>
      <c r="N4135" s="311">
        <f>+SUMIF('Input Sheet'!$AE:$AE,P4135,'Input Sheet'!$X:$X)</f>
        <v>0</v>
      </c>
      <c r="O4135" s="311"/>
      <c r="P4135" t="str">
        <f t="shared" si="343"/>
        <v>200-3077R</v>
      </c>
      <c r="Q4135" s="315" t="str">
        <f t="shared" si="344"/>
        <v>New Vehicle</v>
      </c>
      <c r="R4135" s="315" t="str">
        <f t="shared" si="345"/>
        <v>New VehicleOther Income per NV unit</v>
      </c>
      <c r="S4135" s="199"/>
      <c r="T4135" s="199"/>
      <c r="U4135" s="199"/>
    </row>
    <row r="4136" spans="1:21" x14ac:dyDescent="0.25">
      <c r="A4136" t="s">
        <v>996</v>
      </c>
      <c r="B4136" t="s">
        <v>997</v>
      </c>
      <c r="C4136" t="s">
        <v>1012</v>
      </c>
      <c r="D4136" t="s">
        <v>1509</v>
      </c>
      <c r="E4136">
        <v>400</v>
      </c>
      <c r="F4136" t="s">
        <v>1024</v>
      </c>
      <c r="G4136" t="s">
        <v>1027</v>
      </c>
      <c r="H4136" s="315" t="s">
        <v>29</v>
      </c>
      <c r="I4136" s="315" t="s">
        <v>1026</v>
      </c>
      <c r="J4136" s="315" t="str">
        <f t="shared" si="341"/>
        <v>New VehicleOther Income per NV unit</v>
      </c>
      <c r="K4136" s="315" t="str">
        <f t="shared" si="342"/>
        <v>400New Vehicle Other Income - Toyota</v>
      </c>
      <c r="L4136" s="311">
        <f>+SUMIF('TUNZ Extracted TB'!M:M,$P4136,'TUNZ Extracted TB'!G:G)</f>
        <v>0</v>
      </c>
      <c r="M4136" s="311"/>
      <c r="N4136" s="311">
        <f>+SUMIF('Input Sheet'!$AE:$AE,P4136,'Input Sheet'!$X:$X)</f>
        <v>0</v>
      </c>
      <c r="O4136" s="311"/>
      <c r="P4136" t="str">
        <f t="shared" si="343"/>
        <v>400-3077R</v>
      </c>
      <c r="Q4136" s="315" t="str">
        <f t="shared" si="344"/>
        <v>New Vehicle</v>
      </c>
      <c r="R4136" s="315" t="str">
        <f t="shared" si="345"/>
        <v>New VehicleOther Income per NV unit</v>
      </c>
      <c r="S4136" s="199"/>
      <c r="T4136" s="199"/>
      <c r="U4136" s="199"/>
    </row>
    <row r="4137" spans="1:21" x14ac:dyDescent="0.25">
      <c r="A4137" t="s">
        <v>996</v>
      </c>
      <c r="B4137" t="s">
        <v>997</v>
      </c>
      <c r="C4137" t="s">
        <v>1013</v>
      </c>
      <c r="D4137" t="s">
        <v>1509</v>
      </c>
      <c r="E4137">
        <v>300</v>
      </c>
      <c r="F4137" t="s">
        <v>1024</v>
      </c>
      <c r="G4137" t="s">
        <v>1027</v>
      </c>
      <c r="H4137" s="315" t="s">
        <v>29</v>
      </c>
      <c r="I4137" s="315" t="s">
        <v>1026</v>
      </c>
      <c r="J4137" s="315" t="str">
        <f t="shared" si="341"/>
        <v>New VehicleOther Income per NV unit</v>
      </c>
      <c r="K4137" s="315" t="str">
        <f t="shared" si="342"/>
        <v>300New Vehicle Other Income - Toyota</v>
      </c>
      <c r="L4137" s="311">
        <f>+SUMIF('TUNZ Extracted TB'!M:M,$P4137,'TUNZ Extracted TB'!G:G)</f>
        <v>0</v>
      </c>
      <c r="M4137" s="311"/>
      <c r="N4137" s="311">
        <f>+SUMIF('Input Sheet'!$AE:$AE,P4137,'Input Sheet'!$X:$X)</f>
        <v>0</v>
      </c>
      <c r="O4137" s="311"/>
      <c r="P4137" t="str">
        <f t="shared" si="343"/>
        <v>300-3077R</v>
      </c>
      <c r="Q4137" s="315" t="str">
        <f t="shared" si="344"/>
        <v>New Vehicle</v>
      </c>
      <c r="R4137" s="315" t="str">
        <f t="shared" si="345"/>
        <v>New VehicleOther Income per NV unit</v>
      </c>
      <c r="S4137" s="199"/>
      <c r="T4137" s="199"/>
      <c r="U4137" s="199"/>
    </row>
    <row r="4138" spans="1:21" x14ac:dyDescent="0.25">
      <c r="A4138" t="s">
        <v>996</v>
      </c>
      <c r="B4138" t="s">
        <v>997</v>
      </c>
      <c r="C4138" t="s">
        <v>997</v>
      </c>
      <c r="D4138" t="s">
        <v>1508</v>
      </c>
      <c r="E4138">
        <v>170</v>
      </c>
      <c r="F4138" t="s">
        <v>1098</v>
      </c>
      <c r="G4138" t="s">
        <v>1099</v>
      </c>
      <c r="H4138" s="315" t="s">
        <v>1000</v>
      </c>
      <c r="I4138" s="315" t="s">
        <v>1001</v>
      </c>
      <c r="J4138" s="315" t="str">
        <f t="shared" si="341"/>
        <v>Admin &amp; OtherOther Overheads as % of Total Gross Profit</v>
      </c>
      <c r="K4138" s="315" t="str">
        <f t="shared" si="342"/>
        <v>170Other Income - Toyota</v>
      </c>
      <c r="L4138" s="311">
        <f>+SUMIF('TUNZ Extracted TB'!M:M,$P4138,'TUNZ Extracted TB'!G:G)</f>
        <v>0</v>
      </c>
      <c r="M4138" s="311"/>
      <c r="N4138" s="311">
        <f>+SUMIF('Input Sheet'!$AE:$AE,P4138,'Input Sheet'!$X:$X)</f>
        <v>0</v>
      </c>
      <c r="O4138" s="311"/>
      <c r="P4138" t="str">
        <f t="shared" si="343"/>
        <v>170-3076RD</v>
      </c>
      <c r="Q4138" s="315" t="str">
        <f t="shared" si="344"/>
        <v>Admin &amp; Other</v>
      </c>
      <c r="R4138" s="315" t="str">
        <f t="shared" si="345"/>
        <v>Admin &amp; OtherOther Overheads as % of Total Gross Profit</v>
      </c>
      <c r="S4138" s="199"/>
      <c r="T4138" s="199"/>
      <c r="U4138" s="199"/>
    </row>
    <row r="4139" spans="1:21" x14ac:dyDescent="0.25">
      <c r="A4139" t="s">
        <v>996</v>
      </c>
      <c r="B4139" t="s">
        <v>997</v>
      </c>
      <c r="C4139" t="s">
        <v>997</v>
      </c>
      <c r="D4139" t="s">
        <v>1509</v>
      </c>
      <c r="E4139">
        <v>110</v>
      </c>
      <c r="F4139" t="s">
        <v>1014</v>
      </c>
      <c r="G4139" t="s">
        <v>1015</v>
      </c>
      <c r="H4139" s="315" t="s">
        <v>30</v>
      </c>
      <c r="I4139" s="315" t="s">
        <v>1016</v>
      </c>
      <c r="J4139" s="315" t="str">
        <f t="shared" si="341"/>
        <v>Used VehicleEx NV demonstrators gross profit p.u.</v>
      </c>
      <c r="K4139" s="315" t="str">
        <f t="shared" si="342"/>
        <v>110Ex-Toyota NV Demonstrator revenue</v>
      </c>
      <c r="L4139" s="311">
        <f>+SUMIF('TUNZ Extracted TB'!M:M,$P4139,'TUNZ Extracted TB'!G:G)</f>
        <v>0</v>
      </c>
      <c r="M4139" s="311"/>
      <c r="N4139" s="311">
        <f>+SUMIF('Input Sheet'!$AE:$AE,P4139,'Input Sheet'!$X:$X)</f>
        <v>0</v>
      </c>
      <c r="O4139" s="311"/>
      <c r="P4139" t="str">
        <f t="shared" si="343"/>
        <v>110-3077R</v>
      </c>
      <c r="Q4139" s="315" t="str">
        <f t="shared" si="344"/>
        <v>Used Vehicle</v>
      </c>
      <c r="R4139" s="315" t="str">
        <f t="shared" si="345"/>
        <v>Used VehicleEx NV demonstrators gross profit p.u.</v>
      </c>
      <c r="S4139" s="199"/>
      <c r="T4139" s="199"/>
      <c r="U4139" s="199"/>
    </row>
    <row r="4140" spans="1:21" x14ac:dyDescent="0.25">
      <c r="A4140" t="s">
        <v>996</v>
      </c>
      <c r="B4140" t="s">
        <v>997</v>
      </c>
      <c r="C4140" t="s">
        <v>997</v>
      </c>
      <c r="D4140" t="s">
        <v>1510</v>
      </c>
      <c r="E4140">
        <v>100</v>
      </c>
      <c r="F4140" t="s">
        <v>1024</v>
      </c>
      <c r="G4140" t="s">
        <v>1027</v>
      </c>
      <c r="H4140" s="315" t="s">
        <v>29</v>
      </c>
      <c r="I4140" s="315" t="s">
        <v>1026</v>
      </c>
      <c r="J4140" s="315" t="str">
        <f t="shared" si="341"/>
        <v>New VehicleOther Income per NV unit</v>
      </c>
      <c r="K4140" s="315" t="str">
        <f t="shared" si="342"/>
        <v>100New Vehicle Other Income - Toyota</v>
      </c>
      <c r="L4140" s="311">
        <f>+SUMIF('TUNZ Extracted TB'!M:M,$P4140,'TUNZ Extracted TB'!G:G)</f>
        <v>0</v>
      </c>
      <c r="M4140" s="311"/>
      <c r="N4140" s="311">
        <f>+SUMIF('Input Sheet'!$AE:$AE,P4140,'Input Sheet'!$X:$X)</f>
        <v>0</v>
      </c>
      <c r="O4140" s="311"/>
      <c r="P4140" t="str">
        <f t="shared" si="343"/>
        <v>100-3077RD</v>
      </c>
      <c r="Q4140" s="315" t="str">
        <f t="shared" si="344"/>
        <v>New Vehicle</v>
      </c>
      <c r="R4140" s="315" t="str">
        <f t="shared" si="345"/>
        <v>New VehicleOther Income per NV unit</v>
      </c>
      <c r="S4140" s="199"/>
      <c r="T4140" s="199"/>
      <c r="U4140" s="199"/>
    </row>
    <row r="4141" spans="1:21" x14ac:dyDescent="0.25">
      <c r="A4141" t="s">
        <v>996</v>
      </c>
      <c r="B4141" t="s">
        <v>997</v>
      </c>
      <c r="C4141" t="s">
        <v>1005</v>
      </c>
      <c r="D4141" t="s">
        <v>1509</v>
      </c>
      <c r="E4141">
        <v>210</v>
      </c>
      <c r="F4141" t="s">
        <v>1014</v>
      </c>
      <c r="G4141" t="s">
        <v>1015</v>
      </c>
      <c r="H4141" s="315" t="s">
        <v>30</v>
      </c>
      <c r="I4141" s="315" t="s">
        <v>1016</v>
      </c>
      <c r="J4141" s="315" t="str">
        <f t="shared" si="341"/>
        <v>Used VehicleEx NV demonstrators gross profit p.u.</v>
      </c>
      <c r="K4141" s="315" t="str">
        <f t="shared" si="342"/>
        <v>210Ex-Toyota NV Demonstrator revenue</v>
      </c>
      <c r="L4141" s="311">
        <f>+SUMIF('TUNZ Extracted TB'!M:M,$P4141,'TUNZ Extracted TB'!G:G)</f>
        <v>0</v>
      </c>
      <c r="M4141" s="311"/>
      <c r="N4141" s="311">
        <f>+SUMIF('Input Sheet'!$AE:$AE,P4141,'Input Sheet'!$X:$X)</f>
        <v>0</v>
      </c>
      <c r="O4141" s="311"/>
      <c r="P4141" t="str">
        <f t="shared" si="343"/>
        <v>210-3077R</v>
      </c>
      <c r="Q4141" s="315" t="str">
        <f t="shared" si="344"/>
        <v>Used Vehicle</v>
      </c>
      <c r="R4141" s="315" t="str">
        <f t="shared" si="345"/>
        <v>Used VehicleEx NV demonstrators gross profit p.u.</v>
      </c>
      <c r="S4141" s="199"/>
      <c r="T4141" s="199"/>
      <c r="U4141" s="199"/>
    </row>
    <row r="4142" spans="1:21" x14ac:dyDescent="0.25">
      <c r="A4142" t="s">
        <v>996</v>
      </c>
      <c r="B4142" t="s">
        <v>997</v>
      </c>
      <c r="C4142" t="s">
        <v>1012</v>
      </c>
      <c r="D4142" t="s">
        <v>1509</v>
      </c>
      <c r="E4142">
        <v>410</v>
      </c>
      <c r="F4142" t="s">
        <v>1014</v>
      </c>
      <c r="G4142" t="s">
        <v>1015</v>
      </c>
      <c r="H4142" s="315" t="s">
        <v>30</v>
      </c>
      <c r="I4142" s="315" t="s">
        <v>1016</v>
      </c>
      <c r="J4142" s="315" t="str">
        <f t="shared" si="341"/>
        <v>Used VehicleEx NV demonstrators gross profit p.u.</v>
      </c>
      <c r="K4142" s="315" t="str">
        <f t="shared" si="342"/>
        <v>410Ex-Toyota NV Demonstrator revenue</v>
      </c>
      <c r="L4142" s="311">
        <f>+SUMIF('TUNZ Extracted TB'!M:M,$P4142,'TUNZ Extracted TB'!G:G)</f>
        <v>0</v>
      </c>
      <c r="M4142" s="311"/>
      <c r="N4142" s="311">
        <f>+SUMIF('Input Sheet'!$AE:$AE,P4142,'Input Sheet'!$X:$X)</f>
        <v>0</v>
      </c>
      <c r="O4142" s="311"/>
      <c r="P4142" t="str">
        <f t="shared" si="343"/>
        <v>410-3077R</v>
      </c>
      <c r="Q4142" s="315" t="str">
        <f t="shared" si="344"/>
        <v>Used Vehicle</v>
      </c>
      <c r="R4142" s="315" t="str">
        <f t="shared" si="345"/>
        <v>Used VehicleEx NV demonstrators gross profit p.u.</v>
      </c>
      <c r="S4142" s="199"/>
      <c r="T4142" s="199"/>
      <c r="U4142" s="199"/>
    </row>
    <row r="4143" spans="1:21" x14ac:dyDescent="0.25">
      <c r="A4143" t="s">
        <v>996</v>
      </c>
      <c r="B4143" t="s">
        <v>997</v>
      </c>
      <c r="C4143" t="s">
        <v>1013</v>
      </c>
      <c r="D4143" t="s">
        <v>1509</v>
      </c>
      <c r="E4143">
        <v>310</v>
      </c>
      <c r="F4143" t="s">
        <v>1014</v>
      </c>
      <c r="G4143" t="s">
        <v>1015</v>
      </c>
      <c r="H4143" s="315" t="s">
        <v>30</v>
      </c>
      <c r="I4143" s="315" t="s">
        <v>1016</v>
      </c>
      <c r="J4143" s="315" t="str">
        <f t="shared" si="341"/>
        <v>Used VehicleEx NV demonstrators gross profit p.u.</v>
      </c>
      <c r="K4143" s="315" t="str">
        <f t="shared" si="342"/>
        <v>310Ex-Toyota NV Demonstrator revenue</v>
      </c>
      <c r="L4143" s="311">
        <f>+SUMIF('TUNZ Extracted TB'!M:M,$P4143,'TUNZ Extracted TB'!G:G)</f>
        <v>0</v>
      </c>
      <c r="M4143" s="311"/>
      <c r="N4143" s="311">
        <f>+SUMIF('Input Sheet'!$AE:$AE,P4143,'Input Sheet'!$X:$X)</f>
        <v>0</v>
      </c>
      <c r="O4143" s="311"/>
      <c r="P4143" t="str">
        <f t="shared" si="343"/>
        <v>310-3077R</v>
      </c>
      <c r="Q4143" s="315" t="str">
        <f t="shared" si="344"/>
        <v>Used Vehicle</v>
      </c>
      <c r="R4143" s="315" t="str">
        <f t="shared" si="345"/>
        <v>Used VehicleEx NV demonstrators gross profit p.u.</v>
      </c>
      <c r="S4143" s="199"/>
      <c r="T4143" s="199"/>
      <c r="U4143" s="199"/>
    </row>
    <row r="4144" spans="1:21" x14ac:dyDescent="0.25">
      <c r="A4144" t="s">
        <v>996</v>
      </c>
      <c r="B4144" t="s">
        <v>997</v>
      </c>
      <c r="C4144" t="s">
        <v>1005</v>
      </c>
      <c r="D4144" t="s">
        <v>1510</v>
      </c>
      <c r="E4144">
        <v>200</v>
      </c>
      <c r="F4144" t="s">
        <v>1024</v>
      </c>
      <c r="G4144" t="s">
        <v>1027</v>
      </c>
      <c r="H4144" s="315" t="s">
        <v>29</v>
      </c>
      <c r="I4144" s="315" t="s">
        <v>1026</v>
      </c>
      <c r="J4144" s="315" t="str">
        <f t="shared" si="341"/>
        <v>New VehicleOther Income per NV unit</v>
      </c>
      <c r="K4144" s="315" t="str">
        <f t="shared" si="342"/>
        <v>200New Vehicle Other Income - Toyota</v>
      </c>
      <c r="L4144" s="311">
        <f>+SUMIF('TUNZ Extracted TB'!M:M,$P4144,'TUNZ Extracted TB'!G:G)</f>
        <v>0</v>
      </c>
      <c r="M4144" s="311"/>
      <c r="N4144" s="311">
        <f>+SUMIF('Input Sheet'!$AE:$AE,P4144,'Input Sheet'!$X:$X)</f>
        <v>0</v>
      </c>
      <c r="O4144" s="311"/>
      <c r="P4144" t="str">
        <f t="shared" si="343"/>
        <v>200-3077RD</v>
      </c>
      <c r="Q4144" s="315" t="str">
        <f t="shared" si="344"/>
        <v>New Vehicle</v>
      </c>
      <c r="R4144" s="315" t="str">
        <f t="shared" si="345"/>
        <v>New VehicleOther Income per NV unit</v>
      </c>
      <c r="S4144" s="199"/>
      <c r="T4144" s="199"/>
      <c r="U4144" s="199"/>
    </row>
    <row r="4145" spans="1:21" x14ac:dyDescent="0.25">
      <c r="A4145" t="s">
        <v>996</v>
      </c>
      <c r="B4145" t="s">
        <v>997</v>
      </c>
      <c r="C4145" t="s">
        <v>1012</v>
      </c>
      <c r="D4145" t="s">
        <v>1510</v>
      </c>
      <c r="E4145">
        <v>400</v>
      </c>
      <c r="F4145" t="s">
        <v>1024</v>
      </c>
      <c r="G4145" t="s">
        <v>1027</v>
      </c>
      <c r="H4145" s="315" t="s">
        <v>29</v>
      </c>
      <c r="I4145" s="315" t="s">
        <v>1026</v>
      </c>
      <c r="J4145" s="315" t="str">
        <f t="shared" si="341"/>
        <v>New VehicleOther Income per NV unit</v>
      </c>
      <c r="K4145" s="315" t="str">
        <f t="shared" si="342"/>
        <v>400New Vehicle Other Income - Toyota</v>
      </c>
      <c r="L4145" s="311">
        <f>+SUMIF('TUNZ Extracted TB'!M:M,$P4145,'TUNZ Extracted TB'!G:G)</f>
        <v>0</v>
      </c>
      <c r="M4145" s="311"/>
      <c r="N4145" s="311">
        <f>+SUMIF('Input Sheet'!$AE:$AE,P4145,'Input Sheet'!$X:$X)</f>
        <v>0</v>
      </c>
      <c r="O4145" s="311"/>
      <c r="P4145" t="str">
        <f t="shared" si="343"/>
        <v>400-3077RD</v>
      </c>
      <c r="Q4145" s="315" t="str">
        <f t="shared" si="344"/>
        <v>New Vehicle</v>
      </c>
      <c r="R4145" s="315" t="str">
        <f t="shared" si="345"/>
        <v>New VehicleOther Income per NV unit</v>
      </c>
      <c r="S4145" s="199"/>
      <c r="T4145" s="199"/>
      <c r="U4145" s="199"/>
    </row>
    <row r="4146" spans="1:21" x14ac:dyDescent="0.25">
      <c r="A4146" t="s">
        <v>996</v>
      </c>
      <c r="B4146" t="s">
        <v>997</v>
      </c>
      <c r="C4146" t="s">
        <v>1013</v>
      </c>
      <c r="D4146" t="s">
        <v>1510</v>
      </c>
      <c r="E4146">
        <v>300</v>
      </c>
      <c r="F4146" t="s">
        <v>1024</v>
      </c>
      <c r="G4146" t="s">
        <v>1027</v>
      </c>
      <c r="H4146" s="315" t="s">
        <v>29</v>
      </c>
      <c r="I4146" s="315" t="s">
        <v>1026</v>
      </c>
      <c r="J4146" s="315" t="str">
        <f t="shared" si="341"/>
        <v>New VehicleOther Income per NV unit</v>
      </c>
      <c r="K4146" s="315" t="str">
        <f t="shared" si="342"/>
        <v>300New Vehicle Other Income - Toyota</v>
      </c>
      <c r="L4146" s="311">
        <f>+SUMIF('TUNZ Extracted TB'!M:M,$P4146,'TUNZ Extracted TB'!G:G)</f>
        <v>0</v>
      </c>
      <c r="M4146" s="311"/>
      <c r="N4146" s="311">
        <f>+SUMIF('Input Sheet'!$AE:$AE,P4146,'Input Sheet'!$X:$X)</f>
        <v>0</v>
      </c>
      <c r="O4146" s="311"/>
      <c r="P4146" t="str">
        <f t="shared" si="343"/>
        <v>300-3077RD</v>
      </c>
      <c r="Q4146" s="315" t="str">
        <f t="shared" si="344"/>
        <v>New Vehicle</v>
      </c>
      <c r="R4146" s="315" t="str">
        <f t="shared" si="345"/>
        <v>New VehicleOther Income per NV unit</v>
      </c>
      <c r="S4146" s="199"/>
      <c r="T4146" s="199"/>
      <c r="U4146" s="199"/>
    </row>
    <row r="4147" spans="1:21" x14ac:dyDescent="0.25">
      <c r="A4147" t="s">
        <v>996</v>
      </c>
      <c r="B4147" t="s">
        <v>997</v>
      </c>
      <c r="C4147" t="s">
        <v>997</v>
      </c>
      <c r="D4147" t="s">
        <v>1509</v>
      </c>
      <c r="E4147">
        <v>170</v>
      </c>
      <c r="F4147" t="s">
        <v>1098</v>
      </c>
      <c r="G4147" t="s">
        <v>1099</v>
      </c>
      <c r="H4147" s="315" t="s">
        <v>1000</v>
      </c>
      <c r="I4147" s="315" t="s">
        <v>1001</v>
      </c>
      <c r="J4147" s="315" t="str">
        <f t="shared" si="341"/>
        <v>Admin &amp; OtherOther Overheads as % of Total Gross Profit</v>
      </c>
      <c r="K4147" s="315" t="str">
        <f t="shared" si="342"/>
        <v>170Other Income - Toyota</v>
      </c>
      <c r="L4147" s="311">
        <f>+SUMIF('TUNZ Extracted TB'!M:M,$P4147,'TUNZ Extracted TB'!G:G)</f>
        <v>0</v>
      </c>
      <c r="M4147" s="311"/>
      <c r="N4147" s="311">
        <f>+SUMIF('Input Sheet'!$AE:$AE,P4147,'Input Sheet'!$X:$X)</f>
        <v>0</v>
      </c>
      <c r="O4147" s="311"/>
      <c r="P4147" t="str">
        <f t="shared" si="343"/>
        <v>170-3077R</v>
      </c>
      <c r="Q4147" s="315" t="str">
        <f t="shared" si="344"/>
        <v>Admin &amp; Other</v>
      </c>
      <c r="R4147" s="315" t="str">
        <f t="shared" si="345"/>
        <v>Admin &amp; OtherOther Overheads as % of Total Gross Profit</v>
      </c>
      <c r="S4147" s="199"/>
      <c r="T4147" s="199"/>
      <c r="U4147" s="199"/>
    </row>
    <row r="4148" spans="1:21" x14ac:dyDescent="0.25">
      <c r="A4148" t="s">
        <v>996</v>
      </c>
      <c r="B4148" t="s">
        <v>997</v>
      </c>
      <c r="C4148" t="s">
        <v>997</v>
      </c>
      <c r="D4148" t="s">
        <v>1510</v>
      </c>
      <c r="E4148">
        <v>110</v>
      </c>
      <c r="F4148" t="s">
        <v>1014</v>
      </c>
      <c r="G4148" t="s">
        <v>1015</v>
      </c>
      <c r="H4148" s="315" t="s">
        <v>30</v>
      </c>
      <c r="I4148" s="315" t="s">
        <v>1016</v>
      </c>
      <c r="J4148" s="315" t="str">
        <f t="shared" si="341"/>
        <v>Used VehicleEx NV demonstrators gross profit p.u.</v>
      </c>
      <c r="K4148" s="315" t="str">
        <f t="shared" si="342"/>
        <v>110Ex-Toyota NV Demonstrator revenue</v>
      </c>
      <c r="L4148" s="311">
        <f>+SUMIF('TUNZ Extracted TB'!M:M,$P4148,'TUNZ Extracted TB'!G:G)</f>
        <v>0</v>
      </c>
      <c r="M4148" s="311"/>
      <c r="N4148" s="311">
        <f>+SUMIF('Input Sheet'!$AE:$AE,P4148,'Input Sheet'!$X:$X)</f>
        <v>0</v>
      </c>
      <c r="O4148" s="311"/>
      <c r="P4148" t="str">
        <f t="shared" si="343"/>
        <v>110-3077RD</v>
      </c>
      <c r="Q4148" s="315" t="str">
        <f t="shared" si="344"/>
        <v>Used Vehicle</v>
      </c>
      <c r="R4148" s="315" t="str">
        <f t="shared" si="345"/>
        <v>Used VehicleEx NV demonstrators gross profit p.u.</v>
      </c>
      <c r="S4148" s="199"/>
      <c r="T4148" s="199"/>
      <c r="U4148" s="199"/>
    </row>
    <row r="4149" spans="1:21" x14ac:dyDescent="0.25">
      <c r="A4149" t="s">
        <v>996</v>
      </c>
      <c r="B4149" t="s">
        <v>997</v>
      </c>
      <c r="C4149" t="s">
        <v>997</v>
      </c>
      <c r="D4149" t="s">
        <v>1511</v>
      </c>
      <c r="E4149">
        <v>100</v>
      </c>
      <c r="F4149" t="s">
        <v>1024</v>
      </c>
      <c r="G4149" t="s">
        <v>1027</v>
      </c>
      <c r="H4149" s="315" t="s">
        <v>29</v>
      </c>
      <c r="I4149" s="315" t="s">
        <v>1026</v>
      </c>
      <c r="J4149" s="315" t="str">
        <f t="shared" si="341"/>
        <v>New VehicleOther Income per NV unit</v>
      </c>
      <c r="K4149" s="315" t="str">
        <f t="shared" si="342"/>
        <v>100New Vehicle Other Income - Toyota</v>
      </c>
      <c r="L4149" s="311">
        <f>+SUMIF('TUNZ Extracted TB'!M:M,$P4149,'TUNZ Extracted TB'!G:G)</f>
        <v>0</v>
      </c>
      <c r="M4149" s="311"/>
      <c r="N4149" s="311">
        <f>+SUMIF('Input Sheet'!$AE:$AE,P4149,'Input Sheet'!$X:$X)</f>
        <v>0</v>
      </c>
      <c r="O4149" s="311"/>
      <c r="P4149" t="str">
        <f t="shared" si="343"/>
        <v>100-3078R</v>
      </c>
      <c r="Q4149" s="315" t="str">
        <f t="shared" si="344"/>
        <v>New Vehicle</v>
      </c>
      <c r="R4149" s="315" t="str">
        <f t="shared" si="345"/>
        <v>New VehicleOther Income per NV unit</v>
      </c>
      <c r="S4149" s="199"/>
      <c r="T4149" s="199"/>
      <c r="U4149" s="199"/>
    </row>
    <row r="4150" spans="1:21" x14ac:dyDescent="0.25">
      <c r="A4150" t="s">
        <v>996</v>
      </c>
      <c r="B4150" t="s">
        <v>997</v>
      </c>
      <c r="C4150" t="s">
        <v>1005</v>
      </c>
      <c r="D4150" t="s">
        <v>1510</v>
      </c>
      <c r="E4150">
        <v>210</v>
      </c>
      <c r="F4150" t="s">
        <v>1014</v>
      </c>
      <c r="G4150" t="s">
        <v>1015</v>
      </c>
      <c r="H4150" s="315" t="s">
        <v>30</v>
      </c>
      <c r="I4150" s="315" t="s">
        <v>1016</v>
      </c>
      <c r="J4150" s="315" t="str">
        <f t="shared" si="341"/>
        <v>Used VehicleEx NV demonstrators gross profit p.u.</v>
      </c>
      <c r="K4150" s="315" t="str">
        <f t="shared" si="342"/>
        <v>210Ex-Toyota NV Demonstrator revenue</v>
      </c>
      <c r="L4150" s="311">
        <f>+SUMIF('TUNZ Extracted TB'!M:M,$P4150,'TUNZ Extracted TB'!G:G)</f>
        <v>0</v>
      </c>
      <c r="M4150" s="311"/>
      <c r="N4150" s="311">
        <f>+SUMIF('Input Sheet'!$AE:$AE,P4150,'Input Sheet'!$X:$X)</f>
        <v>0</v>
      </c>
      <c r="O4150" s="311"/>
      <c r="P4150" t="str">
        <f t="shared" si="343"/>
        <v>210-3077RD</v>
      </c>
      <c r="Q4150" s="315" t="str">
        <f t="shared" si="344"/>
        <v>Used Vehicle</v>
      </c>
      <c r="R4150" s="315" t="str">
        <f t="shared" si="345"/>
        <v>Used VehicleEx NV demonstrators gross profit p.u.</v>
      </c>
      <c r="S4150" s="199"/>
      <c r="T4150" s="199"/>
      <c r="U4150" s="199"/>
    </row>
    <row r="4151" spans="1:21" x14ac:dyDescent="0.25">
      <c r="A4151" t="s">
        <v>996</v>
      </c>
      <c r="B4151" t="s">
        <v>997</v>
      </c>
      <c r="C4151" t="s">
        <v>1012</v>
      </c>
      <c r="D4151" t="s">
        <v>1510</v>
      </c>
      <c r="E4151">
        <v>410</v>
      </c>
      <c r="F4151" t="s">
        <v>1014</v>
      </c>
      <c r="G4151" t="s">
        <v>1015</v>
      </c>
      <c r="H4151" s="315" t="s">
        <v>30</v>
      </c>
      <c r="I4151" s="315" t="s">
        <v>1016</v>
      </c>
      <c r="J4151" s="315" t="str">
        <f t="shared" si="341"/>
        <v>Used VehicleEx NV demonstrators gross profit p.u.</v>
      </c>
      <c r="K4151" s="315" t="str">
        <f t="shared" si="342"/>
        <v>410Ex-Toyota NV Demonstrator revenue</v>
      </c>
      <c r="L4151" s="311">
        <f>+SUMIF('TUNZ Extracted TB'!M:M,$P4151,'TUNZ Extracted TB'!G:G)</f>
        <v>0</v>
      </c>
      <c r="M4151" s="311"/>
      <c r="N4151" s="311">
        <f>+SUMIF('Input Sheet'!$AE:$AE,P4151,'Input Sheet'!$X:$X)</f>
        <v>0</v>
      </c>
      <c r="O4151" s="311"/>
      <c r="P4151" t="str">
        <f t="shared" si="343"/>
        <v>410-3077RD</v>
      </c>
      <c r="Q4151" s="315" t="str">
        <f t="shared" si="344"/>
        <v>Used Vehicle</v>
      </c>
      <c r="R4151" s="315" t="str">
        <f t="shared" si="345"/>
        <v>Used VehicleEx NV demonstrators gross profit p.u.</v>
      </c>
      <c r="S4151" s="199"/>
      <c r="T4151" s="199"/>
      <c r="U4151" s="199"/>
    </row>
    <row r="4152" spans="1:21" x14ac:dyDescent="0.25">
      <c r="A4152" t="s">
        <v>996</v>
      </c>
      <c r="B4152" t="s">
        <v>997</v>
      </c>
      <c r="C4152" t="s">
        <v>1013</v>
      </c>
      <c r="D4152" t="s">
        <v>1510</v>
      </c>
      <c r="E4152">
        <v>310</v>
      </c>
      <c r="F4152" t="s">
        <v>1014</v>
      </c>
      <c r="G4152" t="s">
        <v>1015</v>
      </c>
      <c r="H4152" s="315" t="s">
        <v>30</v>
      </c>
      <c r="I4152" s="315" t="s">
        <v>1016</v>
      </c>
      <c r="J4152" s="315" t="str">
        <f t="shared" si="341"/>
        <v>Used VehicleEx NV demonstrators gross profit p.u.</v>
      </c>
      <c r="K4152" s="315" t="str">
        <f t="shared" si="342"/>
        <v>310Ex-Toyota NV Demonstrator revenue</v>
      </c>
      <c r="L4152" s="311">
        <f>+SUMIF('TUNZ Extracted TB'!M:M,$P4152,'TUNZ Extracted TB'!G:G)</f>
        <v>0</v>
      </c>
      <c r="M4152" s="311"/>
      <c r="N4152" s="311">
        <f>+SUMIF('Input Sheet'!$AE:$AE,P4152,'Input Sheet'!$X:$X)</f>
        <v>0</v>
      </c>
      <c r="O4152" s="311"/>
      <c r="P4152" t="str">
        <f t="shared" si="343"/>
        <v>310-3077RD</v>
      </c>
      <c r="Q4152" s="315" t="str">
        <f t="shared" si="344"/>
        <v>Used Vehicle</v>
      </c>
      <c r="R4152" s="315" t="str">
        <f t="shared" si="345"/>
        <v>Used VehicleEx NV demonstrators gross profit p.u.</v>
      </c>
      <c r="S4152" s="199"/>
      <c r="T4152" s="199"/>
      <c r="U4152" s="199"/>
    </row>
    <row r="4153" spans="1:21" x14ac:dyDescent="0.25">
      <c r="A4153" t="s">
        <v>996</v>
      </c>
      <c r="B4153" t="s">
        <v>997</v>
      </c>
      <c r="C4153" t="s">
        <v>1005</v>
      </c>
      <c r="D4153" t="s">
        <v>1511</v>
      </c>
      <c r="E4153">
        <v>200</v>
      </c>
      <c r="F4153" t="s">
        <v>1024</v>
      </c>
      <c r="G4153" t="s">
        <v>1027</v>
      </c>
      <c r="H4153" s="315" t="s">
        <v>29</v>
      </c>
      <c r="I4153" s="315" t="s">
        <v>1026</v>
      </c>
      <c r="J4153" s="315" t="str">
        <f t="shared" si="341"/>
        <v>New VehicleOther Income per NV unit</v>
      </c>
      <c r="K4153" s="315" t="str">
        <f t="shared" si="342"/>
        <v>200New Vehicle Other Income - Toyota</v>
      </c>
      <c r="L4153" s="311">
        <f>+SUMIF('TUNZ Extracted TB'!M:M,$P4153,'TUNZ Extracted TB'!G:G)</f>
        <v>0</v>
      </c>
      <c r="M4153" s="311"/>
      <c r="N4153" s="311">
        <f>+SUMIF('Input Sheet'!$AE:$AE,P4153,'Input Sheet'!$X:$X)</f>
        <v>0</v>
      </c>
      <c r="O4153" s="311"/>
      <c r="P4153" t="str">
        <f t="shared" si="343"/>
        <v>200-3078R</v>
      </c>
      <c r="Q4153" s="315" t="str">
        <f t="shared" si="344"/>
        <v>New Vehicle</v>
      </c>
      <c r="R4153" s="315" t="str">
        <f t="shared" si="345"/>
        <v>New VehicleOther Income per NV unit</v>
      </c>
      <c r="S4153" s="199"/>
      <c r="T4153" s="199"/>
      <c r="U4153" s="199"/>
    </row>
    <row r="4154" spans="1:21" x14ac:dyDescent="0.25">
      <c r="A4154" t="s">
        <v>996</v>
      </c>
      <c r="B4154" t="s">
        <v>997</v>
      </c>
      <c r="C4154" t="s">
        <v>1012</v>
      </c>
      <c r="D4154" t="s">
        <v>1511</v>
      </c>
      <c r="E4154">
        <v>400</v>
      </c>
      <c r="F4154" t="s">
        <v>1024</v>
      </c>
      <c r="G4154" t="s">
        <v>1027</v>
      </c>
      <c r="H4154" s="315" t="s">
        <v>29</v>
      </c>
      <c r="I4154" s="315" t="s">
        <v>1026</v>
      </c>
      <c r="J4154" s="315" t="str">
        <f t="shared" si="341"/>
        <v>New VehicleOther Income per NV unit</v>
      </c>
      <c r="K4154" s="315" t="str">
        <f t="shared" si="342"/>
        <v>400New Vehicle Other Income - Toyota</v>
      </c>
      <c r="L4154" s="311">
        <f>+SUMIF('TUNZ Extracted TB'!M:M,$P4154,'TUNZ Extracted TB'!G:G)</f>
        <v>0</v>
      </c>
      <c r="M4154" s="311"/>
      <c r="N4154" s="311">
        <f>+SUMIF('Input Sheet'!$AE:$AE,P4154,'Input Sheet'!$X:$X)</f>
        <v>0</v>
      </c>
      <c r="O4154" s="311"/>
      <c r="P4154" t="str">
        <f t="shared" si="343"/>
        <v>400-3078R</v>
      </c>
      <c r="Q4154" s="315" t="str">
        <f t="shared" si="344"/>
        <v>New Vehicle</v>
      </c>
      <c r="R4154" s="315" t="str">
        <f t="shared" si="345"/>
        <v>New VehicleOther Income per NV unit</v>
      </c>
      <c r="S4154" s="199"/>
      <c r="T4154" s="199"/>
      <c r="U4154" s="199"/>
    </row>
    <row r="4155" spans="1:21" x14ac:dyDescent="0.25">
      <c r="A4155" t="s">
        <v>996</v>
      </c>
      <c r="B4155" t="s">
        <v>997</v>
      </c>
      <c r="C4155" t="s">
        <v>1013</v>
      </c>
      <c r="D4155" t="s">
        <v>1511</v>
      </c>
      <c r="E4155">
        <v>300</v>
      </c>
      <c r="F4155" t="s">
        <v>1024</v>
      </c>
      <c r="G4155" t="s">
        <v>1027</v>
      </c>
      <c r="H4155" s="315" t="s">
        <v>29</v>
      </c>
      <c r="I4155" s="315" t="s">
        <v>1026</v>
      </c>
      <c r="J4155" s="315" t="str">
        <f t="shared" si="341"/>
        <v>New VehicleOther Income per NV unit</v>
      </c>
      <c r="K4155" s="315" t="str">
        <f t="shared" si="342"/>
        <v>300New Vehicle Other Income - Toyota</v>
      </c>
      <c r="L4155" s="311">
        <f>+SUMIF('TUNZ Extracted TB'!M:M,$P4155,'TUNZ Extracted TB'!G:G)</f>
        <v>0</v>
      </c>
      <c r="M4155" s="311"/>
      <c r="N4155" s="311">
        <f>+SUMIF('Input Sheet'!$AE:$AE,P4155,'Input Sheet'!$X:$X)</f>
        <v>0</v>
      </c>
      <c r="O4155" s="311"/>
      <c r="P4155" t="str">
        <f t="shared" si="343"/>
        <v>300-3078R</v>
      </c>
      <c r="Q4155" s="315" t="str">
        <f t="shared" si="344"/>
        <v>New Vehicle</v>
      </c>
      <c r="R4155" s="315" t="str">
        <f t="shared" si="345"/>
        <v>New VehicleOther Income per NV unit</v>
      </c>
      <c r="S4155" s="199"/>
      <c r="T4155" s="199"/>
      <c r="U4155" s="199"/>
    </row>
    <row r="4156" spans="1:21" x14ac:dyDescent="0.25">
      <c r="A4156" t="s">
        <v>996</v>
      </c>
      <c r="B4156" t="s">
        <v>997</v>
      </c>
      <c r="C4156" t="s">
        <v>997</v>
      </c>
      <c r="D4156" t="s">
        <v>1510</v>
      </c>
      <c r="E4156">
        <v>170</v>
      </c>
      <c r="F4156" t="s">
        <v>1098</v>
      </c>
      <c r="G4156" t="s">
        <v>1099</v>
      </c>
      <c r="H4156" s="315" t="s">
        <v>1000</v>
      </c>
      <c r="I4156" s="315" t="s">
        <v>1001</v>
      </c>
      <c r="J4156" s="315" t="str">
        <f t="shared" si="341"/>
        <v>Admin &amp; OtherOther Overheads as % of Total Gross Profit</v>
      </c>
      <c r="K4156" s="315" t="str">
        <f t="shared" si="342"/>
        <v>170Other Income - Toyota</v>
      </c>
      <c r="L4156" s="311">
        <f>+SUMIF('TUNZ Extracted TB'!M:M,$P4156,'TUNZ Extracted TB'!G:G)</f>
        <v>0</v>
      </c>
      <c r="M4156" s="311"/>
      <c r="N4156" s="311">
        <f>+SUMIF('Input Sheet'!$AE:$AE,P4156,'Input Sheet'!$X:$X)</f>
        <v>0</v>
      </c>
      <c r="O4156" s="311"/>
      <c r="P4156" t="str">
        <f t="shared" si="343"/>
        <v>170-3077RD</v>
      </c>
      <c r="Q4156" s="315" t="str">
        <f t="shared" si="344"/>
        <v>Admin &amp; Other</v>
      </c>
      <c r="R4156" s="315" t="str">
        <f t="shared" si="345"/>
        <v>Admin &amp; OtherOther Overheads as % of Total Gross Profit</v>
      </c>
      <c r="S4156" s="199"/>
      <c r="T4156" s="199"/>
      <c r="U4156" s="199"/>
    </row>
    <row r="4157" spans="1:21" x14ac:dyDescent="0.25">
      <c r="A4157" t="s">
        <v>996</v>
      </c>
      <c r="B4157" t="s">
        <v>997</v>
      </c>
      <c r="C4157" t="s">
        <v>997</v>
      </c>
      <c r="D4157" t="s">
        <v>1511</v>
      </c>
      <c r="E4157">
        <v>110</v>
      </c>
      <c r="F4157" t="s">
        <v>1014</v>
      </c>
      <c r="G4157" t="s">
        <v>1015</v>
      </c>
      <c r="H4157" s="315" t="s">
        <v>30</v>
      </c>
      <c r="I4157" s="315" t="s">
        <v>1016</v>
      </c>
      <c r="J4157" s="315" t="str">
        <f t="shared" si="341"/>
        <v>Used VehicleEx NV demonstrators gross profit p.u.</v>
      </c>
      <c r="K4157" s="315" t="str">
        <f t="shared" si="342"/>
        <v>110Ex-Toyota NV Demonstrator revenue</v>
      </c>
      <c r="L4157" s="311">
        <f>+SUMIF('TUNZ Extracted TB'!M:M,$P4157,'TUNZ Extracted TB'!G:G)</f>
        <v>0</v>
      </c>
      <c r="M4157" s="311"/>
      <c r="N4157" s="311">
        <f>+SUMIF('Input Sheet'!$AE:$AE,P4157,'Input Sheet'!$X:$X)</f>
        <v>0</v>
      </c>
      <c r="O4157" s="311"/>
      <c r="P4157" t="str">
        <f t="shared" si="343"/>
        <v>110-3078R</v>
      </c>
      <c r="Q4157" s="315" t="str">
        <f t="shared" si="344"/>
        <v>Used Vehicle</v>
      </c>
      <c r="R4157" s="315" t="str">
        <f t="shared" si="345"/>
        <v>Used VehicleEx NV demonstrators gross profit p.u.</v>
      </c>
      <c r="S4157" s="199"/>
      <c r="T4157" s="199"/>
      <c r="U4157" s="199"/>
    </row>
    <row r="4158" spans="1:21" x14ac:dyDescent="0.25">
      <c r="A4158" t="s">
        <v>996</v>
      </c>
      <c r="B4158" t="s">
        <v>997</v>
      </c>
      <c r="C4158" t="s">
        <v>997</v>
      </c>
      <c r="D4158" t="s">
        <v>574</v>
      </c>
      <c r="E4158">
        <v>100</v>
      </c>
      <c r="F4158" t="s">
        <v>1024</v>
      </c>
      <c r="G4158" t="s">
        <v>1027</v>
      </c>
      <c r="H4158" s="315" t="s">
        <v>29</v>
      </c>
      <c r="I4158" s="315" t="s">
        <v>1026</v>
      </c>
      <c r="J4158" s="315" t="str">
        <f t="shared" si="341"/>
        <v>New VehicleOther Income per NV unit</v>
      </c>
      <c r="K4158" s="315" t="str">
        <f t="shared" si="342"/>
        <v>100New Vehicle Other Income - Toyota</v>
      </c>
      <c r="L4158" s="311">
        <f>+SUMIF('TUNZ Extracted TB'!M:M,$P4158,'TUNZ Extracted TB'!G:G)</f>
        <v>0</v>
      </c>
      <c r="M4158" s="311"/>
      <c r="N4158" s="311">
        <f>+SUMIF('Input Sheet'!$AE:$AE,P4158,'Input Sheet'!$X:$X)</f>
        <v>0</v>
      </c>
      <c r="O4158" s="311"/>
      <c r="P4158" t="str">
        <f t="shared" si="343"/>
        <v>100-3080R</v>
      </c>
      <c r="Q4158" s="315" t="str">
        <f t="shared" si="344"/>
        <v>New Vehicle</v>
      </c>
      <c r="R4158" s="315" t="str">
        <f t="shared" si="345"/>
        <v>New VehicleOther Income per NV unit</v>
      </c>
      <c r="S4158" s="199"/>
      <c r="T4158" s="199"/>
      <c r="U4158" s="199"/>
    </row>
    <row r="4159" spans="1:21" x14ac:dyDescent="0.25">
      <c r="A4159" t="s">
        <v>996</v>
      </c>
      <c r="B4159" t="s">
        <v>997</v>
      </c>
      <c r="C4159" t="s">
        <v>1005</v>
      </c>
      <c r="D4159" t="s">
        <v>1511</v>
      </c>
      <c r="E4159">
        <v>210</v>
      </c>
      <c r="F4159" t="s">
        <v>1014</v>
      </c>
      <c r="G4159" t="s">
        <v>1015</v>
      </c>
      <c r="H4159" s="315" t="s">
        <v>30</v>
      </c>
      <c r="I4159" s="315" t="s">
        <v>1016</v>
      </c>
      <c r="J4159" s="315" t="str">
        <f t="shared" si="341"/>
        <v>Used VehicleEx NV demonstrators gross profit p.u.</v>
      </c>
      <c r="K4159" s="315" t="str">
        <f t="shared" si="342"/>
        <v>210Ex-Toyota NV Demonstrator revenue</v>
      </c>
      <c r="L4159" s="311">
        <f>+SUMIF('TUNZ Extracted TB'!M:M,$P4159,'TUNZ Extracted TB'!G:G)</f>
        <v>0</v>
      </c>
      <c r="M4159" s="311"/>
      <c r="N4159" s="311">
        <f>+SUMIF('Input Sheet'!$AE:$AE,P4159,'Input Sheet'!$X:$X)</f>
        <v>0</v>
      </c>
      <c r="O4159" s="311"/>
      <c r="P4159" t="str">
        <f t="shared" si="343"/>
        <v>210-3078R</v>
      </c>
      <c r="Q4159" s="315" t="str">
        <f t="shared" si="344"/>
        <v>Used Vehicle</v>
      </c>
      <c r="R4159" s="315" t="str">
        <f t="shared" si="345"/>
        <v>Used VehicleEx NV demonstrators gross profit p.u.</v>
      </c>
      <c r="S4159" s="199"/>
      <c r="T4159" s="199"/>
      <c r="U4159" s="199"/>
    </row>
    <row r="4160" spans="1:21" x14ac:dyDescent="0.25">
      <c r="A4160" t="s">
        <v>996</v>
      </c>
      <c r="B4160" t="s">
        <v>997</v>
      </c>
      <c r="C4160" t="s">
        <v>1012</v>
      </c>
      <c r="D4160" t="s">
        <v>1511</v>
      </c>
      <c r="E4160">
        <v>410</v>
      </c>
      <c r="F4160" t="s">
        <v>1014</v>
      </c>
      <c r="G4160" t="s">
        <v>1015</v>
      </c>
      <c r="H4160" s="315" t="s">
        <v>30</v>
      </c>
      <c r="I4160" s="315" t="s">
        <v>1016</v>
      </c>
      <c r="J4160" s="315" t="str">
        <f t="shared" si="341"/>
        <v>Used VehicleEx NV demonstrators gross profit p.u.</v>
      </c>
      <c r="K4160" s="315" t="str">
        <f t="shared" si="342"/>
        <v>410Ex-Toyota NV Demonstrator revenue</v>
      </c>
      <c r="L4160" s="311">
        <f>+SUMIF('TUNZ Extracted TB'!M:M,$P4160,'TUNZ Extracted TB'!G:G)</f>
        <v>0</v>
      </c>
      <c r="M4160" s="311"/>
      <c r="N4160" s="311">
        <f>+SUMIF('Input Sheet'!$AE:$AE,P4160,'Input Sheet'!$X:$X)</f>
        <v>0</v>
      </c>
      <c r="O4160" s="311"/>
      <c r="P4160" t="str">
        <f t="shared" si="343"/>
        <v>410-3078R</v>
      </c>
      <c r="Q4160" s="315" t="str">
        <f t="shared" si="344"/>
        <v>Used Vehicle</v>
      </c>
      <c r="R4160" s="315" t="str">
        <f t="shared" si="345"/>
        <v>Used VehicleEx NV demonstrators gross profit p.u.</v>
      </c>
      <c r="S4160" s="199"/>
      <c r="T4160" s="199"/>
      <c r="U4160" s="199"/>
    </row>
    <row r="4161" spans="1:21" x14ac:dyDescent="0.25">
      <c r="A4161" t="s">
        <v>996</v>
      </c>
      <c r="B4161" t="s">
        <v>997</v>
      </c>
      <c r="C4161" t="s">
        <v>1013</v>
      </c>
      <c r="D4161" t="s">
        <v>1511</v>
      </c>
      <c r="E4161">
        <v>310</v>
      </c>
      <c r="F4161" t="s">
        <v>1014</v>
      </c>
      <c r="G4161" t="s">
        <v>1015</v>
      </c>
      <c r="H4161" s="315" t="s">
        <v>30</v>
      </c>
      <c r="I4161" s="315" t="s">
        <v>1016</v>
      </c>
      <c r="J4161" s="315" t="str">
        <f t="shared" si="341"/>
        <v>Used VehicleEx NV demonstrators gross profit p.u.</v>
      </c>
      <c r="K4161" s="315" t="str">
        <f t="shared" si="342"/>
        <v>310Ex-Toyota NV Demonstrator revenue</v>
      </c>
      <c r="L4161" s="311">
        <f>+SUMIF('TUNZ Extracted TB'!M:M,$P4161,'TUNZ Extracted TB'!G:G)</f>
        <v>0</v>
      </c>
      <c r="M4161" s="311"/>
      <c r="N4161" s="311">
        <f>+SUMIF('Input Sheet'!$AE:$AE,P4161,'Input Sheet'!$X:$X)</f>
        <v>0</v>
      </c>
      <c r="O4161" s="311"/>
      <c r="P4161" t="str">
        <f t="shared" si="343"/>
        <v>310-3078R</v>
      </c>
      <c r="Q4161" s="315" t="str">
        <f t="shared" si="344"/>
        <v>Used Vehicle</v>
      </c>
      <c r="R4161" s="315" t="str">
        <f t="shared" si="345"/>
        <v>Used VehicleEx NV demonstrators gross profit p.u.</v>
      </c>
      <c r="S4161" s="199"/>
      <c r="T4161" s="199"/>
      <c r="U4161" s="199"/>
    </row>
    <row r="4162" spans="1:21" x14ac:dyDescent="0.25">
      <c r="A4162" t="s">
        <v>996</v>
      </c>
      <c r="B4162" t="s">
        <v>997</v>
      </c>
      <c r="C4162" t="s">
        <v>1012</v>
      </c>
      <c r="D4162" t="s">
        <v>574</v>
      </c>
      <c r="E4162">
        <v>400</v>
      </c>
      <c r="F4162" t="s">
        <v>1024</v>
      </c>
      <c r="G4162" t="s">
        <v>1027</v>
      </c>
      <c r="H4162" s="315" t="s">
        <v>29</v>
      </c>
      <c r="I4162" s="315" t="s">
        <v>1026</v>
      </c>
      <c r="J4162" s="315" t="str">
        <f t="shared" si="341"/>
        <v>New VehicleOther Income per NV unit</v>
      </c>
      <c r="K4162" s="315" t="str">
        <f t="shared" si="342"/>
        <v>400New Vehicle Other Income - Toyota</v>
      </c>
      <c r="L4162" s="311">
        <f>+SUMIF('TUNZ Extracted TB'!M:M,$P4162,'TUNZ Extracted TB'!G:G)</f>
        <v>0</v>
      </c>
      <c r="M4162" s="311"/>
      <c r="N4162" s="311">
        <f>+SUMIF('Input Sheet'!$AE:$AE,P4162,'Input Sheet'!$X:$X)</f>
        <v>0</v>
      </c>
      <c r="O4162" s="311"/>
      <c r="P4162" t="str">
        <f t="shared" si="343"/>
        <v>400-3080R</v>
      </c>
      <c r="Q4162" s="315" t="str">
        <f t="shared" si="344"/>
        <v>New Vehicle</v>
      </c>
      <c r="R4162" s="315" t="str">
        <f t="shared" si="345"/>
        <v>New VehicleOther Income per NV unit</v>
      </c>
      <c r="S4162" s="199"/>
      <c r="T4162" s="199"/>
      <c r="U4162" s="199"/>
    </row>
    <row r="4163" spans="1:21" x14ac:dyDescent="0.25">
      <c r="A4163" t="s">
        <v>996</v>
      </c>
      <c r="B4163" t="s">
        <v>997</v>
      </c>
      <c r="C4163" t="s">
        <v>1013</v>
      </c>
      <c r="D4163" t="s">
        <v>574</v>
      </c>
      <c r="E4163">
        <v>300</v>
      </c>
      <c r="F4163" t="s">
        <v>1024</v>
      </c>
      <c r="G4163" t="s">
        <v>1027</v>
      </c>
      <c r="H4163" s="315" t="s">
        <v>29</v>
      </c>
      <c r="I4163" s="315" t="s">
        <v>1026</v>
      </c>
      <c r="J4163" s="315" t="str">
        <f t="shared" ref="J4163:J4226" si="346">+H4163&amp;I4163</f>
        <v>New VehicleOther Income per NV unit</v>
      </c>
      <c r="K4163" s="315" t="str">
        <f t="shared" ref="K4163:K4226" si="347">+E4163&amp;G4163</f>
        <v>300New Vehicle Other Income - Toyota</v>
      </c>
      <c r="L4163" s="311">
        <f>+SUMIF('TUNZ Extracted TB'!M:M,$P4163,'TUNZ Extracted TB'!G:G)</f>
        <v>0</v>
      </c>
      <c r="M4163" s="311"/>
      <c r="N4163" s="311">
        <f>+SUMIF('Input Sheet'!$AE:$AE,P4163,'Input Sheet'!$X:$X)</f>
        <v>0</v>
      </c>
      <c r="O4163" s="311"/>
      <c r="P4163" t="str">
        <f t="shared" ref="P4163:P4226" si="348">+E4163&amp;"-"&amp;D4163</f>
        <v>300-3080R</v>
      </c>
      <c r="Q4163" s="315" t="str">
        <f t="shared" ref="Q4163:Q4226" si="349">H4163</f>
        <v>New Vehicle</v>
      </c>
      <c r="R4163" s="315" t="str">
        <f t="shared" ref="R4163:R4226" si="350">J4163</f>
        <v>New VehicleOther Income per NV unit</v>
      </c>
      <c r="S4163" s="199"/>
      <c r="T4163" s="199"/>
      <c r="U4163" s="199"/>
    </row>
    <row r="4164" spans="1:21" x14ac:dyDescent="0.25">
      <c r="A4164" t="s">
        <v>996</v>
      </c>
      <c r="B4164" t="s">
        <v>997</v>
      </c>
      <c r="C4164" t="s">
        <v>1005</v>
      </c>
      <c r="D4164" t="s">
        <v>574</v>
      </c>
      <c r="E4164">
        <v>200</v>
      </c>
      <c r="F4164" t="s">
        <v>1024</v>
      </c>
      <c r="G4164" t="s">
        <v>1027</v>
      </c>
      <c r="H4164" s="315" t="s">
        <v>29</v>
      </c>
      <c r="I4164" s="315" t="s">
        <v>1026</v>
      </c>
      <c r="J4164" s="315" t="str">
        <f t="shared" si="346"/>
        <v>New VehicleOther Income per NV unit</v>
      </c>
      <c r="K4164" s="315" t="str">
        <f t="shared" si="347"/>
        <v>200New Vehicle Other Income - Toyota</v>
      </c>
      <c r="L4164" s="311">
        <f>+SUMIF('TUNZ Extracted TB'!M:M,$P4164,'TUNZ Extracted TB'!G:G)</f>
        <v>0</v>
      </c>
      <c r="M4164" s="311"/>
      <c r="N4164" s="311">
        <f>+SUMIF('Input Sheet'!$AE:$AE,P4164,'Input Sheet'!$X:$X)</f>
        <v>0</v>
      </c>
      <c r="O4164" s="311"/>
      <c r="P4164" t="str">
        <f t="shared" si="348"/>
        <v>200-3080R</v>
      </c>
      <c r="Q4164" s="315" t="str">
        <f t="shared" si="349"/>
        <v>New Vehicle</v>
      </c>
      <c r="R4164" s="315" t="str">
        <f t="shared" si="350"/>
        <v>New VehicleOther Income per NV unit</v>
      </c>
      <c r="S4164" s="199"/>
      <c r="T4164" s="199"/>
      <c r="U4164" s="199"/>
    </row>
    <row r="4165" spans="1:21" x14ac:dyDescent="0.25">
      <c r="A4165" t="s">
        <v>996</v>
      </c>
      <c r="B4165" t="s">
        <v>997</v>
      </c>
      <c r="C4165" t="s">
        <v>997</v>
      </c>
      <c r="D4165" t="s">
        <v>1511</v>
      </c>
      <c r="E4165">
        <v>170</v>
      </c>
      <c r="F4165" t="s">
        <v>1098</v>
      </c>
      <c r="G4165" t="s">
        <v>1099</v>
      </c>
      <c r="H4165" s="315" t="s">
        <v>1000</v>
      </c>
      <c r="I4165" s="315" t="s">
        <v>1001</v>
      </c>
      <c r="J4165" s="315" t="str">
        <f t="shared" si="346"/>
        <v>Admin &amp; OtherOther Overheads as % of Total Gross Profit</v>
      </c>
      <c r="K4165" s="315" t="str">
        <f t="shared" si="347"/>
        <v>170Other Income - Toyota</v>
      </c>
      <c r="L4165" s="311">
        <f>+SUMIF('TUNZ Extracted TB'!M:M,$P4165,'TUNZ Extracted TB'!G:G)</f>
        <v>0</v>
      </c>
      <c r="M4165" s="311"/>
      <c r="N4165" s="311">
        <f>+SUMIF('Input Sheet'!$AE:$AE,P4165,'Input Sheet'!$X:$X)</f>
        <v>0</v>
      </c>
      <c r="O4165" s="311"/>
      <c r="P4165" t="str">
        <f t="shared" si="348"/>
        <v>170-3078R</v>
      </c>
      <c r="Q4165" s="315" t="str">
        <f t="shared" si="349"/>
        <v>Admin &amp; Other</v>
      </c>
      <c r="R4165" s="315" t="str">
        <f t="shared" si="350"/>
        <v>Admin &amp; OtherOther Overheads as % of Total Gross Profit</v>
      </c>
      <c r="S4165" s="199"/>
      <c r="T4165" s="199"/>
      <c r="U4165" s="199"/>
    </row>
    <row r="4166" spans="1:21" x14ac:dyDescent="0.25">
      <c r="A4166" t="s">
        <v>996</v>
      </c>
      <c r="B4166" t="s">
        <v>997</v>
      </c>
      <c r="C4166" t="s">
        <v>997</v>
      </c>
      <c r="D4166" t="s">
        <v>1512</v>
      </c>
      <c r="E4166">
        <v>100</v>
      </c>
      <c r="F4166" t="s">
        <v>1014</v>
      </c>
      <c r="G4166" t="s">
        <v>1015</v>
      </c>
      <c r="H4166" s="315" t="s">
        <v>30</v>
      </c>
      <c r="I4166" s="315" t="s">
        <v>1016</v>
      </c>
      <c r="J4166" s="315" t="str">
        <f t="shared" si="346"/>
        <v>Used VehicleEx NV demonstrators gross profit p.u.</v>
      </c>
      <c r="K4166" s="315" t="str">
        <f t="shared" si="347"/>
        <v>100Ex-Toyota NV Demonstrator revenue</v>
      </c>
      <c r="L4166" s="311">
        <f>+SUMIF('TUNZ Extracted TB'!M:M,$P4166,'TUNZ Extracted TB'!G:G)</f>
        <v>0</v>
      </c>
      <c r="M4166" s="311"/>
      <c r="N4166" s="311">
        <f>+SUMIF('Input Sheet'!$AE:$AE,P4166,'Input Sheet'!$X:$X)</f>
        <v>0</v>
      </c>
      <c r="O4166" s="311"/>
      <c r="P4166" t="str">
        <f t="shared" si="348"/>
        <v>100-3078RD</v>
      </c>
      <c r="Q4166" s="315" t="str">
        <f t="shared" si="349"/>
        <v>Used Vehicle</v>
      </c>
      <c r="R4166" s="315" t="str">
        <f t="shared" si="350"/>
        <v>Used VehicleEx NV demonstrators gross profit p.u.</v>
      </c>
      <c r="S4166" s="199"/>
      <c r="T4166" s="199"/>
      <c r="U4166" s="199"/>
    </row>
    <row r="4167" spans="1:21" x14ac:dyDescent="0.25">
      <c r="A4167" t="s">
        <v>996</v>
      </c>
      <c r="B4167" t="s">
        <v>997</v>
      </c>
      <c r="C4167" t="s">
        <v>997</v>
      </c>
      <c r="D4167" t="s">
        <v>1512</v>
      </c>
      <c r="E4167">
        <v>110</v>
      </c>
      <c r="F4167" t="s">
        <v>1014</v>
      </c>
      <c r="G4167" t="s">
        <v>1015</v>
      </c>
      <c r="H4167" s="315" t="s">
        <v>30</v>
      </c>
      <c r="I4167" s="315" t="s">
        <v>1016</v>
      </c>
      <c r="J4167" s="315" t="str">
        <f t="shared" si="346"/>
        <v>Used VehicleEx NV demonstrators gross profit p.u.</v>
      </c>
      <c r="K4167" s="315" t="str">
        <f t="shared" si="347"/>
        <v>110Ex-Toyota NV Demonstrator revenue</v>
      </c>
      <c r="L4167" s="311">
        <f>+SUMIF('TUNZ Extracted TB'!M:M,$P4167,'TUNZ Extracted TB'!G:G)</f>
        <v>0</v>
      </c>
      <c r="M4167" s="311"/>
      <c r="N4167" s="311">
        <f>+SUMIF('Input Sheet'!$AE:$AE,P4167,'Input Sheet'!$X:$X)</f>
        <v>0</v>
      </c>
      <c r="O4167" s="311"/>
      <c r="P4167" t="str">
        <f t="shared" si="348"/>
        <v>110-3078RD</v>
      </c>
      <c r="Q4167" s="315" t="str">
        <f t="shared" si="349"/>
        <v>Used Vehicle</v>
      </c>
      <c r="R4167" s="315" t="str">
        <f t="shared" si="350"/>
        <v>Used VehicleEx NV demonstrators gross profit p.u.</v>
      </c>
      <c r="S4167" s="199"/>
      <c r="T4167" s="199"/>
      <c r="U4167" s="199"/>
    </row>
    <row r="4168" spans="1:21" x14ac:dyDescent="0.25">
      <c r="A4168" t="s">
        <v>996</v>
      </c>
      <c r="B4168" t="s">
        <v>997</v>
      </c>
      <c r="C4168" t="s">
        <v>1005</v>
      </c>
      <c r="D4168" t="s">
        <v>1512</v>
      </c>
      <c r="E4168">
        <v>200</v>
      </c>
      <c r="F4168" t="s">
        <v>1014</v>
      </c>
      <c r="G4168" t="s">
        <v>1015</v>
      </c>
      <c r="H4168" s="315" t="s">
        <v>30</v>
      </c>
      <c r="I4168" s="315" t="s">
        <v>1016</v>
      </c>
      <c r="J4168" s="315" t="str">
        <f t="shared" si="346"/>
        <v>Used VehicleEx NV demonstrators gross profit p.u.</v>
      </c>
      <c r="K4168" s="315" t="str">
        <f t="shared" si="347"/>
        <v>200Ex-Toyota NV Demonstrator revenue</v>
      </c>
      <c r="L4168" s="311">
        <f>+SUMIF('TUNZ Extracted TB'!M:M,$P4168,'TUNZ Extracted TB'!G:G)</f>
        <v>0</v>
      </c>
      <c r="M4168" s="311"/>
      <c r="N4168" s="311">
        <f>+SUMIF('Input Sheet'!$AE:$AE,P4168,'Input Sheet'!$X:$X)</f>
        <v>0</v>
      </c>
      <c r="O4168" s="311"/>
      <c r="P4168" t="str">
        <f t="shared" si="348"/>
        <v>200-3078RD</v>
      </c>
      <c r="Q4168" s="315" t="str">
        <f t="shared" si="349"/>
        <v>Used Vehicle</v>
      </c>
      <c r="R4168" s="315" t="str">
        <f t="shared" si="350"/>
        <v>Used VehicleEx NV demonstrators gross profit p.u.</v>
      </c>
      <c r="S4168" s="199"/>
      <c r="T4168" s="199"/>
      <c r="U4168" s="199"/>
    </row>
    <row r="4169" spans="1:21" x14ac:dyDescent="0.25">
      <c r="A4169" t="s">
        <v>996</v>
      </c>
      <c r="B4169" t="s">
        <v>997</v>
      </c>
      <c r="C4169" t="s">
        <v>1005</v>
      </c>
      <c r="D4169" t="s">
        <v>1512</v>
      </c>
      <c r="E4169">
        <v>210</v>
      </c>
      <c r="F4169" t="s">
        <v>1014</v>
      </c>
      <c r="G4169" t="s">
        <v>1015</v>
      </c>
      <c r="H4169" s="315" t="s">
        <v>30</v>
      </c>
      <c r="I4169" s="315" t="s">
        <v>1016</v>
      </c>
      <c r="J4169" s="315" t="str">
        <f t="shared" si="346"/>
        <v>Used VehicleEx NV demonstrators gross profit p.u.</v>
      </c>
      <c r="K4169" s="315" t="str">
        <f t="shared" si="347"/>
        <v>210Ex-Toyota NV Demonstrator revenue</v>
      </c>
      <c r="L4169" s="311">
        <f>+SUMIF('TUNZ Extracted TB'!M:M,$P4169,'TUNZ Extracted TB'!G:G)</f>
        <v>0</v>
      </c>
      <c r="M4169" s="311"/>
      <c r="N4169" s="311">
        <f>+SUMIF('Input Sheet'!$AE:$AE,P4169,'Input Sheet'!$X:$X)</f>
        <v>0</v>
      </c>
      <c r="O4169" s="311"/>
      <c r="P4169" t="str">
        <f t="shared" si="348"/>
        <v>210-3078RD</v>
      </c>
      <c r="Q4169" s="315" t="str">
        <f t="shared" si="349"/>
        <v>Used Vehicle</v>
      </c>
      <c r="R4169" s="315" t="str">
        <f t="shared" si="350"/>
        <v>Used VehicleEx NV demonstrators gross profit p.u.</v>
      </c>
      <c r="S4169" s="199"/>
      <c r="T4169" s="199"/>
      <c r="U4169" s="199"/>
    </row>
    <row r="4170" spans="1:21" x14ac:dyDescent="0.25">
      <c r="A4170" t="s">
        <v>996</v>
      </c>
      <c r="B4170" t="s">
        <v>997</v>
      </c>
      <c r="C4170" t="s">
        <v>1012</v>
      </c>
      <c r="D4170" t="s">
        <v>1512</v>
      </c>
      <c r="E4170">
        <v>400</v>
      </c>
      <c r="F4170" t="s">
        <v>1014</v>
      </c>
      <c r="G4170" t="s">
        <v>1015</v>
      </c>
      <c r="H4170" s="315" t="s">
        <v>30</v>
      </c>
      <c r="I4170" s="315" t="s">
        <v>1016</v>
      </c>
      <c r="J4170" s="315" t="str">
        <f t="shared" si="346"/>
        <v>Used VehicleEx NV demonstrators gross profit p.u.</v>
      </c>
      <c r="K4170" s="315" t="str">
        <f t="shared" si="347"/>
        <v>400Ex-Toyota NV Demonstrator revenue</v>
      </c>
      <c r="L4170" s="311">
        <f>+SUMIF('TUNZ Extracted TB'!M:M,$P4170,'TUNZ Extracted TB'!G:G)</f>
        <v>0</v>
      </c>
      <c r="M4170" s="311"/>
      <c r="N4170" s="311">
        <f>+SUMIF('Input Sheet'!$AE:$AE,P4170,'Input Sheet'!$X:$X)</f>
        <v>0</v>
      </c>
      <c r="O4170" s="311"/>
      <c r="P4170" t="str">
        <f t="shared" si="348"/>
        <v>400-3078RD</v>
      </c>
      <c r="Q4170" s="315" t="str">
        <f t="shared" si="349"/>
        <v>Used Vehicle</v>
      </c>
      <c r="R4170" s="315" t="str">
        <f t="shared" si="350"/>
        <v>Used VehicleEx NV demonstrators gross profit p.u.</v>
      </c>
      <c r="S4170" s="199"/>
      <c r="T4170" s="199"/>
      <c r="U4170" s="199"/>
    </row>
    <row r="4171" spans="1:21" x14ac:dyDescent="0.25">
      <c r="A4171" t="s">
        <v>996</v>
      </c>
      <c r="B4171" t="s">
        <v>997</v>
      </c>
      <c r="C4171" t="s">
        <v>1012</v>
      </c>
      <c r="D4171" t="s">
        <v>1512</v>
      </c>
      <c r="E4171">
        <v>410</v>
      </c>
      <c r="F4171" t="s">
        <v>1014</v>
      </c>
      <c r="G4171" t="s">
        <v>1015</v>
      </c>
      <c r="H4171" s="315" t="s">
        <v>30</v>
      </c>
      <c r="I4171" s="315" t="s">
        <v>1016</v>
      </c>
      <c r="J4171" s="315" t="str">
        <f t="shared" si="346"/>
        <v>Used VehicleEx NV demonstrators gross profit p.u.</v>
      </c>
      <c r="K4171" s="315" t="str">
        <f t="shared" si="347"/>
        <v>410Ex-Toyota NV Demonstrator revenue</v>
      </c>
      <c r="L4171" s="311">
        <f>+SUMIF('TUNZ Extracted TB'!M:M,$P4171,'TUNZ Extracted TB'!G:G)</f>
        <v>0</v>
      </c>
      <c r="M4171" s="311"/>
      <c r="N4171" s="311">
        <f>+SUMIF('Input Sheet'!$AE:$AE,P4171,'Input Sheet'!$X:$X)</f>
        <v>0</v>
      </c>
      <c r="O4171" s="311"/>
      <c r="P4171" t="str">
        <f t="shared" si="348"/>
        <v>410-3078RD</v>
      </c>
      <c r="Q4171" s="315" t="str">
        <f t="shared" si="349"/>
        <v>Used Vehicle</v>
      </c>
      <c r="R4171" s="315" t="str">
        <f t="shared" si="350"/>
        <v>Used VehicleEx NV demonstrators gross profit p.u.</v>
      </c>
      <c r="S4171" s="199"/>
      <c r="T4171" s="199"/>
      <c r="U4171" s="199"/>
    </row>
    <row r="4172" spans="1:21" x14ac:dyDescent="0.25">
      <c r="A4172" t="s">
        <v>996</v>
      </c>
      <c r="B4172" t="s">
        <v>997</v>
      </c>
      <c r="C4172" t="s">
        <v>1013</v>
      </c>
      <c r="D4172" t="s">
        <v>1512</v>
      </c>
      <c r="E4172">
        <v>300</v>
      </c>
      <c r="F4172" t="s">
        <v>1014</v>
      </c>
      <c r="G4172" t="s">
        <v>1015</v>
      </c>
      <c r="H4172" s="315" t="s">
        <v>30</v>
      </c>
      <c r="I4172" s="315" t="s">
        <v>1016</v>
      </c>
      <c r="J4172" s="315" t="str">
        <f t="shared" si="346"/>
        <v>Used VehicleEx NV demonstrators gross profit p.u.</v>
      </c>
      <c r="K4172" s="315" t="str">
        <f t="shared" si="347"/>
        <v>300Ex-Toyota NV Demonstrator revenue</v>
      </c>
      <c r="L4172" s="311">
        <f>+SUMIF('TUNZ Extracted TB'!M:M,$P4172,'TUNZ Extracted TB'!G:G)</f>
        <v>0</v>
      </c>
      <c r="M4172" s="311"/>
      <c r="N4172" s="311">
        <f>+SUMIF('Input Sheet'!$AE:$AE,P4172,'Input Sheet'!$X:$X)</f>
        <v>0</v>
      </c>
      <c r="O4172" s="311"/>
      <c r="P4172" t="str">
        <f t="shared" si="348"/>
        <v>300-3078RD</v>
      </c>
      <c r="Q4172" s="315" t="str">
        <f t="shared" si="349"/>
        <v>Used Vehicle</v>
      </c>
      <c r="R4172" s="315" t="str">
        <f t="shared" si="350"/>
        <v>Used VehicleEx NV demonstrators gross profit p.u.</v>
      </c>
      <c r="S4172" s="199"/>
      <c r="T4172" s="199"/>
      <c r="U4172" s="199"/>
    </row>
    <row r="4173" spans="1:21" x14ac:dyDescent="0.25">
      <c r="A4173" t="s">
        <v>996</v>
      </c>
      <c r="B4173" t="s">
        <v>997</v>
      </c>
      <c r="C4173" t="s">
        <v>1013</v>
      </c>
      <c r="D4173" t="s">
        <v>1512</v>
      </c>
      <c r="E4173">
        <v>310</v>
      </c>
      <c r="F4173" t="s">
        <v>1014</v>
      </c>
      <c r="G4173" t="s">
        <v>1015</v>
      </c>
      <c r="H4173" s="315" t="s">
        <v>30</v>
      </c>
      <c r="I4173" s="315" t="s">
        <v>1016</v>
      </c>
      <c r="J4173" s="315" t="str">
        <f t="shared" si="346"/>
        <v>Used VehicleEx NV demonstrators gross profit p.u.</v>
      </c>
      <c r="K4173" s="315" t="str">
        <f t="shared" si="347"/>
        <v>310Ex-Toyota NV Demonstrator revenue</v>
      </c>
      <c r="L4173" s="311">
        <f>+SUMIF('TUNZ Extracted TB'!M:M,$P4173,'TUNZ Extracted TB'!G:G)</f>
        <v>0</v>
      </c>
      <c r="M4173" s="311"/>
      <c r="N4173" s="311">
        <f>+SUMIF('Input Sheet'!$AE:$AE,P4173,'Input Sheet'!$X:$X)</f>
        <v>0</v>
      </c>
      <c r="O4173" s="311"/>
      <c r="P4173" t="str">
        <f t="shared" si="348"/>
        <v>310-3078RD</v>
      </c>
      <c r="Q4173" s="315" t="str">
        <f t="shared" si="349"/>
        <v>Used Vehicle</v>
      </c>
      <c r="R4173" s="315" t="str">
        <f t="shared" si="350"/>
        <v>Used VehicleEx NV demonstrators gross profit p.u.</v>
      </c>
      <c r="S4173" s="199"/>
      <c r="T4173" s="199"/>
      <c r="U4173" s="199"/>
    </row>
    <row r="4174" spans="1:21" x14ac:dyDescent="0.25">
      <c r="A4174" t="s">
        <v>996</v>
      </c>
      <c r="B4174" t="s">
        <v>997</v>
      </c>
      <c r="C4174" t="s">
        <v>997</v>
      </c>
      <c r="D4174" t="s">
        <v>576</v>
      </c>
      <c r="E4174">
        <v>100</v>
      </c>
      <c r="F4174" t="s">
        <v>1024</v>
      </c>
      <c r="G4174" t="s">
        <v>1027</v>
      </c>
      <c r="H4174" s="315" t="s">
        <v>29</v>
      </c>
      <c r="I4174" s="315" t="s">
        <v>1026</v>
      </c>
      <c r="J4174" s="315" t="str">
        <f t="shared" si="346"/>
        <v>New VehicleOther Income per NV unit</v>
      </c>
      <c r="K4174" s="315" t="str">
        <f t="shared" si="347"/>
        <v>100New Vehicle Other Income - Toyota</v>
      </c>
      <c r="L4174" s="311">
        <f>+SUMIF('TUNZ Extracted TB'!M:M,$P4174,'TUNZ Extracted TB'!G:G)</f>
        <v>0</v>
      </c>
      <c r="M4174" s="311"/>
      <c r="N4174" s="311">
        <f>+SUMIF('Input Sheet'!$AE:$AE,P4174,'Input Sheet'!$X:$X)</f>
        <v>0</v>
      </c>
      <c r="O4174" s="311"/>
      <c r="P4174" t="str">
        <f t="shared" si="348"/>
        <v>100-3080RD</v>
      </c>
      <c r="Q4174" s="315" t="str">
        <f t="shared" si="349"/>
        <v>New Vehicle</v>
      </c>
      <c r="R4174" s="315" t="str">
        <f t="shared" si="350"/>
        <v>New VehicleOther Income per NV unit</v>
      </c>
      <c r="S4174" s="199"/>
      <c r="T4174" s="199"/>
      <c r="U4174" s="199"/>
    </row>
    <row r="4175" spans="1:21" x14ac:dyDescent="0.25">
      <c r="A4175" t="s">
        <v>996</v>
      </c>
      <c r="B4175" t="s">
        <v>997</v>
      </c>
      <c r="C4175" t="s">
        <v>997</v>
      </c>
      <c r="D4175" t="s">
        <v>574</v>
      </c>
      <c r="E4175">
        <v>110</v>
      </c>
      <c r="F4175" t="s">
        <v>1014</v>
      </c>
      <c r="G4175" t="s">
        <v>1015</v>
      </c>
      <c r="H4175" s="315" t="s">
        <v>30</v>
      </c>
      <c r="I4175" s="315" t="s">
        <v>1016</v>
      </c>
      <c r="J4175" s="315" t="str">
        <f t="shared" si="346"/>
        <v>Used VehicleEx NV demonstrators gross profit p.u.</v>
      </c>
      <c r="K4175" s="315" t="str">
        <f t="shared" si="347"/>
        <v>110Ex-Toyota NV Demonstrator revenue</v>
      </c>
      <c r="L4175" s="311">
        <f>+SUMIF('TUNZ Extracted TB'!M:M,$P4175,'TUNZ Extracted TB'!G:G)</f>
        <v>0</v>
      </c>
      <c r="M4175" s="311"/>
      <c r="N4175" s="311">
        <f>+SUMIF('Input Sheet'!$AE:$AE,P4175,'Input Sheet'!$X:$X)</f>
        <v>0</v>
      </c>
      <c r="O4175" s="311"/>
      <c r="P4175" t="str">
        <f t="shared" si="348"/>
        <v>110-3080R</v>
      </c>
      <c r="Q4175" s="315" t="str">
        <f t="shared" si="349"/>
        <v>Used Vehicle</v>
      </c>
      <c r="R4175" s="315" t="str">
        <f t="shared" si="350"/>
        <v>Used VehicleEx NV demonstrators gross profit p.u.</v>
      </c>
      <c r="S4175" s="199"/>
      <c r="T4175" s="199"/>
      <c r="U4175" s="199"/>
    </row>
    <row r="4176" spans="1:21" x14ac:dyDescent="0.25">
      <c r="A4176" t="s">
        <v>996</v>
      </c>
      <c r="B4176" t="s">
        <v>997</v>
      </c>
      <c r="C4176" t="s">
        <v>1012</v>
      </c>
      <c r="D4176" t="s">
        <v>574</v>
      </c>
      <c r="E4176">
        <v>410</v>
      </c>
      <c r="F4176" t="s">
        <v>1014</v>
      </c>
      <c r="G4176" t="s">
        <v>1015</v>
      </c>
      <c r="H4176" s="315" t="s">
        <v>30</v>
      </c>
      <c r="I4176" s="315" t="s">
        <v>1016</v>
      </c>
      <c r="J4176" s="315" t="str">
        <f t="shared" si="346"/>
        <v>Used VehicleEx NV demonstrators gross profit p.u.</v>
      </c>
      <c r="K4176" s="315" t="str">
        <f t="shared" si="347"/>
        <v>410Ex-Toyota NV Demonstrator revenue</v>
      </c>
      <c r="L4176" s="311">
        <f>+SUMIF('TUNZ Extracted TB'!M:M,$P4176,'TUNZ Extracted TB'!G:G)</f>
        <v>0</v>
      </c>
      <c r="M4176" s="311"/>
      <c r="N4176" s="311">
        <f>+SUMIF('Input Sheet'!$AE:$AE,P4176,'Input Sheet'!$X:$X)</f>
        <v>0</v>
      </c>
      <c r="O4176" s="311"/>
      <c r="P4176" t="str">
        <f t="shared" si="348"/>
        <v>410-3080R</v>
      </c>
      <c r="Q4176" s="315" t="str">
        <f t="shared" si="349"/>
        <v>Used Vehicle</v>
      </c>
      <c r="R4176" s="315" t="str">
        <f t="shared" si="350"/>
        <v>Used VehicleEx NV demonstrators gross profit p.u.</v>
      </c>
      <c r="S4176" s="199"/>
      <c r="T4176" s="199"/>
      <c r="U4176" s="199"/>
    </row>
    <row r="4177" spans="1:21" x14ac:dyDescent="0.25">
      <c r="A4177" t="s">
        <v>996</v>
      </c>
      <c r="B4177" t="s">
        <v>997</v>
      </c>
      <c r="C4177" t="s">
        <v>1013</v>
      </c>
      <c r="D4177" t="s">
        <v>574</v>
      </c>
      <c r="E4177">
        <v>310</v>
      </c>
      <c r="F4177" t="s">
        <v>1014</v>
      </c>
      <c r="G4177" t="s">
        <v>1015</v>
      </c>
      <c r="H4177" s="315" t="s">
        <v>30</v>
      </c>
      <c r="I4177" s="315" t="s">
        <v>1016</v>
      </c>
      <c r="J4177" s="315" t="str">
        <f t="shared" si="346"/>
        <v>Used VehicleEx NV demonstrators gross profit p.u.</v>
      </c>
      <c r="K4177" s="315" t="str">
        <f t="shared" si="347"/>
        <v>310Ex-Toyota NV Demonstrator revenue</v>
      </c>
      <c r="L4177" s="311">
        <f>+SUMIF('TUNZ Extracted TB'!M:M,$P4177,'TUNZ Extracted TB'!G:G)</f>
        <v>0</v>
      </c>
      <c r="M4177" s="311"/>
      <c r="N4177" s="311">
        <f>+SUMIF('Input Sheet'!$AE:$AE,P4177,'Input Sheet'!$X:$X)</f>
        <v>0</v>
      </c>
      <c r="O4177" s="311"/>
      <c r="P4177" t="str">
        <f t="shared" si="348"/>
        <v>310-3080R</v>
      </c>
      <c r="Q4177" s="315" t="str">
        <f t="shared" si="349"/>
        <v>Used Vehicle</v>
      </c>
      <c r="R4177" s="315" t="str">
        <f t="shared" si="350"/>
        <v>Used VehicleEx NV demonstrators gross profit p.u.</v>
      </c>
      <c r="S4177" s="199"/>
      <c r="T4177" s="199"/>
      <c r="U4177" s="199"/>
    </row>
    <row r="4178" spans="1:21" x14ac:dyDescent="0.25">
      <c r="A4178" t="s">
        <v>996</v>
      </c>
      <c r="B4178" t="s">
        <v>997</v>
      </c>
      <c r="C4178" t="s">
        <v>1005</v>
      </c>
      <c r="D4178" t="s">
        <v>574</v>
      </c>
      <c r="E4178">
        <v>210</v>
      </c>
      <c r="F4178" t="s">
        <v>1014</v>
      </c>
      <c r="G4178" t="s">
        <v>1015</v>
      </c>
      <c r="H4178" s="315" t="s">
        <v>30</v>
      </c>
      <c r="I4178" s="315" t="s">
        <v>1016</v>
      </c>
      <c r="J4178" s="315" t="str">
        <f t="shared" si="346"/>
        <v>Used VehicleEx NV demonstrators gross profit p.u.</v>
      </c>
      <c r="K4178" s="315" t="str">
        <f t="shared" si="347"/>
        <v>210Ex-Toyota NV Demonstrator revenue</v>
      </c>
      <c r="L4178" s="311">
        <f>+SUMIF('TUNZ Extracted TB'!M:M,$P4178,'TUNZ Extracted TB'!G:G)</f>
        <v>0</v>
      </c>
      <c r="M4178" s="311"/>
      <c r="N4178" s="311">
        <f>+SUMIF('Input Sheet'!$AE:$AE,P4178,'Input Sheet'!$X:$X)</f>
        <v>0</v>
      </c>
      <c r="O4178" s="311"/>
      <c r="P4178" t="str">
        <f t="shared" si="348"/>
        <v>210-3080R</v>
      </c>
      <c r="Q4178" s="315" t="str">
        <f t="shared" si="349"/>
        <v>Used Vehicle</v>
      </c>
      <c r="R4178" s="315" t="str">
        <f t="shared" si="350"/>
        <v>Used VehicleEx NV demonstrators gross profit p.u.</v>
      </c>
      <c r="S4178" s="199"/>
      <c r="T4178" s="199"/>
      <c r="U4178" s="199"/>
    </row>
    <row r="4179" spans="1:21" x14ac:dyDescent="0.25">
      <c r="A4179" t="s">
        <v>996</v>
      </c>
      <c r="B4179" t="s">
        <v>997</v>
      </c>
      <c r="C4179" t="s">
        <v>1005</v>
      </c>
      <c r="D4179" t="s">
        <v>576</v>
      </c>
      <c r="E4179">
        <v>200</v>
      </c>
      <c r="F4179" t="s">
        <v>1024</v>
      </c>
      <c r="G4179" t="s">
        <v>1027</v>
      </c>
      <c r="H4179" s="315" t="s">
        <v>29</v>
      </c>
      <c r="I4179" s="315" t="s">
        <v>1026</v>
      </c>
      <c r="J4179" s="315" t="str">
        <f t="shared" si="346"/>
        <v>New VehicleOther Income per NV unit</v>
      </c>
      <c r="K4179" s="315" t="str">
        <f t="shared" si="347"/>
        <v>200New Vehicle Other Income - Toyota</v>
      </c>
      <c r="L4179" s="311">
        <f>+SUMIF('TUNZ Extracted TB'!M:M,$P4179,'TUNZ Extracted TB'!G:G)</f>
        <v>0</v>
      </c>
      <c r="M4179" s="311"/>
      <c r="N4179" s="311">
        <f>+SUMIF('Input Sheet'!$AE:$AE,P4179,'Input Sheet'!$X:$X)</f>
        <v>0</v>
      </c>
      <c r="O4179" s="311"/>
      <c r="P4179" t="str">
        <f t="shared" si="348"/>
        <v>200-3080RD</v>
      </c>
      <c r="Q4179" s="315" t="str">
        <f t="shared" si="349"/>
        <v>New Vehicle</v>
      </c>
      <c r="R4179" s="315" t="str">
        <f t="shared" si="350"/>
        <v>New VehicleOther Income per NV unit</v>
      </c>
      <c r="S4179" s="199"/>
      <c r="T4179" s="199"/>
      <c r="U4179" s="199"/>
    </row>
    <row r="4180" spans="1:21" x14ac:dyDescent="0.25">
      <c r="A4180" t="s">
        <v>996</v>
      </c>
      <c r="B4180" t="s">
        <v>997</v>
      </c>
      <c r="C4180" t="s">
        <v>1012</v>
      </c>
      <c r="D4180" t="s">
        <v>576</v>
      </c>
      <c r="E4180">
        <v>400</v>
      </c>
      <c r="F4180" t="s">
        <v>1024</v>
      </c>
      <c r="G4180" t="s">
        <v>1027</v>
      </c>
      <c r="H4180" s="315" t="s">
        <v>29</v>
      </c>
      <c r="I4180" s="315" t="s">
        <v>1026</v>
      </c>
      <c r="J4180" s="315" t="str">
        <f t="shared" si="346"/>
        <v>New VehicleOther Income per NV unit</v>
      </c>
      <c r="K4180" s="315" t="str">
        <f t="shared" si="347"/>
        <v>400New Vehicle Other Income - Toyota</v>
      </c>
      <c r="L4180" s="311">
        <f>+SUMIF('TUNZ Extracted TB'!M:M,$P4180,'TUNZ Extracted TB'!G:G)</f>
        <v>0</v>
      </c>
      <c r="M4180" s="311"/>
      <c r="N4180" s="311">
        <f>+SUMIF('Input Sheet'!$AE:$AE,P4180,'Input Sheet'!$X:$X)</f>
        <v>0</v>
      </c>
      <c r="O4180" s="311"/>
      <c r="P4180" t="str">
        <f t="shared" si="348"/>
        <v>400-3080RD</v>
      </c>
      <c r="Q4180" s="315" t="str">
        <f t="shared" si="349"/>
        <v>New Vehicle</v>
      </c>
      <c r="R4180" s="315" t="str">
        <f t="shared" si="350"/>
        <v>New VehicleOther Income per NV unit</v>
      </c>
      <c r="S4180" s="199"/>
      <c r="T4180" s="199"/>
      <c r="U4180" s="199"/>
    </row>
    <row r="4181" spans="1:21" x14ac:dyDescent="0.25">
      <c r="A4181" t="s">
        <v>996</v>
      </c>
      <c r="B4181" t="s">
        <v>997</v>
      </c>
      <c r="C4181" t="s">
        <v>1013</v>
      </c>
      <c r="D4181" t="s">
        <v>576</v>
      </c>
      <c r="E4181">
        <v>300</v>
      </c>
      <c r="F4181" t="s">
        <v>1024</v>
      </c>
      <c r="G4181" t="s">
        <v>1027</v>
      </c>
      <c r="H4181" s="315" t="s">
        <v>29</v>
      </c>
      <c r="I4181" s="315" t="s">
        <v>1026</v>
      </c>
      <c r="J4181" s="315" t="str">
        <f t="shared" si="346"/>
        <v>New VehicleOther Income per NV unit</v>
      </c>
      <c r="K4181" s="315" t="str">
        <f t="shared" si="347"/>
        <v>300New Vehicle Other Income - Toyota</v>
      </c>
      <c r="L4181" s="311">
        <f>+SUMIF('TUNZ Extracted TB'!M:M,$P4181,'TUNZ Extracted TB'!G:G)</f>
        <v>0</v>
      </c>
      <c r="M4181" s="311"/>
      <c r="N4181" s="311">
        <f>+SUMIF('Input Sheet'!$AE:$AE,P4181,'Input Sheet'!$X:$X)</f>
        <v>0</v>
      </c>
      <c r="O4181" s="311"/>
      <c r="P4181" t="str">
        <f t="shared" si="348"/>
        <v>300-3080RD</v>
      </c>
      <c r="Q4181" s="315" t="str">
        <f t="shared" si="349"/>
        <v>New Vehicle</v>
      </c>
      <c r="R4181" s="315" t="str">
        <f t="shared" si="350"/>
        <v>New VehicleOther Income per NV unit</v>
      </c>
      <c r="S4181" s="199"/>
      <c r="T4181" s="199"/>
      <c r="U4181" s="199"/>
    </row>
    <row r="4182" spans="1:21" x14ac:dyDescent="0.25">
      <c r="A4182" t="s">
        <v>996</v>
      </c>
      <c r="B4182" t="s">
        <v>997</v>
      </c>
      <c r="C4182" t="s">
        <v>997</v>
      </c>
      <c r="D4182" t="s">
        <v>576</v>
      </c>
      <c r="E4182">
        <v>110</v>
      </c>
      <c r="F4182" t="s">
        <v>1014</v>
      </c>
      <c r="G4182" t="s">
        <v>1015</v>
      </c>
      <c r="H4182" s="315" t="s">
        <v>30</v>
      </c>
      <c r="I4182" s="315" t="s">
        <v>1016</v>
      </c>
      <c r="J4182" s="315" t="str">
        <f t="shared" si="346"/>
        <v>Used VehicleEx NV demonstrators gross profit p.u.</v>
      </c>
      <c r="K4182" s="315" t="str">
        <f t="shared" si="347"/>
        <v>110Ex-Toyota NV Demonstrator revenue</v>
      </c>
      <c r="L4182" s="311">
        <f>+SUMIF('TUNZ Extracted TB'!M:M,$P4182,'TUNZ Extracted TB'!G:G)</f>
        <v>0</v>
      </c>
      <c r="M4182" s="311"/>
      <c r="N4182" s="311">
        <f>+SUMIF('Input Sheet'!$AE:$AE,P4182,'Input Sheet'!$X:$X)</f>
        <v>0</v>
      </c>
      <c r="O4182" s="311"/>
      <c r="P4182" t="str">
        <f t="shared" si="348"/>
        <v>110-3080RD</v>
      </c>
      <c r="Q4182" s="315" t="str">
        <f t="shared" si="349"/>
        <v>Used Vehicle</v>
      </c>
      <c r="R4182" s="315" t="str">
        <f t="shared" si="350"/>
        <v>Used VehicleEx NV demonstrators gross profit p.u.</v>
      </c>
      <c r="S4182" s="199"/>
      <c r="T4182" s="199"/>
      <c r="U4182" s="199"/>
    </row>
    <row r="4183" spans="1:21" x14ac:dyDescent="0.25">
      <c r="A4183" s="316">
        <v>44986</v>
      </c>
      <c r="B4183" t="s">
        <v>997</v>
      </c>
      <c r="C4183" t="s">
        <v>997</v>
      </c>
      <c r="D4183" t="s">
        <v>578</v>
      </c>
      <c r="E4183">
        <v>112</v>
      </c>
      <c r="G4183" t="s">
        <v>579</v>
      </c>
      <c r="H4183" s="315" t="s">
        <v>1011</v>
      </c>
      <c r="I4183" s="315" t="s">
        <v>1004</v>
      </c>
      <c r="J4183" s="315" t="str">
        <f t="shared" si="346"/>
        <v>LEX New VehicleRetail Gross p.u.</v>
      </c>
      <c r="K4183" s="315" t="str">
        <f t="shared" si="347"/>
        <v>112Sales - Lexus RX500h</v>
      </c>
      <c r="L4183" s="311">
        <f>+SUMIF('TUNZ Extracted TB'!M:M,$P4183,'TUNZ Extracted TB'!G:G)</f>
        <v>-123967.39</v>
      </c>
      <c r="M4183" s="311"/>
      <c r="N4183" s="311">
        <f>+SUMIF('Input Sheet'!$AE:$AE,P4183,'Input Sheet'!$X:$X)</f>
        <v>0</v>
      </c>
      <c r="O4183" s="311"/>
      <c r="P4183" t="str">
        <f t="shared" si="348"/>
        <v>112-3082R</v>
      </c>
      <c r="Q4183" s="315" t="str">
        <f t="shared" si="349"/>
        <v>LEX New Vehicle</v>
      </c>
      <c r="R4183" s="315" t="str">
        <f t="shared" si="350"/>
        <v>LEX New VehicleRetail Gross p.u.</v>
      </c>
      <c r="S4183" s="199"/>
      <c r="T4183" s="199"/>
      <c r="U4183" s="199"/>
    </row>
    <row r="4184" spans="1:21" x14ac:dyDescent="0.25">
      <c r="A4184" t="s">
        <v>996</v>
      </c>
      <c r="B4184" t="s">
        <v>997</v>
      </c>
      <c r="C4184" t="s">
        <v>1005</v>
      </c>
      <c r="D4184" t="s">
        <v>576</v>
      </c>
      <c r="E4184">
        <v>210</v>
      </c>
      <c r="F4184" t="s">
        <v>1014</v>
      </c>
      <c r="G4184" t="s">
        <v>1015</v>
      </c>
      <c r="H4184" s="315" t="s">
        <v>30</v>
      </c>
      <c r="I4184" s="315" t="s">
        <v>1016</v>
      </c>
      <c r="J4184" s="315" t="str">
        <f t="shared" si="346"/>
        <v>Used VehicleEx NV demonstrators gross profit p.u.</v>
      </c>
      <c r="K4184" s="315" t="str">
        <f t="shared" si="347"/>
        <v>210Ex-Toyota NV Demonstrator revenue</v>
      </c>
      <c r="L4184" s="311">
        <f>+SUMIF('TUNZ Extracted TB'!M:M,$P4184,'TUNZ Extracted TB'!G:G)</f>
        <v>0</v>
      </c>
      <c r="M4184" s="311"/>
      <c r="N4184" s="311">
        <f>+SUMIF('Input Sheet'!$AE:$AE,P4184,'Input Sheet'!$X:$X)</f>
        <v>0</v>
      </c>
      <c r="O4184" s="311"/>
      <c r="P4184" t="str">
        <f t="shared" si="348"/>
        <v>210-3080RD</v>
      </c>
      <c r="Q4184" s="315" t="str">
        <f t="shared" si="349"/>
        <v>Used Vehicle</v>
      </c>
      <c r="R4184" s="315" t="str">
        <f t="shared" si="350"/>
        <v>Used VehicleEx NV demonstrators gross profit p.u.</v>
      </c>
      <c r="S4184" s="199"/>
      <c r="T4184" s="199"/>
      <c r="U4184" s="199"/>
    </row>
    <row r="4185" spans="1:21" x14ac:dyDescent="0.25">
      <c r="A4185" t="s">
        <v>996</v>
      </c>
      <c r="B4185" t="s">
        <v>997</v>
      </c>
      <c r="C4185" t="s">
        <v>1012</v>
      </c>
      <c r="D4185" t="s">
        <v>576</v>
      </c>
      <c r="E4185">
        <v>410</v>
      </c>
      <c r="F4185" t="s">
        <v>1014</v>
      </c>
      <c r="G4185" t="s">
        <v>1015</v>
      </c>
      <c r="H4185" s="315" t="s">
        <v>30</v>
      </c>
      <c r="I4185" s="315" t="s">
        <v>1016</v>
      </c>
      <c r="J4185" s="315" t="str">
        <f t="shared" si="346"/>
        <v>Used VehicleEx NV demonstrators gross profit p.u.</v>
      </c>
      <c r="K4185" s="315" t="str">
        <f t="shared" si="347"/>
        <v>410Ex-Toyota NV Demonstrator revenue</v>
      </c>
      <c r="L4185" s="311">
        <f>+SUMIF('TUNZ Extracted TB'!M:M,$P4185,'TUNZ Extracted TB'!G:G)</f>
        <v>0</v>
      </c>
      <c r="M4185" s="311"/>
      <c r="N4185" s="311">
        <f>+SUMIF('Input Sheet'!$AE:$AE,P4185,'Input Sheet'!$X:$X)</f>
        <v>0</v>
      </c>
      <c r="O4185" s="311"/>
      <c r="P4185" t="str">
        <f t="shared" si="348"/>
        <v>410-3080RD</v>
      </c>
      <c r="Q4185" s="315" t="str">
        <f t="shared" si="349"/>
        <v>Used Vehicle</v>
      </c>
      <c r="R4185" s="315" t="str">
        <f t="shared" si="350"/>
        <v>Used VehicleEx NV demonstrators gross profit p.u.</v>
      </c>
      <c r="S4185" s="199"/>
      <c r="T4185" s="199"/>
      <c r="U4185" s="199"/>
    </row>
    <row r="4186" spans="1:21" x14ac:dyDescent="0.25">
      <c r="A4186" t="s">
        <v>996</v>
      </c>
      <c r="B4186" t="s">
        <v>997</v>
      </c>
      <c r="C4186" t="s">
        <v>1013</v>
      </c>
      <c r="D4186" t="s">
        <v>576</v>
      </c>
      <c r="E4186">
        <v>310</v>
      </c>
      <c r="F4186" t="s">
        <v>1014</v>
      </c>
      <c r="G4186" t="s">
        <v>1015</v>
      </c>
      <c r="H4186" s="315" t="s">
        <v>30</v>
      </c>
      <c r="I4186" s="315" t="s">
        <v>1016</v>
      </c>
      <c r="J4186" s="315" t="str">
        <f t="shared" si="346"/>
        <v>Used VehicleEx NV demonstrators gross profit p.u.</v>
      </c>
      <c r="K4186" s="315" t="str">
        <f t="shared" si="347"/>
        <v>310Ex-Toyota NV Demonstrator revenue</v>
      </c>
      <c r="L4186" s="311">
        <f>+SUMIF('TUNZ Extracted TB'!M:M,$P4186,'TUNZ Extracted TB'!G:G)</f>
        <v>0</v>
      </c>
      <c r="M4186" s="311"/>
      <c r="N4186" s="311">
        <f>+SUMIF('Input Sheet'!$AE:$AE,P4186,'Input Sheet'!$X:$X)</f>
        <v>0</v>
      </c>
      <c r="O4186" s="311"/>
      <c r="P4186" t="str">
        <f t="shared" si="348"/>
        <v>310-3080RD</v>
      </c>
      <c r="Q4186" s="315" t="str">
        <f t="shared" si="349"/>
        <v>Used Vehicle</v>
      </c>
      <c r="R4186" s="315" t="str">
        <f t="shared" si="350"/>
        <v>Used VehicleEx NV demonstrators gross profit p.u.</v>
      </c>
      <c r="S4186" s="199"/>
      <c r="T4186" s="199"/>
      <c r="U4186" s="199"/>
    </row>
    <row r="4187" spans="1:21" x14ac:dyDescent="0.25">
      <c r="A4187" s="316">
        <v>44986</v>
      </c>
      <c r="B4187" t="s">
        <v>997</v>
      </c>
      <c r="C4187" t="s">
        <v>997</v>
      </c>
      <c r="D4187" t="s">
        <v>580</v>
      </c>
      <c r="E4187">
        <v>112</v>
      </c>
      <c r="G4187" t="s">
        <v>581</v>
      </c>
      <c r="H4187" s="315" t="s">
        <v>1011</v>
      </c>
      <c r="I4187" s="315" t="s">
        <v>1004</v>
      </c>
      <c r="J4187" s="315" t="str">
        <f t="shared" si="346"/>
        <v>LEX New VehicleRetail Gross p.u.</v>
      </c>
      <c r="K4187" s="315" t="str">
        <f t="shared" si="347"/>
        <v>112Discont - Lexus RX500h</v>
      </c>
      <c r="L4187" s="311">
        <f>+SUMIF('TUNZ Extracted TB'!M:M,$P4187,'TUNZ Extracted TB'!G:G)</f>
        <v>3478.26</v>
      </c>
      <c r="M4187" s="311"/>
      <c r="N4187" s="311">
        <f>+SUMIF('Input Sheet'!$AE:$AE,P4187,'Input Sheet'!$X:$X)</f>
        <v>0</v>
      </c>
      <c r="O4187" s="311"/>
      <c r="P4187" t="str">
        <f t="shared" si="348"/>
        <v>112-3082rd</v>
      </c>
      <c r="Q4187" s="315" t="str">
        <f t="shared" si="349"/>
        <v>LEX New Vehicle</v>
      </c>
      <c r="R4187" s="315" t="str">
        <f t="shared" si="350"/>
        <v>LEX New VehicleRetail Gross p.u.</v>
      </c>
      <c r="S4187" s="199"/>
      <c r="T4187" s="199"/>
      <c r="U4187" s="199"/>
    </row>
    <row r="4188" spans="1:21" x14ac:dyDescent="0.25">
      <c r="A4188" t="s">
        <v>996</v>
      </c>
      <c r="B4188" t="s">
        <v>997</v>
      </c>
      <c r="C4188" t="s">
        <v>997</v>
      </c>
      <c r="D4188" t="s">
        <v>582</v>
      </c>
      <c r="E4188">
        <v>100</v>
      </c>
      <c r="F4188" t="s">
        <v>1024</v>
      </c>
      <c r="G4188" t="s">
        <v>1027</v>
      </c>
      <c r="H4188" s="315" t="s">
        <v>29</v>
      </c>
      <c r="I4188" s="315" t="s">
        <v>1026</v>
      </c>
      <c r="J4188" s="315" t="str">
        <f t="shared" si="346"/>
        <v>New VehicleOther Income per NV unit</v>
      </c>
      <c r="K4188" s="315" t="str">
        <f t="shared" si="347"/>
        <v>100New Vehicle Other Income - Toyota</v>
      </c>
      <c r="L4188" s="311">
        <f>+SUMIF('TUNZ Extracted TB'!M:M,$P4188,'TUNZ Extracted TB'!G:G)</f>
        <v>0</v>
      </c>
      <c r="M4188" s="311"/>
      <c r="N4188" s="311">
        <f>+SUMIF('Input Sheet'!$AE:$AE,P4188,'Input Sheet'!$X:$X)</f>
        <v>0</v>
      </c>
      <c r="O4188" s="311"/>
      <c r="P4188" t="str">
        <f t="shared" si="348"/>
        <v>100-3083R</v>
      </c>
      <c r="Q4188" s="315" t="str">
        <f t="shared" si="349"/>
        <v>New Vehicle</v>
      </c>
      <c r="R4188" s="315" t="str">
        <f t="shared" si="350"/>
        <v>New VehicleOther Income per NV unit</v>
      </c>
      <c r="S4188" s="199"/>
      <c r="T4188" s="199"/>
      <c r="U4188" s="199"/>
    </row>
    <row r="4189" spans="1:21" x14ac:dyDescent="0.25">
      <c r="A4189" t="s">
        <v>996</v>
      </c>
      <c r="B4189" t="s">
        <v>997</v>
      </c>
      <c r="C4189" t="s">
        <v>1012</v>
      </c>
      <c r="D4189" t="s">
        <v>582</v>
      </c>
      <c r="E4189">
        <v>400</v>
      </c>
      <c r="F4189" t="s">
        <v>1024</v>
      </c>
      <c r="G4189" t="s">
        <v>1027</v>
      </c>
      <c r="H4189" s="315" t="s">
        <v>29</v>
      </c>
      <c r="I4189" s="315" t="s">
        <v>1026</v>
      </c>
      <c r="J4189" s="315" t="str">
        <f t="shared" si="346"/>
        <v>New VehicleOther Income per NV unit</v>
      </c>
      <c r="K4189" s="315" t="str">
        <f t="shared" si="347"/>
        <v>400New Vehicle Other Income - Toyota</v>
      </c>
      <c r="L4189" s="311">
        <f>+SUMIF('TUNZ Extracted TB'!M:M,$P4189,'TUNZ Extracted TB'!G:G)</f>
        <v>0</v>
      </c>
      <c r="M4189" s="311"/>
      <c r="N4189" s="311">
        <f>+SUMIF('Input Sheet'!$AE:$AE,P4189,'Input Sheet'!$X:$X)</f>
        <v>0</v>
      </c>
      <c r="O4189" s="311"/>
      <c r="P4189" t="str">
        <f t="shared" si="348"/>
        <v>400-3083R</v>
      </c>
      <c r="Q4189" s="315" t="str">
        <f t="shared" si="349"/>
        <v>New Vehicle</v>
      </c>
      <c r="R4189" s="315" t="str">
        <f t="shared" si="350"/>
        <v>New VehicleOther Income per NV unit</v>
      </c>
      <c r="S4189" s="199"/>
      <c r="T4189" s="199"/>
      <c r="U4189" s="199"/>
    </row>
    <row r="4190" spans="1:21" x14ac:dyDescent="0.25">
      <c r="A4190" t="s">
        <v>996</v>
      </c>
      <c r="B4190" t="s">
        <v>997</v>
      </c>
      <c r="C4190" t="s">
        <v>1013</v>
      </c>
      <c r="D4190" t="s">
        <v>582</v>
      </c>
      <c r="E4190">
        <v>300</v>
      </c>
      <c r="F4190" t="s">
        <v>1024</v>
      </c>
      <c r="G4190" t="s">
        <v>1027</v>
      </c>
      <c r="H4190" s="315" t="s">
        <v>29</v>
      </c>
      <c r="I4190" s="315" t="s">
        <v>1026</v>
      </c>
      <c r="J4190" s="315" t="str">
        <f t="shared" si="346"/>
        <v>New VehicleOther Income per NV unit</v>
      </c>
      <c r="K4190" s="315" t="str">
        <f t="shared" si="347"/>
        <v>300New Vehicle Other Income - Toyota</v>
      </c>
      <c r="L4190" s="311">
        <f>+SUMIF('TUNZ Extracted TB'!M:M,$P4190,'TUNZ Extracted TB'!G:G)</f>
        <v>0</v>
      </c>
      <c r="M4190" s="311"/>
      <c r="N4190" s="311">
        <f>+SUMIF('Input Sheet'!$AE:$AE,P4190,'Input Sheet'!$X:$X)</f>
        <v>0</v>
      </c>
      <c r="O4190" s="311"/>
      <c r="P4190" t="str">
        <f t="shared" si="348"/>
        <v>300-3083R</v>
      </c>
      <c r="Q4190" s="315" t="str">
        <f t="shared" si="349"/>
        <v>New Vehicle</v>
      </c>
      <c r="R4190" s="315" t="str">
        <f t="shared" si="350"/>
        <v>New VehicleOther Income per NV unit</v>
      </c>
      <c r="S4190" s="199"/>
      <c r="T4190" s="199"/>
      <c r="U4190" s="199"/>
    </row>
    <row r="4191" spans="1:21" x14ac:dyDescent="0.25">
      <c r="A4191" t="s">
        <v>996</v>
      </c>
      <c r="B4191" t="s">
        <v>997</v>
      </c>
      <c r="C4191" t="s">
        <v>1005</v>
      </c>
      <c r="D4191" t="s">
        <v>582</v>
      </c>
      <c r="E4191">
        <v>200</v>
      </c>
      <c r="F4191" t="s">
        <v>1024</v>
      </c>
      <c r="G4191" t="s">
        <v>1027</v>
      </c>
      <c r="H4191" s="315" t="s">
        <v>29</v>
      </c>
      <c r="I4191" s="315" t="s">
        <v>1026</v>
      </c>
      <c r="J4191" s="315" t="str">
        <f t="shared" si="346"/>
        <v>New VehicleOther Income per NV unit</v>
      </c>
      <c r="K4191" s="315" t="str">
        <f t="shared" si="347"/>
        <v>200New Vehicle Other Income - Toyota</v>
      </c>
      <c r="L4191" s="311">
        <f>+SUMIF('TUNZ Extracted TB'!M:M,$P4191,'TUNZ Extracted TB'!G:G)</f>
        <v>0</v>
      </c>
      <c r="M4191" s="311"/>
      <c r="N4191" s="311">
        <f>+SUMIF('Input Sheet'!$AE:$AE,P4191,'Input Sheet'!$X:$X)</f>
        <v>0</v>
      </c>
      <c r="O4191" s="311"/>
      <c r="P4191" t="str">
        <f t="shared" si="348"/>
        <v>200-3083R</v>
      </c>
      <c r="Q4191" s="315" t="str">
        <f t="shared" si="349"/>
        <v>New Vehicle</v>
      </c>
      <c r="R4191" s="315" t="str">
        <f t="shared" si="350"/>
        <v>New VehicleOther Income per NV unit</v>
      </c>
      <c r="S4191" s="199"/>
      <c r="T4191" s="199"/>
      <c r="U4191" s="199"/>
    </row>
    <row r="4192" spans="1:21" x14ac:dyDescent="0.25">
      <c r="A4192" t="s">
        <v>996</v>
      </c>
      <c r="B4192" t="s">
        <v>997</v>
      </c>
      <c r="C4192" t="s">
        <v>997</v>
      </c>
      <c r="D4192" t="s">
        <v>582</v>
      </c>
      <c r="E4192">
        <v>110</v>
      </c>
      <c r="F4192" t="s">
        <v>1014</v>
      </c>
      <c r="G4192" t="s">
        <v>1015</v>
      </c>
      <c r="H4192" s="315" t="s">
        <v>30</v>
      </c>
      <c r="I4192" s="315" t="s">
        <v>1016</v>
      </c>
      <c r="J4192" s="315" t="str">
        <f t="shared" si="346"/>
        <v>Used VehicleEx NV demonstrators gross profit p.u.</v>
      </c>
      <c r="K4192" s="315" t="str">
        <f t="shared" si="347"/>
        <v>110Ex-Toyota NV Demonstrator revenue</v>
      </c>
      <c r="L4192" s="311">
        <f>+SUMIF('TUNZ Extracted TB'!M:M,$P4192,'TUNZ Extracted TB'!G:G)</f>
        <v>-40252.17</v>
      </c>
      <c r="M4192" s="311"/>
      <c r="N4192" s="311">
        <f>+SUMIF('Input Sheet'!$AE:$AE,P4192,'Input Sheet'!$X:$X)</f>
        <v>0</v>
      </c>
      <c r="O4192" s="311"/>
      <c r="P4192" t="str">
        <f t="shared" si="348"/>
        <v>110-3083R</v>
      </c>
      <c r="Q4192" s="315" t="str">
        <f t="shared" si="349"/>
        <v>Used Vehicle</v>
      </c>
      <c r="R4192" s="315" t="str">
        <f t="shared" si="350"/>
        <v>Used VehicleEx NV demonstrators gross profit p.u.</v>
      </c>
      <c r="S4192" s="199"/>
      <c r="T4192" s="199"/>
      <c r="U4192" s="199"/>
    </row>
    <row r="4193" spans="1:21" x14ac:dyDescent="0.25">
      <c r="A4193" t="s">
        <v>996</v>
      </c>
      <c r="B4193" t="s">
        <v>997</v>
      </c>
      <c r="C4193" t="s">
        <v>997</v>
      </c>
      <c r="D4193" t="s">
        <v>584</v>
      </c>
      <c r="E4193">
        <v>100</v>
      </c>
      <c r="F4193" t="s">
        <v>1024</v>
      </c>
      <c r="G4193" t="s">
        <v>1027</v>
      </c>
      <c r="H4193" s="315" t="s">
        <v>29</v>
      </c>
      <c r="I4193" s="315" t="s">
        <v>1026</v>
      </c>
      <c r="J4193" s="315" t="str">
        <f t="shared" si="346"/>
        <v>New VehicleOther Income per NV unit</v>
      </c>
      <c r="K4193" s="315" t="str">
        <f t="shared" si="347"/>
        <v>100New Vehicle Other Income - Toyota</v>
      </c>
      <c r="L4193" s="311">
        <f>+SUMIF('TUNZ Extracted TB'!M:M,$P4193,'TUNZ Extracted TB'!G:G)</f>
        <v>0</v>
      </c>
      <c r="M4193" s="311"/>
      <c r="N4193" s="311">
        <f>+SUMIF('Input Sheet'!$AE:$AE,P4193,'Input Sheet'!$X:$X)</f>
        <v>0</v>
      </c>
      <c r="O4193" s="311"/>
      <c r="P4193" t="str">
        <f t="shared" si="348"/>
        <v>100-3083RD</v>
      </c>
      <c r="Q4193" s="315" t="str">
        <f t="shared" si="349"/>
        <v>New Vehicle</v>
      </c>
      <c r="R4193" s="315" t="str">
        <f t="shared" si="350"/>
        <v>New VehicleOther Income per NV unit</v>
      </c>
      <c r="S4193" s="199"/>
      <c r="T4193" s="199"/>
      <c r="U4193" s="199"/>
    </row>
    <row r="4194" spans="1:21" x14ac:dyDescent="0.25">
      <c r="A4194" t="s">
        <v>996</v>
      </c>
      <c r="B4194" t="s">
        <v>997</v>
      </c>
      <c r="C4194" t="s">
        <v>1012</v>
      </c>
      <c r="D4194" t="s">
        <v>582</v>
      </c>
      <c r="E4194">
        <v>410</v>
      </c>
      <c r="F4194" t="s">
        <v>1014</v>
      </c>
      <c r="G4194" t="s">
        <v>1015</v>
      </c>
      <c r="H4194" s="315" t="s">
        <v>30</v>
      </c>
      <c r="I4194" s="315" t="s">
        <v>1016</v>
      </c>
      <c r="J4194" s="315" t="str">
        <f t="shared" si="346"/>
        <v>Used VehicleEx NV demonstrators gross profit p.u.</v>
      </c>
      <c r="K4194" s="315" t="str">
        <f t="shared" si="347"/>
        <v>410Ex-Toyota NV Demonstrator revenue</v>
      </c>
      <c r="L4194" s="311">
        <f>+SUMIF('TUNZ Extracted TB'!M:M,$P4194,'TUNZ Extracted TB'!G:G)</f>
        <v>0</v>
      </c>
      <c r="M4194" s="311"/>
      <c r="N4194" s="311">
        <f>+SUMIF('Input Sheet'!$AE:$AE,P4194,'Input Sheet'!$X:$X)</f>
        <v>0</v>
      </c>
      <c r="O4194" s="311"/>
      <c r="P4194" t="str">
        <f t="shared" si="348"/>
        <v>410-3083R</v>
      </c>
      <c r="Q4194" s="315" t="str">
        <f t="shared" si="349"/>
        <v>Used Vehicle</v>
      </c>
      <c r="R4194" s="315" t="str">
        <f t="shared" si="350"/>
        <v>Used VehicleEx NV demonstrators gross profit p.u.</v>
      </c>
      <c r="S4194" s="199"/>
      <c r="T4194" s="199"/>
      <c r="U4194" s="199"/>
    </row>
    <row r="4195" spans="1:21" x14ac:dyDescent="0.25">
      <c r="A4195" t="s">
        <v>996</v>
      </c>
      <c r="B4195" t="s">
        <v>997</v>
      </c>
      <c r="C4195" t="s">
        <v>1013</v>
      </c>
      <c r="D4195" t="s">
        <v>582</v>
      </c>
      <c r="E4195">
        <v>310</v>
      </c>
      <c r="F4195" t="s">
        <v>1014</v>
      </c>
      <c r="G4195" t="s">
        <v>1015</v>
      </c>
      <c r="H4195" s="315" t="s">
        <v>30</v>
      </c>
      <c r="I4195" s="315" t="s">
        <v>1016</v>
      </c>
      <c r="J4195" s="315" t="str">
        <f t="shared" si="346"/>
        <v>Used VehicleEx NV demonstrators gross profit p.u.</v>
      </c>
      <c r="K4195" s="315" t="str">
        <f t="shared" si="347"/>
        <v>310Ex-Toyota NV Demonstrator revenue</v>
      </c>
      <c r="L4195" s="311">
        <f>+SUMIF('TUNZ Extracted TB'!M:M,$P4195,'TUNZ Extracted TB'!G:G)</f>
        <v>0</v>
      </c>
      <c r="M4195" s="311"/>
      <c r="N4195" s="311">
        <f>+SUMIF('Input Sheet'!$AE:$AE,P4195,'Input Sheet'!$X:$X)</f>
        <v>0</v>
      </c>
      <c r="O4195" s="311"/>
      <c r="P4195" t="str">
        <f t="shared" si="348"/>
        <v>310-3083R</v>
      </c>
      <c r="Q4195" s="315" t="str">
        <f t="shared" si="349"/>
        <v>Used Vehicle</v>
      </c>
      <c r="R4195" s="315" t="str">
        <f t="shared" si="350"/>
        <v>Used VehicleEx NV demonstrators gross profit p.u.</v>
      </c>
      <c r="S4195" s="199"/>
      <c r="T4195" s="199"/>
      <c r="U4195" s="199"/>
    </row>
    <row r="4196" spans="1:21" x14ac:dyDescent="0.25">
      <c r="A4196" t="s">
        <v>996</v>
      </c>
      <c r="B4196" t="s">
        <v>997</v>
      </c>
      <c r="C4196" t="s">
        <v>1005</v>
      </c>
      <c r="D4196" t="s">
        <v>582</v>
      </c>
      <c r="E4196">
        <v>210</v>
      </c>
      <c r="F4196" t="s">
        <v>1014</v>
      </c>
      <c r="G4196" t="s">
        <v>1015</v>
      </c>
      <c r="H4196" s="315" t="s">
        <v>30</v>
      </c>
      <c r="I4196" s="315" t="s">
        <v>1016</v>
      </c>
      <c r="J4196" s="315" t="str">
        <f t="shared" si="346"/>
        <v>Used VehicleEx NV demonstrators gross profit p.u.</v>
      </c>
      <c r="K4196" s="315" t="str">
        <f t="shared" si="347"/>
        <v>210Ex-Toyota NV Demonstrator revenue</v>
      </c>
      <c r="L4196" s="311">
        <f>+SUMIF('TUNZ Extracted TB'!M:M,$P4196,'TUNZ Extracted TB'!G:G)</f>
        <v>-972.03</v>
      </c>
      <c r="M4196" s="311"/>
      <c r="N4196" s="311">
        <f>+SUMIF('Input Sheet'!$AE:$AE,P4196,'Input Sheet'!$X:$X)</f>
        <v>0</v>
      </c>
      <c r="O4196" s="311"/>
      <c r="P4196" t="str">
        <f t="shared" si="348"/>
        <v>210-3083R</v>
      </c>
      <c r="Q4196" s="315" t="str">
        <f t="shared" si="349"/>
        <v>Used Vehicle</v>
      </c>
      <c r="R4196" s="315" t="str">
        <f t="shared" si="350"/>
        <v>Used VehicleEx NV demonstrators gross profit p.u.</v>
      </c>
      <c r="S4196" s="199"/>
      <c r="T4196" s="199"/>
      <c r="U4196" s="199"/>
    </row>
    <row r="4197" spans="1:21" x14ac:dyDescent="0.25">
      <c r="A4197" t="s">
        <v>996</v>
      </c>
      <c r="B4197" t="s">
        <v>997</v>
      </c>
      <c r="C4197" t="s">
        <v>1005</v>
      </c>
      <c r="D4197" t="s">
        <v>584</v>
      </c>
      <c r="E4197">
        <v>200</v>
      </c>
      <c r="F4197" t="s">
        <v>1024</v>
      </c>
      <c r="G4197" t="s">
        <v>1027</v>
      </c>
      <c r="H4197" s="315" t="s">
        <v>29</v>
      </c>
      <c r="I4197" s="315" t="s">
        <v>1026</v>
      </c>
      <c r="J4197" s="315" t="str">
        <f t="shared" si="346"/>
        <v>New VehicleOther Income per NV unit</v>
      </c>
      <c r="K4197" s="315" t="str">
        <f t="shared" si="347"/>
        <v>200New Vehicle Other Income - Toyota</v>
      </c>
      <c r="L4197" s="311">
        <f>+SUMIF('TUNZ Extracted TB'!M:M,$P4197,'TUNZ Extracted TB'!G:G)</f>
        <v>0</v>
      </c>
      <c r="M4197" s="311"/>
      <c r="N4197" s="311">
        <f>+SUMIF('Input Sheet'!$AE:$AE,P4197,'Input Sheet'!$X:$X)</f>
        <v>0</v>
      </c>
      <c r="O4197" s="311"/>
      <c r="P4197" t="str">
        <f t="shared" si="348"/>
        <v>200-3083RD</v>
      </c>
      <c r="Q4197" s="315" t="str">
        <f t="shared" si="349"/>
        <v>New Vehicle</v>
      </c>
      <c r="R4197" s="315" t="str">
        <f t="shared" si="350"/>
        <v>New VehicleOther Income per NV unit</v>
      </c>
      <c r="S4197" s="199"/>
      <c r="T4197" s="199"/>
      <c r="U4197" s="199"/>
    </row>
    <row r="4198" spans="1:21" x14ac:dyDescent="0.25">
      <c r="A4198" t="s">
        <v>996</v>
      </c>
      <c r="B4198" t="s">
        <v>997</v>
      </c>
      <c r="C4198" t="s">
        <v>1012</v>
      </c>
      <c r="D4198" t="s">
        <v>584</v>
      </c>
      <c r="E4198">
        <v>400</v>
      </c>
      <c r="F4198" t="s">
        <v>1024</v>
      </c>
      <c r="G4198" t="s">
        <v>1027</v>
      </c>
      <c r="H4198" s="315" t="s">
        <v>29</v>
      </c>
      <c r="I4198" s="315" t="s">
        <v>1026</v>
      </c>
      <c r="J4198" s="315" t="str">
        <f t="shared" si="346"/>
        <v>New VehicleOther Income per NV unit</v>
      </c>
      <c r="K4198" s="315" t="str">
        <f t="shared" si="347"/>
        <v>400New Vehicle Other Income - Toyota</v>
      </c>
      <c r="L4198" s="311">
        <f>+SUMIF('TUNZ Extracted TB'!M:M,$P4198,'TUNZ Extracted TB'!G:G)</f>
        <v>0</v>
      </c>
      <c r="M4198" s="311"/>
      <c r="N4198" s="311">
        <f>+SUMIF('Input Sheet'!$AE:$AE,P4198,'Input Sheet'!$X:$X)</f>
        <v>0</v>
      </c>
      <c r="O4198" s="311"/>
      <c r="P4198" t="str">
        <f t="shared" si="348"/>
        <v>400-3083RD</v>
      </c>
      <c r="Q4198" s="315" t="str">
        <f t="shared" si="349"/>
        <v>New Vehicle</v>
      </c>
      <c r="R4198" s="315" t="str">
        <f t="shared" si="350"/>
        <v>New VehicleOther Income per NV unit</v>
      </c>
      <c r="S4198" s="199"/>
      <c r="T4198" s="199"/>
      <c r="U4198" s="199"/>
    </row>
    <row r="4199" spans="1:21" x14ac:dyDescent="0.25">
      <c r="A4199" t="s">
        <v>996</v>
      </c>
      <c r="B4199" t="s">
        <v>997</v>
      </c>
      <c r="C4199" t="s">
        <v>1013</v>
      </c>
      <c r="D4199" t="s">
        <v>584</v>
      </c>
      <c r="E4199">
        <v>300</v>
      </c>
      <c r="F4199" t="s">
        <v>1024</v>
      </c>
      <c r="G4199" t="s">
        <v>1027</v>
      </c>
      <c r="H4199" s="315" t="s">
        <v>29</v>
      </c>
      <c r="I4199" s="315" t="s">
        <v>1026</v>
      </c>
      <c r="J4199" s="315" t="str">
        <f t="shared" si="346"/>
        <v>New VehicleOther Income per NV unit</v>
      </c>
      <c r="K4199" s="315" t="str">
        <f t="shared" si="347"/>
        <v>300New Vehicle Other Income - Toyota</v>
      </c>
      <c r="L4199" s="311">
        <f>+SUMIF('TUNZ Extracted TB'!M:M,$P4199,'TUNZ Extracted TB'!G:G)</f>
        <v>0</v>
      </c>
      <c r="M4199" s="311"/>
      <c r="N4199" s="311">
        <f>+SUMIF('Input Sheet'!$AE:$AE,P4199,'Input Sheet'!$X:$X)</f>
        <v>0</v>
      </c>
      <c r="O4199" s="311"/>
      <c r="P4199" t="str">
        <f t="shared" si="348"/>
        <v>300-3083RD</v>
      </c>
      <c r="Q4199" s="315" t="str">
        <f t="shared" si="349"/>
        <v>New Vehicle</v>
      </c>
      <c r="R4199" s="315" t="str">
        <f t="shared" si="350"/>
        <v>New VehicleOther Income per NV unit</v>
      </c>
      <c r="S4199" s="199"/>
      <c r="T4199" s="199"/>
      <c r="U4199" s="199"/>
    </row>
    <row r="4200" spans="1:21" x14ac:dyDescent="0.25">
      <c r="A4200" t="s">
        <v>996</v>
      </c>
      <c r="B4200" t="s">
        <v>997</v>
      </c>
      <c r="C4200" t="s">
        <v>997</v>
      </c>
      <c r="D4200" t="s">
        <v>584</v>
      </c>
      <c r="E4200">
        <v>110</v>
      </c>
      <c r="F4200" t="s">
        <v>1014</v>
      </c>
      <c r="G4200" t="s">
        <v>1015</v>
      </c>
      <c r="H4200" s="315" t="s">
        <v>30</v>
      </c>
      <c r="I4200" s="315" t="s">
        <v>1016</v>
      </c>
      <c r="J4200" s="315" t="str">
        <f t="shared" si="346"/>
        <v>Used VehicleEx NV demonstrators gross profit p.u.</v>
      </c>
      <c r="K4200" s="315" t="str">
        <f t="shared" si="347"/>
        <v>110Ex-Toyota NV Demonstrator revenue</v>
      </c>
      <c r="L4200" s="311">
        <f>+SUMIF('TUNZ Extracted TB'!M:M,$P4200,'TUNZ Extracted TB'!G:G)</f>
        <v>0</v>
      </c>
      <c r="M4200" s="311"/>
      <c r="N4200" s="311">
        <f>+SUMIF('Input Sheet'!$AE:$AE,P4200,'Input Sheet'!$X:$X)</f>
        <v>0</v>
      </c>
      <c r="O4200" s="311"/>
      <c r="P4200" t="str">
        <f t="shared" si="348"/>
        <v>110-3083RD</v>
      </c>
      <c r="Q4200" s="315" t="str">
        <f t="shared" si="349"/>
        <v>Used Vehicle</v>
      </c>
      <c r="R4200" s="315" t="str">
        <f t="shared" si="350"/>
        <v>Used VehicleEx NV demonstrators gross profit p.u.</v>
      </c>
      <c r="S4200" s="199"/>
      <c r="T4200" s="199"/>
      <c r="U4200" s="199"/>
    </row>
    <row r="4201" spans="1:21" x14ac:dyDescent="0.25">
      <c r="A4201" t="s">
        <v>996</v>
      </c>
      <c r="B4201" t="s">
        <v>997</v>
      </c>
      <c r="C4201" t="s">
        <v>997</v>
      </c>
      <c r="D4201" t="s">
        <v>586</v>
      </c>
      <c r="E4201">
        <v>100</v>
      </c>
      <c r="F4201" t="s">
        <v>1024</v>
      </c>
      <c r="G4201" t="s">
        <v>1027</v>
      </c>
      <c r="H4201" s="315" t="s">
        <v>29</v>
      </c>
      <c r="I4201" s="315" t="s">
        <v>1026</v>
      </c>
      <c r="J4201" s="315" t="str">
        <f t="shared" si="346"/>
        <v>New VehicleOther Income per NV unit</v>
      </c>
      <c r="K4201" s="315" t="str">
        <f t="shared" si="347"/>
        <v>100New Vehicle Other Income - Toyota</v>
      </c>
      <c r="L4201" s="311">
        <f>+SUMIF('TUNZ Extracted TB'!M:M,$P4201,'TUNZ Extracted TB'!G:G)</f>
        <v>-15641.82</v>
      </c>
      <c r="M4201" s="311"/>
      <c r="N4201" s="311">
        <f>+SUMIF('Input Sheet'!$AE:$AE,P4201,'Input Sheet'!$X:$X)</f>
        <v>0</v>
      </c>
      <c r="O4201" s="311"/>
      <c r="P4201" t="str">
        <f t="shared" si="348"/>
        <v>100-3085R</v>
      </c>
      <c r="Q4201" s="315" t="str">
        <f t="shared" si="349"/>
        <v>New Vehicle</v>
      </c>
      <c r="R4201" s="315" t="str">
        <f t="shared" si="350"/>
        <v>New VehicleOther Income per NV unit</v>
      </c>
      <c r="S4201" s="199"/>
      <c r="T4201" s="199"/>
      <c r="U4201" s="199"/>
    </row>
    <row r="4202" spans="1:21" x14ac:dyDescent="0.25">
      <c r="A4202" t="s">
        <v>996</v>
      </c>
      <c r="B4202" t="s">
        <v>997</v>
      </c>
      <c r="C4202" t="s">
        <v>1005</v>
      </c>
      <c r="D4202" t="s">
        <v>584</v>
      </c>
      <c r="E4202">
        <v>210</v>
      </c>
      <c r="F4202" t="s">
        <v>1014</v>
      </c>
      <c r="G4202" t="s">
        <v>1015</v>
      </c>
      <c r="H4202" s="315" t="s">
        <v>30</v>
      </c>
      <c r="I4202" s="315" t="s">
        <v>1016</v>
      </c>
      <c r="J4202" s="315" t="str">
        <f t="shared" si="346"/>
        <v>Used VehicleEx NV demonstrators gross profit p.u.</v>
      </c>
      <c r="K4202" s="315" t="str">
        <f t="shared" si="347"/>
        <v>210Ex-Toyota NV Demonstrator revenue</v>
      </c>
      <c r="L4202" s="311">
        <f>+SUMIF('TUNZ Extracted TB'!M:M,$P4202,'TUNZ Extracted TB'!G:G)</f>
        <v>0</v>
      </c>
      <c r="M4202" s="311"/>
      <c r="N4202" s="311">
        <f>+SUMIF('Input Sheet'!$AE:$AE,P4202,'Input Sheet'!$X:$X)</f>
        <v>0</v>
      </c>
      <c r="O4202" s="311"/>
      <c r="P4202" t="str">
        <f t="shared" si="348"/>
        <v>210-3083RD</v>
      </c>
      <c r="Q4202" s="315" t="str">
        <f t="shared" si="349"/>
        <v>Used Vehicle</v>
      </c>
      <c r="R4202" s="315" t="str">
        <f t="shared" si="350"/>
        <v>Used VehicleEx NV demonstrators gross profit p.u.</v>
      </c>
      <c r="S4202" s="199"/>
      <c r="T4202" s="199"/>
      <c r="U4202" s="199"/>
    </row>
    <row r="4203" spans="1:21" x14ac:dyDescent="0.25">
      <c r="A4203" t="s">
        <v>996</v>
      </c>
      <c r="B4203" t="s">
        <v>997</v>
      </c>
      <c r="C4203" t="s">
        <v>1012</v>
      </c>
      <c r="D4203" t="s">
        <v>584</v>
      </c>
      <c r="E4203">
        <v>410</v>
      </c>
      <c r="F4203" t="s">
        <v>1014</v>
      </c>
      <c r="G4203" t="s">
        <v>1015</v>
      </c>
      <c r="H4203" s="315" t="s">
        <v>30</v>
      </c>
      <c r="I4203" s="315" t="s">
        <v>1016</v>
      </c>
      <c r="J4203" s="315" t="str">
        <f t="shared" si="346"/>
        <v>Used VehicleEx NV demonstrators gross profit p.u.</v>
      </c>
      <c r="K4203" s="315" t="str">
        <f t="shared" si="347"/>
        <v>410Ex-Toyota NV Demonstrator revenue</v>
      </c>
      <c r="L4203" s="311">
        <f>+SUMIF('TUNZ Extracted TB'!M:M,$P4203,'TUNZ Extracted TB'!G:G)</f>
        <v>0</v>
      </c>
      <c r="M4203" s="311"/>
      <c r="N4203" s="311">
        <f>+SUMIF('Input Sheet'!$AE:$AE,P4203,'Input Sheet'!$X:$X)</f>
        <v>0</v>
      </c>
      <c r="O4203" s="311"/>
      <c r="P4203" t="str">
        <f t="shared" si="348"/>
        <v>410-3083RD</v>
      </c>
      <c r="Q4203" s="315" t="str">
        <f t="shared" si="349"/>
        <v>Used Vehicle</v>
      </c>
      <c r="R4203" s="315" t="str">
        <f t="shared" si="350"/>
        <v>Used VehicleEx NV demonstrators gross profit p.u.</v>
      </c>
      <c r="S4203" s="199"/>
      <c r="T4203" s="199"/>
      <c r="U4203" s="199"/>
    </row>
    <row r="4204" spans="1:21" x14ac:dyDescent="0.25">
      <c r="A4204" t="s">
        <v>996</v>
      </c>
      <c r="B4204" t="s">
        <v>997</v>
      </c>
      <c r="C4204" t="s">
        <v>1013</v>
      </c>
      <c r="D4204" t="s">
        <v>584</v>
      </c>
      <c r="E4204">
        <v>310</v>
      </c>
      <c r="F4204" t="s">
        <v>1014</v>
      </c>
      <c r="G4204" t="s">
        <v>1015</v>
      </c>
      <c r="H4204" s="315" t="s">
        <v>30</v>
      </c>
      <c r="I4204" s="315" t="s">
        <v>1016</v>
      </c>
      <c r="J4204" s="315" t="str">
        <f t="shared" si="346"/>
        <v>Used VehicleEx NV demonstrators gross profit p.u.</v>
      </c>
      <c r="K4204" s="315" t="str">
        <f t="shared" si="347"/>
        <v>310Ex-Toyota NV Demonstrator revenue</v>
      </c>
      <c r="L4204" s="311">
        <f>+SUMIF('TUNZ Extracted TB'!M:M,$P4204,'TUNZ Extracted TB'!G:G)</f>
        <v>0</v>
      </c>
      <c r="M4204" s="311"/>
      <c r="N4204" s="311">
        <f>+SUMIF('Input Sheet'!$AE:$AE,P4204,'Input Sheet'!$X:$X)</f>
        <v>0</v>
      </c>
      <c r="O4204" s="311"/>
      <c r="P4204" t="str">
        <f t="shared" si="348"/>
        <v>310-3083RD</v>
      </c>
      <c r="Q4204" s="315" t="str">
        <f t="shared" si="349"/>
        <v>Used Vehicle</v>
      </c>
      <c r="R4204" s="315" t="str">
        <f t="shared" si="350"/>
        <v>Used VehicleEx NV demonstrators gross profit p.u.</v>
      </c>
      <c r="S4204" s="199"/>
      <c r="T4204" s="199"/>
      <c r="U4204" s="199"/>
    </row>
    <row r="4205" spans="1:21" x14ac:dyDescent="0.25">
      <c r="A4205" t="s">
        <v>996</v>
      </c>
      <c r="B4205" t="s">
        <v>997</v>
      </c>
      <c r="C4205" t="s">
        <v>1012</v>
      </c>
      <c r="D4205" t="s">
        <v>586</v>
      </c>
      <c r="E4205">
        <v>400</v>
      </c>
      <c r="F4205" t="s">
        <v>1024</v>
      </c>
      <c r="G4205" t="s">
        <v>1027</v>
      </c>
      <c r="H4205" s="315" t="s">
        <v>29</v>
      </c>
      <c r="I4205" s="315" t="s">
        <v>1026</v>
      </c>
      <c r="J4205" s="315" t="str">
        <f t="shared" si="346"/>
        <v>New VehicleOther Income per NV unit</v>
      </c>
      <c r="K4205" s="315" t="str">
        <f t="shared" si="347"/>
        <v>400New Vehicle Other Income - Toyota</v>
      </c>
      <c r="L4205" s="311">
        <f>+SUMIF('TUNZ Extracted TB'!M:M,$P4205,'TUNZ Extracted TB'!G:G)</f>
        <v>0</v>
      </c>
      <c r="M4205" s="311"/>
      <c r="N4205" s="311">
        <f>+SUMIF('Input Sheet'!$AE:$AE,P4205,'Input Sheet'!$X:$X)</f>
        <v>0</v>
      </c>
      <c r="O4205" s="311"/>
      <c r="P4205" t="str">
        <f t="shared" si="348"/>
        <v>400-3085R</v>
      </c>
      <c r="Q4205" s="315" t="str">
        <f t="shared" si="349"/>
        <v>New Vehicle</v>
      </c>
      <c r="R4205" s="315" t="str">
        <f t="shared" si="350"/>
        <v>New VehicleOther Income per NV unit</v>
      </c>
      <c r="S4205" s="199"/>
      <c r="T4205" s="199"/>
      <c r="U4205" s="199"/>
    </row>
    <row r="4206" spans="1:21" x14ac:dyDescent="0.25">
      <c r="A4206" t="s">
        <v>996</v>
      </c>
      <c r="B4206" t="s">
        <v>997</v>
      </c>
      <c r="C4206" t="s">
        <v>1013</v>
      </c>
      <c r="D4206" t="s">
        <v>586</v>
      </c>
      <c r="E4206">
        <v>300</v>
      </c>
      <c r="F4206" t="s">
        <v>1024</v>
      </c>
      <c r="G4206" t="s">
        <v>1027</v>
      </c>
      <c r="H4206" s="315" t="s">
        <v>29</v>
      </c>
      <c r="I4206" s="315" t="s">
        <v>1026</v>
      </c>
      <c r="J4206" s="315" t="str">
        <f t="shared" si="346"/>
        <v>New VehicleOther Income per NV unit</v>
      </c>
      <c r="K4206" s="315" t="str">
        <f t="shared" si="347"/>
        <v>300New Vehicle Other Income - Toyota</v>
      </c>
      <c r="L4206" s="311">
        <f>+SUMIF('TUNZ Extracted TB'!M:M,$P4206,'TUNZ Extracted TB'!G:G)</f>
        <v>0</v>
      </c>
      <c r="M4206" s="311"/>
      <c r="N4206" s="311">
        <f>+SUMIF('Input Sheet'!$AE:$AE,P4206,'Input Sheet'!$X:$X)</f>
        <v>0</v>
      </c>
      <c r="O4206" s="311"/>
      <c r="P4206" t="str">
        <f t="shared" si="348"/>
        <v>300-3085R</v>
      </c>
      <c r="Q4206" s="315" t="str">
        <f t="shared" si="349"/>
        <v>New Vehicle</v>
      </c>
      <c r="R4206" s="315" t="str">
        <f t="shared" si="350"/>
        <v>New VehicleOther Income per NV unit</v>
      </c>
      <c r="S4206" s="199"/>
      <c r="T4206" s="199"/>
      <c r="U4206" s="199"/>
    </row>
    <row r="4207" spans="1:21" x14ac:dyDescent="0.25">
      <c r="A4207" t="s">
        <v>996</v>
      </c>
      <c r="B4207" t="s">
        <v>997</v>
      </c>
      <c r="C4207" t="s">
        <v>1005</v>
      </c>
      <c r="D4207" t="s">
        <v>586</v>
      </c>
      <c r="E4207">
        <v>200</v>
      </c>
      <c r="F4207" t="s">
        <v>1024</v>
      </c>
      <c r="G4207" t="s">
        <v>1027</v>
      </c>
      <c r="H4207" s="315" t="s">
        <v>29</v>
      </c>
      <c r="I4207" s="315" t="s">
        <v>1026</v>
      </c>
      <c r="J4207" s="315" t="str">
        <f t="shared" si="346"/>
        <v>New VehicleOther Income per NV unit</v>
      </c>
      <c r="K4207" s="315" t="str">
        <f t="shared" si="347"/>
        <v>200New Vehicle Other Income - Toyota</v>
      </c>
      <c r="L4207" s="311">
        <f>+SUMIF('TUNZ Extracted TB'!M:M,$P4207,'TUNZ Extracted TB'!G:G)</f>
        <v>-6087.02</v>
      </c>
      <c r="M4207" s="311"/>
      <c r="N4207" s="311">
        <f>+SUMIF('Input Sheet'!$AE:$AE,P4207,'Input Sheet'!$X:$X)</f>
        <v>0</v>
      </c>
      <c r="O4207" s="311"/>
      <c r="P4207" t="str">
        <f t="shared" si="348"/>
        <v>200-3085R</v>
      </c>
      <c r="Q4207" s="315" t="str">
        <f t="shared" si="349"/>
        <v>New Vehicle</v>
      </c>
      <c r="R4207" s="315" t="str">
        <f t="shared" si="350"/>
        <v>New VehicleOther Income per NV unit</v>
      </c>
      <c r="S4207" s="199"/>
      <c r="T4207" s="199"/>
      <c r="U4207" s="199"/>
    </row>
    <row r="4208" spans="1:21" x14ac:dyDescent="0.25">
      <c r="A4208" t="s">
        <v>996</v>
      </c>
      <c r="B4208" t="s">
        <v>997</v>
      </c>
      <c r="C4208" t="s">
        <v>997</v>
      </c>
      <c r="D4208" t="s">
        <v>586</v>
      </c>
      <c r="E4208">
        <v>110</v>
      </c>
      <c r="F4208" t="s">
        <v>1014</v>
      </c>
      <c r="G4208" t="s">
        <v>1015</v>
      </c>
      <c r="H4208" s="315" t="s">
        <v>30</v>
      </c>
      <c r="I4208" s="315" t="s">
        <v>1016</v>
      </c>
      <c r="J4208" s="315" t="str">
        <f t="shared" si="346"/>
        <v>Used VehicleEx NV demonstrators gross profit p.u.</v>
      </c>
      <c r="K4208" s="315" t="str">
        <f t="shared" si="347"/>
        <v>110Ex-Toyota NV Demonstrator revenue</v>
      </c>
      <c r="L4208" s="311">
        <f>+SUMIF('TUNZ Extracted TB'!M:M,$P4208,'TUNZ Extracted TB'!G:G)</f>
        <v>0</v>
      </c>
      <c r="M4208" s="311"/>
      <c r="N4208" s="311">
        <f>+SUMIF('Input Sheet'!$AE:$AE,P4208,'Input Sheet'!$X:$X)</f>
        <v>0</v>
      </c>
      <c r="O4208" s="311"/>
      <c r="P4208" t="str">
        <f t="shared" si="348"/>
        <v>110-3085R</v>
      </c>
      <c r="Q4208" s="315" t="str">
        <f t="shared" si="349"/>
        <v>Used Vehicle</v>
      </c>
      <c r="R4208" s="315" t="str">
        <f t="shared" si="350"/>
        <v>Used VehicleEx NV demonstrators gross profit p.u.</v>
      </c>
      <c r="S4208" s="199"/>
      <c r="T4208" s="199"/>
      <c r="U4208" s="199"/>
    </row>
    <row r="4209" spans="1:21" x14ac:dyDescent="0.25">
      <c r="A4209" t="s">
        <v>996</v>
      </c>
      <c r="B4209" t="s">
        <v>997</v>
      </c>
      <c r="C4209" t="s">
        <v>997</v>
      </c>
      <c r="D4209" t="s">
        <v>588</v>
      </c>
      <c r="E4209">
        <v>100</v>
      </c>
      <c r="F4209" t="s">
        <v>1024</v>
      </c>
      <c r="G4209" t="s">
        <v>1027</v>
      </c>
      <c r="H4209" s="315" t="s">
        <v>29</v>
      </c>
      <c r="I4209" s="315" t="s">
        <v>1026</v>
      </c>
      <c r="J4209" s="315" t="str">
        <f t="shared" si="346"/>
        <v>New VehicleOther Income per NV unit</v>
      </c>
      <c r="K4209" s="315" t="str">
        <f t="shared" si="347"/>
        <v>100New Vehicle Other Income - Toyota</v>
      </c>
      <c r="L4209" s="311">
        <f>+SUMIF('TUNZ Extracted TB'!M:M,$P4209,'TUNZ Extracted TB'!G:G)</f>
        <v>0</v>
      </c>
      <c r="M4209" s="311"/>
      <c r="N4209" s="311">
        <f>+SUMIF('Input Sheet'!$AE:$AE,P4209,'Input Sheet'!$X:$X)</f>
        <v>0</v>
      </c>
      <c r="O4209" s="311"/>
      <c r="P4209" t="str">
        <f t="shared" si="348"/>
        <v>100-3085RD</v>
      </c>
      <c r="Q4209" s="315" t="str">
        <f t="shared" si="349"/>
        <v>New Vehicle</v>
      </c>
      <c r="R4209" s="315" t="str">
        <f t="shared" si="350"/>
        <v>New VehicleOther Income per NV unit</v>
      </c>
      <c r="S4209" s="199"/>
      <c r="T4209" s="199"/>
      <c r="U4209" s="199"/>
    </row>
    <row r="4210" spans="1:21" x14ac:dyDescent="0.25">
      <c r="A4210" t="s">
        <v>996</v>
      </c>
      <c r="B4210" t="s">
        <v>997</v>
      </c>
      <c r="C4210" t="s">
        <v>1012</v>
      </c>
      <c r="D4210" t="s">
        <v>586</v>
      </c>
      <c r="E4210">
        <v>410</v>
      </c>
      <c r="F4210" t="s">
        <v>1014</v>
      </c>
      <c r="G4210" t="s">
        <v>1015</v>
      </c>
      <c r="H4210" s="315" t="s">
        <v>30</v>
      </c>
      <c r="I4210" s="315" t="s">
        <v>1016</v>
      </c>
      <c r="J4210" s="315" t="str">
        <f t="shared" si="346"/>
        <v>Used VehicleEx NV demonstrators gross profit p.u.</v>
      </c>
      <c r="K4210" s="315" t="str">
        <f t="shared" si="347"/>
        <v>410Ex-Toyota NV Demonstrator revenue</v>
      </c>
      <c r="L4210" s="311">
        <f>+SUMIF('TUNZ Extracted TB'!M:M,$P4210,'TUNZ Extracted TB'!G:G)</f>
        <v>0</v>
      </c>
      <c r="M4210" s="311"/>
      <c r="N4210" s="311">
        <f>+SUMIF('Input Sheet'!$AE:$AE,P4210,'Input Sheet'!$X:$X)</f>
        <v>0</v>
      </c>
      <c r="O4210" s="311"/>
      <c r="P4210" t="str">
        <f t="shared" si="348"/>
        <v>410-3085R</v>
      </c>
      <c r="Q4210" s="315" t="str">
        <f t="shared" si="349"/>
        <v>Used Vehicle</v>
      </c>
      <c r="R4210" s="315" t="str">
        <f t="shared" si="350"/>
        <v>Used VehicleEx NV demonstrators gross profit p.u.</v>
      </c>
      <c r="S4210" s="199"/>
      <c r="T4210" s="199"/>
      <c r="U4210" s="199"/>
    </row>
    <row r="4211" spans="1:21" x14ac:dyDescent="0.25">
      <c r="A4211" t="s">
        <v>996</v>
      </c>
      <c r="B4211" t="s">
        <v>997</v>
      </c>
      <c r="C4211" t="s">
        <v>1013</v>
      </c>
      <c r="D4211" t="s">
        <v>586</v>
      </c>
      <c r="E4211">
        <v>310</v>
      </c>
      <c r="F4211" t="s">
        <v>1014</v>
      </c>
      <c r="G4211" t="s">
        <v>1015</v>
      </c>
      <c r="H4211" s="315" t="s">
        <v>30</v>
      </c>
      <c r="I4211" s="315" t="s">
        <v>1016</v>
      </c>
      <c r="J4211" s="315" t="str">
        <f t="shared" si="346"/>
        <v>Used VehicleEx NV demonstrators gross profit p.u.</v>
      </c>
      <c r="K4211" s="315" t="str">
        <f t="shared" si="347"/>
        <v>310Ex-Toyota NV Demonstrator revenue</v>
      </c>
      <c r="L4211" s="311">
        <f>+SUMIF('TUNZ Extracted TB'!M:M,$P4211,'TUNZ Extracted TB'!G:G)</f>
        <v>0</v>
      </c>
      <c r="M4211" s="311"/>
      <c r="N4211" s="311">
        <f>+SUMIF('Input Sheet'!$AE:$AE,P4211,'Input Sheet'!$X:$X)</f>
        <v>0</v>
      </c>
      <c r="O4211" s="311"/>
      <c r="P4211" t="str">
        <f t="shared" si="348"/>
        <v>310-3085R</v>
      </c>
      <c r="Q4211" s="315" t="str">
        <f t="shared" si="349"/>
        <v>Used Vehicle</v>
      </c>
      <c r="R4211" s="315" t="str">
        <f t="shared" si="350"/>
        <v>Used VehicleEx NV demonstrators gross profit p.u.</v>
      </c>
      <c r="S4211" s="199"/>
      <c r="T4211" s="199"/>
      <c r="U4211" s="199"/>
    </row>
    <row r="4212" spans="1:21" x14ac:dyDescent="0.25">
      <c r="A4212" t="s">
        <v>996</v>
      </c>
      <c r="B4212" t="s">
        <v>997</v>
      </c>
      <c r="C4212" t="s">
        <v>1005</v>
      </c>
      <c r="D4212" t="s">
        <v>588</v>
      </c>
      <c r="E4212">
        <v>200</v>
      </c>
      <c r="F4212" t="s">
        <v>1024</v>
      </c>
      <c r="G4212" t="s">
        <v>1027</v>
      </c>
      <c r="H4212" s="315" t="s">
        <v>29</v>
      </c>
      <c r="I4212" s="315" t="s">
        <v>1026</v>
      </c>
      <c r="J4212" s="315" t="str">
        <f t="shared" si="346"/>
        <v>New VehicleOther Income per NV unit</v>
      </c>
      <c r="K4212" s="315" t="str">
        <f t="shared" si="347"/>
        <v>200New Vehicle Other Income - Toyota</v>
      </c>
      <c r="L4212" s="311">
        <f>+SUMIF('TUNZ Extracted TB'!M:M,$P4212,'TUNZ Extracted TB'!G:G)</f>
        <v>0</v>
      </c>
      <c r="M4212" s="311"/>
      <c r="N4212" s="311">
        <f>+SUMIF('Input Sheet'!$AE:$AE,P4212,'Input Sheet'!$X:$X)</f>
        <v>0</v>
      </c>
      <c r="O4212" s="311"/>
      <c r="P4212" t="str">
        <f t="shared" si="348"/>
        <v>200-3085RD</v>
      </c>
      <c r="Q4212" s="315" t="str">
        <f t="shared" si="349"/>
        <v>New Vehicle</v>
      </c>
      <c r="R4212" s="315" t="str">
        <f t="shared" si="350"/>
        <v>New VehicleOther Income per NV unit</v>
      </c>
      <c r="S4212" s="199"/>
      <c r="T4212" s="199"/>
      <c r="U4212" s="199"/>
    </row>
    <row r="4213" spans="1:21" x14ac:dyDescent="0.25">
      <c r="A4213" t="s">
        <v>996</v>
      </c>
      <c r="B4213" t="s">
        <v>997</v>
      </c>
      <c r="C4213" t="s">
        <v>1012</v>
      </c>
      <c r="D4213" t="s">
        <v>588</v>
      </c>
      <c r="E4213">
        <v>400</v>
      </c>
      <c r="F4213" t="s">
        <v>1024</v>
      </c>
      <c r="G4213" t="s">
        <v>1027</v>
      </c>
      <c r="H4213" s="315" t="s">
        <v>29</v>
      </c>
      <c r="I4213" s="315" t="s">
        <v>1026</v>
      </c>
      <c r="J4213" s="315" t="str">
        <f t="shared" si="346"/>
        <v>New VehicleOther Income per NV unit</v>
      </c>
      <c r="K4213" s="315" t="str">
        <f t="shared" si="347"/>
        <v>400New Vehicle Other Income - Toyota</v>
      </c>
      <c r="L4213" s="311">
        <f>+SUMIF('TUNZ Extracted TB'!M:M,$P4213,'TUNZ Extracted TB'!G:G)</f>
        <v>0</v>
      </c>
      <c r="M4213" s="311"/>
      <c r="N4213" s="311">
        <f>+SUMIF('Input Sheet'!$AE:$AE,P4213,'Input Sheet'!$X:$X)</f>
        <v>0</v>
      </c>
      <c r="O4213" s="311"/>
      <c r="P4213" t="str">
        <f t="shared" si="348"/>
        <v>400-3085RD</v>
      </c>
      <c r="Q4213" s="315" t="str">
        <f t="shared" si="349"/>
        <v>New Vehicle</v>
      </c>
      <c r="R4213" s="315" t="str">
        <f t="shared" si="350"/>
        <v>New VehicleOther Income per NV unit</v>
      </c>
      <c r="S4213" s="199"/>
      <c r="T4213" s="199"/>
      <c r="U4213" s="199"/>
    </row>
    <row r="4214" spans="1:21" x14ac:dyDescent="0.25">
      <c r="A4214" t="s">
        <v>996</v>
      </c>
      <c r="B4214" t="s">
        <v>997</v>
      </c>
      <c r="C4214" t="s">
        <v>1013</v>
      </c>
      <c r="D4214" t="s">
        <v>588</v>
      </c>
      <c r="E4214">
        <v>300</v>
      </c>
      <c r="F4214" t="s">
        <v>1024</v>
      </c>
      <c r="G4214" t="s">
        <v>1027</v>
      </c>
      <c r="H4214" s="315" t="s">
        <v>29</v>
      </c>
      <c r="I4214" s="315" t="s">
        <v>1026</v>
      </c>
      <c r="J4214" s="315" t="str">
        <f t="shared" si="346"/>
        <v>New VehicleOther Income per NV unit</v>
      </c>
      <c r="K4214" s="315" t="str">
        <f t="shared" si="347"/>
        <v>300New Vehicle Other Income - Toyota</v>
      </c>
      <c r="L4214" s="311">
        <f>+SUMIF('TUNZ Extracted TB'!M:M,$P4214,'TUNZ Extracted TB'!G:G)</f>
        <v>0</v>
      </c>
      <c r="M4214" s="311"/>
      <c r="N4214" s="311">
        <f>+SUMIF('Input Sheet'!$AE:$AE,P4214,'Input Sheet'!$X:$X)</f>
        <v>0</v>
      </c>
      <c r="O4214" s="311"/>
      <c r="P4214" t="str">
        <f t="shared" si="348"/>
        <v>300-3085RD</v>
      </c>
      <c r="Q4214" s="315" t="str">
        <f t="shared" si="349"/>
        <v>New Vehicle</v>
      </c>
      <c r="R4214" s="315" t="str">
        <f t="shared" si="350"/>
        <v>New VehicleOther Income per NV unit</v>
      </c>
      <c r="S4214" s="199"/>
      <c r="T4214" s="199"/>
      <c r="U4214" s="199"/>
    </row>
    <row r="4215" spans="1:21" x14ac:dyDescent="0.25">
      <c r="A4215" t="s">
        <v>996</v>
      </c>
      <c r="B4215" t="s">
        <v>997</v>
      </c>
      <c r="C4215" t="s">
        <v>1005</v>
      </c>
      <c r="D4215" t="s">
        <v>586</v>
      </c>
      <c r="E4215">
        <v>210</v>
      </c>
      <c r="F4215" t="s">
        <v>1014</v>
      </c>
      <c r="G4215" t="s">
        <v>1015</v>
      </c>
      <c r="H4215" s="315" t="s">
        <v>30</v>
      </c>
      <c r="I4215" s="315" t="s">
        <v>1016</v>
      </c>
      <c r="J4215" s="315" t="str">
        <f t="shared" si="346"/>
        <v>Used VehicleEx NV demonstrators gross profit p.u.</v>
      </c>
      <c r="K4215" s="315" t="str">
        <f t="shared" si="347"/>
        <v>210Ex-Toyota NV Demonstrator revenue</v>
      </c>
      <c r="L4215" s="311">
        <f>+SUMIF('TUNZ Extracted TB'!M:M,$P4215,'TUNZ Extracted TB'!G:G)</f>
        <v>-137485.78</v>
      </c>
      <c r="M4215" s="311"/>
      <c r="N4215" s="311">
        <f>+SUMIF('Input Sheet'!$AE:$AE,P4215,'Input Sheet'!$X:$X)</f>
        <v>0</v>
      </c>
      <c r="O4215" s="311"/>
      <c r="P4215" t="str">
        <f t="shared" si="348"/>
        <v>210-3085R</v>
      </c>
      <c r="Q4215" s="315" t="str">
        <f t="shared" si="349"/>
        <v>Used Vehicle</v>
      </c>
      <c r="R4215" s="315" t="str">
        <f t="shared" si="350"/>
        <v>Used VehicleEx NV demonstrators gross profit p.u.</v>
      </c>
      <c r="S4215" s="199"/>
      <c r="T4215" s="199"/>
      <c r="U4215" s="199"/>
    </row>
    <row r="4216" spans="1:21" x14ac:dyDescent="0.25">
      <c r="A4216" t="s">
        <v>996</v>
      </c>
      <c r="B4216" t="s">
        <v>997</v>
      </c>
      <c r="C4216" t="s">
        <v>997</v>
      </c>
      <c r="D4216" t="s">
        <v>588</v>
      </c>
      <c r="E4216">
        <v>110</v>
      </c>
      <c r="F4216" t="s">
        <v>1014</v>
      </c>
      <c r="G4216" t="s">
        <v>1015</v>
      </c>
      <c r="H4216" s="315" t="s">
        <v>30</v>
      </c>
      <c r="I4216" s="315" t="s">
        <v>1016</v>
      </c>
      <c r="J4216" s="315" t="str">
        <f t="shared" si="346"/>
        <v>Used VehicleEx NV demonstrators gross profit p.u.</v>
      </c>
      <c r="K4216" s="315" t="str">
        <f t="shared" si="347"/>
        <v>110Ex-Toyota NV Demonstrator revenue</v>
      </c>
      <c r="L4216" s="311">
        <f>+SUMIF('TUNZ Extracted TB'!M:M,$P4216,'TUNZ Extracted TB'!G:G)</f>
        <v>0</v>
      </c>
      <c r="M4216" s="311"/>
      <c r="N4216" s="311">
        <f>+SUMIF('Input Sheet'!$AE:$AE,P4216,'Input Sheet'!$X:$X)</f>
        <v>0</v>
      </c>
      <c r="O4216" s="311"/>
      <c r="P4216" t="str">
        <f t="shared" si="348"/>
        <v>110-3085RD</v>
      </c>
      <c r="Q4216" s="315" t="str">
        <f t="shared" si="349"/>
        <v>Used Vehicle</v>
      </c>
      <c r="R4216" s="315" t="str">
        <f t="shared" si="350"/>
        <v>Used VehicleEx NV demonstrators gross profit p.u.</v>
      </c>
      <c r="S4216" s="199"/>
      <c r="T4216" s="199"/>
      <c r="U4216" s="199"/>
    </row>
    <row r="4217" spans="1:21" x14ac:dyDescent="0.25">
      <c r="A4217" t="s">
        <v>996</v>
      </c>
      <c r="B4217" t="s">
        <v>997</v>
      </c>
      <c r="C4217" t="s">
        <v>997</v>
      </c>
      <c r="D4217" t="s">
        <v>590</v>
      </c>
      <c r="E4217">
        <v>100</v>
      </c>
      <c r="F4217" t="s">
        <v>1024</v>
      </c>
      <c r="G4217" t="s">
        <v>1027</v>
      </c>
      <c r="H4217" s="315" t="s">
        <v>29</v>
      </c>
      <c r="I4217" s="315" t="s">
        <v>1026</v>
      </c>
      <c r="J4217" s="315" t="str">
        <f t="shared" si="346"/>
        <v>New VehicleOther Income per NV unit</v>
      </c>
      <c r="K4217" s="315" t="str">
        <f t="shared" si="347"/>
        <v>100New Vehicle Other Income - Toyota</v>
      </c>
      <c r="L4217" s="311">
        <f>+SUMIF('TUNZ Extracted TB'!M:M,$P4217,'TUNZ Extracted TB'!G:G)</f>
        <v>-14418.88</v>
      </c>
      <c r="M4217" s="311"/>
      <c r="N4217" s="311">
        <f>+SUMIF('Input Sheet'!$AE:$AE,P4217,'Input Sheet'!$X:$X)</f>
        <v>0</v>
      </c>
      <c r="O4217" s="311"/>
      <c r="P4217" t="str">
        <f t="shared" si="348"/>
        <v>100-3087R</v>
      </c>
      <c r="Q4217" s="315" t="str">
        <f t="shared" si="349"/>
        <v>New Vehicle</v>
      </c>
      <c r="R4217" s="315" t="str">
        <f t="shared" si="350"/>
        <v>New VehicleOther Income per NV unit</v>
      </c>
      <c r="S4217" s="199"/>
      <c r="T4217" s="199"/>
      <c r="U4217" s="199"/>
    </row>
    <row r="4218" spans="1:21" x14ac:dyDescent="0.25">
      <c r="A4218" t="s">
        <v>996</v>
      </c>
      <c r="B4218" t="s">
        <v>997</v>
      </c>
      <c r="C4218" t="s">
        <v>1005</v>
      </c>
      <c r="D4218" t="s">
        <v>588</v>
      </c>
      <c r="E4218">
        <v>210</v>
      </c>
      <c r="F4218" t="s">
        <v>1014</v>
      </c>
      <c r="G4218" t="s">
        <v>1015</v>
      </c>
      <c r="H4218" s="315" t="s">
        <v>30</v>
      </c>
      <c r="I4218" s="315" t="s">
        <v>1016</v>
      </c>
      <c r="J4218" s="315" t="str">
        <f t="shared" si="346"/>
        <v>Used VehicleEx NV demonstrators gross profit p.u.</v>
      </c>
      <c r="K4218" s="315" t="str">
        <f t="shared" si="347"/>
        <v>210Ex-Toyota NV Demonstrator revenue</v>
      </c>
      <c r="L4218" s="311">
        <f>+SUMIF('TUNZ Extracted TB'!M:M,$P4218,'TUNZ Extracted TB'!G:G)</f>
        <v>981.43</v>
      </c>
      <c r="M4218" s="311"/>
      <c r="N4218" s="311">
        <f>+SUMIF('Input Sheet'!$AE:$AE,P4218,'Input Sheet'!$X:$X)</f>
        <v>0</v>
      </c>
      <c r="O4218" s="311"/>
      <c r="P4218" t="str">
        <f t="shared" si="348"/>
        <v>210-3085RD</v>
      </c>
      <c r="Q4218" s="315" t="str">
        <f t="shared" si="349"/>
        <v>Used Vehicle</v>
      </c>
      <c r="R4218" s="315" t="str">
        <f t="shared" si="350"/>
        <v>Used VehicleEx NV demonstrators gross profit p.u.</v>
      </c>
      <c r="S4218" s="199"/>
      <c r="T4218" s="199"/>
      <c r="U4218" s="199"/>
    </row>
    <row r="4219" spans="1:21" x14ac:dyDescent="0.25">
      <c r="A4219" t="s">
        <v>996</v>
      </c>
      <c r="B4219" t="s">
        <v>997</v>
      </c>
      <c r="C4219" t="s">
        <v>1012</v>
      </c>
      <c r="D4219" t="s">
        <v>588</v>
      </c>
      <c r="E4219">
        <v>410</v>
      </c>
      <c r="F4219" t="s">
        <v>1014</v>
      </c>
      <c r="G4219" t="s">
        <v>1015</v>
      </c>
      <c r="H4219" s="315" t="s">
        <v>30</v>
      </c>
      <c r="I4219" s="315" t="s">
        <v>1016</v>
      </c>
      <c r="J4219" s="315" t="str">
        <f t="shared" si="346"/>
        <v>Used VehicleEx NV demonstrators gross profit p.u.</v>
      </c>
      <c r="K4219" s="315" t="str">
        <f t="shared" si="347"/>
        <v>410Ex-Toyota NV Demonstrator revenue</v>
      </c>
      <c r="L4219" s="311">
        <f>+SUMIF('TUNZ Extracted TB'!M:M,$P4219,'TUNZ Extracted TB'!G:G)</f>
        <v>0</v>
      </c>
      <c r="M4219" s="311"/>
      <c r="N4219" s="311">
        <f>+SUMIF('Input Sheet'!$AE:$AE,P4219,'Input Sheet'!$X:$X)</f>
        <v>0</v>
      </c>
      <c r="O4219" s="311"/>
      <c r="P4219" t="str">
        <f t="shared" si="348"/>
        <v>410-3085RD</v>
      </c>
      <c r="Q4219" s="315" t="str">
        <f t="shared" si="349"/>
        <v>Used Vehicle</v>
      </c>
      <c r="R4219" s="315" t="str">
        <f t="shared" si="350"/>
        <v>Used VehicleEx NV demonstrators gross profit p.u.</v>
      </c>
      <c r="S4219" s="199"/>
      <c r="T4219" s="199"/>
      <c r="U4219" s="199"/>
    </row>
    <row r="4220" spans="1:21" x14ac:dyDescent="0.25">
      <c r="A4220" t="s">
        <v>996</v>
      </c>
      <c r="B4220" t="s">
        <v>997</v>
      </c>
      <c r="C4220" t="s">
        <v>1013</v>
      </c>
      <c r="D4220" t="s">
        <v>588</v>
      </c>
      <c r="E4220">
        <v>310</v>
      </c>
      <c r="F4220" t="s">
        <v>1014</v>
      </c>
      <c r="G4220" t="s">
        <v>1015</v>
      </c>
      <c r="H4220" s="315" t="s">
        <v>30</v>
      </c>
      <c r="I4220" s="315" t="s">
        <v>1016</v>
      </c>
      <c r="J4220" s="315" t="str">
        <f t="shared" si="346"/>
        <v>Used VehicleEx NV demonstrators gross profit p.u.</v>
      </c>
      <c r="K4220" s="315" t="str">
        <f t="shared" si="347"/>
        <v>310Ex-Toyota NV Demonstrator revenue</v>
      </c>
      <c r="L4220" s="311">
        <f>+SUMIF('TUNZ Extracted TB'!M:M,$P4220,'TUNZ Extracted TB'!G:G)</f>
        <v>0</v>
      </c>
      <c r="M4220" s="311"/>
      <c r="N4220" s="311">
        <f>+SUMIF('Input Sheet'!$AE:$AE,P4220,'Input Sheet'!$X:$X)</f>
        <v>0</v>
      </c>
      <c r="O4220" s="311"/>
      <c r="P4220" t="str">
        <f t="shared" si="348"/>
        <v>310-3085RD</v>
      </c>
      <c r="Q4220" s="315" t="str">
        <f t="shared" si="349"/>
        <v>Used Vehicle</v>
      </c>
      <c r="R4220" s="315" t="str">
        <f t="shared" si="350"/>
        <v>Used VehicleEx NV demonstrators gross profit p.u.</v>
      </c>
      <c r="S4220" s="199"/>
      <c r="T4220" s="199"/>
      <c r="U4220" s="199"/>
    </row>
    <row r="4221" spans="1:21" x14ac:dyDescent="0.25">
      <c r="A4221" t="s">
        <v>996</v>
      </c>
      <c r="B4221" t="s">
        <v>997</v>
      </c>
      <c r="C4221" t="s">
        <v>1012</v>
      </c>
      <c r="D4221" t="s">
        <v>590</v>
      </c>
      <c r="E4221">
        <v>400</v>
      </c>
      <c r="F4221" t="s">
        <v>1024</v>
      </c>
      <c r="G4221" t="s">
        <v>1027</v>
      </c>
      <c r="H4221" s="315" t="s">
        <v>29</v>
      </c>
      <c r="I4221" s="315" t="s">
        <v>1026</v>
      </c>
      <c r="J4221" s="315" t="str">
        <f t="shared" si="346"/>
        <v>New VehicleOther Income per NV unit</v>
      </c>
      <c r="K4221" s="315" t="str">
        <f t="shared" si="347"/>
        <v>400New Vehicle Other Income - Toyota</v>
      </c>
      <c r="L4221" s="311">
        <f>+SUMIF('TUNZ Extracted TB'!M:M,$P4221,'TUNZ Extracted TB'!G:G)</f>
        <v>0</v>
      </c>
      <c r="M4221" s="311"/>
      <c r="N4221" s="311">
        <f>+SUMIF('Input Sheet'!$AE:$AE,P4221,'Input Sheet'!$X:$X)</f>
        <v>0</v>
      </c>
      <c r="O4221" s="311"/>
      <c r="P4221" t="str">
        <f t="shared" si="348"/>
        <v>400-3087R</v>
      </c>
      <c r="Q4221" s="315" t="str">
        <f t="shared" si="349"/>
        <v>New Vehicle</v>
      </c>
      <c r="R4221" s="315" t="str">
        <f t="shared" si="350"/>
        <v>New VehicleOther Income per NV unit</v>
      </c>
      <c r="S4221" s="199"/>
      <c r="T4221" s="199"/>
      <c r="U4221" s="199"/>
    </row>
    <row r="4222" spans="1:21" x14ac:dyDescent="0.25">
      <c r="A4222" t="s">
        <v>996</v>
      </c>
      <c r="B4222" t="s">
        <v>997</v>
      </c>
      <c r="C4222" t="s">
        <v>1013</v>
      </c>
      <c r="D4222" t="s">
        <v>590</v>
      </c>
      <c r="E4222">
        <v>300</v>
      </c>
      <c r="F4222" t="s">
        <v>1024</v>
      </c>
      <c r="G4222" t="s">
        <v>1027</v>
      </c>
      <c r="H4222" s="315" t="s">
        <v>29</v>
      </c>
      <c r="I4222" s="315" t="s">
        <v>1026</v>
      </c>
      <c r="J4222" s="315" t="str">
        <f t="shared" si="346"/>
        <v>New VehicleOther Income per NV unit</v>
      </c>
      <c r="K4222" s="315" t="str">
        <f t="shared" si="347"/>
        <v>300New Vehicle Other Income - Toyota</v>
      </c>
      <c r="L4222" s="311">
        <f>+SUMIF('TUNZ Extracted TB'!M:M,$P4222,'TUNZ Extracted TB'!G:G)</f>
        <v>0</v>
      </c>
      <c r="M4222" s="311"/>
      <c r="N4222" s="311">
        <f>+SUMIF('Input Sheet'!$AE:$AE,P4222,'Input Sheet'!$X:$X)</f>
        <v>0</v>
      </c>
      <c r="O4222" s="311"/>
      <c r="P4222" t="str">
        <f t="shared" si="348"/>
        <v>300-3087R</v>
      </c>
      <c r="Q4222" s="315" t="str">
        <f t="shared" si="349"/>
        <v>New Vehicle</v>
      </c>
      <c r="R4222" s="315" t="str">
        <f t="shared" si="350"/>
        <v>New VehicleOther Income per NV unit</v>
      </c>
      <c r="S4222" s="199"/>
      <c r="T4222" s="199"/>
      <c r="U4222" s="199"/>
    </row>
    <row r="4223" spans="1:21" x14ac:dyDescent="0.25">
      <c r="A4223" t="s">
        <v>996</v>
      </c>
      <c r="B4223" t="s">
        <v>997</v>
      </c>
      <c r="C4223" t="s">
        <v>1005</v>
      </c>
      <c r="D4223" t="s">
        <v>590</v>
      </c>
      <c r="E4223">
        <v>200</v>
      </c>
      <c r="F4223" t="s">
        <v>1024</v>
      </c>
      <c r="G4223" t="s">
        <v>1027</v>
      </c>
      <c r="H4223" s="315" t="s">
        <v>29</v>
      </c>
      <c r="I4223" s="315" t="s">
        <v>1026</v>
      </c>
      <c r="J4223" s="315" t="str">
        <f t="shared" si="346"/>
        <v>New VehicleOther Income per NV unit</v>
      </c>
      <c r="K4223" s="315" t="str">
        <f t="shared" si="347"/>
        <v>200New Vehicle Other Income - Toyota</v>
      </c>
      <c r="L4223" s="311">
        <f>+SUMIF('TUNZ Extracted TB'!M:M,$P4223,'TUNZ Extracted TB'!G:G)</f>
        <v>-8323.89</v>
      </c>
      <c r="M4223" s="311"/>
      <c r="N4223" s="311">
        <f>+SUMIF('Input Sheet'!$AE:$AE,P4223,'Input Sheet'!$X:$X)</f>
        <v>0</v>
      </c>
      <c r="O4223" s="311"/>
      <c r="P4223" t="str">
        <f t="shared" si="348"/>
        <v>200-3087R</v>
      </c>
      <c r="Q4223" s="315" t="str">
        <f t="shared" si="349"/>
        <v>New Vehicle</v>
      </c>
      <c r="R4223" s="315" t="str">
        <f t="shared" si="350"/>
        <v>New VehicleOther Income per NV unit</v>
      </c>
      <c r="S4223" s="199"/>
      <c r="T4223" s="199"/>
      <c r="U4223" s="199"/>
    </row>
    <row r="4224" spans="1:21" x14ac:dyDescent="0.25">
      <c r="A4224" t="s">
        <v>996</v>
      </c>
      <c r="B4224" t="s">
        <v>997</v>
      </c>
      <c r="C4224" t="s">
        <v>997</v>
      </c>
      <c r="D4224" t="s">
        <v>590</v>
      </c>
      <c r="E4224">
        <v>110</v>
      </c>
      <c r="F4224" t="s">
        <v>1014</v>
      </c>
      <c r="G4224" t="s">
        <v>1015</v>
      </c>
      <c r="H4224" s="315" t="s">
        <v>30</v>
      </c>
      <c r="I4224" s="315" t="s">
        <v>1016</v>
      </c>
      <c r="J4224" s="315" t="str">
        <f t="shared" si="346"/>
        <v>Used VehicleEx NV demonstrators gross profit p.u.</v>
      </c>
      <c r="K4224" s="315" t="str">
        <f t="shared" si="347"/>
        <v>110Ex-Toyota NV Demonstrator revenue</v>
      </c>
      <c r="L4224" s="311">
        <f>+SUMIF('TUNZ Extracted TB'!M:M,$P4224,'TUNZ Extracted TB'!G:G)</f>
        <v>0</v>
      </c>
      <c r="M4224" s="311"/>
      <c r="N4224" s="311">
        <f>+SUMIF('Input Sheet'!$AE:$AE,P4224,'Input Sheet'!$X:$X)</f>
        <v>0</v>
      </c>
      <c r="O4224" s="311"/>
      <c r="P4224" t="str">
        <f t="shared" si="348"/>
        <v>110-3087R</v>
      </c>
      <c r="Q4224" s="315" t="str">
        <f t="shared" si="349"/>
        <v>Used Vehicle</v>
      </c>
      <c r="R4224" s="315" t="str">
        <f t="shared" si="350"/>
        <v>Used VehicleEx NV demonstrators gross profit p.u.</v>
      </c>
      <c r="S4224" s="199"/>
      <c r="T4224" s="199"/>
      <c r="U4224" s="199"/>
    </row>
    <row r="4225" spans="1:21" x14ac:dyDescent="0.25">
      <c r="A4225" t="s">
        <v>996</v>
      </c>
      <c r="B4225" t="s">
        <v>997</v>
      </c>
      <c r="C4225" t="s">
        <v>997</v>
      </c>
      <c r="D4225" t="s">
        <v>592</v>
      </c>
      <c r="E4225">
        <v>100</v>
      </c>
      <c r="F4225" t="s">
        <v>1024</v>
      </c>
      <c r="G4225" t="s">
        <v>1027</v>
      </c>
      <c r="H4225" s="315" t="s">
        <v>29</v>
      </c>
      <c r="I4225" s="315" t="s">
        <v>1026</v>
      </c>
      <c r="J4225" s="315" t="str">
        <f t="shared" si="346"/>
        <v>New VehicleOther Income per NV unit</v>
      </c>
      <c r="K4225" s="315" t="str">
        <f t="shared" si="347"/>
        <v>100New Vehicle Other Income - Toyota</v>
      </c>
      <c r="L4225" s="311">
        <f>+SUMIF('TUNZ Extracted TB'!M:M,$P4225,'TUNZ Extracted TB'!G:G)</f>
        <v>0</v>
      </c>
      <c r="M4225" s="311"/>
      <c r="N4225" s="311">
        <f>+SUMIF('Input Sheet'!$AE:$AE,P4225,'Input Sheet'!$X:$X)</f>
        <v>0</v>
      </c>
      <c r="O4225" s="311"/>
      <c r="P4225" t="str">
        <f t="shared" si="348"/>
        <v>100-3087RD</v>
      </c>
      <c r="Q4225" s="315" t="str">
        <f t="shared" si="349"/>
        <v>New Vehicle</v>
      </c>
      <c r="R4225" s="315" t="str">
        <f t="shared" si="350"/>
        <v>New VehicleOther Income per NV unit</v>
      </c>
      <c r="S4225" s="199"/>
      <c r="T4225" s="199"/>
      <c r="U4225" s="199"/>
    </row>
    <row r="4226" spans="1:21" x14ac:dyDescent="0.25">
      <c r="A4226" t="s">
        <v>996</v>
      </c>
      <c r="B4226" t="s">
        <v>997</v>
      </c>
      <c r="C4226" t="s">
        <v>1012</v>
      </c>
      <c r="D4226" t="s">
        <v>590</v>
      </c>
      <c r="E4226">
        <v>410</v>
      </c>
      <c r="F4226" t="s">
        <v>1014</v>
      </c>
      <c r="G4226" t="s">
        <v>1015</v>
      </c>
      <c r="H4226" s="315" t="s">
        <v>30</v>
      </c>
      <c r="I4226" s="315" t="s">
        <v>1016</v>
      </c>
      <c r="J4226" s="315" t="str">
        <f t="shared" si="346"/>
        <v>Used VehicleEx NV demonstrators gross profit p.u.</v>
      </c>
      <c r="K4226" s="315" t="str">
        <f t="shared" si="347"/>
        <v>410Ex-Toyota NV Demonstrator revenue</v>
      </c>
      <c r="L4226" s="311">
        <f>+SUMIF('TUNZ Extracted TB'!M:M,$P4226,'TUNZ Extracted TB'!G:G)</f>
        <v>0</v>
      </c>
      <c r="M4226" s="311"/>
      <c r="N4226" s="311">
        <f>+SUMIF('Input Sheet'!$AE:$AE,P4226,'Input Sheet'!$X:$X)</f>
        <v>0</v>
      </c>
      <c r="O4226" s="311"/>
      <c r="P4226" t="str">
        <f t="shared" si="348"/>
        <v>410-3087R</v>
      </c>
      <c r="Q4226" s="315" t="str">
        <f t="shared" si="349"/>
        <v>Used Vehicle</v>
      </c>
      <c r="R4226" s="315" t="str">
        <f t="shared" si="350"/>
        <v>Used VehicleEx NV demonstrators gross profit p.u.</v>
      </c>
      <c r="S4226" s="199"/>
      <c r="T4226" s="199"/>
      <c r="U4226" s="199"/>
    </row>
    <row r="4227" spans="1:21" x14ac:dyDescent="0.25">
      <c r="A4227" t="s">
        <v>996</v>
      </c>
      <c r="B4227" t="s">
        <v>997</v>
      </c>
      <c r="C4227" t="s">
        <v>1013</v>
      </c>
      <c r="D4227" t="s">
        <v>590</v>
      </c>
      <c r="E4227">
        <v>310</v>
      </c>
      <c r="F4227" t="s">
        <v>1014</v>
      </c>
      <c r="G4227" t="s">
        <v>1015</v>
      </c>
      <c r="H4227" s="315" t="s">
        <v>30</v>
      </c>
      <c r="I4227" s="315" t="s">
        <v>1016</v>
      </c>
      <c r="J4227" s="315" t="str">
        <f t="shared" ref="J4227:J4290" si="351">+H4227&amp;I4227</f>
        <v>Used VehicleEx NV demonstrators gross profit p.u.</v>
      </c>
      <c r="K4227" s="315" t="str">
        <f t="shared" ref="K4227:K4290" si="352">+E4227&amp;G4227</f>
        <v>310Ex-Toyota NV Demonstrator revenue</v>
      </c>
      <c r="L4227" s="311">
        <f>+SUMIF('TUNZ Extracted TB'!M:M,$P4227,'TUNZ Extracted TB'!G:G)</f>
        <v>0</v>
      </c>
      <c r="M4227" s="311"/>
      <c r="N4227" s="311">
        <f>+SUMIF('Input Sheet'!$AE:$AE,P4227,'Input Sheet'!$X:$X)</f>
        <v>0</v>
      </c>
      <c r="O4227" s="311"/>
      <c r="P4227" t="str">
        <f t="shared" ref="P4227:P4290" si="353">+E4227&amp;"-"&amp;D4227</f>
        <v>310-3087R</v>
      </c>
      <c r="Q4227" s="315" t="str">
        <f t="shared" ref="Q4227:Q4290" si="354">H4227</f>
        <v>Used Vehicle</v>
      </c>
      <c r="R4227" s="315" t="str">
        <f t="shared" ref="R4227:R4290" si="355">J4227</f>
        <v>Used VehicleEx NV demonstrators gross profit p.u.</v>
      </c>
      <c r="S4227" s="199"/>
      <c r="T4227" s="199"/>
      <c r="U4227" s="199"/>
    </row>
    <row r="4228" spans="1:21" x14ac:dyDescent="0.25">
      <c r="A4228" t="s">
        <v>996</v>
      </c>
      <c r="B4228" t="s">
        <v>997</v>
      </c>
      <c r="C4228" t="s">
        <v>1005</v>
      </c>
      <c r="D4228" t="s">
        <v>590</v>
      </c>
      <c r="E4228">
        <v>210</v>
      </c>
      <c r="F4228" t="s">
        <v>1014</v>
      </c>
      <c r="G4228" t="s">
        <v>1015</v>
      </c>
      <c r="H4228" s="315" t="s">
        <v>30</v>
      </c>
      <c r="I4228" s="315" t="s">
        <v>1016</v>
      </c>
      <c r="J4228" s="315" t="str">
        <f t="shared" si="351"/>
        <v>Used VehicleEx NV demonstrators gross profit p.u.</v>
      </c>
      <c r="K4228" s="315" t="str">
        <f t="shared" si="352"/>
        <v>210Ex-Toyota NV Demonstrator revenue</v>
      </c>
      <c r="L4228" s="311">
        <f>+SUMIF('TUNZ Extracted TB'!M:M,$P4228,'TUNZ Extracted TB'!G:G)</f>
        <v>0</v>
      </c>
      <c r="M4228" s="311"/>
      <c r="N4228" s="311">
        <f>+SUMIF('Input Sheet'!$AE:$AE,P4228,'Input Sheet'!$X:$X)</f>
        <v>0</v>
      </c>
      <c r="O4228" s="311"/>
      <c r="P4228" t="str">
        <f t="shared" si="353"/>
        <v>210-3087R</v>
      </c>
      <c r="Q4228" s="315" t="str">
        <f t="shared" si="354"/>
        <v>Used Vehicle</v>
      </c>
      <c r="R4228" s="315" t="str">
        <f t="shared" si="355"/>
        <v>Used VehicleEx NV demonstrators gross profit p.u.</v>
      </c>
      <c r="S4228" s="199"/>
      <c r="T4228" s="199"/>
      <c r="U4228" s="199"/>
    </row>
    <row r="4229" spans="1:21" x14ac:dyDescent="0.25">
      <c r="A4229" t="s">
        <v>996</v>
      </c>
      <c r="B4229" t="s">
        <v>997</v>
      </c>
      <c r="C4229" t="s">
        <v>1005</v>
      </c>
      <c r="D4229" t="s">
        <v>592</v>
      </c>
      <c r="E4229">
        <v>200</v>
      </c>
      <c r="F4229" t="s">
        <v>1024</v>
      </c>
      <c r="G4229" t="s">
        <v>1027</v>
      </c>
      <c r="H4229" s="315" t="s">
        <v>29</v>
      </c>
      <c r="I4229" s="315" t="s">
        <v>1026</v>
      </c>
      <c r="J4229" s="315" t="str">
        <f t="shared" si="351"/>
        <v>New VehicleOther Income per NV unit</v>
      </c>
      <c r="K4229" s="315" t="str">
        <f t="shared" si="352"/>
        <v>200New Vehicle Other Income - Toyota</v>
      </c>
      <c r="L4229" s="311">
        <f>+SUMIF('TUNZ Extracted TB'!M:M,$P4229,'TUNZ Extracted TB'!G:G)</f>
        <v>0</v>
      </c>
      <c r="M4229" s="311"/>
      <c r="N4229" s="311">
        <f>+SUMIF('Input Sheet'!$AE:$AE,P4229,'Input Sheet'!$X:$X)</f>
        <v>0</v>
      </c>
      <c r="O4229" s="311"/>
      <c r="P4229" t="str">
        <f t="shared" si="353"/>
        <v>200-3087RD</v>
      </c>
      <c r="Q4229" s="315" t="str">
        <f t="shared" si="354"/>
        <v>New Vehicle</v>
      </c>
      <c r="R4229" s="315" t="str">
        <f t="shared" si="355"/>
        <v>New VehicleOther Income per NV unit</v>
      </c>
      <c r="S4229" s="199"/>
      <c r="T4229" s="199"/>
      <c r="U4229" s="199"/>
    </row>
    <row r="4230" spans="1:21" x14ac:dyDescent="0.25">
      <c r="A4230" t="s">
        <v>996</v>
      </c>
      <c r="B4230" t="s">
        <v>997</v>
      </c>
      <c r="C4230" t="s">
        <v>1012</v>
      </c>
      <c r="D4230" t="s">
        <v>592</v>
      </c>
      <c r="E4230">
        <v>400</v>
      </c>
      <c r="F4230" t="s">
        <v>1024</v>
      </c>
      <c r="G4230" t="s">
        <v>1027</v>
      </c>
      <c r="H4230" s="315" t="s">
        <v>29</v>
      </c>
      <c r="I4230" s="315" t="s">
        <v>1026</v>
      </c>
      <c r="J4230" s="315" t="str">
        <f t="shared" si="351"/>
        <v>New VehicleOther Income per NV unit</v>
      </c>
      <c r="K4230" s="315" t="str">
        <f t="shared" si="352"/>
        <v>400New Vehicle Other Income - Toyota</v>
      </c>
      <c r="L4230" s="311">
        <f>+SUMIF('TUNZ Extracted TB'!M:M,$P4230,'TUNZ Extracted TB'!G:G)</f>
        <v>0</v>
      </c>
      <c r="M4230" s="311"/>
      <c r="N4230" s="311">
        <f>+SUMIF('Input Sheet'!$AE:$AE,P4230,'Input Sheet'!$X:$X)</f>
        <v>0</v>
      </c>
      <c r="O4230" s="311"/>
      <c r="P4230" t="str">
        <f t="shared" si="353"/>
        <v>400-3087RD</v>
      </c>
      <c r="Q4230" s="315" t="str">
        <f t="shared" si="354"/>
        <v>New Vehicle</v>
      </c>
      <c r="R4230" s="315" t="str">
        <f t="shared" si="355"/>
        <v>New VehicleOther Income per NV unit</v>
      </c>
      <c r="S4230" s="199"/>
      <c r="T4230" s="199"/>
      <c r="U4230" s="199"/>
    </row>
    <row r="4231" spans="1:21" x14ac:dyDescent="0.25">
      <c r="A4231" t="s">
        <v>996</v>
      </c>
      <c r="B4231" t="s">
        <v>997</v>
      </c>
      <c r="C4231" t="s">
        <v>1013</v>
      </c>
      <c r="D4231" t="s">
        <v>592</v>
      </c>
      <c r="E4231">
        <v>300</v>
      </c>
      <c r="F4231" t="s">
        <v>1024</v>
      </c>
      <c r="G4231" t="s">
        <v>1027</v>
      </c>
      <c r="H4231" s="315" t="s">
        <v>29</v>
      </c>
      <c r="I4231" s="315" t="s">
        <v>1026</v>
      </c>
      <c r="J4231" s="315" t="str">
        <f t="shared" si="351"/>
        <v>New VehicleOther Income per NV unit</v>
      </c>
      <c r="K4231" s="315" t="str">
        <f t="shared" si="352"/>
        <v>300New Vehicle Other Income - Toyota</v>
      </c>
      <c r="L4231" s="311">
        <f>+SUMIF('TUNZ Extracted TB'!M:M,$P4231,'TUNZ Extracted TB'!G:G)</f>
        <v>0</v>
      </c>
      <c r="M4231" s="311"/>
      <c r="N4231" s="311">
        <f>+SUMIF('Input Sheet'!$AE:$AE,P4231,'Input Sheet'!$X:$X)</f>
        <v>0</v>
      </c>
      <c r="O4231" s="311"/>
      <c r="P4231" t="str">
        <f t="shared" si="353"/>
        <v>300-3087RD</v>
      </c>
      <c r="Q4231" s="315" t="str">
        <f t="shared" si="354"/>
        <v>New Vehicle</v>
      </c>
      <c r="R4231" s="315" t="str">
        <f t="shared" si="355"/>
        <v>New VehicleOther Income per NV unit</v>
      </c>
      <c r="S4231" s="199"/>
      <c r="T4231" s="199"/>
      <c r="U4231" s="199"/>
    </row>
    <row r="4232" spans="1:21" x14ac:dyDescent="0.25">
      <c r="A4232" t="s">
        <v>996</v>
      </c>
      <c r="B4232" t="s">
        <v>997</v>
      </c>
      <c r="C4232" t="s">
        <v>997</v>
      </c>
      <c r="D4232" t="s">
        <v>592</v>
      </c>
      <c r="E4232">
        <v>110</v>
      </c>
      <c r="F4232" t="s">
        <v>1014</v>
      </c>
      <c r="G4232" t="s">
        <v>1015</v>
      </c>
      <c r="H4232" s="315" t="s">
        <v>30</v>
      </c>
      <c r="I4232" s="315" t="s">
        <v>1016</v>
      </c>
      <c r="J4232" s="315" t="str">
        <f t="shared" si="351"/>
        <v>Used VehicleEx NV demonstrators gross profit p.u.</v>
      </c>
      <c r="K4232" s="315" t="str">
        <f t="shared" si="352"/>
        <v>110Ex-Toyota NV Demonstrator revenue</v>
      </c>
      <c r="L4232" s="311">
        <f>+SUMIF('TUNZ Extracted TB'!M:M,$P4232,'TUNZ Extracted TB'!G:G)</f>
        <v>0</v>
      </c>
      <c r="M4232" s="311"/>
      <c r="N4232" s="311">
        <f>+SUMIF('Input Sheet'!$AE:$AE,P4232,'Input Sheet'!$X:$X)</f>
        <v>0</v>
      </c>
      <c r="O4232" s="311"/>
      <c r="P4232" t="str">
        <f t="shared" si="353"/>
        <v>110-3087RD</v>
      </c>
      <c r="Q4232" s="315" t="str">
        <f t="shared" si="354"/>
        <v>Used Vehicle</v>
      </c>
      <c r="R4232" s="315" t="str">
        <f t="shared" si="355"/>
        <v>Used VehicleEx NV demonstrators gross profit p.u.</v>
      </c>
      <c r="S4232" s="199"/>
      <c r="T4232" s="199"/>
      <c r="U4232" s="199"/>
    </row>
    <row r="4233" spans="1:21" x14ac:dyDescent="0.25">
      <c r="A4233" t="s">
        <v>996</v>
      </c>
      <c r="B4233" t="s">
        <v>997</v>
      </c>
      <c r="C4233" t="s">
        <v>997</v>
      </c>
      <c r="D4233" t="s">
        <v>594</v>
      </c>
      <c r="E4233">
        <v>100</v>
      </c>
      <c r="F4233" t="s">
        <v>1024</v>
      </c>
      <c r="G4233" t="s">
        <v>1027</v>
      </c>
      <c r="H4233" s="315" t="s">
        <v>29</v>
      </c>
      <c r="I4233" s="315" t="s">
        <v>1026</v>
      </c>
      <c r="J4233" s="315" t="str">
        <f t="shared" si="351"/>
        <v>New VehicleOther Income per NV unit</v>
      </c>
      <c r="K4233" s="315" t="str">
        <f t="shared" si="352"/>
        <v>100New Vehicle Other Income - Toyota</v>
      </c>
      <c r="L4233" s="311">
        <f>+SUMIF('TUNZ Extracted TB'!M:M,$P4233,'TUNZ Extracted TB'!G:G)</f>
        <v>0</v>
      </c>
      <c r="M4233" s="311"/>
      <c r="N4233" s="311">
        <f>+SUMIF('Input Sheet'!$AE:$AE,P4233,'Input Sheet'!$X:$X)</f>
        <v>0</v>
      </c>
      <c r="O4233" s="311"/>
      <c r="P4233" t="str">
        <f t="shared" si="353"/>
        <v>100-3088R</v>
      </c>
      <c r="Q4233" s="315" t="str">
        <f t="shared" si="354"/>
        <v>New Vehicle</v>
      </c>
      <c r="R4233" s="315" t="str">
        <f t="shared" si="355"/>
        <v>New VehicleOther Income per NV unit</v>
      </c>
      <c r="S4233" s="199"/>
      <c r="T4233" s="199"/>
      <c r="U4233" s="199"/>
    </row>
    <row r="4234" spans="1:21" x14ac:dyDescent="0.25">
      <c r="A4234" t="s">
        <v>996</v>
      </c>
      <c r="B4234" t="s">
        <v>997</v>
      </c>
      <c r="C4234" t="s">
        <v>1005</v>
      </c>
      <c r="D4234" t="s">
        <v>592</v>
      </c>
      <c r="E4234">
        <v>210</v>
      </c>
      <c r="F4234" t="s">
        <v>1014</v>
      </c>
      <c r="G4234" t="s">
        <v>1015</v>
      </c>
      <c r="H4234" s="315" t="s">
        <v>30</v>
      </c>
      <c r="I4234" s="315" t="s">
        <v>1016</v>
      </c>
      <c r="J4234" s="315" t="str">
        <f t="shared" si="351"/>
        <v>Used VehicleEx NV demonstrators gross profit p.u.</v>
      </c>
      <c r="K4234" s="315" t="str">
        <f t="shared" si="352"/>
        <v>210Ex-Toyota NV Demonstrator revenue</v>
      </c>
      <c r="L4234" s="311">
        <f>+SUMIF('TUNZ Extracted TB'!M:M,$P4234,'TUNZ Extracted TB'!G:G)</f>
        <v>0</v>
      </c>
      <c r="M4234" s="311"/>
      <c r="N4234" s="311">
        <f>+SUMIF('Input Sheet'!$AE:$AE,P4234,'Input Sheet'!$X:$X)</f>
        <v>0</v>
      </c>
      <c r="O4234" s="311"/>
      <c r="P4234" t="str">
        <f t="shared" si="353"/>
        <v>210-3087RD</v>
      </c>
      <c r="Q4234" s="315" t="str">
        <f t="shared" si="354"/>
        <v>Used Vehicle</v>
      </c>
      <c r="R4234" s="315" t="str">
        <f t="shared" si="355"/>
        <v>Used VehicleEx NV demonstrators gross profit p.u.</v>
      </c>
      <c r="S4234" s="199"/>
      <c r="T4234" s="199"/>
      <c r="U4234" s="199"/>
    </row>
    <row r="4235" spans="1:21" x14ac:dyDescent="0.25">
      <c r="A4235" t="s">
        <v>996</v>
      </c>
      <c r="B4235" t="s">
        <v>997</v>
      </c>
      <c r="C4235" t="s">
        <v>1012</v>
      </c>
      <c r="D4235" t="s">
        <v>592</v>
      </c>
      <c r="E4235">
        <v>410</v>
      </c>
      <c r="F4235" t="s">
        <v>1014</v>
      </c>
      <c r="G4235" t="s">
        <v>1015</v>
      </c>
      <c r="H4235" s="315" t="s">
        <v>30</v>
      </c>
      <c r="I4235" s="315" t="s">
        <v>1016</v>
      </c>
      <c r="J4235" s="315" t="str">
        <f t="shared" si="351"/>
        <v>Used VehicleEx NV demonstrators gross profit p.u.</v>
      </c>
      <c r="K4235" s="315" t="str">
        <f t="shared" si="352"/>
        <v>410Ex-Toyota NV Demonstrator revenue</v>
      </c>
      <c r="L4235" s="311">
        <f>+SUMIF('TUNZ Extracted TB'!M:M,$P4235,'TUNZ Extracted TB'!G:G)</f>
        <v>0</v>
      </c>
      <c r="M4235" s="311"/>
      <c r="N4235" s="311">
        <f>+SUMIF('Input Sheet'!$AE:$AE,P4235,'Input Sheet'!$X:$X)</f>
        <v>0</v>
      </c>
      <c r="O4235" s="311"/>
      <c r="P4235" t="str">
        <f t="shared" si="353"/>
        <v>410-3087RD</v>
      </c>
      <c r="Q4235" s="315" t="str">
        <f t="shared" si="354"/>
        <v>Used Vehicle</v>
      </c>
      <c r="R4235" s="315" t="str">
        <f t="shared" si="355"/>
        <v>Used VehicleEx NV demonstrators gross profit p.u.</v>
      </c>
      <c r="S4235" s="199"/>
      <c r="T4235" s="199"/>
      <c r="U4235" s="199"/>
    </row>
    <row r="4236" spans="1:21" x14ac:dyDescent="0.25">
      <c r="A4236" t="s">
        <v>996</v>
      </c>
      <c r="B4236" t="s">
        <v>997</v>
      </c>
      <c r="C4236" t="s">
        <v>1013</v>
      </c>
      <c r="D4236" t="s">
        <v>592</v>
      </c>
      <c r="E4236">
        <v>310</v>
      </c>
      <c r="F4236" t="s">
        <v>1014</v>
      </c>
      <c r="G4236" t="s">
        <v>1015</v>
      </c>
      <c r="H4236" s="315" t="s">
        <v>30</v>
      </c>
      <c r="I4236" s="315" t="s">
        <v>1016</v>
      </c>
      <c r="J4236" s="315" t="str">
        <f t="shared" si="351"/>
        <v>Used VehicleEx NV demonstrators gross profit p.u.</v>
      </c>
      <c r="K4236" s="315" t="str">
        <f t="shared" si="352"/>
        <v>310Ex-Toyota NV Demonstrator revenue</v>
      </c>
      <c r="L4236" s="311">
        <f>+SUMIF('TUNZ Extracted TB'!M:M,$P4236,'TUNZ Extracted TB'!G:G)</f>
        <v>0</v>
      </c>
      <c r="M4236" s="311"/>
      <c r="N4236" s="311">
        <f>+SUMIF('Input Sheet'!$AE:$AE,P4236,'Input Sheet'!$X:$X)</f>
        <v>0</v>
      </c>
      <c r="O4236" s="311"/>
      <c r="P4236" t="str">
        <f t="shared" si="353"/>
        <v>310-3087RD</v>
      </c>
      <c r="Q4236" s="315" t="str">
        <f t="shared" si="354"/>
        <v>Used Vehicle</v>
      </c>
      <c r="R4236" s="315" t="str">
        <f t="shared" si="355"/>
        <v>Used VehicleEx NV demonstrators gross profit p.u.</v>
      </c>
      <c r="S4236" s="199"/>
      <c r="T4236" s="199"/>
      <c r="U4236" s="199"/>
    </row>
    <row r="4237" spans="1:21" x14ac:dyDescent="0.25">
      <c r="A4237" t="s">
        <v>996</v>
      </c>
      <c r="B4237" t="s">
        <v>997</v>
      </c>
      <c r="C4237" t="s">
        <v>1012</v>
      </c>
      <c r="D4237" t="s">
        <v>594</v>
      </c>
      <c r="E4237">
        <v>400</v>
      </c>
      <c r="F4237" t="s">
        <v>1024</v>
      </c>
      <c r="G4237" t="s">
        <v>1027</v>
      </c>
      <c r="H4237" s="315" t="s">
        <v>29</v>
      </c>
      <c r="I4237" s="315" t="s">
        <v>1026</v>
      </c>
      <c r="J4237" s="315" t="str">
        <f t="shared" si="351"/>
        <v>New VehicleOther Income per NV unit</v>
      </c>
      <c r="K4237" s="315" t="str">
        <f t="shared" si="352"/>
        <v>400New Vehicle Other Income - Toyota</v>
      </c>
      <c r="L4237" s="311">
        <f>+SUMIF('TUNZ Extracted TB'!M:M,$P4237,'TUNZ Extracted TB'!G:G)</f>
        <v>0</v>
      </c>
      <c r="M4237" s="311"/>
      <c r="N4237" s="311">
        <f>+SUMIF('Input Sheet'!$AE:$AE,P4237,'Input Sheet'!$X:$X)</f>
        <v>0</v>
      </c>
      <c r="O4237" s="311"/>
      <c r="P4237" t="str">
        <f t="shared" si="353"/>
        <v>400-3088R</v>
      </c>
      <c r="Q4237" s="315" t="str">
        <f t="shared" si="354"/>
        <v>New Vehicle</v>
      </c>
      <c r="R4237" s="315" t="str">
        <f t="shared" si="355"/>
        <v>New VehicleOther Income per NV unit</v>
      </c>
      <c r="S4237" s="199"/>
      <c r="T4237" s="199"/>
      <c r="U4237" s="199"/>
    </row>
    <row r="4238" spans="1:21" x14ac:dyDescent="0.25">
      <c r="A4238" t="s">
        <v>996</v>
      </c>
      <c r="B4238" t="s">
        <v>997</v>
      </c>
      <c r="C4238" t="s">
        <v>1013</v>
      </c>
      <c r="D4238" t="s">
        <v>594</v>
      </c>
      <c r="E4238">
        <v>300</v>
      </c>
      <c r="F4238" t="s">
        <v>1024</v>
      </c>
      <c r="G4238" t="s">
        <v>1027</v>
      </c>
      <c r="H4238" s="315" t="s">
        <v>29</v>
      </c>
      <c r="I4238" s="315" t="s">
        <v>1026</v>
      </c>
      <c r="J4238" s="315" t="str">
        <f t="shared" si="351"/>
        <v>New VehicleOther Income per NV unit</v>
      </c>
      <c r="K4238" s="315" t="str">
        <f t="shared" si="352"/>
        <v>300New Vehicle Other Income - Toyota</v>
      </c>
      <c r="L4238" s="311">
        <f>+SUMIF('TUNZ Extracted TB'!M:M,$P4238,'TUNZ Extracted TB'!G:G)</f>
        <v>0</v>
      </c>
      <c r="M4238" s="311"/>
      <c r="N4238" s="311">
        <f>+SUMIF('Input Sheet'!$AE:$AE,P4238,'Input Sheet'!$X:$X)</f>
        <v>0</v>
      </c>
      <c r="O4238" s="311"/>
      <c r="P4238" t="str">
        <f t="shared" si="353"/>
        <v>300-3088R</v>
      </c>
      <c r="Q4238" s="315" t="str">
        <f t="shared" si="354"/>
        <v>New Vehicle</v>
      </c>
      <c r="R4238" s="315" t="str">
        <f t="shared" si="355"/>
        <v>New VehicleOther Income per NV unit</v>
      </c>
      <c r="S4238" s="199"/>
      <c r="T4238" s="199"/>
      <c r="U4238" s="199"/>
    </row>
    <row r="4239" spans="1:21" x14ac:dyDescent="0.25">
      <c r="A4239" t="s">
        <v>996</v>
      </c>
      <c r="B4239" t="s">
        <v>997</v>
      </c>
      <c r="C4239" t="s">
        <v>1005</v>
      </c>
      <c r="D4239" t="s">
        <v>594</v>
      </c>
      <c r="E4239">
        <v>200</v>
      </c>
      <c r="F4239" t="s">
        <v>1024</v>
      </c>
      <c r="G4239" t="s">
        <v>1027</v>
      </c>
      <c r="H4239" s="315" t="s">
        <v>29</v>
      </c>
      <c r="I4239" s="315" t="s">
        <v>1026</v>
      </c>
      <c r="J4239" s="315" t="str">
        <f t="shared" si="351"/>
        <v>New VehicleOther Income per NV unit</v>
      </c>
      <c r="K4239" s="315" t="str">
        <f t="shared" si="352"/>
        <v>200New Vehicle Other Income - Toyota</v>
      </c>
      <c r="L4239" s="311">
        <f>+SUMIF('TUNZ Extracted TB'!M:M,$P4239,'TUNZ Extracted TB'!G:G)</f>
        <v>0</v>
      </c>
      <c r="M4239" s="311"/>
      <c r="N4239" s="311">
        <f>+SUMIF('Input Sheet'!$AE:$AE,P4239,'Input Sheet'!$X:$X)</f>
        <v>0</v>
      </c>
      <c r="O4239" s="311"/>
      <c r="P4239" t="str">
        <f t="shared" si="353"/>
        <v>200-3088R</v>
      </c>
      <c r="Q4239" s="315" t="str">
        <f t="shared" si="354"/>
        <v>New Vehicle</v>
      </c>
      <c r="R4239" s="315" t="str">
        <f t="shared" si="355"/>
        <v>New VehicleOther Income per NV unit</v>
      </c>
      <c r="S4239" s="199"/>
      <c r="T4239" s="199"/>
      <c r="U4239" s="199"/>
    </row>
    <row r="4240" spans="1:21" x14ac:dyDescent="0.25">
      <c r="A4240" t="s">
        <v>996</v>
      </c>
      <c r="B4240" t="s">
        <v>997</v>
      </c>
      <c r="C4240" t="s">
        <v>997</v>
      </c>
      <c r="D4240" t="s">
        <v>594</v>
      </c>
      <c r="E4240">
        <v>110</v>
      </c>
      <c r="F4240" t="s">
        <v>1014</v>
      </c>
      <c r="G4240" t="s">
        <v>1015</v>
      </c>
      <c r="H4240" s="315" t="s">
        <v>30</v>
      </c>
      <c r="I4240" s="315" t="s">
        <v>1016</v>
      </c>
      <c r="J4240" s="315" t="str">
        <f t="shared" si="351"/>
        <v>Used VehicleEx NV demonstrators gross profit p.u.</v>
      </c>
      <c r="K4240" s="315" t="str">
        <f t="shared" si="352"/>
        <v>110Ex-Toyota NV Demonstrator revenue</v>
      </c>
      <c r="L4240" s="311">
        <f>+SUMIF('TUNZ Extracted TB'!M:M,$P4240,'TUNZ Extracted TB'!G:G)</f>
        <v>0</v>
      </c>
      <c r="M4240" s="311"/>
      <c r="N4240" s="311">
        <f>+SUMIF('Input Sheet'!$AE:$AE,P4240,'Input Sheet'!$X:$X)</f>
        <v>0</v>
      </c>
      <c r="O4240" s="311"/>
      <c r="P4240" t="str">
        <f t="shared" si="353"/>
        <v>110-3088R</v>
      </c>
      <c r="Q4240" s="315" t="str">
        <f t="shared" si="354"/>
        <v>Used Vehicle</v>
      </c>
      <c r="R4240" s="315" t="str">
        <f t="shared" si="355"/>
        <v>Used VehicleEx NV demonstrators gross profit p.u.</v>
      </c>
      <c r="S4240" s="199"/>
      <c r="T4240" s="199"/>
      <c r="U4240" s="199"/>
    </row>
    <row r="4241" spans="1:21" x14ac:dyDescent="0.25">
      <c r="A4241" t="s">
        <v>996</v>
      </c>
      <c r="B4241" t="s">
        <v>997</v>
      </c>
      <c r="C4241" t="s">
        <v>997</v>
      </c>
      <c r="D4241" t="s">
        <v>596</v>
      </c>
      <c r="E4241">
        <v>100</v>
      </c>
      <c r="F4241" t="s">
        <v>1024</v>
      </c>
      <c r="G4241" t="s">
        <v>1027</v>
      </c>
      <c r="H4241" s="315" t="s">
        <v>29</v>
      </c>
      <c r="I4241" s="315" t="s">
        <v>1026</v>
      </c>
      <c r="J4241" s="315" t="str">
        <f t="shared" si="351"/>
        <v>New VehicleOther Income per NV unit</v>
      </c>
      <c r="K4241" s="315" t="str">
        <f t="shared" si="352"/>
        <v>100New Vehicle Other Income - Toyota</v>
      </c>
      <c r="L4241" s="311">
        <f>+SUMIF('TUNZ Extracted TB'!M:M,$P4241,'TUNZ Extracted TB'!G:G)</f>
        <v>0</v>
      </c>
      <c r="M4241" s="311"/>
      <c r="N4241" s="311">
        <f>+SUMIF('Input Sheet'!$AE:$AE,P4241,'Input Sheet'!$X:$X)</f>
        <v>0</v>
      </c>
      <c r="O4241" s="311"/>
      <c r="P4241" t="str">
        <f t="shared" si="353"/>
        <v>100-3088RD</v>
      </c>
      <c r="Q4241" s="315" t="str">
        <f t="shared" si="354"/>
        <v>New Vehicle</v>
      </c>
      <c r="R4241" s="315" t="str">
        <f t="shared" si="355"/>
        <v>New VehicleOther Income per NV unit</v>
      </c>
      <c r="S4241" s="199"/>
      <c r="T4241" s="199"/>
      <c r="U4241" s="199"/>
    </row>
    <row r="4242" spans="1:21" x14ac:dyDescent="0.25">
      <c r="A4242" t="s">
        <v>996</v>
      </c>
      <c r="B4242" t="s">
        <v>997</v>
      </c>
      <c r="C4242" t="s">
        <v>1012</v>
      </c>
      <c r="D4242" t="s">
        <v>594</v>
      </c>
      <c r="E4242">
        <v>410</v>
      </c>
      <c r="F4242" t="s">
        <v>1014</v>
      </c>
      <c r="G4242" t="s">
        <v>1015</v>
      </c>
      <c r="H4242" s="315" t="s">
        <v>30</v>
      </c>
      <c r="I4242" s="315" t="s">
        <v>1016</v>
      </c>
      <c r="J4242" s="315" t="str">
        <f t="shared" si="351"/>
        <v>Used VehicleEx NV demonstrators gross profit p.u.</v>
      </c>
      <c r="K4242" s="315" t="str">
        <f t="shared" si="352"/>
        <v>410Ex-Toyota NV Demonstrator revenue</v>
      </c>
      <c r="L4242" s="311">
        <f>+SUMIF('TUNZ Extracted TB'!M:M,$P4242,'TUNZ Extracted TB'!G:G)</f>
        <v>0</v>
      </c>
      <c r="M4242" s="311"/>
      <c r="N4242" s="311">
        <f>+SUMIF('Input Sheet'!$AE:$AE,P4242,'Input Sheet'!$X:$X)</f>
        <v>0</v>
      </c>
      <c r="O4242" s="311"/>
      <c r="P4242" t="str">
        <f t="shared" si="353"/>
        <v>410-3088R</v>
      </c>
      <c r="Q4242" s="315" t="str">
        <f t="shared" si="354"/>
        <v>Used Vehicle</v>
      </c>
      <c r="R4242" s="315" t="str">
        <f t="shared" si="355"/>
        <v>Used VehicleEx NV demonstrators gross profit p.u.</v>
      </c>
      <c r="S4242" s="199"/>
      <c r="T4242" s="199"/>
      <c r="U4242" s="199"/>
    </row>
    <row r="4243" spans="1:21" x14ac:dyDescent="0.25">
      <c r="A4243" t="s">
        <v>996</v>
      </c>
      <c r="B4243" t="s">
        <v>997</v>
      </c>
      <c r="C4243" t="s">
        <v>1013</v>
      </c>
      <c r="D4243" t="s">
        <v>594</v>
      </c>
      <c r="E4243">
        <v>310</v>
      </c>
      <c r="F4243" t="s">
        <v>1014</v>
      </c>
      <c r="G4243" t="s">
        <v>1015</v>
      </c>
      <c r="H4243" s="315" t="s">
        <v>30</v>
      </c>
      <c r="I4243" s="315" t="s">
        <v>1016</v>
      </c>
      <c r="J4243" s="315" t="str">
        <f t="shared" si="351"/>
        <v>Used VehicleEx NV demonstrators gross profit p.u.</v>
      </c>
      <c r="K4243" s="315" t="str">
        <f t="shared" si="352"/>
        <v>310Ex-Toyota NV Demonstrator revenue</v>
      </c>
      <c r="L4243" s="311">
        <f>+SUMIF('TUNZ Extracted TB'!M:M,$P4243,'TUNZ Extracted TB'!G:G)</f>
        <v>0</v>
      </c>
      <c r="M4243" s="311"/>
      <c r="N4243" s="311">
        <f>+SUMIF('Input Sheet'!$AE:$AE,P4243,'Input Sheet'!$X:$X)</f>
        <v>0</v>
      </c>
      <c r="O4243" s="311"/>
      <c r="P4243" t="str">
        <f t="shared" si="353"/>
        <v>310-3088R</v>
      </c>
      <c r="Q4243" s="315" t="str">
        <f t="shared" si="354"/>
        <v>Used Vehicle</v>
      </c>
      <c r="R4243" s="315" t="str">
        <f t="shared" si="355"/>
        <v>Used VehicleEx NV demonstrators gross profit p.u.</v>
      </c>
      <c r="S4243" s="199"/>
      <c r="T4243" s="199"/>
      <c r="U4243" s="199"/>
    </row>
    <row r="4244" spans="1:21" x14ac:dyDescent="0.25">
      <c r="A4244" t="s">
        <v>996</v>
      </c>
      <c r="B4244" t="s">
        <v>997</v>
      </c>
      <c r="C4244" t="s">
        <v>1005</v>
      </c>
      <c r="D4244" t="s">
        <v>596</v>
      </c>
      <c r="E4244">
        <v>200</v>
      </c>
      <c r="F4244" t="s">
        <v>1024</v>
      </c>
      <c r="G4244" t="s">
        <v>1027</v>
      </c>
      <c r="H4244" s="315" t="s">
        <v>29</v>
      </c>
      <c r="I4244" s="315" t="s">
        <v>1026</v>
      </c>
      <c r="J4244" s="315" t="str">
        <f t="shared" si="351"/>
        <v>New VehicleOther Income per NV unit</v>
      </c>
      <c r="K4244" s="315" t="str">
        <f t="shared" si="352"/>
        <v>200New Vehicle Other Income - Toyota</v>
      </c>
      <c r="L4244" s="311">
        <f>+SUMIF('TUNZ Extracted TB'!M:M,$P4244,'TUNZ Extracted TB'!G:G)</f>
        <v>0</v>
      </c>
      <c r="M4244" s="311"/>
      <c r="N4244" s="311">
        <f>+SUMIF('Input Sheet'!$AE:$AE,P4244,'Input Sheet'!$X:$X)</f>
        <v>0</v>
      </c>
      <c r="O4244" s="311"/>
      <c r="P4244" t="str">
        <f t="shared" si="353"/>
        <v>200-3088RD</v>
      </c>
      <c r="Q4244" s="315" t="str">
        <f t="shared" si="354"/>
        <v>New Vehicle</v>
      </c>
      <c r="R4244" s="315" t="str">
        <f t="shared" si="355"/>
        <v>New VehicleOther Income per NV unit</v>
      </c>
      <c r="S4244" s="199"/>
      <c r="T4244" s="199"/>
      <c r="U4244" s="199"/>
    </row>
    <row r="4245" spans="1:21" x14ac:dyDescent="0.25">
      <c r="A4245" t="s">
        <v>996</v>
      </c>
      <c r="B4245" t="s">
        <v>997</v>
      </c>
      <c r="C4245" t="s">
        <v>1012</v>
      </c>
      <c r="D4245" t="s">
        <v>596</v>
      </c>
      <c r="E4245">
        <v>400</v>
      </c>
      <c r="F4245" t="s">
        <v>1024</v>
      </c>
      <c r="G4245" t="s">
        <v>1027</v>
      </c>
      <c r="H4245" s="315" t="s">
        <v>29</v>
      </c>
      <c r="I4245" s="315" t="s">
        <v>1026</v>
      </c>
      <c r="J4245" s="315" t="str">
        <f t="shared" si="351"/>
        <v>New VehicleOther Income per NV unit</v>
      </c>
      <c r="K4245" s="315" t="str">
        <f t="shared" si="352"/>
        <v>400New Vehicle Other Income - Toyota</v>
      </c>
      <c r="L4245" s="311">
        <f>+SUMIF('TUNZ Extracted TB'!M:M,$P4245,'TUNZ Extracted TB'!G:G)</f>
        <v>0</v>
      </c>
      <c r="M4245" s="311"/>
      <c r="N4245" s="311">
        <f>+SUMIF('Input Sheet'!$AE:$AE,P4245,'Input Sheet'!$X:$X)</f>
        <v>0</v>
      </c>
      <c r="O4245" s="311"/>
      <c r="P4245" t="str">
        <f t="shared" si="353"/>
        <v>400-3088RD</v>
      </c>
      <c r="Q4245" s="315" t="str">
        <f t="shared" si="354"/>
        <v>New Vehicle</v>
      </c>
      <c r="R4245" s="315" t="str">
        <f t="shared" si="355"/>
        <v>New VehicleOther Income per NV unit</v>
      </c>
      <c r="S4245" s="199"/>
      <c r="T4245" s="199"/>
      <c r="U4245" s="199"/>
    </row>
    <row r="4246" spans="1:21" x14ac:dyDescent="0.25">
      <c r="A4246" t="s">
        <v>996</v>
      </c>
      <c r="B4246" t="s">
        <v>997</v>
      </c>
      <c r="C4246" t="s">
        <v>1013</v>
      </c>
      <c r="D4246" t="s">
        <v>596</v>
      </c>
      <c r="E4246">
        <v>300</v>
      </c>
      <c r="F4246" t="s">
        <v>1024</v>
      </c>
      <c r="G4246" t="s">
        <v>1027</v>
      </c>
      <c r="H4246" s="315" t="s">
        <v>29</v>
      </c>
      <c r="I4246" s="315" t="s">
        <v>1026</v>
      </c>
      <c r="J4246" s="315" t="str">
        <f t="shared" si="351"/>
        <v>New VehicleOther Income per NV unit</v>
      </c>
      <c r="K4246" s="315" t="str">
        <f t="shared" si="352"/>
        <v>300New Vehicle Other Income - Toyota</v>
      </c>
      <c r="L4246" s="311">
        <f>+SUMIF('TUNZ Extracted TB'!M:M,$P4246,'TUNZ Extracted TB'!G:G)</f>
        <v>0</v>
      </c>
      <c r="M4246" s="311"/>
      <c r="N4246" s="311">
        <f>+SUMIF('Input Sheet'!$AE:$AE,P4246,'Input Sheet'!$X:$X)</f>
        <v>0</v>
      </c>
      <c r="O4246" s="311"/>
      <c r="P4246" t="str">
        <f t="shared" si="353"/>
        <v>300-3088RD</v>
      </c>
      <c r="Q4246" s="315" t="str">
        <f t="shared" si="354"/>
        <v>New Vehicle</v>
      </c>
      <c r="R4246" s="315" t="str">
        <f t="shared" si="355"/>
        <v>New VehicleOther Income per NV unit</v>
      </c>
      <c r="S4246" s="199"/>
      <c r="T4246" s="199"/>
      <c r="U4246" s="199"/>
    </row>
    <row r="4247" spans="1:21" x14ac:dyDescent="0.25">
      <c r="A4247" t="s">
        <v>996</v>
      </c>
      <c r="B4247" t="s">
        <v>997</v>
      </c>
      <c r="C4247" t="s">
        <v>1005</v>
      </c>
      <c r="D4247" t="s">
        <v>594</v>
      </c>
      <c r="E4247">
        <v>210</v>
      </c>
      <c r="F4247" t="s">
        <v>1014</v>
      </c>
      <c r="G4247" t="s">
        <v>1015</v>
      </c>
      <c r="H4247" s="315" t="s">
        <v>30</v>
      </c>
      <c r="I4247" s="315" t="s">
        <v>1016</v>
      </c>
      <c r="J4247" s="315" t="str">
        <f t="shared" si="351"/>
        <v>Used VehicleEx NV demonstrators gross profit p.u.</v>
      </c>
      <c r="K4247" s="315" t="str">
        <f t="shared" si="352"/>
        <v>210Ex-Toyota NV Demonstrator revenue</v>
      </c>
      <c r="L4247" s="311">
        <f>+SUMIF('TUNZ Extracted TB'!M:M,$P4247,'TUNZ Extracted TB'!G:G)</f>
        <v>0</v>
      </c>
      <c r="M4247" s="311"/>
      <c r="N4247" s="311">
        <f>+SUMIF('Input Sheet'!$AE:$AE,P4247,'Input Sheet'!$X:$X)</f>
        <v>0</v>
      </c>
      <c r="O4247" s="311"/>
      <c r="P4247" t="str">
        <f t="shared" si="353"/>
        <v>210-3088R</v>
      </c>
      <c r="Q4247" s="315" t="str">
        <f t="shared" si="354"/>
        <v>Used Vehicle</v>
      </c>
      <c r="R4247" s="315" t="str">
        <f t="shared" si="355"/>
        <v>Used VehicleEx NV demonstrators gross profit p.u.</v>
      </c>
      <c r="S4247" s="199"/>
      <c r="T4247" s="199"/>
      <c r="U4247" s="199"/>
    </row>
    <row r="4248" spans="1:21" x14ac:dyDescent="0.25">
      <c r="A4248" t="s">
        <v>996</v>
      </c>
      <c r="B4248" t="s">
        <v>997</v>
      </c>
      <c r="C4248" t="s">
        <v>997</v>
      </c>
      <c r="D4248" t="s">
        <v>596</v>
      </c>
      <c r="E4248">
        <v>110</v>
      </c>
      <c r="F4248" t="s">
        <v>1014</v>
      </c>
      <c r="G4248" t="s">
        <v>1015</v>
      </c>
      <c r="H4248" s="315" t="s">
        <v>30</v>
      </c>
      <c r="I4248" s="315" t="s">
        <v>1016</v>
      </c>
      <c r="J4248" s="315" t="str">
        <f t="shared" si="351"/>
        <v>Used VehicleEx NV demonstrators gross profit p.u.</v>
      </c>
      <c r="K4248" s="315" t="str">
        <f t="shared" si="352"/>
        <v>110Ex-Toyota NV Demonstrator revenue</v>
      </c>
      <c r="L4248" s="311">
        <f>+SUMIF('TUNZ Extracted TB'!M:M,$P4248,'TUNZ Extracted TB'!G:G)</f>
        <v>0</v>
      </c>
      <c r="M4248" s="311"/>
      <c r="N4248" s="311">
        <f>+SUMIF('Input Sheet'!$AE:$AE,P4248,'Input Sheet'!$X:$X)</f>
        <v>0</v>
      </c>
      <c r="O4248" s="311"/>
      <c r="P4248" t="str">
        <f t="shared" si="353"/>
        <v>110-3088RD</v>
      </c>
      <c r="Q4248" s="315" t="str">
        <f t="shared" si="354"/>
        <v>Used Vehicle</v>
      </c>
      <c r="R4248" s="315" t="str">
        <f t="shared" si="355"/>
        <v>Used VehicleEx NV demonstrators gross profit p.u.</v>
      </c>
      <c r="S4248" s="199"/>
      <c r="T4248" s="199"/>
      <c r="U4248" s="199"/>
    </row>
    <row r="4249" spans="1:21" x14ac:dyDescent="0.25">
      <c r="A4249" t="s">
        <v>996</v>
      </c>
      <c r="B4249" t="s">
        <v>997</v>
      </c>
      <c r="C4249" t="s">
        <v>997</v>
      </c>
      <c r="D4249" t="s">
        <v>87</v>
      </c>
      <c r="E4249">
        <v>100</v>
      </c>
      <c r="F4249" t="s">
        <v>1024</v>
      </c>
      <c r="G4249" t="s">
        <v>1027</v>
      </c>
      <c r="H4249" s="315" t="s">
        <v>29</v>
      </c>
      <c r="I4249" s="315" t="s">
        <v>1026</v>
      </c>
      <c r="J4249" s="315" t="str">
        <f t="shared" si="351"/>
        <v>New VehicleOther Income per NV unit</v>
      </c>
      <c r="K4249" s="315" t="str">
        <f t="shared" si="352"/>
        <v>100New Vehicle Other Income - Toyota</v>
      </c>
      <c r="L4249" s="311">
        <f>+SUMIF('TUNZ Extracted TB'!M:M,$P4249,'TUNZ Extracted TB'!G:G)</f>
        <v>-16630.68</v>
      </c>
      <c r="M4249" s="311"/>
      <c r="N4249" s="311">
        <f>+SUMIF('Input Sheet'!$AE:$AE,P4249,'Input Sheet'!$X:$X)</f>
        <v>0</v>
      </c>
      <c r="O4249" s="311"/>
      <c r="P4249" t="str">
        <f t="shared" si="353"/>
        <v>100-3090R</v>
      </c>
      <c r="Q4249" s="315" t="str">
        <f t="shared" si="354"/>
        <v>New Vehicle</v>
      </c>
      <c r="R4249" s="315" t="str">
        <f t="shared" si="355"/>
        <v>New VehicleOther Income per NV unit</v>
      </c>
      <c r="S4249" s="199"/>
      <c r="T4249" s="199"/>
      <c r="U4249" s="199"/>
    </row>
    <row r="4250" spans="1:21" x14ac:dyDescent="0.25">
      <c r="A4250" t="s">
        <v>996</v>
      </c>
      <c r="B4250" t="s">
        <v>997</v>
      </c>
      <c r="C4250" t="s">
        <v>1005</v>
      </c>
      <c r="D4250" t="s">
        <v>596</v>
      </c>
      <c r="E4250">
        <v>210</v>
      </c>
      <c r="F4250" t="s">
        <v>1014</v>
      </c>
      <c r="G4250" t="s">
        <v>1015</v>
      </c>
      <c r="H4250" s="315" t="s">
        <v>30</v>
      </c>
      <c r="I4250" s="315" t="s">
        <v>1016</v>
      </c>
      <c r="J4250" s="315" t="str">
        <f t="shared" si="351"/>
        <v>Used VehicleEx NV demonstrators gross profit p.u.</v>
      </c>
      <c r="K4250" s="315" t="str">
        <f t="shared" si="352"/>
        <v>210Ex-Toyota NV Demonstrator revenue</v>
      </c>
      <c r="L4250" s="311">
        <f>+SUMIF('TUNZ Extracted TB'!M:M,$P4250,'TUNZ Extracted TB'!G:G)</f>
        <v>0</v>
      </c>
      <c r="M4250" s="311"/>
      <c r="N4250" s="311">
        <f>+SUMIF('Input Sheet'!$AE:$AE,P4250,'Input Sheet'!$X:$X)</f>
        <v>0</v>
      </c>
      <c r="O4250" s="311"/>
      <c r="P4250" t="str">
        <f t="shared" si="353"/>
        <v>210-3088RD</v>
      </c>
      <c r="Q4250" s="315" t="str">
        <f t="shared" si="354"/>
        <v>Used Vehicle</v>
      </c>
      <c r="R4250" s="315" t="str">
        <f t="shared" si="355"/>
        <v>Used VehicleEx NV demonstrators gross profit p.u.</v>
      </c>
      <c r="S4250" s="199"/>
      <c r="T4250" s="199"/>
      <c r="U4250" s="199"/>
    </row>
    <row r="4251" spans="1:21" x14ac:dyDescent="0.25">
      <c r="A4251" t="s">
        <v>996</v>
      </c>
      <c r="B4251" t="s">
        <v>997</v>
      </c>
      <c r="C4251" t="s">
        <v>1012</v>
      </c>
      <c r="D4251" t="s">
        <v>596</v>
      </c>
      <c r="E4251">
        <v>410</v>
      </c>
      <c r="F4251" t="s">
        <v>1014</v>
      </c>
      <c r="G4251" t="s">
        <v>1015</v>
      </c>
      <c r="H4251" s="315" t="s">
        <v>30</v>
      </c>
      <c r="I4251" s="315" t="s">
        <v>1016</v>
      </c>
      <c r="J4251" s="315" t="str">
        <f t="shared" si="351"/>
        <v>Used VehicleEx NV demonstrators gross profit p.u.</v>
      </c>
      <c r="K4251" s="315" t="str">
        <f t="shared" si="352"/>
        <v>410Ex-Toyota NV Demonstrator revenue</v>
      </c>
      <c r="L4251" s="311">
        <f>+SUMIF('TUNZ Extracted TB'!M:M,$P4251,'TUNZ Extracted TB'!G:G)</f>
        <v>0</v>
      </c>
      <c r="M4251" s="311"/>
      <c r="N4251" s="311">
        <f>+SUMIF('Input Sheet'!$AE:$AE,P4251,'Input Sheet'!$X:$X)</f>
        <v>0</v>
      </c>
      <c r="O4251" s="311"/>
      <c r="P4251" t="str">
        <f t="shared" si="353"/>
        <v>410-3088RD</v>
      </c>
      <c r="Q4251" s="315" t="str">
        <f t="shared" si="354"/>
        <v>Used Vehicle</v>
      </c>
      <c r="R4251" s="315" t="str">
        <f t="shared" si="355"/>
        <v>Used VehicleEx NV demonstrators gross profit p.u.</v>
      </c>
      <c r="S4251" s="199"/>
      <c r="T4251" s="199"/>
      <c r="U4251" s="199"/>
    </row>
    <row r="4252" spans="1:21" x14ac:dyDescent="0.25">
      <c r="A4252" t="s">
        <v>996</v>
      </c>
      <c r="B4252" t="s">
        <v>997</v>
      </c>
      <c r="C4252" t="s">
        <v>1013</v>
      </c>
      <c r="D4252" t="s">
        <v>596</v>
      </c>
      <c r="E4252">
        <v>310</v>
      </c>
      <c r="F4252" t="s">
        <v>1014</v>
      </c>
      <c r="G4252" t="s">
        <v>1015</v>
      </c>
      <c r="H4252" s="315" t="s">
        <v>30</v>
      </c>
      <c r="I4252" s="315" t="s">
        <v>1016</v>
      </c>
      <c r="J4252" s="315" t="str">
        <f t="shared" si="351"/>
        <v>Used VehicleEx NV demonstrators gross profit p.u.</v>
      </c>
      <c r="K4252" s="315" t="str">
        <f t="shared" si="352"/>
        <v>310Ex-Toyota NV Demonstrator revenue</v>
      </c>
      <c r="L4252" s="311">
        <f>+SUMIF('TUNZ Extracted TB'!M:M,$P4252,'TUNZ Extracted TB'!G:G)</f>
        <v>0</v>
      </c>
      <c r="M4252" s="311"/>
      <c r="N4252" s="311">
        <f>+SUMIF('Input Sheet'!$AE:$AE,P4252,'Input Sheet'!$X:$X)</f>
        <v>0</v>
      </c>
      <c r="O4252" s="311"/>
      <c r="P4252" t="str">
        <f t="shared" si="353"/>
        <v>310-3088RD</v>
      </c>
      <c r="Q4252" s="315" t="str">
        <f t="shared" si="354"/>
        <v>Used Vehicle</v>
      </c>
      <c r="R4252" s="315" t="str">
        <f t="shared" si="355"/>
        <v>Used VehicleEx NV demonstrators gross profit p.u.</v>
      </c>
      <c r="S4252" s="199"/>
      <c r="T4252" s="199"/>
      <c r="U4252" s="199"/>
    </row>
    <row r="4253" spans="1:21" x14ac:dyDescent="0.25">
      <c r="A4253" t="s">
        <v>996</v>
      </c>
      <c r="B4253" t="s">
        <v>997</v>
      </c>
      <c r="C4253" t="s">
        <v>1012</v>
      </c>
      <c r="D4253" t="s">
        <v>87</v>
      </c>
      <c r="E4253">
        <v>400</v>
      </c>
      <c r="F4253" t="s">
        <v>1024</v>
      </c>
      <c r="G4253" t="s">
        <v>1027</v>
      </c>
      <c r="H4253" s="315" t="s">
        <v>29</v>
      </c>
      <c r="I4253" s="315" t="s">
        <v>1026</v>
      </c>
      <c r="J4253" s="315" t="str">
        <f t="shared" si="351"/>
        <v>New VehicleOther Income per NV unit</v>
      </c>
      <c r="K4253" s="315" t="str">
        <f t="shared" si="352"/>
        <v>400New Vehicle Other Income - Toyota</v>
      </c>
      <c r="L4253" s="311">
        <f>+SUMIF('TUNZ Extracted TB'!M:M,$P4253,'TUNZ Extracted TB'!G:G)</f>
        <v>0</v>
      </c>
      <c r="M4253" s="311"/>
      <c r="N4253" s="311">
        <f>+SUMIF('Input Sheet'!$AE:$AE,P4253,'Input Sheet'!$X:$X)</f>
        <v>0</v>
      </c>
      <c r="O4253" s="311"/>
      <c r="P4253" t="str">
        <f t="shared" si="353"/>
        <v>400-3090R</v>
      </c>
      <c r="Q4253" s="315" t="str">
        <f t="shared" si="354"/>
        <v>New Vehicle</v>
      </c>
      <c r="R4253" s="315" t="str">
        <f t="shared" si="355"/>
        <v>New VehicleOther Income per NV unit</v>
      </c>
      <c r="S4253" s="199"/>
      <c r="T4253" s="199"/>
      <c r="U4253" s="199"/>
    </row>
    <row r="4254" spans="1:21" x14ac:dyDescent="0.25">
      <c r="A4254" t="s">
        <v>996</v>
      </c>
      <c r="B4254" t="s">
        <v>997</v>
      </c>
      <c r="C4254" t="s">
        <v>1013</v>
      </c>
      <c r="D4254" t="s">
        <v>87</v>
      </c>
      <c r="E4254">
        <v>300</v>
      </c>
      <c r="F4254" t="s">
        <v>1024</v>
      </c>
      <c r="G4254" t="s">
        <v>1027</v>
      </c>
      <c r="H4254" s="315" t="s">
        <v>29</v>
      </c>
      <c r="I4254" s="315" t="s">
        <v>1026</v>
      </c>
      <c r="J4254" s="315" t="str">
        <f t="shared" si="351"/>
        <v>New VehicleOther Income per NV unit</v>
      </c>
      <c r="K4254" s="315" t="str">
        <f t="shared" si="352"/>
        <v>300New Vehicle Other Income - Toyota</v>
      </c>
      <c r="L4254" s="311">
        <f>+SUMIF('TUNZ Extracted TB'!M:M,$P4254,'TUNZ Extracted TB'!G:G)</f>
        <v>0</v>
      </c>
      <c r="M4254" s="311"/>
      <c r="N4254" s="311">
        <f>+SUMIF('Input Sheet'!$AE:$AE,P4254,'Input Sheet'!$X:$X)</f>
        <v>0</v>
      </c>
      <c r="O4254" s="311"/>
      <c r="P4254" t="str">
        <f t="shared" si="353"/>
        <v>300-3090R</v>
      </c>
      <c r="Q4254" s="315" t="str">
        <f t="shared" si="354"/>
        <v>New Vehicle</v>
      </c>
      <c r="R4254" s="315" t="str">
        <f t="shared" si="355"/>
        <v>New VehicleOther Income per NV unit</v>
      </c>
      <c r="S4254" s="199"/>
      <c r="T4254" s="199"/>
      <c r="U4254" s="199"/>
    </row>
    <row r="4255" spans="1:21" x14ac:dyDescent="0.25">
      <c r="A4255" t="s">
        <v>996</v>
      </c>
      <c r="B4255" t="s">
        <v>997</v>
      </c>
      <c r="C4255" t="s">
        <v>1005</v>
      </c>
      <c r="D4255" t="s">
        <v>87</v>
      </c>
      <c r="E4255">
        <v>200</v>
      </c>
      <c r="F4255" t="s">
        <v>1024</v>
      </c>
      <c r="G4255" t="s">
        <v>1027</v>
      </c>
      <c r="H4255" s="315" t="s">
        <v>29</v>
      </c>
      <c r="I4255" s="315" t="s">
        <v>1026</v>
      </c>
      <c r="J4255" s="315" t="str">
        <f t="shared" si="351"/>
        <v>New VehicleOther Income per NV unit</v>
      </c>
      <c r="K4255" s="315" t="str">
        <f t="shared" si="352"/>
        <v>200New Vehicle Other Income - Toyota</v>
      </c>
      <c r="L4255" s="311">
        <f>+SUMIF('TUNZ Extracted TB'!M:M,$P4255,'TUNZ Extracted TB'!G:G)</f>
        <v>-39295.660000000003</v>
      </c>
      <c r="M4255" s="311"/>
      <c r="N4255" s="311">
        <f>+SUMIF('Input Sheet'!$AE:$AE,P4255,'Input Sheet'!$X:$X)</f>
        <v>0</v>
      </c>
      <c r="O4255" s="311"/>
      <c r="P4255" t="str">
        <f t="shared" si="353"/>
        <v>200-3090R</v>
      </c>
      <c r="Q4255" s="315" t="str">
        <f t="shared" si="354"/>
        <v>New Vehicle</v>
      </c>
      <c r="R4255" s="315" t="str">
        <f t="shared" si="355"/>
        <v>New VehicleOther Income per NV unit</v>
      </c>
      <c r="S4255" s="199"/>
      <c r="T4255" s="199"/>
      <c r="U4255" s="199"/>
    </row>
    <row r="4256" spans="1:21" x14ac:dyDescent="0.25">
      <c r="A4256" t="s">
        <v>996</v>
      </c>
      <c r="B4256" t="s">
        <v>997</v>
      </c>
      <c r="C4256" t="s">
        <v>997</v>
      </c>
      <c r="D4256" t="s">
        <v>87</v>
      </c>
      <c r="E4256">
        <v>110</v>
      </c>
      <c r="F4256" t="s">
        <v>1014</v>
      </c>
      <c r="G4256" t="s">
        <v>1015</v>
      </c>
      <c r="H4256" s="315" t="s">
        <v>30</v>
      </c>
      <c r="I4256" s="315" t="s">
        <v>1016</v>
      </c>
      <c r="J4256" s="315" t="str">
        <f t="shared" si="351"/>
        <v>Used VehicleEx NV demonstrators gross profit p.u.</v>
      </c>
      <c r="K4256" s="315" t="str">
        <f t="shared" si="352"/>
        <v>110Ex-Toyota NV Demonstrator revenue</v>
      </c>
      <c r="L4256" s="311">
        <f>+SUMIF('TUNZ Extracted TB'!M:M,$P4256,'TUNZ Extracted TB'!G:G)</f>
        <v>0</v>
      </c>
      <c r="M4256" s="311"/>
      <c r="N4256" s="311">
        <f>+SUMIF('Input Sheet'!$AE:$AE,P4256,'Input Sheet'!$X:$X)</f>
        <v>-105000</v>
      </c>
      <c r="O4256" s="311"/>
      <c r="P4256" t="str">
        <f t="shared" si="353"/>
        <v>110-3090R</v>
      </c>
      <c r="Q4256" s="315" t="str">
        <f t="shared" si="354"/>
        <v>Used Vehicle</v>
      </c>
      <c r="R4256" s="315" t="str">
        <f t="shared" si="355"/>
        <v>Used VehicleEx NV demonstrators gross profit p.u.</v>
      </c>
      <c r="S4256" s="199"/>
      <c r="T4256" s="199"/>
      <c r="U4256" s="199"/>
    </row>
    <row r="4257" spans="1:21" x14ac:dyDescent="0.25">
      <c r="A4257" t="s">
        <v>996</v>
      </c>
      <c r="B4257" t="s">
        <v>997</v>
      </c>
      <c r="C4257" t="s">
        <v>997</v>
      </c>
      <c r="D4257" t="s">
        <v>464</v>
      </c>
      <c r="E4257">
        <v>100</v>
      </c>
      <c r="F4257" t="s">
        <v>1024</v>
      </c>
      <c r="G4257" t="s">
        <v>1027</v>
      </c>
      <c r="H4257" s="315" t="s">
        <v>29</v>
      </c>
      <c r="I4257" s="315" t="s">
        <v>1026</v>
      </c>
      <c r="J4257" s="315" t="str">
        <f t="shared" si="351"/>
        <v>New VehicleOther Income per NV unit</v>
      </c>
      <c r="K4257" s="315" t="str">
        <f t="shared" si="352"/>
        <v>100New Vehicle Other Income - Toyota</v>
      </c>
      <c r="L4257" s="311">
        <f>+SUMIF('TUNZ Extracted TB'!M:M,$P4257,'TUNZ Extracted TB'!G:G)</f>
        <v>0</v>
      </c>
      <c r="M4257" s="311"/>
      <c r="N4257" s="311">
        <f>+SUMIF('Input Sheet'!$AE:$AE,P4257,'Input Sheet'!$X:$X)</f>
        <v>0</v>
      </c>
      <c r="O4257" s="311"/>
      <c r="P4257" t="str">
        <f t="shared" si="353"/>
        <v>100-3090RD</v>
      </c>
      <c r="Q4257" s="315" t="str">
        <f t="shared" si="354"/>
        <v>New Vehicle</v>
      </c>
      <c r="R4257" s="315" t="str">
        <f t="shared" si="355"/>
        <v>New VehicleOther Income per NV unit</v>
      </c>
      <c r="S4257" s="199"/>
      <c r="T4257" s="199"/>
      <c r="U4257" s="199"/>
    </row>
    <row r="4258" spans="1:21" x14ac:dyDescent="0.25">
      <c r="A4258" t="s">
        <v>996</v>
      </c>
      <c r="B4258" t="s">
        <v>997</v>
      </c>
      <c r="C4258" t="s">
        <v>1012</v>
      </c>
      <c r="D4258" t="s">
        <v>87</v>
      </c>
      <c r="E4258">
        <v>410</v>
      </c>
      <c r="F4258" t="s">
        <v>1014</v>
      </c>
      <c r="G4258" t="s">
        <v>1015</v>
      </c>
      <c r="H4258" s="315" t="s">
        <v>30</v>
      </c>
      <c r="I4258" s="315" t="s">
        <v>1016</v>
      </c>
      <c r="J4258" s="315" t="str">
        <f t="shared" si="351"/>
        <v>Used VehicleEx NV demonstrators gross profit p.u.</v>
      </c>
      <c r="K4258" s="315" t="str">
        <f t="shared" si="352"/>
        <v>410Ex-Toyota NV Demonstrator revenue</v>
      </c>
      <c r="L4258" s="311">
        <f>+SUMIF('TUNZ Extracted TB'!M:M,$P4258,'TUNZ Extracted TB'!G:G)</f>
        <v>0</v>
      </c>
      <c r="M4258" s="311"/>
      <c r="N4258" s="311">
        <f>+SUMIF('Input Sheet'!$AE:$AE,P4258,'Input Sheet'!$X:$X)</f>
        <v>0</v>
      </c>
      <c r="O4258" s="311"/>
      <c r="P4258" t="str">
        <f t="shared" si="353"/>
        <v>410-3090R</v>
      </c>
      <c r="Q4258" s="315" t="str">
        <f t="shared" si="354"/>
        <v>Used Vehicle</v>
      </c>
      <c r="R4258" s="315" t="str">
        <f t="shared" si="355"/>
        <v>Used VehicleEx NV demonstrators gross profit p.u.</v>
      </c>
      <c r="S4258" s="199"/>
      <c r="T4258" s="199"/>
      <c r="U4258" s="199"/>
    </row>
    <row r="4259" spans="1:21" x14ac:dyDescent="0.25">
      <c r="A4259" t="s">
        <v>996</v>
      </c>
      <c r="B4259" t="s">
        <v>997</v>
      </c>
      <c r="C4259" t="s">
        <v>1013</v>
      </c>
      <c r="D4259" t="s">
        <v>87</v>
      </c>
      <c r="E4259">
        <v>310</v>
      </c>
      <c r="F4259" t="s">
        <v>1014</v>
      </c>
      <c r="G4259" t="s">
        <v>1015</v>
      </c>
      <c r="H4259" s="315" t="s">
        <v>30</v>
      </c>
      <c r="I4259" s="315" t="s">
        <v>1016</v>
      </c>
      <c r="J4259" s="315" t="str">
        <f t="shared" si="351"/>
        <v>Used VehicleEx NV demonstrators gross profit p.u.</v>
      </c>
      <c r="K4259" s="315" t="str">
        <f t="shared" si="352"/>
        <v>310Ex-Toyota NV Demonstrator revenue</v>
      </c>
      <c r="L4259" s="311">
        <f>+SUMIF('TUNZ Extracted TB'!M:M,$P4259,'TUNZ Extracted TB'!G:G)</f>
        <v>0</v>
      </c>
      <c r="M4259" s="311"/>
      <c r="N4259" s="311">
        <f>+SUMIF('Input Sheet'!$AE:$AE,P4259,'Input Sheet'!$X:$X)</f>
        <v>0</v>
      </c>
      <c r="O4259" s="311"/>
      <c r="P4259" t="str">
        <f t="shared" si="353"/>
        <v>310-3090R</v>
      </c>
      <c r="Q4259" s="315" t="str">
        <f t="shared" si="354"/>
        <v>Used Vehicle</v>
      </c>
      <c r="R4259" s="315" t="str">
        <f t="shared" si="355"/>
        <v>Used VehicleEx NV demonstrators gross profit p.u.</v>
      </c>
      <c r="S4259" s="199"/>
      <c r="T4259" s="199"/>
      <c r="U4259" s="199"/>
    </row>
    <row r="4260" spans="1:21" x14ac:dyDescent="0.25">
      <c r="A4260" t="s">
        <v>996</v>
      </c>
      <c r="B4260" t="s">
        <v>997</v>
      </c>
      <c r="C4260" t="s">
        <v>1005</v>
      </c>
      <c r="D4260" t="s">
        <v>87</v>
      </c>
      <c r="E4260">
        <v>210</v>
      </c>
      <c r="F4260" t="s">
        <v>1014</v>
      </c>
      <c r="G4260" t="s">
        <v>1015</v>
      </c>
      <c r="H4260" s="315" t="s">
        <v>30</v>
      </c>
      <c r="I4260" s="315" t="s">
        <v>1016</v>
      </c>
      <c r="J4260" s="315" t="str">
        <f t="shared" si="351"/>
        <v>Used VehicleEx NV demonstrators gross profit p.u.</v>
      </c>
      <c r="K4260" s="315" t="str">
        <f t="shared" si="352"/>
        <v>210Ex-Toyota NV Demonstrator revenue</v>
      </c>
      <c r="L4260" s="311">
        <f>+SUMIF('TUNZ Extracted TB'!M:M,$P4260,'TUNZ Extracted TB'!G:G)</f>
        <v>0</v>
      </c>
      <c r="M4260" s="311"/>
      <c r="N4260" s="311">
        <f>+SUMIF('Input Sheet'!$AE:$AE,P4260,'Input Sheet'!$X:$X)</f>
        <v>-73111.111111111095</v>
      </c>
      <c r="O4260" s="311"/>
      <c r="P4260" t="str">
        <f t="shared" si="353"/>
        <v>210-3090R</v>
      </c>
      <c r="Q4260" s="315" t="str">
        <f t="shared" si="354"/>
        <v>Used Vehicle</v>
      </c>
      <c r="R4260" s="315" t="str">
        <f t="shared" si="355"/>
        <v>Used VehicleEx NV demonstrators gross profit p.u.</v>
      </c>
      <c r="S4260" s="199"/>
      <c r="T4260" s="199"/>
      <c r="U4260" s="199"/>
    </row>
    <row r="4261" spans="1:21" x14ac:dyDescent="0.25">
      <c r="A4261" t="s">
        <v>996</v>
      </c>
      <c r="B4261" t="s">
        <v>997</v>
      </c>
      <c r="C4261" t="s">
        <v>1005</v>
      </c>
      <c r="D4261" t="s">
        <v>464</v>
      </c>
      <c r="E4261">
        <v>200</v>
      </c>
      <c r="F4261" t="s">
        <v>1024</v>
      </c>
      <c r="G4261" t="s">
        <v>1027</v>
      </c>
      <c r="H4261" s="315" t="s">
        <v>29</v>
      </c>
      <c r="I4261" s="315" t="s">
        <v>1026</v>
      </c>
      <c r="J4261" s="315" t="str">
        <f t="shared" si="351"/>
        <v>New VehicleOther Income per NV unit</v>
      </c>
      <c r="K4261" s="315" t="str">
        <f t="shared" si="352"/>
        <v>200New Vehicle Other Income - Toyota</v>
      </c>
      <c r="L4261" s="311">
        <f>+SUMIF('TUNZ Extracted TB'!M:M,$P4261,'TUNZ Extracted TB'!G:G)</f>
        <v>0</v>
      </c>
      <c r="M4261" s="311"/>
      <c r="N4261" s="311">
        <f>+SUMIF('Input Sheet'!$AE:$AE,P4261,'Input Sheet'!$X:$X)</f>
        <v>0</v>
      </c>
      <c r="O4261" s="311"/>
      <c r="P4261" t="str">
        <f t="shared" si="353"/>
        <v>200-3090RD</v>
      </c>
      <c r="Q4261" s="315" t="str">
        <f t="shared" si="354"/>
        <v>New Vehicle</v>
      </c>
      <c r="R4261" s="315" t="str">
        <f t="shared" si="355"/>
        <v>New VehicleOther Income per NV unit</v>
      </c>
      <c r="S4261" s="199"/>
      <c r="T4261" s="199"/>
      <c r="U4261" s="199"/>
    </row>
    <row r="4262" spans="1:21" x14ac:dyDescent="0.25">
      <c r="A4262" t="s">
        <v>996</v>
      </c>
      <c r="B4262" t="s">
        <v>997</v>
      </c>
      <c r="C4262" t="s">
        <v>1012</v>
      </c>
      <c r="D4262" t="s">
        <v>464</v>
      </c>
      <c r="E4262">
        <v>400</v>
      </c>
      <c r="F4262" t="s">
        <v>1024</v>
      </c>
      <c r="G4262" t="s">
        <v>1027</v>
      </c>
      <c r="H4262" s="315" t="s">
        <v>29</v>
      </c>
      <c r="I4262" s="315" t="s">
        <v>1026</v>
      </c>
      <c r="J4262" s="315" t="str">
        <f t="shared" si="351"/>
        <v>New VehicleOther Income per NV unit</v>
      </c>
      <c r="K4262" s="315" t="str">
        <f t="shared" si="352"/>
        <v>400New Vehicle Other Income - Toyota</v>
      </c>
      <c r="L4262" s="311">
        <f>+SUMIF('TUNZ Extracted TB'!M:M,$P4262,'TUNZ Extracted TB'!G:G)</f>
        <v>0</v>
      </c>
      <c r="M4262" s="311"/>
      <c r="N4262" s="311">
        <f>+SUMIF('Input Sheet'!$AE:$AE,P4262,'Input Sheet'!$X:$X)</f>
        <v>0</v>
      </c>
      <c r="O4262" s="311"/>
      <c r="P4262" t="str">
        <f t="shared" si="353"/>
        <v>400-3090RD</v>
      </c>
      <c r="Q4262" s="315" t="str">
        <f t="shared" si="354"/>
        <v>New Vehicle</v>
      </c>
      <c r="R4262" s="315" t="str">
        <f t="shared" si="355"/>
        <v>New VehicleOther Income per NV unit</v>
      </c>
      <c r="S4262" s="199"/>
      <c r="T4262" s="199"/>
      <c r="U4262" s="199"/>
    </row>
    <row r="4263" spans="1:21" x14ac:dyDescent="0.25">
      <c r="A4263" t="s">
        <v>996</v>
      </c>
      <c r="B4263" t="s">
        <v>997</v>
      </c>
      <c r="C4263" t="s">
        <v>1013</v>
      </c>
      <c r="D4263" t="s">
        <v>464</v>
      </c>
      <c r="E4263">
        <v>300</v>
      </c>
      <c r="F4263" t="s">
        <v>1024</v>
      </c>
      <c r="G4263" t="s">
        <v>1027</v>
      </c>
      <c r="H4263" s="315" t="s">
        <v>29</v>
      </c>
      <c r="I4263" s="315" t="s">
        <v>1026</v>
      </c>
      <c r="J4263" s="315" t="str">
        <f t="shared" si="351"/>
        <v>New VehicleOther Income per NV unit</v>
      </c>
      <c r="K4263" s="315" t="str">
        <f t="shared" si="352"/>
        <v>300New Vehicle Other Income - Toyota</v>
      </c>
      <c r="L4263" s="311">
        <f>+SUMIF('TUNZ Extracted TB'!M:M,$P4263,'TUNZ Extracted TB'!G:G)</f>
        <v>0</v>
      </c>
      <c r="M4263" s="311"/>
      <c r="N4263" s="311">
        <f>+SUMIF('Input Sheet'!$AE:$AE,P4263,'Input Sheet'!$X:$X)</f>
        <v>0</v>
      </c>
      <c r="O4263" s="311"/>
      <c r="P4263" t="str">
        <f t="shared" si="353"/>
        <v>300-3090RD</v>
      </c>
      <c r="Q4263" s="315" t="str">
        <f t="shared" si="354"/>
        <v>New Vehicle</v>
      </c>
      <c r="R4263" s="315" t="str">
        <f t="shared" si="355"/>
        <v>New VehicleOther Income per NV unit</v>
      </c>
      <c r="S4263" s="199"/>
      <c r="T4263" s="199"/>
      <c r="U4263" s="199"/>
    </row>
    <row r="4264" spans="1:21" x14ac:dyDescent="0.25">
      <c r="A4264" t="s">
        <v>996</v>
      </c>
      <c r="B4264" t="s">
        <v>997</v>
      </c>
      <c r="C4264" t="s">
        <v>997</v>
      </c>
      <c r="D4264" t="s">
        <v>464</v>
      </c>
      <c r="E4264">
        <v>110</v>
      </c>
      <c r="F4264" t="s">
        <v>1014</v>
      </c>
      <c r="G4264" t="s">
        <v>1015</v>
      </c>
      <c r="H4264" s="315" t="s">
        <v>30</v>
      </c>
      <c r="I4264" s="315" t="s">
        <v>1016</v>
      </c>
      <c r="J4264" s="315" t="str">
        <f t="shared" si="351"/>
        <v>Used VehicleEx NV demonstrators gross profit p.u.</v>
      </c>
      <c r="K4264" s="315" t="str">
        <f t="shared" si="352"/>
        <v>110Ex-Toyota NV Demonstrator revenue</v>
      </c>
      <c r="L4264" s="311">
        <f>+SUMIF('TUNZ Extracted TB'!M:M,$P4264,'TUNZ Extracted TB'!G:G)</f>
        <v>0</v>
      </c>
      <c r="M4264" s="311"/>
      <c r="N4264" s="311">
        <f>+SUMIF('Input Sheet'!$AE:$AE,P4264,'Input Sheet'!$X:$X)</f>
        <v>0</v>
      </c>
      <c r="O4264" s="311"/>
      <c r="P4264" t="str">
        <f t="shared" si="353"/>
        <v>110-3090RD</v>
      </c>
      <c r="Q4264" s="315" t="str">
        <f t="shared" si="354"/>
        <v>Used Vehicle</v>
      </c>
      <c r="R4264" s="315" t="str">
        <f t="shared" si="355"/>
        <v>Used VehicleEx NV demonstrators gross profit p.u.</v>
      </c>
      <c r="S4264" s="199"/>
      <c r="T4264" s="199"/>
      <c r="U4264" s="199"/>
    </row>
    <row r="4265" spans="1:21" x14ac:dyDescent="0.25">
      <c r="A4265" t="s">
        <v>996</v>
      </c>
      <c r="B4265" t="s">
        <v>997</v>
      </c>
      <c r="C4265" t="s">
        <v>997</v>
      </c>
      <c r="D4265" t="s">
        <v>466</v>
      </c>
      <c r="E4265">
        <v>100</v>
      </c>
      <c r="F4265" t="s">
        <v>1024</v>
      </c>
      <c r="G4265" t="s">
        <v>1027</v>
      </c>
      <c r="H4265" s="315" t="s">
        <v>29</v>
      </c>
      <c r="I4265" s="315" t="s">
        <v>1026</v>
      </c>
      <c r="J4265" s="315" t="str">
        <f t="shared" si="351"/>
        <v>New VehicleOther Income per NV unit</v>
      </c>
      <c r="K4265" s="315" t="str">
        <f t="shared" si="352"/>
        <v>100New Vehicle Other Income - Toyota</v>
      </c>
      <c r="L4265" s="311">
        <f>+SUMIF('TUNZ Extracted TB'!M:M,$P4265,'TUNZ Extracted TB'!G:G)</f>
        <v>-2931.28</v>
      </c>
      <c r="M4265" s="311"/>
      <c r="N4265" s="311">
        <f>+SUMIF('Input Sheet'!$AE:$AE,P4265,'Input Sheet'!$X:$X)</f>
        <v>0</v>
      </c>
      <c r="O4265" s="311"/>
      <c r="P4265" t="str">
        <f t="shared" si="353"/>
        <v>100-3095R</v>
      </c>
      <c r="Q4265" s="315" t="str">
        <f t="shared" si="354"/>
        <v>New Vehicle</v>
      </c>
      <c r="R4265" s="315" t="str">
        <f t="shared" si="355"/>
        <v>New VehicleOther Income per NV unit</v>
      </c>
      <c r="S4265" s="199"/>
      <c r="T4265" s="199"/>
      <c r="U4265" s="199"/>
    </row>
    <row r="4266" spans="1:21" x14ac:dyDescent="0.25">
      <c r="A4266" t="s">
        <v>996</v>
      </c>
      <c r="B4266" t="s">
        <v>997</v>
      </c>
      <c r="C4266" t="s">
        <v>1005</v>
      </c>
      <c r="D4266" t="s">
        <v>464</v>
      </c>
      <c r="E4266">
        <v>210</v>
      </c>
      <c r="F4266" t="s">
        <v>1014</v>
      </c>
      <c r="G4266" t="s">
        <v>1015</v>
      </c>
      <c r="H4266" s="315" t="s">
        <v>30</v>
      </c>
      <c r="I4266" s="315" t="s">
        <v>1016</v>
      </c>
      <c r="J4266" s="315" t="str">
        <f t="shared" si="351"/>
        <v>Used VehicleEx NV demonstrators gross profit p.u.</v>
      </c>
      <c r="K4266" s="315" t="str">
        <f t="shared" si="352"/>
        <v>210Ex-Toyota NV Demonstrator revenue</v>
      </c>
      <c r="L4266" s="311">
        <f>+SUMIF('TUNZ Extracted TB'!M:M,$P4266,'TUNZ Extracted TB'!G:G)</f>
        <v>0</v>
      </c>
      <c r="M4266" s="311"/>
      <c r="N4266" s="311">
        <f>+SUMIF('Input Sheet'!$AE:$AE,P4266,'Input Sheet'!$X:$X)</f>
        <v>0</v>
      </c>
      <c r="O4266" s="311"/>
      <c r="P4266" t="str">
        <f t="shared" si="353"/>
        <v>210-3090RD</v>
      </c>
      <c r="Q4266" s="315" t="str">
        <f t="shared" si="354"/>
        <v>Used Vehicle</v>
      </c>
      <c r="R4266" s="315" t="str">
        <f t="shared" si="355"/>
        <v>Used VehicleEx NV demonstrators gross profit p.u.</v>
      </c>
      <c r="S4266" s="199"/>
      <c r="T4266" s="199"/>
      <c r="U4266" s="199"/>
    </row>
    <row r="4267" spans="1:21" x14ac:dyDescent="0.25">
      <c r="A4267" t="s">
        <v>996</v>
      </c>
      <c r="B4267" t="s">
        <v>997</v>
      </c>
      <c r="C4267" t="s">
        <v>1012</v>
      </c>
      <c r="D4267" t="s">
        <v>464</v>
      </c>
      <c r="E4267">
        <v>410</v>
      </c>
      <c r="F4267" t="s">
        <v>1014</v>
      </c>
      <c r="G4267" t="s">
        <v>1015</v>
      </c>
      <c r="H4267" s="315" t="s">
        <v>30</v>
      </c>
      <c r="I4267" s="315" t="s">
        <v>1016</v>
      </c>
      <c r="J4267" s="315" t="str">
        <f t="shared" si="351"/>
        <v>Used VehicleEx NV demonstrators gross profit p.u.</v>
      </c>
      <c r="K4267" s="315" t="str">
        <f t="shared" si="352"/>
        <v>410Ex-Toyota NV Demonstrator revenue</v>
      </c>
      <c r="L4267" s="311">
        <f>+SUMIF('TUNZ Extracted TB'!M:M,$P4267,'TUNZ Extracted TB'!G:G)</f>
        <v>0</v>
      </c>
      <c r="M4267" s="311"/>
      <c r="N4267" s="311">
        <f>+SUMIF('Input Sheet'!$AE:$AE,P4267,'Input Sheet'!$X:$X)</f>
        <v>0</v>
      </c>
      <c r="O4267" s="311"/>
      <c r="P4267" t="str">
        <f t="shared" si="353"/>
        <v>410-3090RD</v>
      </c>
      <c r="Q4267" s="315" t="str">
        <f t="shared" si="354"/>
        <v>Used Vehicle</v>
      </c>
      <c r="R4267" s="315" t="str">
        <f t="shared" si="355"/>
        <v>Used VehicleEx NV demonstrators gross profit p.u.</v>
      </c>
      <c r="S4267" s="199"/>
      <c r="T4267" s="199"/>
      <c r="U4267" s="199"/>
    </row>
    <row r="4268" spans="1:21" x14ac:dyDescent="0.25">
      <c r="A4268" t="s">
        <v>996</v>
      </c>
      <c r="B4268" t="s">
        <v>997</v>
      </c>
      <c r="C4268" t="s">
        <v>1013</v>
      </c>
      <c r="D4268" t="s">
        <v>464</v>
      </c>
      <c r="E4268">
        <v>310</v>
      </c>
      <c r="F4268" t="s">
        <v>1014</v>
      </c>
      <c r="G4268" t="s">
        <v>1015</v>
      </c>
      <c r="H4268" s="315" t="s">
        <v>30</v>
      </c>
      <c r="I4268" s="315" t="s">
        <v>1016</v>
      </c>
      <c r="J4268" s="315" t="str">
        <f t="shared" si="351"/>
        <v>Used VehicleEx NV demonstrators gross profit p.u.</v>
      </c>
      <c r="K4268" s="315" t="str">
        <f t="shared" si="352"/>
        <v>310Ex-Toyota NV Demonstrator revenue</v>
      </c>
      <c r="L4268" s="311">
        <f>+SUMIF('TUNZ Extracted TB'!M:M,$P4268,'TUNZ Extracted TB'!G:G)</f>
        <v>0</v>
      </c>
      <c r="M4268" s="311"/>
      <c r="N4268" s="311">
        <f>+SUMIF('Input Sheet'!$AE:$AE,P4268,'Input Sheet'!$X:$X)</f>
        <v>0</v>
      </c>
      <c r="O4268" s="311"/>
      <c r="P4268" t="str">
        <f t="shared" si="353"/>
        <v>310-3090RD</v>
      </c>
      <c r="Q4268" s="315" t="str">
        <f t="shared" si="354"/>
        <v>Used Vehicle</v>
      </c>
      <c r="R4268" s="315" t="str">
        <f t="shared" si="355"/>
        <v>Used VehicleEx NV demonstrators gross profit p.u.</v>
      </c>
      <c r="S4268" s="199"/>
      <c r="T4268" s="199"/>
      <c r="U4268" s="199"/>
    </row>
    <row r="4269" spans="1:21" x14ac:dyDescent="0.25">
      <c r="A4269" t="s">
        <v>996</v>
      </c>
      <c r="B4269" t="s">
        <v>997</v>
      </c>
      <c r="C4269" t="s">
        <v>1012</v>
      </c>
      <c r="D4269" t="s">
        <v>466</v>
      </c>
      <c r="E4269">
        <v>400</v>
      </c>
      <c r="F4269" t="s">
        <v>1024</v>
      </c>
      <c r="G4269" t="s">
        <v>1027</v>
      </c>
      <c r="H4269" s="315" t="s">
        <v>29</v>
      </c>
      <c r="I4269" s="315" t="s">
        <v>1026</v>
      </c>
      <c r="J4269" s="315" t="str">
        <f t="shared" si="351"/>
        <v>New VehicleOther Income per NV unit</v>
      </c>
      <c r="K4269" s="315" t="str">
        <f t="shared" si="352"/>
        <v>400New Vehicle Other Income - Toyota</v>
      </c>
      <c r="L4269" s="311">
        <f>+SUMIF('TUNZ Extracted TB'!M:M,$P4269,'TUNZ Extracted TB'!G:G)</f>
        <v>0</v>
      </c>
      <c r="M4269" s="311"/>
      <c r="N4269" s="311">
        <f>+SUMIF('Input Sheet'!$AE:$AE,P4269,'Input Sheet'!$X:$X)</f>
        <v>0</v>
      </c>
      <c r="O4269" s="311"/>
      <c r="P4269" t="str">
        <f t="shared" si="353"/>
        <v>400-3095R</v>
      </c>
      <c r="Q4269" s="315" t="str">
        <f t="shared" si="354"/>
        <v>New Vehicle</v>
      </c>
      <c r="R4269" s="315" t="str">
        <f t="shared" si="355"/>
        <v>New VehicleOther Income per NV unit</v>
      </c>
      <c r="S4269" s="199"/>
      <c r="T4269" s="199"/>
      <c r="U4269" s="199"/>
    </row>
    <row r="4270" spans="1:21" x14ac:dyDescent="0.25">
      <c r="A4270" t="s">
        <v>996</v>
      </c>
      <c r="B4270" t="s">
        <v>997</v>
      </c>
      <c r="C4270" t="s">
        <v>1013</v>
      </c>
      <c r="D4270" t="s">
        <v>466</v>
      </c>
      <c r="E4270">
        <v>300</v>
      </c>
      <c r="F4270" t="s">
        <v>1024</v>
      </c>
      <c r="G4270" t="s">
        <v>1027</v>
      </c>
      <c r="H4270" s="315" t="s">
        <v>29</v>
      </c>
      <c r="I4270" s="315" t="s">
        <v>1026</v>
      </c>
      <c r="J4270" s="315" t="str">
        <f t="shared" si="351"/>
        <v>New VehicleOther Income per NV unit</v>
      </c>
      <c r="K4270" s="315" t="str">
        <f t="shared" si="352"/>
        <v>300New Vehicle Other Income - Toyota</v>
      </c>
      <c r="L4270" s="311">
        <f>+SUMIF('TUNZ Extracted TB'!M:M,$P4270,'TUNZ Extracted TB'!G:G)</f>
        <v>0</v>
      </c>
      <c r="M4270" s="311"/>
      <c r="N4270" s="311">
        <f>+SUMIF('Input Sheet'!$AE:$AE,P4270,'Input Sheet'!$X:$X)</f>
        <v>0</v>
      </c>
      <c r="O4270" s="311"/>
      <c r="P4270" t="str">
        <f t="shared" si="353"/>
        <v>300-3095R</v>
      </c>
      <c r="Q4270" s="315" t="str">
        <f t="shared" si="354"/>
        <v>New Vehicle</v>
      </c>
      <c r="R4270" s="315" t="str">
        <f t="shared" si="355"/>
        <v>New VehicleOther Income per NV unit</v>
      </c>
      <c r="S4270" s="199"/>
      <c r="T4270" s="199"/>
      <c r="U4270" s="199"/>
    </row>
    <row r="4271" spans="1:21" x14ac:dyDescent="0.25">
      <c r="A4271" t="s">
        <v>996</v>
      </c>
      <c r="B4271" t="s">
        <v>997</v>
      </c>
      <c r="C4271" t="s">
        <v>1005</v>
      </c>
      <c r="D4271" t="s">
        <v>466</v>
      </c>
      <c r="E4271">
        <v>200</v>
      </c>
      <c r="F4271" t="s">
        <v>1024</v>
      </c>
      <c r="G4271" t="s">
        <v>1027</v>
      </c>
      <c r="H4271" s="315" t="s">
        <v>29</v>
      </c>
      <c r="I4271" s="315" t="s">
        <v>1026</v>
      </c>
      <c r="J4271" s="315" t="str">
        <f t="shared" si="351"/>
        <v>New VehicleOther Income per NV unit</v>
      </c>
      <c r="K4271" s="315" t="str">
        <f t="shared" si="352"/>
        <v>200New Vehicle Other Income - Toyota</v>
      </c>
      <c r="L4271" s="311">
        <f>+SUMIF('TUNZ Extracted TB'!M:M,$P4271,'TUNZ Extracted TB'!G:G)</f>
        <v>-7792.15</v>
      </c>
      <c r="M4271" s="311"/>
      <c r="N4271" s="311">
        <f>+SUMIF('Input Sheet'!$AE:$AE,P4271,'Input Sheet'!$X:$X)</f>
        <v>0</v>
      </c>
      <c r="O4271" s="311"/>
      <c r="P4271" t="str">
        <f t="shared" si="353"/>
        <v>200-3095R</v>
      </c>
      <c r="Q4271" s="315" t="str">
        <f t="shared" si="354"/>
        <v>New Vehicle</v>
      </c>
      <c r="R4271" s="315" t="str">
        <f t="shared" si="355"/>
        <v>New VehicleOther Income per NV unit</v>
      </c>
      <c r="S4271" s="199"/>
      <c r="T4271" s="199"/>
      <c r="U4271" s="199"/>
    </row>
    <row r="4272" spans="1:21" x14ac:dyDescent="0.25">
      <c r="A4272" t="s">
        <v>996</v>
      </c>
      <c r="B4272" t="s">
        <v>997</v>
      </c>
      <c r="C4272" t="s">
        <v>997</v>
      </c>
      <c r="D4272" t="s">
        <v>466</v>
      </c>
      <c r="E4272">
        <v>110</v>
      </c>
      <c r="F4272" t="s">
        <v>1014</v>
      </c>
      <c r="G4272" t="s">
        <v>1015</v>
      </c>
      <c r="H4272" s="315" t="s">
        <v>30</v>
      </c>
      <c r="I4272" s="315" t="s">
        <v>1016</v>
      </c>
      <c r="J4272" s="315" t="str">
        <f t="shared" si="351"/>
        <v>Used VehicleEx NV demonstrators gross profit p.u.</v>
      </c>
      <c r="K4272" s="315" t="str">
        <f t="shared" si="352"/>
        <v>110Ex-Toyota NV Demonstrator revenue</v>
      </c>
      <c r="L4272" s="311">
        <f>+SUMIF('TUNZ Extracted TB'!M:M,$P4272,'TUNZ Extracted TB'!G:G)</f>
        <v>0</v>
      </c>
      <c r="M4272" s="311"/>
      <c r="N4272" s="311">
        <f>+SUMIF('Input Sheet'!$AE:$AE,P4272,'Input Sheet'!$X:$X)</f>
        <v>0</v>
      </c>
      <c r="O4272" s="311"/>
      <c r="P4272" t="str">
        <f t="shared" si="353"/>
        <v>110-3095R</v>
      </c>
      <c r="Q4272" s="315" t="str">
        <f t="shared" si="354"/>
        <v>Used Vehicle</v>
      </c>
      <c r="R4272" s="315" t="str">
        <f t="shared" si="355"/>
        <v>Used VehicleEx NV demonstrators gross profit p.u.</v>
      </c>
      <c r="S4272" s="199"/>
      <c r="T4272" s="199"/>
      <c r="U4272" s="199"/>
    </row>
    <row r="4273" spans="1:21" x14ac:dyDescent="0.25">
      <c r="A4273" t="s">
        <v>996</v>
      </c>
      <c r="B4273" t="s">
        <v>997</v>
      </c>
      <c r="C4273" t="s">
        <v>997</v>
      </c>
      <c r="D4273" t="s">
        <v>468</v>
      </c>
      <c r="E4273">
        <v>100</v>
      </c>
      <c r="F4273" t="s">
        <v>1024</v>
      </c>
      <c r="G4273" t="s">
        <v>1027</v>
      </c>
      <c r="H4273" s="315" t="s">
        <v>29</v>
      </c>
      <c r="I4273" s="315" t="s">
        <v>1026</v>
      </c>
      <c r="J4273" s="315" t="str">
        <f t="shared" si="351"/>
        <v>New VehicleOther Income per NV unit</v>
      </c>
      <c r="K4273" s="315" t="str">
        <f t="shared" si="352"/>
        <v>100New Vehicle Other Income - Toyota</v>
      </c>
      <c r="L4273" s="311">
        <f>+SUMIF('TUNZ Extracted TB'!M:M,$P4273,'TUNZ Extracted TB'!G:G)</f>
        <v>0</v>
      </c>
      <c r="M4273" s="311"/>
      <c r="N4273" s="311">
        <f>+SUMIF('Input Sheet'!$AE:$AE,P4273,'Input Sheet'!$X:$X)</f>
        <v>0</v>
      </c>
      <c r="O4273" s="311"/>
      <c r="P4273" t="str">
        <f t="shared" si="353"/>
        <v>100-3095RD</v>
      </c>
      <c r="Q4273" s="315" t="str">
        <f t="shared" si="354"/>
        <v>New Vehicle</v>
      </c>
      <c r="R4273" s="315" t="str">
        <f t="shared" si="355"/>
        <v>New VehicleOther Income per NV unit</v>
      </c>
      <c r="S4273" s="199"/>
      <c r="T4273" s="199"/>
      <c r="U4273" s="199"/>
    </row>
    <row r="4274" spans="1:21" x14ac:dyDescent="0.25">
      <c r="A4274" t="s">
        <v>996</v>
      </c>
      <c r="B4274" t="s">
        <v>997</v>
      </c>
      <c r="C4274" t="s">
        <v>1012</v>
      </c>
      <c r="D4274" t="s">
        <v>466</v>
      </c>
      <c r="E4274">
        <v>410</v>
      </c>
      <c r="F4274" t="s">
        <v>1014</v>
      </c>
      <c r="G4274" t="s">
        <v>1015</v>
      </c>
      <c r="H4274" s="315" t="s">
        <v>30</v>
      </c>
      <c r="I4274" s="315" t="s">
        <v>1016</v>
      </c>
      <c r="J4274" s="315" t="str">
        <f t="shared" si="351"/>
        <v>Used VehicleEx NV demonstrators gross profit p.u.</v>
      </c>
      <c r="K4274" s="315" t="str">
        <f t="shared" si="352"/>
        <v>410Ex-Toyota NV Demonstrator revenue</v>
      </c>
      <c r="L4274" s="311">
        <f>+SUMIF('TUNZ Extracted TB'!M:M,$P4274,'TUNZ Extracted TB'!G:G)</f>
        <v>0</v>
      </c>
      <c r="M4274" s="311"/>
      <c r="N4274" s="311">
        <f>+SUMIF('Input Sheet'!$AE:$AE,P4274,'Input Sheet'!$X:$X)</f>
        <v>0</v>
      </c>
      <c r="O4274" s="311"/>
      <c r="P4274" t="str">
        <f t="shared" si="353"/>
        <v>410-3095R</v>
      </c>
      <c r="Q4274" s="315" t="str">
        <f t="shared" si="354"/>
        <v>Used Vehicle</v>
      </c>
      <c r="R4274" s="315" t="str">
        <f t="shared" si="355"/>
        <v>Used VehicleEx NV demonstrators gross profit p.u.</v>
      </c>
      <c r="S4274" s="199"/>
      <c r="T4274" s="199"/>
      <c r="U4274" s="199"/>
    </row>
    <row r="4275" spans="1:21" x14ac:dyDescent="0.25">
      <c r="A4275" t="s">
        <v>996</v>
      </c>
      <c r="B4275" t="s">
        <v>997</v>
      </c>
      <c r="C4275" t="s">
        <v>1013</v>
      </c>
      <c r="D4275" t="s">
        <v>466</v>
      </c>
      <c r="E4275">
        <v>310</v>
      </c>
      <c r="F4275" t="s">
        <v>1014</v>
      </c>
      <c r="G4275" t="s">
        <v>1015</v>
      </c>
      <c r="H4275" s="315" t="s">
        <v>30</v>
      </c>
      <c r="I4275" s="315" t="s">
        <v>1016</v>
      </c>
      <c r="J4275" s="315" t="str">
        <f t="shared" si="351"/>
        <v>Used VehicleEx NV demonstrators gross profit p.u.</v>
      </c>
      <c r="K4275" s="315" t="str">
        <f t="shared" si="352"/>
        <v>310Ex-Toyota NV Demonstrator revenue</v>
      </c>
      <c r="L4275" s="311">
        <f>+SUMIF('TUNZ Extracted TB'!M:M,$P4275,'TUNZ Extracted TB'!G:G)</f>
        <v>0</v>
      </c>
      <c r="M4275" s="311"/>
      <c r="N4275" s="311">
        <f>+SUMIF('Input Sheet'!$AE:$AE,P4275,'Input Sheet'!$X:$X)</f>
        <v>0</v>
      </c>
      <c r="O4275" s="311"/>
      <c r="P4275" t="str">
        <f t="shared" si="353"/>
        <v>310-3095R</v>
      </c>
      <c r="Q4275" s="315" t="str">
        <f t="shared" si="354"/>
        <v>Used Vehicle</v>
      </c>
      <c r="R4275" s="315" t="str">
        <f t="shared" si="355"/>
        <v>Used VehicleEx NV demonstrators gross profit p.u.</v>
      </c>
      <c r="S4275" s="199"/>
      <c r="T4275" s="199"/>
      <c r="U4275" s="199"/>
    </row>
    <row r="4276" spans="1:21" x14ac:dyDescent="0.25">
      <c r="A4276" t="s">
        <v>996</v>
      </c>
      <c r="B4276" t="s">
        <v>997</v>
      </c>
      <c r="C4276" t="s">
        <v>1005</v>
      </c>
      <c r="D4276" t="s">
        <v>466</v>
      </c>
      <c r="E4276">
        <v>210</v>
      </c>
      <c r="F4276" t="s">
        <v>1014</v>
      </c>
      <c r="G4276" t="s">
        <v>1015</v>
      </c>
      <c r="H4276" s="315" t="s">
        <v>30</v>
      </c>
      <c r="I4276" s="315" t="s">
        <v>1016</v>
      </c>
      <c r="J4276" s="315" t="str">
        <f t="shared" si="351"/>
        <v>Used VehicleEx NV demonstrators gross profit p.u.</v>
      </c>
      <c r="K4276" s="315" t="str">
        <f t="shared" si="352"/>
        <v>210Ex-Toyota NV Demonstrator revenue</v>
      </c>
      <c r="L4276" s="311">
        <f>+SUMIF('TUNZ Extracted TB'!M:M,$P4276,'TUNZ Extracted TB'!G:G)</f>
        <v>0</v>
      </c>
      <c r="M4276" s="311"/>
      <c r="N4276" s="311">
        <f>+SUMIF('Input Sheet'!$AE:$AE,P4276,'Input Sheet'!$X:$X)</f>
        <v>0</v>
      </c>
      <c r="O4276" s="311"/>
      <c r="P4276" t="str">
        <f t="shared" si="353"/>
        <v>210-3095R</v>
      </c>
      <c r="Q4276" s="315" t="str">
        <f t="shared" si="354"/>
        <v>Used Vehicle</v>
      </c>
      <c r="R4276" s="315" t="str">
        <f t="shared" si="355"/>
        <v>Used VehicleEx NV demonstrators gross profit p.u.</v>
      </c>
      <c r="S4276" s="199"/>
      <c r="T4276" s="199"/>
      <c r="U4276" s="199"/>
    </row>
    <row r="4277" spans="1:21" x14ac:dyDescent="0.25">
      <c r="A4277" t="s">
        <v>996</v>
      </c>
      <c r="B4277" t="s">
        <v>997</v>
      </c>
      <c r="C4277" t="s">
        <v>1005</v>
      </c>
      <c r="D4277" t="s">
        <v>468</v>
      </c>
      <c r="E4277">
        <v>200</v>
      </c>
      <c r="F4277" t="s">
        <v>1024</v>
      </c>
      <c r="G4277" t="s">
        <v>1027</v>
      </c>
      <c r="H4277" s="315" t="s">
        <v>29</v>
      </c>
      <c r="I4277" s="315" t="s">
        <v>1026</v>
      </c>
      <c r="J4277" s="315" t="str">
        <f t="shared" si="351"/>
        <v>New VehicleOther Income per NV unit</v>
      </c>
      <c r="K4277" s="315" t="str">
        <f t="shared" si="352"/>
        <v>200New Vehicle Other Income - Toyota</v>
      </c>
      <c r="L4277" s="311">
        <f>+SUMIF('TUNZ Extracted TB'!M:M,$P4277,'TUNZ Extracted TB'!G:G)</f>
        <v>0</v>
      </c>
      <c r="M4277" s="311"/>
      <c r="N4277" s="311">
        <f>+SUMIF('Input Sheet'!$AE:$AE,P4277,'Input Sheet'!$X:$X)</f>
        <v>0</v>
      </c>
      <c r="O4277" s="311"/>
      <c r="P4277" t="str">
        <f t="shared" si="353"/>
        <v>200-3095RD</v>
      </c>
      <c r="Q4277" s="315" t="str">
        <f t="shared" si="354"/>
        <v>New Vehicle</v>
      </c>
      <c r="R4277" s="315" t="str">
        <f t="shared" si="355"/>
        <v>New VehicleOther Income per NV unit</v>
      </c>
      <c r="S4277" s="199"/>
      <c r="T4277" s="199"/>
      <c r="U4277" s="199"/>
    </row>
    <row r="4278" spans="1:21" x14ac:dyDescent="0.25">
      <c r="A4278" t="s">
        <v>996</v>
      </c>
      <c r="B4278" t="s">
        <v>997</v>
      </c>
      <c r="C4278" t="s">
        <v>1012</v>
      </c>
      <c r="D4278" t="s">
        <v>468</v>
      </c>
      <c r="E4278">
        <v>400</v>
      </c>
      <c r="F4278" t="s">
        <v>1024</v>
      </c>
      <c r="G4278" t="s">
        <v>1027</v>
      </c>
      <c r="H4278" s="315" t="s">
        <v>29</v>
      </c>
      <c r="I4278" s="315" t="s">
        <v>1026</v>
      </c>
      <c r="J4278" s="315" t="str">
        <f t="shared" si="351"/>
        <v>New VehicleOther Income per NV unit</v>
      </c>
      <c r="K4278" s="315" t="str">
        <f t="shared" si="352"/>
        <v>400New Vehicle Other Income - Toyota</v>
      </c>
      <c r="L4278" s="311">
        <f>+SUMIF('TUNZ Extracted TB'!M:M,$P4278,'TUNZ Extracted TB'!G:G)</f>
        <v>0</v>
      </c>
      <c r="M4278" s="311"/>
      <c r="N4278" s="311">
        <f>+SUMIF('Input Sheet'!$AE:$AE,P4278,'Input Sheet'!$X:$X)</f>
        <v>0</v>
      </c>
      <c r="O4278" s="311"/>
      <c r="P4278" t="str">
        <f t="shared" si="353"/>
        <v>400-3095RD</v>
      </c>
      <c r="Q4278" s="315" t="str">
        <f t="shared" si="354"/>
        <v>New Vehicle</v>
      </c>
      <c r="R4278" s="315" t="str">
        <f t="shared" si="355"/>
        <v>New VehicleOther Income per NV unit</v>
      </c>
      <c r="S4278" s="199"/>
      <c r="T4278" s="199"/>
      <c r="U4278" s="199"/>
    </row>
    <row r="4279" spans="1:21" x14ac:dyDescent="0.25">
      <c r="A4279" t="s">
        <v>996</v>
      </c>
      <c r="B4279" t="s">
        <v>997</v>
      </c>
      <c r="C4279" t="s">
        <v>1013</v>
      </c>
      <c r="D4279" t="s">
        <v>468</v>
      </c>
      <c r="E4279">
        <v>300</v>
      </c>
      <c r="F4279" t="s">
        <v>1024</v>
      </c>
      <c r="G4279" t="s">
        <v>1027</v>
      </c>
      <c r="H4279" s="315" t="s">
        <v>29</v>
      </c>
      <c r="I4279" s="315" t="s">
        <v>1026</v>
      </c>
      <c r="J4279" s="315" t="str">
        <f t="shared" si="351"/>
        <v>New VehicleOther Income per NV unit</v>
      </c>
      <c r="K4279" s="315" t="str">
        <f t="shared" si="352"/>
        <v>300New Vehicle Other Income - Toyota</v>
      </c>
      <c r="L4279" s="311">
        <f>+SUMIF('TUNZ Extracted TB'!M:M,$P4279,'TUNZ Extracted TB'!G:G)</f>
        <v>0</v>
      </c>
      <c r="M4279" s="311"/>
      <c r="N4279" s="311">
        <f>+SUMIF('Input Sheet'!$AE:$AE,P4279,'Input Sheet'!$X:$X)</f>
        <v>0</v>
      </c>
      <c r="O4279" s="311"/>
      <c r="P4279" t="str">
        <f t="shared" si="353"/>
        <v>300-3095RD</v>
      </c>
      <c r="Q4279" s="315" t="str">
        <f t="shared" si="354"/>
        <v>New Vehicle</v>
      </c>
      <c r="R4279" s="315" t="str">
        <f t="shared" si="355"/>
        <v>New VehicleOther Income per NV unit</v>
      </c>
      <c r="S4279" s="199"/>
      <c r="T4279" s="199"/>
      <c r="U4279" s="199"/>
    </row>
    <row r="4280" spans="1:21" x14ac:dyDescent="0.25">
      <c r="A4280" t="s">
        <v>996</v>
      </c>
      <c r="B4280" t="s">
        <v>997</v>
      </c>
      <c r="C4280" t="s">
        <v>997</v>
      </c>
      <c r="D4280" t="s">
        <v>468</v>
      </c>
      <c r="E4280">
        <v>110</v>
      </c>
      <c r="F4280" t="s">
        <v>1014</v>
      </c>
      <c r="G4280" t="s">
        <v>1015</v>
      </c>
      <c r="H4280" s="315" t="s">
        <v>30</v>
      </c>
      <c r="I4280" s="315" t="s">
        <v>1016</v>
      </c>
      <c r="J4280" s="315" t="str">
        <f t="shared" si="351"/>
        <v>Used VehicleEx NV demonstrators gross profit p.u.</v>
      </c>
      <c r="K4280" s="315" t="str">
        <f t="shared" si="352"/>
        <v>110Ex-Toyota NV Demonstrator revenue</v>
      </c>
      <c r="L4280" s="311">
        <f>+SUMIF('TUNZ Extracted TB'!M:M,$P4280,'TUNZ Extracted TB'!G:G)</f>
        <v>0</v>
      </c>
      <c r="M4280" s="311"/>
      <c r="N4280" s="311">
        <f>+SUMIF('Input Sheet'!$AE:$AE,P4280,'Input Sheet'!$X:$X)</f>
        <v>0</v>
      </c>
      <c r="O4280" s="311"/>
      <c r="P4280" t="str">
        <f t="shared" si="353"/>
        <v>110-3095RD</v>
      </c>
      <c r="Q4280" s="315" t="str">
        <f t="shared" si="354"/>
        <v>Used Vehicle</v>
      </c>
      <c r="R4280" s="315" t="str">
        <f t="shared" si="355"/>
        <v>Used VehicleEx NV demonstrators gross profit p.u.</v>
      </c>
      <c r="S4280" s="199"/>
      <c r="T4280" s="199"/>
      <c r="U4280" s="199"/>
    </row>
    <row r="4281" spans="1:21" x14ac:dyDescent="0.25">
      <c r="A4281" t="s">
        <v>996</v>
      </c>
      <c r="B4281" t="s">
        <v>997</v>
      </c>
      <c r="C4281" t="s">
        <v>997</v>
      </c>
      <c r="D4281" t="s">
        <v>470</v>
      </c>
      <c r="E4281">
        <v>100</v>
      </c>
      <c r="F4281" t="s">
        <v>1024</v>
      </c>
      <c r="G4281" t="s">
        <v>1027</v>
      </c>
      <c r="H4281" s="315" t="s">
        <v>29</v>
      </c>
      <c r="I4281" s="315" t="s">
        <v>1026</v>
      </c>
      <c r="J4281" s="315" t="str">
        <f t="shared" si="351"/>
        <v>New VehicleOther Income per NV unit</v>
      </c>
      <c r="K4281" s="315" t="str">
        <f t="shared" si="352"/>
        <v>100New Vehicle Other Income - Toyota</v>
      </c>
      <c r="L4281" s="311">
        <f>+SUMIF('TUNZ Extracted TB'!M:M,$P4281,'TUNZ Extracted TB'!G:G)</f>
        <v>-8098.04</v>
      </c>
      <c r="M4281" s="311"/>
      <c r="N4281" s="311">
        <f>+SUMIF('Input Sheet'!$AE:$AE,P4281,'Input Sheet'!$X:$X)</f>
        <v>0</v>
      </c>
      <c r="O4281" s="311"/>
      <c r="P4281" t="str">
        <f t="shared" si="353"/>
        <v>100-3105R</v>
      </c>
      <c r="Q4281" s="315" t="str">
        <f t="shared" si="354"/>
        <v>New Vehicle</v>
      </c>
      <c r="R4281" s="315" t="str">
        <f t="shared" si="355"/>
        <v>New VehicleOther Income per NV unit</v>
      </c>
      <c r="S4281" s="199"/>
      <c r="T4281" s="199"/>
      <c r="U4281" s="199"/>
    </row>
    <row r="4282" spans="1:21" x14ac:dyDescent="0.25">
      <c r="A4282" t="s">
        <v>996</v>
      </c>
      <c r="B4282" t="s">
        <v>997</v>
      </c>
      <c r="C4282" t="s">
        <v>1005</v>
      </c>
      <c r="D4282" t="s">
        <v>468</v>
      </c>
      <c r="E4282">
        <v>210</v>
      </c>
      <c r="F4282" t="s">
        <v>1014</v>
      </c>
      <c r="G4282" t="s">
        <v>1015</v>
      </c>
      <c r="H4282" s="315" t="s">
        <v>30</v>
      </c>
      <c r="I4282" s="315" t="s">
        <v>1016</v>
      </c>
      <c r="J4282" s="315" t="str">
        <f t="shared" si="351"/>
        <v>Used VehicleEx NV demonstrators gross profit p.u.</v>
      </c>
      <c r="K4282" s="315" t="str">
        <f t="shared" si="352"/>
        <v>210Ex-Toyota NV Demonstrator revenue</v>
      </c>
      <c r="L4282" s="311">
        <f>+SUMIF('TUNZ Extracted TB'!M:M,$P4282,'TUNZ Extracted TB'!G:G)</f>
        <v>0</v>
      </c>
      <c r="M4282" s="311"/>
      <c r="N4282" s="311">
        <f>+SUMIF('Input Sheet'!$AE:$AE,P4282,'Input Sheet'!$X:$X)</f>
        <v>0</v>
      </c>
      <c r="O4282" s="311"/>
      <c r="P4282" t="str">
        <f t="shared" si="353"/>
        <v>210-3095RD</v>
      </c>
      <c r="Q4282" s="315" t="str">
        <f t="shared" si="354"/>
        <v>Used Vehicle</v>
      </c>
      <c r="R4282" s="315" t="str">
        <f t="shared" si="355"/>
        <v>Used VehicleEx NV demonstrators gross profit p.u.</v>
      </c>
      <c r="S4282" s="199"/>
      <c r="T4282" s="199"/>
      <c r="U4282" s="199"/>
    </row>
    <row r="4283" spans="1:21" x14ac:dyDescent="0.25">
      <c r="A4283" t="s">
        <v>996</v>
      </c>
      <c r="B4283" t="s">
        <v>997</v>
      </c>
      <c r="C4283" t="s">
        <v>1012</v>
      </c>
      <c r="D4283" t="s">
        <v>468</v>
      </c>
      <c r="E4283">
        <v>410</v>
      </c>
      <c r="F4283" t="s">
        <v>1014</v>
      </c>
      <c r="G4283" t="s">
        <v>1015</v>
      </c>
      <c r="H4283" s="315" t="s">
        <v>30</v>
      </c>
      <c r="I4283" s="315" t="s">
        <v>1016</v>
      </c>
      <c r="J4283" s="315" t="str">
        <f t="shared" si="351"/>
        <v>Used VehicleEx NV demonstrators gross profit p.u.</v>
      </c>
      <c r="K4283" s="315" t="str">
        <f t="shared" si="352"/>
        <v>410Ex-Toyota NV Demonstrator revenue</v>
      </c>
      <c r="L4283" s="311">
        <f>+SUMIF('TUNZ Extracted TB'!M:M,$P4283,'TUNZ Extracted TB'!G:G)</f>
        <v>0</v>
      </c>
      <c r="M4283" s="311"/>
      <c r="N4283" s="311">
        <f>+SUMIF('Input Sheet'!$AE:$AE,P4283,'Input Sheet'!$X:$X)</f>
        <v>0</v>
      </c>
      <c r="O4283" s="311"/>
      <c r="P4283" t="str">
        <f t="shared" si="353"/>
        <v>410-3095RD</v>
      </c>
      <c r="Q4283" s="315" t="str">
        <f t="shared" si="354"/>
        <v>Used Vehicle</v>
      </c>
      <c r="R4283" s="315" t="str">
        <f t="shared" si="355"/>
        <v>Used VehicleEx NV demonstrators gross profit p.u.</v>
      </c>
      <c r="S4283" s="199"/>
      <c r="T4283" s="199"/>
      <c r="U4283" s="199"/>
    </row>
    <row r="4284" spans="1:21" x14ac:dyDescent="0.25">
      <c r="A4284" t="s">
        <v>996</v>
      </c>
      <c r="B4284" t="s">
        <v>997</v>
      </c>
      <c r="C4284" t="s">
        <v>1013</v>
      </c>
      <c r="D4284" t="s">
        <v>468</v>
      </c>
      <c r="E4284">
        <v>310</v>
      </c>
      <c r="F4284" t="s">
        <v>1014</v>
      </c>
      <c r="G4284" t="s">
        <v>1015</v>
      </c>
      <c r="H4284" s="315" t="s">
        <v>30</v>
      </c>
      <c r="I4284" s="315" t="s">
        <v>1016</v>
      </c>
      <c r="J4284" s="315" t="str">
        <f t="shared" si="351"/>
        <v>Used VehicleEx NV demonstrators gross profit p.u.</v>
      </c>
      <c r="K4284" s="315" t="str">
        <f t="shared" si="352"/>
        <v>310Ex-Toyota NV Demonstrator revenue</v>
      </c>
      <c r="L4284" s="311">
        <f>+SUMIF('TUNZ Extracted TB'!M:M,$P4284,'TUNZ Extracted TB'!G:G)</f>
        <v>0</v>
      </c>
      <c r="M4284" s="311"/>
      <c r="N4284" s="311">
        <f>+SUMIF('Input Sheet'!$AE:$AE,P4284,'Input Sheet'!$X:$X)</f>
        <v>0</v>
      </c>
      <c r="O4284" s="311"/>
      <c r="P4284" t="str">
        <f t="shared" si="353"/>
        <v>310-3095RD</v>
      </c>
      <c r="Q4284" s="315" t="str">
        <f t="shared" si="354"/>
        <v>Used Vehicle</v>
      </c>
      <c r="R4284" s="315" t="str">
        <f t="shared" si="355"/>
        <v>Used VehicleEx NV demonstrators gross profit p.u.</v>
      </c>
      <c r="S4284" s="199"/>
      <c r="T4284" s="199"/>
      <c r="U4284" s="199"/>
    </row>
    <row r="4285" spans="1:21" x14ac:dyDescent="0.25">
      <c r="A4285" t="s">
        <v>996</v>
      </c>
      <c r="B4285" t="s">
        <v>997</v>
      </c>
      <c r="C4285" t="s">
        <v>1012</v>
      </c>
      <c r="D4285" t="s">
        <v>470</v>
      </c>
      <c r="E4285">
        <v>400</v>
      </c>
      <c r="F4285" t="s">
        <v>1024</v>
      </c>
      <c r="G4285" t="s">
        <v>1027</v>
      </c>
      <c r="H4285" s="315" t="s">
        <v>29</v>
      </c>
      <c r="I4285" s="315" t="s">
        <v>1026</v>
      </c>
      <c r="J4285" s="315" t="str">
        <f t="shared" si="351"/>
        <v>New VehicleOther Income per NV unit</v>
      </c>
      <c r="K4285" s="315" t="str">
        <f t="shared" si="352"/>
        <v>400New Vehicle Other Income - Toyota</v>
      </c>
      <c r="L4285" s="311">
        <f>+SUMIF('TUNZ Extracted TB'!M:M,$P4285,'TUNZ Extracted TB'!G:G)</f>
        <v>0</v>
      </c>
      <c r="M4285" s="311"/>
      <c r="N4285" s="311">
        <f>+SUMIF('Input Sheet'!$AE:$AE,P4285,'Input Sheet'!$X:$X)</f>
        <v>0</v>
      </c>
      <c r="O4285" s="311"/>
      <c r="P4285" t="str">
        <f t="shared" si="353"/>
        <v>400-3105R</v>
      </c>
      <c r="Q4285" s="315" t="str">
        <f t="shared" si="354"/>
        <v>New Vehicle</v>
      </c>
      <c r="R4285" s="315" t="str">
        <f t="shared" si="355"/>
        <v>New VehicleOther Income per NV unit</v>
      </c>
      <c r="S4285" s="199"/>
      <c r="T4285" s="199"/>
      <c r="U4285" s="199"/>
    </row>
    <row r="4286" spans="1:21" x14ac:dyDescent="0.25">
      <c r="A4286" t="s">
        <v>996</v>
      </c>
      <c r="B4286" t="s">
        <v>997</v>
      </c>
      <c r="C4286" t="s">
        <v>1013</v>
      </c>
      <c r="D4286" t="s">
        <v>470</v>
      </c>
      <c r="E4286">
        <v>300</v>
      </c>
      <c r="F4286" t="s">
        <v>1024</v>
      </c>
      <c r="G4286" t="s">
        <v>1027</v>
      </c>
      <c r="H4286" s="315" t="s">
        <v>29</v>
      </c>
      <c r="I4286" s="315" t="s">
        <v>1026</v>
      </c>
      <c r="J4286" s="315" t="str">
        <f t="shared" si="351"/>
        <v>New VehicleOther Income per NV unit</v>
      </c>
      <c r="K4286" s="315" t="str">
        <f t="shared" si="352"/>
        <v>300New Vehicle Other Income - Toyota</v>
      </c>
      <c r="L4286" s="311">
        <f>+SUMIF('TUNZ Extracted TB'!M:M,$P4286,'TUNZ Extracted TB'!G:G)</f>
        <v>0</v>
      </c>
      <c r="M4286" s="311"/>
      <c r="N4286" s="311">
        <f>+SUMIF('Input Sheet'!$AE:$AE,P4286,'Input Sheet'!$X:$X)</f>
        <v>0</v>
      </c>
      <c r="O4286" s="311"/>
      <c r="P4286" t="str">
        <f t="shared" si="353"/>
        <v>300-3105R</v>
      </c>
      <c r="Q4286" s="315" t="str">
        <f t="shared" si="354"/>
        <v>New Vehicle</v>
      </c>
      <c r="R4286" s="315" t="str">
        <f t="shared" si="355"/>
        <v>New VehicleOther Income per NV unit</v>
      </c>
      <c r="S4286" s="199"/>
      <c r="T4286" s="199"/>
      <c r="U4286" s="199"/>
    </row>
    <row r="4287" spans="1:21" x14ac:dyDescent="0.25">
      <c r="A4287" t="s">
        <v>996</v>
      </c>
      <c r="B4287" t="s">
        <v>997</v>
      </c>
      <c r="C4287" t="s">
        <v>1005</v>
      </c>
      <c r="D4287" t="s">
        <v>470</v>
      </c>
      <c r="E4287">
        <v>200</v>
      </c>
      <c r="F4287" t="s">
        <v>1024</v>
      </c>
      <c r="G4287" t="s">
        <v>1027</v>
      </c>
      <c r="H4287" s="315" t="s">
        <v>29</v>
      </c>
      <c r="I4287" s="315" t="s">
        <v>1026</v>
      </c>
      <c r="J4287" s="315" t="str">
        <f t="shared" si="351"/>
        <v>New VehicleOther Income per NV unit</v>
      </c>
      <c r="K4287" s="315" t="str">
        <f t="shared" si="352"/>
        <v>200New Vehicle Other Income - Toyota</v>
      </c>
      <c r="L4287" s="311">
        <f>+SUMIF('TUNZ Extracted TB'!M:M,$P4287,'TUNZ Extracted TB'!G:G)</f>
        <v>-22610.54</v>
      </c>
      <c r="M4287" s="311"/>
      <c r="N4287" s="311">
        <f>+SUMIF('Input Sheet'!$AE:$AE,P4287,'Input Sheet'!$X:$X)</f>
        <v>0</v>
      </c>
      <c r="O4287" s="311"/>
      <c r="P4287" t="str">
        <f t="shared" si="353"/>
        <v>200-3105R</v>
      </c>
      <c r="Q4287" s="315" t="str">
        <f t="shared" si="354"/>
        <v>New Vehicle</v>
      </c>
      <c r="R4287" s="315" t="str">
        <f t="shared" si="355"/>
        <v>New VehicleOther Income per NV unit</v>
      </c>
      <c r="S4287" s="199"/>
      <c r="T4287" s="199"/>
      <c r="U4287" s="199"/>
    </row>
    <row r="4288" spans="1:21" x14ac:dyDescent="0.25">
      <c r="A4288" t="s">
        <v>996</v>
      </c>
      <c r="B4288" t="s">
        <v>997</v>
      </c>
      <c r="C4288" t="s">
        <v>997</v>
      </c>
      <c r="D4288" t="s">
        <v>470</v>
      </c>
      <c r="E4288">
        <v>110</v>
      </c>
      <c r="F4288" t="s">
        <v>1014</v>
      </c>
      <c r="G4288" t="s">
        <v>1015</v>
      </c>
      <c r="H4288" s="315" t="s">
        <v>30</v>
      </c>
      <c r="I4288" s="315" t="s">
        <v>1016</v>
      </c>
      <c r="J4288" s="315" t="str">
        <f t="shared" si="351"/>
        <v>Used VehicleEx NV demonstrators gross profit p.u.</v>
      </c>
      <c r="K4288" s="315" t="str">
        <f t="shared" si="352"/>
        <v>110Ex-Toyota NV Demonstrator revenue</v>
      </c>
      <c r="L4288" s="311">
        <f>+SUMIF('TUNZ Extracted TB'!M:M,$P4288,'TUNZ Extracted TB'!G:G)</f>
        <v>0</v>
      </c>
      <c r="M4288" s="311"/>
      <c r="N4288" s="311">
        <f>+SUMIF('Input Sheet'!$AE:$AE,P4288,'Input Sheet'!$X:$X)</f>
        <v>0</v>
      </c>
      <c r="O4288" s="311"/>
      <c r="P4288" t="str">
        <f t="shared" si="353"/>
        <v>110-3105R</v>
      </c>
      <c r="Q4288" s="315" t="str">
        <f t="shared" si="354"/>
        <v>Used Vehicle</v>
      </c>
      <c r="R4288" s="315" t="str">
        <f t="shared" si="355"/>
        <v>Used VehicleEx NV demonstrators gross profit p.u.</v>
      </c>
      <c r="S4288" s="199"/>
      <c r="T4288" s="199"/>
      <c r="U4288" s="199"/>
    </row>
    <row r="4289" spans="1:21" x14ac:dyDescent="0.25">
      <c r="A4289" t="s">
        <v>996</v>
      </c>
      <c r="B4289" t="s">
        <v>997</v>
      </c>
      <c r="C4289" t="s">
        <v>997</v>
      </c>
      <c r="D4289" t="s">
        <v>472</v>
      </c>
      <c r="E4289">
        <v>100</v>
      </c>
      <c r="F4289" t="s">
        <v>1024</v>
      </c>
      <c r="G4289" t="s">
        <v>1027</v>
      </c>
      <c r="H4289" s="315" t="s">
        <v>29</v>
      </c>
      <c r="I4289" s="315" t="s">
        <v>1026</v>
      </c>
      <c r="J4289" s="315" t="str">
        <f t="shared" si="351"/>
        <v>New VehicleOther Income per NV unit</v>
      </c>
      <c r="K4289" s="315" t="str">
        <f t="shared" si="352"/>
        <v>100New Vehicle Other Income - Toyota</v>
      </c>
      <c r="L4289" s="311">
        <f>+SUMIF('TUNZ Extracted TB'!M:M,$P4289,'TUNZ Extracted TB'!G:G)</f>
        <v>0</v>
      </c>
      <c r="M4289" s="311"/>
      <c r="N4289" s="311">
        <f>+SUMIF('Input Sheet'!$AE:$AE,P4289,'Input Sheet'!$X:$X)</f>
        <v>0</v>
      </c>
      <c r="O4289" s="311"/>
      <c r="P4289" t="str">
        <f t="shared" si="353"/>
        <v>100-3105RD</v>
      </c>
      <c r="Q4289" s="315" t="str">
        <f t="shared" si="354"/>
        <v>New Vehicle</v>
      </c>
      <c r="R4289" s="315" t="str">
        <f t="shared" si="355"/>
        <v>New VehicleOther Income per NV unit</v>
      </c>
      <c r="S4289" s="199"/>
      <c r="T4289" s="199"/>
      <c r="U4289" s="199"/>
    </row>
    <row r="4290" spans="1:21" x14ac:dyDescent="0.25">
      <c r="A4290" t="s">
        <v>996</v>
      </c>
      <c r="B4290" t="s">
        <v>997</v>
      </c>
      <c r="C4290" t="s">
        <v>1012</v>
      </c>
      <c r="D4290" t="s">
        <v>470</v>
      </c>
      <c r="E4290">
        <v>410</v>
      </c>
      <c r="F4290" t="s">
        <v>1014</v>
      </c>
      <c r="G4290" t="s">
        <v>1015</v>
      </c>
      <c r="H4290" s="315" t="s">
        <v>30</v>
      </c>
      <c r="I4290" s="315" t="s">
        <v>1016</v>
      </c>
      <c r="J4290" s="315" t="str">
        <f t="shared" si="351"/>
        <v>Used VehicleEx NV demonstrators gross profit p.u.</v>
      </c>
      <c r="K4290" s="315" t="str">
        <f t="shared" si="352"/>
        <v>410Ex-Toyota NV Demonstrator revenue</v>
      </c>
      <c r="L4290" s="311">
        <f>+SUMIF('TUNZ Extracted TB'!M:M,$P4290,'TUNZ Extracted TB'!G:G)</f>
        <v>0</v>
      </c>
      <c r="M4290" s="311"/>
      <c r="N4290" s="311">
        <f>+SUMIF('Input Sheet'!$AE:$AE,P4290,'Input Sheet'!$X:$X)</f>
        <v>0</v>
      </c>
      <c r="O4290" s="311"/>
      <c r="P4290" t="str">
        <f t="shared" si="353"/>
        <v>410-3105R</v>
      </c>
      <c r="Q4290" s="315" t="str">
        <f t="shared" si="354"/>
        <v>Used Vehicle</v>
      </c>
      <c r="R4290" s="315" t="str">
        <f t="shared" si="355"/>
        <v>Used VehicleEx NV demonstrators gross profit p.u.</v>
      </c>
      <c r="S4290" s="199"/>
      <c r="T4290" s="199"/>
      <c r="U4290" s="199"/>
    </row>
    <row r="4291" spans="1:21" x14ac:dyDescent="0.25">
      <c r="A4291" t="s">
        <v>996</v>
      </c>
      <c r="B4291" t="s">
        <v>997</v>
      </c>
      <c r="C4291" t="s">
        <v>1013</v>
      </c>
      <c r="D4291" t="s">
        <v>470</v>
      </c>
      <c r="E4291">
        <v>310</v>
      </c>
      <c r="F4291" t="s">
        <v>1014</v>
      </c>
      <c r="G4291" t="s">
        <v>1015</v>
      </c>
      <c r="H4291" s="315" t="s">
        <v>30</v>
      </c>
      <c r="I4291" s="315" t="s">
        <v>1016</v>
      </c>
      <c r="J4291" s="315" t="str">
        <f t="shared" ref="J4291:J4354" si="356">+H4291&amp;I4291</f>
        <v>Used VehicleEx NV demonstrators gross profit p.u.</v>
      </c>
      <c r="K4291" s="315" t="str">
        <f t="shared" ref="K4291:K4354" si="357">+E4291&amp;G4291</f>
        <v>310Ex-Toyota NV Demonstrator revenue</v>
      </c>
      <c r="L4291" s="311">
        <f>+SUMIF('TUNZ Extracted TB'!M:M,$P4291,'TUNZ Extracted TB'!G:G)</f>
        <v>0</v>
      </c>
      <c r="M4291" s="311"/>
      <c r="N4291" s="311">
        <f>+SUMIF('Input Sheet'!$AE:$AE,P4291,'Input Sheet'!$X:$X)</f>
        <v>0</v>
      </c>
      <c r="O4291" s="311"/>
      <c r="P4291" t="str">
        <f t="shared" ref="P4291:P4354" si="358">+E4291&amp;"-"&amp;D4291</f>
        <v>310-3105R</v>
      </c>
      <c r="Q4291" s="315" t="str">
        <f t="shared" ref="Q4291:Q4354" si="359">H4291</f>
        <v>Used Vehicle</v>
      </c>
      <c r="R4291" s="315" t="str">
        <f t="shared" ref="R4291:R4354" si="360">J4291</f>
        <v>Used VehicleEx NV demonstrators gross profit p.u.</v>
      </c>
      <c r="S4291" s="199"/>
      <c r="T4291" s="199"/>
      <c r="U4291" s="199"/>
    </row>
    <row r="4292" spans="1:21" x14ac:dyDescent="0.25">
      <c r="A4292" t="s">
        <v>996</v>
      </c>
      <c r="B4292" t="s">
        <v>997</v>
      </c>
      <c r="C4292" t="s">
        <v>1005</v>
      </c>
      <c r="D4292" t="s">
        <v>472</v>
      </c>
      <c r="E4292">
        <v>200</v>
      </c>
      <c r="F4292" t="s">
        <v>1024</v>
      </c>
      <c r="G4292" t="s">
        <v>1027</v>
      </c>
      <c r="H4292" s="315" t="s">
        <v>29</v>
      </c>
      <c r="I4292" s="315" t="s">
        <v>1026</v>
      </c>
      <c r="J4292" s="315" t="str">
        <f t="shared" si="356"/>
        <v>New VehicleOther Income per NV unit</v>
      </c>
      <c r="K4292" s="315" t="str">
        <f t="shared" si="357"/>
        <v>200New Vehicle Other Income - Toyota</v>
      </c>
      <c r="L4292" s="311">
        <f>+SUMIF('TUNZ Extracted TB'!M:M,$P4292,'TUNZ Extracted TB'!G:G)</f>
        <v>0</v>
      </c>
      <c r="M4292" s="311"/>
      <c r="N4292" s="311">
        <f>+SUMIF('Input Sheet'!$AE:$AE,P4292,'Input Sheet'!$X:$X)</f>
        <v>0</v>
      </c>
      <c r="O4292" s="311"/>
      <c r="P4292" t="str">
        <f t="shared" si="358"/>
        <v>200-3105RD</v>
      </c>
      <c r="Q4292" s="315" t="str">
        <f t="shared" si="359"/>
        <v>New Vehicle</v>
      </c>
      <c r="R4292" s="315" t="str">
        <f t="shared" si="360"/>
        <v>New VehicleOther Income per NV unit</v>
      </c>
      <c r="S4292" s="199"/>
      <c r="T4292" s="199"/>
      <c r="U4292" s="199"/>
    </row>
    <row r="4293" spans="1:21" x14ac:dyDescent="0.25">
      <c r="A4293" t="s">
        <v>996</v>
      </c>
      <c r="B4293" t="s">
        <v>997</v>
      </c>
      <c r="C4293" t="s">
        <v>1012</v>
      </c>
      <c r="D4293" t="s">
        <v>472</v>
      </c>
      <c r="E4293">
        <v>400</v>
      </c>
      <c r="F4293" t="s">
        <v>1024</v>
      </c>
      <c r="G4293" t="s">
        <v>1027</v>
      </c>
      <c r="H4293" s="315" t="s">
        <v>29</v>
      </c>
      <c r="I4293" s="315" t="s">
        <v>1026</v>
      </c>
      <c r="J4293" s="315" t="str">
        <f t="shared" si="356"/>
        <v>New VehicleOther Income per NV unit</v>
      </c>
      <c r="K4293" s="315" t="str">
        <f t="shared" si="357"/>
        <v>400New Vehicle Other Income - Toyota</v>
      </c>
      <c r="L4293" s="311">
        <f>+SUMIF('TUNZ Extracted TB'!M:M,$P4293,'TUNZ Extracted TB'!G:G)</f>
        <v>0</v>
      </c>
      <c r="M4293" s="311"/>
      <c r="N4293" s="311">
        <f>+SUMIF('Input Sheet'!$AE:$AE,P4293,'Input Sheet'!$X:$X)</f>
        <v>0</v>
      </c>
      <c r="O4293" s="311"/>
      <c r="P4293" t="str">
        <f t="shared" si="358"/>
        <v>400-3105RD</v>
      </c>
      <c r="Q4293" s="315" t="str">
        <f t="shared" si="359"/>
        <v>New Vehicle</v>
      </c>
      <c r="R4293" s="315" t="str">
        <f t="shared" si="360"/>
        <v>New VehicleOther Income per NV unit</v>
      </c>
      <c r="S4293" s="199"/>
      <c r="T4293" s="199"/>
      <c r="U4293" s="199"/>
    </row>
    <row r="4294" spans="1:21" x14ac:dyDescent="0.25">
      <c r="A4294" t="s">
        <v>996</v>
      </c>
      <c r="B4294" t="s">
        <v>997</v>
      </c>
      <c r="C4294" t="s">
        <v>1013</v>
      </c>
      <c r="D4294" t="s">
        <v>472</v>
      </c>
      <c r="E4294">
        <v>300</v>
      </c>
      <c r="F4294" t="s">
        <v>1024</v>
      </c>
      <c r="G4294" t="s">
        <v>1027</v>
      </c>
      <c r="H4294" s="315" t="s">
        <v>29</v>
      </c>
      <c r="I4294" s="315" t="s">
        <v>1026</v>
      </c>
      <c r="J4294" s="315" t="str">
        <f t="shared" si="356"/>
        <v>New VehicleOther Income per NV unit</v>
      </c>
      <c r="K4294" s="315" t="str">
        <f t="shared" si="357"/>
        <v>300New Vehicle Other Income - Toyota</v>
      </c>
      <c r="L4294" s="311">
        <f>+SUMIF('TUNZ Extracted TB'!M:M,$P4294,'TUNZ Extracted TB'!G:G)</f>
        <v>0</v>
      </c>
      <c r="M4294" s="311"/>
      <c r="N4294" s="311">
        <f>+SUMIF('Input Sheet'!$AE:$AE,P4294,'Input Sheet'!$X:$X)</f>
        <v>0</v>
      </c>
      <c r="O4294" s="311"/>
      <c r="P4294" t="str">
        <f t="shared" si="358"/>
        <v>300-3105RD</v>
      </c>
      <c r="Q4294" s="315" t="str">
        <f t="shared" si="359"/>
        <v>New Vehicle</v>
      </c>
      <c r="R4294" s="315" t="str">
        <f t="shared" si="360"/>
        <v>New VehicleOther Income per NV unit</v>
      </c>
      <c r="S4294" s="199"/>
      <c r="T4294" s="199"/>
      <c r="U4294" s="199"/>
    </row>
    <row r="4295" spans="1:21" x14ac:dyDescent="0.25">
      <c r="A4295" t="s">
        <v>996</v>
      </c>
      <c r="B4295" t="s">
        <v>997</v>
      </c>
      <c r="C4295" t="s">
        <v>1005</v>
      </c>
      <c r="D4295" t="s">
        <v>470</v>
      </c>
      <c r="E4295">
        <v>210</v>
      </c>
      <c r="F4295" t="s">
        <v>1014</v>
      </c>
      <c r="G4295" t="s">
        <v>1015</v>
      </c>
      <c r="H4295" s="315" t="s">
        <v>30</v>
      </c>
      <c r="I4295" s="315" t="s">
        <v>1016</v>
      </c>
      <c r="J4295" s="315" t="str">
        <f t="shared" si="356"/>
        <v>Used VehicleEx NV demonstrators gross profit p.u.</v>
      </c>
      <c r="K4295" s="315" t="str">
        <f t="shared" si="357"/>
        <v>210Ex-Toyota NV Demonstrator revenue</v>
      </c>
      <c r="L4295" s="311">
        <f>+SUMIF('TUNZ Extracted TB'!M:M,$P4295,'TUNZ Extracted TB'!G:G)</f>
        <v>0</v>
      </c>
      <c r="M4295" s="311"/>
      <c r="N4295" s="311">
        <f>+SUMIF('Input Sheet'!$AE:$AE,P4295,'Input Sheet'!$X:$X)</f>
        <v>0</v>
      </c>
      <c r="O4295" s="311"/>
      <c r="P4295" t="str">
        <f t="shared" si="358"/>
        <v>210-3105R</v>
      </c>
      <c r="Q4295" s="315" t="str">
        <f t="shared" si="359"/>
        <v>Used Vehicle</v>
      </c>
      <c r="R4295" s="315" t="str">
        <f t="shared" si="360"/>
        <v>Used VehicleEx NV demonstrators gross profit p.u.</v>
      </c>
      <c r="S4295" s="199"/>
      <c r="T4295" s="199"/>
      <c r="U4295" s="199"/>
    </row>
    <row r="4296" spans="1:21" x14ac:dyDescent="0.25">
      <c r="A4296" t="s">
        <v>996</v>
      </c>
      <c r="B4296" t="s">
        <v>997</v>
      </c>
      <c r="C4296" t="s">
        <v>997</v>
      </c>
      <c r="D4296" t="s">
        <v>472</v>
      </c>
      <c r="E4296">
        <v>110</v>
      </c>
      <c r="F4296" t="s">
        <v>1014</v>
      </c>
      <c r="G4296" t="s">
        <v>1015</v>
      </c>
      <c r="H4296" s="315" t="s">
        <v>30</v>
      </c>
      <c r="I4296" s="315" t="s">
        <v>1016</v>
      </c>
      <c r="J4296" s="315" t="str">
        <f t="shared" si="356"/>
        <v>Used VehicleEx NV demonstrators gross profit p.u.</v>
      </c>
      <c r="K4296" s="315" t="str">
        <f t="shared" si="357"/>
        <v>110Ex-Toyota NV Demonstrator revenue</v>
      </c>
      <c r="L4296" s="311">
        <f>+SUMIF('TUNZ Extracted TB'!M:M,$P4296,'TUNZ Extracted TB'!G:G)</f>
        <v>0</v>
      </c>
      <c r="M4296" s="311"/>
      <c r="N4296" s="311">
        <f>+SUMIF('Input Sheet'!$AE:$AE,P4296,'Input Sheet'!$X:$X)</f>
        <v>0</v>
      </c>
      <c r="O4296" s="311"/>
      <c r="P4296" t="str">
        <f t="shared" si="358"/>
        <v>110-3105RD</v>
      </c>
      <c r="Q4296" s="315" t="str">
        <f t="shared" si="359"/>
        <v>Used Vehicle</v>
      </c>
      <c r="R4296" s="315" t="str">
        <f t="shared" si="360"/>
        <v>Used VehicleEx NV demonstrators gross profit p.u.</v>
      </c>
      <c r="S4296" s="199"/>
      <c r="T4296" s="199"/>
      <c r="U4296" s="199"/>
    </row>
    <row r="4297" spans="1:21" x14ac:dyDescent="0.25">
      <c r="A4297" t="s">
        <v>996</v>
      </c>
      <c r="B4297" t="s">
        <v>997</v>
      </c>
      <c r="C4297" t="s">
        <v>997</v>
      </c>
      <c r="D4297" t="s">
        <v>1513</v>
      </c>
      <c r="E4297">
        <v>100</v>
      </c>
      <c r="F4297" t="s">
        <v>1024</v>
      </c>
      <c r="G4297" t="s">
        <v>1027</v>
      </c>
      <c r="H4297" s="315" t="s">
        <v>29</v>
      </c>
      <c r="I4297" s="315" t="s">
        <v>1026</v>
      </c>
      <c r="J4297" s="315" t="str">
        <f t="shared" si="356"/>
        <v>New VehicleOther Income per NV unit</v>
      </c>
      <c r="K4297" s="315" t="str">
        <f t="shared" si="357"/>
        <v>100New Vehicle Other Income - Toyota</v>
      </c>
      <c r="L4297" s="311">
        <f>+SUMIF('TUNZ Extracted TB'!M:M,$P4297,'TUNZ Extracted TB'!G:G)</f>
        <v>0</v>
      </c>
      <c r="M4297" s="311"/>
      <c r="N4297" s="311">
        <f>+SUMIF('Input Sheet'!$AE:$AE,P4297,'Input Sheet'!$X:$X)</f>
        <v>0</v>
      </c>
      <c r="O4297" s="311"/>
      <c r="P4297" t="str">
        <f t="shared" si="358"/>
        <v>100-3110R</v>
      </c>
      <c r="Q4297" s="315" t="str">
        <f t="shared" si="359"/>
        <v>New Vehicle</v>
      </c>
      <c r="R4297" s="315" t="str">
        <f t="shared" si="360"/>
        <v>New VehicleOther Income per NV unit</v>
      </c>
      <c r="S4297" s="199"/>
      <c r="T4297" s="199"/>
      <c r="U4297" s="199"/>
    </row>
    <row r="4298" spans="1:21" x14ac:dyDescent="0.25">
      <c r="A4298" t="s">
        <v>996</v>
      </c>
      <c r="B4298" t="s">
        <v>997</v>
      </c>
      <c r="C4298" t="s">
        <v>1005</v>
      </c>
      <c r="D4298" t="s">
        <v>472</v>
      </c>
      <c r="E4298">
        <v>210</v>
      </c>
      <c r="F4298" t="s">
        <v>1014</v>
      </c>
      <c r="G4298" t="s">
        <v>1015</v>
      </c>
      <c r="H4298" s="315" t="s">
        <v>30</v>
      </c>
      <c r="I4298" s="315" t="s">
        <v>1016</v>
      </c>
      <c r="J4298" s="315" t="str">
        <f t="shared" si="356"/>
        <v>Used VehicleEx NV demonstrators gross profit p.u.</v>
      </c>
      <c r="K4298" s="315" t="str">
        <f t="shared" si="357"/>
        <v>210Ex-Toyota NV Demonstrator revenue</v>
      </c>
      <c r="L4298" s="311">
        <f>+SUMIF('TUNZ Extracted TB'!M:M,$P4298,'TUNZ Extracted TB'!G:G)</f>
        <v>0</v>
      </c>
      <c r="M4298" s="311"/>
      <c r="N4298" s="311">
        <f>+SUMIF('Input Sheet'!$AE:$AE,P4298,'Input Sheet'!$X:$X)</f>
        <v>0</v>
      </c>
      <c r="O4298" s="311"/>
      <c r="P4298" t="str">
        <f t="shared" si="358"/>
        <v>210-3105RD</v>
      </c>
      <c r="Q4298" s="315" t="str">
        <f t="shared" si="359"/>
        <v>Used Vehicle</v>
      </c>
      <c r="R4298" s="315" t="str">
        <f t="shared" si="360"/>
        <v>Used VehicleEx NV demonstrators gross profit p.u.</v>
      </c>
      <c r="S4298" s="199"/>
      <c r="T4298" s="199"/>
      <c r="U4298" s="199"/>
    </row>
    <row r="4299" spans="1:21" x14ac:dyDescent="0.25">
      <c r="A4299" t="s">
        <v>996</v>
      </c>
      <c r="B4299" t="s">
        <v>997</v>
      </c>
      <c r="C4299" t="s">
        <v>1012</v>
      </c>
      <c r="D4299" t="s">
        <v>472</v>
      </c>
      <c r="E4299">
        <v>410</v>
      </c>
      <c r="F4299" t="s">
        <v>1014</v>
      </c>
      <c r="G4299" t="s">
        <v>1015</v>
      </c>
      <c r="H4299" s="315" t="s">
        <v>30</v>
      </c>
      <c r="I4299" s="315" t="s">
        <v>1016</v>
      </c>
      <c r="J4299" s="315" t="str">
        <f t="shared" si="356"/>
        <v>Used VehicleEx NV demonstrators gross profit p.u.</v>
      </c>
      <c r="K4299" s="315" t="str">
        <f t="shared" si="357"/>
        <v>410Ex-Toyota NV Demonstrator revenue</v>
      </c>
      <c r="L4299" s="311">
        <f>+SUMIF('TUNZ Extracted TB'!M:M,$P4299,'TUNZ Extracted TB'!G:G)</f>
        <v>0</v>
      </c>
      <c r="M4299" s="311"/>
      <c r="N4299" s="311">
        <f>+SUMIF('Input Sheet'!$AE:$AE,P4299,'Input Sheet'!$X:$X)</f>
        <v>0</v>
      </c>
      <c r="O4299" s="311"/>
      <c r="P4299" t="str">
        <f t="shared" si="358"/>
        <v>410-3105RD</v>
      </c>
      <c r="Q4299" s="315" t="str">
        <f t="shared" si="359"/>
        <v>Used Vehicle</v>
      </c>
      <c r="R4299" s="315" t="str">
        <f t="shared" si="360"/>
        <v>Used VehicleEx NV demonstrators gross profit p.u.</v>
      </c>
      <c r="S4299" s="199"/>
      <c r="T4299" s="199"/>
      <c r="U4299" s="199"/>
    </row>
    <row r="4300" spans="1:21" x14ac:dyDescent="0.25">
      <c r="A4300" t="s">
        <v>996</v>
      </c>
      <c r="B4300" t="s">
        <v>997</v>
      </c>
      <c r="C4300" t="s">
        <v>1013</v>
      </c>
      <c r="D4300" t="s">
        <v>472</v>
      </c>
      <c r="E4300">
        <v>310</v>
      </c>
      <c r="F4300" t="s">
        <v>1014</v>
      </c>
      <c r="G4300" t="s">
        <v>1015</v>
      </c>
      <c r="H4300" s="315" t="s">
        <v>30</v>
      </c>
      <c r="I4300" s="315" t="s">
        <v>1016</v>
      </c>
      <c r="J4300" s="315" t="str">
        <f t="shared" si="356"/>
        <v>Used VehicleEx NV demonstrators gross profit p.u.</v>
      </c>
      <c r="K4300" s="315" t="str">
        <f t="shared" si="357"/>
        <v>310Ex-Toyota NV Demonstrator revenue</v>
      </c>
      <c r="L4300" s="311">
        <f>+SUMIF('TUNZ Extracted TB'!M:M,$P4300,'TUNZ Extracted TB'!G:G)</f>
        <v>0</v>
      </c>
      <c r="M4300" s="311"/>
      <c r="N4300" s="311">
        <f>+SUMIF('Input Sheet'!$AE:$AE,P4300,'Input Sheet'!$X:$X)</f>
        <v>0</v>
      </c>
      <c r="O4300" s="311"/>
      <c r="P4300" t="str">
        <f t="shared" si="358"/>
        <v>310-3105RD</v>
      </c>
      <c r="Q4300" s="315" t="str">
        <f t="shared" si="359"/>
        <v>Used Vehicle</v>
      </c>
      <c r="R4300" s="315" t="str">
        <f t="shared" si="360"/>
        <v>Used VehicleEx NV demonstrators gross profit p.u.</v>
      </c>
      <c r="S4300" s="199"/>
      <c r="T4300" s="199"/>
      <c r="U4300" s="199"/>
    </row>
    <row r="4301" spans="1:21" x14ac:dyDescent="0.25">
      <c r="A4301" t="s">
        <v>996</v>
      </c>
      <c r="B4301" t="s">
        <v>997</v>
      </c>
      <c r="C4301" t="s">
        <v>1005</v>
      </c>
      <c r="D4301" t="s">
        <v>1513</v>
      </c>
      <c r="E4301">
        <v>200</v>
      </c>
      <c r="F4301" t="s">
        <v>1024</v>
      </c>
      <c r="G4301" t="s">
        <v>1027</v>
      </c>
      <c r="H4301" s="315" t="s">
        <v>29</v>
      </c>
      <c r="I4301" s="315" t="s">
        <v>1026</v>
      </c>
      <c r="J4301" s="315" t="str">
        <f t="shared" si="356"/>
        <v>New VehicleOther Income per NV unit</v>
      </c>
      <c r="K4301" s="315" t="str">
        <f t="shared" si="357"/>
        <v>200New Vehicle Other Income - Toyota</v>
      </c>
      <c r="L4301" s="311">
        <f>+SUMIF('TUNZ Extracted TB'!M:M,$P4301,'TUNZ Extracted TB'!G:G)</f>
        <v>0</v>
      </c>
      <c r="M4301" s="311"/>
      <c r="N4301" s="311">
        <f>+SUMIF('Input Sheet'!$AE:$AE,P4301,'Input Sheet'!$X:$X)</f>
        <v>0</v>
      </c>
      <c r="O4301" s="311"/>
      <c r="P4301" t="str">
        <f t="shared" si="358"/>
        <v>200-3110R</v>
      </c>
      <c r="Q4301" s="315" t="str">
        <f t="shared" si="359"/>
        <v>New Vehicle</v>
      </c>
      <c r="R4301" s="315" t="str">
        <f t="shared" si="360"/>
        <v>New VehicleOther Income per NV unit</v>
      </c>
      <c r="S4301" s="199"/>
      <c r="T4301" s="199"/>
      <c r="U4301" s="199"/>
    </row>
    <row r="4302" spans="1:21" x14ac:dyDescent="0.25">
      <c r="A4302" t="s">
        <v>996</v>
      </c>
      <c r="B4302" t="s">
        <v>997</v>
      </c>
      <c r="C4302" t="s">
        <v>1012</v>
      </c>
      <c r="D4302" t="s">
        <v>1513</v>
      </c>
      <c r="E4302">
        <v>400</v>
      </c>
      <c r="F4302" t="s">
        <v>1024</v>
      </c>
      <c r="G4302" t="s">
        <v>1027</v>
      </c>
      <c r="H4302" s="315" t="s">
        <v>29</v>
      </c>
      <c r="I4302" s="315" t="s">
        <v>1026</v>
      </c>
      <c r="J4302" s="315" t="str">
        <f t="shared" si="356"/>
        <v>New VehicleOther Income per NV unit</v>
      </c>
      <c r="K4302" s="315" t="str">
        <f t="shared" si="357"/>
        <v>400New Vehicle Other Income - Toyota</v>
      </c>
      <c r="L4302" s="311">
        <f>+SUMIF('TUNZ Extracted TB'!M:M,$P4302,'TUNZ Extracted TB'!G:G)</f>
        <v>0</v>
      </c>
      <c r="M4302" s="311"/>
      <c r="N4302" s="311">
        <f>+SUMIF('Input Sheet'!$AE:$AE,P4302,'Input Sheet'!$X:$X)</f>
        <v>0</v>
      </c>
      <c r="O4302" s="311"/>
      <c r="P4302" t="str">
        <f t="shared" si="358"/>
        <v>400-3110R</v>
      </c>
      <c r="Q4302" s="315" t="str">
        <f t="shared" si="359"/>
        <v>New Vehicle</v>
      </c>
      <c r="R4302" s="315" t="str">
        <f t="shared" si="360"/>
        <v>New VehicleOther Income per NV unit</v>
      </c>
      <c r="S4302" s="199"/>
      <c r="T4302" s="199"/>
      <c r="U4302" s="199"/>
    </row>
    <row r="4303" spans="1:21" x14ac:dyDescent="0.25">
      <c r="A4303" t="s">
        <v>996</v>
      </c>
      <c r="B4303" t="s">
        <v>997</v>
      </c>
      <c r="C4303" t="s">
        <v>1013</v>
      </c>
      <c r="D4303" t="s">
        <v>1513</v>
      </c>
      <c r="E4303">
        <v>300</v>
      </c>
      <c r="F4303" t="s">
        <v>1024</v>
      </c>
      <c r="G4303" t="s">
        <v>1027</v>
      </c>
      <c r="H4303" s="315" t="s">
        <v>29</v>
      </c>
      <c r="I4303" s="315" t="s">
        <v>1026</v>
      </c>
      <c r="J4303" s="315" t="str">
        <f t="shared" si="356"/>
        <v>New VehicleOther Income per NV unit</v>
      </c>
      <c r="K4303" s="315" t="str">
        <f t="shared" si="357"/>
        <v>300New Vehicle Other Income - Toyota</v>
      </c>
      <c r="L4303" s="311">
        <f>+SUMIF('TUNZ Extracted TB'!M:M,$P4303,'TUNZ Extracted TB'!G:G)</f>
        <v>0</v>
      </c>
      <c r="M4303" s="311"/>
      <c r="N4303" s="311">
        <f>+SUMIF('Input Sheet'!$AE:$AE,P4303,'Input Sheet'!$X:$X)</f>
        <v>0</v>
      </c>
      <c r="O4303" s="311"/>
      <c r="P4303" t="str">
        <f t="shared" si="358"/>
        <v>300-3110R</v>
      </c>
      <c r="Q4303" s="315" t="str">
        <f t="shared" si="359"/>
        <v>New Vehicle</v>
      </c>
      <c r="R4303" s="315" t="str">
        <f t="shared" si="360"/>
        <v>New VehicleOther Income per NV unit</v>
      </c>
      <c r="S4303" s="199"/>
      <c r="T4303" s="199"/>
      <c r="U4303" s="199"/>
    </row>
    <row r="4304" spans="1:21" x14ac:dyDescent="0.25">
      <c r="A4304" t="s">
        <v>996</v>
      </c>
      <c r="B4304" t="s">
        <v>997</v>
      </c>
      <c r="C4304" t="s">
        <v>997</v>
      </c>
      <c r="D4304" t="s">
        <v>1513</v>
      </c>
      <c r="E4304">
        <v>110</v>
      </c>
      <c r="F4304" t="s">
        <v>1014</v>
      </c>
      <c r="G4304" t="s">
        <v>1015</v>
      </c>
      <c r="H4304" s="315" t="s">
        <v>30</v>
      </c>
      <c r="I4304" s="315" t="s">
        <v>1016</v>
      </c>
      <c r="J4304" s="315" t="str">
        <f t="shared" si="356"/>
        <v>Used VehicleEx NV demonstrators gross profit p.u.</v>
      </c>
      <c r="K4304" s="315" t="str">
        <f t="shared" si="357"/>
        <v>110Ex-Toyota NV Demonstrator revenue</v>
      </c>
      <c r="L4304" s="311">
        <f>+SUMIF('TUNZ Extracted TB'!M:M,$P4304,'TUNZ Extracted TB'!G:G)</f>
        <v>0</v>
      </c>
      <c r="M4304" s="311"/>
      <c r="N4304" s="311">
        <f>+SUMIF('Input Sheet'!$AE:$AE,P4304,'Input Sheet'!$X:$X)</f>
        <v>0</v>
      </c>
      <c r="O4304" s="311"/>
      <c r="P4304" t="str">
        <f t="shared" si="358"/>
        <v>110-3110R</v>
      </c>
      <c r="Q4304" s="315" t="str">
        <f t="shared" si="359"/>
        <v>Used Vehicle</v>
      </c>
      <c r="R4304" s="315" t="str">
        <f t="shared" si="360"/>
        <v>Used VehicleEx NV demonstrators gross profit p.u.</v>
      </c>
      <c r="S4304" s="199"/>
      <c r="T4304" s="199"/>
      <c r="U4304" s="199"/>
    </row>
    <row r="4305" spans="1:21" x14ac:dyDescent="0.25">
      <c r="A4305" t="s">
        <v>996</v>
      </c>
      <c r="B4305" t="s">
        <v>997</v>
      </c>
      <c r="C4305" t="s">
        <v>997</v>
      </c>
      <c r="D4305" t="s">
        <v>1514</v>
      </c>
      <c r="E4305">
        <v>100</v>
      </c>
      <c r="F4305" t="s">
        <v>1024</v>
      </c>
      <c r="G4305" t="s">
        <v>1027</v>
      </c>
      <c r="H4305" s="315" t="s">
        <v>29</v>
      </c>
      <c r="I4305" s="315" t="s">
        <v>1026</v>
      </c>
      <c r="J4305" s="315" t="str">
        <f t="shared" si="356"/>
        <v>New VehicleOther Income per NV unit</v>
      </c>
      <c r="K4305" s="315" t="str">
        <f t="shared" si="357"/>
        <v>100New Vehicle Other Income - Toyota</v>
      </c>
      <c r="L4305" s="311">
        <f>+SUMIF('TUNZ Extracted TB'!M:M,$P4305,'TUNZ Extracted TB'!G:G)</f>
        <v>0</v>
      </c>
      <c r="M4305" s="311"/>
      <c r="N4305" s="311">
        <f>+SUMIF('Input Sheet'!$AE:$AE,P4305,'Input Sheet'!$X:$X)</f>
        <v>0</v>
      </c>
      <c r="O4305" s="311"/>
      <c r="P4305" t="str">
        <f t="shared" si="358"/>
        <v>100-3110RD</v>
      </c>
      <c r="Q4305" s="315" t="str">
        <f t="shared" si="359"/>
        <v>New Vehicle</v>
      </c>
      <c r="R4305" s="315" t="str">
        <f t="shared" si="360"/>
        <v>New VehicleOther Income per NV unit</v>
      </c>
      <c r="S4305" s="199"/>
      <c r="T4305" s="199"/>
      <c r="U4305" s="199"/>
    </row>
    <row r="4306" spans="1:21" x14ac:dyDescent="0.25">
      <c r="A4306" t="s">
        <v>996</v>
      </c>
      <c r="B4306" t="s">
        <v>997</v>
      </c>
      <c r="C4306" t="s">
        <v>1005</v>
      </c>
      <c r="D4306" t="s">
        <v>1513</v>
      </c>
      <c r="E4306">
        <v>210</v>
      </c>
      <c r="F4306" t="s">
        <v>1014</v>
      </c>
      <c r="G4306" t="s">
        <v>1015</v>
      </c>
      <c r="H4306" s="315" t="s">
        <v>30</v>
      </c>
      <c r="I4306" s="315" t="s">
        <v>1016</v>
      </c>
      <c r="J4306" s="315" t="str">
        <f t="shared" si="356"/>
        <v>Used VehicleEx NV demonstrators gross profit p.u.</v>
      </c>
      <c r="K4306" s="315" t="str">
        <f t="shared" si="357"/>
        <v>210Ex-Toyota NV Demonstrator revenue</v>
      </c>
      <c r="L4306" s="311">
        <f>+SUMIF('TUNZ Extracted TB'!M:M,$P4306,'TUNZ Extracted TB'!G:G)</f>
        <v>0</v>
      </c>
      <c r="M4306" s="311"/>
      <c r="N4306" s="311">
        <f>+SUMIF('Input Sheet'!$AE:$AE,P4306,'Input Sheet'!$X:$X)</f>
        <v>0</v>
      </c>
      <c r="O4306" s="311"/>
      <c r="P4306" t="str">
        <f t="shared" si="358"/>
        <v>210-3110R</v>
      </c>
      <c r="Q4306" s="315" t="str">
        <f t="shared" si="359"/>
        <v>Used Vehicle</v>
      </c>
      <c r="R4306" s="315" t="str">
        <f t="shared" si="360"/>
        <v>Used VehicleEx NV demonstrators gross profit p.u.</v>
      </c>
      <c r="S4306" s="199"/>
      <c r="T4306" s="199"/>
      <c r="U4306" s="199"/>
    </row>
    <row r="4307" spans="1:21" x14ac:dyDescent="0.25">
      <c r="A4307" t="s">
        <v>996</v>
      </c>
      <c r="B4307" t="s">
        <v>997</v>
      </c>
      <c r="C4307" t="s">
        <v>1012</v>
      </c>
      <c r="D4307" t="s">
        <v>1513</v>
      </c>
      <c r="E4307">
        <v>410</v>
      </c>
      <c r="F4307" t="s">
        <v>1014</v>
      </c>
      <c r="G4307" t="s">
        <v>1015</v>
      </c>
      <c r="H4307" s="315" t="s">
        <v>30</v>
      </c>
      <c r="I4307" s="315" t="s">
        <v>1016</v>
      </c>
      <c r="J4307" s="315" t="str">
        <f t="shared" si="356"/>
        <v>Used VehicleEx NV demonstrators gross profit p.u.</v>
      </c>
      <c r="K4307" s="315" t="str">
        <f t="shared" si="357"/>
        <v>410Ex-Toyota NV Demonstrator revenue</v>
      </c>
      <c r="L4307" s="311">
        <f>+SUMIF('TUNZ Extracted TB'!M:M,$P4307,'TUNZ Extracted TB'!G:G)</f>
        <v>0</v>
      </c>
      <c r="M4307" s="311"/>
      <c r="N4307" s="311">
        <f>+SUMIF('Input Sheet'!$AE:$AE,P4307,'Input Sheet'!$X:$X)</f>
        <v>0</v>
      </c>
      <c r="O4307" s="311"/>
      <c r="P4307" t="str">
        <f t="shared" si="358"/>
        <v>410-3110R</v>
      </c>
      <c r="Q4307" s="315" t="str">
        <f t="shared" si="359"/>
        <v>Used Vehicle</v>
      </c>
      <c r="R4307" s="315" t="str">
        <f t="shared" si="360"/>
        <v>Used VehicleEx NV demonstrators gross profit p.u.</v>
      </c>
      <c r="S4307" s="199"/>
      <c r="T4307" s="199"/>
      <c r="U4307" s="199"/>
    </row>
    <row r="4308" spans="1:21" x14ac:dyDescent="0.25">
      <c r="A4308" t="s">
        <v>996</v>
      </c>
      <c r="B4308" t="s">
        <v>997</v>
      </c>
      <c r="C4308" t="s">
        <v>1013</v>
      </c>
      <c r="D4308" t="s">
        <v>1513</v>
      </c>
      <c r="E4308">
        <v>310</v>
      </c>
      <c r="F4308" t="s">
        <v>1014</v>
      </c>
      <c r="G4308" t="s">
        <v>1015</v>
      </c>
      <c r="H4308" s="315" t="s">
        <v>30</v>
      </c>
      <c r="I4308" s="315" t="s">
        <v>1016</v>
      </c>
      <c r="J4308" s="315" t="str">
        <f t="shared" si="356"/>
        <v>Used VehicleEx NV demonstrators gross profit p.u.</v>
      </c>
      <c r="K4308" s="315" t="str">
        <f t="shared" si="357"/>
        <v>310Ex-Toyota NV Demonstrator revenue</v>
      </c>
      <c r="L4308" s="311">
        <f>+SUMIF('TUNZ Extracted TB'!M:M,$P4308,'TUNZ Extracted TB'!G:G)</f>
        <v>0</v>
      </c>
      <c r="M4308" s="311"/>
      <c r="N4308" s="311">
        <f>+SUMIF('Input Sheet'!$AE:$AE,P4308,'Input Sheet'!$X:$X)</f>
        <v>0</v>
      </c>
      <c r="O4308" s="311"/>
      <c r="P4308" t="str">
        <f t="shared" si="358"/>
        <v>310-3110R</v>
      </c>
      <c r="Q4308" s="315" t="str">
        <f t="shared" si="359"/>
        <v>Used Vehicle</v>
      </c>
      <c r="R4308" s="315" t="str">
        <f t="shared" si="360"/>
        <v>Used VehicleEx NV demonstrators gross profit p.u.</v>
      </c>
      <c r="S4308" s="199"/>
      <c r="T4308" s="199"/>
      <c r="U4308" s="199"/>
    </row>
    <row r="4309" spans="1:21" x14ac:dyDescent="0.25">
      <c r="A4309" t="s">
        <v>996</v>
      </c>
      <c r="B4309" t="s">
        <v>997</v>
      </c>
      <c r="C4309" t="s">
        <v>1005</v>
      </c>
      <c r="D4309" t="s">
        <v>1514</v>
      </c>
      <c r="E4309">
        <v>200</v>
      </c>
      <c r="F4309" t="s">
        <v>1024</v>
      </c>
      <c r="G4309" t="s">
        <v>1027</v>
      </c>
      <c r="H4309" s="315" t="s">
        <v>29</v>
      </c>
      <c r="I4309" s="315" t="s">
        <v>1026</v>
      </c>
      <c r="J4309" s="315" t="str">
        <f t="shared" si="356"/>
        <v>New VehicleOther Income per NV unit</v>
      </c>
      <c r="K4309" s="315" t="str">
        <f t="shared" si="357"/>
        <v>200New Vehicle Other Income - Toyota</v>
      </c>
      <c r="L4309" s="311">
        <f>+SUMIF('TUNZ Extracted TB'!M:M,$P4309,'TUNZ Extracted TB'!G:G)</f>
        <v>0</v>
      </c>
      <c r="M4309" s="311"/>
      <c r="N4309" s="311">
        <f>+SUMIF('Input Sheet'!$AE:$AE,P4309,'Input Sheet'!$X:$X)</f>
        <v>0</v>
      </c>
      <c r="O4309" s="311"/>
      <c r="P4309" t="str">
        <f t="shared" si="358"/>
        <v>200-3110RD</v>
      </c>
      <c r="Q4309" s="315" t="str">
        <f t="shared" si="359"/>
        <v>New Vehicle</v>
      </c>
      <c r="R4309" s="315" t="str">
        <f t="shared" si="360"/>
        <v>New VehicleOther Income per NV unit</v>
      </c>
      <c r="S4309" s="199"/>
      <c r="T4309" s="199"/>
      <c r="U4309" s="199"/>
    </row>
    <row r="4310" spans="1:21" x14ac:dyDescent="0.25">
      <c r="A4310" t="s">
        <v>996</v>
      </c>
      <c r="B4310" t="s">
        <v>997</v>
      </c>
      <c r="C4310" t="s">
        <v>1012</v>
      </c>
      <c r="D4310" t="s">
        <v>1514</v>
      </c>
      <c r="E4310">
        <v>400</v>
      </c>
      <c r="F4310" t="s">
        <v>1024</v>
      </c>
      <c r="G4310" t="s">
        <v>1027</v>
      </c>
      <c r="H4310" s="315" t="s">
        <v>29</v>
      </c>
      <c r="I4310" s="315" t="s">
        <v>1026</v>
      </c>
      <c r="J4310" s="315" t="str">
        <f t="shared" si="356"/>
        <v>New VehicleOther Income per NV unit</v>
      </c>
      <c r="K4310" s="315" t="str">
        <f t="shared" si="357"/>
        <v>400New Vehicle Other Income - Toyota</v>
      </c>
      <c r="L4310" s="311">
        <f>+SUMIF('TUNZ Extracted TB'!M:M,$P4310,'TUNZ Extracted TB'!G:G)</f>
        <v>0</v>
      </c>
      <c r="M4310" s="311"/>
      <c r="N4310" s="311">
        <f>+SUMIF('Input Sheet'!$AE:$AE,P4310,'Input Sheet'!$X:$X)</f>
        <v>0</v>
      </c>
      <c r="O4310" s="311"/>
      <c r="P4310" t="str">
        <f t="shared" si="358"/>
        <v>400-3110RD</v>
      </c>
      <c r="Q4310" s="315" t="str">
        <f t="shared" si="359"/>
        <v>New Vehicle</v>
      </c>
      <c r="R4310" s="315" t="str">
        <f t="shared" si="360"/>
        <v>New VehicleOther Income per NV unit</v>
      </c>
      <c r="S4310" s="199"/>
      <c r="T4310" s="199"/>
      <c r="U4310" s="199"/>
    </row>
    <row r="4311" spans="1:21" x14ac:dyDescent="0.25">
      <c r="A4311" t="s">
        <v>996</v>
      </c>
      <c r="B4311" t="s">
        <v>997</v>
      </c>
      <c r="C4311" t="s">
        <v>1013</v>
      </c>
      <c r="D4311" t="s">
        <v>1514</v>
      </c>
      <c r="E4311">
        <v>300</v>
      </c>
      <c r="F4311" t="s">
        <v>1024</v>
      </c>
      <c r="G4311" t="s">
        <v>1027</v>
      </c>
      <c r="H4311" s="315" t="s">
        <v>29</v>
      </c>
      <c r="I4311" s="315" t="s">
        <v>1026</v>
      </c>
      <c r="J4311" s="315" t="str">
        <f t="shared" si="356"/>
        <v>New VehicleOther Income per NV unit</v>
      </c>
      <c r="K4311" s="315" t="str">
        <f t="shared" si="357"/>
        <v>300New Vehicle Other Income - Toyota</v>
      </c>
      <c r="L4311" s="311">
        <f>+SUMIF('TUNZ Extracted TB'!M:M,$P4311,'TUNZ Extracted TB'!G:G)</f>
        <v>0</v>
      </c>
      <c r="M4311" s="311"/>
      <c r="N4311" s="311">
        <f>+SUMIF('Input Sheet'!$AE:$AE,P4311,'Input Sheet'!$X:$X)</f>
        <v>0</v>
      </c>
      <c r="O4311" s="311"/>
      <c r="P4311" t="str">
        <f t="shared" si="358"/>
        <v>300-3110RD</v>
      </c>
      <c r="Q4311" s="315" t="str">
        <f t="shared" si="359"/>
        <v>New Vehicle</v>
      </c>
      <c r="R4311" s="315" t="str">
        <f t="shared" si="360"/>
        <v>New VehicleOther Income per NV unit</v>
      </c>
      <c r="S4311" s="199"/>
      <c r="T4311" s="199"/>
      <c r="U4311" s="199"/>
    </row>
    <row r="4312" spans="1:21" x14ac:dyDescent="0.25">
      <c r="A4312" t="s">
        <v>996</v>
      </c>
      <c r="B4312" t="s">
        <v>997</v>
      </c>
      <c r="C4312" t="s">
        <v>997</v>
      </c>
      <c r="D4312" t="s">
        <v>1514</v>
      </c>
      <c r="E4312">
        <v>110</v>
      </c>
      <c r="F4312" t="s">
        <v>1014</v>
      </c>
      <c r="G4312" t="s">
        <v>1015</v>
      </c>
      <c r="H4312" s="315" t="s">
        <v>30</v>
      </c>
      <c r="I4312" s="315" t="s">
        <v>1016</v>
      </c>
      <c r="J4312" s="315" t="str">
        <f t="shared" si="356"/>
        <v>Used VehicleEx NV demonstrators gross profit p.u.</v>
      </c>
      <c r="K4312" s="315" t="str">
        <f t="shared" si="357"/>
        <v>110Ex-Toyota NV Demonstrator revenue</v>
      </c>
      <c r="L4312" s="311">
        <f>+SUMIF('TUNZ Extracted TB'!M:M,$P4312,'TUNZ Extracted TB'!G:G)</f>
        <v>0</v>
      </c>
      <c r="M4312" s="311"/>
      <c r="N4312" s="311">
        <f>+SUMIF('Input Sheet'!$AE:$AE,P4312,'Input Sheet'!$X:$X)</f>
        <v>0</v>
      </c>
      <c r="O4312" s="311"/>
      <c r="P4312" t="str">
        <f t="shared" si="358"/>
        <v>110-3110RD</v>
      </c>
      <c r="Q4312" s="315" t="str">
        <f t="shared" si="359"/>
        <v>Used Vehicle</v>
      </c>
      <c r="R4312" s="315" t="str">
        <f t="shared" si="360"/>
        <v>Used VehicleEx NV demonstrators gross profit p.u.</v>
      </c>
      <c r="S4312" s="199"/>
      <c r="T4312" s="199"/>
      <c r="U4312" s="199"/>
    </row>
    <row r="4313" spans="1:21" x14ac:dyDescent="0.25">
      <c r="A4313" t="s">
        <v>996</v>
      </c>
      <c r="B4313" t="s">
        <v>997</v>
      </c>
      <c r="C4313" t="s">
        <v>997</v>
      </c>
      <c r="D4313" t="s">
        <v>1515</v>
      </c>
      <c r="E4313">
        <v>100</v>
      </c>
      <c r="F4313" t="s">
        <v>1024</v>
      </c>
      <c r="G4313" t="s">
        <v>1027</v>
      </c>
      <c r="H4313" s="315" t="s">
        <v>29</v>
      </c>
      <c r="I4313" s="315" t="s">
        <v>1026</v>
      </c>
      <c r="J4313" s="315" t="str">
        <f t="shared" si="356"/>
        <v>New VehicleOther Income per NV unit</v>
      </c>
      <c r="K4313" s="315" t="str">
        <f t="shared" si="357"/>
        <v>100New Vehicle Other Income - Toyota</v>
      </c>
      <c r="L4313" s="311">
        <f>+SUMIF('TUNZ Extracted TB'!M:M,$P4313,'TUNZ Extracted TB'!G:G)</f>
        <v>0</v>
      </c>
      <c r="M4313" s="311"/>
      <c r="N4313" s="311">
        <f>+SUMIF('Input Sheet'!$AE:$AE,P4313,'Input Sheet'!$X:$X)</f>
        <v>0</v>
      </c>
      <c r="O4313" s="311"/>
      <c r="P4313" t="str">
        <f t="shared" si="358"/>
        <v>100-3115R</v>
      </c>
      <c r="Q4313" s="315" t="str">
        <f t="shared" si="359"/>
        <v>New Vehicle</v>
      </c>
      <c r="R4313" s="315" t="str">
        <f t="shared" si="360"/>
        <v>New VehicleOther Income per NV unit</v>
      </c>
      <c r="S4313" s="199"/>
      <c r="T4313" s="199"/>
      <c r="U4313" s="199"/>
    </row>
    <row r="4314" spans="1:21" x14ac:dyDescent="0.25">
      <c r="A4314" t="s">
        <v>996</v>
      </c>
      <c r="B4314" t="s">
        <v>997</v>
      </c>
      <c r="C4314" t="s">
        <v>1005</v>
      </c>
      <c r="D4314" t="s">
        <v>1514</v>
      </c>
      <c r="E4314">
        <v>210</v>
      </c>
      <c r="F4314" t="s">
        <v>1014</v>
      </c>
      <c r="G4314" t="s">
        <v>1015</v>
      </c>
      <c r="H4314" s="315" t="s">
        <v>30</v>
      </c>
      <c r="I4314" s="315" t="s">
        <v>1016</v>
      </c>
      <c r="J4314" s="315" t="str">
        <f t="shared" si="356"/>
        <v>Used VehicleEx NV demonstrators gross profit p.u.</v>
      </c>
      <c r="K4314" s="315" t="str">
        <f t="shared" si="357"/>
        <v>210Ex-Toyota NV Demonstrator revenue</v>
      </c>
      <c r="L4314" s="311">
        <f>+SUMIF('TUNZ Extracted TB'!M:M,$P4314,'TUNZ Extracted TB'!G:G)</f>
        <v>0</v>
      </c>
      <c r="M4314" s="311"/>
      <c r="N4314" s="311">
        <f>+SUMIF('Input Sheet'!$AE:$AE,P4314,'Input Sheet'!$X:$X)</f>
        <v>0</v>
      </c>
      <c r="O4314" s="311"/>
      <c r="P4314" t="str">
        <f t="shared" si="358"/>
        <v>210-3110RD</v>
      </c>
      <c r="Q4314" s="315" t="str">
        <f t="shared" si="359"/>
        <v>Used Vehicle</v>
      </c>
      <c r="R4314" s="315" t="str">
        <f t="shared" si="360"/>
        <v>Used VehicleEx NV demonstrators gross profit p.u.</v>
      </c>
      <c r="S4314" s="199"/>
      <c r="T4314" s="199"/>
      <c r="U4314" s="199"/>
    </row>
    <row r="4315" spans="1:21" x14ac:dyDescent="0.25">
      <c r="A4315" t="s">
        <v>996</v>
      </c>
      <c r="B4315" t="s">
        <v>997</v>
      </c>
      <c r="C4315" t="s">
        <v>1012</v>
      </c>
      <c r="D4315" t="s">
        <v>1514</v>
      </c>
      <c r="E4315">
        <v>410</v>
      </c>
      <c r="F4315" t="s">
        <v>1014</v>
      </c>
      <c r="G4315" t="s">
        <v>1015</v>
      </c>
      <c r="H4315" s="315" t="s">
        <v>30</v>
      </c>
      <c r="I4315" s="315" t="s">
        <v>1016</v>
      </c>
      <c r="J4315" s="315" t="str">
        <f t="shared" si="356"/>
        <v>Used VehicleEx NV demonstrators gross profit p.u.</v>
      </c>
      <c r="K4315" s="315" t="str">
        <f t="shared" si="357"/>
        <v>410Ex-Toyota NV Demonstrator revenue</v>
      </c>
      <c r="L4315" s="311">
        <f>+SUMIF('TUNZ Extracted TB'!M:M,$P4315,'TUNZ Extracted TB'!G:G)</f>
        <v>0</v>
      </c>
      <c r="M4315" s="311"/>
      <c r="N4315" s="311">
        <f>+SUMIF('Input Sheet'!$AE:$AE,P4315,'Input Sheet'!$X:$X)</f>
        <v>0</v>
      </c>
      <c r="O4315" s="311"/>
      <c r="P4315" t="str">
        <f t="shared" si="358"/>
        <v>410-3110RD</v>
      </c>
      <c r="Q4315" s="315" t="str">
        <f t="shared" si="359"/>
        <v>Used Vehicle</v>
      </c>
      <c r="R4315" s="315" t="str">
        <f t="shared" si="360"/>
        <v>Used VehicleEx NV demonstrators gross profit p.u.</v>
      </c>
      <c r="S4315" s="199"/>
      <c r="T4315" s="199"/>
      <c r="U4315" s="199"/>
    </row>
    <row r="4316" spans="1:21" x14ac:dyDescent="0.25">
      <c r="A4316" t="s">
        <v>996</v>
      </c>
      <c r="B4316" t="s">
        <v>997</v>
      </c>
      <c r="C4316" t="s">
        <v>1013</v>
      </c>
      <c r="D4316" t="s">
        <v>1514</v>
      </c>
      <c r="E4316">
        <v>310</v>
      </c>
      <c r="F4316" t="s">
        <v>1014</v>
      </c>
      <c r="G4316" t="s">
        <v>1015</v>
      </c>
      <c r="H4316" s="315" t="s">
        <v>30</v>
      </c>
      <c r="I4316" s="315" t="s">
        <v>1016</v>
      </c>
      <c r="J4316" s="315" t="str">
        <f t="shared" si="356"/>
        <v>Used VehicleEx NV demonstrators gross profit p.u.</v>
      </c>
      <c r="K4316" s="315" t="str">
        <f t="shared" si="357"/>
        <v>310Ex-Toyota NV Demonstrator revenue</v>
      </c>
      <c r="L4316" s="311">
        <f>+SUMIF('TUNZ Extracted TB'!M:M,$P4316,'TUNZ Extracted TB'!G:G)</f>
        <v>0</v>
      </c>
      <c r="M4316" s="311"/>
      <c r="N4316" s="311">
        <f>+SUMIF('Input Sheet'!$AE:$AE,P4316,'Input Sheet'!$X:$X)</f>
        <v>0</v>
      </c>
      <c r="O4316" s="311"/>
      <c r="P4316" t="str">
        <f t="shared" si="358"/>
        <v>310-3110RD</v>
      </c>
      <c r="Q4316" s="315" t="str">
        <f t="shared" si="359"/>
        <v>Used Vehicle</v>
      </c>
      <c r="R4316" s="315" t="str">
        <f t="shared" si="360"/>
        <v>Used VehicleEx NV demonstrators gross profit p.u.</v>
      </c>
      <c r="S4316" s="199"/>
      <c r="T4316" s="199"/>
      <c r="U4316" s="199"/>
    </row>
    <row r="4317" spans="1:21" x14ac:dyDescent="0.25">
      <c r="A4317" t="s">
        <v>996</v>
      </c>
      <c r="B4317" t="s">
        <v>997</v>
      </c>
      <c r="C4317" t="s">
        <v>1005</v>
      </c>
      <c r="D4317" t="s">
        <v>1515</v>
      </c>
      <c r="E4317">
        <v>200</v>
      </c>
      <c r="F4317" t="s">
        <v>1024</v>
      </c>
      <c r="G4317" t="s">
        <v>1027</v>
      </c>
      <c r="H4317" s="315" t="s">
        <v>29</v>
      </c>
      <c r="I4317" s="315" t="s">
        <v>1026</v>
      </c>
      <c r="J4317" s="315" t="str">
        <f t="shared" si="356"/>
        <v>New VehicleOther Income per NV unit</v>
      </c>
      <c r="K4317" s="315" t="str">
        <f t="shared" si="357"/>
        <v>200New Vehicle Other Income - Toyota</v>
      </c>
      <c r="L4317" s="311">
        <f>+SUMIF('TUNZ Extracted TB'!M:M,$P4317,'TUNZ Extracted TB'!G:G)</f>
        <v>0</v>
      </c>
      <c r="M4317" s="311"/>
      <c r="N4317" s="311">
        <f>+SUMIF('Input Sheet'!$AE:$AE,P4317,'Input Sheet'!$X:$X)</f>
        <v>0</v>
      </c>
      <c r="O4317" s="311"/>
      <c r="P4317" t="str">
        <f t="shared" si="358"/>
        <v>200-3115R</v>
      </c>
      <c r="Q4317" s="315" t="str">
        <f t="shared" si="359"/>
        <v>New Vehicle</v>
      </c>
      <c r="R4317" s="315" t="str">
        <f t="shared" si="360"/>
        <v>New VehicleOther Income per NV unit</v>
      </c>
      <c r="S4317" s="199"/>
      <c r="T4317" s="199"/>
      <c r="U4317" s="199"/>
    </row>
    <row r="4318" spans="1:21" x14ac:dyDescent="0.25">
      <c r="A4318" t="s">
        <v>996</v>
      </c>
      <c r="B4318" t="s">
        <v>997</v>
      </c>
      <c r="C4318" t="s">
        <v>1012</v>
      </c>
      <c r="D4318" t="s">
        <v>1515</v>
      </c>
      <c r="E4318">
        <v>400</v>
      </c>
      <c r="F4318" t="s">
        <v>1024</v>
      </c>
      <c r="G4318" t="s">
        <v>1027</v>
      </c>
      <c r="H4318" s="315" t="s">
        <v>29</v>
      </c>
      <c r="I4318" s="315" t="s">
        <v>1026</v>
      </c>
      <c r="J4318" s="315" t="str">
        <f t="shared" si="356"/>
        <v>New VehicleOther Income per NV unit</v>
      </c>
      <c r="K4318" s="315" t="str">
        <f t="shared" si="357"/>
        <v>400New Vehicle Other Income - Toyota</v>
      </c>
      <c r="L4318" s="311">
        <f>+SUMIF('TUNZ Extracted TB'!M:M,$P4318,'TUNZ Extracted TB'!G:G)</f>
        <v>0</v>
      </c>
      <c r="M4318" s="311"/>
      <c r="N4318" s="311">
        <f>+SUMIF('Input Sheet'!$AE:$AE,P4318,'Input Sheet'!$X:$X)</f>
        <v>0</v>
      </c>
      <c r="O4318" s="311"/>
      <c r="P4318" t="str">
        <f t="shared" si="358"/>
        <v>400-3115R</v>
      </c>
      <c r="Q4318" s="315" t="str">
        <f t="shared" si="359"/>
        <v>New Vehicle</v>
      </c>
      <c r="R4318" s="315" t="str">
        <f t="shared" si="360"/>
        <v>New VehicleOther Income per NV unit</v>
      </c>
      <c r="S4318" s="199"/>
      <c r="T4318" s="199"/>
      <c r="U4318" s="199"/>
    </row>
    <row r="4319" spans="1:21" x14ac:dyDescent="0.25">
      <c r="A4319" t="s">
        <v>996</v>
      </c>
      <c r="B4319" t="s">
        <v>997</v>
      </c>
      <c r="C4319" t="s">
        <v>1013</v>
      </c>
      <c r="D4319" t="s">
        <v>1515</v>
      </c>
      <c r="E4319">
        <v>300</v>
      </c>
      <c r="F4319" t="s">
        <v>1024</v>
      </c>
      <c r="G4319" t="s">
        <v>1027</v>
      </c>
      <c r="H4319" s="315" t="s">
        <v>29</v>
      </c>
      <c r="I4319" s="315" t="s">
        <v>1026</v>
      </c>
      <c r="J4319" s="315" t="str">
        <f t="shared" si="356"/>
        <v>New VehicleOther Income per NV unit</v>
      </c>
      <c r="K4319" s="315" t="str">
        <f t="shared" si="357"/>
        <v>300New Vehicle Other Income - Toyota</v>
      </c>
      <c r="L4319" s="311">
        <f>+SUMIF('TUNZ Extracted TB'!M:M,$P4319,'TUNZ Extracted TB'!G:G)</f>
        <v>0</v>
      </c>
      <c r="M4319" s="311"/>
      <c r="N4319" s="311">
        <f>+SUMIF('Input Sheet'!$AE:$AE,P4319,'Input Sheet'!$X:$X)</f>
        <v>0</v>
      </c>
      <c r="O4319" s="311"/>
      <c r="P4319" t="str">
        <f t="shared" si="358"/>
        <v>300-3115R</v>
      </c>
      <c r="Q4319" s="315" t="str">
        <f t="shared" si="359"/>
        <v>New Vehicle</v>
      </c>
      <c r="R4319" s="315" t="str">
        <f t="shared" si="360"/>
        <v>New VehicleOther Income per NV unit</v>
      </c>
      <c r="S4319" s="199"/>
      <c r="T4319" s="199"/>
      <c r="U4319" s="199"/>
    </row>
    <row r="4320" spans="1:21" x14ac:dyDescent="0.25">
      <c r="A4320" t="s">
        <v>996</v>
      </c>
      <c r="B4320" t="s">
        <v>997</v>
      </c>
      <c r="C4320" t="s">
        <v>997</v>
      </c>
      <c r="D4320" t="s">
        <v>1515</v>
      </c>
      <c r="E4320">
        <v>110</v>
      </c>
      <c r="F4320" t="s">
        <v>1014</v>
      </c>
      <c r="G4320" t="s">
        <v>1015</v>
      </c>
      <c r="H4320" s="315" t="s">
        <v>30</v>
      </c>
      <c r="I4320" s="315" t="s">
        <v>1016</v>
      </c>
      <c r="J4320" s="315" t="str">
        <f t="shared" si="356"/>
        <v>Used VehicleEx NV demonstrators gross profit p.u.</v>
      </c>
      <c r="K4320" s="315" t="str">
        <f t="shared" si="357"/>
        <v>110Ex-Toyota NV Demonstrator revenue</v>
      </c>
      <c r="L4320" s="311">
        <f>+SUMIF('TUNZ Extracted TB'!M:M,$P4320,'TUNZ Extracted TB'!G:G)</f>
        <v>0</v>
      </c>
      <c r="M4320" s="311"/>
      <c r="N4320" s="311">
        <f>+SUMIF('Input Sheet'!$AE:$AE,P4320,'Input Sheet'!$X:$X)</f>
        <v>0</v>
      </c>
      <c r="O4320" s="311"/>
      <c r="P4320" t="str">
        <f t="shared" si="358"/>
        <v>110-3115R</v>
      </c>
      <c r="Q4320" s="315" t="str">
        <f t="shared" si="359"/>
        <v>Used Vehicle</v>
      </c>
      <c r="R4320" s="315" t="str">
        <f t="shared" si="360"/>
        <v>Used VehicleEx NV demonstrators gross profit p.u.</v>
      </c>
      <c r="S4320" s="199"/>
      <c r="T4320" s="199"/>
      <c r="U4320" s="199"/>
    </row>
    <row r="4321" spans="1:21" x14ac:dyDescent="0.25">
      <c r="A4321" t="s">
        <v>996</v>
      </c>
      <c r="B4321" t="s">
        <v>997</v>
      </c>
      <c r="C4321" t="s">
        <v>997</v>
      </c>
      <c r="D4321" t="s">
        <v>1516</v>
      </c>
      <c r="E4321">
        <v>100</v>
      </c>
      <c r="F4321" t="s">
        <v>1024</v>
      </c>
      <c r="G4321" t="s">
        <v>1027</v>
      </c>
      <c r="H4321" s="315" t="s">
        <v>29</v>
      </c>
      <c r="I4321" s="315" t="s">
        <v>1026</v>
      </c>
      <c r="J4321" s="315" t="str">
        <f t="shared" si="356"/>
        <v>New VehicleOther Income per NV unit</v>
      </c>
      <c r="K4321" s="315" t="str">
        <f t="shared" si="357"/>
        <v>100New Vehicle Other Income - Toyota</v>
      </c>
      <c r="L4321" s="311">
        <f>+SUMIF('TUNZ Extracted TB'!M:M,$P4321,'TUNZ Extracted TB'!G:G)</f>
        <v>0</v>
      </c>
      <c r="M4321" s="311"/>
      <c r="N4321" s="311">
        <f>+SUMIF('Input Sheet'!$AE:$AE,P4321,'Input Sheet'!$X:$X)</f>
        <v>0</v>
      </c>
      <c r="O4321" s="311"/>
      <c r="P4321" t="str">
        <f t="shared" si="358"/>
        <v>100-3115RD</v>
      </c>
      <c r="Q4321" s="315" t="str">
        <f t="shared" si="359"/>
        <v>New Vehicle</v>
      </c>
      <c r="R4321" s="315" t="str">
        <f t="shared" si="360"/>
        <v>New VehicleOther Income per NV unit</v>
      </c>
      <c r="S4321" s="199"/>
      <c r="T4321" s="199"/>
      <c r="U4321" s="199"/>
    </row>
    <row r="4322" spans="1:21" x14ac:dyDescent="0.25">
      <c r="A4322" t="s">
        <v>996</v>
      </c>
      <c r="B4322" t="s">
        <v>997</v>
      </c>
      <c r="C4322" t="s">
        <v>1005</v>
      </c>
      <c r="D4322" t="s">
        <v>1515</v>
      </c>
      <c r="E4322">
        <v>210</v>
      </c>
      <c r="F4322" t="s">
        <v>1014</v>
      </c>
      <c r="G4322" t="s">
        <v>1015</v>
      </c>
      <c r="H4322" s="315" t="s">
        <v>30</v>
      </c>
      <c r="I4322" s="315" t="s">
        <v>1016</v>
      </c>
      <c r="J4322" s="315" t="str">
        <f t="shared" si="356"/>
        <v>Used VehicleEx NV demonstrators gross profit p.u.</v>
      </c>
      <c r="K4322" s="315" t="str">
        <f t="shared" si="357"/>
        <v>210Ex-Toyota NV Demonstrator revenue</v>
      </c>
      <c r="L4322" s="311">
        <f>+SUMIF('TUNZ Extracted TB'!M:M,$P4322,'TUNZ Extracted TB'!G:G)</f>
        <v>0</v>
      </c>
      <c r="M4322" s="311"/>
      <c r="N4322" s="311">
        <f>+SUMIF('Input Sheet'!$AE:$AE,P4322,'Input Sheet'!$X:$X)</f>
        <v>0</v>
      </c>
      <c r="O4322" s="311"/>
      <c r="P4322" t="str">
        <f t="shared" si="358"/>
        <v>210-3115R</v>
      </c>
      <c r="Q4322" s="315" t="str">
        <f t="shared" si="359"/>
        <v>Used Vehicle</v>
      </c>
      <c r="R4322" s="315" t="str">
        <f t="shared" si="360"/>
        <v>Used VehicleEx NV demonstrators gross profit p.u.</v>
      </c>
      <c r="S4322" s="199"/>
      <c r="T4322" s="199"/>
      <c r="U4322" s="199"/>
    </row>
    <row r="4323" spans="1:21" x14ac:dyDescent="0.25">
      <c r="A4323" t="s">
        <v>996</v>
      </c>
      <c r="B4323" t="s">
        <v>997</v>
      </c>
      <c r="C4323" t="s">
        <v>1012</v>
      </c>
      <c r="D4323" t="s">
        <v>1515</v>
      </c>
      <c r="E4323">
        <v>410</v>
      </c>
      <c r="F4323" t="s">
        <v>1014</v>
      </c>
      <c r="G4323" t="s">
        <v>1015</v>
      </c>
      <c r="H4323" s="315" t="s">
        <v>30</v>
      </c>
      <c r="I4323" s="315" t="s">
        <v>1016</v>
      </c>
      <c r="J4323" s="315" t="str">
        <f t="shared" si="356"/>
        <v>Used VehicleEx NV demonstrators gross profit p.u.</v>
      </c>
      <c r="K4323" s="315" t="str">
        <f t="shared" si="357"/>
        <v>410Ex-Toyota NV Demonstrator revenue</v>
      </c>
      <c r="L4323" s="311">
        <f>+SUMIF('TUNZ Extracted TB'!M:M,$P4323,'TUNZ Extracted TB'!G:G)</f>
        <v>0</v>
      </c>
      <c r="M4323" s="311"/>
      <c r="N4323" s="311">
        <f>+SUMIF('Input Sheet'!$AE:$AE,P4323,'Input Sheet'!$X:$X)</f>
        <v>0</v>
      </c>
      <c r="O4323" s="311"/>
      <c r="P4323" t="str">
        <f t="shared" si="358"/>
        <v>410-3115R</v>
      </c>
      <c r="Q4323" s="315" t="str">
        <f t="shared" si="359"/>
        <v>Used Vehicle</v>
      </c>
      <c r="R4323" s="315" t="str">
        <f t="shared" si="360"/>
        <v>Used VehicleEx NV demonstrators gross profit p.u.</v>
      </c>
      <c r="S4323" s="199"/>
      <c r="T4323" s="199"/>
      <c r="U4323" s="199"/>
    </row>
    <row r="4324" spans="1:21" x14ac:dyDescent="0.25">
      <c r="A4324" t="s">
        <v>996</v>
      </c>
      <c r="B4324" t="s">
        <v>997</v>
      </c>
      <c r="C4324" t="s">
        <v>1013</v>
      </c>
      <c r="D4324" t="s">
        <v>1515</v>
      </c>
      <c r="E4324">
        <v>310</v>
      </c>
      <c r="F4324" t="s">
        <v>1014</v>
      </c>
      <c r="G4324" t="s">
        <v>1015</v>
      </c>
      <c r="H4324" s="315" t="s">
        <v>30</v>
      </c>
      <c r="I4324" s="315" t="s">
        <v>1016</v>
      </c>
      <c r="J4324" s="315" t="str">
        <f t="shared" si="356"/>
        <v>Used VehicleEx NV demonstrators gross profit p.u.</v>
      </c>
      <c r="K4324" s="315" t="str">
        <f t="shared" si="357"/>
        <v>310Ex-Toyota NV Demonstrator revenue</v>
      </c>
      <c r="L4324" s="311">
        <f>+SUMIF('TUNZ Extracted TB'!M:M,$P4324,'TUNZ Extracted TB'!G:G)</f>
        <v>0</v>
      </c>
      <c r="M4324" s="311"/>
      <c r="N4324" s="311">
        <f>+SUMIF('Input Sheet'!$AE:$AE,P4324,'Input Sheet'!$X:$X)</f>
        <v>0</v>
      </c>
      <c r="O4324" s="311"/>
      <c r="P4324" t="str">
        <f t="shared" si="358"/>
        <v>310-3115R</v>
      </c>
      <c r="Q4324" s="315" t="str">
        <f t="shared" si="359"/>
        <v>Used Vehicle</v>
      </c>
      <c r="R4324" s="315" t="str">
        <f t="shared" si="360"/>
        <v>Used VehicleEx NV demonstrators gross profit p.u.</v>
      </c>
      <c r="S4324" s="199"/>
      <c r="T4324" s="199"/>
      <c r="U4324" s="199"/>
    </row>
    <row r="4325" spans="1:21" x14ac:dyDescent="0.25">
      <c r="A4325" t="s">
        <v>996</v>
      </c>
      <c r="B4325" t="s">
        <v>997</v>
      </c>
      <c r="C4325" t="s">
        <v>1005</v>
      </c>
      <c r="D4325" t="s">
        <v>1516</v>
      </c>
      <c r="E4325">
        <v>200</v>
      </c>
      <c r="F4325" t="s">
        <v>1024</v>
      </c>
      <c r="G4325" t="s">
        <v>1027</v>
      </c>
      <c r="H4325" s="315" t="s">
        <v>29</v>
      </c>
      <c r="I4325" s="315" t="s">
        <v>1026</v>
      </c>
      <c r="J4325" s="315" t="str">
        <f t="shared" si="356"/>
        <v>New VehicleOther Income per NV unit</v>
      </c>
      <c r="K4325" s="315" t="str">
        <f t="shared" si="357"/>
        <v>200New Vehicle Other Income - Toyota</v>
      </c>
      <c r="L4325" s="311">
        <f>+SUMIF('TUNZ Extracted TB'!M:M,$P4325,'TUNZ Extracted TB'!G:G)</f>
        <v>0</v>
      </c>
      <c r="M4325" s="311"/>
      <c r="N4325" s="311">
        <f>+SUMIF('Input Sheet'!$AE:$AE,P4325,'Input Sheet'!$X:$X)</f>
        <v>0</v>
      </c>
      <c r="O4325" s="311"/>
      <c r="P4325" t="str">
        <f t="shared" si="358"/>
        <v>200-3115RD</v>
      </c>
      <c r="Q4325" s="315" t="str">
        <f t="shared" si="359"/>
        <v>New Vehicle</v>
      </c>
      <c r="R4325" s="315" t="str">
        <f t="shared" si="360"/>
        <v>New VehicleOther Income per NV unit</v>
      </c>
      <c r="S4325" s="199"/>
      <c r="T4325" s="199"/>
      <c r="U4325" s="199"/>
    </row>
    <row r="4326" spans="1:21" x14ac:dyDescent="0.25">
      <c r="A4326" t="s">
        <v>996</v>
      </c>
      <c r="B4326" t="s">
        <v>997</v>
      </c>
      <c r="C4326" t="s">
        <v>1012</v>
      </c>
      <c r="D4326" t="s">
        <v>1516</v>
      </c>
      <c r="E4326">
        <v>400</v>
      </c>
      <c r="F4326" t="s">
        <v>1024</v>
      </c>
      <c r="G4326" t="s">
        <v>1027</v>
      </c>
      <c r="H4326" s="315" t="s">
        <v>29</v>
      </c>
      <c r="I4326" s="315" t="s">
        <v>1026</v>
      </c>
      <c r="J4326" s="315" t="str">
        <f t="shared" si="356"/>
        <v>New VehicleOther Income per NV unit</v>
      </c>
      <c r="K4326" s="315" t="str">
        <f t="shared" si="357"/>
        <v>400New Vehicle Other Income - Toyota</v>
      </c>
      <c r="L4326" s="311">
        <f>+SUMIF('TUNZ Extracted TB'!M:M,$P4326,'TUNZ Extracted TB'!G:G)</f>
        <v>0</v>
      </c>
      <c r="M4326" s="311"/>
      <c r="N4326" s="311">
        <f>+SUMIF('Input Sheet'!$AE:$AE,P4326,'Input Sheet'!$X:$X)</f>
        <v>0</v>
      </c>
      <c r="O4326" s="311"/>
      <c r="P4326" t="str">
        <f t="shared" si="358"/>
        <v>400-3115RD</v>
      </c>
      <c r="Q4326" s="315" t="str">
        <f t="shared" si="359"/>
        <v>New Vehicle</v>
      </c>
      <c r="R4326" s="315" t="str">
        <f t="shared" si="360"/>
        <v>New VehicleOther Income per NV unit</v>
      </c>
      <c r="S4326" s="199"/>
      <c r="T4326" s="199"/>
      <c r="U4326" s="199"/>
    </row>
    <row r="4327" spans="1:21" x14ac:dyDescent="0.25">
      <c r="A4327" t="s">
        <v>996</v>
      </c>
      <c r="B4327" t="s">
        <v>997</v>
      </c>
      <c r="C4327" t="s">
        <v>1013</v>
      </c>
      <c r="D4327" t="s">
        <v>1516</v>
      </c>
      <c r="E4327">
        <v>300</v>
      </c>
      <c r="F4327" t="s">
        <v>1024</v>
      </c>
      <c r="G4327" t="s">
        <v>1027</v>
      </c>
      <c r="H4327" s="315" t="s">
        <v>29</v>
      </c>
      <c r="I4327" s="315" t="s">
        <v>1026</v>
      </c>
      <c r="J4327" s="315" t="str">
        <f t="shared" si="356"/>
        <v>New VehicleOther Income per NV unit</v>
      </c>
      <c r="K4327" s="315" t="str">
        <f t="shared" si="357"/>
        <v>300New Vehicle Other Income - Toyota</v>
      </c>
      <c r="L4327" s="311">
        <f>+SUMIF('TUNZ Extracted TB'!M:M,$P4327,'TUNZ Extracted TB'!G:G)</f>
        <v>0</v>
      </c>
      <c r="M4327" s="311"/>
      <c r="N4327" s="311">
        <f>+SUMIF('Input Sheet'!$AE:$AE,P4327,'Input Sheet'!$X:$X)</f>
        <v>0</v>
      </c>
      <c r="O4327" s="311"/>
      <c r="P4327" t="str">
        <f t="shared" si="358"/>
        <v>300-3115RD</v>
      </c>
      <c r="Q4327" s="315" t="str">
        <f t="shared" si="359"/>
        <v>New Vehicle</v>
      </c>
      <c r="R4327" s="315" t="str">
        <f t="shared" si="360"/>
        <v>New VehicleOther Income per NV unit</v>
      </c>
      <c r="S4327" s="199"/>
      <c r="T4327" s="199"/>
      <c r="U4327" s="199"/>
    </row>
    <row r="4328" spans="1:21" x14ac:dyDescent="0.25">
      <c r="A4328" t="s">
        <v>996</v>
      </c>
      <c r="B4328" t="s">
        <v>997</v>
      </c>
      <c r="C4328" t="s">
        <v>997</v>
      </c>
      <c r="D4328" t="s">
        <v>1516</v>
      </c>
      <c r="E4328">
        <v>110</v>
      </c>
      <c r="F4328" t="s">
        <v>1014</v>
      </c>
      <c r="G4328" t="s">
        <v>1015</v>
      </c>
      <c r="H4328" s="315" t="s">
        <v>30</v>
      </c>
      <c r="I4328" s="315" t="s">
        <v>1016</v>
      </c>
      <c r="J4328" s="315" t="str">
        <f t="shared" si="356"/>
        <v>Used VehicleEx NV demonstrators gross profit p.u.</v>
      </c>
      <c r="K4328" s="315" t="str">
        <f t="shared" si="357"/>
        <v>110Ex-Toyota NV Demonstrator revenue</v>
      </c>
      <c r="L4328" s="311">
        <f>+SUMIF('TUNZ Extracted TB'!M:M,$P4328,'TUNZ Extracted TB'!G:G)</f>
        <v>0</v>
      </c>
      <c r="M4328" s="311"/>
      <c r="N4328" s="311">
        <f>+SUMIF('Input Sheet'!$AE:$AE,P4328,'Input Sheet'!$X:$X)</f>
        <v>0</v>
      </c>
      <c r="O4328" s="311"/>
      <c r="P4328" t="str">
        <f t="shared" si="358"/>
        <v>110-3115RD</v>
      </c>
      <c r="Q4328" s="315" t="str">
        <f t="shared" si="359"/>
        <v>Used Vehicle</v>
      </c>
      <c r="R4328" s="315" t="str">
        <f t="shared" si="360"/>
        <v>Used VehicleEx NV demonstrators gross profit p.u.</v>
      </c>
      <c r="S4328" s="199"/>
      <c r="T4328" s="199"/>
      <c r="U4328" s="199"/>
    </row>
    <row r="4329" spans="1:21" x14ac:dyDescent="0.25">
      <c r="A4329" t="s">
        <v>996</v>
      </c>
      <c r="B4329" t="s">
        <v>997</v>
      </c>
      <c r="C4329" t="s">
        <v>997</v>
      </c>
      <c r="D4329" t="s">
        <v>1517</v>
      </c>
      <c r="E4329">
        <v>100</v>
      </c>
      <c r="F4329" t="s">
        <v>1024</v>
      </c>
      <c r="G4329" t="s">
        <v>1027</v>
      </c>
      <c r="H4329" s="315" t="s">
        <v>29</v>
      </c>
      <c r="I4329" s="315" t="s">
        <v>1026</v>
      </c>
      <c r="J4329" s="315" t="str">
        <f t="shared" si="356"/>
        <v>New VehicleOther Income per NV unit</v>
      </c>
      <c r="K4329" s="315" t="str">
        <f t="shared" si="357"/>
        <v>100New Vehicle Other Income - Toyota</v>
      </c>
      <c r="L4329" s="311">
        <f>+SUMIF('TUNZ Extracted TB'!M:M,$P4329,'TUNZ Extracted TB'!G:G)</f>
        <v>0</v>
      </c>
      <c r="M4329" s="311"/>
      <c r="N4329" s="311">
        <f>+SUMIF('Input Sheet'!$AE:$AE,P4329,'Input Sheet'!$X:$X)</f>
        <v>0</v>
      </c>
      <c r="O4329" s="311"/>
      <c r="P4329" t="str">
        <f t="shared" si="358"/>
        <v>100-3125D</v>
      </c>
      <c r="Q4329" s="315" t="str">
        <f t="shared" si="359"/>
        <v>New Vehicle</v>
      </c>
      <c r="R4329" s="315" t="str">
        <f t="shared" si="360"/>
        <v>New VehicleOther Income per NV unit</v>
      </c>
      <c r="S4329" s="199"/>
      <c r="T4329" s="199"/>
      <c r="U4329" s="199"/>
    </row>
    <row r="4330" spans="1:21" x14ac:dyDescent="0.25">
      <c r="A4330" t="s">
        <v>996</v>
      </c>
      <c r="B4330" t="s">
        <v>997</v>
      </c>
      <c r="C4330" t="s">
        <v>1005</v>
      </c>
      <c r="D4330" t="s">
        <v>1516</v>
      </c>
      <c r="E4330">
        <v>210</v>
      </c>
      <c r="F4330" t="s">
        <v>1014</v>
      </c>
      <c r="G4330" t="s">
        <v>1015</v>
      </c>
      <c r="H4330" s="315" t="s">
        <v>30</v>
      </c>
      <c r="I4330" s="315" t="s">
        <v>1016</v>
      </c>
      <c r="J4330" s="315" t="str">
        <f t="shared" si="356"/>
        <v>Used VehicleEx NV demonstrators gross profit p.u.</v>
      </c>
      <c r="K4330" s="315" t="str">
        <f t="shared" si="357"/>
        <v>210Ex-Toyota NV Demonstrator revenue</v>
      </c>
      <c r="L4330" s="311">
        <f>+SUMIF('TUNZ Extracted TB'!M:M,$P4330,'TUNZ Extracted TB'!G:G)</f>
        <v>0</v>
      </c>
      <c r="M4330" s="311"/>
      <c r="N4330" s="311">
        <f>+SUMIF('Input Sheet'!$AE:$AE,P4330,'Input Sheet'!$X:$X)</f>
        <v>0</v>
      </c>
      <c r="O4330" s="311"/>
      <c r="P4330" t="str">
        <f t="shared" si="358"/>
        <v>210-3115RD</v>
      </c>
      <c r="Q4330" s="315" t="str">
        <f t="shared" si="359"/>
        <v>Used Vehicle</v>
      </c>
      <c r="R4330" s="315" t="str">
        <f t="shared" si="360"/>
        <v>Used VehicleEx NV demonstrators gross profit p.u.</v>
      </c>
      <c r="S4330" s="199"/>
      <c r="T4330" s="199"/>
      <c r="U4330" s="199"/>
    </row>
    <row r="4331" spans="1:21" x14ac:dyDescent="0.25">
      <c r="A4331" t="s">
        <v>996</v>
      </c>
      <c r="B4331" t="s">
        <v>997</v>
      </c>
      <c r="C4331" t="s">
        <v>1012</v>
      </c>
      <c r="D4331" t="s">
        <v>1516</v>
      </c>
      <c r="E4331">
        <v>410</v>
      </c>
      <c r="F4331" t="s">
        <v>1014</v>
      </c>
      <c r="G4331" t="s">
        <v>1015</v>
      </c>
      <c r="H4331" s="315" t="s">
        <v>30</v>
      </c>
      <c r="I4331" s="315" t="s">
        <v>1016</v>
      </c>
      <c r="J4331" s="315" t="str">
        <f t="shared" si="356"/>
        <v>Used VehicleEx NV demonstrators gross profit p.u.</v>
      </c>
      <c r="K4331" s="315" t="str">
        <f t="shared" si="357"/>
        <v>410Ex-Toyota NV Demonstrator revenue</v>
      </c>
      <c r="L4331" s="311">
        <f>+SUMIF('TUNZ Extracted TB'!M:M,$P4331,'TUNZ Extracted TB'!G:G)</f>
        <v>0</v>
      </c>
      <c r="M4331" s="311"/>
      <c r="N4331" s="311">
        <f>+SUMIF('Input Sheet'!$AE:$AE,P4331,'Input Sheet'!$X:$X)</f>
        <v>0</v>
      </c>
      <c r="O4331" s="311"/>
      <c r="P4331" t="str">
        <f t="shared" si="358"/>
        <v>410-3115RD</v>
      </c>
      <c r="Q4331" s="315" t="str">
        <f t="shared" si="359"/>
        <v>Used Vehicle</v>
      </c>
      <c r="R4331" s="315" t="str">
        <f t="shared" si="360"/>
        <v>Used VehicleEx NV demonstrators gross profit p.u.</v>
      </c>
      <c r="S4331" s="199"/>
      <c r="T4331" s="199"/>
      <c r="U4331" s="199"/>
    </row>
    <row r="4332" spans="1:21" x14ac:dyDescent="0.25">
      <c r="A4332" t="s">
        <v>996</v>
      </c>
      <c r="B4332" t="s">
        <v>997</v>
      </c>
      <c r="C4332" t="s">
        <v>1013</v>
      </c>
      <c r="D4332" t="s">
        <v>1516</v>
      </c>
      <c r="E4332">
        <v>310</v>
      </c>
      <c r="F4332" t="s">
        <v>1014</v>
      </c>
      <c r="G4332" t="s">
        <v>1015</v>
      </c>
      <c r="H4332" s="315" t="s">
        <v>30</v>
      </c>
      <c r="I4332" s="315" t="s">
        <v>1016</v>
      </c>
      <c r="J4332" s="315" t="str">
        <f t="shared" si="356"/>
        <v>Used VehicleEx NV demonstrators gross profit p.u.</v>
      </c>
      <c r="K4332" s="315" t="str">
        <f t="shared" si="357"/>
        <v>310Ex-Toyota NV Demonstrator revenue</v>
      </c>
      <c r="L4332" s="311">
        <f>+SUMIF('TUNZ Extracted TB'!M:M,$P4332,'TUNZ Extracted TB'!G:G)</f>
        <v>0</v>
      </c>
      <c r="M4332" s="311"/>
      <c r="N4332" s="311">
        <f>+SUMIF('Input Sheet'!$AE:$AE,P4332,'Input Sheet'!$X:$X)</f>
        <v>0</v>
      </c>
      <c r="O4332" s="311"/>
      <c r="P4332" t="str">
        <f t="shared" si="358"/>
        <v>310-3115RD</v>
      </c>
      <c r="Q4332" s="315" t="str">
        <f t="shared" si="359"/>
        <v>Used Vehicle</v>
      </c>
      <c r="R4332" s="315" t="str">
        <f t="shared" si="360"/>
        <v>Used VehicleEx NV demonstrators gross profit p.u.</v>
      </c>
      <c r="S4332" s="199"/>
      <c r="T4332" s="199"/>
      <c r="U4332" s="199"/>
    </row>
    <row r="4333" spans="1:21" x14ac:dyDescent="0.25">
      <c r="A4333" t="s">
        <v>996</v>
      </c>
      <c r="B4333" t="s">
        <v>997</v>
      </c>
      <c r="C4333" t="s">
        <v>1005</v>
      </c>
      <c r="D4333" t="s">
        <v>1517</v>
      </c>
      <c r="E4333">
        <v>200</v>
      </c>
      <c r="F4333" t="s">
        <v>1024</v>
      </c>
      <c r="G4333" t="s">
        <v>1027</v>
      </c>
      <c r="H4333" s="315" t="s">
        <v>29</v>
      </c>
      <c r="I4333" s="315" t="s">
        <v>1026</v>
      </c>
      <c r="J4333" s="315" t="str">
        <f t="shared" si="356"/>
        <v>New VehicleOther Income per NV unit</v>
      </c>
      <c r="K4333" s="315" t="str">
        <f t="shared" si="357"/>
        <v>200New Vehicle Other Income - Toyota</v>
      </c>
      <c r="L4333" s="311">
        <f>+SUMIF('TUNZ Extracted TB'!M:M,$P4333,'TUNZ Extracted TB'!G:G)</f>
        <v>0</v>
      </c>
      <c r="M4333" s="311"/>
      <c r="N4333" s="311">
        <f>+SUMIF('Input Sheet'!$AE:$AE,P4333,'Input Sheet'!$X:$X)</f>
        <v>0</v>
      </c>
      <c r="O4333" s="311"/>
      <c r="P4333" t="str">
        <f t="shared" si="358"/>
        <v>200-3125D</v>
      </c>
      <c r="Q4333" s="315" t="str">
        <f t="shared" si="359"/>
        <v>New Vehicle</v>
      </c>
      <c r="R4333" s="315" t="str">
        <f t="shared" si="360"/>
        <v>New VehicleOther Income per NV unit</v>
      </c>
      <c r="S4333" s="199"/>
      <c r="T4333" s="199"/>
      <c r="U4333" s="199"/>
    </row>
    <row r="4334" spans="1:21" x14ac:dyDescent="0.25">
      <c r="A4334" t="s">
        <v>996</v>
      </c>
      <c r="B4334" t="s">
        <v>997</v>
      </c>
      <c r="C4334" t="s">
        <v>1012</v>
      </c>
      <c r="D4334" t="s">
        <v>1517</v>
      </c>
      <c r="E4334">
        <v>400</v>
      </c>
      <c r="F4334" t="s">
        <v>1024</v>
      </c>
      <c r="G4334" t="s">
        <v>1027</v>
      </c>
      <c r="H4334" s="315" t="s">
        <v>29</v>
      </c>
      <c r="I4334" s="315" t="s">
        <v>1026</v>
      </c>
      <c r="J4334" s="315" t="str">
        <f t="shared" si="356"/>
        <v>New VehicleOther Income per NV unit</v>
      </c>
      <c r="K4334" s="315" t="str">
        <f t="shared" si="357"/>
        <v>400New Vehicle Other Income - Toyota</v>
      </c>
      <c r="L4334" s="311">
        <f>+SUMIF('TUNZ Extracted TB'!M:M,$P4334,'TUNZ Extracted TB'!G:G)</f>
        <v>0</v>
      </c>
      <c r="M4334" s="311"/>
      <c r="N4334" s="311">
        <f>+SUMIF('Input Sheet'!$AE:$AE,P4334,'Input Sheet'!$X:$X)</f>
        <v>0</v>
      </c>
      <c r="O4334" s="311"/>
      <c r="P4334" t="str">
        <f t="shared" si="358"/>
        <v>400-3125D</v>
      </c>
      <c r="Q4334" s="315" t="str">
        <f t="shared" si="359"/>
        <v>New Vehicle</v>
      </c>
      <c r="R4334" s="315" t="str">
        <f t="shared" si="360"/>
        <v>New VehicleOther Income per NV unit</v>
      </c>
      <c r="S4334" s="199"/>
      <c r="T4334" s="199"/>
      <c r="U4334" s="199"/>
    </row>
    <row r="4335" spans="1:21" x14ac:dyDescent="0.25">
      <c r="A4335" t="s">
        <v>996</v>
      </c>
      <c r="B4335" t="s">
        <v>997</v>
      </c>
      <c r="C4335" t="s">
        <v>1013</v>
      </c>
      <c r="D4335" t="s">
        <v>1517</v>
      </c>
      <c r="E4335">
        <v>300</v>
      </c>
      <c r="F4335" t="s">
        <v>1024</v>
      </c>
      <c r="G4335" t="s">
        <v>1027</v>
      </c>
      <c r="H4335" s="315" t="s">
        <v>29</v>
      </c>
      <c r="I4335" s="315" t="s">
        <v>1026</v>
      </c>
      <c r="J4335" s="315" t="str">
        <f t="shared" si="356"/>
        <v>New VehicleOther Income per NV unit</v>
      </c>
      <c r="K4335" s="315" t="str">
        <f t="shared" si="357"/>
        <v>300New Vehicle Other Income - Toyota</v>
      </c>
      <c r="L4335" s="311">
        <f>+SUMIF('TUNZ Extracted TB'!M:M,$P4335,'TUNZ Extracted TB'!G:G)</f>
        <v>0</v>
      </c>
      <c r="M4335" s="311"/>
      <c r="N4335" s="311">
        <f>+SUMIF('Input Sheet'!$AE:$AE,P4335,'Input Sheet'!$X:$X)</f>
        <v>0</v>
      </c>
      <c r="O4335" s="311"/>
      <c r="P4335" t="str">
        <f t="shared" si="358"/>
        <v>300-3125D</v>
      </c>
      <c r="Q4335" s="315" t="str">
        <f t="shared" si="359"/>
        <v>New Vehicle</v>
      </c>
      <c r="R4335" s="315" t="str">
        <f t="shared" si="360"/>
        <v>New VehicleOther Income per NV unit</v>
      </c>
      <c r="S4335" s="199"/>
      <c r="T4335" s="199"/>
      <c r="U4335" s="199"/>
    </row>
    <row r="4336" spans="1:21" x14ac:dyDescent="0.25">
      <c r="A4336" t="s">
        <v>996</v>
      </c>
      <c r="B4336" t="s">
        <v>997</v>
      </c>
      <c r="C4336" t="s">
        <v>997</v>
      </c>
      <c r="D4336" t="s">
        <v>1517</v>
      </c>
      <c r="E4336">
        <v>110</v>
      </c>
      <c r="F4336" t="s">
        <v>1014</v>
      </c>
      <c r="G4336" t="s">
        <v>1015</v>
      </c>
      <c r="H4336" s="315" t="s">
        <v>30</v>
      </c>
      <c r="I4336" s="315" t="s">
        <v>1016</v>
      </c>
      <c r="J4336" s="315" t="str">
        <f t="shared" si="356"/>
        <v>Used VehicleEx NV demonstrators gross profit p.u.</v>
      </c>
      <c r="K4336" s="315" t="str">
        <f t="shared" si="357"/>
        <v>110Ex-Toyota NV Demonstrator revenue</v>
      </c>
      <c r="L4336" s="311">
        <f>+SUMIF('TUNZ Extracted TB'!M:M,$P4336,'TUNZ Extracted TB'!G:G)</f>
        <v>0</v>
      </c>
      <c r="M4336" s="311"/>
      <c r="N4336" s="311">
        <f>+SUMIF('Input Sheet'!$AE:$AE,P4336,'Input Sheet'!$X:$X)</f>
        <v>0</v>
      </c>
      <c r="O4336" s="311"/>
      <c r="P4336" t="str">
        <f t="shared" si="358"/>
        <v>110-3125D</v>
      </c>
      <c r="Q4336" s="315" t="str">
        <f t="shared" si="359"/>
        <v>Used Vehicle</v>
      </c>
      <c r="R4336" s="315" t="str">
        <f t="shared" si="360"/>
        <v>Used VehicleEx NV demonstrators gross profit p.u.</v>
      </c>
      <c r="S4336" s="199"/>
      <c r="T4336" s="199"/>
      <c r="U4336" s="199"/>
    </row>
    <row r="4337" spans="1:21" x14ac:dyDescent="0.25">
      <c r="A4337" t="s">
        <v>996</v>
      </c>
      <c r="B4337" t="s">
        <v>997</v>
      </c>
      <c r="C4337" t="s">
        <v>997</v>
      </c>
      <c r="D4337" t="s">
        <v>1518</v>
      </c>
      <c r="E4337">
        <v>100</v>
      </c>
      <c r="F4337" t="s">
        <v>1024</v>
      </c>
      <c r="G4337" t="s">
        <v>1027</v>
      </c>
      <c r="H4337" s="315" t="s">
        <v>29</v>
      </c>
      <c r="I4337" s="315" t="s">
        <v>1026</v>
      </c>
      <c r="J4337" s="315" t="str">
        <f t="shared" si="356"/>
        <v>New VehicleOther Income per NV unit</v>
      </c>
      <c r="K4337" s="315" t="str">
        <f t="shared" si="357"/>
        <v>100New Vehicle Other Income - Toyota</v>
      </c>
      <c r="L4337" s="311">
        <f>+SUMIF('TUNZ Extracted TB'!M:M,$P4337,'TUNZ Extracted TB'!G:G)</f>
        <v>0</v>
      </c>
      <c r="M4337" s="311"/>
      <c r="N4337" s="311">
        <f>+SUMIF('Input Sheet'!$AE:$AE,P4337,'Input Sheet'!$X:$X)</f>
        <v>0</v>
      </c>
      <c r="O4337" s="311"/>
      <c r="P4337" t="str">
        <f t="shared" si="358"/>
        <v>100-3125R</v>
      </c>
      <c r="Q4337" s="315" t="str">
        <f t="shared" si="359"/>
        <v>New Vehicle</v>
      </c>
      <c r="R4337" s="315" t="str">
        <f t="shared" si="360"/>
        <v>New VehicleOther Income per NV unit</v>
      </c>
      <c r="S4337" s="199"/>
      <c r="T4337" s="199"/>
      <c r="U4337" s="199"/>
    </row>
    <row r="4338" spans="1:21" x14ac:dyDescent="0.25">
      <c r="A4338" t="s">
        <v>996</v>
      </c>
      <c r="B4338" t="s">
        <v>997</v>
      </c>
      <c r="C4338" t="s">
        <v>1005</v>
      </c>
      <c r="D4338" t="s">
        <v>1517</v>
      </c>
      <c r="E4338">
        <v>210</v>
      </c>
      <c r="F4338" t="s">
        <v>1014</v>
      </c>
      <c r="G4338" t="s">
        <v>1015</v>
      </c>
      <c r="H4338" s="315" t="s">
        <v>30</v>
      </c>
      <c r="I4338" s="315" t="s">
        <v>1016</v>
      </c>
      <c r="J4338" s="315" t="str">
        <f t="shared" si="356"/>
        <v>Used VehicleEx NV demonstrators gross profit p.u.</v>
      </c>
      <c r="K4338" s="315" t="str">
        <f t="shared" si="357"/>
        <v>210Ex-Toyota NV Demonstrator revenue</v>
      </c>
      <c r="L4338" s="311">
        <f>+SUMIF('TUNZ Extracted TB'!M:M,$P4338,'TUNZ Extracted TB'!G:G)</f>
        <v>0</v>
      </c>
      <c r="M4338" s="311"/>
      <c r="N4338" s="311">
        <f>+SUMIF('Input Sheet'!$AE:$AE,P4338,'Input Sheet'!$X:$X)</f>
        <v>0</v>
      </c>
      <c r="O4338" s="311"/>
      <c r="P4338" t="str">
        <f t="shared" si="358"/>
        <v>210-3125D</v>
      </c>
      <c r="Q4338" s="315" t="str">
        <f t="shared" si="359"/>
        <v>Used Vehicle</v>
      </c>
      <c r="R4338" s="315" t="str">
        <f t="shared" si="360"/>
        <v>Used VehicleEx NV demonstrators gross profit p.u.</v>
      </c>
      <c r="S4338" s="199"/>
      <c r="T4338" s="199"/>
      <c r="U4338" s="199"/>
    </row>
    <row r="4339" spans="1:21" x14ac:dyDescent="0.25">
      <c r="A4339" t="s">
        <v>996</v>
      </c>
      <c r="B4339" t="s">
        <v>997</v>
      </c>
      <c r="C4339" t="s">
        <v>1012</v>
      </c>
      <c r="D4339" t="s">
        <v>1517</v>
      </c>
      <c r="E4339">
        <v>410</v>
      </c>
      <c r="F4339" t="s">
        <v>1014</v>
      </c>
      <c r="G4339" t="s">
        <v>1015</v>
      </c>
      <c r="H4339" s="315" t="s">
        <v>30</v>
      </c>
      <c r="I4339" s="315" t="s">
        <v>1016</v>
      </c>
      <c r="J4339" s="315" t="str">
        <f t="shared" si="356"/>
        <v>Used VehicleEx NV demonstrators gross profit p.u.</v>
      </c>
      <c r="K4339" s="315" t="str">
        <f t="shared" si="357"/>
        <v>410Ex-Toyota NV Demonstrator revenue</v>
      </c>
      <c r="L4339" s="311">
        <f>+SUMIF('TUNZ Extracted TB'!M:M,$P4339,'TUNZ Extracted TB'!G:G)</f>
        <v>0</v>
      </c>
      <c r="M4339" s="311"/>
      <c r="N4339" s="311">
        <f>+SUMIF('Input Sheet'!$AE:$AE,P4339,'Input Sheet'!$X:$X)</f>
        <v>0</v>
      </c>
      <c r="O4339" s="311"/>
      <c r="P4339" t="str">
        <f t="shared" si="358"/>
        <v>410-3125D</v>
      </c>
      <c r="Q4339" s="315" t="str">
        <f t="shared" si="359"/>
        <v>Used Vehicle</v>
      </c>
      <c r="R4339" s="315" t="str">
        <f t="shared" si="360"/>
        <v>Used VehicleEx NV demonstrators gross profit p.u.</v>
      </c>
      <c r="S4339" s="199"/>
      <c r="T4339" s="199"/>
      <c r="U4339" s="199"/>
    </row>
    <row r="4340" spans="1:21" x14ac:dyDescent="0.25">
      <c r="A4340" t="s">
        <v>996</v>
      </c>
      <c r="B4340" t="s">
        <v>997</v>
      </c>
      <c r="C4340" t="s">
        <v>1013</v>
      </c>
      <c r="D4340" t="s">
        <v>1517</v>
      </c>
      <c r="E4340">
        <v>310</v>
      </c>
      <c r="F4340" t="s">
        <v>1014</v>
      </c>
      <c r="G4340" t="s">
        <v>1015</v>
      </c>
      <c r="H4340" s="315" t="s">
        <v>30</v>
      </c>
      <c r="I4340" s="315" t="s">
        <v>1016</v>
      </c>
      <c r="J4340" s="315" t="str">
        <f t="shared" si="356"/>
        <v>Used VehicleEx NV demonstrators gross profit p.u.</v>
      </c>
      <c r="K4340" s="315" t="str">
        <f t="shared" si="357"/>
        <v>310Ex-Toyota NV Demonstrator revenue</v>
      </c>
      <c r="L4340" s="311">
        <f>+SUMIF('TUNZ Extracted TB'!M:M,$P4340,'TUNZ Extracted TB'!G:G)</f>
        <v>0</v>
      </c>
      <c r="M4340" s="311"/>
      <c r="N4340" s="311">
        <f>+SUMIF('Input Sheet'!$AE:$AE,P4340,'Input Sheet'!$X:$X)</f>
        <v>0</v>
      </c>
      <c r="O4340" s="311"/>
      <c r="P4340" t="str">
        <f t="shared" si="358"/>
        <v>310-3125D</v>
      </c>
      <c r="Q4340" s="315" t="str">
        <f t="shared" si="359"/>
        <v>Used Vehicle</v>
      </c>
      <c r="R4340" s="315" t="str">
        <f t="shared" si="360"/>
        <v>Used VehicleEx NV demonstrators gross profit p.u.</v>
      </c>
      <c r="S4340" s="199"/>
      <c r="T4340" s="199"/>
      <c r="U4340" s="199"/>
    </row>
    <row r="4341" spans="1:21" x14ac:dyDescent="0.25">
      <c r="A4341" t="s">
        <v>996</v>
      </c>
      <c r="B4341" t="s">
        <v>997</v>
      </c>
      <c r="C4341" t="s">
        <v>1005</v>
      </c>
      <c r="D4341" t="s">
        <v>1518</v>
      </c>
      <c r="E4341">
        <v>200</v>
      </c>
      <c r="F4341" t="s">
        <v>1024</v>
      </c>
      <c r="G4341" t="s">
        <v>1027</v>
      </c>
      <c r="H4341" s="315" t="s">
        <v>29</v>
      </c>
      <c r="I4341" s="315" t="s">
        <v>1026</v>
      </c>
      <c r="J4341" s="315" t="str">
        <f t="shared" si="356"/>
        <v>New VehicleOther Income per NV unit</v>
      </c>
      <c r="K4341" s="315" t="str">
        <f t="shared" si="357"/>
        <v>200New Vehicle Other Income - Toyota</v>
      </c>
      <c r="L4341" s="311">
        <f>+SUMIF('TUNZ Extracted TB'!M:M,$P4341,'TUNZ Extracted TB'!G:G)</f>
        <v>0</v>
      </c>
      <c r="M4341" s="311"/>
      <c r="N4341" s="311">
        <f>+SUMIF('Input Sheet'!$AE:$AE,P4341,'Input Sheet'!$X:$X)</f>
        <v>0</v>
      </c>
      <c r="O4341" s="311"/>
      <c r="P4341" t="str">
        <f t="shared" si="358"/>
        <v>200-3125R</v>
      </c>
      <c r="Q4341" s="315" t="str">
        <f t="shared" si="359"/>
        <v>New Vehicle</v>
      </c>
      <c r="R4341" s="315" t="str">
        <f t="shared" si="360"/>
        <v>New VehicleOther Income per NV unit</v>
      </c>
      <c r="S4341" s="199"/>
      <c r="T4341" s="199"/>
      <c r="U4341" s="199"/>
    </row>
    <row r="4342" spans="1:21" x14ac:dyDescent="0.25">
      <c r="A4342" t="s">
        <v>996</v>
      </c>
      <c r="B4342" t="s">
        <v>997</v>
      </c>
      <c r="C4342" t="s">
        <v>1012</v>
      </c>
      <c r="D4342" t="s">
        <v>1518</v>
      </c>
      <c r="E4342">
        <v>400</v>
      </c>
      <c r="F4342" t="s">
        <v>1024</v>
      </c>
      <c r="G4342" t="s">
        <v>1027</v>
      </c>
      <c r="H4342" s="315" t="s">
        <v>29</v>
      </c>
      <c r="I4342" s="315" t="s">
        <v>1026</v>
      </c>
      <c r="J4342" s="315" t="str">
        <f t="shared" si="356"/>
        <v>New VehicleOther Income per NV unit</v>
      </c>
      <c r="K4342" s="315" t="str">
        <f t="shared" si="357"/>
        <v>400New Vehicle Other Income - Toyota</v>
      </c>
      <c r="L4342" s="311">
        <f>+SUMIF('TUNZ Extracted TB'!M:M,$P4342,'TUNZ Extracted TB'!G:G)</f>
        <v>0</v>
      </c>
      <c r="M4342" s="311"/>
      <c r="N4342" s="311">
        <f>+SUMIF('Input Sheet'!$AE:$AE,P4342,'Input Sheet'!$X:$X)</f>
        <v>0</v>
      </c>
      <c r="O4342" s="311"/>
      <c r="P4342" t="str">
        <f t="shared" si="358"/>
        <v>400-3125R</v>
      </c>
      <c r="Q4342" s="315" t="str">
        <f t="shared" si="359"/>
        <v>New Vehicle</v>
      </c>
      <c r="R4342" s="315" t="str">
        <f t="shared" si="360"/>
        <v>New VehicleOther Income per NV unit</v>
      </c>
      <c r="S4342" s="199"/>
      <c r="T4342" s="199"/>
      <c r="U4342" s="199"/>
    </row>
    <row r="4343" spans="1:21" x14ac:dyDescent="0.25">
      <c r="A4343" t="s">
        <v>996</v>
      </c>
      <c r="B4343" t="s">
        <v>997</v>
      </c>
      <c r="C4343" t="s">
        <v>1013</v>
      </c>
      <c r="D4343" t="s">
        <v>1518</v>
      </c>
      <c r="E4343">
        <v>300</v>
      </c>
      <c r="F4343" t="s">
        <v>1024</v>
      </c>
      <c r="G4343" t="s">
        <v>1027</v>
      </c>
      <c r="H4343" s="315" t="s">
        <v>29</v>
      </c>
      <c r="I4343" s="315" t="s">
        <v>1026</v>
      </c>
      <c r="J4343" s="315" t="str">
        <f t="shared" si="356"/>
        <v>New VehicleOther Income per NV unit</v>
      </c>
      <c r="K4343" s="315" t="str">
        <f t="shared" si="357"/>
        <v>300New Vehicle Other Income - Toyota</v>
      </c>
      <c r="L4343" s="311">
        <f>+SUMIF('TUNZ Extracted TB'!M:M,$P4343,'TUNZ Extracted TB'!G:G)</f>
        <v>0</v>
      </c>
      <c r="M4343" s="311"/>
      <c r="N4343" s="311">
        <f>+SUMIF('Input Sheet'!$AE:$AE,P4343,'Input Sheet'!$X:$X)</f>
        <v>0</v>
      </c>
      <c r="O4343" s="311"/>
      <c r="P4343" t="str">
        <f t="shared" si="358"/>
        <v>300-3125R</v>
      </c>
      <c r="Q4343" s="315" t="str">
        <f t="shared" si="359"/>
        <v>New Vehicle</v>
      </c>
      <c r="R4343" s="315" t="str">
        <f t="shared" si="360"/>
        <v>New VehicleOther Income per NV unit</v>
      </c>
      <c r="S4343" s="199"/>
      <c r="T4343" s="199"/>
      <c r="U4343" s="199"/>
    </row>
    <row r="4344" spans="1:21" x14ac:dyDescent="0.25">
      <c r="A4344" t="s">
        <v>996</v>
      </c>
      <c r="B4344" t="s">
        <v>997</v>
      </c>
      <c r="C4344" t="s">
        <v>997</v>
      </c>
      <c r="D4344" t="s">
        <v>1518</v>
      </c>
      <c r="E4344">
        <v>110</v>
      </c>
      <c r="F4344" t="s">
        <v>1014</v>
      </c>
      <c r="G4344" t="s">
        <v>1015</v>
      </c>
      <c r="H4344" s="315" t="s">
        <v>30</v>
      </c>
      <c r="I4344" s="315" t="s">
        <v>1016</v>
      </c>
      <c r="J4344" s="315" t="str">
        <f t="shared" si="356"/>
        <v>Used VehicleEx NV demonstrators gross profit p.u.</v>
      </c>
      <c r="K4344" s="315" t="str">
        <f t="shared" si="357"/>
        <v>110Ex-Toyota NV Demonstrator revenue</v>
      </c>
      <c r="L4344" s="311">
        <f>+SUMIF('TUNZ Extracted TB'!M:M,$P4344,'TUNZ Extracted TB'!G:G)</f>
        <v>0</v>
      </c>
      <c r="M4344" s="311"/>
      <c r="N4344" s="311">
        <f>+SUMIF('Input Sheet'!$AE:$AE,P4344,'Input Sheet'!$X:$X)</f>
        <v>0</v>
      </c>
      <c r="O4344" s="311"/>
      <c r="P4344" t="str">
        <f t="shared" si="358"/>
        <v>110-3125R</v>
      </c>
      <c r="Q4344" s="315" t="str">
        <f t="shared" si="359"/>
        <v>Used Vehicle</v>
      </c>
      <c r="R4344" s="315" t="str">
        <f t="shared" si="360"/>
        <v>Used VehicleEx NV demonstrators gross profit p.u.</v>
      </c>
      <c r="S4344" s="199"/>
      <c r="T4344" s="199"/>
      <c r="U4344" s="199"/>
    </row>
    <row r="4345" spans="1:21" x14ac:dyDescent="0.25">
      <c r="A4345" s="316">
        <v>45170</v>
      </c>
      <c r="B4345" t="s">
        <v>997</v>
      </c>
      <c r="C4345" t="s">
        <v>997</v>
      </c>
      <c r="D4345" t="s">
        <v>598</v>
      </c>
      <c r="E4345">
        <v>112</v>
      </c>
      <c r="G4345" t="s">
        <v>599</v>
      </c>
      <c r="H4345" s="315" t="s">
        <v>1011</v>
      </c>
      <c r="I4345" s="315" t="s">
        <v>1004</v>
      </c>
      <c r="J4345" s="315" t="str">
        <f t="shared" si="356"/>
        <v>LEX New VehicleRetail Gross p.u.</v>
      </c>
      <c r="K4345" s="315" t="str">
        <f t="shared" si="357"/>
        <v>112Sales - Lexus RZ450e</v>
      </c>
      <c r="L4345" s="311">
        <f>+SUMIF('TUNZ Extracted TB'!M:M,$P4345,'TUNZ Extracted TB'!G:G)</f>
        <v>0</v>
      </c>
      <c r="M4345" s="311"/>
      <c r="N4345" s="311">
        <f>+SUMIF('Input Sheet'!$AE:$AE,P4345,'Input Sheet'!$X:$X)</f>
        <v>0</v>
      </c>
      <c r="O4345" s="311"/>
      <c r="P4345" t="str">
        <f t="shared" si="358"/>
        <v>112-3144R</v>
      </c>
      <c r="Q4345" s="315" t="str">
        <f t="shared" si="359"/>
        <v>LEX New Vehicle</v>
      </c>
      <c r="R4345" s="315" t="str">
        <f t="shared" si="360"/>
        <v>LEX New VehicleRetail Gross p.u.</v>
      </c>
      <c r="S4345" s="199"/>
      <c r="T4345" s="199"/>
      <c r="U4345" s="199"/>
    </row>
    <row r="4346" spans="1:21" x14ac:dyDescent="0.25">
      <c r="A4346" t="s">
        <v>996</v>
      </c>
      <c r="B4346" t="s">
        <v>997</v>
      </c>
      <c r="C4346" t="s">
        <v>1005</v>
      </c>
      <c r="D4346" t="s">
        <v>1518</v>
      </c>
      <c r="E4346">
        <v>210</v>
      </c>
      <c r="F4346" t="s">
        <v>1014</v>
      </c>
      <c r="G4346" t="s">
        <v>1015</v>
      </c>
      <c r="H4346" s="315" t="s">
        <v>30</v>
      </c>
      <c r="I4346" s="315" t="s">
        <v>1016</v>
      </c>
      <c r="J4346" s="315" t="str">
        <f t="shared" si="356"/>
        <v>Used VehicleEx NV demonstrators gross profit p.u.</v>
      </c>
      <c r="K4346" s="315" t="str">
        <f t="shared" si="357"/>
        <v>210Ex-Toyota NV Demonstrator revenue</v>
      </c>
      <c r="L4346" s="311">
        <f>+SUMIF('TUNZ Extracted TB'!M:M,$P4346,'TUNZ Extracted TB'!G:G)</f>
        <v>0</v>
      </c>
      <c r="M4346" s="311"/>
      <c r="N4346" s="311">
        <f>+SUMIF('Input Sheet'!$AE:$AE,P4346,'Input Sheet'!$X:$X)</f>
        <v>0</v>
      </c>
      <c r="O4346" s="311"/>
      <c r="P4346" t="str">
        <f t="shared" si="358"/>
        <v>210-3125R</v>
      </c>
      <c r="Q4346" s="315" t="str">
        <f t="shared" si="359"/>
        <v>Used Vehicle</v>
      </c>
      <c r="R4346" s="315" t="str">
        <f t="shared" si="360"/>
        <v>Used VehicleEx NV demonstrators gross profit p.u.</v>
      </c>
      <c r="S4346" s="199"/>
      <c r="T4346" s="199"/>
      <c r="U4346" s="199"/>
    </row>
    <row r="4347" spans="1:21" x14ac:dyDescent="0.25">
      <c r="A4347" t="s">
        <v>996</v>
      </c>
      <c r="B4347" t="s">
        <v>997</v>
      </c>
      <c r="C4347" t="s">
        <v>1012</v>
      </c>
      <c r="D4347" t="s">
        <v>1518</v>
      </c>
      <c r="E4347">
        <v>410</v>
      </c>
      <c r="F4347" t="s">
        <v>1014</v>
      </c>
      <c r="G4347" t="s">
        <v>1015</v>
      </c>
      <c r="H4347" s="315" t="s">
        <v>30</v>
      </c>
      <c r="I4347" s="315" t="s">
        <v>1016</v>
      </c>
      <c r="J4347" s="315" t="str">
        <f t="shared" si="356"/>
        <v>Used VehicleEx NV demonstrators gross profit p.u.</v>
      </c>
      <c r="K4347" s="315" t="str">
        <f t="shared" si="357"/>
        <v>410Ex-Toyota NV Demonstrator revenue</v>
      </c>
      <c r="L4347" s="311">
        <f>+SUMIF('TUNZ Extracted TB'!M:M,$P4347,'TUNZ Extracted TB'!G:G)</f>
        <v>0</v>
      </c>
      <c r="M4347" s="311"/>
      <c r="N4347" s="311">
        <f>+SUMIF('Input Sheet'!$AE:$AE,P4347,'Input Sheet'!$X:$X)</f>
        <v>0</v>
      </c>
      <c r="O4347" s="311"/>
      <c r="P4347" t="str">
        <f t="shared" si="358"/>
        <v>410-3125R</v>
      </c>
      <c r="Q4347" s="315" t="str">
        <f t="shared" si="359"/>
        <v>Used Vehicle</v>
      </c>
      <c r="R4347" s="315" t="str">
        <f t="shared" si="360"/>
        <v>Used VehicleEx NV demonstrators gross profit p.u.</v>
      </c>
      <c r="S4347" s="199"/>
      <c r="T4347" s="199"/>
      <c r="U4347" s="199"/>
    </row>
    <row r="4348" spans="1:21" x14ac:dyDescent="0.25">
      <c r="A4348" t="s">
        <v>996</v>
      </c>
      <c r="B4348" t="s">
        <v>997</v>
      </c>
      <c r="C4348" t="s">
        <v>1013</v>
      </c>
      <c r="D4348" t="s">
        <v>1518</v>
      </c>
      <c r="E4348">
        <v>310</v>
      </c>
      <c r="F4348" t="s">
        <v>1014</v>
      </c>
      <c r="G4348" t="s">
        <v>1015</v>
      </c>
      <c r="H4348" s="315" t="s">
        <v>30</v>
      </c>
      <c r="I4348" s="315" t="s">
        <v>1016</v>
      </c>
      <c r="J4348" s="315" t="str">
        <f t="shared" si="356"/>
        <v>Used VehicleEx NV demonstrators gross profit p.u.</v>
      </c>
      <c r="K4348" s="315" t="str">
        <f t="shared" si="357"/>
        <v>310Ex-Toyota NV Demonstrator revenue</v>
      </c>
      <c r="L4348" s="311">
        <f>+SUMIF('TUNZ Extracted TB'!M:M,$P4348,'TUNZ Extracted TB'!G:G)</f>
        <v>0</v>
      </c>
      <c r="M4348" s="311"/>
      <c r="N4348" s="311">
        <f>+SUMIF('Input Sheet'!$AE:$AE,P4348,'Input Sheet'!$X:$X)</f>
        <v>0</v>
      </c>
      <c r="O4348" s="311"/>
      <c r="P4348" t="str">
        <f t="shared" si="358"/>
        <v>310-3125R</v>
      </c>
      <c r="Q4348" s="315" t="str">
        <f t="shared" si="359"/>
        <v>Used Vehicle</v>
      </c>
      <c r="R4348" s="315" t="str">
        <f t="shared" si="360"/>
        <v>Used VehicleEx NV demonstrators gross profit p.u.</v>
      </c>
      <c r="S4348" s="199"/>
      <c r="T4348" s="199"/>
      <c r="U4348" s="199"/>
    </row>
    <row r="4349" spans="1:21" x14ac:dyDescent="0.25">
      <c r="A4349" t="s">
        <v>996</v>
      </c>
      <c r="B4349" t="s">
        <v>997</v>
      </c>
      <c r="C4349" t="s">
        <v>1005</v>
      </c>
      <c r="D4349" t="s">
        <v>759</v>
      </c>
      <c r="E4349">
        <v>200</v>
      </c>
      <c r="F4349" t="s">
        <v>1024</v>
      </c>
      <c r="G4349" t="s">
        <v>1027</v>
      </c>
      <c r="H4349" s="315" t="s">
        <v>29</v>
      </c>
      <c r="I4349" s="315" t="s">
        <v>1026</v>
      </c>
      <c r="J4349" s="315" t="str">
        <f t="shared" si="356"/>
        <v>New VehicleOther Income per NV unit</v>
      </c>
      <c r="K4349" s="315" t="str">
        <f t="shared" si="357"/>
        <v>200New Vehicle Other Income - Toyota</v>
      </c>
      <c r="L4349" s="311">
        <f>+SUMIF('TUNZ Extracted TB'!M:M,$P4349,'TUNZ Extracted TB'!G:G)</f>
        <v>69.569999999999993</v>
      </c>
      <c r="M4349" s="311"/>
      <c r="N4349" s="311">
        <f>+SUMIF('Input Sheet'!$AE:$AE,P4349,'Input Sheet'!$X:$X)</f>
        <v>0</v>
      </c>
      <c r="O4349" s="311"/>
      <c r="P4349" t="str">
        <f t="shared" si="358"/>
        <v>200-4002R</v>
      </c>
      <c r="Q4349" s="315" t="str">
        <f t="shared" si="359"/>
        <v>New Vehicle</v>
      </c>
      <c r="R4349" s="315" t="str">
        <f t="shared" si="360"/>
        <v>New VehicleOther Income per NV unit</v>
      </c>
      <c r="S4349" s="199"/>
      <c r="T4349" s="199"/>
      <c r="U4349" s="199"/>
    </row>
    <row r="4350" spans="1:21" x14ac:dyDescent="0.25">
      <c r="A4350" t="s">
        <v>996</v>
      </c>
      <c r="B4350" t="s">
        <v>997</v>
      </c>
      <c r="C4350" t="s">
        <v>997</v>
      </c>
      <c r="D4350" t="s">
        <v>759</v>
      </c>
      <c r="E4350">
        <v>100</v>
      </c>
      <c r="F4350" t="s">
        <v>1024</v>
      </c>
      <c r="G4350" t="s">
        <v>1027</v>
      </c>
      <c r="H4350" s="315" t="s">
        <v>29</v>
      </c>
      <c r="I4350" s="315" t="s">
        <v>1026</v>
      </c>
      <c r="J4350" s="315" t="str">
        <f t="shared" si="356"/>
        <v>New VehicleOther Income per NV unit</v>
      </c>
      <c r="K4350" s="315" t="str">
        <f t="shared" si="357"/>
        <v>100New Vehicle Other Income - Toyota</v>
      </c>
      <c r="L4350" s="311">
        <f>+SUMIF('TUNZ Extracted TB'!M:M,$P4350,'TUNZ Extracted TB'!G:G)</f>
        <v>361.33</v>
      </c>
      <c r="M4350" s="311"/>
      <c r="N4350" s="311">
        <f>+SUMIF('Input Sheet'!$AE:$AE,P4350,'Input Sheet'!$X:$X)</f>
        <v>0</v>
      </c>
      <c r="O4350" s="311"/>
      <c r="P4350" t="str">
        <f t="shared" si="358"/>
        <v>100-4002R</v>
      </c>
      <c r="Q4350" s="315" t="str">
        <f t="shared" si="359"/>
        <v>New Vehicle</v>
      </c>
      <c r="R4350" s="315" t="str">
        <f t="shared" si="360"/>
        <v>New VehicleOther Income per NV unit</v>
      </c>
      <c r="S4350" s="199"/>
      <c r="T4350" s="199"/>
      <c r="U4350" s="199"/>
    </row>
    <row r="4351" spans="1:21" x14ac:dyDescent="0.25">
      <c r="A4351" t="s">
        <v>996</v>
      </c>
      <c r="B4351" t="s">
        <v>997</v>
      </c>
      <c r="C4351" t="s">
        <v>1012</v>
      </c>
      <c r="D4351" t="s">
        <v>759</v>
      </c>
      <c r="E4351">
        <v>400</v>
      </c>
      <c r="F4351" t="s">
        <v>1024</v>
      </c>
      <c r="G4351" t="s">
        <v>1027</v>
      </c>
      <c r="H4351" s="315" t="s">
        <v>29</v>
      </c>
      <c r="I4351" s="315" t="s">
        <v>1026</v>
      </c>
      <c r="J4351" s="315" t="str">
        <f t="shared" si="356"/>
        <v>New VehicleOther Income per NV unit</v>
      </c>
      <c r="K4351" s="315" t="str">
        <f t="shared" si="357"/>
        <v>400New Vehicle Other Income - Toyota</v>
      </c>
      <c r="L4351" s="311">
        <f>+SUMIF('TUNZ Extracted TB'!M:M,$P4351,'TUNZ Extracted TB'!G:G)</f>
        <v>0</v>
      </c>
      <c r="M4351" s="311"/>
      <c r="N4351" s="311">
        <f>+SUMIF('Input Sheet'!$AE:$AE,P4351,'Input Sheet'!$X:$X)</f>
        <v>0</v>
      </c>
      <c r="O4351" s="311"/>
      <c r="P4351" t="str">
        <f t="shared" si="358"/>
        <v>400-4002R</v>
      </c>
      <c r="Q4351" s="315" t="str">
        <f t="shared" si="359"/>
        <v>New Vehicle</v>
      </c>
      <c r="R4351" s="315" t="str">
        <f t="shared" si="360"/>
        <v>New VehicleOther Income per NV unit</v>
      </c>
      <c r="S4351" s="199"/>
      <c r="T4351" s="199"/>
      <c r="U4351" s="199"/>
    </row>
    <row r="4352" spans="1:21" x14ac:dyDescent="0.25">
      <c r="A4352" t="s">
        <v>996</v>
      </c>
      <c r="B4352" t="s">
        <v>997</v>
      </c>
      <c r="C4352" t="s">
        <v>1013</v>
      </c>
      <c r="D4352" t="s">
        <v>759</v>
      </c>
      <c r="E4352">
        <v>300</v>
      </c>
      <c r="F4352" t="s">
        <v>1024</v>
      </c>
      <c r="G4352" t="s">
        <v>1027</v>
      </c>
      <c r="H4352" s="315" t="s">
        <v>29</v>
      </c>
      <c r="I4352" s="315" t="s">
        <v>1026</v>
      </c>
      <c r="J4352" s="315" t="str">
        <f t="shared" si="356"/>
        <v>New VehicleOther Income per NV unit</v>
      </c>
      <c r="K4352" s="315" t="str">
        <f t="shared" si="357"/>
        <v>300New Vehicle Other Income - Toyota</v>
      </c>
      <c r="L4352" s="311">
        <f>+SUMIF('TUNZ Extracted TB'!M:M,$P4352,'TUNZ Extracted TB'!G:G)</f>
        <v>0</v>
      </c>
      <c r="M4352" s="311"/>
      <c r="N4352" s="311">
        <f>+SUMIF('Input Sheet'!$AE:$AE,P4352,'Input Sheet'!$X:$X)</f>
        <v>0</v>
      </c>
      <c r="O4352" s="311"/>
      <c r="P4352" t="str">
        <f t="shared" si="358"/>
        <v>300-4002R</v>
      </c>
      <c r="Q4352" s="315" t="str">
        <f t="shared" si="359"/>
        <v>New Vehicle</v>
      </c>
      <c r="R4352" s="315" t="str">
        <f t="shared" si="360"/>
        <v>New VehicleOther Income per NV unit</v>
      </c>
      <c r="S4352" s="199"/>
      <c r="T4352" s="199"/>
      <c r="U4352" s="199"/>
    </row>
    <row r="4353" spans="1:21" x14ac:dyDescent="0.25">
      <c r="A4353" t="s">
        <v>996</v>
      </c>
      <c r="B4353" t="s">
        <v>997</v>
      </c>
      <c r="C4353" t="s">
        <v>1012</v>
      </c>
      <c r="D4353" t="s">
        <v>95</v>
      </c>
      <c r="E4353">
        <v>460</v>
      </c>
      <c r="F4353" t="s">
        <v>1519</v>
      </c>
      <c r="G4353" t="s">
        <v>1520</v>
      </c>
      <c r="H4353" s="315" t="s">
        <v>16</v>
      </c>
      <c r="I4353" s="315" t="s">
        <v>1076</v>
      </c>
      <c r="J4353" s="315" t="str">
        <f t="shared" si="356"/>
        <v>F&amp;IFinance Income per vehicle retailed</v>
      </c>
      <c r="K4353" s="315" t="str">
        <f t="shared" si="357"/>
        <v>460Finance income - New Toyota</v>
      </c>
      <c r="L4353" s="311">
        <f>+SUMIF('TUNZ Extracted TB'!M:M,$P4353,'TUNZ Extracted TB'!G:G)</f>
        <v>0</v>
      </c>
      <c r="M4353" s="311"/>
      <c r="N4353" s="311">
        <f>+SUMIF('Input Sheet'!$AE:$AE,P4353,'Input Sheet'!$X:$X)</f>
        <v>0</v>
      </c>
      <c r="O4353" s="311"/>
      <c r="P4353" t="str">
        <f t="shared" si="358"/>
        <v>460-3165R</v>
      </c>
      <c r="Q4353" s="315" t="str">
        <f t="shared" si="359"/>
        <v>F&amp;I</v>
      </c>
      <c r="R4353" s="315" t="str">
        <f t="shared" si="360"/>
        <v>F&amp;IFinance Income per vehicle retailed</v>
      </c>
      <c r="S4353" s="199"/>
      <c r="T4353" s="199"/>
      <c r="U4353" s="199"/>
    </row>
    <row r="4354" spans="1:21" x14ac:dyDescent="0.25">
      <c r="A4354" t="s">
        <v>996</v>
      </c>
      <c r="B4354" t="s">
        <v>997</v>
      </c>
      <c r="C4354" t="s">
        <v>1013</v>
      </c>
      <c r="D4354" t="s">
        <v>95</v>
      </c>
      <c r="E4354">
        <v>360</v>
      </c>
      <c r="F4354" t="s">
        <v>1519</v>
      </c>
      <c r="G4354" t="s">
        <v>1520</v>
      </c>
      <c r="H4354" s="315" t="s">
        <v>16</v>
      </c>
      <c r="I4354" s="315" t="s">
        <v>1076</v>
      </c>
      <c r="J4354" s="315" t="str">
        <f t="shared" si="356"/>
        <v>F&amp;IFinance Income per vehicle retailed</v>
      </c>
      <c r="K4354" s="315" t="str">
        <f t="shared" si="357"/>
        <v>360Finance income - New Toyota</v>
      </c>
      <c r="L4354" s="311">
        <f>+SUMIF('TUNZ Extracted TB'!M:M,$P4354,'TUNZ Extracted TB'!G:G)</f>
        <v>0</v>
      </c>
      <c r="M4354" s="311"/>
      <c r="N4354" s="311">
        <f>+SUMIF('Input Sheet'!$AE:$AE,P4354,'Input Sheet'!$X:$X)</f>
        <v>0</v>
      </c>
      <c r="O4354" s="311"/>
      <c r="P4354" t="str">
        <f t="shared" si="358"/>
        <v>360-3165R</v>
      </c>
      <c r="Q4354" s="315" t="str">
        <f t="shared" si="359"/>
        <v>F&amp;I</v>
      </c>
      <c r="R4354" s="315" t="str">
        <f t="shared" si="360"/>
        <v>F&amp;IFinance Income per vehicle retailed</v>
      </c>
      <c r="S4354" s="199"/>
      <c r="T4354" s="199"/>
      <c r="U4354" s="199"/>
    </row>
    <row r="4355" spans="1:21" x14ac:dyDescent="0.25">
      <c r="A4355" t="s">
        <v>996</v>
      </c>
      <c r="B4355" t="s">
        <v>997</v>
      </c>
      <c r="C4355" t="s">
        <v>997</v>
      </c>
      <c r="D4355" t="s">
        <v>95</v>
      </c>
      <c r="E4355">
        <v>160</v>
      </c>
      <c r="F4355" t="s">
        <v>1519</v>
      </c>
      <c r="G4355" t="s">
        <v>1520</v>
      </c>
      <c r="H4355" s="315" t="s">
        <v>16</v>
      </c>
      <c r="I4355" s="315" t="s">
        <v>1076</v>
      </c>
      <c r="J4355" s="315" t="str">
        <f t="shared" ref="J4355:J4418" si="361">+H4355&amp;I4355</f>
        <v>F&amp;IFinance Income per vehicle retailed</v>
      </c>
      <c r="K4355" s="315" t="str">
        <f t="shared" ref="K4355:K4418" si="362">+E4355&amp;G4355</f>
        <v>160Finance income - New Toyota</v>
      </c>
      <c r="L4355" s="311">
        <f>+SUMIF('TUNZ Extracted TB'!M:M,$P4355,'TUNZ Extracted TB'!G:G)</f>
        <v>-33300.339999999997</v>
      </c>
      <c r="M4355" s="311"/>
      <c r="N4355" s="311">
        <f>+SUMIF('Input Sheet'!$AE:$AE,P4355,'Input Sheet'!$X:$X)</f>
        <v>-82747.5</v>
      </c>
      <c r="O4355" s="311"/>
      <c r="P4355" t="str">
        <f t="shared" ref="P4355:P4418" si="363">+E4355&amp;"-"&amp;D4355</f>
        <v>160-3165R</v>
      </c>
      <c r="Q4355" s="315" t="str">
        <f t="shared" ref="Q4355:Q4418" si="364">H4355</f>
        <v>F&amp;I</v>
      </c>
      <c r="R4355" s="315" t="str">
        <f t="shared" ref="R4355:R4418" si="365">J4355</f>
        <v>F&amp;IFinance Income per vehicle retailed</v>
      </c>
      <c r="S4355" s="199"/>
      <c r="T4355" s="199"/>
      <c r="U4355" s="199"/>
    </row>
    <row r="4356" spans="1:21" x14ac:dyDescent="0.25">
      <c r="A4356" t="s">
        <v>996</v>
      </c>
      <c r="B4356" t="s">
        <v>997</v>
      </c>
      <c r="C4356" t="s">
        <v>997</v>
      </c>
      <c r="D4356" t="s">
        <v>95</v>
      </c>
      <c r="E4356">
        <v>162</v>
      </c>
      <c r="F4356" t="s">
        <v>1079</v>
      </c>
      <c r="G4356" t="s">
        <v>1080</v>
      </c>
      <c r="H4356" s="315" t="s">
        <v>142</v>
      </c>
      <c r="I4356" s="315" t="s">
        <v>1076</v>
      </c>
      <c r="J4356" s="315" t="str">
        <f t="shared" si="361"/>
        <v>LEX F&amp;IFinance Income per vehicle retailed</v>
      </c>
      <c r="K4356" s="315" t="str">
        <f t="shared" si="362"/>
        <v>162Finance income - New Lexus</v>
      </c>
      <c r="L4356" s="311">
        <f>+SUMIF('TUNZ Extracted TB'!M:M,$P4356,'TUNZ Extracted TB'!G:G)</f>
        <v>-22329.34</v>
      </c>
      <c r="M4356" s="311"/>
      <c r="N4356" s="311">
        <f>+SUMIF('Input Sheet'!$AE:$AE,P4356,'Input Sheet'!$X:$X)</f>
        <v>-17000</v>
      </c>
      <c r="O4356" s="311"/>
      <c r="P4356" t="str">
        <f t="shared" si="363"/>
        <v>162-3165R</v>
      </c>
      <c r="Q4356" s="315" t="str">
        <f t="shared" si="364"/>
        <v>LEX F&amp;I</v>
      </c>
      <c r="R4356" s="315" t="str">
        <f t="shared" si="365"/>
        <v>LEX F&amp;IFinance Income per vehicle retailed</v>
      </c>
      <c r="S4356" s="199"/>
      <c r="T4356" s="199"/>
      <c r="U4356" s="199"/>
    </row>
    <row r="4357" spans="1:21" x14ac:dyDescent="0.25">
      <c r="A4357" t="s">
        <v>996</v>
      </c>
      <c r="B4357" t="s">
        <v>997</v>
      </c>
      <c r="C4357" t="s">
        <v>1005</v>
      </c>
      <c r="D4357" t="s">
        <v>95</v>
      </c>
      <c r="E4357">
        <v>260</v>
      </c>
      <c r="F4357" t="s">
        <v>1519</v>
      </c>
      <c r="G4357" t="s">
        <v>1520</v>
      </c>
      <c r="H4357" s="315" t="s">
        <v>16</v>
      </c>
      <c r="I4357" s="315" t="s">
        <v>1076</v>
      </c>
      <c r="J4357" s="315" t="str">
        <f t="shared" si="361"/>
        <v>F&amp;IFinance Income per vehicle retailed</v>
      </c>
      <c r="K4357" s="315" t="str">
        <f t="shared" si="362"/>
        <v>260Finance income - New Toyota</v>
      </c>
      <c r="L4357" s="311">
        <f>+SUMIF('TUNZ Extracted TB'!M:M,$P4357,'TUNZ Extracted TB'!G:G)</f>
        <v>-33723.870000000003</v>
      </c>
      <c r="M4357" s="311"/>
      <c r="N4357" s="311">
        <f>+SUMIF('Input Sheet'!$AE:$AE,P4357,'Input Sheet'!$X:$X)</f>
        <v>-62601.366666666669</v>
      </c>
      <c r="O4357" s="311"/>
      <c r="P4357" t="str">
        <f t="shared" si="363"/>
        <v>260-3165R</v>
      </c>
      <c r="Q4357" s="315" t="str">
        <f t="shared" si="364"/>
        <v>F&amp;I</v>
      </c>
      <c r="R4357" s="315" t="str">
        <f t="shared" si="365"/>
        <v>F&amp;IFinance Income per vehicle retailed</v>
      </c>
      <c r="S4357" s="199"/>
      <c r="T4357" s="199"/>
      <c r="U4357" s="199"/>
    </row>
    <row r="4358" spans="1:21" x14ac:dyDescent="0.25">
      <c r="A4358" t="s">
        <v>996</v>
      </c>
      <c r="B4358" t="s">
        <v>997</v>
      </c>
      <c r="C4358" t="s">
        <v>997</v>
      </c>
      <c r="D4358" t="s">
        <v>1521</v>
      </c>
      <c r="E4358">
        <v>162</v>
      </c>
      <c r="F4358" t="s">
        <v>1079</v>
      </c>
      <c r="G4358" t="s">
        <v>1080</v>
      </c>
      <c r="H4358" s="315" t="s">
        <v>142</v>
      </c>
      <c r="I4358" s="315" t="s">
        <v>1076</v>
      </c>
      <c r="J4358" s="315" t="str">
        <f t="shared" si="361"/>
        <v>LEX F&amp;IFinance Income per vehicle retailed</v>
      </c>
      <c r="K4358" s="315" t="str">
        <f t="shared" si="362"/>
        <v>162Finance income - New Lexus</v>
      </c>
      <c r="L4358" s="311">
        <f>+SUMIF('TUNZ Extracted TB'!M:M,$P4358,'TUNZ Extracted TB'!G:G)</f>
        <v>0</v>
      </c>
      <c r="M4358" s="311"/>
      <c r="N4358" s="311">
        <f>+SUMIF('Input Sheet'!$AE:$AE,P4358,'Input Sheet'!$X:$X)</f>
        <v>0</v>
      </c>
      <c r="O4358" s="311"/>
      <c r="P4358" t="str">
        <f t="shared" si="363"/>
        <v>162-3170R</v>
      </c>
      <c r="Q4358" s="315" t="str">
        <f t="shared" si="364"/>
        <v>LEX F&amp;I</v>
      </c>
      <c r="R4358" s="315" t="str">
        <f t="shared" si="365"/>
        <v>LEX F&amp;IFinance Income per vehicle retailed</v>
      </c>
      <c r="S4358" s="199"/>
      <c r="T4358" s="199"/>
      <c r="U4358" s="199"/>
    </row>
    <row r="4359" spans="1:21" x14ac:dyDescent="0.25">
      <c r="A4359" t="s">
        <v>996</v>
      </c>
      <c r="B4359" t="s">
        <v>997</v>
      </c>
      <c r="C4359" t="s">
        <v>1005</v>
      </c>
      <c r="D4359" t="s">
        <v>1521</v>
      </c>
      <c r="E4359">
        <v>260</v>
      </c>
      <c r="F4359" t="s">
        <v>1519</v>
      </c>
      <c r="G4359" t="s">
        <v>1520</v>
      </c>
      <c r="H4359" s="315" t="s">
        <v>16</v>
      </c>
      <c r="I4359" s="315" t="s">
        <v>1076</v>
      </c>
      <c r="J4359" s="315" t="str">
        <f t="shared" si="361"/>
        <v>F&amp;IFinance Income per vehicle retailed</v>
      </c>
      <c r="K4359" s="315" t="str">
        <f t="shared" si="362"/>
        <v>260Finance income - New Toyota</v>
      </c>
      <c r="L4359" s="311">
        <f>+SUMIF('TUNZ Extracted TB'!M:M,$P4359,'TUNZ Extracted TB'!G:G)</f>
        <v>0</v>
      </c>
      <c r="M4359" s="311"/>
      <c r="N4359" s="311">
        <f>+SUMIF('Input Sheet'!$AE:$AE,P4359,'Input Sheet'!$X:$X)</f>
        <v>0</v>
      </c>
      <c r="O4359" s="311"/>
      <c r="P4359" t="str">
        <f t="shared" si="363"/>
        <v>260-3170R</v>
      </c>
      <c r="Q4359" s="315" t="str">
        <f t="shared" si="364"/>
        <v>F&amp;I</v>
      </c>
      <c r="R4359" s="315" t="str">
        <f t="shared" si="365"/>
        <v>F&amp;IFinance Income per vehicle retailed</v>
      </c>
      <c r="S4359" s="199"/>
      <c r="T4359" s="199"/>
      <c r="U4359" s="199"/>
    </row>
    <row r="4360" spans="1:21" x14ac:dyDescent="0.25">
      <c r="A4360" t="s">
        <v>996</v>
      </c>
      <c r="B4360" t="s">
        <v>997</v>
      </c>
      <c r="C4360" t="s">
        <v>1012</v>
      </c>
      <c r="D4360" t="s">
        <v>1521</v>
      </c>
      <c r="E4360">
        <v>460</v>
      </c>
      <c r="F4360" t="s">
        <v>1519</v>
      </c>
      <c r="G4360" t="s">
        <v>1520</v>
      </c>
      <c r="H4360" s="315" t="s">
        <v>16</v>
      </c>
      <c r="I4360" s="315" t="s">
        <v>1076</v>
      </c>
      <c r="J4360" s="315" t="str">
        <f t="shared" si="361"/>
        <v>F&amp;IFinance Income per vehicle retailed</v>
      </c>
      <c r="K4360" s="315" t="str">
        <f t="shared" si="362"/>
        <v>460Finance income - New Toyota</v>
      </c>
      <c r="L4360" s="311">
        <f>+SUMIF('TUNZ Extracted TB'!M:M,$P4360,'TUNZ Extracted TB'!G:G)</f>
        <v>0</v>
      </c>
      <c r="M4360" s="311"/>
      <c r="N4360" s="311">
        <f>+SUMIF('Input Sheet'!$AE:$AE,P4360,'Input Sheet'!$X:$X)</f>
        <v>0</v>
      </c>
      <c r="O4360" s="311"/>
      <c r="P4360" t="str">
        <f t="shared" si="363"/>
        <v>460-3170R</v>
      </c>
      <c r="Q4360" s="315" t="str">
        <f t="shared" si="364"/>
        <v>F&amp;I</v>
      </c>
      <c r="R4360" s="315" t="str">
        <f t="shared" si="365"/>
        <v>F&amp;IFinance Income per vehicle retailed</v>
      </c>
      <c r="S4360" s="199"/>
      <c r="T4360" s="199"/>
      <c r="U4360" s="199"/>
    </row>
    <row r="4361" spans="1:21" x14ac:dyDescent="0.25">
      <c r="A4361" t="s">
        <v>996</v>
      </c>
      <c r="B4361" t="s">
        <v>997</v>
      </c>
      <c r="C4361" t="s">
        <v>1013</v>
      </c>
      <c r="D4361" t="s">
        <v>1521</v>
      </c>
      <c r="E4361">
        <v>360</v>
      </c>
      <c r="F4361" t="s">
        <v>1519</v>
      </c>
      <c r="G4361" t="s">
        <v>1520</v>
      </c>
      <c r="H4361" s="315" t="s">
        <v>16</v>
      </c>
      <c r="I4361" s="315" t="s">
        <v>1076</v>
      </c>
      <c r="J4361" s="315" t="str">
        <f t="shared" si="361"/>
        <v>F&amp;IFinance Income per vehicle retailed</v>
      </c>
      <c r="K4361" s="315" t="str">
        <f t="shared" si="362"/>
        <v>360Finance income - New Toyota</v>
      </c>
      <c r="L4361" s="311">
        <f>+SUMIF('TUNZ Extracted TB'!M:M,$P4361,'TUNZ Extracted TB'!G:G)</f>
        <v>0</v>
      </c>
      <c r="M4361" s="311"/>
      <c r="N4361" s="311">
        <f>+SUMIF('Input Sheet'!$AE:$AE,P4361,'Input Sheet'!$X:$X)</f>
        <v>0</v>
      </c>
      <c r="O4361" s="311"/>
      <c r="P4361" t="str">
        <f t="shared" si="363"/>
        <v>360-3170R</v>
      </c>
      <c r="Q4361" s="315" t="str">
        <f t="shared" si="364"/>
        <v>F&amp;I</v>
      </c>
      <c r="R4361" s="315" t="str">
        <f t="shared" si="365"/>
        <v>F&amp;IFinance Income per vehicle retailed</v>
      </c>
      <c r="S4361" s="199"/>
      <c r="T4361" s="199"/>
      <c r="U4361" s="199"/>
    </row>
    <row r="4362" spans="1:21" x14ac:dyDescent="0.25">
      <c r="A4362" t="s">
        <v>996</v>
      </c>
      <c r="B4362" t="s">
        <v>997</v>
      </c>
      <c r="C4362" t="s">
        <v>997</v>
      </c>
      <c r="D4362" t="s">
        <v>1521</v>
      </c>
      <c r="E4362">
        <v>160</v>
      </c>
      <c r="F4362" t="s">
        <v>1519</v>
      </c>
      <c r="G4362" t="s">
        <v>1520</v>
      </c>
      <c r="H4362" s="315" t="s">
        <v>16</v>
      </c>
      <c r="I4362" s="315" t="s">
        <v>1076</v>
      </c>
      <c r="J4362" s="315" t="str">
        <f t="shared" si="361"/>
        <v>F&amp;IFinance Income per vehicle retailed</v>
      </c>
      <c r="K4362" s="315" t="str">
        <f t="shared" si="362"/>
        <v>160Finance income - New Toyota</v>
      </c>
      <c r="L4362" s="311">
        <f>+SUMIF('TUNZ Extracted TB'!M:M,$P4362,'TUNZ Extracted TB'!G:G)</f>
        <v>0</v>
      </c>
      <c r="M4362" s="311"/>
      <c r="N4362" s="311">
        <f>+SUMIF('Input Sheet'!$AE:$AE,P4362,'Input Sheet'!$X:$X)</f>
        <v>0</v>
      </c>
      <c r="O4362" s="311"/>
      <c r="P4362" t="str">
        <f t="shared" si="363"/>
        <v>160-3170R</v>
      </c>
      <c r="Q4362" s="315" t="str">
        <f t="shared" si="364"/>
        <v>F&amp;I</v>
      </c>
      <c r="R4362" s="315" t="str">
        <f t="shared" si="365"/>
        <v>F&amp;IFinance Income per vehicle retailed</v>
      </c>
      <c r="S4362" s="199"/>
      <c r="T4362" s="199"/>
      <c r="U4362" s="199"/>
    </row>
    <row r="4363" spans="1:21" x14ac:dyDescent="0.25">
      <c r="A4363" t="s">
        <v>996</v>
      </c>
      <c r="B4363" t="s">
        <v>997</v>
      </c>
      <c r="C4363" t="s">
        <v>1012</v>
      </c>
      <c r="D4363" t="s">
        <v>663</v>
      </c>
      <c r="E4363">
        <v>460</v>
      </c>
      <c r="F4363" t="s">
        <v>1086</v>
      </c>
      <c r="G4363" t="s">
        <v>1087</v>
      </c>
      <c r="H4363" s="315" t="s">
        <v>16</v>
      </c>
      <c r="I4363" s="315" t="s">
        <v>1083</v>
      </c>
      <c r="J4363" s="315" t="str">
        <f t="shared" si="361"/>
        <v>F&amp;IInsurance Income per vehicle retailed</v>
      </c>
      <c r="K4363" s="315" t="str">
        <f t="shared" si="362"/>
        <v>460Insurance income - New Toyota</v>
      </c>
      <c r="L4363" s="311">
        <f>+SUMIF('TUNZ Extracted TB'!M:M,$P4363,'TUNZ Extracted TB'!G:G)</f>
        <v>0</v>
      </c>
      <c r="M4363" s="311"/>
      <c r="N4363" s="311">
        <f>+SUMIF('Input Sheet'!$AE:$AE,P4363,'Input Sheet'!$X:$X)</f>
        <v>0</v>
      </c>
      <c r="O4363" s="311"/>
      <c r="P4363" t="str">
        <f t="shared" si="363"/>
        <v>460-3175R</v>
      </c>
      <c r="Q4363" s="315" t="str">
        <f t="shared" si="364"/>
        <v>F&amp;I</v>
      </c>
      <c r="R4363" s="315" t="str">
        <f t="shared" si="365"/>
        <v>F&amp;IInsurance Income per vehicle retailed</v>
      </c>
      <c r="S4363" s="199"/>
      <c r="T4363" s="199"/>
      <c r="U4363" s="199"/>
    </row>
    <row r="4364" spans="1:21" x14ac:dyDescent="0.25">
      <c r="A4364" t="s">
        <v>996</v>
      </c>
      <c r="B4364" t="s">
        <v>997</v>
      </c>
      <c r="C4364" t="s">
        <v>1013</v>
      </c>
      <c r="D4364" t="s">
        <v>663</v>
      </c>
      <c r="E4364">
        <v>360</v>
      </c>
      <c r="F4364" t="s">
        <v>1086</v>
      </c>
      <c r="G4364" t="s">
        <v>1087</v>
      </c>
      <c r="H4364" s="315" t="s">
        <v>16</v>
      </c>
      <c r="I4364" s="315" t="s">
        <v>1083</v>
      </c>
      <c r="J4364" s="315" t="str">
        <f t="shared" si="361"/>
        <v>F&amp;IInsurance Income per vehicle retailed</v>
      </c>
      <c r="K4364" s="315" t="str">
        <f t="shared" si="362"/>
        <v>360Insurance income - New Toyota</v>
      </c>
      <c r="L4364" s="311">
        <f>+SUMIF('TUNZ Extracted TB'!M:M,$P4364,'TUNZ Extracted TB'!G:G)</f>
        <v>0</v>
      </c>
      <c r="M4364" s="311"/>
      <c r="N4364" s="311">
        <f>+SUMIF('Input Sheet'!$AE:$AE,P4364,'Input Sheet'!$X:$X)</f>
        <v>0</v>
      </c>
      <c r="O4364" s="311"/>
      <c r="P4364" t="str">
        <f t="shared" si="363"/>
        <v>360-3175R</v>
      </c>
      <c r="Q4364" s="315" t="str">
        <f t="shared" si="364"/>
        <v>F&amp;I</v>
      </c>
      <c r="R4364" s="315" t="str">
        <f t="shared" si="365"/>
        <v>F&amp;IInsurance Income per vehicle retailed</v>
      </c>
      <c r="S4364" s="199"/>
      <c r="T4364" s="199"/>
      <c r="U4364" s="199"/>
    </row>
    <row r="4365" spans="1:21" x14ac:dyDescent="0.25">
      <c r="A4365" t="s">
        <v>996</v>
      </c>
      <c r="B4365" t="s">
        <v>997</v>
      </c>
      <c r="C4365" t="s">
        <v>997</v>
      </c>
      <c r="D4365" t="s">
        <v>663</v>
      </c>
      <c r="E4365">
        <v>170</v>
      </c>
      <c r="F4365" t="s">
        <v>1086</v>
      </c>
      <c r="G4365" t="s">
        <v>1087</v>
      </c>
      <c r="H4365" s="315" t="s">
        <v>16</v>
      </c>
      <c r="I4365" s="315" t="s">
        <v>1083</v>
      </c>
      <c r="J4365" s="315" t="str">
        <f t="shared" si="361"/>
        <v>F&amp;IInsurance Income per vehicle retailed</v>
      </c>
      <c r="K4365" s="315" t="str">
        <f t="shared" si="362"/>
        <v>170Insurance income - New Toyota</v>
      </c>
      <c r="L4365" s="311">
        <f>+SUMIF('TUNZ Extracted TB'!M:M,$P4365,'TUNZ Extracted TB'!G:G)</f>
        <v>0</v>
      </c>
      <c r="M4365" s="311"/>
      <c r="N4365" s="311">
        <f>+SUMIF('Input Sheet'!$AE:$AE,P4365,'Input Sheet'!$X:$X)</f>
        <v>0</v>
      </c>
      <c r="O4365" s="311"/>
      <c r="P4365" t="str">
        <f t="shared" si="363"/>
        <v>170-3175R</v>
      </c>
      <c r="Q4365" s="315" t="str">
        <f t="shared" si="364"/>
        <v>F&amp;I</v>
      </c>
      <c r="R4365" s="315" t="str">
        <f t="shared" si="365"/>
        <v>F&amp;IInsurance Income per vehicle retailed</v>
      </c>
      <c r="S4365" s="199"/>
      <c r="T4365" s="199"/>
      <c r="U4365" s="199"/>
    </row>
    <row r="4366" spans="1:21" x14ac:dyDescent="0.25">
      <c r="A4366" t="s">
        <v>996</v>
      </c>
      <c r="B4366" t="s">
        <v>997</v>
      </c>
      <c r="C4366" t="s">
        <v>997</v>
      </c>
      <c r="D4366" t="s">
        <v>663</v>
      </c>
      <c r="E4366">
        <v>162</v>
      </c>
      <c r="F4366" t="s">
        <v>1522</v>
      </c>
      <c r="G4366" t="s">
        <v>1523</v>
      </c>
      <c r="H4366" s="315" t="s">
        <v>142</v>
      </c>
      <c r="I4366" s="315" t="s">
        <v>1083</v>
      </c>
      <c r="J4366" s="315" t="str">
        <f t="shared" si="361"/>
        <v>LEX F&amp;IInsurance Income per vehicle retailed</v>
      </c>
      <c r="K4366" s="315" t="str">
        <f t="shared" si="362"/>
        <v>162Insurance income - New Lexus</v>
      </c>
      <c r="L4366" s="311">
        <f>+SUMIF('TUNZ Extracted TB'!M:M,$P4366,'TUNZ Extracted TB'!G:G)</f>
        <v>-857.5</v>
      </c>
      <c r="M4366" s="311"/>
      <c r="N4366" s="311">
        <f>+SUMIF('Input Sheet'!$AE:$AE,P4366,'Input Sheet'!$X:$X)</f>
        <v>0</v>
      </c>
      <c r="O4366" s="311"/>
      <c r="P4366" t="str">
        <f t="shared" si="363"/>
        <v>162-3175R</v>
      </c>
      <c r="Q4366" s="315" t="str">
        <f t="shared" si="364"/>
        <v>LEX F&amp;I</v>
      </c>
      <c r="R4366" s="315" t="str">
        <f t="shared" si="365"/>
        <v>LEX F&amp;IInsurance Income per vehicle retailed</v>
      </c>
      <c r="S4366" s="199"/>
      <c r="T4366" s="199"/>
      <c r="U4366" s="199"/>
    </row>
    <row r="4367" spans="1:21" x14ac:dyDescent="0.25">
      <c r="A4367" t="s">
        <v>996</v>
      </c>
      <c r="B4367" t="s">
        <v>997</v>
      </c>
      <c r="C4367" t="s">
        <v>1005</v>
      </c>
      <c r="D4367" t="s">
        <v>663</v>
      </c>
      <c r="E4367">
        <v>260</v>
      </c>
      <c r="F4367" t="s">
        <v>1086</v>
      </c>
      <c r="G4367" t="s">
        <v>1087</v>
      </c>
      <c r="H4367" s="315" t="s">
        <v>16</v>
      </c>
      <c r="I4367" s="315" t="s">
        <v>1083</v>
      </c>
      <c r="J4367" s="315" t="str">
        <f t="shared" si="361"/>
        <v>F&amp;IInsurance Income per vehicle retailed</v>
      </c>
      <c r="K4367" s="315" t="str">
        <f t="shared" si="362"/>
        <v>260Insurance income - New Toyota</v>
      </c>
      <c r="L4367" s="311">
        <f>+SUMIF('TUNZ Extracted TB'!M:M,$P4367,'TUNZ Extracted TB'!G:G)</f>
        <v>-1625.37</v>
      </c>
      <c r="M4367" s="311"/>
      <c r="N4367" s="311">
        <f>+SUMIF('Input Sheet'!$AE:$AE,P4367,'Input Sheet'!$X:$X)</f>
        <v>0</v>
      </c>
      <c r="O4367" s="311"/>
      <c r="P4367" t="str">
        <f t="shared" si="363"/>
        <v>260-3175R</v>
      </c>
      <c r="Q4367" s="315" t="str">
        <f t="shared" si="364"/>
        <v>F&amp;I</v>
      </c>
      <c r="R4367" s="315" t="str">
        <f t="shared" si="365"/>
        <v>F&amp;IInsurance Income per vehicle retailed</v>
      </c>
      <c r="S4367" s="199"/>
      <c r="T4367" s="199"/>
      <c r="U4367" s="199"/>
    </row>
    <row r="4368" spans="1:21" x14ac:dyDescent="0.25">
      <c r="A4368" t="s">
        <v>996</v>
      </c>
      <c r="B4368" t="s">
        <v>997</v>
      </c>
      <c r="C4368" t="s">
        <v>997</v>
      </c>
      <c r="D4368" t="s">
        <v>663</v>
      </c>
      <c r="E4368">
        <v>160</v>
      </c>
      <c r="F4368" t="s">
        <v>1086</v>
      </c>
      <c r="G4368" t="s">
        <v>1087</v>
      </c>
      <c r="H4368" s="315" t="s">
        <v>16</v>
      </c>
      <c r="I4368" s="315" t="s">
        <v>1083</v>
      </c>
      <c r="J4368" s="315" t="str">
        <f t="shared" si="361"/>
        <v>F&amp;IInsurance Income per vehicle retailed</v>
      </c>
      <c r="K4368" s="315" t="str">
        <f t="shared" si="362"/>
        <v>160Insurance income - New Toyota</v>
      </c>
      <c r="L4368" s="311">
        <f>+SUMIF('TUNZ Extracted TB'!M:M,$P4368,'TUNZ Extracted TB'!G:G)</f>
        <v>-2572.5</v>
      </c>
      <c r="M4368" s="311"/>
      <c r="N4368" s="311">
        <f>+SUMIF('Input Sheet'!$AE:$AE,P4368,'Input Sheet'!$X:$X)</f>
        <v>0</v>
      </c>
      <c r="O4368" s="311"/>
      <c r="P4368" t="str">
        <f t="shared" si="363"/>
        <v>160-3175R</v>
      </c>
      <c r="Q4368" s="315" t="str">
        <f t="shared" si="364"/>
        <v>F&amp;I</v>
      </c>
      <c r="R4368" s="315" t="str">
        <f t="shared" si="365"/>
        <v>F&amp;IInsurance Income per vehicle retailed</v>
      </c>
      <c r="S4368" s="199"/>
      <c r="T4368" s="199"/>
      <c r="U4368" s="199"/>
    </row>
    <row r="4369" spans="1:21" x14ac:dyDescent="0.25">
      <c r="A4369" t="s">
        <v>996</v>
      </c>
      <c r="B4369" t="s">
        <v>997</v>
      </c>
      <c r="C4369" t="s">
        <v>997</v>
      </c>
      <c r="D4369" t="s">
        <v>1524</v>
      </c>
      <c r="E4369">
        <v>162</v>
      </c>
      <c r="F4369" t="s">
        <v>1522</v>
      </c>
      <c r="G4369" t="s">
        <v>1523</v>
      </c>
      <c r="H4369" s="315" t="s">
        <v>142</v>
      </c>
      <c r="I4369" s="315" t="s">
        <v>1083</v>
      </c>
      <c r="J4369" s="315" t="str">
        <f t="shared" si="361"/>
        <v>LEX F&amp;IInsurance Income per vehicle retailed</v>
      </c>
      <c r="K4369" s="315" t="str">
        <f t="shared" si="362"/>
        <v>162Insurance income - New Lexus</v>
      </c>
      <c r="L4369" s="311">
        <f>+SUMIF('TUNZ Extracted TB'!M:M,$P4369,'TUNZ Extracted TB'!G:G)</f>
        <v>0</v>
      </c>
      <c r="M4369" s="311"/>
      <c r="N4369" s="311">
        <f>+SUMIF('Input Sheet'!$AE:$AE,P4369,'Input Sheet'!$X:$X)</f>
        <v>0</v>
      </c>
      <c r="O4369" s="311"/>
      <c r="P4369" t="str">
        <f t="shared" si="363"/>
        <v>162-3176R</v>
      </c>
      <c r="Q4369" s="315" t="str">
        <f t="shared" si="364"/>
        <v>LEX F&amp;I</v>
      </c>
      <c r="R4369" s="315" t="str">
        <f t="shared" si="365"/>
        <v>LEX F&amp;IInsurance Income per vehicle retailed</v>
      </c>
      <c r="S4369" s="199"/>
      <c r="T4369" s="199"/>
      <c r="U4369" s="199"/>
    </row>
    <row r="4370" spans="1:21" x14ac:dyDescent="0.25">
      <c r="A4370" t="s">
        <v>996</v>
      </c>
      <c r="B4370" t="s">
        <v>997</v>
      </c>
      <c r="C4370" t="s">
        <v>1005</v>
      </c>
      <c r="D4370" t="s">
        <v>1524</v>
      </c>
      <c r="E4370">
        <v>260</v>
      </c>
      <c r="F4370" t="s">
        <v>1086</v>
      </c>
      <c r="G4370" t="s">
        <v>1087</v>
      </c>
      <c r="H4370" s="315" t="s">
        <v>16</v>
      </c>
      <c r="I4370" s="315" t="s">
        <v>1083</v>
      </c>
      <c r="J4370" s="315" t="str">
        <f t="shared" si="361"/>
        <v>F&amp;IInsurance Income per vehicle retailed</v>
      </c>
      <c r="K4370" s="315" t="str">
        <f t="shared" si="362"/>
        <v>260Insurance income - New Toyota</v>
      </c>
      <c r="L4370" s="311">
        <f>+SUMIF('TUNZ Extracted TB'!M:M,$P4370,'TUNZ Extracted TB'!G:G)</f>
        <v>0</v>
      </c>
      <c r="M4370" s="311"/>
      <c r="N4370" s="311">
        <f>+SUMIF('Input Sheet'!$AE:$AE,P4370,'Input Sheet'!$X:$X)</f>
        <v>0</v>
      </c>
      <c r="O4370" s="311"/>
      <c r="P4370" t="str">
        <f t="shared" si="363"/>
        <v>260-3176R</v>
      </c>
      <c r="Q4370" s="315" t="str">
        <f t="shared" si="364"/>
        <v>F&amp;I</v>
      </c>
      <c r="R4370" s="315" t="str">
        <f t="shared" si="365"/>
        <v>F&amp;IInsurance Income per vehicle retailed</v>
      </c>
      <c r="S4370" s="199"/>
      <c r="T4370" s="199"/>
      <c r="U4370" s="199"/>
    </row>
    <row r="4371" spans="1:21" x14ac:dyDescent="0.25">
      <c r="A4371" t="s">
        <v>996</v>
      </c>
      <c r="B4371" t="s">
        <v>997</v>
      </c>
      <c r="C4371" t="s">
        <v>1012</v>
      </c>
      <c r="D4371" t="s">
        <v>1524</v>
      </c>
      <c r="E4371">
        <v>460</v>
      </c>
      <c r="F4371" t="s">
        <v>1086</v>
      </c>
      <c r="G4371" t="s">
        <v>1087</v>
      </c>
      <c r="H4371" s="315" t="s">
        <v>16</v>
      </c>
      <c r="I4371" s="315" t="s">
        <v>1083</v>
      </c>
      <c r="J4371" s="315" t="str">
        <f t="shared" si="361"/>
        <v>F&amp;IInsurance Income per vehicle retailed</v>
      </c>
      <c r="K4371" s="315" t="str">
        <f t="shared" si="362"/>
        <v>460Insurance income - New Toyota</v>
      </c>
      <c r="L4371" s="311">
        <f>+SUMIF('TUNZ Extracted TB'!M:M,$P4371,'TUNZ Extracted TB'!G:G)</f>
        <v>0</v>
      </c>
      <c r="M4371" s="311"/>
      <c r="N4371" s="311">
        <f>+SUMIF('Input Sheet'!$AE:$AE,P4371,'Input Sheet'!$X:$X)</f>
        <v>0</v>
      </c>
      <c r="O4371" s="311"/>
      <c r="P4371" t="str">
        <f t="shared" si="363"/>
        <v>460-3176R</v>
      </c>
      <c r="Q4371" s="315" t="str">
        <f t="shared" si="364"/>
        <v>F&amp;I</v>
      </c>
      <c r="R4371" s="315" t="str">
        <f t="shared" si="365"/>
        <v>F&amp;IInsurance Income per vehicle retailed</v>
      </c>
      <c r="S4371" s="199"/>
      <c r="T4371" s="199"/>
      <c r="U4371" s="199"/>
    </row>
    <row r="4372" spans="1:21" x14ac:dyDescent="0.25">
      <c r="A4372" t="s">
        <v>996</v>
      </c>
      <c r="B4372" t="s">
        <v>997</v>
      </c>
      <c r="C4372" t="s">
        <v>1013</v>
      </c>
      <c r="D4372" t="s">
        <v>1524</v>
      </c>
      <c r="E4372">
        <v>360</v>
      </c>
      <c r="F4372" t="s">
        <v>1086</v>
      </c>
      <c r="G4372" t="s">
        <v>1087</v>
      </c>
      <c r="H4372" s="315" t="s">
        <v>16</v>
      </c>
      <c r="I4372" s="315" t="s">
        <v>1083</v>
      </c>
      <c r="J4372" s="315" t="str">
        <f t="shared" si="361"/>
        <v>F&amp;IInsurance Income per vehicle retailed</v>
      </c>
      <c r="K4372" s="315" t="str">
        <f t="shared" si="362"/>
        <v>360Insurance income - New Toyota</v>
      </c>
      <c r="L4372" s="311">
        <f>+SUMIF('TUNZ Extracted TB'!M:M,$P4372,'TUNZ Extracted TB'!G:G)</f>
        <v>0</v>
      </c>
      <c r="M4372" s="311"/>
      <c r="N4372" s="311">
        <f>+SUMIF('Input Sheet'!$AE:$AE,P4372,'Input Sheet'!$X:$X)</f>
        <v>0</v>
      </c>
      <c r="O4372" s="311"/>
      <c r="P4372" t="str">
        <f t="shared" si="363"/>
        <v>360-3176R</v>
      </c>
      <c r="Q4372" s="315" t="str">
        <f t="shared" si="364"/>
        <v>F&amp;I</v>
      </c>
      <c r="R4372" s="315" t="str">
        <f t="shared" si="365"/>
        <v>F&amp;IInsurance Income per vehicle retailed</v>
      </c>
      <c r="S4372" s="199"/>
      <c r="T4372" s="199"/>
      <c r="U4372" s="199"/>
    </row>
    <row r="4373" spans="1:21" x14ac:dyDescent="0.25">
      <c r="A4373" t="s">
        <v>996</v>
      </c>
      <c r="B4373" t="s">
        <v>997</v>
      </c>
      <c r="C4373" t="s">
        <v>997</v>
      </c>
      <c r="D4373" t="s">
        <v>1524</v>
      </c>
      <c r="E4373">
        <v>160</v>
      </c>
      <c r="F4373" t="s">
        <v>1086</v>
      </c>
      <c r="G4373" t="s">
        <v>1087</v>
      </c>
      <c r="H4373" s="315" t="s">
        <v>16</v>
      </c>
      <c r="I4373" s="315" t="s">
        <v>1083</v>
      </c>
      <c r="J4373" s="315" t="str">
        <f t="shared" si="361"/>
        <v>F&amp;IInsurance Income per vehicle retailed</v>
      </c>
      <c r="K4373" s="315" t="str">
        <f t="shared" si="362"/>
        <v>160Insurance income - New Toyota</v>
      </c>
      <c r="L4373" s="311">
        <f>+SUMIF('TUNZ Extracted TB'!M:M,$P4373,'TUNZ Extracted TB'!G:G)</f>
        <v>0</v>
      </c>
      <c r="M4373" s="311"/>
      <c r="N4373" s="311">
        <f>+SUMIF('Input Sheet'!$AE:$AE,P4373,'Input Sheet'!$X:$X)</f>
        <v>0</v>
      </c>
      <c r="O4373" s="311"/>
      <c r="P4373" t="str">
        <f t="shared" si="363"/>
        <v>160-3176R</v>
      </c>
      <c r="Q4373" s="315" t="str">
        <f t="shared" si="364"/>
        <v>F&amp;I</v>
      </c>
      <c r="R4373" s="315" t="str">
        <f t="shared" si="365"/>
        <v>F&amp;IInsurance Income per vehicle retailed</v>
      </c>
      <c r="S4373" s="199"/>
      <c r="T4373" s="199"/>
      <c r="U4373" s="199"/>
    </row>
    <row r="4374" spans="1:21" x14ac:dyDescent="0.25">
      <c r="A4374" t="s">
        <v>996</v>
      </c>
      <c r="B4374" t="s">
        <v>997</v>
      </c>
      <c r="C4374" t="s">
        <v>997</v>
      </c>
      <c r="D4374" t="s">
        <v>1524</v>
      </c>
      <c r="E4374">
        <v>170</v>
      </c>
      <c r="F4374" t="s">
        <v>1086</v>
      </c>
      <c r="G4374" t="s">
        <v>1087</v>
      </c>
      <c r="H4374" s="315" t="s">
        <v>16</v>
      </c>
      <c r="I4374" s="315" t="s">
        <v>1083</v>
      </c>
      <c r="J4374" s="315" t="str">
        <f t="shared" si="361"/>
        <v>F&amp;IInsurance Income per vehicle retailed</v>
      </c>
      <c r="K4374" s="315" t="str">
        <f t="shared" si="362"/>
        <v>170Insurance income - New Toyota</v>
      </c>
      <c r="L4374" s="311">
        <f>+SUMIF('TUNZ Extracted TB'!M:M,$P4374,'TUNZ Extracted TB'!G:G)</f>
        <v>0</v>
      </c>
      <c r="M4374" s="311"/>
      <c r="N4374" s="311">
        <f>+SUMIF('Input Sheet'!$AE:$AE,P4374,'Input Sheet'!$X:$X)</f>
        <v>0</v>
      </c>
      <c r="O4374" s="311"/>
      <c r="P4374" t="str">
        <f t="shared" si="363"/>
        <v>170-3176R</v>
      </c>
      <c r="Q4374" s="315" t="str">
        <f t="shared" si="364"/>
        <v>F&amp;I</v>
      </c>
      <c r="R4374" s="315" t="str">
        <f t="shared" si="365"/>
        <v>F&amp;IInsurance Income per vehicle retailed</v>
      </c>
      <c r="S4374" s="199"/>
      <c r="T4374" s="199"/>
      <c r="U4374" s="199"/>
    </row>
    <row r="4375" spans="1:21" x14ac:dyDescent="0.25">
      <c r="A4375" t="s">
        <v>996</v>
      </c>
      <c r="B4375" t="s">
        <v>997</v>
      </c>
      <c r="C4375" t="s">
        <v>997</v>
      </c>
      <c r="D4375" t="s">
        <v>665</v>
      </c>
      <c r="E4375">
        <v>162</v>
      </c>
      <c r="F4375" t="s">
        <v>1091</v>
      </c>
      <c r="G4375" t="s">
        <v>1092</v>
      </c>
      <c r="H4375" s="315" t="s">
        <v>142</v>
      </c>
      <c r="I4375" s="315" t="s">
        <v>1090</v>
      </c>
      <c r="J4375" s="315" t="str">
        <f t="shared" si="361"/>
        <v>LEX F&amp;IToyota Care Income per vehicle retailed</v>
      </c>
      <c r="K4375" s="315" t="str">
        <f t="shared" si="362"/>
        <v>162Toyota Care Sales - Lexus</v>
      </c>
      <c r="L4375" s="311">
        <f>+SUMIF('TUNZ Extracted TB'!M:M,$P4375,'TUNZ Extracted TB'!G:G)</f>
        <v>-286.3</v>
      </c>
      <c r="M4375" s="311"/>
      <c r="N4375" s="311">
        <f>+SUMIF('Input Sheet'!$AE:$AE,P4375,'Input Sheet'!$X:$X)</f>
        <v>0</v>
      </c>
      <c r="O4375" s="311"/>
      <c r="P4375" t="str">
        <f t="shared" si="363"/>
        <v>162-3180R</v>
      </c>
      <c r="Q4375" s="315" t="str">
        <f t="shared" si="364"/>
        <v>LEX F&amp;I</v>
      </c>
      <c r="R4375" s="315" t="str">
        <f t="shared" si="365"/>
        <v>LEX F&amp;IToyota Care Income per vehicle retailed</v>
      </c>
      <c r="S4375" s="199"/>
      <c r="T4375" s="199"/>
      <c r="U4375" s="199"/>
    </row>
    <row r="4376" spans="1:21" x14ac:dyDescent="0.25">
      <c r="A4376" t="s">
        <v>996</v>
      </c>
      <c r="B4376" t="s">
        <v>997</v>
      </c>
      <c r="C4376" t="s">
        <v>1012</v>
      </c>
      <c r="D4376" t="s">
        <v>665</v>
      </c>
      <c r="E4376">
        <v>460</v>
      </c>
      <c r="F4376" t="s">
        <v>1088</v>
      </c>
      <c r="G4376" t="s">
        <v>1089</v>
      </c>
      <c r="H4376" s="315" t="s">
        <v>16</v>
      </c>
      <c r="I4376" s="315" t="s">
        <v>1090</v>
      </c>
      <c r="J4376" s="315" t="str">
        <f t="shared" si="361"/>
        <v>F&amp;IToyota Care Income per vehicle retailed</v>
      </c>
      <c r="K4376" s="315" t="str">
        <f t="shared" si="362"/>
        <v>460Toyota Care Sales - Toyota</v>
      </c>
      <c r="L4376" s="311">
        <f>+SUMIF('TUNZ Extracted TB'!M:M,$P4376,'TUNZ Extracted TB'!G:G)</f>
        <v>0</v>
      </c>
      <c r="M4376" s="311"/>
      <c r="N4376" s="311">
        <f>+SUMIF('Input Sheet'!$AE:$AE,P4376,'Input Sheet'!$X:$X)</f>
        <v>0</v>
      </c>
      <c r="O4376" s="311"/>
      <c r="P4376" t="str">
        <f t="shared" si="363"/>
        <v>460-3180R</v>
      </c>
      <c r="Q4376" s="315" t="str">
        <f t="shared" si="364"/>
        <v>F&amp;I</v>
      </c>
      <c r="R4376" s="315" t="str">
        <f t="shared" si="365"/>
        <v>F&amp;IToyota Care Income per vehicle retailed</v>
      </c>
      <c r="S4376" s="199"/>
      <c r="T4376" s="199"/>
      <c r="U4376" s="199"/>
    </row>
    <row r="4377" spans="1:21" x14ac:dyDescent="0.25">
      <c r="A4377" t="s">
        <v>996</v>
      </c>
      <c r="B4377" t="s">
        <v>997</v>
      </c>
      <c r="C4377" t="s">
        <v>1013</v>
      </c>
      <c r="D4377" t="s">
        <v>665</v>
      </c>
      <c r="E4377">
        <v>360</v>
      </c>
      <c r="F4377" t="s">
        <v>1088</v>
      </c>
      <c r="G4377" t="s">
        <v>1089</v>
      </c>
      <c r="H4377" s="315" t="s">
        <v>16</v>
      </c>
      <c r="I4377" s="315" t="s">
        <v>1090</v>
      </c>
      <c r="J4377" s="315" t="str">
        <f t="shared" si="361"/>
        <v>F&amp;IToyota Care Income per vehicle retailed</v>
      </c>
      <c r="K4377" s="315" t="str">
        <f t="shared" si="362"/>
        <v>360Toyota Care Sales - Toyota</v>
      </c>
      <c r="L4377" s="311">
        <f>+SUMIF('TUNZ Extracted TB'!M:M,$P4377,'TUNZ Extracted TB'!G:G)</f>
        <v>0</v>
      </c>
      <c r="M4377" s="311"/>
      <c r="N4377" s="311">
        <f>+SUMIF('Input Sheet'!$AE:$AE,P4377,'Input Sheet'!$X:$X)</f>
        <v>0</v>
      </c>
      <c r="O4377" s="311"/>
      <c r="P4377" t="str">
        <f t="shared" si="363"/>
        <v>360-3180R</v>
      </c>
      <c r="Q4377" s="315" t="str">
        <f t="shared" si="364"/>
        <v>F&amp;I</v>
      </c>
      <c r="R4377" s="315" t="str">
        <f t="shared" si="365"/>
        <v>F&amp;IToyota Care Income per vehicle retailed</v>
      </c>
      <c r="S4377" s="199"/>
      <c r="T4377" s="199"/>
      <c r="U4377" s="199"/>
    </row>
    <row r="4378" spans="1:21" x14ac:dyDescent="0.25">
      <c r="A4378" t="s">
        <v>996</v>
      </c>
      <c r="B4378" t="s">
        <v>997</v>
      </c>
      <c r="C4378" t="s">
        <v>997</v>
      </c>
      <c r="D4378" t="s">
        <v>665</v>
      </c>
      <c r="E4378">
        <v>170</v>
      </c>
      <c r="F4378" t="s">
        <v>1088</v>
      </c>
      <c r="G4378" t="s">
        <v>1089</v>
      </c>
      <c r="H4378" s="315" t="s">
        <v>16</v>
      </c>
      <c r="I4378" s="315" t="s">
        <v>1090</v>
      </c>
      <c r="J4378" s="315" t="str">
        <f t="shared" si="361"/>
        <v>F&amp;IToyota Care Income per vehicle retailed</v>
      </c>
      <c r="K4378" s="315" t="str">
        <f t="shared" si="362"/>
        <v>170Toyota Care Sales - Toyota</v>
      </c>
      <c r="L4378" s="311">
        <f>+SUMIF('TUNZ Extracted TB'!M:M,$P4378,'TUNZ Extracted TB'!G:G)</f>
        <v>0</v>
      </c>
      <c r="M4378" s="311"/>
      <c r="N4378" s="311">
        <f>+SUMIF('Input Sheet'!$AE:$AE,P4378,'Input Sheet'!$X:$X)</f>
        <v>0</v>
      </c>
      <c r="O4378" s="311"/>
      <c r="P4378" t="str">
        <f t="shared" si="363"/>
        <v>170-3180R</v>
      </c>
      <c r="Q4378" s="315" t="str">
        <f t="shared" si="364"/>
        <v>F&amp;I</v>
      </c>
      <c r="R4378" s="315" t="str">
        <f t="shared" si="365"/>
        <v>F&amp;IToyota Care Income per vehicle retailed</v>
      </c>
      <c r="S4378" s="199"/>
      <c r="T4378" s="199"/>
      <c r="U4378" s="199"/>
    </row>
    <row r="4379" spans="1:21" x14ac:dyDescent="0.25">
      <c r="A4379" t="s">
        <v>996</v>
      </c>
      <c r="B4379" t="s">
        <v>997</v>
      </c>
      <c r="C4379" t="s">
        <v>1005</v>
      </c>
      <c r="D4379" t="s">
        <v>665</v>
      </c>
      <c r="E4379">
        <v>260</v>
      </c>
      <c r="F4379" t="s">
        <v>1088</v>
      </c>
      <c r="G4379" t="s">
        <v>1089</v>
      </c>
      <c r="H4379" s="315" t="s">
        <v>16</v>
      </c>
      <c r="I4379" s="315" t="s">
        <v>1090</v>
      </c>
      <c r="J4379" s="315" t="str">
        <f t="shared" si="361"/>
        <v>F&amp;IToyota Care Income per vehicle retailed</v>
      </c>
      <c r="K4379" s="315" t="str">
        <f t="shared" si="362"/>
        <v>260Toyota Care Sales - Toyota</v>
      </c>
      <c r="L4379" s="311">
        <f>+SUMIF('TUNZ Extracted TB'!M:M,$P4379,'TUNZ Extracted TB'!G:G)</f>
        <v>-2786.96</v>
      </c>
      <c r="M4379" s="311"/>
      <c r="N4379" s="311">
        <f>+SUMIF('Input Sheet'!$AE:$AE,P4379,'Input Sheet'!$X:$X)</f>
        <v>0</v>
      </c>
      <c r="O4379" s="311"/>
      <c r="P4379" t="str">
        <f t="shared" si="363"/>
        <v>260-3180R</v>
      </c>
      <c r="Q4379" s="315" t="str">
        <f t="shared" si="364"/>
        <v>F&amp;I</v>
      </c>
      <c r="R4379" s="315" t="str">
        <f t="shared" si="365"/>
        <v>F&amp;IToyota Care Income per vehicle retailed</v>
      </c>
      <c r="S4379" s="199"/>
      <c r="T4379" s="199"/>
      <c r="U4379" s="199"/>
    </row>
    <row r="4380" spans="1:21" x14ac:dyDescent="0.25">
      <c r="A4380" t="s">
        <v>996</v>
      </c>
      <c r="B4380" t="s">
        <v>997</v>
      </c>
      <c r="C4380" t="s">
        <v>997</v>
      </c>
      <c r="D4380" t="s">
        <v>665</v>
      </c>
      <c r="E4380">
        <v>160</v>
      </c>
      <c r="F4380" t="s">
        <v>1088</v>
      </c>
      <c r="G4380" t="s">
        <v>1089</v>
      </c>
      <c r="H4380" s="315" t="s">
        <v>16</v>
      </c>
      <c r="I4380" s="315" t="s">
        <v>1090</v>
      </c>
      <c r="J4380" s="315" t="str">
        <f t="shared" si="361"/>
        <v>F&amp;IToyota Care Income per vehicle retailed</v>
      </c>
      <c r="K4380" s="315" t="str">
        <f t="shared" si="362"/>
        <v>160Toyota Care Sales - Toyota</v>
      </c>
      <c r="L4380" s="311">
        <f>+SUMIF('TUNZ Extracted TB'!M:M,$P4380,'TUNZ Extracted TB'!G:G)</f>
        <v>-10686.15</v>
      </c>
      <c r="M4380" s="311"/>
      <c r="N4380" s="311">
        <f>+SUMIF('Input Sheet'!$AE:$AE,P4380,'Input Sheet'!$X:$X)</f>
        <v>0</v>
      </c>
      <c r="O4380" s="311"/>
      <c r="P4380" t="str">
        <f t="shared" si="363"/>
        <v>160-3180R</v>
      </c>
      <c r="Q4380" s="315" t="str">
        <f t="shared" si="364"/>
        <v>F&amp;I</v>
      </c>
      <c r="R4380" s="315" t="str">
        <f t="shared" si="365"/>
        <v>F&amp;IToyota Care Income per vehicle retailed</v>
      </c>
      <c r="S4380" s="199"/>
      <c r="T4380" s="199"/>
      <c r="U4380" s="199"/>
    </row>
    <row r="4381" spans="1:21" x14ac:dyDescent="0.25">
      <c r="A4381" t="s">
        <v>996</v>
      </c>
      <c r="B4381" t="s">
        <v>997</v>
      </c>
      <c r="C4381" t="s">
        <v>997</v>
      </c>
      <c r="D4381" t="s">
        <v>667</v>
      </c>
      <c r="E4381">
        <v>162</v>
      </c>
      <c r="F4381" t="s">
        <v>1091</v>
      </c>
      <c r="G4381" t="s">
        <v>1092</v>
      </c>
      <c r="H4381" s="315" t="s">
        <v>142</v>
      </c>
      <c r="I4381" s="315" t="s">
        <v>1090</v>
      </c>
      <c r="J4381" s="315" t="str">
        <f t="shared" si="361"/>
        <v>LEX F&amp;IToyota Care Income per vehicle retailed</v>
      </c>
      <c r="K4381" s="315" t="str">
        <f t="shared" si="362"/>
        <v>162Toyota Care Sales - Lexus</v>
      </c>
      <c r="L4381" s="311">
        <f>+SUMIF('TUNZ Extracted TB'!M:M,$P4381,'TUNZ Extracted TB'!G:G)</f>
        <v>0</v>
      </c>
      <c r="M4381" s="311"/>
      <c r="N4381" s="311">
        <f>+SUMIF('Input Sheet'!$AE:$AE,P4381,'Input Sheet'!$X:$X)</f>
        <v>0</v>
      </c>
      <c r="O4381" s="311"/>
      <c r="P4381" t="str">
        <f t="shared" si="363"/>
        <v>162-3185R</v>
      </c>
      <c r="Q4381" s="315" t="str">
        <f t="shared" si="364"/>
        <v>LEX F&amp;I</v>
      </c>
      <c r="R4381" s="315" t="str">
        <f t="shared" si="365"/>
        <v>LEX F&amp;IToyota Care Income per vehicle retailed</v>
      </c>
      <c r="S4381" s="199"/>
      <c r="T4381" s="199"/>
      <c r="U4381" s="199"/>
    </row>
    <row r="4382" spans="1:21" x14ac:dyDescent="0.25">
      <c r="A4382" t="s">
        <v>996</v>
      </c>
      <c r="B4382" t="s">
        <v>997</v>
      </c>
      <c r="C4382" t="s">
        <v>1005</v>
      </c>
      <c r="D4382" t="s">
        <v>667</v>
      </c>
      <c r="E4382">
        <v>260</v>
      </c>
      <c r="F4382" t="s">
        <v>1088</v>
      </c>
      <c r="G4382" t="s">
        <v>1089</v>
      </c>
      <c r="H4382" s="315" t="s">
        <v>16</v>
      </c>
      <c r="I4382" s="315" t="s">
        <v>1090</v>
      </c>
      <c r="J4382" s="315" t="str">
        <f t="shared" si="361"/>
        <v>F&amp;IToyota Care Income per vehicle retailed</v>
      </c>
      <c r="K4382" s="315" t="str">
        <f t="shared" si="362"/>
        <v>260Toyota Care Sales - Toyota</v>
      </c>
      <c r="L4382" s="311">
        <f>+SUMIF('TUNZ Extracted TB'!M:M,$P4382,'TUNZ Extracted TB'!G:G)</f>
        <v>0</v>
      </c>
      <c r="M4382" s="311"/>
      <c r="N4382" s="311">
        <f>+SUMIF('Input Sheet'!$AE:$AE,P4382,'Input Sheet'!$X:$X)</f>
        <v>0</v>
      </c>
      <c r="O4382" s="311"/>
      <c r="P4382" t="str">
        <f t="shared" si="363"/>
        <v>260-3185R</v>
      </c>
      <c r="Q4382" s="315" t="str">
        <f t="shared" si="364"/>
        <v>F&amp;I</v>
      </c>
      <c r="R4382" s="315" t="str">
        <f t="shared" si="365"/>
        <v>F&amp;IToyota Care Income per vehicle retailed</v>
      </c>
      <c r="S4382" s="199"/>
      <c r="T4382" s="199"/>
      <c r="U4382" s="199"/>
    </row>
    <row r="4383" spans="1:21" x14ac:dyDescent="0.25">
      <c r="A4383" t="s">
        <v>996</v>
      </c>
      <c r="B4383" t="s">
        <v>997</v>
      </c>
      <c r="C4383" t="s">
        <v>1012</v>
      </c>
      <c r="D4383" t="s">
        <v>667</v>
      </c>
      <c r="E4383">
        <v>460</v>
      </c>
      <c r="F4383" t="s">
        <v>1088</v>
      </c>
      <c r="G4383" t="s">
        <v>1089</v>
      </c>
      <c r="H4383" s="315" t="s">
        <v>16</v>
      </c>
      <c r="I4383" s="315" t="s">
        <v>1090</v>
      </c>
      <c r="J4383" s="315" t="str">
        <f t="shared" si="361"/>
        <v>F&amp;IToyota Care Income per vehicle retailed</v>
      </c>
      <c r="K4383" s="315" t="str">
        <f t="shared" si="362"/>
        <v>460Toyota Care Sales - Toyota</v>
      </c>
      <c r="L4383" s="311">
        <f>+SUMIF('TUNZ Extracted TB'!M:M,$P4383,'TUNZ Extracted TB'!G:G)</f>
        <v>0</v>
      </c>
      <c r="M4383" s="311"/>
      <c r="N4383" s="311">
        <f>+SUMIF('Input Sheet'!$AE:$AE,P4383,'Input Sheet'!$X:$X)</f>
        <v>0</v>
      </c>
      <c r="O4383" s="311"/>
      <c r="P4383" t="str">
        <f t="shared" si="363"/>
        <v>460-3185R</v>
      </c>
      <c r="Q4383" s="315" t="str">
        <f t="shared" si="364"/>
        <v>F&amp;I</v>
      </c>
      <c r="R4383" s="315" t="str">
        <f t="shared" si="365"/>
        <v>F&amp;IToyota Care Income per vehicle retailed</v>
      </c>
      <c r="S4383" s="199"/>
      <c r="T4383" s="199"/>
      <c r="U4383" s="199"/>
    </row>
    <row r="4384" spans="1:21" x14ac:dyDescent="0.25">
      <c r="A4384" t="s">
        <v>996</v>
      </c>
      <c r="B4384" t="s">
        <v>997</v>
      </c>
      <c r="C4384" t="s">
        <v>1013</v>
      </c>
      <c r="D4384" t="s">
        <v>667</v>
      </c>
      <c r="E4384">
        <v>360</v>
      </c>
      <c r="F4384" t="s">
        <v>1088</v>
      </c>
      <c r="G4384" t="s">
        <v>1089</v>
      </c>
      <c r="H4384" s="315" t="s">
        <v>16</v>
      </c>
      <c r="I4384" s="315" t="s">
        <v>1090</v>
      </c>
      <c r="J4384" s="315" t="str">
        <f t="shared" si="361"/>
        <v>F&amp;IToyota Care Income per vehicle retailed</v>
      </c>
      <c r="K4384" s="315" t="str">
        <f t="shared" si="362"/>
        <v>360Toyota Care Sales - Toyota</v>
      </c>
      <c r="L4384" s="311">
        <f>+SUMIF('TUNZ Extracted TB'!M:M,$P4384,'TUNZ Extracted TB'!G:G)</f>
        <v>0</v>
      </c>
      <c r="M4384" s="311"/>
      <c r="N4384" s="311">
        <f>+SUMIF('Input Sheet'!$AE:$AE,P4384,'Input Sheet'!$X:$X)</f>
        <v>0</v>
      </c>
      <c r="O4384" s="311"/>
      <c r="P4384" t="str">
        <f t="shared" si="363"/>
        <v>360-3185R</v>
      </c>
      <c r="Q4384" s="315" t="str">
        <f t="shared" si="364"/>
        <v>F&amp;I</v>
      </c>
      <c r="R4384" s="315" t="str">
        <f t="shared" si="365"/>
        <v>F&amp;IToyota Care Income per vehicle retailed</v>
      </c>
      <c r="S4384" s="199"/>
      <c r="T4384" s="199"/>
      <c r="U4384" s="199"/>
    </row>
    <row r="4385" spans="1:21" x14ac:dyDescent="0.25">
      <c r="A4385" t="s">
        <v>996</v>
      </c>
      <c r="B4385" t="s">
        <v>997</v>
      </c>
      <c r="C4385" t="s">
        <v>997</v>
      </c>
      <c r="D4385" t="s">
        <v>667</v>
      </c>
      <c r="E4385">
        <v>160</v>
      </c>
      <c r="F4385" t="s">
        <v>1088</v>
      </c>
      <c r="G4385" t="s">
        <v>1089</v>
      </c>
      <c r="H4385" s="315" t="s">
        <v>16</v>
      </c>
      <c r="I4385" s="315" t="s">
        <v>1090</v>
      </c>
      <c r="J4385" s="315" t="str">
        <f t="shared" si="361"/>
        <v>F&amp;IToyota Care Income per vehicle retailed</v>
      </c>
      <c r="K4385" s="315" t="str">
        <f t="shared" si="362"/>
        <v>160Toyota Care Sales - Toyota</v>
      </c>
      <c r="L4385" s="311">
        <f>+SUMIF('TUNZ Extracted TB'!M:M,$P4385,'TUNZ Extracted TB'!G:G)</f>
        <v>0</v>
      </c>
      <c r="M4385" s="311"/>
      <c r="N4385" s="311">
        <f>+SUMIF('Input Sheet'!$AE:$AE,P4385,'Input Sheet'!$X:$X)</f>
        <v>0</v>
      </c>
      <c r="O4385" s="311"/>
      <c r="P4385" t="str">
        <f t="shared" si="363"/>
        <v>160-3185R</v>
      </c>
      <c r="Q4385" s="315" t="str">
        <f t="shared" si="364"/>
        <v>F&amp;I</v>
      </c>
      <c r="R4385" s="315" t="str">
        <f t="shared" si="365"/>
        <v>F&amp;IToyota Care Income per vehicle retailed</v>
      </c>
      <c r="S4385" s="199"/>
      <c r="T4385" s="199"/>
      <c r="U4385" s="199"/>
    </row>
    <row r="4386" spans="1:21" x14ac:dyDescent="0.25">
      <c r="A4386" t="s">
        <v>996</v>
      </c>
      <c r="B4386" t="s">
        <v>997</v>
      </c>
      <c r="C4386" t="s">
        <v>997</v>
      </c>
      <c r="D4386" t="s">
        <v>667</v>
      </c>
      <c r="E4386">
        <v>170</v>
      </c>
      <c r="F4386" t="s">
        <v>1088</v>
      </c>
      <c r="G4386" t="s">
        <v>1089</v>
      </c>
      <c r="H4386" s="315" t="s">
        <v>16</v>
      </c>
      <c r="I4386" s="315" t="s">
        <v>1090</v>
      </c>
      <c r="J4386" s="315" t="str">
        <f t="shared" si="361"/>
        <v>F&amp;IToyota Care Income per vehicle retailed</v>
      </c>
      <c r="K4386" s="315" t="str">
        <f t="shared" si="362"/>
        <v>170Toyota Care Sales - Toyota</v>
      </c>
      <c r="L4386" s="311">
        <f>+SUMIF('TUNZ Extracted TB'!M:M,$P4386,'TUNZ Extracted TB'!G:G)</f>
        <v>0</v>
      </c>
      <c r="M4386" s="311"/>
      <c r="N4386" s="311">
        <f>+SUMIF('Input Sheet'!$AE:$AE,P4386,'Input Sheet'!$X:$X)</f>
        <v>0</v>
      </c>
      <c r="O4386" s="311"/>
      <c r="P4386" t="str">
        <f t="shared" si="363"/>
        <v>170-3185R</v>
      </c>
      <c r="Q4386" s="315" t="str">
        <f t="shared" si="364"/>
        <v>F&amp;I</v>
      </c>
      <c r="R4386" s="315" t="str">
        <f t="shared" si="365"/>
        <v>F&amp;IToyota Care Income per vehicle retailed</v>
      </c>
      <c r="S4386" s="199"/>
      <c r="T4386" s="199"/>
      <c r="U4386" s="199"/>
    </row>
    <row r="4387" spans="1:21" x14ac:dyDescent="0.25">
      <c r="A4387" t="s">
        <v>996</v>
      </c>
      <c r="B4387" t="s">
        <v>997</v>
      </c>
      <c r="C4387" t="s">
        <v>997</v>
      </c>
      <c r="D4387" t="s">
        <v>1525</v>
      </c>
      <c r="E4387">
        <v>170</v>
      </c>
      <c r="F4387" t="s">
        <v>1098</v>
      </c>
      <c r="G4387" t="s">
        <v>1099</v>
      </c>
      <c r="H4387" s="315" t="s">
        <v>1000</v>
      </c>
      <c r="I4387" s="315" t="s">
        <v>1001</v>
      </c>
      <c r="J4387" s="315" t="str">
        <f t="shared" si="361"/>
        <v>Admin &amp; OtherOther Overheads as % of Total Gross Profit</v>
      </c>
      <c r="K4387" s="315" t="str">
        <f t="shared" si="362"/>
        <v>170Other Income - Toyota</v>
      </c>
      <c r="L4387" s="311">
        <f>+SUMIF('TUNZ Extracted TB'!M:M,$P4387,'TUNZ Extracted TB'!G:G)</f>
        <v>0</v>
      </c>
      <c r="M4387" s="311"/>
      <c r="N4387" s="311">
        <f>+SUMIF('Input Sheet'!$AE:$AE,P4387,'Input Sheet'!$X:$X)</f>
        <v>0</v>
      </c>
      <c r="O4387" s="311"/>
      <c r="P4387" t="str">
        <f t="shared" si="363"/>
        <v>170-3400L</v>
      </c>
      <c r="Q4387" s="315" t="str">
        <f t="shared" si="364"/>
        <v>Admin &amp; Other</v>
      </c>
      <c r="R4387" s="315" t="str">
        <f t="shared" si="365"/>
        <v>Admin &amp; OtherOther Overheads as % of Total Gross Profit</v>
      </c>
      <c r="S4387" s="199"/>
      <c r="T4387" s="199"/>
      <c r="U4387" s="199"/>
    </row>
    <row r="4388" spans="1:21" x14ac:dyDescent="0.25">
      <c r="A4388" t="s">
        <v>996</v>
      </c>
      <c r="B4388" t="s">
        <v>997</v>
      </c>
      <c r="C4388" t="s">
        <v>1012</v>
      </c>
      <c r="D4388" t="s">
        <v>1525</v>
      </c>
      <c r="E4388">
        <v>440</v>
      </c>
      <c r="F4388" t="s">
        <v>1017</v>
      </c>
      <c r="G4388" t="s">
        <v>1018</v>
      </c>
      <c r="H4388" s="315" t="s">
        <v>17</v>
      </c>
      <c r="I4388" s="315" t="s">
        <v>1019</v>
      </c>
      <c r="J4388" s="315" t="str">
        <f t="shared" si="361"/>
        <v>ServiceMiscellaneous % of Total Sales</v>
      </c>
      <c r="K4388" s="315" t="str">
        <f t="shared" si="362"/>
        <v>440Service Miscellaneous Sales - Toyota</v>
      </c>
      <c r="L4388" s="311">
        <f>+SUMIF('TUNZ Extracted TB'!M:M,$P4388,'TUNZ Extracted TB'!G:G)</f>
        <v>0</v>
      </c>
      <c r="M4388" s="311"/>
      <c r="N4388" s="311">
        <f>+SUMIF('Input Sheet'!$AE:$AE,P4388,'Input Sheet'!$X:$X)</f>
        <v>0</v>
      </c>
      <c r="O4388" s="311"/>
      <c r="P4388" t="str">
        <f t="shared" si="363"/>
        <v>440-3400L</v>
      </c>
      <c r="Q4388" s="315" t="str">
        <f t="shared" si="364"/>
        <v>Service</v>
      </c>
      <c r="R4388" s="315" t="str">
        <f t="shared" si="365"/>
        <v>ServiceMiscellaneous % of Total Sales</v>
      </c>
      <c r="S4388" s="199"/>
      <c r="T4388" s="199"/>
      <c r="U4388" s="199"/>
    </row>
    <row r="4389" spans="1:21" x14ac:dyDescent="0.25">
      <c r="A4389" t="s">
        <v>996</v>
      </c>
      <c r="B4389" t="s">
        <v>997</v>
      </c>
      <c r="C4389" t="s">
        <v>997</v>
      </c>
      <c r="D4389" t="s">
        <v>1525</v>
      </c>
      <c r="E4389">
        <v>147</v>
      </c>
      <c r="F4389" t="s">
        <v>1017</v>
      </c>
      <c r="G4389" t="s">
        <v>1018</v>
      </c>
      <c r="H4389" s="315" t="s">
        <v>17</v>
      </c>
      <c r="I4389" s="315" t="s">
        <v>1019</v>
      </c>
      <c r="J4389" s="315" t="str">
        <f t="shared" si="361"/>
        <v>ServiceMiscellaneous % of Total Sales</v>
      </c>
      <c r="K4389" s="315" t="str">
        <f t="shared" si="362"/>
        <v>147Service Miscellaneous Sales - Toyota</v>
      </c>
      <c r="L4389" s="311">
        <f>+SUMIF('TUNZ Extracted TB'!M:M,$P4389,'TUNZ Extracted TB'!G:G)</f>
        <v>0</v>
      </c>
      <c r="M4389" s="311"/>
      <c r="N4389" s="311">
        <f>+SUMIF('Input Sheet'!$AE:$AE,P4389,'Input Sheet'!$X:$X)</f>
        <v>0</v>
      </c>
      <c r="O4389" s="311"/>
      <c r="P4389" t="str">
        <f t="shared" si="363"/>
        <v>147-3400L</v>
      </c>
      <c r="Q4389" s="315" t="str">
        <f t="shared" si="364"/>
        <v>Service</v>
      </c>
      <c r="R4389" s="315" t="str">
        <f t="shared" si="365"/>
        <v>ServiceMiscellaneous % of Total Sales</v>
      </c>
      <c r="S4389" s="199"/>
      <c r="T4389" s="199"/>
      <c r="U4389" s="199"/>
    </row>
    <row r="4390" spans="1:21" x14ac:dyDescent="0.25">
      <c r="A4390" t="s">
        <v>996</v>
      </c>
      <c r="B4390" t="s">
        <v>997</v>
      </c>
      <c r="C4390" t="s">
        <v>997</v>
      </c>
      <c r="D4390" t="s">
        <v>1526</v>
      </c>
      <c r="E4390">
        <v>170</v>
      </c>
      <c r="F4390" t="s">
        <v>1098</v>
      </c>
      <c r="G4390" t="s">
        <v>1099</v>
      </c>
      <c r="H4390" s="315" t="s">
        <v>1000</v>
      </c>
      <c r="I4390" s="315" t="s">
        <v>1001</v>
      </c>
      <c r="J4390" s="315" t="str">
        <f t="shared" si="361"/>
        <v>Admin &amp; OtherOther Overheads as % of Total Gross Profit</v>
      </c>
      <c r="K4390" s="315" t="str">
        <f t="shared" si="362"/>
        <v>170Other Income - Toyota</v>
      </c>
      <c r="L4390" s="311">
        <f>+SUMIF('TUNZ Extracted TB'!M:M,$P4390,'TUNZ Extracted TB'!G:G)</f>
        <v>0</v>
      </c>
      <c r="M4390" s="311"/>
      <c r="N4390" s="311">
        <f>+SUMIF('Input Sheet'!$AE:$AE,P4390,'Input Sheet'!$X:$X)</f>
        <v>0</v>
      </c>
      <c r="O4390" s="311"/>
      <c r="P4390" t="str">
        <f t="shared" si="363"/>
        <v>170-3400P</v>
      </c>
      <c r="Q4390" s="315" t="str">
        <f t="shared" si="364"/>
        <v>Admin &amp; Other</v>
      </c>
      <c r="R4390" s="315" t="str">
        <f t="shared" si="365"/>
        <v>Admin &amp; OtherOther Overheads as % of Total Gross Profit</v>
      </c>
      <c r="S4390" s="199"/>
      <c r="T4390" s="199"/>
      <c r="U4390" s="199"/>
    </row>
    <row r="4391" spans="1:21" x14ac:dyDescent="0.25">
      <c r="A4391" t="s">
        <v>996</v>
      </c>
      <c r="B4391" t="s">
        <v>997</v>
      </c>
      <c r="C4391" t="s">
        <v>1012</v>
      </c>
      <c r="D4391" t="s">
        <v>1526</v>
      </c>
      <c r="E4391">
        <v>440</v>
      </c>
      <c r="F4391" t="s">
        <v>1017</v>
      </c>
      <c r="G4391" t="s">
        <v>1018</v>
      </c>
      <c r="H4391" s="315" t="s">
        <v>17</v>
      </c>
      <c r="I4391" s="315" t="s">
        <v>1019</v>
      </c>
      <c r="J4391" s="315" t="str">
        <f t="shared" si="361"/>
        <v>ServiceMiscellaneous % of Total Sales</v>
      </c>
      <c r="K4391" s="315" t="str">
        <f t="shared" si="362"/>
        <v>440Service Miscellaneous Sales - Toyota</v>
      </c>
      <c r="L4391" s="311">
        <f>+SUMIF('TUNZ Extracted TB'!M:M,$P4391,'TUNZ Extracted TB'!G:G)</f>
        <v>0</v>
      </c>
      <c r="M4391" s="311"/>
      <c r="N4391" s="311">
        <f>+SUMIF('Input Sheet'!$AE:$AE,P4391,'Input Sheet'!$X:$X)</f>
        <v>0</v>
      </c>
      <c r="O4391" s="311"/>
      <c r="P4391" t="str">
        <f t="shared" si="363"/>
        <v>440-3400P</v>
      </c>
      <c r="Q4391" s="315" t="str">
        <f t="shared" si="364"/>
        <v>Service</v>
      </c>
      <c r="R4391" s="315" t="str">
        <f t="shared" si="365"/>
        <v>ServiceMiscellaneous % of Total Sales</v>
      </c>
      <c r="S4391" s="199"/>
      <c r="T4391" s="199"/>
      <c r="U4391" s="199"/>
    </row>
    <row r="4392" spans="1:21" x14ac:dyDescent="0.25">
      <c r="A4392" t="s">
        <v>996</v>
      </c>
      <c r="B4392" t="s">
        <v>997</v>
      </c>
      <c r="C4392" t="s">
        <v>997</v>
      </c>
      <c r="D4392" t="s">
        <v>1526</v>
      </c>
      <c r="E4392">
        <v>147</v>
      </c>
      <c r="F4392" t="s">
        <v>1017</v>
      </c>
      <c r="G4392" t="s">
        <v>1018</v>
      </c>
      <c r="H4392" s="315" t="s">
        <v>17</v>
      </c>
      <c r="I4392" s="315" t="s">
        <v>1019</v>
      </c>
      <c r="J4392" s="315" t="str">
        <f t="shared" si="361"/>
        <v>ServiceMiscellaneous % of Total Sales</v>
      </c>
      <c r="K4392" s="315" t="str">
        <f t="shared" si="362"/>
        <v>147Service Miscellaneous Sales - Toyota</v>
      </c>
      <c r="L4392" s="311">
        <f>+SUMIF('TUNZ Extracted TB'!M:M,$P4392,'TUNZ Extracted TB'!G:G)</f>
        <v>0</v>
      </c>
      <c r="M4392" s="311"/>
      <c r="N4392" s="311">
        <f>+SUMIF('Input Sheet'!$AE:$AE,P4392,'Input Sheet'!$X:$X)</f>
        <v>0</v>
      </c>
      <c r="O4392" s="311"/>
      <c r="P4392" t="str">
        <f t="shared" si="363"/>
        <v>147-3400P</v>
      </c>
      <c r="Q4392" s="315" t="str">
        <f t="shared" si="364"/>
        <v>Service</v>
      </c>
      <c r="R4392" s="315" t="str">
        <f t="shared" si="365"/>
        <v>ServiceMiscellaneous % of Total Sales</v>
      </c>
      <c r="S4392" s="199"/>
      <c r="T4392" s="199"/>
      <c r="U4392" s="199"/>
    </row>
    <row r="4393" spans="1:21" x14ac:dyDescent="0.25">
      <c r="A4393" t="s">
        <v>996</v>
      </c>
      <c r="B4393" t="s">
        <v>997</v>
      </c>
      <c r="C4393" t="s">
        <v>997</v>
      </c>
      <c r="D4393" t="s">
        <v>762</v>
      </c>
      <c r="E4393">
        <v>100</v>
      </c>
      <c r="F4393" t="s">
        <v>1024</v>
      </c>
      <c r="G4393" t="s">
        <v>1027</v>
      </c>
      <c r="H4393" s="315" t="s">
        <v>29</v>
      </c>
      <c r="I4393" s="315" t="s">
        <v>1026</v>
      </c>
      <c r="J4393" s="315" t="str">
        <f t="shared" si="361"/>
        <v>New VehicleOther Income per NV unit</v>
      </c>
      <c r="K4393" s="315" t="str">
        <f t="shared" si="362"/>
        <v>100New Vehicle Other Income - Toyota</v>
      </c>
      <c r="L4393" s="311">
        <f>+SUMIF('TUNZ Extracted TB'!M:M,$P4393,'TUNZ Extracted TB'!G:G)</f>
        <v>0</v>
      </c>
      <c r="M4393" s="311"/>
      <c r="N4393" s="311">
        <f>+SUMIF('Input Sheet'!$AE:$AE,P4393,'Input Sheet'!$X:$X)</f>
        <v>0</v>
      </c>
      <c r="O4393" s="311"/>
      <c r="P4393" t="str">
        <f t="shared" si="363"/>
        <v>100-4002RR</v>
      </c>
      <c r="Q4393" s="315" t="str">
        <f t="shared" si="364"/>
        <v>New Vehicle</v>
      </c>
      <c r="R4393" s="315" t="str">
        <f t="shared" si="365"/>
        <v>New VehicleOther Income per NV unit</v>
      </c>
      <c r="S4393" s="199"/>
      <c r="T4393" s="199"/>
      <c r="U4393" s="199"/>
    </row>
    <row r="4394" spans="1:21" x14ac:dyDescent="0.25">
      <c r="A4394" t="s">
        <v>996</v>
      </c>
      <c r="B4394" t="s">
        <v>997</v>
      </c>
      <c r="C4394" t="s">
        <v>1005</v>
      </c>
      <c r="D4394" t="s">
        <v>762</v>
      </c>
      <c r="E4394">
        <v>200</v>
      </c>
      <c r="F4394" t="s">
        <v>1024</v>
      </c>
      <c r="G4394" t="s">
        <v>1027</v>
      </c>
      <c r="H4394" s="315" t="s">
        <v>29</v>
      </c>
      <c r="I4394" s="315" t="s">
        <v>1026</v>
      </c>
      <c r="J4394" s="315" t="str">
        <f t="shared" si="361"/>
        <v>New VehicleOther Income per NV unit</v>
      </c>
      <c r="K4394" s="315" t="str">
        <f t="shared" si="362"/>
        <v>200New Vehicle Other Income - Toyota</v>
      </c>
      <c r="L4394" s="311">
        <f>+SUMIF('TUNZ Extracted TB'!M:M,$P4394,'TUNZ Extracted TB'!G:G)</f>
        <v>0</v>
      </c>
      <c r="M4394" s="311"/>
      <c r="N4394" s="311">
        <f>+SUMIF('Input Sheet'!$AE:$AE,P4394,'Input Sheet'!$X:$X)</f>
        <v>0</v>
      </c>
      <c r="O4394" s="311"/>
      <c r="P4394" t="str">
        <f t="shared" si="363"/>
        <v>200-4002RR</v>
      </c>
      <c r="Q4394" s="315" t="str">
        <f t="shared" si="364"/>
        <v>New Vehicle</v>
      </c>
      <c r="R4394" s="315" t="str">
        <f t="shared" si="365"/>
        <v>New VehicleOther Income per NV unit</v>
      </c>
      <c r="S4394" s="199"/>
      <c r="T4394" s="199"/>
      <c r="U4394" s="199"/>
    </row>
    <row r="4395" spans="1:21" x14ac:dyDescent="0.25">
      <c r="A4395" t="s">
        <v>996</v>
      </c>
      <c r="B4395" t="s">
        <v>997</v>
      </c>
      <c r="C4395" t="s">
        <v>997</v>
      </c>
      <c r="D4395" t="s">
        <v>759</v>
      </c>
      <c r="E4395">
        <v>110</v>
      </c>
      <c r="F4395" t="s">
        <v>1287</v>
      </c>
      <c r="G4395" t="s">
        <v>1288</v>
      </c>
      <c r="H4395" s="315" t="s">
        <v>30</v>
      </c>
      <c r="I4395" s="315" t="s">
        <v>1016</v>
      </c>
      <c r="J4395" s="315" t="str">
        <f t="shared" si="361"/>
        <v>Used VehicleEx NV demonstrators gross profit p.u.</v>
      </c>
      <c r="K4395" s="315" t="str">
        <f t="shared" si="362"/>
        <v>110Ex-Toyota NV demonstrator Cost of Sales</v>
      </c>
      <c r="L4395" s="311">
        <f>+SUMIF('TUNZ Extracted TB'!M:M,$P4395,'TUNZ Extracted TB'!G:G)</f>
        <v>-4050</v>
      </c>
      <c r="M4395" s="311"/>
      <c r="N4395" s="311">
        <f>+SUMIF('Input Sheet'!$AE:$AE,P4395,'Input Sheet'!$X:$X)</f>
        <v>0</v>
      </c>
      <c r="O4395" s="311"/>
      <c r="P4395" t="str">
        <f t="shared" si="363"/>
        <v>110-4002R</v>
      </c>
      <c r="Q4395" s="315" t="str">
        <f t="shared" si="364"/>
        <v>Used Vehicle</v>
      </c>
      <c r="R4395" s="315" t="str">
        <f t="shared" si="365"/>
        <v>Used VehicleEx NV demonstrators gross profit p.u.</v>
      </c>
      <c r="S4395" s="199"/>
      <c r="T4395" s="199"/>
      <c r="U4395" s="199"/>
    </row>
    <row r="4396" spans="1:21" x14ac:dyDescent="0.25">
      <c r="A4396" t="s">
        <v>996</v>
      </c>
      <c r="B4396" t="s">
        <v>997</v>
      </c>
      <c r="C4396" t="s">
        <v>1005</v>
      </c>
      <c r="D4396" t="s">
        <v>759</v>
      </c>
      <c r="E4396">
        <v>210</v>
      </c>
      <c r="F4396" t="s">
        <v>1287</v>
      </c>
      <c r="G4396" t="s">
        <v>1288</v>
      </c>
      <c r="H4396" s="315" t="s">
        <v>30</v>
      </c>
      <c r="I4396" s="315" t="s">
        <v>1016</v>
      </c>
      <c r="J4396" s="315" t="str">
        <f t="shared" si="361"/>
        <v>Used VehicleEx NV demonstrators gross profit p.u.</v>
      </c>
      <c r="K4396" s="315" t="str">
        <f t="shared" si="362"/>
        <v>210Ex-Toyota NV demonstrator Cost of Sales</v>
      </c>
      <c r="L4396" s="311">
        <f>+SUMIF('TUNZ Extracted TB'!M:M,$P4396,'TUNZ Extracted TB'!G:G)</f>
        <v>89226.76</v>
      </c>
      <c r="M4396" s="311"/>
      <c r="N4396" s="311">
        <f>+SUMIF('Input Sheet'!$AE:$AE,P4396,'Input Sheet'!$X:$X)</f>
        <v>0</v>
      </c>
      <c r="O4396" s="311"/>
      <c r="P4396" t="str">
        <f t="shared" si="363"/>
        <v>210-4002R</v>
      </c>
      <c r="Q4396" s="315" t="str">
        <f t="shared" si="364"/>
        <v>Used Vehicle</v>
      </c>
      <c r="R4396" s="315" t="str">
        <f t="shared" si="365"/>
        <v>Used VehicleEx NV demonstrators gross profit p.u.</v>
      </c>
      <c r="S4396" s="199"/>
      <c r="T4396" s="199"/>
      <c r="U4396" s="199"/>
    </row>
    <row r="4397" spans="1:21" x14ac:dyDescent="0.25">
      <c r="A4397" t="s">
        <v>996</v>
      </c>
      <c r="B4397" t="s">
        <v>997</v>
      </c>
      <c r="C4397" t="s">
        <v>1012</v>
      </c>
      <c r="D4397" t="s">
        <v>759</v>
      </c>
      <c r="E4397">
        <v>410</v>
      </c>
      <c r="F4397" t="s">
        <v>1287</v>
      </c>
      <c r="G4397" t="s">
        <v>1288</v>
      </c>
      <c r="H4397" s="315" t="s">
        <v>30</v>
      </c>
      <c r="I4397" s="315" t="s">
        <v>1016</v>
      </c>
      <c r="J4397" s="315" t="str">
        <f t="shared" si="361"/>
        <v>Used VehicleEx NV demonstrators gross profit p.u.</v>
      </c>
      <c r="K4397" s="315" t="str">
        <f t="shared" si="362"/>
        <v>410Ex-Toyota NV demonstrator Cost of Sales</v>
      </c>
      <c r="L4397" s="311">
        <f>+SUMIF('TUNZ Extracted TB'!M:M,$P4397,'TUNZ Extracted TB'!G:G)</f>
        <v>0</v>
      </c>
      <c r="M4397" s="311"/>
      <c r="N4397" s="311">
        <f>+SUMIF('Input Sheet'!$AE:$AE,P4397,'Input Sheet'!$X:$X)</f>
        <v>0</v>
      </c>
      <c r="O4397" s="311"/>
      <c r="P4397" t="str">
        <f t="shared" si="363"/>
        <v>410-4002R</v>
      </c>
      <c r="Q4397" s="315" t="str">
        <f t="shared" si="364"/>
        <v>Used Vehicle</v>
      </c>
      <c r="R4397" s="315" t="str">
        <f t="shared" si="365"/>
        <v>Used VehicleEx NV demonstrators gross profit p.u.</v>
      </c>
      <c r="S4397" s="199"/>
      <c r="T4397" s="199"/>
      <c r="U4397" s="199"/>
    </row>
    <row r="4398" spans="1:21" x14ac:dyDescent="0.25">
      <c r="A4398" t="s">
        <v>996</v>
      </c>
      <c r="B4398" t="s">
        <v>997</v>
      </c>
      <c r="C4398" t="s">
        <v>1013</v>
      </c>
      <c r="D4398" t="s">
        <v>759</v>
      </c>
      <c r="E4398">
        <v>310</v>
      </c>
      <c r="F4398" t="s">
        <v>1287</v>
      </c>
      <c r="G4398" t="s">
        <v>1288</v>
      </c>
      <c r="H4398" s="315" t="s">
        <v>30</v>
      </c>
      <c r="I4398" s="315" t="s">
        <v>1016</v>
      </c>
      <c r="J4398" s="315" t="str">
        <f t="shared" si="361"/>
        <v>Used VehicleEx NV demonstrators gross profit p.u.</v>
      </c>
      <c r="K4398" s="315" t="str">
        <f t="shared" si="362"/>
        <v>310Ex-Toyota NV demonstrator Cost of Sales</v>
      </c>
      <c r="L4398" s="311">
        <f>+SUMIF('TUNZ Extracted TB'!M:M,$P4398,'TUNZ Extracted TB'!G:G)</f>
        <v>0</v>
      </c>
      <c r="M4398" s="311"/>
      <c r="N4398" s="311">
        <f>+SUMIF('Input Sheet'!$AE:$AE,P4398,'Input Sheet'!$X:$X)</f>
        <v>0</v>
      </c>
      <c r="O4398" s="311"/>
      <c r="P4398" t="str">
        <f t="shared" si="363"/>
        <v>310-4002R</v>
      </c>
      <c r="Q4398" s="315" t="str">
        <f t="shared" si="364"/>
        <v>Used Vehicle</v>
      </c>
      <c r="R4398" s="315" t="str">
        <f t="shared" si="365"/>
        <v>Used VehicleEx NV demonstrators gross profit p.u.</v>
      </c>
      <c r="S4398" s="199"/>
      <c r="T4398" s="199"/>
      <c r="U4398" s="199"/>
    </row>
    <row r="4399" spans="1:21" x14ac:dyDescent="0.25">
      <c r="A4399" t="s">
        <v>996</v>
      </c>
      <c r="B4399" t="s">
        <v>997</v>
      </c>
      <c r="C4399" t="s">
        <v>1012</v>
      </c>
      <c r="D4399" t="s">
        <v>762</v>
      </c>
      <c r="E4399">
        <v>400</v>
      </c>
      <c r="F4399" t="s">
        <v>1024</v>
      </c>
      <c r="G4399" t="s">
        <v>1027</v>
      </c>
      <c r="H4399" s="315" t="s">
        <v>29</v>
      </c>
      <c r="I4399" s="315" t="s">
        <v>1026</v>
      </c>
      <c r="J4399" s="315" t="str">
        <f t="shared" si="361"/>
        <v>New VehicleOther Income per NV unit</v>
      </c>
      <c r="K4399" s="315" t="str">
        <f t="shared" si="362"/>
        <v>400New Vehicle Other Income - Toyota</v>
      </c>
      <c r="L4399" s="311">
        <f>+SUMIF('TUNZ Extracted TB'!M:M,$P4399,'TUNZ Extracted TB'!G:G)</f>
        <v>0</v>
      </c>
      <c r="M4399" s="311"/>
      <c r="N4399" s="311">
        <f>+SUMIF('Input Sheet'!$AE:$AE,P4399,'Input Sheet'!$X:$X)</f>
        <v>0</v>
      </c>
      <c r="O4399" s="311"/>
      <c r="P4399" t="str">
        <f t="shared" si="363"/>
        <v>400-4002RR</v>
      </c>
      <c r="Q4399" s="315" t="str">
        <f t="shared" si="364"/>
        <v>New Vehicle</v>
      </c>
      <c r="R4399" s="315" t="str">
        <f t="shared" si="365"/>
        <v>New VehicleOther Income per NV unit</v>
      </c>
      <c r="S4399" s="199"/>
      <c r="T4399" s="199"/>
      <c r="U4399" s="199"/>
    </row>
    <row r="4400" spans="1:21" x14ac:dyDescent="0.25">
      <c r="A4400" t="s">
        <v>996</v>
      </c>
      <c r="B4400" t="s">
        <v>997</v>
      </c>
      <c r="C4400" t="s">
        <v>1013</v>
      </c>
      <c r="D4400" t="s">
        <v>762</v>
      </c>
      <c r="E4400">
        <v>300</v>
      </c>
      <c r="F4400" t="s">
        <v>1024</v>
      </c>
      <c r="G4400" t="s">
        <v>1027</v>
      </c>
      <c r="H4400" s="315" t="s">
        <v>29</v>
      </c>
      <c r="I4400" s="315" t="s">
        <v>1026</v>
      </c>
      <c r="J4400" s="315" t="str">
        <f t="shared" si="361"/>
        <v>New VehicleOther Income per NV unit</v>
      </c>
      <c r="K4400" s="315" t="str">
        <f t="shared" si="362"/>
        <v>300New Vehicle Other Income - Toyota</v>
      </c>
      <c r="L4400" s="311">
        <f>+SUMIF('TUNZ Extracted TB'!M:M,$P4400,'TUNZ Extracted TB'!G:G)</f>
        <v>0</v>
      </c>
      <c r="M4400" s="311"/>
      <c r="N4400" s="311">
        <f>+SUMIF('Input Sheet'!$AE:$AE,P4400,'Input Sheet'!$X:$X)</f>
        <v>0</v>
      </c>
      <c r="O4400" s="311"/>
      <c r="P4400" t="str">
        <f t="shared" si="363"/>
        <v>300-4002RR</v>
      </c>
      <c r="Q4400" s="315" t="str">
        <f t="shared" si="364"/>
        <v>New Vehicle</v>
      </c>
      <c r="R4400" s="315" t="str">
        <f t="shared" si="365"/>
        <v>New VehicleOther Income per NV unit</v>
      </c>
      <c r="S4400" s="199"/>
      <c r="T4400" s="199"/>
      <c r="U4400" s="199"/>
    </row>
    <row r="4401" spans="1:21" x14ac:dyDescent="0.25">
      <c r="A4401" t="s">
        <v>996</v>
      </c>
      <c r="B4401" t="s">
        <v>997</v>
      </c>
      <c r="C4401" t="s">
        <v>997</v>
      </c>
      <c r="D4401" t="s">
        <v>762</v>
      </c>
      <c r="E4401">
        <v>110</v>
      </c>
      <c r="F4401" t="s">
        <v>1287</v>
      </c>
      <c r="G4401" t="s">
        <v>1288</v>
      </c>
      <c r="H4401" s="315" t="s">
        <v>30</v>
      </c>
      <c r="I4401" s="315" t="s">
        <v>1016</v>
      </c>
      <c r="J4401" s="315" t="str">
        <f t="shared" si="361"/>
        <v>Used VehicleEx NV demonstrators gross profit p.u.</v>
      </c>
      <c r="K4401" s="315" t="str">
        <f t="shared" si="362"/>
        <v>110Ex-Toyota NV demonstrator Cost of Sales</v>
      </c>
      <c r="L4401" s="311">
        <f>+SUMIF('TUNZ Extracted TB'!M:M,$P4401,'TUNZ Extracted TB'!G:G)</f>
        <v>0</v>
      </c>
      <c r="M4401" s="311"/>
      <c r="N4401" s="311">
        <f>+SUMIF('Input Sheet'!$AE:$AE,P4401,'Input Sheet'!$X:$X)</f>
        <v>0</v>
      </c>
      <c r="O4401" s="311"/>
      <c r="P4401" t="str">
        <f t="shared" si="363"/>
        <v>110-4002RR</v>
      </c>
      <c r="Q4401" s="315" t="str">
        <f t="shared" si="364"/>
        <v>Used Vehicle</v>
      </c>
      <c r="R4401" s="315" t="str">
        <f t="shared" si="365"/>
        <v>Used VehicleEx NV demonstrators gross profit p.u.</v>
      </c>
      <c r="S4401" s="199"/>
      <c r="T4401" s="199"/>
      <c r="U4401" s="199"/>
    </row>
    <row r="4402" spans="1:21" x14ac:dyDescent="0.25">
      <c r="A4402" t="s">
        <v>996</v>
      </c>
      <c r="B4402" t="s">
        <v>997</v>
      </c>
      <c r="C4402" t="s">
        <v>1005</v>
      </c>
      <c r="D4402" t="s">
        <v>764</v>
      </c>
      <c r="E4402">
        <v>200</v>
      </c>
      <c r="F4402" t="s">
        <v>1024</v>
      </c>
      <c r="G4402" t="s">
        <v>1027</v>
      </c>
      <c r="H4402" s="315" t="s">
        <v>29</v>
      </c>
      <c r="I4402" s="315" t="s">
        <v>1026</v>
      </c>
      <c r="J4402" s="315" t="str">
        <f t="shared" si="361"/>
        <v>New VehicleOther Income per NV unit</v>
      </c>
      <c r="K4402" s="315" t="str">
        <f t="shared" si="362"/>
        <v>200New Vehicle Other Income - Toyota</v>
      </c>
      <c r="L4402" s="311">
        <f>+SUMIF('TUNZ Extracted TB'!M:M,$P4402,'TUNZ Extracted TB'!G:G)</f>
        <v>1499.64</v>
      </c>
      <c r="M4402" s="311"/>
      <c r="N4402" s="311">
        <f>+SUMIF('Input Sheet'!$AE:$AE,P4402,'Input Sheet'!$X:$X)</f>
        <v>0</v>
      </c>
      <c r="O4402" s="311"/>
      <c r="P4402" t="str">
        <f t="shared" si="363"/>
        <v>200-4004R</v>
      </c>
      <c r="Q4402" s="315" t="str">
        <f t="shared" si="364"/>
        <v>New Vehicle</v>
      </c>
      <c r="R4402" s="315" t="str">
        <f t="shared" si="365"/>
        <v>New VehicleOther Income per NV unit</v>
      </c>
      <c r="S4402" s="199"/>
      <c r="T4402" s="199"/>
      <c r="U4402" s="199"/>
    </row>
    <row r="4403" spans="1:21" x14ac:dyDescent="0.25">
      <c r="A4403" t="s">
        <v>996</v>
      </c>
      <c r="B4403" t="s">
        <v>997</v>
      </c>
      <c r="C4403" t="s">
        <v>1012</v>
      </c>
      <c r="D4403" t="s">
        <v>762</v>
      </c>
      <c r="E4403">
        <v>410</v>
      </c>
      <c r="F4403" t="s">
        <v>1287</v>
      </c>
      <c r="G4403" t="s">
        <v>1288</v>
      </c>
      <c r="H4403" s="315" t="s">
        <v>30</v>
      </c>
      <c r="I4403" s="315" t="s">
        <v>1016</v>
      </c>
      <c r="J4403" s="315" t="str">
        <f t="shared" si="361"/>
        <v>Used VehicleEx NV demonstrators gross profit p.u.</v>
      </c>
      <c r="K4403" s="315" t="str">
        <f t="shared" si="362"/>
        <v>410Ex-Toyota NV demonstrator Cost of Sales</v>
      </c>
      <c r="L4403" s="311">
        <f>+SUMIF('TUNZ Extracted TB'!M:M,$P4403,'TUNZ Extracted TB'!G:G)</f>
        <v>0</v>
      </c>
      <c r="M4403" s="311"/>
      <c r="N4403" s="311">
        <f>+SUMIF('Input Sheet'!$AE:$AE,P4403,'Input Sheet'!$X:$X)</f>
        <v>0</v>
      </c>
      <c r="O4403" s="311"/>
      <c r="P4403" t="str">
        <f t="shared" si="363"/>
        <v>410-4002RR</v>
      </c>
      <c r="Q4403" s="315" t="str">
        <f t="shared" si="364"/>
        <v>Used Vehicle</v>
      </c>
      <c r="R4403" s="315" t="str">
        <f t="shared" si="365"/>
        <v>Used VehicleEx NV demonstrators gross profit p.u.</v>
      </c>
      <c r="S4403" s="199"/>
      <c r="T4403" s="199"/>
      <c r="U4403" s="199"/>
    </row>
    <row r="4404" spans="1:21" x14ac:dyDescent="0.25">
      <c r="A4404" t="s">
        <v>996</v>
      </c>
      <c r="B4404" t="s">
        <v>997</v>
      </c>
      <c r="C4404" t="s">
        <v>1013</v>
      </c>
      <c r="D4404" t="s">
        <v>762</v>
      </c>
      <c r="E4404">
        <v>310</v>
      </c>
      <c r="F4404" t="s">
        <v>1287</v>
      </c>
      <c r="G4404" t="s">
        <v>1288</v>
      </c>
      <c r="H4404" s="315" t="s">
        <v>30</v>
      </c>
      <c r="I4404" s="315" t="s">
        <v>1016</v>
      </c>
      <c r="J4404" s="315" t="str">
        <f t="shared" si="361"/>
        <v>Used VehicleEx NV demonstrators gross profit p.u.</v>
      </c>
      <c r="K4404" s="315" t="str">
        <f t="shared" si="362"/>
        <v>310Ex-Toyota NV demonstrator Cost of Sales</v>
      </c>
      <c r="L4404" s="311">
        <f>+SUMIF('TUNZ Extracted TB'!M:M,$P4404,'TUNZ Extracted TB'!G:G)</f>
        <v>0</v>
      </c>
      <c r="M4404" s="311"/>
      <c r="N4404" s="311">
        <f>+SUMIF('Input Sheet'!$AE:$AE,P4404,'Input Sheet'!$X:$X)</f>
        <v>0</v>
      </c>
      <c r="O4404" s="311"/>
      <c r="P4404" t="str">
        <f t="shared" si="363"/>
        <v>310-4002RR</v>
      </c>
      <c r="Q4404" s="315" t="str">
        <f t="shared" si="364"/>
        <v>Used Vehicle</v>
      </c>
      <c r="R4404" s="315" t="str">
        <f t="shared" si="365"/>
        <v>Used VehicleEx NV demonstrators gross profit p.u.</v>
      </c>
      <c r="S4404" s="199"/>
      <c r="T4404" s="199"/>
      <c r="U4404" s="199"/>
    </row>
    <row r="4405" spans="1:21" x14ac:dyDescent="0.25">
      <c r="A4405" t="s">
        <v>996</v>
      </c>
      <c r="B4405" t="s">
        <v>997</v>
      </c>
      <c r="C4405" t="s">
        <v>1005</v>
      </c>
      <c r="D4405" t="s">
        <v>762</v>
      </c>
      <c r="E4405">
        <v>210</v>
      </c>
      <c r="F4405" t="s">
        <v>1287</v>
      </c>
      <c r="G4405" t="s">
        <v>1288</v>
      </c>
      <c r="H4405" s="315" t="s">
        <v>30</v>
      </c>
      <c r="I4405" s="315" t="s">
        <v>1016</v>
      </c>
      <c r="J4405" s="315" t="str">
        <f t="shared" si="361"/>
        <v>Used VehicleEx NV demonstrators gross profit p.u.</v>
      </c>
      <c r="K4405" s="315" t="str">
        <f t="shared" si="362"/>
        <v>210Ex-Toyota NV demonstrator Cost of Sales</v>
      </c>
      <c r="L4405" s="311">
        <f>+SUMIF('TUNZ Extracted TB'!M:M,$P4405,'TUNZ Extracted TB'!G:G)</f>
        <v>-1038.94</v>
      </c>
      <c r="M4405" s="311"/>
      <c r="N4405" s="311">
        <f>+SUMIF('Input Sheet'!$AE:$AE,P4405,'Input Sheet'!$X:$X)</f>
        <v>0</v>
      </c>
      <c r="O4405" s="311"/>
      <c r="P4405" t="str">
        <f t="shared" si="363"/>
        <v>210-4002RR</v>
      </c>
      <c r="Q4405" s="315" t="str">
        <f t="shared" si="364"/>
        <v>Used Vehicle</v>
      </c>
      <c r="R4405" s="315" t="str">
        <f t="shared" si="365"/>
        <v>Used VehicleEx NV demonstrators gross profit p.u.</v>
      </c>
      <c r="S4405" s="199"/>
      <c r="T4405" s="199"/>
      <c r="U4405" s="199"/>
    </row>
    <row r="4406" spans="1:21" x14ac:dyDescent="0.25">
      <c r="A4406" t="s">
        <v>996</v>
      </c>
      <c r="B4406" t="s">
        <v>997</v>
      </c>
      <c r="C4406" t="s">
        <v>997</v>
      </c>
      <c r="D4406" t="s">
        <v>764</v>
      </c>
      <c r="E4406">
        <v>100</v>
      </c>
      <c r="F4406" t="s">
        <v>1024</v>
      </c>
      <c r="G4406" t="s">
        <v>1027</v>
      </c>
      <c r="H4406" s="315" t="s">
        <v>29</v>
      </c>
      <c r="I4406" s="315" t="s">
        <v>1026</v>
      </c>
      <c r="J4406" s="315" t="str">
        <f t="shared" si="361"/>
        <v>New VehicleOther Income per NV unit</v>
      </c>
      <c r="K4406" s="315" t="str">
        <f t="shared" si="362"/>
        <v>100New Vehicle Other Income - Toyota</v>
      </c>
      <c r="L4406" s="311">
        <f>+SUMIF('TUNZ Extracted TB'!M:M,$P4406,'TUNZ Extracted TB'!G:G)</f>
        <v>2869.63</v>
      </c>
      <c r="M4406" s="311"/>
      <c r="N4406" s="311">
        <f>+SUMIF('Input Sheet'!$AE:$AE,P4406,'Input Sheet'!$X:$X)</f>
        <v>0</v>
      </c>
      <c r="O4406" s="311"/>
      <c r="P4406" t="str">
        <f t="shared" si="363"/>
        <v>100-4004R</v>
      </c>
      <c r="Q4406" s="315" t="str">
        <f t="shared" si="364"/>
        <v>New Vehicle</v>
      </c>
      <c r="R4406" s="315" t="str">
        <f t="shared" si="365"/>
        <v>New VehicleOther Income per NV unit</v>
      </c>
      <c r="S4406" s="199"/>
      <c r="T4406" s="199"/>
      <c r="U4406" s="199"/>
    </row>
    <row r="4407" spans="1:21" x14ac:dyDescent="0.25">
      <c r="A4407" t="s">
        <v>996</v>
      </c>
      <c r="B4407" t="s">
        <v>997</v>
      </c>
      <c r="C4407" t="s">
        <v>1012</v>
      </c>
      <c r="D4407" t="s">
        <v>764</v>
      </c>
      <c r="E4407">
        <v>400</v>
      </c>
      <c r="F4407" t="s">
        <v>1024</v>
      </c>
      <c r="G4407" t="s">
        <v>1027</v>
      </c>
      <c r="H4407" s="315" t="s">
        <v>29</v>
      </c>
      <c r="I4407" s="315" t="s">
        <v>1026</v>
      </c>
      <c r="J4407" s="315" t="str">
        <f t="shared" si="361"/>
        <v>New VehicleOther Income per NV unit</v>
      </c>
      <c r="K4407" s="315" t="str">
        <f t="shared" si="362"/>
        <v>400New Vehicle Other Income - Toyota</v>
      </c>
      <c r="L4407" s="311">
        <f>+SUMIF('TUNZ Extracted TB'!M:M,$P4407,'TUNZ Extracted TB'!G:G)</f>
        <v>0</v>
      </c>
      <c r="M4407" s="311"/>
      <c r="N4407" s="311">
        <f>+SUMIF('Input Sheet'!$AE:$AE,P4407,'Input Sheet'!$X:$X)</f>
        <v>0</v>
      </c>
      <c r="O4407" s="311"/>
      <c r="P4407" t="str">
        <f t="shared" si="363"/>
        <v>400-4004R</v>
      </c>
      <c r="Q4407" s="315" t="str">
        <f t="shared" si="364"/>
        <v>New Vehicle</v>
      </c>
      <c r="R4407" s="315" t="str">
        <f t="shared" si="365"/>
        <v>New VehicleOther Income per NV unit</v>
      </c>
      <c r="S4407" s="199"/>
      <c r="T4407" s="199"/>
      <c r="U4407" s="199"/>
    </row>
    <row r="4408" spans="1:21" x14ac:dyDescent="0.25">
      <c r="A4408" t="s">
        <v>996</v>
      </c>
      <c r="B4408" t="s">
        <v>997</v>
      </c>
      <c r="C4408" t="s">
        <v>1013</v>
      </c>
      <c r="D4408" t="s">
        <v>764</v>
      </c>
      <c r="E4408">
        <v>300</v>
      </c>
      <c r="F4408" t="s">
        <v>1024</v>
      </c>
      <c r="G4408" t="s">
        <v>1027</v>
      </c>
      <c r="H4408" s="315" t="s">
        <v>29</v>
      </c>
      <c r="I4408" s="315" t="s">
        <v>1026</v>
      </c>
      <c r="J4408" s="315" t="str">
        <f t="shared" si="361"/>
        <v>New VehicleOther Income per NV unit</v>
      </c>
      <c r="K4408" s="315" t="str">
        <f t="shared" si="362"/>
        <v>300New Vehicle Other Income - Toyota</v>
      </c>
      <c r="L4408" s="311">
        <f>+SUMIF('TUNZ Extracted TB'!M:M,$P4408,'TUNZ Extracted TB'!G:G)</f>
        <v>0</v>
      </c>
      <c r="M4408" s="311"/>
      <c r="N4408" s="311">
        <f>+SUMIF('Input Sheet'!$AE:$AE,P4408,'Input Sheet'!$X:$X)</f>
        <v>0</v>
      </c>
      <c r="O4408" s="311"/>
      <c r="P4408" t="str">
        <f t="shared" si="363"/>
        <v>300-4004R</v>
      </c>
      <c r="Q4408" s="315" t="str">
        <f t="shared" si="364"/>
        <v>New Vehicle</v>
      </c>
      <c r="R4408" s="315" t="str">
        <f t="shared" si="365"/>
        <v>New VehicleOther Income per NV unit</v>
      </c>
      <c r="S4408" s="199"/>
      <c r="T4408" s="199"/>
      <c r="U4408" s="199"/>
    </row>
    <row r="4409" spans="1:21" x14ac:dyDescent="0.25">
      <c r="A4409" t="s">
        <v>996</v>
      </c>
      <c r="B4409" t="s">
        <v>997</v>
      </c>
      <c r="C4409" t="s">
        <v>997</v>
      </c>
      <c r="D4409" t="s">
        <v>766</v>
      </c>
      <c r="E4409">
        <v>100</v>
      </c>
      <c r="F4409" t="s">
        <v>1024</v>
      </c>
      <c r="G4409" t="s">
        <v>1027</v>
      </c>
      <c r="H4409" s="315" t="s">
        <v>29</v>
      </c>
      <c r="I4409" s="315" t="s">
        <v>1026</v>
      </c>
      <c r="J4409" s="315" t="str">
        <f t="shared" si="361"/>
        <v>New VehicleOther Income per NV unit</v>
      </c>
      <c r="K4409" s="315" t="str">
        <f t="shared" si="362"/>
        <v>100New Vehicle Other Income - Toyota</v>
      </c>
      <c r="L4409" s="311">
        <f>+SUMIF('TUNZ Extracted TB'!M:M,$P4409,'TUNZ Extracted TB'!G:G)</f>
        <v>0</v>
      </c>
      <c r="M4409" s="311"/>
      <c r="N4409" s="311">
        <f>+SUMIF('Input Sheet'!$AE:$AE,P4409,'Input Sheet'!$X:$X)</f>
        <v>0</v>
      </c>
      <c r="O4409" s="311"/>
      <c r="P4409" t="str">
        <f t="shared" si="363"/>
        <v>100-4004RR</v>
      </c>
      <c r="Q4409" s="315" t="str">
        <f t="shared" si="364"/>
        <v>New Vehicle</v>
      </c>
      <c r="R4409" s="315" t="str">
        <f t="shared" si="365"/>
        <v>New VehicleOther Income per NV unit</v>
      </c>
      <c r="S4409" s="199"/>
      <c r="T4409" s="199"/>
      <c r="U4409" s="199"/>
    </row>
    <row r="4410" spans="1:21" x14ac:dyDescent="0.25">
      <c r="A4410" t="s">
        <v>996</v>
      </c>
      <c r="B4410" t="s">
        <v>997</v>
      </c>
      <c r="C4410" t="s">
        <v>1005</v>
      </c>
      <c r="D4410" t="s">
        <v>766</v>
      </c>
      <c r="E4410">
        <v>200</v>
      </c>
      <c r="F4410" t="s">
        <v>1024</v>
      </c>
      <c r="G4410" t="s">
        <v>1027</v>
      </c>
      <c r="H4410" s="315" t="s">
        <v>29</v>
      </c>
      <c r="I4410" s="315" t="s">
        <v>1026</v>
      </c>
      <c r="J4410" s="315" t="str">
        <f t="shared" si="361"/>
        <v>New VehicleOther Income per NV unit</v>
      </c>
      <c r="K4410" s="315" t="str">
        <f t="shared" si="362"/>
        <v>200New Vehicle Other Income - Toyota</v>
      </c>
      <c r="L4410" s="311">
        <f>+SUMIF('TUNZ Extracted TB'!M:M,$P4410,'TUNZ Extracted TB'!G:G)</f>
        <v>0</v>
      </c>
      <c r="M4410" s="311"/>
      <c r="N4410" s="311">
        <f>+SUMIF('Input Sheet'!$AE:$AE,P4410,'Input Sheet'!$X:$X)</f>
        <v>0</v>
      </c>
      <c r="O4410" s="311"/>
      <c r="P4410" t="str">
        <f t="shared" si="363"/>
        <v>200-4004RR</v>
      </c>
      <c r="Q4410" s="315" t="str">
        <f t="shared" si="364"/>
        <v>New Vehicle</v>
      </c>
      <c r="R4410" s="315" t="str">
        <f t="shared" si="365"/>
        <v>New VehicleOther Income per NV unit</v>
      </c>
      <c r="S4410" s="199"/>
      <c r="T4410" s="199"/>
      <c r="U4410" s="199"/>
    </row>
    <row r="4411" spans="1:21" x14ac:dyDescent="0.25">
      <c r="A4411" t="s">
        <v>996</v>
      </c>
      <c r="B4411" t="s">
        <v>997</v>
      </c>
      <c r="C4411" t="s">
        <v>997</v>
      </c>
      <c r="D4411" t="s">
        <v>764</v>
      </c>
      <c r="E4411">
        <v>110</v>
      </c>
      <c r="F4411" t="s">
        <v>1287</v>
      </c>
      <c r="G4411" t="s">
        <v>1288</v>
      </c>
      <c r="H4411" s="315" t="s">
        <v>30</v>
      </c>
      <c r="I4411" s="315" t="s">
        <v>1016</v>
      </c>
      <c r="J4411" s="315" t="str">
        <f t="shared" si="361"/>
        <v>Used VehicleEx NV demonstrators gross profit p.u.</v>
      </c>
      <c r="K4411" s="315" t="str">
        <f t="shared" si="362"/>
        <v>110Ex-Toyota NV demonstrator Cost of Sales</v>
      </c>
      <c r="L4411" s="311">
        <f>+SUMIF('TUNZ Extracted TB'!M:M,$P4411,'TUNZ Extracted TB'!G:G)</f>
        <v>0</v>
      </c>
      <c r="M4411" s="311"/>
      <c r="N4411" s="311">
        <f>+SUMIF('Input Sheet'!$AE:$AE,P4411,'Input Sheet'!$X:$X)</f>
        <v>0</v>
      </c>
      <c r="O4411" s="311"/>
      <c r="P4411" t="str">
        <f t="shared" si="363"/>
        <v>110-4004R</v>
      </c>
      <c r="Q4411" s="315" t="str">
        <f t="shared" si="364"/>
        <v>Used Vehicle</v>
      </c>
      <c r="R4411" s="315" t="str">
        <f t="shared" si="365"/>
        <v>Used VehicleEx NV demonstrators gross profit p.u.</v>
      </c>
      <c r="S4411" s="199"/>
      <c r="T4411" s="199"/>
      <c r="U4411" s="199"/>
    </row>
    <row r="4412" spans="1:21" x14ac:dyDescent="0.25">
      <c r="A4412" t="s">
        <v>996</v>
      </c>
      <c r="B4412" t="s">
        <v>997</v>
      </c>
      <c r="C4412" t="s">
        <v>1005</v>
      </c>
      <c r="D4412" t="s">
        <v>764</v>
      </c>
      <c r="E4412">
        <v>210</v>
      </c>
      <c r="F4412" t="s">
        <v>1287</v>
      </c>
      <c r="G4412" t="s">
        <v>1288</v>
      </c>
      <c r="H4412" s="315" t="s">
        <v>30</v>
      </c>
      <c r="I4412" s="315" t="s">
        <v>1016</v>
      </c>
      <c r="J4412" s="315" t="str">
        <f t="shared" si="361"/>
        <v>Used VehicleEx NV demonstrators gross profit p.u.</v>
      </c>
      <c r="K4412" s="315" t="str">
        <f t="shared" si="362"/>
        <v>210Ex-Toyota NV demonstrator Cost of Sales</v>
      </c>
      <c r="L4412" s="311">
        <f>+SUMIF('TUNZ Extracted TB'!M:M,$P4412,'TUNZ Extracted TB'!G:G)</f>
        <v>26533.71</v>
      </c>
      <c r="M4412" s="311"/>
      <c r="N4412" s="311">
        <f>+SUMIF('Input Sheet'!$AE:$AE,P4412,'Input Sheet'!$X:$X)</f>
        <v>0</v>
      </c>
      <c r="O4412" s="311"/>
      <c r="P4412" t="str">
        <f t="shared" si="363"/>
        <v>210-4004R</v>
      </c>
      <c r="Q4412" s="315" t="str">
        <f t="shared" si="364"/>
        <v>Used Vehicle</v>
      </c>
      <c r="R4412" s="315" t="str">
        <f t="shared" si="365"/>
        <v>Used VehicleEx NV demonstrators gross profit p.u.</v>
      </c>
      <c r="S4412" s="199"/>
      <c r="T4412" s="199"/>
      <c r="U4412" s="199"/>
    </row>
    <row r="4413" spans="1:21" x14ac:dyDescent="0.25">
      <c r="A4413" t="s">
        <v>996</v>
      </c>
      <c r="B4413" t="s">
        <v>997</v>
      </c>
      <c r="C4413" t="s">
        <v>1012</v>
      </c>
      <c r="D4413" t="s">
        <v>764</v>
      </c>
      <c r="E4413">
        <v>410</v>
      </c>
      <c r="F4413" t="s">
        <v>1287</v>
      </c>
      <c r="G4413" t="s">
        <v>1288</v>
      </c>
      <c r="H4413" s="315" t="s">
        <v>30</v>
      </c>
      <c r="I4413" s="315" t="s">
        <v>1016</v>
      </c>
      <c r="J4413" s="315" t="str">
        <f t="shared" si="361"/>
        <v>Used VehicleEx NV demonstrators gross profit p.u.</v>
      </c>
      <c r="K4413" s="315" t="str">
        <f t="shared" si="362"/>
        <v>410Ex-Toyota NV demonstrator Cost of Sales</v>
      </c>
      <c r="L4413" s="311">
        <f>+SUMIF('TUNZ Extracted TB'!M:M,$P4413,'TUNZ Extracted TB'!G:G)</f>
        <v>0</v>
      </c>
      <c r="M4413" s="311"/>
      <c r="N4413" s="311">
        <f>+SUMIF('Input Sheet'!$AE:$AE,P4413,'Input Sheet'!$X:$X)</f>
        <v>0</v>
      </c>
      <c r="O4413" s="311"/>
      <c r="P4413" t="str">
        <f t="shared" si="363"/>
        <v>410-4004R</v>
      </c>
      <c r="Q4413" s="315" t="str">
        <f t="shared" si="364"/>
        <v>Used Vehicle</v>
      </c>
      <c r="R4413" s="315" t="str">
        <f t="shared" si="365"/>
        <v>Used VehicleEx NV demonstrators gross profit p.u.</v>
      </c>
      <c r="S4413" s="199"/>
      <c r="T4413" s="199"/>
      <c r="U4413" s="199"/>
    </row>
    <row r="4414" spans="1:21" x14ac:dyDescent="0.25">
      <c r="A4414" t="s">
        <v>996</v>
      </c>
      <c r="B4414" t="s">
        <v>997</v>
      </c>
      <c r="C4414" t="s">
        <v>1013</v>
      </c>
      <c r="D4414" t="s">
        <v>764</v>
      </c>
      <c r="E4414">
        <v>310</v>
      </c>
      <c r="F4414" t="s">
        <v>1287</v>
      </c>
      <c r="G4414" t="s">
        <v>1288</v>
      </c>
      <c r="H4414" s="315" t="s">
        <v>30</v>
      </c>
      <c r="I4414" s="315" t="s">
        <v>1016</v>
      </c>
      <c r="J4414" s="315" t="str">
        <f t="shared" si="361"/>
        <v>Used VehicleEx NV demonstrators gross profit p.u.</v>
      </c>
      <c r="K4414" s="315" t="str">
        <f t="shared" si="362"/>
        <v>310Ex-Toyota NV demonstrator Cost of Sales</v>
      </c>
      <c r="L4414" s="311">
        <f>+SUMIF('TUNZ Extracted TB'!M:M,$P4414,'TUNZ Extracted TB'!G:G)</f>
        <v>0</v>
      </c>
      <c r="M4414" s="311"/>
      <c r="N4414" s="311">
        <f>+SUMIF('Input Sheet'!$AE:$AE,P4414,'Input Sheet'!$X:$X)</f>
        <v>0</v>
      </c>
      <c r="O4414" s="311"/>
      <c r="P4414" t="str">
        <f t="shared" si="363"/>
        <v>310-4004R</v>
      </c>
      <c r="Q4414" s="315" t="str">
        <f t="shared" si="364"/>
        <v>Used Vehicle</v>
      </c>
      <c r="R4414" s="315" t="str">
        <f t="shared" si="365"/>
        <v>Used VehicleEx NV demonstrators gross profit p.u.</v>
      </c>
      <c r="S4414" s="199"/>
      <c r="T4414" s="199"/>
      <c r="U4414" s="199"/>
    </row>
    <row r="4415" spans="1:21" x14ac:dyDescent="0.25">
      <c r="A4415" t="s">
        <v>996</v>
      </c>
      <c r="B4415" t="s">
        <v>997</v>
      </c>
      <c r="C4415" t="s">
        <v>1012</v>
      </c>
      <c r="D4415" t="s">
        <v>766</v>
      </c>
      <c r="E4415">
        <v>400</v>
      </c>
      <c r="F4415" t="s">
        <v>1024</v>
      </c>
      <c r="G4415" t="s">
        <v>1027</v>
      </c>
      <c r="H4415" s="315" t="s">
        <v>29</v>
      </c>
      <c r="I4415" s="315" t="s">
        <v>1026</v>
      </c>
      <c r="J4415" s="315" t="str">
        <f t="shared" si="361"/>
        <v>New VehicleOther Income per NV unit</v>
      </c>
      <c r="K4415" s="315" t="str">
        <f t="shared" si="362"/>
        <v>400New Vehicle Other Income - Toyota</v>
      </c>
      <c r="L4415" s="311">
        <f>+SUMIF('TUNZ Extracted TB'!M:M,$P4415,'TUNZ Extracted TB'!G:G)</f>
        <v>0</v>
      </c>
      <c r="M4415" s="311"/>
      <c r="N4415" s="311">
        <f>+SUMIF('Input Sheet'!$AE:$AE,P4415,'Input Sheet'!$X:$X)</f>
        <v>0</v>
      </c>
      <c r="O4415" s="311"/>
      <c r="P4415" t="str">
        <f t="shared" si="363"/>
        <v>400-4004RR</v>
      </c>
      <c r="Q4415" s="315" t="str">
        <f t="shared" si="364"/>
        <v>New Vehicle</v>
      </c>
      <c r="R4415" s="315" t="str">
        <f t="shared" si="365"/>
        <v>New VehicleOther Income per NV unit</v>
      </c>
      <c r="S4415" s="199"/>
      <c r="T4415" s="199"/>
      <c r="U4415" s="199"/>
    </row>
    <row r="4416" spans="1:21" x14ac:dyDescent="0.25">
      <c r="A4416" t="s">
        <v>996</v>
      </c>
      <c r="B4416" t="s">
        <v>997</v>
      </c>
      <c r="C4416" t="s">
        <v>1013</v>
      </c>
      <c r="D4416" t="s">
        <v>766</v>
      </c>
      <c r="E4416">
        <v>300</v>
      </c>
      <c r="F4416" t="s">
        <v>1024</v>
      </c>
      <c r="G4416" t="s">
        <v>1027</v>
      </c>
      <c r="H4416" s="315" t="s">
        <v>29</v>
      </c>
      <c r="I4416" s="315" t="s">
        <v>1026</v>
      </c>
      <c r="J4416" s="315" t="str">
        <f t="shared" si="361"/>
        <v>New VehicleOther Income per NV unit</v>
      </c>
      <c r="K4416" s="315" t="str">
        <f t="shared" si="362"/>
        <v>300New Vehicle Other Income - Toyota</v>
      </c>
      <c r="L4416" s="311">
        <f>+SUMIF('TUNZ Extracted TB'!M:M,$P4416,'TUNZ Extracted TB'!G:G)</f>
        <v>0</v>
      </c>
      <c r="M4416" s="311"/>
      <c r="N4416" s="311">
        <f>+SUMIF('Input Sheet'!$AE:$AE,P4416,'Input Sheet'!$X:$X)</f>
        <v>0</v>
      </c>
      <c r="O4416" s="311"/>
      <c r="P4416" t="str">
        <f t="shared" si="363"/>
        <v>300-4004RR</v>
      </c>
      <c r="Q4416" s="315" t="str">
        <f t="shared" si="364"/>
        <v>New Vehicle</v>
      </c>
      <c r="R4416" s="315" t="str">
        <f t="shared" si="365"/>
        <v>New VehicleOther Income per NV unit</v>
      </c>
      <c r="S4416" s="199"/>
      <c r="T4416" s="199"/>
      <c r="U4416" s="199"/>
    </row>
    <row r="4417" spans="1:21" x14ac:dyDescent="0.25">
      <c r="A4417" t="s">
        <v>996</v>
      </c>
      <c r="B4417" t="s">
        <v>997</v>
      </c>
      <c r="C4417" t="s">
        <v>997</v>
      </c>
      <c r="D4417" t="s">
        <v>766</v>
      </c>
      <c r="E4417">
        <v>110</v>
      </c>
      <c r="F4417" t="s">
        <v>1287</v>
      </c>
      <c r="G4417" t="s">
        <v>1288</v>
      </c>
      <c r="H4417" s="315" t="s">
        <v>30</v>
      </c>
      <c r="I4417" s="315" t="s">
        <v>1016</v>
      </c>
      <c r="J4417" s="315" t="str">
        <f t="shared" si="361"/>
        <v>Used VehicleEx NV demonstrators gross profit p.u.</v>
      </c>
      <c r="K4417" s="315" t="str">
        <f t="shared" si="362"/>
        <v>110Ex-Toyota NV demonstrator Cost of Sales</v>
      </c>
      <c r="L4417" s="311">
        <f>+SUMIF('TUNZ Extracted TB'!M:M,$P4417,'TUNZ Extracted TB'!G:G)</f>
        <v>0</v>
      </c>
      <c r="M4417" s="311"/>
      <c r="N4417" s="311">
        <f>+SUMIF('Input Sheet'!$AE:$AE,P4417,'Input Sheet'!$X:$X)</f>
        <v>0</v>
      </c>
      <c r="O4417" s="311"/>
      <c r="P4417" t="str">
        <f t="shared" si="363"/>
        <v>110-4004RR</v>
      </c>
      <c r="Q4417" s="315" t="str">
        <f t="shared" si="364"/>
        <v>Used Vehicle</v>
      </c>
      <c r="R4417" s="315" t="str">
        <f t="shared" si="365"/>
        <v>Used VehicleEx NV demonstrators gross profit p.u.</v>
      </c>
      <c r="S4417" s="199"/>
      <c r="T4417" s="199"/>
      <c r="U4417" s="199"/>
    </row>
    <row r="4418" spans="1:21" x14ac:dyDescent="0.25">
      <c r="A4418" t="s">
        <v>996</v>
      </c>
      <c r="B4418" t="s">
        <v>997</v>
      </c>
      <c r="C4418" t="s">
        <v>997</v>
      </c>
      <c r="D4418" t="s">
        <v>768</v>
      </c>
      <c r="E4418">
        <v>100</v>
      </c>
      <c r="F4418" t="s">
        <v>1024</v>
      </c>
      <c r="G4418" t="s">
        <v>1027</v>
      </c>
      <c r="H4418" s="315" t="s">
        <v>29</v>
      </c>
      <c r="I4418" s="315" t="s">
        <v>1026</v>
      </c>
      <c r="J4418" s="315" t="str">
        <f t="shared" si="361"/>
        <v>New VehicleOther Income per NV unit</v>
      </c>
      <c r="K4418" s="315" t="str">
        <f t="shared" si="362"/>
        <v>100New Vehicle Other Income - Toyota</v>
      </c>
      <c r="L4418" s="311">
        <f>+SUMIF('TUNZ Extracted TB'!M:M,$P4418,'TUNZ Extracted TB'!G:G)</f>
        <v>0</v>
      </c>
      <c r="M4418" s="311"/>
      <c r="N4418" s="311">
        <f>+SUMIF('Input Sheet'!$AE:$AE,P4418,'Input Sheet'!$X:$X)</f>
        <v>0</v>
      </c>
      <c r="O4418" s="311"/>
      <c r="P4418" t="str">
        <f t="shared" si="363"/>
        <v>100-4006R</v>
      </c>
      <c r="Q4418" s="315" t="str">
        <f t="shared" si="364"/>
        <v>New Vehicle</v>
      </c>
      <c r="R4418" s="315" t="str">
        <f t="shared" si="365"/>
        <v>New VehicleOther Income per NV unit</v>
      </c>
      <c r="S4418" s="199"/>
      <c r="T4418" s="199"/>
      <c r="U4418" s="199"/>
    </row>
    <row r="4419" spans="1:21" x14ac:dyDescent="0.25">
      <c r="A4419" t="s">
        <v>996</v>
      </c>
      <c r="B4419" t="s">
        <v>997</v>
      </c>
      <c r="C4419" t="s">
        <v>1012</v>
      </c>
      <c r="D4419" t="s">
        <v>766</v>
      </c>
      <c r="E4419">
        <v>410</v>
      </c>
      <c r="F4419" t="s">
        <v>1287</v>
      </c>
      <c r="G4419" t="s">
        <v>1288</v>
      </c>
      <c r="H4419" s="315" t="s">
        <v>30</v>
      </c>
      <c r="I4419" s="315" t="s">
        <v>1016</v>
      </c>
      <c r="J4419" s="315" t="str">
        <f t="shared" ref="J4419:J4482" si="366">+H4419&amp;I4419</f>
        <v>Used VehicleEx NV demonstrators gross profit p.u.</v>
      </c>
      <c r="K4419" s="315" t="str">
        <f t="shared" ref="K4419:K4482" si="367">+E4419&amp;G4419</f>
        <v>410Ex-Toyota NV demonstrator Cost of Sales</v>
      </c>
      <c r="L4419" s="311">
        <f>+SUMIF('TUNZ Extracted TB'!M:M,$P4419,'TUNZ Extracted TB'!G:G)</f>
        <v>0</v>
      </c>
      <c r="M4419" s="311"/>
      <c r="N4419" s="311">
        <f>+SUMIF('Input Sheet'!$AE:$AE,P4419,'Input Sheet'!$X:$X)</f>
        <v>0</v>
      </c>
      <c r="O4419" s="311"/>
      <c r="P4419" t="str">
        <f t="shared" ref="P4419:P4482" si="368">+E4419&amp;"-"&amp;D4419</f>
        <v>410-4004RR</v>
      </c>
      <c r="Q4419" s="315" t="str">
        <f t="shared" ref="Q4419:Q4482" si="369">H4419</f>
        <v>Used Vehicle</v>
      </c>
      <c r="R4419" s="315" t="str">
        <f t="shared" ref="R4419:R4482" si="370">J4419</f>
        <v>Used VehicleEx NV demonstrators gross profit p.u.</v>
      </c>
      <c r="S4419" s="199"/>
      <c r="T4419" s="199"/>
      <c r="U4419" s="199"/>
    </row>
    <row r="4420" spans="1:21" x14ac:dyDescent="0.25">
      <c r="A4420" t="s">
        <v>996</v>
      </c>
      <c r="B4420" t="s">
        <v>997</v>
      </c>
      <c r="C4420" t="s">
        <v>1013</v>
      </c>
      <c r="D4420" t="s">
        <v>766</v>
      </c>
      <c r="E4420">
        <v>310</v>
      </c>
      <c r="F4420" t="s">
        <v>1287</v>
      </c>
      <c r="G4420" t="s">
        <v>1288</v>
      </c>
      <c r="H4420" s="315" t="s">
        <v>30</v>
      </c>
      <c r="I4420" s="315" t="s">
        <v>1016</v>
      </c>
      <c r="J4420" s="315" t="str">
        <f t="shared" si="366"/>
        <v>Used VehicleEx NV demonstrators gross profit p.u.</v>
      </c>
      <c r="K4420" s="315" t="str">
        <f t="shared" si="367"/>
        <v>310Ex-Toyota NV demonstrator Cost of Sales</v>
      </c>
      <c r="L4420" s="311">
        <f>+SUMIF('TUNZ Extracted TB'!M:M,$P4420,'TUNZ Extracted TB'!G:G)</f>
        <v>0</v>
      </c>
      <c r="M4420" s="311"/>
      <c r="N4420" s="311">
        <f>+SUMIF('Input Sheet'!$AE:$AE,P4420,'Input Sheet'!$X:$X)</f>
        <v>0</v>
      </c>
      <c r="O4420" s="311"/>
      <c r="P4420" t="str">
        <f t="shared" si="368"/>
        <v>310-4004RR</v>
      </c>
      <c r="Q4420" s="315" t="str">
        <f t="shared" si="369"/>
        <v>Used Vehicle</v>
      </c>
      <c r="R4420" s="315" t="str">
        <f t="shared" si="370"/>
        <v>Used VehicleEx NV demonstrators gross profit p.u.</v>
      </c>
      <c r="S4420" s="199"/>
      <c r="T4420" s="199"/>
      <c r="U4420" s="199"/>
    </row>
    <row r="4421" spans="1:21" x14ac:dyDescent="0.25">
      <c r="A4421" t="s">
        <v>996</v>
      </c>
      <c r="B4421" t="s">
        <v>997</v>
      </c>
      <c r="C4421" t="s">
        <v>1005</v>
      </c>
      <c r="D4421" t="s">
        <v>766</v>
      </c>
      <c r="E4421">
        <v>210</v>
      </c>
      <c r="F4421" t="s">
        <v>1287</v>
      </c>
      <c r="G4421" t="s">
        <v>1288</v>
      </c>
      <c r="H4421" s="315" t="s">
        <v>30</v>
      </c>
      <c r="I4421" s="315" t="s">
        <v>1016</v>
      </c>
      <c r="J4421" s="315" t="str">
        <f t="shared" si="366"/>
        <v>Used VehicleEx NV demonstrators gross profit p.u.</v>
      </c>
      <c r="K4421" s="315" t="str">
        <f t="shared" si="367"/>
        <v>210Ex-Toyota NV demonstrator Cost of Sales</v>
      </c>
      <c r="L4421" s="311">
        <f>+SUMIF('TUNZ Extracted TB'!M:M,$P4421,'TUNZ Extracted TB'!G:G)</f>
        <v>-364.74</v>
      </c>
      <c r="M4421" s="311"/>
      <c r="N4421" s="311">
        <f>+SUMIF('Input Sheet'!$AE:$AE,P4421,'Input Sheet'!$X:$X)</f>
        <v>0</v>
      </c>
      <c r="O4421" s="311"/>
      <c r="P4421" t="str">
        <f t="shared" si="368"/>
        <v>210-4004RR</v>
      </c>
      <c r="Q4421" s="315" t="str">
        <f t="shared" si="369"/>
        <v>Used Vehicle</v>
      </c>
      <c r="R4421" s="315" t="str">
        <f t="shared" si="370"/>
        <v>Used VehicleEx NV demonstrators gross profit p.u.</v>
      </c>
      <c r="S4421" s="199"/>
      <c r="T4421" s="199"/>
      <c r="U4421" s="199"/>
    </row>
    <row r="4422" spans="1:21" x14ac:dyDescent="0.25">
      <c r="A4422" t="s">
        <v>996</v>
      </c>
      <c r="B4422" t="s">
        <v>997</v>
      </c>
      <c r="C4422" t="s">
        <v>1005</v>
      </c>
      <c r="D4422" t="s">
        <v>768</v>
      </c>
      <c r="E4422">
        <v>200</v>
      </c>
      <c r="F4422" t="s">
        <v>1024</v>
      </c>
      <c r="G4422" t="s">
        <v>1027</v>
      </c>
      <c r="H4422" s="315" t="s">
        <v>29</v>
      </c>
      <c r="I4422" s="315" t="s">
        <v>1026</v>
      </c>
      <c r="J4422" s="315" t="str">
        <f t="shared" si="366"/>
        <v>New VehicleOther Income per NV unit</v>
      </c>
      <c r="K4422" s="315" t="str">
        <f t="shared" si="367"/>
        <v>200New Vehicle Other Income - Toyota</v>
      </c>
      <c r="L4422" s="311">
        <f>+SUMIF('TUNZ Extracted TB'!M:M,$P4422,'TUNZ Extracted TB'!G:G)</f>
        <v>0</v>
      </c>
      <c r="M4422" s="311"/>
      <c r="N4422" s="311">
        <f>+SUMIF('Input Sheet'!$AE:$AE,P4422,'Input Sheet'!$X:$X)</f>
        <v>0</v>
      </c>
      <c r="O4422" s="311"/>
      <c r="P4422" t="str">
        <f t="shared" si="368"/>
        <v>200-4006R</v>
      </c>
      <c r="Q4422" s="315" t="str">
        <f t="shared" si="369"/>
        <v>New Vehicle</v>
      </c>
      <c r="R4422" s="315" t="str">
        <f t="shared" si="370"/>
        <v>New VehicleOther Income per NV unit</v>
      </c>
      <c r="S4422" s="199"/>
      <c r="T4422" s="199"/>
      <c r="U4422" s="199"/>
    </row>
    <row r="4423" spans="1:21" x14ac:dyDescent="0.25">
      <c r="A4423" t="s">
        <v>996</v>
      </c>
      <c r="B4423" t="s">
        <v>997</v>
      </c>
      <c r="C4423" t="s">
        <v>1012</v>
      </c>
      <c r="D4423" t="s">
        <v>768</v>
      </c>
      <c r="E4423">
        <v>400</v>
      </c>
      <c r="F4423" t="s">
        <v>1024</v>
      </c>
      <c r="G4423" t="s">
        <v>1027</v>
      </c>
      <c r="H4423" s="315" t="s">
        <v>29</v>
      </c>
      <c r="I4423" s="315" t="s">
        <v>1026</v>
      </c>
      <c r="J4423" s="315" t="str">
        <f t="shared" si="366"/>
        <v>New VehicleOther Income per NV unit</v>
      </c>
      <c r="K4423" s="315" t="str">
        <f t="shared" si="367"/>
        <v>400New Vehicle Other Income - Toyota</v>
      </c>
      <c r="L4423" s="311">
        <f>+SUMIF('TUNZ Extracted TB'!M:M,$P4423,'TUNZ Extracted TB'!G:G)</f>
        <v>0</v>
      </c>
      <c r="M4423" s="311"/>
      <c r="N4423" s="311">
        <f>+SUMIF('Input Sheet'!$AE:$AE,P4423,'Input Sheet'!$X:$X)</f>
        <v>0</v>
      </c>
      <c r="O4423" s="311"/>
      <c r="P4423" t="str">
        <f t="shared" si="368"/>
        <v>400-4006R</v>
      </c>
      <c r="Q4423" s="315" t="str">
        <f t="shared" si="369"/>
        <v>New Vehicle</v>
      </c>
      <c r="R4423" s="315" t="str">
        <f t="shared" si="370"/>
        <v>New VehicleOther Income per NV unit</v>
      </c>
      <c r="S4423" s="199"/>
      <c r="T4423" s="199"/>
      <c r="U4423" s="199"/>
    </row>
    <row r="4424" spans="1:21" x14ac:dyDescent="0.25">
      <c r="A4424" t="s">
        <v>996</v>
      </c>
      <c r="B4424" t="s">
        <v>997</v>
      </c>
      <c r="C4424" t="s">
        <v>1013</v>
      </c>
      <c r="D4424" t="s">
        <v>768</v>
      </c>
      <c r="E4424">
        <v>300</v>
      </c>
      <c r="F4424" t="s">
        <v>1024</v>
      </c>
      <c r="G4424" t="s">
        <v>1027</v>
      </c>
      <c r="H4424" s="315" t="s">
        <v>29</v>
      </c>
      <c r="I4424" s="315" t="s">
        <v>1026</v>
      </c>
      <c r="J4424" s="315" t="str">
        <f t="shared" si="366"/>
        <v>New VehicleOther Income per NV unit</v>
      </c>
      <c r="K4424" s="315" t="str">
        <f t="shared" si="367"/>
        <v>300New Vehicle Other Income - Toyota</v>
      </c>
      <c r="L4424" s="311">
        <f>+SUMIF('TUNZ Extracted TB'!M:M,$P4424,'TUNZ Extracted TB'!G:G)</f>
        <v>0</v>
      </c>
      <c r="M4424" s="311"/>
      <c r="N4424" s="311">
        <f>+SUMIF('Input Sheet'!$AE:$AE,P4424,'Input Sheet'!$X:$X)</f>
        <v>0</v>
      </c>
      <c r="O4424" s="311"/>
      <c r="P4424" t="str">
        <f t="shared" si="368"/>
        <v>300-4006R</v>
      </c>
      <c r="Q4424" s="315" t="str">
        <f t="shared" si="369"/>
        <v>New Vehicle</v>
      </c>
      <c r="R4424" s="315" t="str">
        <f t="shared" si="370"/>
        <v>New VehicleOther Income per NV unit</v>
      </c>
      <c r="S4424" s="199"/>
      <c r="T4424" s="199"/>
      <c r="U4424" s="199"/>
    </row>
    <row r="4425" spans="1:21" x14ac:dyDescent="0.25">
      <c r="A4425" t="s">
        <v>996</v>
      </c>
      <c r="B4425" t="s">
        <v>997</v>
      </c>
      <c r="C4425" t="s">
        <v>997</v>
      </c>
      <c r="D4425" t="s">
        <v>768</v>
      </c>
      <c r="E4425">
        <v>110</v>
      </c>
      <c r="F4425" t="s">
        <v>1287</v>
      </c>
      <c r="G4425" t="s">
        <v>1288</v>
      </c>
      <c r="H4425" s="315" t="s">
        <v>30</v>
      </c>
      <c r="I4425" s="315" t="s">
        <v>1016</v>
      </c>
      <c r="J4425" s="315" t="str">
        <f t="shared" si="366"/>
        <v>Used VehicleEx NV demonstrators gross profit p.u.</v>
      </c>
      <c r="K4425" s="315" t="str">
        <f t="shared" si="367"/>
        <v>110Ex-Toyota NV demonstrator Cost of Sales</v>
      </c>
      <c r="L4425" s="311">
        <f>+SUMIF('TUNZ Extracted TB'!M:M,$P4425,'TUNZ Extracted TB'!G:G)</f>
        <v>0</v>
      </c>
      <c r="M4425" s="311"/>
      <c r="N4425" s="311">
        <f>+SUMIF('Input Sheet'!$AE:$AE,P4425,'Input Sheet'!$X:$X)</f>
        <v>0</v>
      </c>
      <c r="O4425" s="311"/>
      <c r="P4425" t="str">
        <f t="shared" si="368"/>
        <v>110-4006R</v>
      </c>
      <c r="Q4425" s="315" t="str">
        <f t="shared" si="369"/>
        <v>Used Vehicle</v>
      </c>
      <c r="R4425" s="315" t="str">
        <f t="shared" si="370"/>
        <v>Used VehicleEx NV demonstrators gross profit p.u.</v>
      </c>
      <c r="S4425" s="199"/>
      <c r="T4425" s="199"/>
      <c r="U4425" s="199"/>
    </row>
    <row r="4426" spans="1:21" x14ac:dyDescent="0.25">
      <c r="A4426" t="s">
        <v>996</v>
      </c>
      <c r="B4426" t="s">
        <v>997</v>
      </c>
      <c r="C4426" t="s">
        <v>997</v>
      </c>
      <c r="D4426" t="s">
        <v>770</v>
      </c>
      <c r="E4426">
        <v>100</v>
      </c>
      <c r="F4426" t="s">
        <v>1024</v>
      </c>
      <c r="G4426" t="s">
        <v>1027</v>
      </c>
      <c r="H4426" s="315" t="s">
        <v>29</v>
      </c>
      <c r="I4426" s="315" t="s">
        <v>1026</v>
      </c>
      <c r="J4426" s="315" t="str">
        <f t="shared" si="366"/>
        <v>New VehicleOther Income per NV unit</v>
      </c>
      <c r="K4426" s="315" t="str">
        <f t="shared" si="367"/>
        <v>100New Vehicle Other Income - Toyota</v>
      </c>
      <c r="L4426" s="311">
        <f>+SUMIF('TUNZ Extracted TB'!M:M,$P4426,'TUNZ Extracted TB'!G:G)</f>
        <v>0</v>
      </c>
      <c r="M4426" s="311"/>
      <c r="N4426" s="311">
        <f>+SUMIF('Input Sheet'!$AE:$AE,P4426,'Input Sheet'!$X:$X)</f>
        <v>0</v>
      </c>
      <c r="O4426" s="311"/>
      <c r="P4426" t="str">
        <f t="shared" si="368"/>
        <v>100-4006RR</v>
      </c>
      <c r="Q4426" s="315" t="str">
        <f t="shared" si="369"/>
        <v>New Vehicle</v>
      </c>
      <c r="R4426" s="315" t="str">
        <f t="shared" si="370"/>
        <v>New VehicleOther Income per NV unit</v>
      </c>
      <c r="S4426" s="199"/>
      <c r="T4426" s="199"/>
      <c r="U4426" s="199"/>
    </row>
    <row r="4427" spans="1:21" x14ac:dyDescent="0.25">
      <c r="A4427" t="s">
        <v>996</v>
      </c>
      <c r="B4427" t="s">
        <v>997</v>
      </c>
      <c r="C4427" t="s">
        <v>1005</v>
      </c>
      <c r="D4427" t="s">
        <v>768</v>
      </c>
      <c r="E4427">
        <v>210</v>
      </c>
      <c r="F4427" t="s">
        <v>1287</v>
      </c>
      <c r="G4427" t="s">
        <v>1288</v>
      </c>
      <c r="H4427" s="315" t="s">
        <v>30</v>
      </c>
      <c r="I4427" s="315" t="s">
        <v>1016</v>
      </c>
      <c r="J4427" s="315" t="str">
        <f t="shared" si="366"/>
        <v>Used VehicleEx NV demonstrators gross profit p.u.</v>
      </c>
      <c r="K4427" s="315" t="str">
        <f t="shared" si="367"/>
        <v>210Ex-Toyota NV demonstrator Cost of Sales</v>
      </c>
      <c r="L4427" s="311">
        <f>+SUMIF('TUNZ Extracted TB'!M:M,$P4427,'TUNZ Extracted TB'!G:G)</f>
        <v>0</v>
      </c>
      <c r="M4427" s="311"/>
      <c r="N4427" s="311">
        <f>+SUMIF('Input Sheet'!$AE:$AE,P4427,'Input Sheet'!$X:$X)</f>
        <v>0</v>
      </c>
      <c r="O4427" s="311"/>
      <c r="P4427" t="str">
        <f t="shared" si="368"/>
        <v>210-4006R</v>
      </c>
      <c r="Q4427" s="315" t="str">
        <f t="shared" si="369"/>
        <v>Used Vehicle</v>
      </c>
      <c r="R4427" s="315" t="str">
        <f t="shared" si="370"/>
        <v>Used VehicleEx NV demonstrators gross profit p.u.</v>
      </c>
      <c r="S4427" s="199"/>
      <c r="T4427" s="199"/>
      <c r="U4427" s="199"/>
    </row>
    <row r="4428" spans="1:21" x14ac:dyDescent="0.25">
      <c r="A4428" t="s">
        <v>996</v>
      </c>
      <c r="B4428" t="s">
        <v>997</v>
      </c>
      <c r="C4428" t="s">
        <v>1012</v>
      </c>
      <c r="D4428" t="s">
        <v>768</v>
      </c>
      <c r="E4428">
        <v>410</v>
      </c>
      <c r="F4428" t="s">
        <v>1287</v>
      </c>
      <c r="G4428" t="s">
        <v>1288</v>
      </c>
      <c r="H4428" s="315" t="s">
        <v>30</v>
      </c>
      <c r="I4428" s="315" t="s">
        <v>1016</v>
      </c>
      <c r="J4428" s="315" t="str">
        <f t="shared" si="366"/>
        <v>Used VehicleEx NV demonstrators gross profit p.u.</v>
      </c>
      <c r="K4428" s="315" t="str">
        <f t="shared" si="367"/>
        <v>410Ex-Toyota NV demonstrator Cost of Sales</v>
      </c>
      <c r="L4428" s="311">
        <f>+SUMIF('TUNZ Extracted TB'!M:M,$P4428,'TUNZ Extracted TB'!G:G)</f>
        <v>0</v>
      </c>
      <c r="M4428" s="311"/>
      <c r="N4428" s="311">
        <f>+SUMIF('Input Sheet'!$AE:$AE,P4428,'Input Sheet'!$X:$X)</f>
        <v>0</v>
      </c>
      <c r="O4428" s="311"/>
      <c r="P4428" t="str">
        <f t="shared" si="368"/>
        <v>410-4006R</v>
      </c>
      <c r="Q4428" s="315" t="str">
        <f t="shared" si="369"/>
        <v>Used Vehicle</v>
      </c>
      <c r="R4428" s="315" t="str">
        <f t="shared" si="370"/>
        <v>Used VehicleEx NV demonstrators gross profit p.u.</v>
      </c>
      <c r="S4428" s="199"/>
      <c r="T4428" s="199"/>
      <c r="U4428" s="199"/>
    </row>
    <row r="4429" spans="1:21" x14ac:dyDescent="0.25">
      <c r="A4429" t="s">
        <v>996</v>
      </c>
      <c r="B4429" t="s">
        <v>997</v>
      </c>
      <c r="C4429" t="s">
        <v>1013</v>
      </c>
      <c r="D4429" t="s">
        <v>768</v>
      </c>
      <c r="E4429">
        <v>310</v>
      </c>
      <c r="F4429" t="s">
        <v>1287</v>
      </c>
      <c r="G4429" t="s">
        <v>1288</v>
      </c>
      <c r="H4429" s="315" t="s">
        <v>30</v>
      </c>
      <c r="I4429" s="315" t="s">
        <v>1016</v>
      </c>
      <c r="J4429" s="315" t="str">
        <f t="shared" si="366"/>
        <v>Used VehicleEx NV demonstrators gross profit p.u.</v>
      </c>
      <c r="K4429" s="315" t="str">
        <f t="shared" si="367"/>
        <v>310Ex-Toyota NV demonstrator Cost of Sales</v>
      </c>
      <c r="L4429" s="311">
        <f>+SUMIF('TUNZ Extracted TB'!M:M,$P4429,'TUNZ Extracted TB'!G:G)</f>
        <v>0</v>
      </c>
      <c r="M4429" s="311"/>
      <c r="N4429" s="311">
        <f>+SUMIF('Input Sheet'!$AE:$AE,P4429,'Input Sheet'!$X:$X)</f>
        <v>0</v>
      </c>
      <c r="O4429" s="311"/>
      <c r="P4429" t="str">
        <f t="shared" si="368"/>
        <v>310-4006R</v>
      </c>
      <c r="Q4429" s="315" t="str">
        <f t="shared" si="369"/>
        <v>Used Vehicle</v>
      </c>
      <c r="R4429" s="315" t="str">
        <f t="shared" si="370"/>
        <v>Used VehicleEx NV demonstrators gross profit p.u.</v>
      </c>
      <c r="S4429" s="199"/>
      <c r="T4429" s="199"/>
      <c r="U4429" s="199"/>
    </row>
    <row r="4430" spans="1:21" x14ac:dyDescent="0.25">
      <c r="A4430" t="s">
        <v>996</v>
      </c>
      <c r="B4430" t="s">
        <v>997</v>
      </c>
      <c r="C4430" t="s">
        <v>1005</v>
      </c>
      <c r="D4430" t="s">
        <v>770</v>
      </c>
      <c r="E4430">
        <v>200</v>
      </c>
      <c r="F4430" t="s">
        <v>1024</v>
      </c>
      <c r="G4430" t="s">
        <v>1027</v>
      </c>
      <c r="H4430" s="315" t="s">
        <v>29</v>
      </c>
      <c r="I4430" s="315" t="s">
        <v>1026</v>
      </c>
      <c r="J4430" s="315" t="str">
        <f t="shared" si="366"/>
        <v>New VehicleOther Income per NV unit</v>
      </c>
      <c r="K4430" s="315" t="str">
        <f t="shared" si="367"/>
        <v>200New Vehicle Other Income - Toyota</v>
      </c>
      <c r="L4430" s="311">
        <f>+SUMIF('TUNZ Extracted TB'!M:M,$P4430,'TUNZ Extracted TB'!G:G)</f>
        <v>0</v>
      </c>
      <c r="M4430" s="311"/>
      <c r="N4430" s="311">
        <f>+SUMIF('Input Sheet'!$AE:$AE,P4430,'Input Sheet'!$X:$X)</f>
        <v>0</v>
      </c>
      <c r="O4430" s="311"/>
      <c r="P4430" t="str">
        <f t="shared" si="368"/>
        <v>200-4006RR</v>
      </c>
      <c r="Q4430" s="315" t="str">
        <f t="shared" si="369"/>
        <v>New Vehicle</v>
      </c>
      <c r="R4430" s="315" t="str">
        <f t="shared" si="370"/>
        <v>New VehicleOther Income per NV unit</v>
      </c>
      <c r="S4430" s="199"/>
      <c r="T4430" s="199"/>
      <c r="U4430" s="199"/>
    </row>
    <row r="4431" spans="1:21" x14ac:dyDescent="0.25">
      <c r="A4431" t="s">
        <v>996</v>
      </c>
      <c r="B4431" t="s">
        <v>997</v>
      </c>
      <c r="C4431" t="s">
        <v>1012</v>
      </c>
      <c r="D4431" t="s">
        <v>770</v>
      </c>
      <c r="E4431">
        <v>400</v>
      </c>
      <c r="F4431" t="s">
        <v>1024</v>
      </c>
      <c r="G4431" t="s">
        <v>1027</v>
      </c>
      <c r="H4431" s="315" t="s">
        <v>29</v>
      </c>
      <c r="I4431" s="315" t="s">
        <v>1026</v>
      </c>
      <c r="J4431" s="315" t="str">
        <f t="shared" si="366"/>
        <v>New VehicleOther Income per NV unit</v>
      </c>
      <c r="K4431" s="315" t="str">
        <f t="shared" si="367"/>
        <v>400New Vehicle Other Income - Toyota</v>
      </c>
      <c r="L4431" s="311">
        <f>+SUMIF('TUNZ Extracted TB'!M:M,$P4431,'TUNZ Extracted TB'!G:G)</f>
        <v>0</v>
      </c>
      <c r="M4431" s="311"/>
      <c r="N4431" s="311">
        <f>+SUMIF('Input Sheet'!$AE:$AE,P4431,'Input Sheet'!$X:$X)</f>
        <v>0</v>
      </c>
      <c r="O4431" s="311"/>
      <c r="P4431" t="str">
        <f t="shared" si="368"/>
        <v>400-4006RR</v>
      </c>
      <c r="Q4431" s="315" t="str">
        <f t="shared" si="369"/>
        <v>New Vehicle</v>
      </c>
      <c r="R4431" s="315" t="str">
        <f t="shared" si="370"/>
        <v>New VehicleOther Income per NV unit</v>
      </c>
      <c r="S4431" s="199"/>
      <c r="T4431" s="199"/>
      <c r="U4431" s="199"/>
    </row>
    <row r="4432" spans="1:21" x14ac:dyDescent="0.25">
      <c r="A4432" t="s">
        <v>996</v>
      </c>
      <c r="B4432" t="s">
        <v>997</v>
      </c>
      <c r="C4432" t="s">
        <v>1013</v>
      </c>
      <c r="D4432" t="s">
        <v>770</v>
      </c>
      <c r="E4432">
        <v>300</v>
      </c>
      <c r="F4432" t="s">
        <v>1024</v>
      </c>
      <c r="G4432" t="s">
        <v>1027</v>
      </c>
      <c r="H4432" s="315" t="s">
        <v>29</v>
      </c>
      <c r="I4432" s="315" t="s">
        <v>1026</v>
      </c>
      <c r="J4432" s="315" t="str">
        <f t="shared" si="366"/>
        <v>New VehicleOther Income per NV unit</v>
      </c>
      <c r="K4432" s="315" t="str">
        <f t="shared" si="367"/>
        <v>300New Vehicle Other Income - Toyota</v>
      </c>
      <c r="L4432" s="311">
        <f>+SUMIF('TUNZ Extracted TB'!M:M,$P4432,'TUNZ Extracted TB'!G:G)</f>
        <v>0</v>
      </c>
      <c r="M4432" s="311"/>
      <c r="N4432" s="311">
        <f>+SUMIF('Input Sheet'!$AE:$AE,P4432,'Input Sheet'!$X:$X)</f>
        <v>0</v>
      </c>
      <c r="O4432" s="311"/>
      <c r="P4432" t="str">
        <f t="shared" si="368"/>
        <v>300-4006RR</v>
      </c>
      <c r="Q4432" s="315" t="str">
        <f t="shared" si="369"/>
        <v>New Vehicle</v>
      </c>
      <c r="R4432" s="315" t="str">
        <f t="shared" si="370"/>
        <v>New VehicleOther Income per NV unit</v>
      </c>
      <c r="S4432" s="199"/>
      <c r="T4432" s="199"/>
      <c r="U4432" s="199"/>
    </row>
    <row r="4433" spans="1:21" x14ac:dyDescent="0.25">
      <c r="A4433" t="s">
        <v>996</v>
      </c>
      <c r="B4433" t="s">
        <v>997</v>
      </c>
      <c r="C4433" t="s">
        <v>997</v>
      </c>
      <c r="D4433" t="s">
        <v>770</v>
      </c>
      <c r="E4433">
        <v>110</v>
      </c>
      <c r="F4433" t="s">
        <v>1287</v>
      </c>
      <c r="G4433" t="s">
        <v>1288</v>
      </c>
      <c r="H4433" s="315" t="s">
        <v>30</v>
      </c>
      <c r="I4433" s="315" t="s">
        <v>1016</v>
      </c>
      <c r="J4433" s="315" t="str">
        <f t="shared" si="366"/>
        <v>Used VehicleEx NV demonstrators gross profit p.u.</v>
      </c>
      <c r="K4433" s="315" t="str">
        <f t="shared" si="367"/>
        <v>110Ex-Toyota NV demonstrator Cost of Sales</v>
      </c>
      <c r="L4433" s="311">
        <f>+SUMIF('TUNZ Extracted TB'!M:M,$P4433,'TUNZ Extracted TB'!G:G)</f>
        <v>0</v>
      </c>
      <c r="M4433" s="311"/>
      <c r="N4433" s="311">
        <f>+SUMIF('Input Sheet'!$AE:$AE,P4433,'Input Sheet'!$X:$X)</f>
        <v>0</v>
      </c>
      <c r="O4433" s="311"/>
      <c r="P4433" t="str">
        <f t="shared" si="368"/>
        <v>110-4006RR</v>
      </c>
      <c r="Q4433" s="315" t="str">
        <f t="shared" si="369"/>
        <v>Used Vehicle</v>
      </c>
      <c r="R4433" s="315" t="str">
        <f t="shared" si="370"/>
        <v>Used VehicleEx NV demonstrators gross profit p.u.</v>
      </c>
      <c r="S4433" s="199"/>
      <c r="T4433" s="199"/>
      <c r="U4433" s="199"/>
    </row>
    <row r="4434" spans="1:21" x14ac:dyDescent="0.25">
      <c r="A4434" t="s">
        <v>996</v>
      </c>
      <c r="B4434" t="s">
        <v>997</v>
      </c>
      <c r="C4434" t="s">
        <v>997</v>
      </c>
      <c r="D4434" t="s">
        <v>772</v>
      </c>
      <c r="E4434">
        <v>100</v>
      </c>
      <c r="F4434" t="s">
        <v>1024</v>
      </c>
      <c r="G4434" t="s">
        <v>1027</v>
      </c>
      <c r="H4434" s="315" t="s">
        <v>29</v>
      </c>
      <c r="I4434" s="315" t="s">
        <v>1026</v>
      </c>
      <c r="J4434" s="315" t="str">
        <f t="shared" si="366"/>
        <v>New VehicleOther Income per NV unit</v>
      </c>
      <c r="K4434" s="315" t="str">
        <f t="shared" si="367"/>
        <v>100New Vehicle Other Income - Toyota</v>
      </c>
      <c r="L4434" s="311">
        <f>+SUMIF('TUNZ Extracted TB'!M:M,$P4434,'TUNZ Extracted TB'!G:G)</f>
        <v>0</v>
      </c>
      <c r="M4434" s="311"/>
      <c r="N4434" s="311">
        <f>+SUMIF('Input Sheet'!$AE:$AE,P4434,'Input Sheet'!$X:$X)</f>
        <v>0</v>
      </c>
      <c r="O4434" s="311"/>
      <c r="P4434" t="str">
        <f t="shared" si="368"/>
        <v>100-4007R</v>
      </c>
      <c r="Q4434" s="315" t="str">
        <f t="shared" si="369"/>
        <v>New Vehicle</v>
      </c>
      <c r="R4434" s="315" t="str">
        <f t="shared" si="370"/>
        <v>New VehicleOther Income per NV unit</v>
      </c>
      <c r="S4434" s="199"/>
      <c r="T4434" s="199"/>
      <c r="U4434" s="199"/>
    </row>
    <row r="4435" spans="1:21" x14ac:dyDescent="0.25">
      <c r="A4435" t="s">
        <v>996</v>
      </c>
      <c r="B4435" t="s">
        <v>997</v>
      </c>
      <c r="C4435" t="s">
        <v>1012</v>
      </c>
      <c r="D4435" t="s">
        <v>770</v>
      </c>
      <c r="E4435">
        <v>410</v>
      </c>
      <c r="F4435" t="s">
        <v>1287</v>
      </c>
      <c r="G4435" t="s">
        <v>1288</v>
      </c>
      <c r="H4435" s="315" t="s">
        <v>30</v>
      </c>
      <c r="I4435" s="315" t="s">
        <v>1016</v>
      </c>
      <c r="J4435" s="315" t="str">
        <f t="shared" si="366"/>
        <v>Used VehicleEx NV demonstrators gross profit p.u.</v>
      </c>
      <c r="K4435" s="315" t="str">
        <f t="shared" si="367"/>
        <v>410Ex-Toyota NV demonstrator Cost of Sales</v>
      </c>
      <c r="L4435" s="311">
        <f>+SUMIF('TUNZ Extracted TB'!M:M,$P4435,'TUNZ Extracted TB'!G:G)</f>
        <v>0</v>
      </c>
      <c r="M4435" s="311"/>
      <c r="N4435" s="311">
        <f>+SUMIF('Input Sheet'!$AE:$AE,P4435,'Input Sheet'!$X:$X)</f>
        <v>0</v>
      </c>
      <c r="O4435" s="311"/>
      <c r="P4435" t="str">
        <f t="shared" si="368"/>
        <v>410-4006RR</v>
      </c>
      <c r="Q4435" s="315" t="str">
        <f t="shared" si="369"/>
        <v>Used Vehicle</v>
      </c>
      <c r="R4435" s="315" t="str">
        <f t="shared" si="370"/>
        <v>Used VehicleEx NV demonstrators gross profit p.u.</v>
      </c>
      <c r="S4435" s="199"/>
      <c r="T4435" s="199"/>
      <c r="U4435" s="199"/>
    </row>
    <row r="4436" spans="1:21" x14ac:dyDescent="0.25">
      <c r="A4436" t="s">
        <v>996</v>
      </c>
      <c r="B4436" t="s">
        <v>997</v>
      </c>
      <c r="C4436" t="s">
        <v>1013</v>
      </c>
      <c r="D4436" t="s">
        <v>770</v>
      </c>
      <c r="E4436">
        <v>310</v>
      </c>
      <c r="F4436" t="s">
        <v>1287</v>
      </c>
      <c r="G4436" t="s">
        <v>1288</v>
      </c>
      <c r="H4436" s="315" t="s">
        <v>30</v>
      </c>
      <c r="I4436" s="315" t="s">
        <v>1016</v>
      </c>
      <c r="J4436" s="315" t="str">
        <f t="shared" si="366"/>
        <v>Used VehicleEx NV demonstrators gross profit p.u.</v>
      </c>
      <c r="K4436" s="315" t="str">
        <f t="shared" si="367"/>
        <v>310Ex-Toyota NV demonstrator Cost of Sales</v>
      </c>
      <c r="L4436" s="311">
        <f>+SUMIF('TUNZ Extracted TB'!M:M,$P4436,'TUNZ Extracted TB'!G:G)</f>
        <v>0</v>
      </c>
      <c r="M4436" s="311"/>
      <c r="N4436" s="311">
        <f>+SUMIF('Input Sheet'!$AE:$AE,P4436,'Input Sheet'!$X:$X)</f>
        <v>0</v>
      </c>
      <c r="O4436" s="311"/>
      <c r="P4436" t="str">
        <f t="shared" si="368"/>
        <v>310-4006RR</v>
      </c>
      <c r="Q4436" s="315" t="str">
        <f t="shared" si="369"/>
        <v>Used Vehicle</v>
      </c>
      <c r="R4436" s="315" t="str">
        <f t="shared" si="370"/>
        <v>Used VehicleEx NV demonstrators gross profit p.u.</v>
      </c>
      <c r="S4436" s="199"/>
      <c r="T4436" s="199"/>
      <c r="U4436" s="199"/>
    </row>
    <row r="4437" spans="1:21" x14ac:dyDescent="0.25">
      <c r="A4437" t="s">
        <v>996</v>
      </c>
      <c r="B4437" t="s">
        <v>997</v>
      </c>
      <c r="C4437" t="s">
        <v>1005</v>
      </c>
      <c r="D4437" t="s">
        <v>770</v>
      </c>
      <c r="E4437">
        <v>210</v>
      </c>
      <c r="F4437" t="s">
        <v>1287</v>
      </c>
      <c r="G4437" t="s">
        <v>1288</v>
      </c>
      <c r="H4437" s="315" t="s">
        <v>30</v>
      </c>
      <c r="I4437" s="315" t="s">
        <v>1016</v>
      </c>
      <c r="J4437" s="315" t="str">
        <f t="shared" si="366"/>
        <v>Used VehicleEx NV demonstrators gross profit p.u.</v>
      </c>
      <c r="K4437" s="315" t="str">
        <f t="shared" si="367"/>
        <v>210Ex-Toyota NV demonstrator Cost of Sales</v>
      </c>
      <c r="L4437" s="311">
        <f>+SUMIF('TUNZ Extracted TB'!M:M,$P4437,'TUNZ Extracted TB'!G:G)</f>
        <v>0</v>
      </c>
      <c r="M4437" s="311"/>
      <c r="N4437" s="311">
        <f>+SUMIF('Input Sheet'!$AE:$AE,P4437,'Input Sheet'!$X:$X)</f>
        <v>0</v>
      </c>
      <c r="O4437" s="311"/>
      <c r="P4437" t="str">
        <f t="shared" si="368"/>
        <v>210-4006RR</v>
      </c>
      <c r="Q4437" s="315" t="str">
        <f t="shared" si="369"/>
        <v>Used Vehicle</v>
      </c>
      <c r="R4437" s="315" t="str">
        <f t="shared" si="370"/>
        <v>Used VehicleEx NV demonstrators gross profit p.u.</v>
      </c>
      <c r="S4437" s="199"/>
      <c r="T4437" s="199"/>
      <c r="U4437" s="199"/>
    </row>
    <row r="4438" spans="1:21" x14ac:dyDescent="0.25">
      <c r="A4438" t="s">
        <v>996</v>
      </c>
      <c r="B4438" t="s">
        <v>997</v>
      </c>
      <c r="C4438" t="s">
        <v>1005</v>
      </c>
      <c r="D4438" t="s">
        <v>772</v>
      </c>
      <c r="E4438">
        <v>200</v>
      </c>
      <c r="F4438" t="s">
        <v>1024</v>
      </c>
      <c r="G4438" t="s">
        <v>1027</v>
      </c>
      <c r="H4438" s="315" t="s">
        <v>29</v>
      </c>
      <c r="I4438" s="315" t="s">
        <v>1026</v>
      </c>
      <c r="J4438" s="315" t="str">
        <f t="shared" si="366"/>
        <v>New VehicleOther Income per NV unit</v>
      </c>
      <c r="K4438" s="315" t="str">
        <f t="shared" si="367"/>
        <v>200New Vehicle Other Income - Toyota</v>
      </c>
      <c r="L4438" s="311">
        <f>+SUMIF('TUNZ Extracted TB'!M:M,$P4438,'TUNZ Extracted TB'!G:G)</f>
        <v>0</v>
      </c>
      <c r="M4438" s="311"/>
      <c r="N4438" s="311">
        <f>+SUMIF('Input Sheet'!$AE:$AE,P4438,'Input Sheet'!$X:$X)</f>
        <v>0</v>
      </c>
      <c r="O4438" s="311"/>
      <c r="P4438" t="str">
        <f t="shared" si="368"/>
        <v>200-4007R</v>
      </c>
      <c r="Q4438" s="315" t="str">
        <f t="shared" si="369"/>
        <v>New Vehicle</v>
      </c>
      <c r="R4438" s="315" t="str">
        <f t="shared" si="370"/>
        <v>New VehicleOther Income per NV unit</v>
      </c>
      <c r="S4438" s="199"/>
      <c r="T4438" s="199"/>
      <c r="U4438" s="199"/>
    </row>
    <row r="4439" spans="1:21" x14ac:dyDescent="0.25">
      <c r="A4439" t="s">
        <v>996</v>
      </c>
      <c r="B4439" t="s">
        <v>997</v>
      </c>
      <c r="C4439" t="s">
        <v>1012</v>
      </c>
      <c r="D4439" t="s">
        <v>772</v>
      </c>
      <c r="E4439">
        <v>400</v>
      </c>
      <c r="F4439" t="s">
        <v>1024</v>
      </c>
      <c r="G4439" t="s">
        <v>1027</v>
      </c>
      <c r="H4439" s="315" t="s">
        <v>29</v>
      </c>
      <c r="I4439" s="315" t="s">
        <v>1026</v>
      </c>
      <c r="J4439" s="315" t="str">
        <f t="shared" si="366"/>
        <v>New VehicleOther Income per NV unit</v>
      </c>
      <c r="K4439" s="315" t="str">
        <f t="shared" si="367"/>
        <v>400New Vehicle Other Income - Toyota</v>
      </c>
      <c r="L4439" s="311">
        <f>+SUMIF('TUNZ Extracted TB'!M:M,$P4439,'TUNZ Extracted TB'!G:G)</f>
        <v>0</v>
      </c>
      <c r="M4439" s="311"/>
      <c r="N4439" s="311">
        <f>+SUMIF('Input Sheet'!$AE:$AE,P4439,'Input Sheet'!$X:$X)</f>
        <v>0</v>
      </c>
      <c r="O4439" s="311"/>
      <c r="P4439" t="str">
        <f t="shared" si="368"/>
        <v>400-4007R</v>
      </c>
      <c r="Q4439" s="315" t="str">
        <f t="shared" si="369"/>
        <v>New Vehicle</v>
      </c>
      <c r="R4439" s="315" t="str">
        <f t="shared" si="370"/>
        <v>New VehicleOther Income per NV unit</v>
      </c>
      <c r="S4439" s="199"/>
      <c r="T4439" s="199"/>
      <c r="U4439" s="199"/>
    </row>
    <row r="4440" spans="1:21" x14ac:dyDescent="0.25">
      <c r="A4440" t="s">
        <v>996</v>
      </c>
      <c r="B4440" t="s">
        <v>997</v>
      </c>
      <c r="C4440" t="s">
        <v>1013</v>
      </c>
      <c r="D4440" t="s">
        <v>772</v>
      </c>
      <c r="E4440">
        <v>300</v>
      </c>
      <c r="F4440" t="s">
        <v>1024</v>
      </c>
      <c r="G4440" t="s">
        <v>1027</v>
      </c>
      <c r="H4440" s="315" t="s">
        <v>29</v>
      </c>
      <c r="I4440" s="315" t="s">
        <v>1026</v>
      </c>
      <c r="J4440" s="315" t="str">
        <f t="shared" si="366"/>
        <v>New VehicleOther Income per NV unit</v>
      </c>
      <c r="K4440" s="315" t="str">
        <f t="shared" si="367"/>
        <v>300New Vehicle Other Income - Toyota</v>
      </c>
      <c r="L4440" s="311">
        <f>+SUMIF('TUNZ Extracted TB'!M:M,$P4440,'TUNZ Extracted TB'!G:G)</f>
        <v>0</v>
      </c>
      <c r="M4440" s="311"/>
      <c r="N4440" s="311">
        <f>+SUMIF('Input Sheet'!$AE:$AE,P4440,'Input Sheet'!$X:$X)</f>
        <v>0</v>
      </c>
      <c r="O4440" s="311"/>
      <c r="P4440" t="str">
        <f t="shared" si="368"/>
        <v>300-4007R</v>
      </c>
      <c r="Q4440" s="315" t="str">
        <f t="shared" si="369"/>
        <v>New Vehicle</v>
      </c>
      <c r="R4440" s="315" t="str">
        <f t="shared" si="370"/>
        <v>New VehicleOther Income per NV unit</v>
      </c>
      <c r="S4440" s="199"/>
      <c r="T4440" s="199"/>
      <c r="U4440" s="199"/>
    </row>
    <row r="4441" spans="1:21" x14ac:dyDescent="0.25">
      <c r="A4441" t="s">
        <v>996</v>
      </c>
      <c r="B4441" t="s">
        <v>997</v>
      </c>
      <c r="C4441" t="s">
        <v>997</v>
      </c>
      <c r="D4441" t="s">
        <v>772</v>
      </c>
      <c r="E4441">
        <v>110</v>
      </c>
      <c r="F4441" t="s">
        <v>1287</v>
      </c>
      <c r="G4441" t="s">
        <v>1288</v>
      </c>
      <c r="H4441" s="315" t="s">
        <v>30</v>
      </c>
      <c r="I4441" s="315" t="s">
        <v>1016</v>
      </c>
      <c r="J4441" s="315" t="str">
        <f t="shared" si="366"/>
        <v>Used VehicleEx NV demonstrators gross profit p.u.</v>
      </c>
      <c r="K4441" s="315" t="str">
        <f t="shared" si="367"/>
        <v>110Ex-Toyota NV demonstrator Cost of Sales</v>
      </c>
      <c r="L4441" s="311">
        <f>+SUMIF('TUNZ Extracted TB'!M:M,$P4441,'TUNZ Extracted TB'!G:G)</f>
        <v>0</v>
      </c>
      <c r="M4441" s="311"/>
      <c r="N4441" s="311">
        <f>+SUMIF('Input Sheet'!$AE:$AE,P4441,'Input Sheet'!$X:$X)</f>
        <v>0</v>
      </c>
      <c r="O4441" s="311"/>
      <c r="P4441" t="str">
        <f t="shared" si="368"/>
        <v>110-4007R</v>
      </c>
      <c r="Q4441" s="315" t="str">
        <f t="shared" si="369"/>
        <v>Used Vehicle</v>
      </c>
      <c r="R4441" s="315" t="str">
        <f t="shared" si="370"/>
        <v>Used VehicleEx NV demonstrators gross profit p.u.</v>
      </c>
      <c r="S4441" s="199"/>
      <c r="T4441" s="199"/>
      <c r="U4441" s="199"/>
    </row>
    <row r="4442" spans="1:21" x14ac:dyDescent="0.25">
      <c r="A4442" t="s">
        <v>996</v>
      </c>
      <c r="B4442" t="s">
        <v>997</v>
      </c>
      <c r="C4442" t="s">
        <v>997</v>
      </c>
      <c r="D4442" t="s">
        <v>774</v>
      </c>
      <c r="E4442">
        <v>100</v>
      </c>
      <c r="F4442" t="s">
        <v>1024</v>
      </c>
      <c r="G4442" t="s">
        <v>1027</v>
      </c>
      <c r="H4442" s="315" t="s">
        <v>29</v>
      </c>
      <c r="I4442" s="315" t="s">
        <v>1026</v>
      </c>
      <c r="J4442" s="315" t="str">
        <f t="shared" si="366"/>
        <v>New VehicleOther Income per NV unit</v>
      </c>
      <c r="K4442" s="315" t="str">
        <f t="shared" si="367"/>
        <v>100New Vehicle Other Income - Toyota</v>
      </c>
      <c r="L4442" s="311">
        <f>+SUMIF('TUNZ Extracted TB'!M:M,$P4442,'TUNZ Extracted TB'!G:G)</f>
        <v>0</v>
      </c>
      <c r="M4442" s="311"/>
      <c r="N4442" s="311">
        <f>+SUMIF('Input Sheet'!$AE:$AE,P4442,'Input Sheet'!$X:$X)</f>
        <v>0</v>
      </c>
      <c r="O4442" s="311"/>
      <c r="P4442" t="str">
        <f t="shared" si="368"/>
        <v>100-4007RR</v>
      </c>
      <c r="Q4442" s="315" t="str">
        <f t="shared" si="369"/>
        <v>New Vehicle</v>
      </c>
      <c r="R4442" s="315" t="str">
        <f t="shared" si="370"/>
        <v>New VehicleOther Income per NV unit</v>
      </c>
      <c r="S4442" s="199"/>
      <c r="T4442" s="199"/>
      <c r="U4442" s="199"/>
    </row>
    <row r="4443" spans="1:21" x14ac:dyDescent="0.25">
      <c r="A4443" t="s">
        <v>996</v>
      </c>
      <c r="B4443" t="s">
        <v>997</v>
      </c>
      <c r="C4443" t="s">
        <v>1005</v>
      </c>
      <c r="D4443" t="s">
        <v>772</v>
      </c>
      <c r="E4443">
        <v>210</v>
      </c>
      <c r="F4443" t="s">
        <v>1287</v>
      </c>
      <c r="G4443" t="s">
        <v>1288</v>
      </c>
      <c r="H4443" s="315" t="s">
        <v>30</v>
      </c>
      <c r="I4443" s="315" t="s">
        <v>1016</v>
      </c>
      <c r="J4443" s="315" t="str">
        <f t="shared" si="366"/>
        <v>Used VehicleEx NV demonstrators gross profit p.u.</v>
      </c>
      <c r="K4443" s="315" t="str">
        <f t="shared" si="367"/>
        <v>210Ex-Toyota NV demonstrator Cost of Sales</v>
      </c>
      <c r="L4443" s="311">
        <f>+SUMIF('TUNZ Extracted TB'!M:M,$P4443,'TUNZ Extracted TB'!G:G)</f>
        <v>0</v>
      </c>
      <c r="M4443" s="311"/>
      <c r="N4443" s="311">
        <f>+SUMIF('Input Sheet'!$AE:$AE,P4443,'Input Sheet'!$X:$X)</f>
        <v>0</v>
      </c>
      <c r="O4443" s="311"/>
      <c r="P4443" t="str">
        <f t="shared" si="368"/>
        <v>210-4007R</v>
      </c>
      <c r="Q4443" s="315" t="str">
        <f t="shared" si="369"/>
        <v>Used Vehicle</v>
      </c>
      <c r="R4443" s="315" t="str">
        <f t="shared" si="370"/>
        <v>Used VehicleEx NV demonstrators gross profit p.u.</v>
      </c>
      <c r="S4443" s="199"/>
      <c r="T4443" s="199"/>
      <c r="U4443" s="199"/>
    </row>
    <row r="4444" spans="1:21" x14ac:dyDescent="0.25">
      <c r="A4444" t="s">
        <v>996</v>
      </c>
      <c r="B4444" t="s">
        <v>997</v>
      </c>
      <c r="C4444" t="s">
        <v>1012</v>
      </c>
      <c r="D4444" t="s">
        <v>772</v>
      </c>
      <c r="E4444">
        <v>410</v>
      </c>
      <c r="F4444" t="s">
        <v>1287</v>
      </c>
      <c r="G4444" t="s">
        <v>1288</v>
      </c>
      <c r="H4444" s="315" t="s">
        <v>30</v>
      </c>
      <c r="I4444" s="315" t="s">
        <v>1016</v>
      </c>
      <c r="J4444" s="315" t="str">
        <f t="shared" si="366"/>
        <v>Used VehicleEx NV demonstrators gross profit p.u.</v>
      </c>
      <c r="K4444" s="315" t="str">
        <f t="shared" si="367"/>
        <v>410Ex-Toyota NV demonstrator Cost of Sales</v>
      </c>
      <c r="L4444" s="311">
        <f>+SUMIF('TUNZ Extracted TB'!M:M,$P4444,'TUNZ Extracted TB'!G:G)</f>
        <v>0</v>
      </c>
      <c r="M4444" s="311"/>
      <c r="N4444" s="311">
        <f>+SUMIF('Input Sheet'!$AE:$AE,P4444,'Input Sheet'!$X:$X)</f>
        <v>0</v>
      </c>
      <c r="O4444" s="311"/>
      <c r="P4444" t="str">
        <f t="shared" si="368"/>
        <v>410-4007R</v>
      </c>
      <c r="Q4444" s="315" t="str">
        <f t="shared" si="369"/>
        <v>Used Vehicle</v>
      </c>
      <c r="R4444" s="315" t="str">
        <f t="shared" si="370"/>
        <v>Used VehicleEx NV demonstrators gross profit p.u.</v>
      </c>
      <c r="S4444" s="199"/>
      <c r="T4444" s="199"/>
      <c r="U4444" s="199"/>
    </row>
    <row r="4445" spans="1:21" x14ac:dyDescent="0.25">
      <c r="A4445" t="s">
        <v>996</v>
      </c>
      <c r="B4445" t="s">
        <v>997</v>
      </c>
      <c r="C4445" t="s">
        <v>1013</v>
      </c>
      <c r="D4445" t="s">
        <v>772</v>
      </c>
      <c r="E4445">
        <v>310</v>
      </c>
      <c r="F4445" t="s">
        <v>1287</v>
      </c>
      <c r="G4445" t="s">
        <v>1288</v>
      </c>
      <c r="H4445" s="315" t="s">
        <v>30</v>
      </c>
      <c r="I4445" s="315" t="s">
        <v>1016</v>
      </c>
      <c r="J4445" s="315" t="str">
        <f t="shared" si="366"/>
        <v>Used VehicleEx NV demonstrators gross profit p.u.</v>
      </c>
      <c r="K4445" s="315" t="str">
        <f t="shared" si="367"/>
        <v>310Ex-Toyota NV demonstrator Cost of Sales</v>
      </c>
      <c r="L4445" s="311">
        <f>+SUMIF('TUNZ Extracted TB'!M:M,$P4445,'TUNZ Extracted TB'!G:G)</f>
        <v>0</v>
      </c>
      <c r="M4445" s="311"/>
      <c r="N4445" s="311">
        <f>+SUMIF('Input Sheet'!$AE:$AE,P4445,'Input Sheet'!$X:$X)</f>
        <v>0</v>
      </c>
      <c r="O4445" s="311"/>
      <c r="P4445" t="str">
        <f t="shared" si="368"/>
        <v>310-4007R</v>
      </c>
      <c r="Q4445" s="315" t="str">
        <f t="shared" si="369"/>
        <v>Used Vehicle</v>
      </c>
      <c r="R4445" s="315" t="str">
        <f t="shared" si="370"/>
        <v>Used VehicleEx NV demonstrators gross profit p.u.</v>
      </c>
      <c r="S4445" s="199"/>
      <c r="T4445" s="199"/>
      <c r="U4445" s="199"/>
    </row>
    <row r="4446" spans="1:21" x14ac:dyDescent="0.25">
      <c r="A4446" t="s">
        <v>996</v>
      </c>
      <c r="B4446" t="s">
        <v>997</v>
      </c>
      <c r="C4446" t="s">
        <v>1005</v>
      </c>
      <c r="D4446" t="s">
        <v>774</v>
      </c>
      <c r="E4446">
        <v>200</v>
      </c>
      <c r="F4446" t="s">
        <v>1024</v>
      </c>
      <c r="G4446" t="s">
        <v>1027</v>
      </c>
      <c r="H4446" s="315" t="s">
        <v>29</v>
      </c>
      <c r="I4446" s="315" t="s">
        <v>1026</v>
      </c>
      <c r="J4446" s="315" t="str">
        <f t="shared" si="366"/>
        <v>New VehicleOther Income per NV unit</v>
      </c>
      <c r="K4446" s="315" t="str">
        <f t="shared" si="367"/>
        <v>200New Vehicle Other Income - Toyota</v>
      </c>
      <c r="L4446" s="311">
        <f>+SUMIF('TUNZ Extracted TB'!M:M,$P4446,'TUNZ Extracted TB'!G:G)</f>
        <v>0</v>
      </c>
      <c r="M4446" s="311"/>
      <c r="N4446" s="311">
        <f>+SUMIF('Input Sheet'!$AE:$AE,P4446,'Input Sheet'!$X:$X)</f>
        <v>0</v>
      </c>
      <c r="O4446" s="311"/>
      <c r="P4446" t="str">
        <f t="shared" si="368"/>
        <v>200-4007RR</v>
      </c>
      <c r="Q4446" s="315" t="str">
        <f t="shared" si="369"/>
        <v>New Vehicle</v>
      </c>
      <c r="R4446" s="315" t="str">
        <f t="shared" si="370"/>
        <v>New VehicleOther Income per NV unit</v>
      </c>
      <c r="S4446" s="199"/>
      <c r="T4446" s="199"/>
      <c r="U4446" s="199"/>
    </row>
    <row r="4447" spans="1:21" x14ac:dyDescent="0.25">
      <c r="A4447" t="s">
        <v>996</v>
      </c>
      <c r="B4447" t="s">
        <v>997</v>
      </c>
      <c r="C4447" t="s">
        <v>1012</v>
      </c>
      <c r="D4447" t="s">
        <v>774</v>
      </c>
      <c r="E4447">
        <v>400</v>
      </c>
      <c r="F4447" t="s">
        <v>1024</v>
      </c>
      <c r="G4447" t="s">
        <v>1027</v>
      </c>
      <c r="H4447" s="315" t="s">
        <v>29</v>
      </c>
      <c r="I4447" s="315" t="s">
        <v>1026</v>
      </c>
      <c r="J4447" s="315" t="str">
        <f t="shared" si="366"/>
        <v>New VehicleOther Income per NV unit</v>
      </c>
      <c r="K4447" s="315" t="str">
        <f t="shared" si="367"/>
        <v>400New Vehicle Other Income - Toyota</v>
      </c>
      <c r="L4447" s="311">
        <f>+SUMIF('TUNZ Extracted TB'!M:M,$P4447,'TUNZ Extracted TB'!G:G)</f>
        <v>0</v>
      </c>
      <c r="M4447" s="311"/>
      <c r="N4447" s="311">
        <f>+SUMIF('Input Sheet'!$AE:$AE,P4447,'Input Sheet'!$X:$X)</f>
        <v>0</v>
      </c>
      <c r="O4447" s="311"/>
      <c r="P4447" t="str">
        <f t="shared" si="368"/>
        <v>400-4007RR</v>
      </c>
      <c r="Q4447" s="315" t="str">
        <f t="shared" si="369"/>
        <v>New Vehicle</v>
      </c>
      <c r="R4447" s="315" t="str">
        <f t="shared" si="370"/>
        <v>New VehicleOther Income per NV unit</v>
      </c>
      <c r="S4447" s="199"/>
      <c r="T4447" s="199"/>
      <c r="U4447" s="199"/>
    </row>
    <row r="4448" spans="1:21" x14ac:dyDescent="0.25">
      <c r="A4448" t="s">
        <v>996</v>
      </c>
      <c r="B4448" t="s">
        <v>997</v>
      </c>
      <c r="C4448" t="s">
        <v>1013</v>
      </c>
      <c r="D4448" t="s">
        <v>774</v>
      </c>
      <c r="E4448">
        <v>300</v>
      </c>
      <c r="F4448" t="s">
        <v>1024</v>
      </c>
      <c r="G4448" t="s">
        <v>1027</v>
      </c>
      <c r="H4448" s="315" t="s">
        <v>29</v>
      </c>
      <c r="I4448" s="315" t="s">
        <v>1026</v>
      </c>
      <c r="J4448" s="315" t="str">
        <f t="shared" si="366"/>
        <v>New VehicleOther Income per NV unit</v>
      </c>
      <c r="K4448" s="315" t="str">
        <f t="shared" si="367"/>
        <v>300New Vehicle Other Income - Toyota</v>
      </c>
      <c r="L4448" s="311">
        <f>+SUMIF('TUNZ Extracted TB'!M:M,$P4448,'TUNZ Extracted TB'!G:G)</f>
        <v>0</v>
      </c>
      <c r="M4448" s="311"/>
      <c r="N4448" s="311">
        <f>+SUMIF('Input Sheet'!$AE:$AE,P4448,'Input Sheet'!$X:$X)</f>
        <v>0</v>
      </c>
      <c r="O4448" s="311"/>
      <c r="P4448" t="str">
        <f t="shared" si="368"/>
        <v>300-4007RR</v>
      </c>
      <c r="Q4448" s="315" t="str">
        <f t="shared" si="369"/>
        <v>New Vehicle</v>
      </c>
      <c r="R4448" s="315" t="str">
        <f t="shared" si="370"/>
        <v>New VehicleOther Income per NV unit</v>
      </c>
      <c r="S4448" s="199"/>
      <c r="T4448" s="199"/>
      <c r="U4448" s="199"/>
    </row>
    <row r="4449" spans="1:21" x14ac:dyDescent="0.25">
      <c r="A4449" t="s">
        <v>996</v>
      </c>
      <c r="B4449" t="s">
        <v>997</v>
      </c>
      <c r="C4449" t="s">
        <v>997</v>
      </c>
      <c r="D4449" t="s">
        <v>774</v>
      </c>
      <c r="E4449">
        <v>110</v>
      </c>
      <c r="F4449" t="s">
        <v>1287</v>
      </c>
      <c r="G4449" t="s">
        <v>1288</v>
      </c>
      <c r="H4449" s="315" t="s">
        <v>30</v>
      </c>
      <c r="I4449" s="315" t="s">
        <v>1016</v>
      </c>
      <c r="J4449" s="315" t="str">
        <f t="shared" si="366"/>
        <v>Used VehicleEx NV demonstrators gross profit p.u.</v>
      </c>
      <c r="K4449" s="315" t="str">
        <f t="shared" si="367"/>
        <v>110Ex-Toyota NV demonstrator Cost of Sales</v>
      </c>
      <c r="L4449" s="311">
        <f>+SUMIF('TUNZ Extracted TB'!M:M,$P4449,'TUNZ Extracted TB'!G:G)</f>
        <v>0</v>
      </c>
      <c r="M4449" s="311"/>
      <c r="N4449" s="311">
        <f>+SUMIF('Input Sheet'!$AE:$AE,P4449,'Input Sheet'!$X:$X)</f>
        <v>0</v>
      </c>
      <c r="O4449" s="311"/>
      <c r="P4449" t="str">
        <f t="shared" si="368"/>
        <v>110-4007RR</v>
      </c>
      <c r="Q4449" s="315" t="str">
        <f t="shared" si="369"/>
        <v>Used Vehicle</v>
      </c>
      <c r="R4449" s="315" t="str">
        <f t="shared" si="370"/>
        <v>Used VehicleEx NV demonstrators gross profit p.u.</v>
      </c>
      <c r="S4449" s="199"/>
      <c r="T4449" s="199"/>
      <c r="U4449" s="199"/>
    </row>
    <row r="4450" spans="1:21" x14ac:dyDescent="0.25">
      <c r="A4450" t="s">
        <v>996</v>
      </c>
      <c r="B4450" t="s">
        <v>997</v>
      </c>
      <c r="C4450" t="s">
        <v>997</v>
      </c>
      <c r="D4450" t="s">
        <v>776</v>
      </c>
      <c r="E4450">
        <v>100</v>
      </c>
      <c r="F4450" t="s">
        <v>1024</v>
      </c>
      <c r="G4450" t="s">
        <v>1027</v>
      </c>
      <c r="H4450" s="315" t="s">
        <v>29</v>
      </c>
      <c r="I4450" s="315" t="s">
        <v>1026</v>
      </c>
      <c r="J4450" s="315" t="str">
        <f t="shared" si="366"/>
        <v>New VehicleOther Income per NV unit</v>
      </c>
      <c r="K4450" s="315" t="str">
        <f t="shared" si="367"/>
        <v>100New Vehicle Other Income - Toyota</v>
      </c>
      <c r="L4450" s="311">
        <f>+SUMIF('TUNZ Extracted TB'!M:M,$P4450,'TUNZ Extracted TB'!G:G)</f>
        <v>0</v>
      </c>
      <c r="M4450" s="311"/>
      <c r="N4450" s="311">
        <f>+SUMIF('Input Sheet'!$AE:$AE,P4450,'Input Sheet'!$X:$X)</f>
        <v>0</v>
      </c>
      <c r="O4450" s="311"/>
      <c r="P4450" t="str">
        <f t="shared" si="368"/>
        <v>100-4008R</v>
      </c>
      <c r="Q4450" s="315" t="str">
        <f t="shared" si="369"/>
        <v>New Vehicle</v>
      </c>
      <c r="R4450" s="315" t="str">
        <f t="shared" si="370"/>
        <v>New VehicleOther Income per NV unit</v>
      </c>
      <c r="S4450" s="199"/>
      <c r="T4450" s="199"/>
      <c r="U4450" s="199"/>
    </row>
    <row r="4451" spans="1:21" x14ac:dyDescent="0.25">
      <c r="A4451" t="s">
        <v>996</v>
      </c>
      <c r="B4451" t="s">
        <v>997</v>
      </c>
      <c r="C4451" t="s">
        <v>1012</v>
      </c>
      <c r="D4451" t="s">
        <v>774</v>
      </c>
      <c r="E4451">
        <v>410</v>
      </c>
      <c r="F4451" t="s">
        <v>1287</v>
      </c>
      <c r="G4451" t="s">
        <v>1288</v>
      </c>
      <c r="H4451" s="315" t="s">
        <v>30</v>
      </c>
      <c r="I4451" s="315" t="s">
        <v>1016</v>
      </c>
      <c r="J4451" s="315" t="str">
        <f t="shared" si="366"/>
        <v>Used VehicleEx NV demonstrators gross profit p.u.</v>
      </c>
      <c r="K4451" s="315" t="str">
        <f t="shared" si="367"/>
        <v>410Ex-Toyota NV demonstrator Cost of Sales</v>
      </c>
      <c r="L4451" s="311">
        <f>+SUMIF('TUNZ Extracted TB'!M:M,$P4451,'TUNZ Extracted TB'!G:G)</f>
        <v>0</v>
      </c>
      <c r="M4451" s="311"/>
      <c r="N4451" s="311">
        <f>+SUMIF('Input Sheet'!$AE:$AE,P4451,'Input Sheet'!$X:$X)</f>
        <v>0</v>
      </c>
      <c r="O4451" s="311"/>
      <c r="P4451" t="str">
        <f t="shared" si="368"/>
        <v>410-4007RR</v>
      </c>
      <c r="Q4451" s="315" t="str">
        <f t="shared" si="369"/>
        <v>Used Vehicle</v>
      </c>
      <c r="R4451" s="315" t="str">
        <f t="shared" si="370"/>
        <v>Used VehicleEx NV demonstrators gross profit p.u.</v>
      </c>
      <c r="S4451" s="199"/>
      <c r="T4451" s="199"/>
      <c r="U4451" s="199"/>
    </row>
    <row r="4452" spans="1:21" x14ac:dyDescent="0.25">
      <c r="A4452" t="s">
        <v>996</v>
      </c>
      <c r="B4452" t="s">
        <v>997</v>
      </c>
      <c r="C4452" t="s">
        <v>1013</v>
      </c>
      <c r="D4452" t="s">
        <v>774</v>
      </c>
      <c r="E4452">
        <v>310</v>
      </c>
      <c r="F4452" t="s">
        <v>1287</v>
      </c>
      <c r="G4452" t="s">
        <v>1288</v>
      </c>
      <c r="H4452" s="315" t="s">
        <v>30</v>
      </c>
      <c r="I4452" s="315" t="s">
        <v>1016</v>
      </c>
      <c r="J4452" s="315" t="str">
        <f t="shared" si="366"/>
        <v>Used VehicleEx NV demonstrators gross profit p.u.</v>
      </c>
      <c r="K4452" s="315" t="str">
        <f t="shared" si="367"/>
        <v>310Ex-Toyota NV demonstrator Cost of Sales</v>
      </c>
      <c r="L4452" s="311">
        <f>+SUMIF('TUNZ Extracted TB'!M:M,$P4452,'TUNZ Extracted TB'!G:G)</f>
        <v>0</v>
      </c>
      <c r="M4452" s="311"/>
      <c r="N4452" s="311">
        <f>+SUMIF('Input Sheet'!$AE:$AE,P4452,'Input Sheet'!$X:$X)</f>
        <v>0</v>
      </c>
      <c r="O4452" s="311"/>
      <c r="P4452" t="str">
        <f t="shared" si="368"/>
        <v>310-4007RR</v>
      </c>
      <c r="Q4452" s="315" t="str">
        <f t="shared" si="369"/>
        <v>Used Vehicle</v>
      </c>
      <c r="R4452" s="315" t="str">
        <f t="shared" si="370"/>
        <v>Used VehicleEx NV demonstrators gross profit p.u.</v>
      </c>
      <c r="S4452" s="199"/>
      <c r="T4452" s="199"/>
      <c r="U4452" s="199"/>
    </row>
    <row r="4453" spans="1:21" x14ac:dyDescent="0.25">
      <c r="A4453" t="s">
        <v>996</v>
      </c>
      <c r="B4453" t="s">
        <v>997</v>
      </c>
      <c r="C4453" t="s">
        <v>1005</v>
      </c>
      <c r="D4453" t="s">
        <v>774</v>
      </c>
      <c r="E4453">
        <v>210</v>
      </c>
      <c r="F4453" t="s">
        <v>1287</v>
      </c>
      <c r="G4453" t="s">
        <v>1288</v>
      </c>
      <c r="H4453" s="315" t="s">
        <v>30</v>
      </c>
      <c r="I4453" s="315" t="s">
        <v>1016</v>
      </c>
      <c r="J4453" s="315" t="str">
        <f t="shared" si="366"/>
        <v>Used VehicleEx NV demonstrators gross profit p.u.</v>
      </c>
      <c r="K4453" s="315" t="str">
        <f t="shared" si="367"/>
        <v>210Ex-Toyota NV demonstrator Cost of Sales</v>
      </c>
      <c r="L4453" s="311">
        <f>+SUMIF('TUNZ Extracted TB'!M:M,$P4453,'TUNZ Extracted TB'!G:G)</f>
        <v>0</v>
      </c>
      <c r="M4453" s="311"/>
      <c r="N4453" s="311">
        <f>+SUMIF('Input Sheet'!$AE:$AE,P4453,'Input Sheet'!$X:$X)</f>
        <v>0</v>
      </c>
      <c r="O4453" s="311"/>
      <c r="P4453" t="str">
        <f t="shared" si="368"/>
        <v>210-4007RR</v>
      </c>
      <c r="Q4453" s="315" t="str">
        <f t="shared" si="369"/>
        <v>Used Vehicle</v>
      </c>
      <c r="R4453" s="315" t="str">
        <f t="shared" si="370"/>
        <v>Used VehicleEx NV demonstrators gross profit p.u.</v>
      </c>
      <c r="S4453" s="199"/>
      <c r="T4453" s="199"/>
      <c r="U4453" s="199"/>
    </row>
    <row r="4454" spans="1:21" x14ac:dyDescent="0.25">
      <c r="A4454" t="s">
        <v>996</v>
      </c>
      <c r="B4454" t="s">
        <v>997</v>
      </c>
      <c r="C4454" t="s">
        <v>1005</v>
      </c>
      <c r="D4454" t="s">
        <v>776</v>
      </c>
      <c r="E4454">
        <v>200</v>
      </c>
      <c r="F4454" t="s">
        <v>1024</v>
      </c>
      <c r="G4454" t="s">
        <v>1027</v>
      </c>
      <c r="H4454" s="315" t="s">
        <v>29</v>
      </c>
      <c r="I4454" s="315" t="s">
        <v>1026</v>
      </c>
      <c r="J4454" s="315" t="str">
        <f t="shared" si="366"/>
        <v>New VehicleOther Income per NV unit</v>
      </c>
      <c r="K4454" s="315" t="str">
        <f t="shared" si="367"/>
        <v>200New Vehicle Other Income - Toyota</v>
      </c>
      <c r="L4454" s="311">
        <f>+SUMIF('TUNZ Extracted TB'!M:M,$P4454,'TUNZ Extracted TB'!G:G)</f>
        <v>0</v>
      </c>
      <c r="M4454" s="311"/>
      <c r="N4454" s="311">
        <f>+SUMIF('Input Sheet'!$AE:$AE,P4454,'Input Sheet'!$X:$X)</f>
        <v>0</v>
      </c>
      <c r="O4454" s="311"/>
      <c r="P4454" t="str">
        <f t="shared" si="368"/>
        <v>200-4008R</v>
      </c>
      <c r="Q4454" s="315" t="str">
        <f t="shared" si="369"/>
        <v>New Vehicle</v>
      </c>
      <c r="R4454" s="315" t="str">
        <f t="shared" si="370"/>
        <v>New VehicleOther Income per NV unit</v>
      </c>
      <c r="S4454" s="199"/>
      <c r="T4454" s="199"/>
      <c r="U4454" s="199"/>
    </row>
    <row r="4455" spans="1:21" x14ac:dyDescent="0.25">
      <c r="A4455" t="s">
        <v>996</v>
      </c>
      <c r="B4455" t="s">
        <v>997</v>
      </c>
      <c r="C4455" t="s">
        <v>1012</v>
      </c>
      <c r="D4455" t="s">
        <v>776</v>
      </c>
      <c r="E4455">
        <v>400</v>
      </c>
      <c r="F4455" t="s">
        <v>1024</v>
      </c>
      <c r="G4455" t="s">
        <v>1027</v>
      </c>
      <c r="H4455" s="315" t="s">
        <v>29</v>
      </c>
      <c r="I4455" s="315" t="s">
        <v>1026</v>
      </c>
      <c r="J4455" s="315" t="str">
        <f t="shared" si="366"/>
        <v>New VehicleOther Income per NV unit</v>
      </c>
      <c r="K4455" s="315" t="str">
        <f t="shared" si="367"/>
        <v>400New Vehicle Other Income - Toyota</v>
      </c>
      <c r="L4455" s="311">
        <f>+SUMIF('TUNZ Extracted TB'!M:M,$P4455,'TUNZ Extracted TB'!G:G)</f>
        <v>0</v>
      </c>
      <c r="M4455" s="311"/>
      <c r="N4455" s="311">
        <f>+SUMIF('Input Sheet'!$AE:$AE,P4455,'Input Sheet'!$X:$X)</f>
        <v>0</v>
      </c>
      <c r="O4455" s="311"/>
      <c r="P4455" t="str">
        <f t="shared" si="368"/>
        <v>400-4008R</v>
      </c>
      <c r="Q4455" s="315" t="str">
        <f t="shared" si="369"/>
        <v>New Vehicle</v>
      </c>
      <c r="R4455" s="315" t="str">
        <f t="shared" si="370"/>
        <v>New VehicleOther Income per NV unit</v>
      </c>
      <c r="S4455" s="199"/>
      <c r="T4455" s="199"/>
      <c r="U4455" s="199"/>
    </row>
    <row r="4456" spans="1:21" x14ac:dyDescent="0.25">
      <c r="A4456" t="s">
        <v>996</v>
      </c>
      <c r="B4456" t="s">
        <v>997</v>
      </c>
      <c r="C4456" t="s">
        <v>1013</v>
      </c>
      <c r="D4456" t="s">
        <v>776</v>
      </c>
      <c r="E4456">
        <v>300</v>
      </c>
      <c r="F4456" t="s">
        <v>1024</v>
      </c>
      <c r="G4456" t="s">
        <v>1027</v>
      </c>
      <c r="H4456" s="315" t="s">
        <v>29</v>
      </c>
      <c r="I4456" s="315" t="s">
        <v>1026</v>
      </c>
      <c r="J4456" s="315" t="str">
        <f t="shared" si="366"/>
        <v>New VehicleOther Income per NV unit</v>
      </c>
      <c r="K4456" s="315" t="str">
        <f t="shared" si="367"/>
        <v>300New Vehicle Other Income - Toyota</v>
      </c>
      <c r="L4456" s="311">
        <f>+SUMIF('TUNZ Extracted TB'!M:M,$P4456,'TUNZ Extracted TB'!G:G)</f>
        <v>0</v>
      </c>
      <c r="M4456" s="311"/>
      <c r="N4456" s="311">
        <f>+SUMIF('Input Sheet'!$AE:$AE,P4456,'Input Sheet'!$X:$X)</f>
        <v>0</v>
      </c>
      <c r="O4456" s="311"/>
      <c r="P4456" t="str">
        <f t="shared" si="368"/>
        <v>300-4008R</v>
      </c>
      <c r="Q4456" s="315" t="str">
        <f t="shared" si="369"/>
        <v>New Vehicle</v>
      </c>
      <c r="R4456" s="315" t="str">
        <f t="shared" si="370"/>
        <v>New VehicleOther Income per NV unit</v>
      </c>
      <c r="S4456" s="199"/>
      <c r="T4456" s="199"/>
      <c r="U4456" s="199"/>
    </row>
    <row r="4457" spans="1:21" x14ac:dyDescent="0.25">
      <c r="A4457" t="s">
        <v>996</v>
      </c>
      <c r="B4457" t="s">
        <v>997</v>
      </c>
      <c r="C4457" t="s">
        <v>997</v>
      </c>
      <c r="D4457" t="s">
        <v>776</v>
      </c>
      <c r="E4457">
        <v>110</v>
      </c>
      <c r="F4457" t="s">
        <v>1287</v>
      </c>
      <c r="G4457" t="s">
        <v>1288</v>
      </c>
      <c r="H4457" s="315" t="s">
        <v>30</v>
      </c>
      <c r="I4457" s="315" t="s">
        <v>1016</v>
      </c>
      <c r="J4457" s="315" t="str">
        <f t="shared" si="366"/>
        <v>Used VehicleEx NV demonstrators gross profit p.u.</v>
      </c>
      <c r="K4457" s="315" t="str">
        <f t="shared" si="367"/>
        <v>110Ex-Toyota NV demonstrator Cost of Sales</v>
      </c>
      <c r="L4457" s="311">
        <f>+SUMIF('TUNZ Extracted TB'!M:M,$P4457,'TUNZ Extracted TB'!G:G)</f>
        <v>0</v>
      </c>
      <c r="M4457" s="311"/>
      <c r="N4457" s="311">
        <f>+SUMIF('Input Sheet'!$AE:$AE,P4457,'Input Sheet'!$X:$X)</f>
        <v>0</v>
      </c>
      <c r="O4457" s="311"/>
      <c r="P4457" t="str">
        <f t="shared" si="368"/>
        <v>110-4008R</v>
      </c>
      <c r="Q4457" s="315" t="str">
        <f t="shared" si="369"/>
        <v>Used Vehicle</v>
      </c>
      <c r="R4457" s="315" t="str">
        <f t="shared" si="370"/>
        <v>Used VehicleEx NV demonstrators gross profit p.u.</v>
      </c>
      <c r="S4457" s="199"/>
      <c r="T4457" s="199"/>
      <c r="U4457" s="199"/>
    </row>
    <row r="4458" spans="1:21" x14ac:dyDescent="0.25">
      <c r="A4458" t="s">
        <v>996</v>
      </c>
      <c r="B4458" t="s">
        <v>997</v>
      </c>
      <c r="C4458" t="s">
        <v>997</v>
      </c>
      <c r="D4458" t="s">
        <v>778</v>
      </c>
      <c r="E4458">
        <v>100</v>
      </c>
      <c r="F4458" t="s">
        <v>1024</v>
      </c>
      <c r="G4458" t="s">
        <v>1027</v>
      </c>
      <c r="H4458" s="315" t="s">
        <v>29</v>
      </c>
      <c r="I4458" s="315" t="s">
        <v>1026</v>
      </c>
      <c r="J4458" s="315" t="str">
        <f t="shared" si="366"/>
        <v>New VehicleOther Income per NV unit</v>
      </c>
      <c r="K4458" s="315" t="str">
        <f t="shared" si="367"/>
        <v>100New Vehicle Other Income - Toyota</v>
      </c>
      <c r="L4458" s="311">
        <f>+SUMIF('TUNZ Extracted TB'!M:M,$P4458,'TUNZ Extracted TB'!G:G)</f>
        <v>0</v>
      </c>
      <c r="M4458" s="311"/>
      <c r="N4458" s="311">
        <f>+SUMIF('Input Sheet'!$AE:$AE,P4458,'Input Sheet'!$X:$X)</f>
        <v>0</v>
      </c>
      <c r="O4458" s="311"/>
      <c r="P4458" t="str">
        <f t="shared" si="368"/>
        <v>100-4008RR</v>
      </c>
      <c r="Q4458" s="315" t="str">
        <f t="shared" si="369"/>
        <v>New Vehicle</v>
      </c>
      <c r="R4458" s="315" t="str">
        <f t="shared" si="370"/>
        <v>New VehicleOther Income per NV unit</v>
      </c>
      <c r="S4458" s="199"/>
      <c r="T4458" s="199"/>
      <c r="U4458" s="199"/>
    </row>
    <row r="4459" spans="1:21" x14ac:dyDescent="0.25">
      <c r="A4459" t="s">
        <v>996</v>
      </c>
      <c r="B4459" t="s">
        <v>997</v>
      </c>
      <c r="C4459" t="s">
        <v>1005</v>
      </c>
      <c r="D4459" t="s">
        <v>776</v>
      </c>
      <c r="E4459">
        <v>210</v>
      </c>
      <c r="F4459" t="s">
        <v>1287</v>
      </c>
      <c r="G4459" t="s">
        <v>1288</v>
      </c>
      <c r="H4459" s="315" t="s">
        <v>30</v>
      </c>
      <c r="I4459" s="315" t="s">
        <v>1016</v>
      </c>
      <c r="J4459" s="315" t="str">
        <f t="shared" si="366"/>
        <v>Used VehicleEx NV demonstrators gross profit p.u.</v>
      </c>
      <c r="K4459" s="315" t="str">
        <f t="shared" si="367"/>
        <v>210Ex-Toyota NV demonstrator Cost of Sales</v>
      </c>
      <c r="L4459" s="311">
        <f>+SUMIF('TUNZ Extracted TB'!M:M,$P4459,'TUNZ Extracted TB'!G:G)</f>
        <v>0</v>
      </c>
      <c r="M4459" s="311"/>
      <c r="N4459" s="311">
        <f>+SUMIF('Input Sheet'!$AE:$AE,P4459,'Input Sheet'!$X:$X)</f>
        <v>0</v>
      </c>
      <c r="O4459" s="311"/>
      <c r="P4459" t="str">
        <f t="shared" si="368"/>
        <v>210-4008R</v>
      </c>
      <c r="Q4459" s="315" t="str">
        <f t="shared" si="369"/>
        <v>Used Vehicle</v>
      </c>
      <c r="R4459" s="315" t="str">
        <f t="shared" si="370"/>
        <v>Used VehicleEx NV demonstrators gross profit p.u.</v>
      </c>
      <c r="S4459" s="199"/>
      <c r="T4459" s="199"/>
      <c r="U4459" s="199"/>
    </row>
    <row r="4460" spans="1:21" x14ac:dyDescent="0.25">
      <c r="A4460" t="s">
        <v>996</v>
      </c>
      <c r="B4460" t="s">
        <v>997</v>
      </c>
      <c r="C4460" t="s">
        <v>1012</v>
      </c>
      <c r="D4460" t="s">
        <v>776</v>
      </c>
      <c r="E4460">
        <v>410</v>
      </c>
      <c r="F4460" t="s">
        <v>1287</v>
      </c>
      <c r="G4460" t="s">
        <v>1288</v>
      </c>
      <c r="H4460" s="315" t="s">
        <v>30</v>
      </c>
      <c r="I4460" s="315" t="s">
        <v>1016</v>
      </c>
      <c r="J4460" s="315" t="str">
        <f t="shared" si="366"/>
        <v>Used VehicleEx NV demonstrators gross profit p.u.</v>
      </c>
      <c r="K4460" s="315" t="str">
        <f t="shared" si="367"/>
        <v>410Ex-Toyota NV demonstrator Cost of Sales</v>
      </c>
      <c r="L4460" s="311">
        <f>+SUMIF('TUNZ Extracted TB'!M:M,$P4460,'TUNZ Extracted TB'!G:G)</f>
        <v>0</v>
      </c>
      <c r="M4460" s="311"/>
      <c r="N4460" s="311">
        <f>+SUMIF('Input Sheet'!$AE:$AE,P4460,'Input Sheet'!$X:$X)</f>
        <v>0</v>
      </c>
      <c r="O4460" s="311"/>
      <c r="P4460" t="str">
        <f t="shared" si="368"/>
        <v>410-4008R</v>
      </c>
      <c r="Q4460" s="315" t="str">
        <f t="shared" si="369"/>
        <v>Used Vehicle</v>
      </c>
      <c r="R4460" s="315" t="str">
        <f t="shared" si="370"/>
        <v>Used VehicleEx NV demonstrators gross profit p.u.</v>
      </c>
      <c r="S4460" s="199"/>
      <c r="T4460" s="199"/>
      <c r="U4460" s="199"/>
    </row>
    <row r="4461" spans="1:21" x14ac:dyDescent="0.25">
      <c r="A4461" t="s">
        <v>996</v>
      </c>
      <c r="B4461" t="s">
        <v>997</v>
      </c>
      <c r="C4461" t="s">
        <v>1013</v>
      </c>
      <c r="D4461" t="s">
        <v>776</v>
      </c>
      <c r="E4461">
        <v>310</v>
      </c>
      <c r="F4461" t="s">
        <v>1287</v>
      </c>
      <c r="G4461" t="s">
        <v>1288</v>
      </c>
      <c r="H4461" s="315" t="s">
        <v>30</v>
      </c>
      <c r="I4461" s="315" t="s">
        <v>1016</v>
      </c>
      <c r="J4461" s="315" t="str">
        <f t="shared" si="366"/>
        <v>Used VehicleEx NV demonstrators gross profit p.u.</v>
      </c>
      <c r="K4461" s="315" t="str">
        <f t="shared" si="367"/>
        <v>310Ex-Toyota NV demonstrator Cost of Sales</v>
      </c>
      <c r="L4461" s="311">
        <f>+SUMIF('TUNZ Extracted TB'!M:M,$P4461,'TUNZ Extracted TB'!G:G)</f>
        <v>0</v>
      </c>
      <c r="M4461" s="311"/>
      <c r="N4461" s="311">
        <f>+SUMIF('Input Sheet'!$AE:$AE,P4461,'Input Sheet'!$X:$X)</f>
        <v>0</v>
      </c>
      <c r="O4461" s="311"/>
      <c r="P4461" t="str">
        <f t="shared" si="368"/>
        <v>310-4008R</v>
      </c>
      <c r="Q4461" s="315" t="str">
        <f t="shared" si="369"/>
        <v>Used Vehicle</v>
      </c>
      <c r="R4461" s="315" t="str">
        <f t="shared" si="370"/>
        <v>Used VehicleEx NV demonstrators gross profit p.u.</v>
      </c>
      <c r="S4461" s="199"/>
      <c r="T4461" s="199"/>
      <c r="U4461" s="199"/>
    </row>
    <row r="4462" spans="1:21" x14ac:dyDescent="0.25">
      <c r="A4462" t="s">
        <v>996</v>
      </c>
      <c r="B4462" t="s">
        <v>997</v>
      </c>
      <c r="C4462" t="s">
        <v>1005</v>
      </c>
      <c r="D4462" t="s">
        <v>778</v>
      </c>
      <c r="E4462">
        <v>200</v>
      </c>
      <c r="F4462" t="s">
        <v>1024</v>
      </c>
      <c r="G4462" t="s">
        <v>1027</v>
      </c>
      <c r="H4462" s="315" t="s">
        <v>29</v>
      </c>
      <c r="I4462" s="315" t="s">
        <v>1026</v>
      </c>
      <c r="J4462" s="315" t="str">
        <f t="shared" si="366"/>
        <v>New VehicleOther Income per NV unit</v>
      </c>
      <c r="K4462" s="315" t="str">
        <f t="shared" si="367"/>
        <v>200New Vehicle Other Income - Toyota</v>
      </c>
      <c r="L4462" s="311">
        <f>+SUMIF('TUNZ Extracted TB'!M:M,$P4462,'TUNZ Extracted TB'!G:G)</f>
        <v>0</v>
      </c>
      <c r="M4462" s="311"/>
      <c r="N4462" s="311">
        <f>+SUMIF('Input Sheet'!$AE:$AE,P4462,'Input Sheet'!$X:$X)</f>
        <v>0</v>
      </c>
      <c r="O4462" s="311"/>
      <c r="P4462" t="str">
        <f t="shared" si="368"/>
        <v>200-4008RR</v>
      </c>
      <c r="Q4462" s="315" t="str">
        <f t="shared" si="369"/>
        <v>New Vehicle</v>
      </c>
      <c r="R4462" s="315" t="str">
        <f t="shared" si="370"/>
        <v>New VehicleOther Income per NV unit</v>
      </c>
      <c r="S4462" s="199"/>
      <c r="T4462" s="199"/>
      <c r="U4462" s="199"/>
    </row>
    <row r="4463" spans="1:21" x14ac:dyDescent="0.25">
      <c r="A4463" t="s">
        <v>996</v>
      </c>
      <c r="B4463" t="s">
        <v>997</v>
      </c>
      <c r="C4463" t="s">
        <v>1012</v>
      </c>
      <c r="D4463" t="s">
        <v>778</v>
      </c>
      <c r="E4463">
        <v>400</v>
      </c>
      <c r="F4463" t="s">
        <v>1024</v>
      </c>
      <c r="G4463" t="s">
        <v>1027</v>
      </c>
      <c r="H4463" s="315" t="s">
        <v>29</v>
      </c>
      <c r="I4463" s="315" t="s">
        <v>1026</v>
      </c>
      <c r="J4463" s="315" t="str">
        <f t="shared" si="366"/>
        <v>New VehicleOther Income per NV unit</v>
      </c>
      <c r="K4463" s="315" t="str">
        <f t="shared" si="367"/>
        <v>400New Vehicle Other Income - Toyota</v>
      </c>
      <c r="L4463" s="311">
        <f>+SUMIF('TUNZ Extracted TB'!M:M,$P4463,'TUNZ Extracted TB'!G:G)</f>
        <v>0</v>
      </c>
      <c r="M4463" s="311"/>
      <c r="N4463" s="311">
        <f>+SUMIF('Input Sheet'!$AE:$AE,P4463,'Input Sheet'!$X:$X)</f>
        <v>0</v>
      </c>
      <c r="O4463" s="311"/>
      <c r="P4463" t="str">
        <f t="shared" si="368"/>
        <v>400-4008RR</v>
      </c>
      <c r="Q4463" s="315" t="str">
        <f t="shared" si="369"/>
        <v>New Vehicle</v>
      </c>
      <c r="R4463" s="315" t="str">
        <f t="shared" si="370"/>
        <v>New VehicleOther Income per NV unit</v>
      </c>
      <c r="S4463" s="199"/>
      <c r="T4463" s="199"/>
      <c r="U4463" s="199"/>
    </row>
    <row r="4464" spans="1:21" x14ac:dyDescent="0.25">
      <c r="A4464" t="s">
        <v>996</v>
      </c>
      <c r="B4464" t="s">
        <v>997</v>
      </c>
      <c r="C4464" t="s">
        <v>1013</v>
      </c>
      <c r="D4464" t="s">
        <v>778</v>
      </c>
      <c r="E4464">
        <v>300</v>
      </c>
      <c r="F4464" t="s">
        <v>1024</v>
      </c>
      <c r="G4464" t="s">
        <v>1027</v>
      </c>
      <c r="H4464" s="315" t="s">
        <v>29</v>
      </c>
      <c r="I4464" s="315" t="s">
        <v>1026</v>
      </c>
      <c r="J4464" s="315" t="str">
        <f t="shared" si="366"/>
        <v>New VehicleOther Income per NV unit</v>
      </c>
      <c r="K4464" s="315" t="str">
        <f t="shared" si="367"/>
        <v>300New Vehicle Other Income - Toyota</v>
      </c>
      <c r="L4464" s="311">
        <f>+SUMIF('TUNZ Extracted TB'!M:M,$P4464,'TUNZ Extracted TB'!G:G)</f>
        <v>0</v>
      </c>
      <c r="M4464" s="311"/>
      <c r="N4464" s="311">
        <f>+SUMIF('Input Sheet'!$AE:$AE,P4464,'Input Sheet'!$X:$X)</f>
        <v>0</v>
      </c>
      <c r="O4464" s="311"/>
      <c r="P4464" t="str">
        <f t="shared" si="368"/>
        <v>300-4008RR</v>
      </c>
      <c r="Q4464" s="315" t="str">
        <f t="shared" si="369"/>
        <v>New Vehicle</v>
      </c>
      <c r="R4464" s="315" t="str">
        <f t="shared" si="370"/>
        <v>New VehicleOther Income per NV unit</v>
      </c>
      <c r="S4464" s="199"/>
      <c r="T4464" s="199"/>
      <c r="U4464" s="199"/>
    </row>
    <row r="4465" spans="1:21" x14ac:dyDescent="0.25">
      <c r="A4465" t="s">
        <v>996</v>
      </c>
      <c r="B4465" t="s">
        <v>997</v>
      </c>
      <c r="C4465" t="s">
        <v>997</v>
      </c>
      <c r="D4465" t="s">
        <v>778</v>
      </c>
      <c r="E4465">
        <v>110</v>
      </c>
      <c r="F4465" t="s">
        <v>1287</v>
      </c>
      <c r="G4465" t="s">
        <v>1288</v>
      </c>
      <c r="H4465" s="315" t="s">
        <v>30</v>
      </c>
      <c r="I4465" s="315" t="s">
        <v>1016</v>
      </c>
      <c r="J4465" s="315" t="str">
        <f t="shared" si="366"/>
        <v>Used VehicleEx NV demonstrators gross profit p.u.</v>
      </c>
      <c r="K4465" s="315" t="str">
        <f t="shared" si="367"/>
        <v>110Ex-Toyota NV demonstrator Cost of Sales</v>
      </c>
      <c r="L4465" s="311">
        <f>+SUMIF('TUNZ Extracted TB'!M:M,$P4465,'TUNZ Extracted TB'!G:G)</f>
        <v>0</v>
      </c>
      <c r="M4465" s="311"/>
      <c r="N4465" s="311">
        <f>+SUMIF('Input Sheet'!$AE:$AE,P4465,'Input Sheet'!$X:$X)</f>
        <v>0</v>
      </c>
      <c r="O4465" s="311"/>
      <c r="P4465" t="str">
        <f t="shared" si="368"/>
        <v>110-4008RR</v>
      </c>
      <c r="Q4465" s="315" t="str">
        <f t="shared" si="369"/>
        <v>Used Vehicle</v>
      </c>
      <c r="R4465" s="315" t="str">
        <f t="shared" si="370"/>
        <v>Used VehicleEx NV demonstrators gross profit p.u.</v>
      </c>
      <c r="S4465" s="199"/>
      <c r="T4465" s="199"/>
      <c r="U4465" s="199"/>
    </row>
    <row r="4466" spans="1:21" x14ac:dyDescent="0.25">
      <c r="A4466" t="s">
        <v>996</v>
      </c>
      <c r="B4466" t="s">
        <v>997</v>
      </c>
      <c r="C4466" t="s">
        <v>997</v>
      </c>
      <c r="D4466" t="s">
        <v>780</v>
      </c>
      <c r="E4466">
        <v>100</v>
      </c>
      <c r="F4466" t="s">
        <v>1024</v>
      </c>
      <c r="G4466" t="s">
        <v>1027</v>
      </c>
      <c r="H4466" s="315" t="s">
        <v>29</v>
      </c>
      <c r="I4466" s="315" t="s">
        <v>1026</v>
      </c>
      <c r="J4466" s="315" t="str">
        <f t="shared" si="366"/>
        <v>New VehicleOther Income per NV unit</v>
      </c>
      <c r="K4466" s="315" t="str">
        <f t="shared" si="367"/>
        <v>100New Vehicle Other Income - Toyota</v>
      </c>
      <c r="L4466" s="311">
        <f>+SUMIF('TUNZ Extracted TB'!M:M,$P4466,'TUNZ Extracted TB'!G:G)</f>
        <v>0</v>
      </c>
      <c r="M4466" s="311"/>
      <c r="N4466" s="311">
        <f>+SUMIF('Input Sheet'!$AE:$AE,P4466,'Input Sheet'!$X:$X)</f>
        <v>0</v>
      </c>
      <c r="O4466" s="311"/>
      <c r="P4466" t="str">
        <f t="shared" si="368"/>
        <v>100-4009R</v>
      </c>
      <c r="Q4466" s="315" t="str">
        <f t="shared" si="369"/>
        <v>New Vehicle</v>
      </c>
      <c r="R4466" s="315" t="str">
        <f t="shared" si="370"/>
        <v>New VehicleOther Income per NV unit</v>
      </c>
      <c r="S4466" s="199"/>
      <c r="T4466" s="199"/>
      <c r="U4466" s="199"/>
    </row>
    <row r="4467" spans="1:21" x14ac:dyDescent="0.25">
      <c r="A4467" t="s">
        <v>996</v>
      </c>
      <c r="B4467" t="s">
        <v>997</v>
      </c>
      <c r="C4467" t="s">
        <v>1012</v>
      </c>
      <c r="D4467" t="s">
        <v>778</v>
      </c>
      <c r="E4467">
        <v>410</v>
      </c>
      <c r="F4467" t="s">
        <v>1287</v>
      </c>
      <c r="G4467" t="s">
        <v>1288</v>
      </c>
      <c r="H4467" s="315" t="s">
        <v>30</v>
      </c>
      <c r="I4467" s="315" t="s">
        <v>1016</v>
      </c>
      <c r="J4467" s="315" t="str">
        <f t="shared" si="366"/>
        <v>Used VehicleEx NV demonstrators gross profit p.u.</v>
      </c>
      <c r="K4467" s="315" t="str">
        <f t="shared" si="367"/>
        <v>410Ex-Toyota NV demonstrator Cost of Sales</v>
      </c>
      <c r="L4467" s="311">
        <f>+SUMIF('TUNZ Extracted TB'!M:M,$P4467,'TUNZ Extracted TB'!G:G)</f>
        <v>0</v>
      </c>
      <c r="M4467" s="311"/>
      <c r="N4467" s="311">
        <f>+SUMIF('Input Sheet'!$AE:$AE,P4467,'Input Sheet'!$X:$X)</f>
        <v>0</v>
      </c>
      <c r="O4467" s="311"/>
      <c r="P4467" t="str">
        <f t="shared" si="368"/>
        <v>410-4008RR</v>
      </c>
      <c r="Q4467" s="315" t="str">
        <f t="shared" si="369"/>
        <v>Used Vehicle</v>
      </c>
      <c r="R4467" s="315" t="str">
        <f t="shared" si="370"/>
        <v>Used VehicleEx NV demonstrators gross profit p.u.</v>
      </c>
      <c r="S4467" s="199"/>
      <c r="T4467" s="199"/>
      <c r="U4467" s="199"/>
    </row>
    <row r="4468" spans="1:21" x14ac:dyDescent="0.25">
      <c r="A4468" t="s">
        <v>996</v>
      </c>
      <c r="B4468" t="s">
        <v>997</v>
      </c>
      <c r="C4468" t="s">
        <v>1013</v>
      </c>
      <c r="D4468" t="s">
        <v>778</v>
      </c>
      <c r="E4468">
        <v>310</v>
      </c>
      <c r="F4468" t="s">
        <v>1287</v>
      </c>
      <c r="G4468" t="s">
        <v>1288</v>
      </c>
      <c r="H4468" s="315" t="s">
        <v>30</v>
      </c>
      <c r="I4468" s="315" t="s">
        <v>1016</v>
      </c>
      <c r="J4468" s="315" t="str">
        <f t="shared" si="366"/>
        <v>Used VehicleEx NV demonstrators gross profit p.u.</v>
      </c>
      <c r="K4468" s="315" t="str">
        <f t="shared" si="367"/>
        <v>310Ex-Toyota NV demonstrator Cost of Sales</v>
      </c>
      <c r="L4468" s="311">
        <f>+SUMIF('TUNZ Extracted TB'!M:M,$P4468,'TUNZ Extracted TB'!G:G)</f>
        <v>0</v>
      </c>
      <c r="M4468" s="311"/>
      <c r="N4468" s="311">
        <f>+SUMIF('Input Sheet'!$AE:$AE,P4468,'Input Sheet'!$X:$X)</f>
        <v>0</v>
      </c>
      <c r="O4468" s="311"/>
      <c r="P4468" t="str">
        <f t="shared" si="368"/>
        <v>310-4008RR</v>
      </c>
      <c r="Q4468" s="315" t="str">
        <f t="shared" si="369"/>
        <v>Used Vehicle</v>
      </c>
      <c r="R4468" s="315" t="str">
        <f t="shared" si="370"/>
        <v>Used VehicleEx NV demonstrators gross profit p.u.</v>
      </c>
      <c r="S4468" s="199"/>
      <c r="T4468" s="199"/>
      <c r="U4468" s="199"/>
    </row>
    <row r="4469" spans="1:21" x14ac:dyDescent="0.25">
      <c r="A4469" t="s">
        <v>996</v>
      </c>
      <c r="B4469" t="s">
        <v>997</v>
      </c>
      <c r="C4469" t="s">
        <v>1005</v>
      </c>
      <c r="D4469" t="s">
        <v>778</v>
      </c>
      <c r="E4469">
        <v>210</v>
      </c>
      <c r="F4469" t="s">
        <v>1287</v>
      </c>
      <c r="G4469" t="s">
        <v>1288</v>
      </c>
      <c r="H4469" s="315" t="s">
        <v>30</v>
      </c>
      <c r="I4469" s="315" t="s">
        <v>1016</v>
      </c>
      <c r="J4469" s="315" t="str">
        <f t="shared" si="366"/>
        <v>Used VehicleEx NV demonstrators gross profit p.u.</v>
      </c>
      <c r="K4469" s="315" t="str">
        <f t="shared" si="367"/>
        <v>210Ex-Toyota NV demonstrator Cost of Sales</v>
      </c>
      <c r="L4469" s="311">
        <f>+SUMIF('TUNZ Extracted TB'!M:M,$P4469,'TUNZ Extracted TB'!G:G)</f>
        <v>0</v>
      </c>
      <c r="M4469" s="311"/>
      <c r="N4469" s="311">
        <f>+SUMIF('Input Sheet'!$AE:$AE,P4469,'Input Sheet'!$X:$X)</f>
        <v>0</v>
      </c>
      <c r="O4469" s="311"/>
      <c r="P4469" t="str">
        <f t="shared" si="368"/>
        <v>210-4008RR</v>
      </c>
      <c r="Q4469" s="315" t="str">
        <f t="shared" si="369"/>
        <v>Used Vehicle</v>
      </c>
      <c r="R4469" s="315" t="str">
        <f t="shared" si="370"/>
        <v>Used VehicleEx NV demonstrators gross profit p.u.</v>
      </c>
      <c r="S4469" s="199"/>
      <c r="T4469" s="199"/>
      <c r="U4469" s="199"/>
    </row>
    <row r="4470" spans="1:21" x14ac:dyDescent="0.25">
      <c r="A4470" t="s">
        <v>996</v>
      </c>
      <c r="B4470" t="s">
        <v>997</v>
      </c>
      <c r="C4470" t="s">
        <v>1005</v>
      </c>
      <c r="D4470" t="s">
        <v>780</v>
      </c>
      <c r="E4470">
        <v>200</v>
      </c>
      <c r="F4470" t="s">
        <v>1024</v>
      </c>
      <c r="G4470" t="s">
        <v>1027</v>
      </c>
      <c r="H4470" s="315" t="s">
        <v>29</v>
      </c>
      <c r="I4470" s="315" t="s">
        <v>1026</v>
      </c>
      <c r="J4470" s="315" t="str">
        <f t="shared" si="366"/>
        <v>New VehicleOther Income per NV unit</v>
      </c>
      <c r="K4470" s="315" t="str">
        <f t="shared" si="367"/>
        <v>200New Vehicle Other Income - Toyota</v>
      </c>
      <c r="L4470" s="311">
        <f>+SUMIF('TUNZ Extracted TB'!M:M,$P4470,'TUNZ Extracted TB'!G:G)</f>
        <v>0</v>
      </c>
      <c r="M4470" s="311"/>
      <c r="N4470" s="311">
        <f>+SUMIF('Input Sheet'!$AE:$AE,P4470,'Input Sheet'!$X:$X)</f>
        <v>0</v>
      </c>
      <c r="O4470" s="311"/>
      <c r="P4470" t="str">
        <f t="shared" si="368"/>
        <v>200-4009R</v>
      </c>
      <c r="Q4470" s="315" t="str">
        <f t="shared" si="369"/>
        <v>New Vehicle</v>
      </c>
      <c r="R4470" s="315" t="str">
        <f t="shared" si="370"/>
        <v>New VehicleOther Income per NV unit</v>
      </c>
      <c r="S4470" s="199"/>
      <c r="T4470" s="199"/>
      <c r="U4470" s="199"/>
    </row>
    <row r="4471" spans="1:21" x14ac:dyDescent="0.25">
      <c r="A4471" t="s">
        <v>996</v>
      </c>
      <c r="B4471" t="s">
        <v>997</v>
      </c>
      <c r="C4471" t="s">
        <v>1012</v>
      </c>
      <c r="D4471" t="s">
        <v>780</v>
      </c>
      <c r="E4471">
        <v>400</v>
      </c>
      <c r="F4471" t="s">
        <v>1024</v>
      </c>
      <c r="G4471" t="s">
        <v>1027</v>
      </c>
      <c r="H4471" s="315" t="s">
        <v>29</v>
      </c>
      <c r="I4471" s="315" t="s">
        <v>1026</v>
      </c>
      <c r="J4471" s="315" t="str">
        <f t="shared" si="366"/>
        <v>New VehicleOther Income per NV unit</v>
      </c>
      <c r="K4471" s="315" t="str">
        <f t="shared" si="367"/>
        <v>400New Vehicle Other Income - Toyota</v>
      </c>
      <c r="L4471" s="311">
        <f>+SUMIF('TUNZ Extracted TB'!M:M,$P4471,'TUNZ Extracted TB'!G:G)</f>
        <v>0</v>
      </c>
      <c r="M4471" s="311"/>
      <c r="N4471" s="311">
        <f>+SUMIF('Input Sheet'!$AE:$AE,P4471,'Input Sheet'!$X:$X)</f>
        <v>0</v>
      </c>
      <c r="O4471" s="311"/>
      <c r="P4471" t="str">
        <f t="shared" si="368"/>
        <v>400-4009R</v>
      </c>
      <c r="Q4471" s="315" t="str">
        <f t="shared" si="369"/>
        <v>New Vehicle</v>
      </c>
      <c r="R4471" s="315" t="str">
        <f t="shared" si="370"/>
        <v>New VehicleOther Income per NV unit</v>
      </c>
      <c r="S4471" s="199"/>
      <c r="T4471" s="199"/>
      <c r="U4471" s="199"/>
    </row>
    <row r="4472" spans="1:21" x14ac:dyDescent="0.25">
      <c r="A4472" t="s">
        <v>996</v>
      </c>
      <c r="B4472" t="s">
        <v>997</v>
      </c>
      <c r="C4472" t="s">
        <v>1013</v>
      </c>
      <c r="D4472" t="s">
        <v>780</v>
      </c>
      <c r="E4472">
        <v>300</v>
      </c>
      <c r="F4472" t="s">
        <v>1024</v>
      </c>
      <c r="G4472" t="s">
        <v>1027</v>
      </c>
      <c r="H4472" s="315" t="s">
        <v>29</v>
      </c>
      <c r="I4472" s="315" t="s">
        <v>1026</v>
      </c>
      <c r="J4472" s="315" t="str">
        <f t="shared" si="366"/>
        <v>New VehicleOther Income per NV unit</v>
      </c>
      <c r="K4472" s="315" t="str">
        <f t="shared" si="367"/>
        <v>300New Vehicle Other Income - Toyota</v>
      </c>
      <c r="L4472" s="311">
        <f>+SUMIF('TUNZ Extracted TB'!M:M,$P4472,'TUNZ Extracted TB'!G:G)</f>
        <v>0</v>
      </c>
      <c r="M4472" s="311"/>
      <c r="N4472" s="311">
        <f>+SUMIF('Input Sheet'!$AE:$AE,P4472,'Input Sheet'!$X:$X)</f>
        <v>0</v>
      </c>
      <c r="O4472" s="311"/>
      <c r="P4472" t="str">
        <f t="shared" si="368"/>
        <v>300-4009R</v>
      </c>
      <c r="Q4472" s="315" t="str">
        <f t="shared" si="369"/>
        <v>New Vehicle</v>
      </c>
      <c r="R4472" s="315" t="str">
        <f t="shared" si="370"/>
        <v>New VehicleOther Income per NV unit</v>
      </c>
      <c r="S4472" s="199"/>
      <c r="T4472" s="199"/>
      <c r="U4472" s="199"/>
    </row>
    <row r="4473" spans="1:21" x14ac:dyDescent="0.25">
      <c r="A4473" t="s">
        <v>996</v>
      </c>
      <c r="B4473" t="s">
        <v>997</v>
      </c>
      <c r="C4473" t="s">
        <v>997</v>
      </c>
      <c r="D4473" t="s">
        <v>780</v>
      </c>
      <c r="E4473">
        <v>110</v>
      </c>
      <c r="F4473" t="s">
        <v>1287</v>
      </c>
      <c r="G4473" t="s">
        <v>1288</v>
      </c>
      <c r="H4473" s="315" t="s">
        <v>30</v>
      </c>
      <c r="I4473" s="315" t="s">
        <v>1016</v>
      </c>
      <c r="J4473" s="315" t="str">
        <f t="shared" si="366"/>
        <v>Used VehicleEx NV demonstrators gross profit p.u.</v>
      </c>
      <c r="K4473" s="315" t="str">
        <f t="shared" si="367"/>
        <v>110Ex-Toyota NV demonstrator Cost of Sales</v>
      </c>
      <c r="L4473" s="311">
        <f>+SUMIF('TUNZ Extracted TB'!M:M,$P4473,'TUNZ Extracted TB'!G:G)</f>
        <v>0</v>
      </c>
      <c r="M4473" s="311"/>
      <c r="N4473" s="311">
        <f>+SUMIF('Input Sheet'!$AE:$AE,P4473,'Input Sheet'!$X:$X)</f>
        <v>0</v>
      </c>
      <c r="O4473" s="311"/>
      <c r="P4473" t="str">
        <f t="shared" si="368"/>
        <v>110-4009R</v>
      </c>
      <c r="Q4473" s="315" t="str">
        <f t="shared" si="369"/>
        <v>Used Vehicle</v>
      </c>
      <c r="R4473" s="315" t="str">
        <f t="shared" si="370"/>
        <v>Used VehicleEx NV demonstrators gross profit p.u.</v>
      </c>
      <c r="S4473" s="199"/>
      <c r="T4473" s="199"/>
      <c r="U4473" s="199"/>
    </row>
    <row r="4474" spans="1:21" x14ac:dyDescent="0.25">
      <c r="A4474" t="s">
        <v>996</v>
      </c>
      <c r="B4474" t="s">
        <v>997</v>
      </c>
      <c r="C4474" t="s">
        <v>997</v>
      </c>
      <c r="D4474" t="s">
        <v>1527</v>
      </c>
      <c r="E4474">
        <v>100</v>
      </c>
      <c r="F4474" t="s">
        <v>1024</v>
      </c>
      <c r="G4474" t="s">
        <v>1027</v>
      </c>
      <c r="H4474" s="315" t="s">
        <v>29</v>
      </c>
      <c r="I4474" s="315" t="s">
        <v>1026</v>
      </c>
      <c r="J4474" s="315" t="str">
        <f t="shared" si="366"/>
        <v>New VehicleOther Income per NV unit</v>
      </c>
      <c r="K4474" s="315" t="str">
        <f t="shared" si="367"/>
        <v>100New Vehicle Other Income - Toyota</v>
      </c>
      <c r="L4474" s="311">
        <f>+SUMIF('TUNZ Extracted TB'!M:M,$P4474,'TUNZ Extracted TB'!G:G)</f>
        <v>0</v>
      </c>
      <c r="M4474" s="311"/>
      <c r="N4474" s="311">
        <f>+SUMIF('Input Sheet'!$AE:$AE,P4474,'Input Sheet'!$X:$X)</f>
        <v>0</v>
      </c>
      <c r="O4474" s="311"/>
      <c r="P4474" t="str">
        <f t="shared" si="368"/>
        <v>100-4009RR</v>
      </c>
      <c r="Q4474" s="315" t="str">
        <f t="shared" si="369"/>
        <v>New Vehicle</v>
      </c>
      <c r="R4474" s="315" t="str">
        <f t="shared" si="370"/>
        <v>New VehicleOther Income per NV unit</v>
      </c>
      <c r="S4474" s="199"/>
      <c r="T4474" s="199"/>
      <c r="U4474" s="199"/>
    </row>
    <row r="4475" spans="1:21" x14ac:dyDescent="0.25">
      <c r="A4475" t="s">
        <v>996</v>
      </c>
      <c r="B4475" t="s">
        <v>997</v>
      </c>
      <c r="C4475" t="s">
        <v>1005</v>
      </c>
      <c r="D4475" t="s">
        <v>780</v>
      </c>
      <c r="E4475">
        <v>210</v>
      </c>
      <c r="F4475" t="s">
        <v>1287</v>
      </c>
      <c r="G4475" t="s">
        <v>1288</v>
      </c>
      <c r="H4475" s="315" t="s">
        <v>30</v>
      </c>
      <c r="I4475" s="315" t="s">
        <v>1016</v>
      </c>
      <c r="J4475" s="315" t="str">
        <f t="shared" si="366"/>
        <v>Used VehicleEx NV demonstrators gross profit p.u.</v>
      </c>
      <c r="K4475" s="315" t="str">
        <f t="shared" si="367"/>
        <v>210Ex-Toyota NV demonstrator Cost of Sales</v>
      </c>
      <c r="L4475" s="311">
        <f>+SUMIF('TUNZ Extracted TB'!M:M,$P4475,'TUNZ Extracted TB'!G:G)</f>
        <v>0</v>
      </c>
      <c r="M4475" s="311"/>
      <c r="N4475" s="311">
        <f>+SUMIF('Input Sheet'!$AE:$AE,P4475,'Input Sheet'!$X:$X)</f>
        <v>0</v>
      </c>
      <c r="O4475" s="311"/>
      <c r="P4475" t="str">
        <f t="shared" si="368"/>
        <v>210-4009R</v>
      </c>
      <c r="Q4475" s="315" t="str">
        <f t="shared" si="369"/>
        <v>Used Vehicle</v>
      </c>
      <c r="R4475" s="315" t="str">
        <f t="shared" si="370"/>
        <v>Used VehicleEx NV demonstrators gross profit p.u.</v>
      </c>
      <c r="S4475" s="199"/>
      <c r="T4475" s="199"/>
      <c r="U4475" s="199"/>
    </row>
    <row r="4476" spans="1:21" x14ac:dyDescent="0.25">
      <c r="A4476" t="s">
        <v>996</v>
      </c>
      <c r="B4476" t="s">
        <v>997</v>
      </c>
      <c r="C4476" t="s">
        <v>1012</v>
      </c>
      <c r="D4476" t="s">
        <v>780</v>
      </c>
      <c r="E4476">
        <v>410</v>
      </c>
      <c r="F4476" t="s">
        <v>1287</v>
      </c>
      <c r="G4476" t="s">
        <v>1288</v>
      </c>
      <c r="H4476" s="315" t="s">
        <v>30</v>
      </c>
      <c r="I4476" s="315" t="s">
        <v>1016</v>
      </c>
      <c r="J4476" s="315" t="str">
        <f t="shared" si="366"/>
        <v>Used VehicleEx NV demonstrators gross profit p.u.</v>
      </c>
      <c r="K4476" s="315" t="str">
        <f t="shared" si="367"/>
        <v>410Ex-Toyota NV demonstrator Cost of Sales</v>
      </c>
      <c r="L4476" s="311">
        <f>+SUMIF('TUNZ Extracted TB'!M:M,$P4476,'TUNZ Extracted TB'!G:G)</f>
        <v>0</v>
      </c>
      <c r="M4476" s="311"/>
      <c r="N4476" s="311">
        <f>+SUMIF('Input Sheet'!$AE:$AE,P4476,'Input Sheet'!$X:$X)</f>
        <v>0</v>
      </c>
      <c r="O4476" s="311"/>
      <c r="P4476" t="str">
        <f t="shared" si="368"/>
        <v>410-4009R</v>
      </c>
      <c r="Q4476" s="315" t="str">
        <f t="shared" si="369"/>
        <v>Used Vehicle</v>
      </c>
      <c r="R4476" s="315" t="str">
        <f t="shared" si="370"/>
        <v>Used VehicleEx NV demonstrators gross profit p.u.</v>
      </c>
      <c r="S4476" s="199"/>
      <c r="T4476" s="199"/>
      <c r="U4476" s="199"/>
    </row>
    <row r="4477" spans="1:21" x14ac:dyDescent="0.25">
      <c r="A4477" t="s">
        <v>996</v>
      </c>
      <c r="B4477" t="s">
        <v>997</v>
      </c>
      <c r="C4477" t="s">
        <v>1013</v>
      </c>
      <c r="D4477" t="s">
        <v>780</v>
      </c>
      <c r="E4477">
        <v>310</v>
      </c>
      <c r="F4477" t="s">
        <v>1287</v>
      </c>
      <c r="G4477" t="s">
        <v>1288</v>
      </c>
      <c r="H4477" s="315" t="s">
        <v>30</v>
      </c>
      <c r="I4477" s="315" t="s">
        <v>1016</v>
      </c>
      <c r="J4477" s="315" t="str">
        <f t="shared" si="366"/>
        <v>Used VehicleEx NV demonstrators gross profit p.u.</v>
      </c>
      <c r="K4477" s="315" t="str">
        <f t="shared" si="367"/>
        <v>310Ex-Toyota NV demonstrator Cost of Sales</v>
      </c>
      <c r="L4477" s="311">
        <f>+SUMIF('TUNZ Extracted TB'!M:M,$P4477,'TUNZ Extracted TB'!G:G)</f>
        <v>0</v>
      </c>
      <c r="M4477" s="311"/>
      <c r="N4477" s="311">
        <f>+SUMIF('Input Sheet'!$AE:$AE,P4477,'Input Sheet'!$X:$X)</f>
        <v>0</v>
      </c>
      <c r="O4477" s="311"/>
      <c r="P4477" t="str">
        <f t="shared" si="368"/>
        <v>310-4009R</v>
      </c>
      <c r="Q4477" s="315" t="str">
        <f t="shared" si="369"/>
        <v>Used Vehicle</v>
      </c>
      <c r="R4477" s="315" t="str">
        <f t="shared" si="370"/>
        <v>Used VehicleEx NV demonstrators gross profit p.u.</v>
      </c>
      <c r="S4477" s="199"/>
      <c r="T4477" s="199"/>
      <c r="U4477" s="199"/>
    </row>
    <row r="4478" spans="1:21" x14ac:dyDescent="0.25">
      <c r="A4478" t="s">
        <v>996</v>
      </c>
      <c r="B4478" t="s">
        <v>997</v>
      </c>
      <c r="C4478" t="s">
        <v>1005</v>
      </c>
      <c r="D4478" t="s">
        <v>1527</v>
      </c>
      <c r="E4478">
        <v>200</v>
      </c>
      <c r="F4478" t="s">
        <v>1024</v>
      </c>
      <c r="G4478" t="s">
        <v>1027</v>
      </c>
      <c r="H4478" s="315" t="s">
        <v>29</v>
      </c>
      <c r="I4478" s="315" t="s">
        <v>1026</v>
      </c>
      <c r="J4478" s="315" t="str">
        <f t="shared" si="366"/>
        <v>New VehicleOther Income per NV unit</v>
      </c>
      <c r="K4478" s="315" t="str">
        <f t="shared" si="367"/>
        <v>200New Vehicle Other Income - Toyota</v>
      </c>
      <c r="L4478" s="311">
        <f>+SUMIF('TUNZ Extracted TB'!M:M,$P4478,'TUNZ Extracted TB'!G:G)</f>
        <v>0</v>
      </c>
      <c r="M4478" s="311"/>
      <c r="N4478" s="311">
        <f>+SUMIF('Input Sheet'!$AE:$AE,P4478,'Input Sheet'!$X:$X)</f>
        <v>0</v>
      </c>
      <c r="O4478" s="311"/>
      <c r="P4478" t="str">
        <f t="shared" si="368"/>
        <v>200-4009RR</v>
      </c>
      <c r="Q4478" s="315" t="str">
        <f t="shared" si="369"/>
        <v>New Vehicle</v>
      </c>
      <c r="R4478" s="315" t="str">
        <f t="shared" si="370"/>
        <v>New VehicleOther Income per NV unit</v>
      </c>
      <c r="S4478" s="199"/>
      <c r="T4478" s="199"/>
      <c r="U4478" s="199"/>
    </row>
    <row r="4479" spans="1:21" x14ac:dyDescent="0.25">
      <c r="A4479" t="s">
        <v>996</v>
      </c>
      <c r="B4479" t="s">
        <v>997</v>
      </c>
      <c r="C4479" t="s">
        <v>1012</v>
      </c>
      <c r="D4479" t="s">
        <v>1527</v>
      </c>
      <c r="E4479">
        <v>400</v>
      </c>
      <c r="F4479" t="s">
        <v>1024</v>
      </c>
      <c r="G4479" t="s">
        <v>1027</v>
      </c>
      <c r="H4479" s="315" t="s">
        <v>29</v>
      </c>
      <c r="I4479" s="315" t="s">
        <v>1026</v>
      </c>
      <c r="J4479" s="315" t="str">
        <f t="shared" si="366"/>
        <v>New VehicleOther Income per NV unit</v>
      </c>
      <c r="K4479" s="315" t="str">
        <f t="shared" si="367"/>
        <v>400New Vehicle Other Income - Toyota</v>
      </c>
      <c r="L4479" s="311">
        <f>+SUMIF('TUNZ Extracted TB'!M:M,$P4479,'TUNZ Extracted TB'!G:G)</f>
        <v>0</v>
      </c>
      <c r="M4479" s="311"/>
      <c r="N4479" s="311">
        <f>+SUMIF('Input Sheet'!$AE:$AE,P4479,'Input Sheet'!$X:$X)</f>
        <v>0</v>
      </c>
      <c r="O4479" s="311"/>
      <c r="P4479" t="str">
        <f t="shared" si="368"/>
        <v>400-4009RR</v>
      </c>
      <c r="Q4479" s="315" t="str">
        <f t="shared" si="369"/>
        <v>New Vehicle</v>
      </c>
      <c r="R4479" s="315" t="str">
        <f t="shared" si="370"/>
        <v>New VehicleOther Income per NV unit</v>
      </c>
      <c r="S4479" s="199"/>
      <c r="T4479" s="199"/>
      <c r="U4479" s="199"/>
    </row>
    <row r="4480" spans="1:21" x14ac:dyDescent="0.25">
      <c r="A4480" t="s">
        <v>996</v>
      </c>
      <c r="B4480" t="s">
        <v>997</v>
      </c>
      <c r="C4480" t="s">
        <v>1013</v>
      </c>
      <c r="D4480" t="s">
        <v>1527</v>
      </c>
      <c r="E4480">
        <v>300</v>
      </c>
      <c r="F4480" t="s">
        <v>1024</v>
      </c>
      <c r="G4480" t="s">
        <v>1027</v>
      </c>
      <c r="H4480" s="315" t="s">
        <v>29</v>
      </c>
      <c r="I4480" s="315" t="s">
        <v>1026</v>
      </c>
      <c r="J4480" s="315" t="str">
        <f t="shared" si="366"/>
        <v>New VehicleOther Income per NV unit</v>
      </c>
      <c r="K4480" s="315" t="str">
        <f t="shared" si="367"/>
        <v>300New Vehicle Other Income - Toyota</v>
      </c>
      <c r="L4480" s="311">
        <f>+SUMIF('TUNZ Extracted TB'!M:M,$P4480,'TUNZ Extracted TB'!G:G)</f>
        <v>0</v>
      </c>
      <c r="M4480" s="311"/>
      <c r="N4480" s="311">
        <f>+SUMIF('Input Sheet'!$AE:$AE,P4480,'Input Sheet'!$X:$X)</f>
        <v>0</v>
      </c>
      <c r="O4480" s="311"/>
      <c r="P4480" t="str">
        <f t="shared" si="368"/>
        <v>300-4009RR</v>
      </c>
      <c r="Q4480" s="315" t="str">
        <f t="shared" si="369"/>
        <v>New Vehicle</v>
      </c>
      <c r="R4480" s="315" t="str">
        <f t="shared" si="370"/>
        <v>New VehicleOther Income per NV unit</v>
      </c>
      <c r="S4480" s="199"/>
      <c r="T4480" s="199"/>
      <c r="U4480" s="199"/>
    </row>
    <row r="4481" spans="1:21" x14ac:dyDescent="0.25">
      <c r="A4481" t="s">
        <v>996</v>
      </c>
      <c r="B4481" t="s">
        <v>997</v>
      </c>
      <c r="C4481" t="s">
        <v>997</v>
      </c>
      <c r="D4481" t="s">
        <v>1527</v>
      </c>
      <c r="E4481">
        <v>110</v>
      </c>
      <c r="F4481" t="s">
        <v>1287</v>
      </c>
      <c r="G4481" t="s">
        <v>1288</v>
      </c>
      <c r="H4481" s="315" t="s">
        <v>30</v>
      </c>
      <c r="I4481" s="315" t="s">
        <v>1016</v>
      </c>
      <c r="J4481" s="315" t="str">
        <f t="shared" si="366"/>
        <v>Used VehicleEx NV demonstrators gross profit p.u.</v>
      </c>
      <c r="K4481" s="315" t="str">
        <f t="shared" si="367"/>
        <v>110Ex-Toyota NV demonstrator Cost of Sales</v>
      </c>
      <c r="L4481" s="311">
        <f>+SUMIF('TUNZ Extracted TB'!M:M,$P4481,'TUNZ Extracted TB'!G:G)</f>
        <v>0</v>
      </c>
      <c r="M4481" s="311"/>
      <c r="N4481" s="311">
        <f>+SUMIF('Input Sheet'!$AE:$AE,P4481,'Input Sheet'!$X:$X)</f>
        <v>0</v>
      </c>
      <c r="O4481" s="311"/>
      <c r="P4481" t="str">
        <f t="shared" si="368"/>
        <v>110-4009RR</v>
      </c>
      <c r="Q4481" s="315" t="str">
        <f t="shared" si="369"/>
        <v>Used Vehicle</v>
      </c>
      <c r="R4481" s="315" t="str">
        <f t="shared" si="370"/>
        <v>Used VehicleEx NV demonstrators gross profit p.u.</v>
      </c>
      <c r="S4481" s="199"/>
      <c r="T4481" s="199"/>
      <c r="U4481" s="199"/>
    </row>
    <row r="4482" spans="1:21" x14ac:dyDescent="0.25">
      <c r="A4482" t="s">
        <v>996</v>
      </c>
      <c r="B4482" t="s">
        <v>997</v>
      </c>
      <c r="C4482" t="s">
        <v>997</v>
      </c>
      <c r="D4482" t="s">
        <v>782</v>
      </c>
      <c r="E4482">
        <v>100</v>
      </c>
      <c r="F4482" t="s">
        <v>1024</v>
      </c>
      <c r="G4482" t="s">
        <v>1027</v>
      </c>
      <c r="H4482" s="315" t="s">
        <v>29</v>
      </c>
      <c r="I4482" s="315" t="s">
        <v>1026</v>
      </c>
      <c r="J4482" s="315" t="str">
        <f t="shared" si="366"/>
        <v>New VehicleOther Income per NV unit</v>
      </c>
      <c r="K4482" s="315" t="str">
        <f t="shared" si="367"/>
        <v>100New Vehicle Other Income - Toyota</v>
      </c>
      <c r="L4482" s="311">
        <f>+SUMIF('TUNZ Extracted TB'!M:M,$P4482,'TUNZ Extracted TB'!G:G)</f>
        <v>219.25</v>
      </c>
      <c r="M4482" s="311"/>
      <c r="N4482" s="311">
        <f>+SUMIF('Input Sheet'!$AE:$AE,P4482,'Input Sheet'!$X:$X)</f>
        <v>0</v>
      </c>
      <c r="O4482" s="311"/>
      <c r="P4482" t="str">
        <f t="shared" si="368"/>
        <v>100-4010R</v>
      </c>
      <c r="Q4482" s="315" t="str">
        <f t="shared" si="369"/>
        <v>New Vehicle</v>
      </c>
      <c r="R4482" s="315" t="str">
        <f t="shared" si="370"/>
        <v>New VehicleOther Income per NV unit</v>
      </c>
      <c r="S4482" s="199"/>
      <c r="T4482" s="199"/>
      <c r="U4482" s="199"/>
    </row>
    <row r="4483" spans="1:21" x14ac:dyDescent="0.25">
      <c r="A4483" t="s">
        <v>996</v>
      </c>
      <c r="B4483" t="s">
        <v>997</v>
      </c>
      <c r="C4483" t="s">
        <v>1005</v>
      </c>
      <c r="D4483" t="s">
        <v>1527</v>
      </c>
      <c r="E4483">
        <v>210</v>
      </c>
      <c r="F4483" t="s">
        <v>1287</v>
      </c>
      <c r="G4483" t="s">
        <v>1288</v>
      </c>
      <c r="H4483" s="315" t="s">
        <v>30</v>
      </c>
      <c r="I4483" s="315" t="s">
        <v>1016</v>
      </c>
      <c r="J4483" s="315" t="str">
        <f t="shared" ref="J4483:J4546" si="371">+H4483&amp;I4483</f>
        <v>Used VehicleEx NV demonstrators gross profit p.u.</v>
      </c>
      <c r="K4483" s="315" t="str">
        <f t="shared" ref="K4483:K4546" si="372">+E4483&amp;G4483</f>
        <v>210Ex-Toyota NV demonstrator Cost of Sales</v>
      </c>
      <c r="L4483" s="311">
        <f>+SUMIF('TUNZ Extracted TB'!M:M,$P4483,'TUNZ Extracted TB'!G:G)</f>
        <v>0</v>
      </c>
      <c r="M4483" s="311"/>
      <c r="N4483" s="311">
        <f>+SUMIF('Input Sheet'!$AE:$AE,P4483,'Input Sheet'!$X:$X)</f>
        <v>0</v>
      </c>
      <c r="O4483" s="311"/>
      <c r="P4483" t="str">
        <f t="shared" ref="P4483:P4546" si="373">+E4483&amp;"-"&amp;D4483</f>
        <v>210-4009RR</v>
      </c>
      <c r="Q4483" s="315" t="str">
        <f t="shared" ref="Q4483:Q4546" si="374">H4483</f>
        <v>Used Vehicle</v>
      </c>
      <c r="R4483" s="315" t="str">
        <f t="shared" ref="R4483:R4546" si="375">J4483</f>
        <v>Used VehicleEx NV demonstrators gross profit p.u.</v>
      </c>
      <c r="S4483" s="199"/>
      <c r="T4483" s="199"/>
      <c r="U4483" s="199"/>
    </row>
    <row r="4484" spans="1:21" x14ac:dyDescent="0.25">
      <c r="A4484" t="s">
        <v>996</v>
      </c>
      <c r="B4484" t="s">
        <v>997</v>
      </c>
      <c r="C4484" t="s">
        <v>1012</v>
      </c>
      <c r="D4484" t="s">
        <v>1527</v>
      </c>
      <c r="E4484">
        <v>410</v>
      </c>
      <c r="F4484" t="s">
        <v>1287</v>
      </c>
      <c r="G4484" t="s">
        <v>1288</v>
      </c>
      <c r="H4484" s="315" t="s">
        <v>30</v>
      </c>
      <c r="I4484" s="315" t="s">
        <v>1016</v>
      </c>
      <c r="J4484" s="315" t="str">
        <f t="shared" si="371"/>
        <v>Used VehicleEx NV demonstrators gross profit p.u.</v>
      </c>
      <c r="K4484" s="315" t="str">
        <f t="shared" si="372"/>
        <v>410Ex-Toyota NV demonstrator Cost of Sales</v>
      </c>
      <c r="L4484" s="311">
        <f>+SUMIF('TUNZ Extracted TB'!M:M,$P4484,'TUNZ Extracted TB'!G:G)</f>
        <v>0</v>
      </c>
      <c r="M4484" s="311"/>
      <c r="N4484" s="311">
        <f>+SUMIF('Input Sheet'!$AE:$AE,P4484,'Input Sheet'!$X:$X)</f>
        <v>0</v>
      </c>
      <c r="O4484" s="311"/>
      <c r="P4484" t="str">
        <f t="shared" si="373"/>
        <v>410-4009RR</v>
      </c>
      <c r="Q4484" s="315" t="str">
        <f t="shared" si="374"/>
        <v>Used Vehicle</v>
      </c>
      <c r="R4484" s="315" t="str">
        <f t="shared" si="375"/>
        <v>Used VehicleEx NV demonstrators gross profit p.u.</v>
      </c>
      <c r="S4484" s="199"/>
      <c r="T4484" s="199"/>
      <c r="U4484" s="199"/>
    </row>
    <row r="4485" spans="1:21" x14ac:dyDescent="0.25">
      <c r="A4485" t="s">
        <v>996</v>
      </c>
      <c r="B4485" t="s">
        <v>997</v>
      </c>
      <c r="C4485" t="s">
        <v>1013</v>
      </c>
      <c r="D4485" t="s">
        <v>1527</v>
      </c>
      <c r="E4485">
        <v>310</v>
      </c>
      <c r="F4485" t="s">
        <v>1287</v>
      </c>
      <c r="G4485" t="s">
        <v>1288</v>
      </c>
      <c r="H4485" s="315" t="s">
        <v>30</v>
      </c>
      <c r="I4485" s="315" t="s">
        <v>1016</v>
      </c>
      <c r="J4485" s="315" t="str">
        <f t="shared" si="371"/>
        <v>Used VehicleEx NV demonstrators gross profit p.u.</v>
      </c>
      <c r="K4485" s="315" t="str">
        <f t="shared" si="372"/>
        <v>310Ex-Toyota NV demonstrator Cost of Sales</v>
      </c>
      <c r="L4485" s="311">
        <f>+SUMIF('TUNZ Extracted TB'!M:M,$P4485,'TUNZ Extracted TB'!G:G)</f>
        <v>0</v>
      </c>
      <c r="M4485" s="311"/>
      <c r="N4485" s="311">
        <f>+SUMIF('Input Sheet'!$AE:$AE,P4485,'Input Sheet'!$X:$X)</f>
        <v>0</v>
      </c>
      <c r="O4485" s="311"/>
      <c r="P4485" t="str">
        <f t="shared" si="373"/>
        <v>310-4009RR</v>
      </c>
      <c r="Q4485" s="315" t="str">
        <f t="shared" si="374"/>
        <v>Used Vehicle</v>
      </c>
      <c r="R4485" s="315" t="str">
        <f t="shared" si="375"/>
        <v>Used VehicleEx NV demonstrators gross profit p.u.</v>
      </c>
      <c r="S4485" s="199"/>
      <c r="T4485" s="199"/>
      <c r="U4485" s="199"/>
    </row>
    <row r="4486" spans="1:21" x14ac:dyDescent="0.25">
      <c r="A4486" t="s">
        <v>996</v>
      </c>
      <c r="B4486" t="s">
        <v>997</v>
      </c>
      <c r="C4486" t="s">
        <v>1005</v>
      </c>
      <c r="D4486" t="s">
        <v>782</v>
      </c>
      <c r="E4486">
        <v>200</v>
      </c>
      <c r="F4486" t="s">
        <v>1024</v>
      </c>
      <c r="G4486" t="s">
        <v>1027</v>
      </c>
      <c r="H4486" s="315" t="s">
        <v>29</v>
      </c>
      <c r="I4486" s="315" t="s">
        <v>1026</v>
      </c>
      <c r="J4486" s="315" t="str">
        <f t="shared" si="371"/>
        <v>New VehicleOther Income per NV unit</v>
      </c>
      <c r="K4486" s="315" t="str">
        <f t="shared" si="372"/>
        <v>200New Vehicle Other Income - Toyota</v>
      </c>
      <c r="L4486" s="311">
        <f>+SUMIF('TUNZ Extracted TB'!M:M,$P4486,'TUNZ Extracted TB'!G:G)</f>
        <v>0</v>
      </c>
      <c r="M4486" s="311"/>
      <c r="N4486" s="311">
        <f>+SUMIF('Input Sheet'!$AE:$AE,P4486,'Input Sheet'!$X:$X)</f>
        <v>0</v>
      </c>
      <c r="O4486" s="311"/>
      <c r="P4486" t="str">
        <f t="shared" si="373"/>
        <v>200-4010R</v>
      </c>
      <c r="Q4486" s="315" t="str">
        <f t="shared" si="374"/>
        <v>New Vehicle</v>
      </c>
      <c r="R4486" s="315" t="str">
        <f t="shared" si="375"/>
        <v>New VehicleOther Income per NV unit</v>
      </c>
      <c r="S4486" s="199"/>
      <c r="T4486" s="199"/>
      <c r="U4486" s="199"/>
    </row>
    <row r="4487" spans="1:21" x14ac:dyDescent="0.25">
      <c r="A4487" t="s">
        <v>996</v>
      </c>
      <c r="B4487" t="s">
        <v>997</v>
      </c>
      <c r="C4487" t="s">
        <v>1012</v>
      </c>
      <c r="D4487" t="s">
        <v>782</v>
      </c>
      <c r="E4487">
        <v>400</v>
      </c>
      <c r="F4487" t="s">
        <v>1024</v>
      </c>
      <c r="G4487" t="s">
        <v>1027</v>
      </c>
      <c r="H4487" s="315" t="s">
        <v>29</v>
      </c>
      <c r="I4487" s="315" t="s">
        <v>1026</v>
      </c>
      <c r="J4487" s="315" t="str">
        <f t="shared" si="371"/>
        <v>New VehicleOther Income per NV unit</v>
      </c>
      <c r="K4487" s="315" t="str">
        <f t="shared" si="372"/>
        <v>400New Vehicle Other Income - Toyota</v>
      </c>
      <c r="L4487" s="311">
        <f>+SUMIF('TUNZ Extracted TB'!M:M,$P4487,'TUNZ Extracted TB'!G:G)</f>
        <v>0</v>
      </c>
      <c r="M4487" s="311"/>
      <c r="N4487" s="311">
        <f>+SUMIF('Input Sheet'!$AE:$AE,P4487,'Input Sheet'!$X:$X)</f>
        <v>0</v>
      </c>
      <c r="O4487" s="311"/>
      <c r="P4487" t="str">
        <f t="shared" si="373"/>
        <v>400-4010R</v>
      </c>
      <c r="Q4487" s="315" t="str">
        <f t="shared" si="374"/>
        <v>New Vehicle</v>
      </c>
      <c r="R4487" s="315" t="str">
        <f t="shared" si="375"/>
        <v>New VehicleOther Income per NV unit</v>
      </c>
      <c r="S4487" s="199"/>
      <c r="T4487" s="199"/>
      <c r="U4487" s="199"/>
    </row>
    <row r="4488" spans="1:21" x14ac:dyDescent="0.25">
      <c r="A4488" t="s">
        <v>996</v>
      </c>
      <c r="B4488" t="s">
        <v>997</v>
      </c>
      <c r="C4488" t="s">
        <v>1013</v>
      </c>
      <c r="D4488" t="s">
        <v>782</v>
      </c>
      <c r="E4488">
        <v>300</v>
      </c>
      <c r="F4488" t="s">
        <v>1024</v>
      </c>
      <c r="G4488" t="s">
        <v>1027</v>
      </c>
      <c r="H4488" s="315" t="s">
        <v>29</v>
      </c>
      <c r="I4488" s="315" t="s">
        <v>1026</v>
      </c>
      <c r="J4488" s="315" t="str">
        <f t="shared" si="371"/>
        <v>New VehicleOther Income per NV unit</v>
      </c>
      <c r="K4488" s="315" t="str">
        <f t="shared" si="372"/>
        <v>300New Vehicle Other Income - Toyota</v>
      </c>
      <c r="L4488" s="311">
        <f>+SUMIF('TUNZ Extracted TB'!M:M,$P4488,'TUNZ Extracted TB'!G:G)</f>
        <v>0</v>
      </c>
      <c r="M4488" s="311"/>
      <c r="N4488" s="311">
        <f>+SUMIF('Input Sheet'!$AE:$AE,P4488,'Input Sheet'!$X:$X)</f>
        <v>0</v>
      </c>
      <c r="O4488" s="311"/>
      <c r="P4488" t="str">
        <f t="shared" si="373"/>
        <v>300-4010R</v>
      </c>
      <c r="Q4488" s="315" t="str">
        <f t="shared" si="374"/>
        <v>New Vehicle</v>
      </c>
      <c r="R4488" s="315" t="str">
        <f t="shared" si="375"/>
        <v>New VehicleOther Income per NV unit</v>
      </c>
      <c r="S4488" s="199"/>
      <c r="T4488" s="199"/>
      <c r="U4488" s="199"/>
    </row>
    <row r="4489" spans="1:21" x14ac:dyDescent="0.25">
      <c r="A4489" t="s">
        <v>996</v>
      </c>
      <c r="B4489" t="s">
        <v>997</v>
      </c>
      <c r="C4489" t="s">
        <v>997</v>
      </c>
      <c r="D4489" t="s">
        <v>784</v>
      </c>
      <c r="E4489">
        <v>100</v>
      </c>
      <c r="F4489" t="s">
        <v>1024</v>
      </c>
      <c r="G4489" t="s">
        <v>1027</v>
      </c>
      <c r="H4489" s="315" t="s">
        <v>29</v>
      </c>
      <c r="I4489" s="315" t="s">
        <v>1026</v>
      </c>
      <c r="J4489" s="315" t="str">
        <f t="shared" si="371"/>
        <v>New VehicleOther Income per NV unit</v>
      </c>
      <c r="K4489" s="315" t="str">
        <f t="shared" si="372"/>
        <v>100New Vehicle Other Income - Toyota</v>
      </c>
      <c r="L4489" s="311">
        <f>+SUMIF('TUNZ Extracted TB'!M:M,$P4489,'TUNZ Extracted TB'!G:G)</f>
        <v>0</v>
      </c>
      <c r="M4489" s="311"/>
      <c r="N4489" s="311">
        <f>+SUMIF('Input Sheet'!$AE:$AE,P4489,'Input Sheet'!$X:$X)</f>
        <v>0</v>
      </c>
      <c r="O4489" s="311"/>
      <c r="P4489" t="str">
        <f t="shared" si="373"/>
        <v>100-4010RR</v>
      </c>
      <c r="Q4489" s="315" t="str">
        <f t="shared" si="374"/>
        <v>New Vehicle</v>
      </c>
      <c r="R4489" s="315" t="str">
        <f t="shared" si="375"/>
        <v>New VehicleOther Income per NV unit</v>
      </c>
      <c r="S4489" s="199"/>
      <c r="T4489" s="199"/>
      <c r="U4489" s="199"/>
    </row>
    <row r="4490" spans="1:21" x14ac:dyDescent="0.25">
      <c r="A4490" t="s">
        <v>996</v>
      </c>
      <c r="B4490" t="s">
        <v>997</v>
      </c>
      <c r="C4490" t="s">
        <v>997</v>
      </c>
      <c r="D4490" t="s">
        <v>782</v>
      </c>
      <c r="E4490">
        <v>110</v>
      </c>
      <c r="F4490" t="s">
        <v>1287</v>
      </c>
      <c r="G4490" t="s">
        <v>1288</v>
      </c>
      <c r="H4490" s="315" t="s">
        <v>30</v>
      </c>
      <c r="I4490" s="315" t="s">
        <v>1016</v>
      </c>
      <c r="J4490" s="315" t="str">
        <f t="shared" si="371"/>
        <v>Used VehicleEx NV demonstrators gross profit p.u.</v>
      </c>
      <c r="K4490" s="315" t="str">
        <f t="shared" si="372"/>
        <v>110Ex-Toyota NV demonstrator Cost of Sales</v>
      </c>
      <c r="L4490" s="311">
        <f>+SUMIF('TUNZ Extracted TB'!M:M,$P4490,'TUNZ Extracted TB'!G:G)</f>
        <v>0</v>
      </c>
      <c r="M4490" s="311"/>
      <c r="N4490" s="311">
        <f>+SUMIF('Input Sheet'!$AE:$AE,P4490,'Input Sheet'!$X:$X)</f>
        <v>0</v>
      </c>
      <c r="O4490" s="311"/>
      <c r="P4490" t="str">
        <f t="shared" si="373"/>
        <v>110-4010R</v>
      </c>
      <c r="Q4490" s="315" t="str">
        <f t="shared" si="374"/>
        <v>Used Vehicle</v>
      </c>
      <c r="R4490" s="315" t="str">
        <f t="shared" si="375"/>
        <v>Used VehicleEx NV demonstrators gross profit p.u.</v>
      </c>
      <c r="S4490" s="199"/>
      <c r="T4490" s="199"/>
      <c r="U4490" s="199"/>
    </row>
    <row r="4491" spans="1:21" x14ac:dyDescent="0.25">
      <c r="A4491" t="s">
        <v>996</v>
      </c>
      <c r="B4491" t="s">
        <v>997</v>
      </c>
      <c r="C4491" t="s">
        <v>1005</v>
      </c>
      <c r="D4491" t="s">
        <v>782</v>
      </c>
      <c r="E4491">
        <v>210</v>
      </c>
      <c r="F4491" t="s">
        <v>1287</v>
      </c>
      <c r="G4491" t="s">
        <v>1288</v>
      </c>
      <c r="H4491" s="315" t="s">
        <v>30</v>
      </c>
      <c r="I4491" s="315" t="s">
        <v>1016</v>
      </c>
      <c r="J4491" s="315" t="str">
        <f t="shared" si="371"/>
        <v>Used VehicleEx NV demonstrators gross profit p.u.</v>
      </c>
      <c r="K4491" s="315" t="str">
        <f t="shared" si="372"/>
        <v>210Ex-Toyota NV demonstrator Cost of Sales</v>
      </c>
      <c r="L4491" s="311">
        <f>+SUMIF('TUNZ Extracted TB'!M:M,$P4491,'TUNZ Extracted TB'!G:G)</f>
        <v>0</v>
      </c>
      <c r="M4491" s="311"/>
      <c r="N4491" s="311">
        <f>+SUMIF('Input Sheet'!$AE:$AE,P4491,'Input Sheet'!$X:$X)</f>
        <v>0</v>
      </c>
      <c r="O4491" s="311"/>
      <c r="P4491" t="str">
        <f t="shared" si="373"/>
        <v>210-4010R</v>
      </c>
      <c r="Q4491" s="315" t="str">
        <f t="shared" si="374"/>
        <v>Used Vehicle</v>
      </c>
      <c r="R4491" s="315" t="str">
        <f t="shared" si="375"/>
        <v>Used VehicleEx NV demonstrators gross profit p.u.</v>
      </c>
      <c r="S4491" s="199"/>
      <c r="T4491" s="199"/>
      <c r="U4491" s="199"/>
    </row>
    <row r="4492" spans="1:21" x14ac:dyDescent="0.25">
      <c r="A4492" t="s">
        <v>996</v>
      </c>
      <c r="B4492" t="s">
        <v>997</v>
      </c>
      <c r="C4492" t="s">
        <v>1012</v>
      </c>
      <c r="D4492" t="s">
        <v>782</v>
      </c>
      <c r="E4492">
        <v>410</v>
      </c>
      <c r="F4492" t="s">
        <v>1287</v>
      </c>
      <c r="G4492" t="s">
        <v>1288</v>
      </c>
      <c r="H4492" s="315" t="s">
        <v>30</v>
      </c>
      <c r="I4492" s="315" t="s">
        <v>1016</v>
      </c>
      <c r="J4492" s="315" t="str">
        <f t="shared" si="371"/>
        <v>Used VehicleEx NV demonstrators gross profit p.u.</v>
      </c>
      <c r="K4492" s="315" t="str">
        <f t="shared" si="372"/>
        <v>410Ex-Toyota NV demonstrator Cost of Sales</v>
      </c>
      <c r="L4492" s="311">
        <f>+SUMIF('TUNZ Extracted TB'!M:M,$P4492,'TUNZ Extracted TB'!G:G)</f>
        <v>0</v>
      </c>
      <c r="M4492" s="311"/>
      <c r="N4492" s="311">
        <f>+SUMIF('Input Sheet'!$AE:$AE,P4492,'Input Sheet'!$X:$X)</f>
        <v>0</v>
      </c>
      <c r="O4492" s="311"/>
      <c r="P4492" t="str">
        <f t="shared" si="373"/>
        <v>410-4010R</v>
      </c>
      <c r="Q4492" s="315" t="str">
        <f t="shared" si="374"/>
        <v>Used Vehicle</v>
      </c>
      <c r="R4492" s="315" t="str">
        <f t="shared" si="375"/>
        <v>Used VehicleEx NV demonstrators gross profit p.u.</v>
      </c>
      <c r="S4492" s="199"/>
      <c r="T4492" s="199"/>
      <c r="U4492" s="199"/>
    </row>
    <row r="4493" spans="1:21" x14ac:dyDescent="0.25">
      <c r="A4493" t="s">
        <v>996</v>
      </c>
      <c r="B4493" t="s">
        <v>997</v>
      </c>
      <c r="C4493" t="s">
        <v>1013</v>
      </c>
      <c r="D4493" t="s">
        <v>782</v>
      </c>
      <c r="E4493">
        <v>310</v>
      </c>
      <c r="F4493" t="s">
        <v>1287</v>
      </c>
      <c r="G4493" t="s">
        <v>1288</v>
      </c>
      <c r="H4493" s="315" t="s">
        <v>30</v>
      </c>
      <c r="I4493" s="315" t="s">
        <v>1016</v>
      </c>
      <c r="J4493" s="315" t="str">
        <f t="shared" si="371"/>
        <v>Used VehicleEx NV demonstrators gross profit p.u.</v>
      </c>
      <c r="K4493" s="315" t="str">
        <f t="shared" si="372"/>
        <v>310Ex-Toyota NV demonstrator Cost of Sales</v>
      </c>
      <c r="L4493" s="311">
        <f>+SUMIF('TUNZ Extracted TB'!M:M,$P4493,'TUNZ Extracted TB'!G:G)</f>
        <v>0</v>
      </c>
      <c r="M4493" s="311"/>
      <c r="N4493" s="311">
        <f>+SUMIF('Input Sheet'!$AE:$AE,P4493,'Input Sheet'!$X:$X)</f>
        <v>0</v>
      </c>
      <c r="O4493" s="311"/>
      <c r="P4493" t="str">
        <f t="shared" si="373"/>
        <v>310-4010R</v>
      </c>
      <c r="Q4493" s="315" t="str">
        <f t="shared" si="374"/>
        <v>Used Vehicle</v>
      </c>
      <c r="R4493" s="315" t="str">
        <f t="shared" si="375"/>
        <v>Used VehicleEx NV demonstrators gross profit p.u.</v>
      </c>
      <c r="S4493" s="199"/>
      <c r="T4493" s="199"/>
      <c r="U4493" s="199"/>
    </row>
    <row r="4494" spans="1:21" x14ac:dyDescent="0.25">
      <c r="A4494" t="s">
        <v>996</v>
      </c>
      <c r="B4494" t="s">
        <v>997</v>
      </c>
      <c r="C4494" t="s">
        <v>1005</v>
      </c>
      <c r="D4494" t="s">
        <v>784</v>
      </c>
      <c r="E4494">
        <v>200</v>
      </c>
      <c r="F4494" t="s">
        <v>1024</v>
      </c>
      <c r="G4494" t="s">
        <v>1027</v>
      </c>
      <c r="H4494" s="315" t="s">
        <v>29</v>
      </c>
      <c r="I4494" s="315" t="s">
        <v>1026</v>
      </c>
      <c r="J4494" s="315" t="str">
        <f t="shared" si="371"/>
        <v>New VehicleOther Income per NV unit</v>
      </c>
      <c r="K4494" s="315" t="str">
        <f t="shared" si="372"/>
        <v>200New Vehicle Other Income - Toyota</v>
      </c>
      <c r="L4494" s="311">
        <f>+SUMIF('TUNZ Extracted TB'!M:M,$P4494,'TUNZ Extracted TB'!G:G)</f>
        <v>0</v>
      </c>
      <c r="M4494" s="311"/>
      <c r="N4494" s="311">
        <f>+SUMIF('Input Sheet'!$AE:$AE,P4494,'Input Sheet'!$X:$X)</f>
        <v>0</v>
      </c>
      <c r="O4494" s="311"/>
      <c r="P4494" t="str">
        <f t="shared" si="373"/>
        <v>200-4010RR</v>
      </c>
      <c r="Q4494" s="315" t="str">
        <f t="shared" si="374"/>
        <v>New Vehicle</v>
      </c>
      <c r="R4494" s="315" t="str">
        <f t="shared" si="375"/>
        <v>New VehicleOther Income per NV unit</v>
      </c>
      <c r="S4494" s="199"/>
      <c r="T4494" s="199"/>
      <c r="U4494" s="199"/>
    </row>
    <row r="4495" spans="1:21" x14ac:dyDescent="0.25">
      <c r="A4495" t="s">
        <v>996</v>
      </c>
      <c r="B4495" t="s">
        <v>997</v>
      </c>
      <c r="C4495" t="s">
        <v>1012</v>
      </c>
      <c r="D4495" t="s">
        <v>784</v>
      </c>
      <c r="E4495">
        <v>400</v>
      </c>
      <c r="F4495" t="s">
        <v>1024</v>
      </c>
      <c r="G4495" t="s">
        <v>1027</v>
      </c>
      <c r="H4495" s="315" t="s">
        <v>29</v>
      </c>
      <c r="I4495" s="315" t="s">
        <v>1026</v>
      </c>
      <c r="J4495" s="315" t="str">
        <f t="shared" si="371"/>
        <v>New VehicleOther Income per NV unit</v>
      </c>
      <c r="K4495" s="315" t="str">
        <f t="shared" si="372"/>
        <v>400New Vehicle Other Income - Toyota</v>
      </c>
      <c r="L4495" s="311">
        <f>+SUMIF('TUNZ Extracted TB'!M:M,$P4495,'TUNZ Extracted TB'!G:G)</f>
        <v>0</v>
      </c>
      <c r="M4495" s="311"/>
      <c r="N4495" s="311">
        <f>+SUMIF('Input Sheet'!$AE:$AE,P4495,'Input Sheet'!$X:$X)</f>
        <v>0</v>
      </c>
      <c r="O4495" s="311"/>
      <c r="P4495" t="str">
        <f t="shared" si="373"/>
        <v>400-4010RR</v>
      </c>
      <c r="Q4495" s="315" t="str">
        <f t="shared" si="374"/>
        <v>New Vehicle</v>
      </c>
      <c r="R4495" s="315" t="str">
        <f t="shared" si="375"/>
        <v>New VehicleOther Income per NV unit</v>
      </c>
      <c r="S4495" s="199"/>
      <c r="T4495" s="199"/>
      <c r="U4495" s="199"/>
    </row>
    <row r="4496" spans="1:21" x14ac:dyDescent="0.25">
      <c r="A4496" t="s">
        <v>996</v>
      </c>
      <c r="B4496" t="s">
        <v>997</v>
      </c>
      <c r="C4496" t="s">
        <v>1013</v>
      </c>
      <c r="D4496" t="s">
        <v>784</v>
      </c>
      <c r="E4496">
        <v>300</v>
      </c>
      <c r="F4496" t="s">
        <v>1024</v>
      </c>
      <c r="G4496" t="s">
        <v>1027</v>
      </c>
      <c r="H4496" s="315" t="s">
        <v>29</v>
      </c>
      <c r="I4496" s="315" t="s">
        <v>1026</v>
      </c>
      <c r="J4496" s="315" t="str">
        <f t="shared" si="371"/>
        <v>New VehicleOther Income per NV unit</v>
      </c>
      <c r="K4496" s="315" t="str">
        <f t="shared" si="372"/>
        <v>300New Vehicle Other Income - Toyota</v>
      </c>
      <c r="L4496" s="311">
        <f>+SUMIF('TUNZ Extracted TB'!M:M,$P4496,'TUNZ Extracted TB'!G:G)</f>
        <v>0</v>
      </c>
      <c r="M4496" s="311"/>
      <c r="N4496" s="311">
        <f>+SUMIF('Input Sheet'!$AE:$AE,P4496,'Input Sheet'!$X:$X)</f>
        <v>0</v>
      </c>
      <c r="O4496" s="311"/>
      <c r="P4496" t="str">
        <f t="shared" si="373"/>
        <v>300-4010RR</v>
      </c>
      <c r="Q4496" s="315" t="str">
        <f t="shared" si="374"/>
        <v>New Vehicle</v>
      </c>
      <c r="R4496" s="315" t="str">
        <f t="shared" si="375"/>
        <v>New VehicleOther Income per NV unit</v>
      </c>
      <c r="S4496" s="199"/>
      <c r="T4496" s="199"/>
      <c r="U4496" s="199"/>
    </row>
    <row r="4497" spans="1:21" x14ac:dyDescent="0.25">
      <c r="A4497" t="s">
        <v>996</v>
      </c>
      <c r="B4497" t="s">
        <v>997</v>
      </c>
      <c r="C4497" t="s">
        <v>997</v>
      </c>
      <c r="D4497" t="s">
        <v>784</v>
      </c>
      <c r="E4497">
        <v>110</v>
      </c>
      <c r="F4497" t="s">
        <v>1287</v>
      </c>
      <c r="G4497" t="s">
        <v>1288</v>
      </c>
      <c r="H4497" s="315" t="s">
        <v>30</v>
      </c>
      <c r="I4497" s="315" t="s">
        <v>1016</v>
      </c>
      <c r="J4497" s="315" t="str">
        <f t="shared" si="371"/>
        <v>Used VehicleEx NV demonstrators gross profit p.u.</v>
      </c>
      <c r="K4497" s="315" t="str">
        <f t="shared" si="372"/>
        <v>110Ex-Toyota NV demonstrator Cost of Sales</v>
      </c>
      <c r="L4497" s="311">
        <f>+SUMIF('TUNZ Extracted TB'!M:M,$P4497,'TUNZ Extracted TB'!G:G)</f>
        <v>0</v>
      </c>
      <c r="M4497" s="311"/>
      <c r="N4497" s="311">
        <f>+SUMIF('Input Sheet'!$AE:$AE,P4497,'Input Sheet'!$X:$X)</f>
        <v>0</v>
      </c>
      <c r="O4497" s="311"/>
      <c r="P4497" t="str">
        <f t="shared" si="373"/>
        <v>110-4010RR</v>
      </c>
      <c r="Q4497" s="315" t="str">
        <f t="shared" si="374"/>
        <v>Used Vehicle</v>
      </c>
      <c r="R4497" s="315" t="str">
        <f t="shared" si="375"/>
        <v>Used VehicleEx NV demonstrators gross profit p.u.</v>
      </c>
      <c r="S4497" s="199"/>
      <c r="T4497" s="199"/>
      <c r="U4497" s="199"/>
    </row>
    <row r="4498" spans="1:21" x14ac:dyDescent="0.25">
      <c r="A4498" t="s">
        <v>996</v>
      </c>
      <c r="B4498" t="s">
        <v>997</v>
      </c>
      <c r="C4498" t="s">
        <v>997</v>
      </c>
      <c r="D4498" t="s">
        <v>786</v>
      </c>
      <c r="E4498">
        <v>100</v>
      </c>
      <c r="F4498" t="s">
        <v>1024</v>
      </c>
      <c r="G4498" t="s">
        <v>1027</v>
      </c>
      <c r="H4498" s="315" t="s">
        <v>29</v>
      </c>
      <c r="I4498" s="315" t="s">
        <v>1026</v>
      </c>
      <c r="J4498" s="315" t="str">
        <f t="shared" si="371"/>
        <v>New VehicleOther Income per NV unit</v>
      </c>
      <c r="K4498" s="315" t="str">
        <f t="shared" si="372"/>
        <v>100New Vehicle Other Income - Toyota</v>
      </c>
      <c r="L4498" s="311">
        <f>+SUMIF('TUNZ Extracted TB'!M:M,$P4498,'TUNZ Extracted TB'!G:G)</f>
        <v>0</v>
      </c>
      <c r="M4498" s="311"/>
      <c r="N4498" s="311">
        <f>+SUMIF('Input Sheet'!$AE:$AE,P4498,'Input Sheet'!$X:$X)</f>
        <v>0</v>
      </c>
      <c r="O4498" s="311"/>
      <c r="P4498" t="str">
        <f t="shared" si="373"/>
        <v>100-4011R</v>
      </c>
      <c r="Q4498" s="315" t="str">
        <f t="shared" si="374"/>
        <v>New Vehicle</v>
      </c>
      <c r="R4498" s="315" t="str">
        <f t="shared" si="375"/>
        <v>New VehicleOther Income per NV unit</v>
      </c>
      <c r="S4498" s="199"/>
      <c r="T4498" s="199"/>
      <c r="U4498" s="199"/>
    </row>
    <row r="4499" spans="1:21" x14ac:dyDescent="0.25">
      <c r="A4499" t="s">
        <v>996</v>
      </c>
      <c r="B4499" t="s">
        <v>997</v>
      </c>
      <c r="C4499" t="s">
        <v>1005</v>
      </c>
      <c r="D4499" t="s">
        <v>784</v>
      </c>
      <c r="E4499">
        <v>210</v>
      </c>
      <c r="F4499" t="s">
        <v>1287</v>
      </c>
      <c r="G4499" t="s">
        <v>1288</v>
      </c>
      <c r="H4499" s="315" t="s">
        <v>30</v>
      </c>
      <c r="I4499" s="315" t="s">
        <v>1016</v>
      </c>
      <c r="J4499" s="315" t="str">
        <f t="shared" si="371"/>
        <v>Used VehicleEx NV demonstrators gross profit p.u.</v>
      </c>
      <c r="K4499" s="315" t="str">
        <f t="shared" si="372"/>
        <v>210Ex-Toyota NV demonstrator Cost of Sales</v>
      </c>
      <c r="L4499" s="311">
        <f>+SUMIF('TUNZ Extracted TB'!M:M,$P4499,'TUNZ Extracted TB'!G:G)</f>
        <v>0</v>
      </c>
      <c r="M4499" s="311"/>
      <c r="N4499" s="311">
        <f>+SUMIF('Input Sheet'!$AE:$AE,P4499,'Input Sheet'!$X:$X)</f>
        <v>0</v>
      </c>
      <c r="O4499" s="311"/>
      <c r="P4499" t="str">
        <f t="shared" si="373"/>
        <v>210-4010RR</v>
      </c>
      <c r="Q4499" s="315" t="str">
        <f t="shared" si="374"/>
        <v>Used Vehicle</v>
      </c>
      <c r="R4499" s="315" t="str">
        <f t="shared" si="375"/>
        <v>Used VehicleEx NV demonstrators gross profit p.u.</v>
      </c>
      <c r="S4499" s="199"/>
      <c r="T4499" s="199"/>
      <c r="U4499" s="199"/>
    </row>
    <row r="4500" spans="1:21" x14ac:dyDescent="0.25">
      <c r="A4500" t="s">
        <v>996</v>
      </c>
      <c r="B4500" t="s">
        <v>997</v>
      </c>
      <c r="C4500" t="s">
        <v>1012</v>
      </c>
      <c r="D4500" t="s">
        <v>784</v>
      </c>
      <c r="E4500">
        <v>410</v>
      </c>
      <c r="F4500" t="s">
        <v>1287</v>
      </c>
      <c r="G4500" t="s">
        <v>1288</v>
      </c>
      <c r="H4500" s="315" t="s">
        <v>30</v>
      </c>
      <c r="I4500" s="315" t="s">
        <v>1016</v>
      </c>
      <c r="J4500" s="315" t="str">
        <f t="shared" si="371"/>
        <v>Used VehicleEx NV demonstrators gross profit p.u.</v>
      </c>
      <c r="K4500" s="315" t="str">
        <f t="shared" si="372"/>
        <v>410Ex-Toyota NV demonstrator Cost of Sales</v>
      </c>
      <c r="L4500" s="311">
        <f>+SUMIF('TUNZ Extracted TB'!M:M,$P4500,'TUNZ Extracted TB'!G:G)</f>
        <v>0</v>
      </c>
      <c r="M4500" s="311"/>
      <c r="N4500" s="311">
        <f>+SUMIF('Input Sheet'!$AE:$AE,P4500,'Input Sheet'!$X:$X)</f>
        <v>0</v>
      </c>
      <c r="O4500" s="311"/>
      <c r="P4500" t="str">
        <f t="shared" si="373"/>
        <v>410-4010RR</v>
      </c>
      <c r="Q4500" s="315" t="str">
        <f t="shared" si="374"/>
        <v>Used Vehicle</v>
      </c>
      <c r="R4500" s="315" t="str">
        <f t="shared" si="375"/>
        <v>Used VehicleEx NV demonstrators gross profit p.u.</v>
      </c>
      <c r="S4500" s="199"/>
      <c r="T4500" s="199"/>
      <c r="U4500" s="199"/>
    </row>
    <row r="4501" spans="1:21" x14ac:dyDescent="0.25">
      <c r="A4501" t="s">
        <v>996</v>
      </c>
      <c r="B4501" t="s">
        <v>997</v>
      </c>
      <c r="C4501" t="s">
        <v>1013</v>
      </c>
      <c r="D4501" t="s">
        <v>784</v>
      </c>
      <c r="E4501">
        <v>310</v>
      </c>
      <c r="F4501" t="s">
        <v>1287</v>
      </c>
      <c r="G4501" t="s">
        <v>1288</v>
      </c>
      <c r="H4501" s="315" t="s">
        <v>30</v>
      </c>
      <c r="I4501" s="315" t="s">
        <v>1016</v>
      </c>
      <c r="J4501" s="315" t="str">
        <f t="shared" si="371"/>
        <v>Used VehicleEx NV demonstrators gross profit p.u.</v>
      </c>
      <c r="K4501" s="315" t="str">
        <f t="shared" si="372"/>
        <v>310Ex-Toyota NV demonstrator Cost of Sales</v>
      </c>
      <c r="L4501" s="311">
        <f>+SUMIF('TUNZ Extracted TB'!M:M,$P4501,'TUNZ Extracted TB'!G:G)</f>
        <v>0</v>
      </c>
      <c r="M4501" s="311"/>
      <c r="N4501" s="311">
        <f>+SUMIF('Input Sheet'!$AE:$AE,P4501,'Input Sheet'!$X:$X)</f>
        <v>0</v>
      </c>
      <c r="O4501" s="311"/>
      <c r="P4501" t="str">
        <f t="shared" si="373"/>
        <v>310-4010RR</v>
      </c>
      <c r="Q4501" s="315" t="str">
        <f t="shared" si="374"/>
        <v>Used Vehicle</v>
      </c>
      <c r="R4501" s="315" t="str">
        <f t="shared" si="375"/>
        <v>Used VehicleEx NV demonstrators gross profit p.u.</v>
      </c>
      <c r="S4501" s="199"/>
      <c r="T4501" s="199"/>
      <c r="U4501" s="199"/>
    </row>
    <row r="4502" spans="1:21" x14ac:dyDescent="0.25">
      <c r="A4502" t="s">
        <v>996</v>
      </c>
      <c r="B4502" t="s">
        <v>997</v>
      </c>
      <c r="C4502" t="s">
        <v>1005</v>
      </c>
      <c r="D4502" t="s">
        <v>786</v>
      </c>
      <c r="E4502">
        <v>200</v>
      </c>
      <c r="F4502" t="s">
        <v>1024</v>
      </c>
      <c r="G4502" t="s">
        <v>1027</v>
      </c>
      <c r="H4502" s="315" t="s">
        <v>29</v>
      </c>
      <c r="I4502" s="315" t="s">
        <v>1026</v>
      </c>
      <c r="J4502" s="315" t="str">
        <f t="shared" si="371"/>
        <v>New VehicleOther Income per NV unit</v>
      </c>
      <c r="K4502" s="315" t="str">
        <f t="shared" si="372"/>
        <v>200New Vehicle Other Income - Toyota</v>
      </c>
      <c r="L4502" s="311">
        <f>+SUMIF('TUNZ Extracted TB'!M:M,$P4502,'TUNZ Extracted TB'!G:G)</f>
        <v>0</v>
      </c>
      <c r="M4502" s="311"/>
      <c r="N4502" s="311">
        <f>+SUMIF('Input Sheet'!$AE:$AE,P4502,'Input Sheet'!$X:$X)</f>
        <v>0</v>
      </c>
      <c r="O4502" s="311"/>
      <c r="P4502" t="str">
        <f t="shared" si="373"/>
        <v>200-4011R</v>
      </c>
      <c r="Q4502" s="315" t="str">
        <f t="shared" si="374"/>
        <v>New Vehicle</v>
      </c>
      <c r="R4502" s="315" t="str">
        <f t="shared" si="375"/>
        <v>New VehicleOther Income per NV unit</v>
      </c>
      <c r="S4502" s="199"/>
      <c r="T4502" s="199"/>
      <c r="U4502" s="199"/>
    </row>
    <row r="4503" spans="1:21" x14ac:dyDescent="0.25">
      <c r="A4503" t="s">
        <v>996</v>
      </c>
      <c r="B4503" t="s">
        <v>997</v>
      </c>
      <c r="C4503" t="s">
        <v>1012</v>
      </c>
      <c r="D4503" t="s">
        <v>786</v>
      </c>
      <c r="E4503">
        <v>400</v>
      </c>
      <c r="F4503" t="s">
        <v>1024</v>
      </c>
      <c r="G4503" t="s">
        <v>1027</v>
      </c>
      <c r="H4503" s="315" t="s">
        <v>29</v>
      </c>
      <c r="I4503" s="315" t="s">
        <v>1026</v>
      </c>
      <c r="J4503" s="315" t="str">
        <f t="shared" si="371"/>
        <v>New VehicleOther Income per NV unit</v>
      </c>
      <c r="K4503" s="315" t="str">
        <f t="shared" si="372"/>
        <v>400New Vehicle Other Income - Toyota</v>
      </c>
      <c r="L4503" s="311">
        <f>+SUMIF('TUNZ Extracted TB'!M:M,$P4503,'TUNZ Extracted TB'!G:G)</f>
        <v>0</v>
      </c>
      <c r="M4503" s="311"/>
      <c r="N4503" s="311">
        <f>+SUMIF('Input Sheet'!$AE:$AE,P4503,'Input Sheet'!$X:$X)</f>
        <v>0</v>
      </c>
      <c r="O4503" s="311"/>
      <c r="P4503" t="str">
        <f t="shared" si="373"/>
        <v>400-4011R</v>
      </c>
      <c r="Q4503" s="315" t="str">
        <f t="shared" si="374"/>
        <v>New Vehicle</v>
      </c>
      <c r="R4503" s="315" t="str">
        <f t="shared" si="375"/>
        <v>New VehicleOther Income per NV unit</v>
      </c>
      <c r="S4503" s="199"/>
      <c r="T4503" s="199"/>
      <c r="U4503" s="199"/>
    </row>
    <row r="4504" spans="1:21" x14ac:dyDescent="0.25">
      <c r="A4504" t="s">
        <v>996</v>
      </c>
      <c r="B4504" t="s">
        <v>997</v>
      </c>
      <c r="C4504" t="s">
        <v>1013</v>
      </c>
      <c r="D4504" t="s">
        <v>786</v>
      </c>
      <c r="E4504">
        <v>300</v>
      </c>
      <c r="F4504" t="s">
        <v>1024</v>
      </c>
      <c r="G4504" t="s">
        <v>1027</v>
      </c>
      <c r="H4504" s="315" t="s">
        <v>29</v>
      </c>
      <c r="I4504" s="315" t="s">
        <v>1026</v>
      </c>
      <c r="J4504" s="315" t="str">
        <f t="shared" si="371"/>
        <v>New VehicleOther Income per NV unit</v>
      </c>
      <c r="K4504" s="315" t="str">
        <f t="shared" si="372"/>
        <v>300New Vehicle Other Income - Toyota</v>
      </c>
      <c r="L4504" s="311">
        <f>+SUMIF('TUNZ Extracted TB'!M:M,$P4504,'TUNZ Extracted TB'!G:G)</f>
        <v>0</v>
      </c>
      <c r="M4504" s="311"/>
      <c r="N4504" s="311">
        <f>+SUMIF('Input Sheet'!$AE:$AE,P4504,'Input Sheet'!$X:$X)</f>
        <v>0</v>
      </c>
      <c r="O4504" s="311"/>
      <c r="P4504" t="str">
        <f t="shared" si="373"/>
        <v>300-4011R</v>
      </c>
      <c r="Q4504" s="315" t="str">
        <f t="shared" si="374"/>
        <v>New Vehicle</v>
      </c>
      <c r="R4504" s="315" t="str">
        <f t="shared" si="375"/>
        <v>New VehicleOther Income per NV unit</v>
      </c>
      <c r="S4504" s="199"/>
      <c r="T4504" s="199"/>
      <c r="U4504" s="199"/>
    </row>
    <row r="4505" spans="1:21" x14ac:dyDescent="0.25">
      <c r="A4505" t="s">
        <v>996</v>
      </c>
      <c r="B4505" t="s">
        <v>997</v>
      </c>
      <c r="C4505" t="s">
        <v>997</v>
      </c>
      <c r="D4505" t="s">
        <v>786</v>
      </c>
      <c r="E4505">
        <v>110</v>
      </c>
      <c r="F4505" t="s">
        <v>1287</v>
      </c>
      <c r="G4505" t="s">
        <v>1288</v>
      </c>
      <c r="H4505" s="315" t="s">
        <v>30</v>
      </c>
      <c r="I4505" s="315" t="s">
        <v>1016</v>
      </c>
      <c r="J4505" s="315" t="str">
        <f t="shared" si="371"/>
        <v>Used VehicleEx NV demonstrators gross profit p.u.</v>
      </c>
      <c r="K4505" s="315" t="str">
        <f t="shared" si="372"/>
        <v>110Ex-Toyota NV demonstrator Cost of Sales</v>
      </c>
      <c r="L4505" s="311">
        <f>+SUMIF('TUNZ Extracted TB'!M:M,$P4505,'TUNZ Extracted TB'!G:G)</f>
        <v>0</v>
      </c>
      <c r="M4505" s="311"/>
      <c r="N4505" s="311">
        <f>+SUMIF('Input Sheet'!$AE:$AE,P4505,'Input Sheet'!$X:$X)</f>
        <v>0</v>
      </c>
      <c r="O4505" s="311"/>
      <c r="P4505" t="str">
        <f t="shared" si="373"/>
        <v>110-4011R</v>
      </c>
      <c r="Q4505" s="315" t="str">
        <f t="shared" si="374"/>
        <v>Used Vehicle</v>
      </c>
      <c r="R4505" s="315" t="str">
        <f t="shared" si="375"/>
        <v>Used VehicleEx NV demonstrators gross profit p.u.</v>
      </c>
      <c r="S4505" s="199"/>
      <c r="T4505" s="199"/>
      <c r="U4505" s="199"/>
    </row>
    <row r="4506" spans="1:21" x14ac:dyDescent="0.25">
      <c r="A4506" t="s">
        <v>996</v>
      </c>
      <c r="B4506" t="s">
        <v>997</v>
      </c>
      <c r="C4506" t="s">
        <v>997</v>
      </c>
      <c r="D4506" t="s">
        <v>788</v>
      </c>
      <c r="E4506">
        <v>100</v>
      </c>
      <c r="F4506" t="s">
        <v>1024</v>
      </c>
      <c r="G4506" t="s">
        <v>1027</v>
      </c>
      <c r="H4506" s="315" t="s">
        <v>29</v>
      </c>
      <c r="I4506" s="315" t="s">
        <v>1026</v>
      </c>
      <c r="J4506" s="315" t="str">
        <f t="shared" si="371"/>
        <v>New VehicleOther Income per NV unit</v>
      </c>
      <c r="K4506" s="315" t="str">
        <f t="shared" si="372"/>
        <v>100New Vehicle Other Income - Toyota</v>
      </c>
      <c r="L4506" s="311">
        <f>+SUMIF('TUNZ Extracted TB'!M:M,$P4506,'TUNZ Extracted TB'!G:G)</f>
        <v>0</v>
      </c>
      <c r="M4506" s="311"/>
      <c r="N4506" s="311">
        <f>+SUMIF('Input Sheet'!$AE:$AE,P4506,'Input Sheet'!$X:$X)</f>
        <v>0</v>
      </c>
      <c r="O4506" s="311"/>
      <c r="P4506" t="str">
        <f t="shared" si="373"/>
        <v>100-4011RR</v>
      </c>
      <c r="Q4506" s="315" t="str">
        <f t="shared" si="374"/>
        <v>New Vehicle</v>
      </c>
      <c r="R4506" s="315" t="str">
        <f t="shared" si="375"/>
        <v>New VehicleOther Income per NV unit</v>
      </c>
      <c r="S4506" s="199"/>
      <c r="T4506" s="199"/>
      <c r="U4506" s="199"/>
    </row>
    <row r="4507" spans="1:21" x14ac:dyDescent="0.25">
      <c r="A4507" t="s">
        <v>996</v>
      </c>
      <c r="B4507" t="s">
        <v>997</v>
      </c>
      <c r="C4507" t="s">
        <v>1005</v>
      </c>
      <c r="D4507" t="s">
        <v>786</v>
      </c>
      <c r="E4507">
        <v>210</v>
      </c>
      <c r="F4507" t="s">
        <v>1287</v>
      </c>
      <c r="G4507" t="s">
        <v>1288</v>
      </c>
      <c r="H4507" s="315" t="s">
        <v>30</v>
      </c>
      <c r="I4507" s="315" t="s">
        <v>1016</v>
      </c>
      <c r="J4507" s="315" t="str">
        <f t="shared" si="371"/>
        <v>Used VehicleEx NV demonstrators gross profit p.u.</v>
      </c>
      <c r="K4507" s="315" t="str">
        <f t="shared" si="372"/>
        <v>210Ex-Toyota NV demonstrator Cost of Sales</v>
      </c>
      <c r="L4507" s="311">
        <f>+SUMIF('TUNZ Extracted TB'!M:M,$P4507,'TUNZ Extracted TB'!G:G)</f>
        <v>0</v>
      </c>
      <c r="M4507" s="311"/>
      <c r="N4507" s="311">
        <f>+SUMIF('Input Sheet'!$AE:$AE,P4507,'Input Sheet'!$X:$X)</f>
        <v>0</v>
      </c>
      <c r="O4507" s="311"/>
      <c r="P4507" t="str">
        <f t="shared" si="373"/>
        <v>210-4011R</v>
      </c>
      <c r="Q4507" s="315" t="str">
        <f t="shared" si="374"/>
        <v>Used Vehicle</v>
      </c>
      <c r="R4507" s="315" t="str">
        <f t="shared" si="375"/>
        <v>Used VehicleEx NV demonstrators gross profit p.u.</v>
      </c>
      <c r="S4507" s="199"/>
      <c r="T4507" s="199"/>
      <c r="U4507" s="199"/>
    </row>
    <row r="4508" spans="1:21" x14ac:dyDescent="0.25">
      <c r="A4508" t="s">
        <v>996</v>
      </c>
      <c r="B4508" t="s">
        <v>997</v>
      </c>
      <c r="C4508" t="s">
        <v>1012</v>
      </c>
      <c r="D4508" t="s">
        <v>786</v>
      </c>
      <c r="E4508">
        <v>410</v>
      </c>
      <c r="F4508" t="s">
        <v>1287</v>
      </c>
      <c r="G4508" t="s">
        <v>1288</v>
      </c>
      <c r="H4508" s="315" t="s">
        <v>30</v>
      </c>
      <c r="I4508" s="315" t="s">
        <v>1016</v>
      </c>
      <c r="J4508" s="315" t="str">
        <f t="shared" si="371"/>
        <v>Used VehicleEx NV demonstrators gross profit p.u.</v>
      </c>
      <c r="K4508" s="315" t="str">
        <f t="shared" si="372"/>
        <v>410Ex-Toyota NV demonstrator Cost of Sales</v>
      </c>
      <c r="L4508" s="311">
        <f>+SUMIF('TUNZ Extracted TB'!M:M,$P4508,'TUNZ Extracted TB'!G:G)</f>
        <v>0</v>
      </c>
      <c r="M4508" s="311"/>
      <c r="N4508" s="311">
        <f>+SUMIF('Input Sheet'!$AE:$AE,P4508,'Input Sheet'!$X:$X)</f>
        <v>0</v>
      </c>
      <c r="O4508" s="311"/>
      <c r="P4508" t="str">
        <f t="shared" si="373"/>
        <v>410-4011R</v>
      </c>
      <c r="Q4508" s="315" t="str">
        <f t="shared" si="374"/>
        <v>Used Vehicle</v>
      </c>
      <c r="R4508" s="315" t="str">
        <f t="shared" si="375"/>
        <v>Used VehicleEx NV demonstrators gross profit p.u.</v>
      </c>
      <c r="S4508" s="199"/>
      <c r="T4508" s="199"/>
      <c r="U4508" s="199"/>
    </row>
    <row r="4509" spans="1:21" x14ac:dyDescent="0.25">
      <c r="A4509" t="s">
        <v>996</v>
      </c>
      <c r="B4509" t="s">
        <v>997</v>
      </c>
      <c r="C4509" t="s">
        <v>1013</v>
      </c>
      <c r="D4509" t="s">
        <v>786</v>
      </c>
      <c r="E4509">
        <v>310</v>
      </c>
      <c r="F4509" t="s">
        <v>1287</v>
      </c>
      <c r="G4509" t="s">
        <v>1288</v>
      </c>
      <c r="H4509" s="315" t="s">
        <v>30</v>
      </c>
      <c r="I4509" s="315" t="s">
        <v>1016</v>
      </c>
      <c r="J4509" s="315" t="str">
        <f t="shared" si="371"/>
        <v>Used VehicleEx NV demonstrators gross profit p.u.</v>
      </c>
      <c r="K4509" s="315" t="str">
        <f t="shared" si="372"/>
        <v>310Ex-Toyota NV demonstrator Cost of Sales</v>
      </c>
      <c r="L4509" s="311">
        <f>+SUMIF('TUNZ Extracted TB'!M:M,$P4509,'TUNZ Extracted TB'!G:G)</f>
        <v>0</v>
      </c>
      <c r="M4509" s="311"/>
      <c r="N4509" s="311">
        <f>+SUMIF('Input Sheet'!$AE:$AE,P4509,'Input Sheet'!$X:$X)</f>
        <v>0</v>
      </c>
      <c r="O4509" s="311"/>
      <c r="P4509" t="str">
        <f t="shared" si="373"/>
        <v>310-4011R</v>
      </c>
      <c r="Q4509" s="315" t="str">
        <f t="shared" si="374"/>
        <v>Used Vehicle</v>
      </c>
      <c r="R4509" s="315" t="str">
        <f t="shared" si="375"/>
        <v>Used VehicleEx NV demonstrators gross profit p.u.</v>
      </c>
      <c r="S4509" s="199"/>
      <c r="T4509" s="199"/>
      <c r="U4509" s="199"/>
    </row>
    <row r="4510" spans="1:21" x14ac:dyDescent="0.25">
      <c r="A4510" t="s">
        <v>996</v>
      </c>
      <c r="B4510" t="s">
        <v>997</v>
      </c>
      <c r="C4510" t="s">
        <v>1005</v>
      </c>
      <c r="D4510" t="s">
        <v>788</v>
      </c>
      <c r="E4510">
        <v>200</v>
      </c>
      <c r="F4510" t="s">
        <v>1024</v>
      </c>
      <c r="G4510" t="s">
        <v>1027</v>
      </c>
      <c r="H4510" s="315" t="s">
        <v>29</v>
      </c>
      <c r="I4510" s="315" t="s">
        <v>1026</v>
      </c>
      <c r="J4510" s="315" t="str">
        <f t="shared" si="371"/>
        <v>New VehicleOther Income per NV unit</v>
      </c>
      <c r="K4510" s="315" t="str">
        <f t="shared" si="372"/>
        <v>200New Vehicle Other Income - Toyota</v>
      </c>
      <c r="L4510" s="311">
        <f>+SUMIF('TUNZ Extracted TB'!M:M,$P4510,'TUNZ Extracted TB'!G:G)</f>
        <v>0</v>
      </c>
      <c r="M4510" s="311"/>
      <c r="N4510" s="311">
        <f>+SUMIF('Input Sheet'!$AE:$AE,P4510,'Input Sheet'!$X:$X)</f>
        <v>0</v>
      </c>
      <c r="O4510" s="311"/>
      <c r="P4510" t="str">
        <f t="shared" si="373"/>
        <v>200-4011RR</v>
      </c>
      <c r="Q4510" s="315" t="str">
        <f t="shared" si="374"/>
        <v>New Vehicle</v>
      </c>
      <c r="R4510" s="315" t="str">
        <f t="shared" si="375"/>
        <v>New VehicleOther Income per NV unit</v>
      </c>
      <c r="S4510" s="199"/>
      <c r="T4510" s="199"/>
      <c r="U4510" s="199"/>
    </row>
    <row r="4511" spans="1:21" x14ac:dyDescent="0.25">
      <c r="A4511" t="s">
        <v>996</v>
      </c>
      <c r="B4511" t="s">
        <v>997</v>
      </c>
      <c r="C4511" t="s">
        <v>1012</v>
      </c>
      <c r="D4511" t="s">
        <v>788</v>
      </c>
      <c r="E4511">
        <v>400</v>
      </c>
      <c r="F4511" t="s">
        <v>1024</v>
      </c>
      <c r="G4511" t="s">
        <v>1027</v>
      </c>
      <c r="H4511" s="315" t="s">
        <v>29</v>
      </c>
      <c r="I4511" s="315" t="s">
        <v>1026</v>
      </c>
      <c r="J4511" s="315" t="str">
        <f t="shared" si="371"/>
        <v>New VehicleOther Income per NV unit</v>
      </c>
      <c r="K4511" s="315" t="str">
        <f t="shared" si="372"/>
        <v>400New Vehicle Other Income - Toyota</v>
      </c>
      <c r="L4511" s="311">
        <f>+SUMIF('TUNZ Extracted TB'!M:M,$P4511,'TUNZ Extracted TB'!G:G)</f>
        <v>0</v>
      </c>
      <c r="M4511" s="311"/>
      <c r="N4511" s="311">
        <f>+SUMIF('Input Sheet'!$AE:$AE,P4511,'Input Sheet'!$X:$X)</f>
        <v>0</v>
      </c>
      <c r="O4511" s="311"/>
      <c r="P4511" t="str">
        <f t="shared" si="373"/>
        <v>400-4011RR</v>
      </c>
      <c r="Q4511" s="315" t="str">
        <f t="shared" si="374"/>
        <v>New Vehicle</v>
      </c>
      <c r="R4511" s="315" t="str">
        <f t="shared" si="375"/>
        <v>New VehicleOther Income per NV unit</v>
      </c>
      <c r="S4511" s="199"/>
      <c r="T4511" s="199"/>
      <c r="U4511" s="199"/>
    </row>
    <row r="4512" spans="1:21" x14ac:dyDescent="0.25">
      <c r="A4512" t="s">
        <v>996</v>
      </c>
      <c r="B4512" t="s">
        <v>997</v>
      </c>
      <c r="C4512" t="s">
        <v>1013</v>
      </c>
      <c r="D4512" t="s">
        <v>788</v>
      </c>
      <c r="E4512">
        <v>300</v>
      </c>
      <c r="F4512" t="s">
        <v>1024</v>
      </c>
      <c r="G4512" t="s">
        <v>1027</v>
      </c>
      <c r="H4512" s="315" t="s">
        <v>29</v>
      </c>
      <c r="I4512" s="315" t="s">
        <v>1026</v>
      </c>
      <c r="J4512" s="315" t="str">
        <f t="shared" si="371"/>
        <v>New VehicleOther Income per NV unit</v>
      </c>
      <c r="K4512" s="315" t="str">
        <f t="shared" si="372"/>
        <v>300New Vehicle Other Income - Toyota</v>
      </c>
      <c r="L4512" s="311">
        <f>+SUMIF('TUNZ Extracted TB'!M:M,$P4512,'TUNZ Extracted TB'!G:G)</f>
        <v>0</v>
      </c>
      <c r="M4512" s="311"/>
      <c r="N4512" s="311">
        <f>+SUMIF('Input Sheet'!$AE:$AE,P4512,'Input Sheet'!$X:$X)</f>
        <v>0</v>
      </c>
      <c r="O4512" s="311"/>
      <c r="P4512" t="str">
        <f t="shared" si="373"/>
        <v>300-4011RR</v>
      </c>
      <c r="Q4512" s="315" t="str">
        <f t="shared" si="374"/>
        <v>New Vehicle</v>
      </c>
      <c r="R4512" s="315" t="str">
        <f t="shared" si="375"/>
        <v>New VehicleOther Income per NV unit</v>
      </c>
      <c r="S4512" s="199"/>
      <c r="T4512" s="199"/>
      <c r="U4512" s="199"/>
    </row>
    <row r="4513" spans="1:21" x14ac:dyDescent="0.25">
      <c r="A4513" t="s">
        <v>996</v>
      </c>
      <c r="B4513" t="s">
        <v>997</v>
      </c>
      <c r="C4513" t="s">
        <v>997</v>
      </c>
      <c r="D4513" t="s">
        <v>788</v>
      </c>
      <c r="E4513">
        <v>110</v>
      </c>
      <c r="F4513" t="s">
        <v>1287</v>
      </c>
      <c r="G4513" t="s">
        <v>1288</v>
      </c>
      <c r="H4513" s="315" t="s">
        <v>30</v>
      </c>
      <c r="I4513" s="315" t="s">
        <v>1016</v>
      </c>
      <c r="J4513" s="315" t="str">
        <f t="shared" si="371"/>
        <v>Used VehicleEx NV demonstrators gross profit p.u.</v>
      </c>
      <c r="K4513" s="315" t="str">
        <f t="shared" si="372"/>
        <v>110Ex-Toyota NV demonstrator Cost of Sales</v>
      </c>
      <c r="L4513" s="311">
        <f>+SUMIF('TUNZ Extracted TB'!M:M,$P4513,'TUNZ Extracted TB'!G:G)</f>
        <v>0</v>
      </c>
      <c r="M4513" s="311"/>
      <c r="N4513" s="311">
        <f>+SUMIF('Input Sheet'!$AE:$AE,P4513,'Input Sheet'!$X:$X)</f>
        <v>0</v>
      </c>
      <c r="O4513" s="311"/>
      <c r="P4513" t="str">
        <f t="shared" si="373"/>
        <v>110-4011RR</v>
      </c>
      <c r="Q4513" s="315" t="str">
        <f t="shared" si="374"/>
        <v>Used Vehicle</v>
      </c>
      <c r="R4513" s="315" t="str">
        <f t="shared" si="375"/>
        <v>Used VehicleEx NV demonstrators gross profit p.u.</v>
      </c>
      <c r="S4513" s="199"/>
      <c r="T4513" s="199"/>
      <c r="U4513" s="199"/>
    </row>
    <row r="4514" spans="1:21" x14ac:dyDescent="0.25">
      <c r="A4514" t="s">
        <v>996</v>
      </c>
      <c r="B4514" t="s">
        <v>997</v>
      </c>
      <c r="C4514" t="s">
        <v>997</v>
      </c>
      <c r="D4514" t="s">
        <v>1528</v>
      </c>
      <c r="E4514">
        <v>100</v>
      </c>
      <c r="F4514" t="s">
        <v>1024</v>
      </c>
      <c r="G4514" t="s">
        <v>1027</v>
      </c>
      <c r="H4514" s="315" t="s">
        <v>29</v>
      </c>
      <c r="I4514" s="315" t="s">
        <v>1026</v>
      </c>
      <c r="J4514" s="315" t="str">
        <f t="shared" si="371"/>
        <v>New VehicleOther Income per NV unit</v>
      </c>
      <c r="K4514" s="315" t="str">
        <f t="shared" si="372"/>
        <v>100New Vehicle Other Income - Toyota</v>
      </c>
      <c r="L4514" s="311">
        <f>+SUMIF('TUNZ Extracted TB'!M:M,$P4514,'TUNZ Extracted TB'!G:G)</f>
        <v>0</v>
      </c>
      <c r="M4514" s="311"/>
      <c r="N4514" s="311">
        <f>+SUMIF('Input Sheet'!$AE:$AE,P4514,'Input Sheet'!$X:$X)</f>
        <v>0</v>
      </c>
      <c r="O4514" s="311"/>
      <c r="P4514" t="str">
        <f t="shared" si="373"/>
        <v>100-4021R</v>
      </c>
      <c r="Q4514" s="315" t="str">
        <f t="shared" si="374"/>
        <v>New Vehicle</v>
      </c>
      <c r="R4514" s="315" t="str">
        <f t="shared" si="375"/>
        <v>New VehicleOther Income per NV unit</v>
      </c>
      <c r="S4514" s="199"/>
      <c r="T4514" s="199"/>
      <c r="U4514" s="199"/>
    </row>
    <row r="4515" spans="1:21" x14ac:dyDescent="0.25">
      <c r="A4515" t="s">
        <v>996</v>
      </c>
      <c r="B4515" t="s">
        <v>997</v>
      </c>
      <c r="C4515" t="s">
        <v>1012</v>
      </c>
      <c r="D4515" t="s">
        <v>788</v>
      </c>
      <c r="E4515">
        <v>410</v>
      </c>
      <c r="F4515" t="s">
        <v>1287</v>
      </c>
      <c r="G4515" t="s">
        <v>1288</v>
      </c>
      <c r="H4515" s="315" t="s">
        <v>30</v>
      </c>
      <c r="I4515" s="315" t="s">
        <v>1016</v>
      </c>
      <c r="J4515" s="315" t="str">
        <f t="shared" si="371"/>
        <v>Used VehicleEx NV demonstrators gross profit p.u.</v>
      </c>
      <c r="K4515" s="315" t="str">
        <f t="shared" si="372"/>
        <v>410Ex-Toyota NV demonstrator Cost of Sales</v>
      </c>
      <c r="L4515" s="311">
        <f>+SUMIF('TUNZ Extracted TB'!M:M,$P4515,'TUNZ Extracted TB'!G:G)</f>
        <v>0</v>
      </c>
      <c r="M4515" s="311"/>
      <c r="N4515" s="311">
        <f>+SUMIF('Input Sheet'!$AE:$AE,P4515,'Input Sheet'!$X:$X)</f>
        <v>0</v>
      </c>
      <c r="O4515" s="311"/>
      <c r="P4515" t="str">
        <f t="shared" si="373"/>
        <v>410-4011RR</v>
      </c>
      <c r="Q4515" s="315" t="str">
        <f t="shared" si="374"/>
        <v>Used Vehicle</v>
      </c>
      <c r="R4515" s="315" t="str">
        <f t="shared" si="375"/>
        <v>Used VehicleEx NV demonstrators gross profit p.u.</v>
      </c>
      <c r="S4515" s="199"/>
      <c r="T4515" s="199"/>
      <c r="U4515" s="199"/>
    </row>
    <row r="4516" spans="1:21" x14ac:dyDescent="0.25">
      <c r="A4516" t="s">
        <v>996</v>
      </c>
      <c r="B4516" t="s">
        <v>997</v>
      </c>
      <c r="C4516" t="s">
        <v>1013</v>
      </c>
      <c r="D4516" t="s">
        <v>788</v>
      </c>
      <c r="E4516">
        <v>310</v>
      </c>
      <c r="F4516" t="s">
        <v>1287</v>
      </c>
      <c r="G4516" t="s">
        <v>1288</v>
      </c>
      <c r="H4516" s="315" t="s">
        <v>30</v>
      </c>
      <c r="I4516" s="315" t="s">
        <v>1016</v>
      </c>
      <c r="J4516" s="315" t="str">
        <f t="shared" si="371"/>
        <v>Used VehicleEx NV demonstrators gross profit p.u.</v>
      </c>
      <c r="K4516" s="315" t="str">
        <f t="shared" si="372"/>
        <v>310Ex-Toyota NV demonstrator Cost of Sales</v>
      </c>
      <c r="L4516" s="311">
        <f>+SUMIF('TUNZ Extracted TB'!M:M,$P4516,'TUNZ Extracted TB'!G:G)</f>
        <v>0</v>
      </c>
      <c r="M4516" s="311"/>
      <c r="N4516" s="311">
        <f>+SUMIF('Input Sheet'!$AE:$AE,P4516,'Input Sheet'!$X:$X)</f>
        <v>0</v>
      </c>
      <c r="O4516" s="311"/>
      <c r="P4516" t="str">
        <f t="shared" si="373"/>
        <v>310-4011RR</v>
      </c>
      <c r="Q4516" s="315" t="str">
        <f t="shared" si="374"/>
        <v>Used Vehicle</v>
      </c>
      <c r="R4516" s="315" t="str">
        <f t="shared" si="375"/>
        <v>Used VehicleEx NV demonstrators gross profit p.u.</v>
      </c>
      <c r="S4516" s="199"/>
      <c r="T4516" s="199"/>
      <c r="U4516" s="199"/>
    </row>
    <row r="4517" spans="1:21" x14ac:dyDescent="0.25">
      <c r="A4517" t="s">
        <v>996</v>
      </c>
      <c r="B4517" t="s">
        <v>997</v>
      </c>
      <c r="C4517" t="s">
        <v>1005</v>
      </c>
      <c r="D4517" t="s">
        <v>788</v>
      </c>
      <c r="E4517">
        <v>210</v>
      </c>
      <c r="F4517" t="s">
        <v>1287</v>
      </c>
      <c r="G4517" t="s">
        <v>1288</v>
      </c>
      <c r="H4517" s="315" t="s">
        <v>30</v>
      </c>
      <c r="I4517" s="315" t="s">
        <v>1016</v>
      </c>
      <c r="J4517" s="315" t="str">
        <f t="shared" si="371"/>
        <v>Used VehicleEx NV demonstrators gross profit p.u.</v>
      </c>
      <c r="K4517" s="315" t="str">
        <f t="shared" si="372"/>
        <v>210Ex-Toyota NV demonstrator Cost of Sales</v>
      </c>
      <c r="L4517" s="311">
        <f>+SUMIF('TUNZ Extracted TB'!M:M,$P4517,'TUNZ Extracted TB'!G:G)</f>
        <v>0</v>
      </c>
      <c r="M4517" s="311"/>
      <c r="N4517" s="311">
        <f>+SUMIF('Input Sheet'!$AE:$AE,P4517,'Input Sheet'!$X:$X)</f>
        <v>0</v>
      </c>
      <c r="O4517" s="311"/>
      <c r="P4517" t="str">
        <f t="shared" si="373"/>
        <v>210-4011RR</v>
      </c>
      <c r="Q4517" s="315" t="str">
        <f t="shared" si="374"/>
        <v>Used Vehicle</v>
      </c>
      <c r="R4517" s="315" t="str">
        <f t="shared" si="375"/>
        <v>Used VehicleEx NV demonstrators gross profit p.u.</v>
      </c>
      <c r="S4517" s="199"/>
      <c r="T4517" s="199"/>
      <c r="U4517" s="199"/>
    </row>
    <row r="4518" spans="1:21" x14ac:dyDescent="0.25">
      <c r="A4518" t="s">
        <v>996</v>
      </c>
      <c r="B4518" t="s">
        <v>997</v>
      </c>
      <c r="C4518" t="s">
        <v>1005</v>
      </c>
      <c r="D4518" t="s">
        <v>1528</v>
      </c>
      <c r="E4518">
        <v>200</v>
      </c>
      <c r="F4518" t="s">
        <v>1024</v>
      </c>
      <c r="G4518" t="s">
        <v>1027</v>
      </c>
      <c r="H4518" s="315" t="s">
        <v>29</v>
      </c>
      <c r="I4518" s="315" t="s">
        <v>1026</v>
      </c>
      <c r="J4518" s="315" t="str">
        <f t="shared" si="371"/>
        <v>New VehicleOther Income per NV unit</v>
      </c>
      <c r="K4518" s="315" t="str">
        <f t="shared" si="372"/>
        <v>200New Vehicle Other Income - Toyota</v>
      </c>
      <c r="L4518" s="311">
        <f>+SUMIF('TUNZ Extracted TB'!M:M,$P4518,'TUNZ Extracted TB'!G:G)</f>
        <v>0</v>
      </c>
      <c r="M4518" s="311"/>
      <c r="N4518" s="311">
        <f>+SUMIF('Input Sheet'!$AE:$AE,P4518,'Input Sheet'!$X:$X)</f>
        <v>0</v>
      </c>
      <c r="O4518" s="311"/>
      <c r="P4518" t="str">
        <f t="shared" si="373"/>
        <v>200-4021R</v>
      </c>
      <c r="Q4518" s="315" t="str">
        <f t="shared" si="374"/>
        <v>New Vehicle</v>
      </c>
      <c r="R4518" s="315" t="str">
        <f t="shared" si="375"/>
        <v>New VehicleOther Income per NV unit</v>
      </c>
      <c r="S4518" s="199"/>
      <c r="T4518" s="199"/>
      <c r="U4518" s="199"/>
    </row>
    <row r="4519" spans="1:21" x14ac:dyDescent="0.25">
      <c r="A4519" t="s">
        <v>996</v>
      </c>
      <c r="B4519" t="s">
        <v>997</v>
      </c>
      <c r="C4519" t="s">
        <v>1012</v>
      </c>
      <c r="D4519" t="s">
        <v>1528</v>
      </c>
      <c r="E4519">
        <v>400</v>
      </c>
      <c r="F4519" t="s">
        <v>1024</v>
      </c>
      <c r="G4519" t="s">
        <v>1027</v>
      </c>
      <c r="H4519" s="315" t="s">
        <v>29</v>
      </c>
      <c r="I4519" s="315" t="s">
        <v>1026</v>
      </c>
      <c r="J4519" s="315" t="str">
        <f t="shared" si="371"/>
        <v>New VehicleOther Income per NV unit</v>
      </c>
      <c r="K4519" s="315" t="str">
        <f t="shared" si="372"/>
        <v>400New Vehicle Other Income - Toyota</v>
      </c>
      <c r="L4519" s="311">
        <f>+SUMIF('TUNZ Extracted TB'!M:M,$P4519,'TUNZ Extracted TB'!G:G)</f>
        <v>0</v>
      </c>
      <c r="M4519" s="311"/>
      <c r="N4519" s="311">
        <f>+SUMIF('Input Sheet'!$AE:$AE,P4519,'Input Sheet'!$X:$X)</f>
        <v>0</v>
      </c>
      <c r="O4519" s="311"/>
      <c r="P4519" t="str">
        <f t="shared" si="373"/>
        <v>400-4021R</v>
      </c>
      <c r="Q4519" s="315" t="str">
        <f t="shared" si="374"/>
        <v>New Vehicle</v>
      </c>
      <c r="R4519" s="315" t="str">
        <f t="shared" si="375"/>
        <v>New VehicleOther Income per NV unit</v>
      </c>
      <c r="S4519" s="199"/>
      <c r="T4519" s="199"/>
      <c r="U4519" s="199"/>
    </row>
    <row r="4520" spans="1:21" x14ac:dyDescent="0.25">
      <c r="A4520" t="s">
        <v>996</v>
      </c>
      <c r="B4520" t="s">
        <v>997</v>
      </c>
      <c r="C4520" t="s">
        <v>1013</v>
      </c>
      <c r="D4520" t="s">
        <v>1528</v>
      </c>
      <c r="E4520">
        <v>300</v>
      </c>
      <c r="F4520" t="s">
        <v>1024</v>
      </c>
      <c r="G4520" t="s">
        <v>1027</v>
      </c>
      <c r="H4520" s="315" t="s">
        <v>29</v>
      </c>
      <c r="I4520" s="315" t="s">
        <v>1026</v>
      </c>
      <c r="J4520" s="315" t="str">
        <f t="shared" si="371"/>
        <v>New VehicleOther Income per NV unit</v>
      </c>
      <c r="K4520" s="315" t="str">
        <f t="shared" si="372"/>
        <v>300New Vehicle Other Income - Toyota</v>
      </c>
      <c r="L4520" s="311">
        <f>+SUMIF('TUNZ Extracted TB'!M:M,$P4520,'TUNZ Extracted TB'!G:G)</f>
        <v>0</v>
      </c>
      <c r="M4520" s="311"/>
      <c r="N4520" s="311">
        <f>+SUMIF('Input Sheet'!$AE:$AE,P4520,'Input Sheet'!$X:$X)</f>
        <v>0</v>
      </c>
      <c r="O4520" s="311"/>
      <c r="P4520" t="str">
        <f t="shared" si="373"/>
        <v>300-4021R</v>
      </c>
      <c r="Q4520" s="315" t="str">
        <f t="shared" si="374"/>
        <v>New Vehicle</v>
      </c>
      <c r="R4520" s="315" t="str">
        <f t="shared" si="375"/>
        <v>New VehicleOther Income per NV unit</v>
      </c>
      <c r="S4520" s="199"/>
      <c r="T4520" s="199"/>
      <c r="U4520" s="199"/>
    </row>
    <row r="4521" spans="1:21" x14ac:dyDescent="0.25">
      <c r="A4521" t="s">
        <v>996</v>
      </c>
      <c r="B4521" t="s">
        <v>997</v>
      </c>
      <c r="C4521" t="s">
        <v>997</v>
      </c>
      <c r="D4521" t="s">
        <v>1528</v>
      </c>
      <c r="E4521">
        <v>110</v>
      </c>
      <c r="F4521" t="s">
        <v>1287</v>
      </c>
      <c r="G4521" t="s">
        <v>1288</v>
      </c>
      <c r="H4521" s="315" t="s">
        <v>30</v>
      </c>
      <c r="I4521" s="315" t="s">
        <v>1016</v>
      </c>
      <c r="J4521" s="315" t="str">
        <f t="shared" si="371"/>
        <v>Used VehicleEx NV demonstrators gross profit p.u.</v>
      </c>
      <c r="K4521" s="315" t="str">
        <f t="shared" si="372"/>
        <v>110Ex-Toyota NV demonstrator Cost of Sales</v>
      </c>
      <c r="L4521" s="311">
        <f>+SUMIF('TUNZ Extracted TB'!M:M,$P4521,'TUNZ Extracted TB'!G:G)</f>
        <v>0</v>
      </c>
      <c r="M4521" s="311"/>
      <c r="N4521" s="311">
        <f>+SUMIF('Input Sheet'!$AE:$AE,P4521,'Input Sheet'!$X:$X)</f>
        <v>0</v>
      </c>
      <c r="O4521" s="311"/>
      <c r="P4521" t="str">
        <f t="shared" si="373"/>
        <v>110-4021R</v>
      </c>
      <c r="Q4521" s="315" t="str">
        <f t="shared" si="374"/>
        <v>Used Vehicle</v>
      </c>
      <c r="R4521" s="315" t="str">
        <f t="shared" si="375"/>
        <v>Used VehicleEx NV demonstrators gross profit p.u.</v>
      </c>
      <c r="S4521" s="199"/>
      <c r="T4521" s="199"/>
      <c r="U4521" s="199"/>
    </row>
    <row r="4522" spans="1:21" x14ac:dyDescent="0.25">
      <c r="A4522" t="s">
        <v>996</v>
      </c>
      <c r="B4522" t="s">
        <v>997</v>
      </c>
      <c r="C4522" t="s">
        <v>997</v>
      </c>
      <c r="D4522" t="s">
        <v>1529</v>
      </c>
      <c r="E4522">
        <v>100</v>
      </c>
      <c r="F4522" t="s">
        <v>1024</v>
      </c>
      <c r="G4522" t="s">
        <v>1027</v>
      </c>
      <c r="H4522" s="315" t="s">
        <v>29</v>
      </c>
      <c r="I4522" s="315" t="s">
        <v>1026</v>
      </c>
      <c r="J4522" s="315" t="str">
        <f t="shared" si="371"/>
        <v>New VehicleOther Income per NV unit</v>
      </c>
      <c r="K4522" s="315" t="str">
        <f t="shared" si="372"/>
        <v>100New Vehicle Other Income - Toyota</v>
      </c>
      <c r="L4522" s="311">
        <f>+SUMIF('TUNZ Extracted TB'!M:M,$P4522,'TUNZ Extracted TB'!G:G)</f>
        <v>0</v>
      </c>
      <c r="M4522" s="311"/>
      <c r="N4522" s="311">
        <f>+SUMIF('Input Sheet'!$AE:$AE,P4522,'Input Sheet'!$X:$X)</f>
        <v>0</v>
      </c>
      <c r="O4522" s="311"/>
      <c r="P4522" t="str">
        <f t="shared" si="373"/>
        <v>100-4021RR</v>
      </c>
      <c r="Q4522" s="315" t="str">
        <f t="shared" si="374"/>
        <v>New Vehicle</v>
      </c>
      <c r="R4522" s="315" t="str">
        <f t="shared" si="375"/>
        <v>New VehicleOther Income per NV unit</v>
      </c>
      <c r="S4522" s="199"/>
      <c r="T4522" s="199"/>
      <c r="U4522" s="199"/>
    </row>
    <row r="4523" spans="1:21" x14ac:dyDescent="0.25">
      <c r="A4523" t="s">
        <v>996</v>
      </c>
      <c r="B4523" t="s">
        <v>997</v>
      </c>
      <c r="C4523" t="s">
        <v>1005</v>
      </c>
      <c r="D4523" t="s">
        <v>1528</v>
      </c>
      <c r="E4523">
        <v>210</v>
      </c>
      <c r="F4523" t="s">
        <v>1287</v>
      </c>
      <c r="G4523" t="s">
        <v>1288</v>
      </c>
      <c r="H4523" s="315" t="s">
        <v>30</v>
      </c>
      <c r="I4523" s="315" t="s">
        <v>1016</v>
      </c>
      <c r="J4523" s="315" t="str">
        <f t="shared" si="371"/>
        <v>Used VehicleEx NV demonstrators gross profit p.u.</v>
      </c>
      <c r="K4523" s="315" t="str">
        <f t="shared" si="372"/>
        <v>210Ex-Toyota NV demonstrator Cost of Sales</v>
      </c>
      <c r="L4523" s="311">
        <f>+SUMIF('TUNZ Extracted TB'!M:M,$P4523,'TUNZ Extracted TB'!G:G)</f>
        <v>0</v>
      </c>
      <c r="M4523" s="311"/>
      <c r="N4523" s="311">
        <f>+SUMIF('Input Sheet'!$AE:$AE,P4523,'Input Sheet'!$X:$X)</f>
        <v>0</v>
      </c>
      <c r="O4523" s="311"/>
      <c r="P4523" t="str">
        <f t="shared" si="373"/>
        <v>210-4021R</v>
      </c>
      <c r="Q4523" s="315" t="str">
        <f t="shared" si="374"/>
        <v>Used Vehicle</v>
      </c>
      <c r="R4523" s="315" t="str">
        <f t="shared" si="375"/>
        <v>Used VehicleEx NV demonstrators gross profit p.u.</v>
      </c>
      <c r="S4523" s="199"/>
      <c r="T4523" s="199"/>
      <c r="U4523" s="199"/>
    </row>
    <row r="4524" spans="1:21" x14ac:dyDescent="0.25">
      <c r="A4524" t="s">
        <v>996</v>
      </c>
      <c r="B4524" t="s">
        <v>997</v>
      </c>
      <c r="C4524" t="s">
        <v>1012</v>
      </c>
      <c r="D4524" t="s">
        <v>1528</v>
      </c>
      <c r="E4524">
        <v>410</v>
      </c>
      <c r="F4524" t="s">
        <v>1287</v>
      </c>
      <c r="G4524" t="s">
        <v>1288</v>
      </c>
      <c r="H4524" s="315" t="s">
        <v>30</v>
      </c>
      <c r="I4524" s="315" t="s">
        <v>1016</v>
      </c>
      <c r="J4524" s="315" t="str">
        <f t="shared" si="371"/>
        <v>Used VehicleEx NV demonstrators gross profit p.u.</v>
      </c>
      <c r="K4524" s="315" t="str">
        <f t="shared" si="372"/>
        <v>410Ex-Toyota NV demonstrator Cost of Sales</v>
      </c>
      <c r="L4524" s="311">
        <f>+SUMIF('TUNZ Extracted TB'!M:M,$P4524,'TUNZ Extracted TB'!G:G)</f>
        <v>0</v>
      </c>
      <c r="M4524" s="311"/>
      <c r="N4524" s="311">
        <f>+SUMIF('Input Sheet'!$AE:$AE,P4524,'Input Sheet'!$X:$X)</f>
        <v>0</v>
      </c>
      <c r="O4524" s="311"/>
      <c r="P4524" t="str">
        <f t="shared" si="373"/>
        <v>410-4021R</v>
      </c>
      <c r="Q4524" s="315" t="str">
        <f t="shared" si="374"/>
        <v>Used Vehicle</v>
      </c>
      <c r="R4524" s="315" t="str">
        <f t="shared" si="375"/>
        <v>Used VehicleEx NV demonstrators gross profit p.u.</v>
      </c>
      <c r="S4524" s="199"/>
      <c r="T4524" s="199"/>
      <c r="U4524" s="199"/>
    </row>
    <row r="4525" spans="1:21" x14ac:dyDescent="0.25">
      <c r="A4525" t="s">
        <v>996</v>
      </c>
      <c r="B4525" t="s">
        <v>997</v>
      </c>
      <c r="C4525" t="s">
        <v>1013</v>
      </c>
      <c r="D4525" t="s">
        <v>1528</v>
      </c>
      <c r="E4525">
        <v>310</v>
      </c>
      <c r="F4525" t="s">
        <v>1287</v>
      </c>
      <c r="G4525" t="s">
        <v>1288</v>
      </c>
      <c r="H4525" s="315" t="s">
        <v>30</v>
      </c>
      <c r="I4525" s="315" t="s">
        <v>1016</v>
      </c>
      <c r="J4525" s="315" t="str">
        <f t="shared" si="371"/>
        <v>Used VehicleEx NV demonstrators gross profit p.u.</v>
      </c>
      <c r="K4525" s="315" t="str">
        <f t="shared" si="372"/>
        <v>310Ex-Toyota NV demonstrator Cost of Sales</v>
      </c>
      <c r="L4525" s="311">
        <f>+SUMIF('TUNZ Extracted TB'!M:M,$P4525,'TUNZ Extracted TB'!G:G)</f>
        <v>0</v>
      </c>
      <c r="M4525" s="311"/>
      <c r="N4525" s="311">
        <f>+SUMIF('Input Sheet'!$AE:$AE,P4525,'Input Sheet'!$X:$X)</f>
        <v>0</v>
      </c>
      <c r="O4525" s="311"/>
      <c r="P4525" t="str">
        <f t="shared" si="373"/>
        <v>310-4021R</v>
      </c>
      <c r="Q4525" s="315" t="str">
        <f t="shared" si="374"/>
        <v>Used Vehicle</v>
      </c>
      <c r="R4525" s="315" t="str">
        <f t="shared" si="375"/>
        <v>Used VehicleEx NV demonstrators gross profit p.u.</v>
      </c>
      <c r="S4525" s="199"/>
      <c r="T4525" s="199"/>
      <c r="U4525" s="199"/>
    </row>
    <row r="4526" spans="1:21" x14ac:dyDescent="0.25">
      <c r="A4526" t="s">
        <v>996</v>
      </c>
      <c r="B4526" t="s">
        <v>997</v>
      </c>
      <c r="C4526" t="s">
        <v>1005</v>
      </c>
      <c r="D4526" t="s">
        <v>1529</v>
      </c>
      <c r="E4526">
        <v>200</v>
      </c>
      <c r="F4526" t="s">
        <v>1024</v>
      </c>
      <c r="G4526" t="s">
        <v>1027</v>
      </c>
      <c r="H4526" s="315" t="s">
        <v>29</v>
      </c>
      <c r="I4526" s="315" t="s">
        <v>1026</v>
      </c>
      <c r="J4526" s="315" t="str">
        <f t="shared" si="371"/>
        <v>New VehicleOther Income per NV unit</v>
      </c>
      <c r="K4526" s="315" t="str">
        <f t="shared" si="372"/>
        <v>200New Vehicle Other Income - Toyota</v>
      </c>
      <c r="L4526" s="311">
        <f>+SUMIF('TUNZ Extracted TB'!M:M,$P4526,'TUNZ Extracted TB'!G:G)</f>
        <v>0</v>
      </c>
      <c r="M4526" s="311"/>
      <c r="N4526" s="311">
        <f>+SUMIF('Input Sheet'!$AE:$AE,P4526,'Input Sheet'!$X:$X)</f>
        <v>0</v>
      </c>
      <c r="O4526" s="311"/>
      <c r="P4526" t="str">
        <f t="shared" si="373"/>
        <v>200-4021RR</v>
      </c>
      <c r="Q4526" s="315" t="str">
        <f t="shared" si="374"/>
        <v>New Vehicle</v>
      </c>
      <c r="R4526" s="315" t="str">
        <f t="shared" si="375"/>
        <v>New VehicleOther Income per NV unit</v>
      </c>
      <c r="S4526" s="199"/>
      <c r="T4526" s="199"/>
      <c r="U4526" s="199"/>
    </row>
    <row r="4527" spans="1:21" x14ac:dyDescent="0.25">
      <c r="A4527" t="s">
        <v>996</v>
      </c>
      <c r="B4527" t="s">
        <v>997</v>
      </c>
      <c r="C4527" t="s">
        <v>1012</v>
      </c>
      <c r="D4527" t="s">
        <v>1529</v>
      </c>
      <c r="E4527">
        <v>400</v>
      </c>
      <c r="F4527" t="s">
        <v>1024</v>
      </c>
      <c r="G4527" t="s">
        <v>1027</v>
      </c>
      <c r="H4527" s="315" t="s">
        <v>29</v>
      </c>
      <c r="I4527" s="315" t="s">
        <v>1026</v>
      </c>
      <c r="J4527" s="315" t="str">
        <f t="shared" si="371"/>
        <v>New VehicleOther Income per NV unit</v>
      </c>
      <c r="K4527" s="315" t="str">
        <f t="shared" si="372"/>
        <v>400New Vehicle Other Income - Toyota</v>
      </c>
      <c r="L4527" s="311">
        <f>+SUMIF('TUNZ Extracted TB'!M:M,$P4527,'TUNZ Extracted TB'!G:G)</f>
        <v>0</v>
      </c>
      <c r="M4527" s="311"/>
      <c r="N4527" s="311">
        <f>+SUMIF('Input Sheet'!$AE:$AE,P4527,'Input Sheet'!$X:$X)</f>
        <v>0</v>
      </c>
      <c r="O4527" s="311"/>
      <c r="P4527" t="str">
        <f t="shared" si="373"/>
        <v>400-4021RR</v>
      </c>
      <c r="Q4527" s="315" t="str">
        <f t="shared" si="374"/>
        <v>New Vehicle</v>
      </c>
      <c r="R4527" s="315" t="str">
        <f t="shared" si="375"/>
        <v>New VehicleOther Income per NV unit</v>
      </c>
      <c r="S4527" s="199"/>
      <c r="T4527" s="199"/>
      <c r="U4527" s="199"/>
    </row>
    <row r="4528" spans="1:21" x14ac:dyDescent="0.25">
      <c r="A4528" t="s">
        <v>996</v>
      </c>
      <c r="B4528" t="s">
        <v>997</v>
      </c>
      <c r="C4528" t="s">
        <v>1013</v>
      </c>
      <c r="D4528" t="s">
        <v>1529</v>
      </c>
      <c r="E4528">
        <v>300</v>
      </c>
      <c r="F4528" t="s">
        <v>1024</v>
      </c>
      <c r="G4528" t="s">
        <v>1027</v>
      </c>
      <c r="H4528" s="315" t="s">
        <v>29</v>
      </c>
      <c r="I4528" s="315" t="s">
        <v>1026</v>
      </c>
      <c r="J4528" s="315" t="str">
        <f t="shared" si="371"/>
        <v>New VehicleOther Income per NV unit</v>
      </c>
      <c r="K4528" s="315" t="str">
        <f t="shared" si="372"/>
        <v>300New Vehicle Other Income - Toyota</v>
      </c>
      <c r="L4528" s="311">
        <f>+SUMIF('TUNZ Extracted TB'!M:M,$P4528,'TUNZ Extracted TB'!G:G)</f>
        <v>0</v>
      </c>
      <c r="M4528" s="311"/>
      <c r="N4528" s="311">
        <f>+SUMIF('Input Sheet'!$AE:$AE,P4528,'Input Sheet'!$X:$X)</f>
        <v>0</v>
      </c>
      <c r="O4528" s="311"/>
      <c r="P4528" t="str">
        <f t="shared" si="373"/>
        <v>300-4021RR</v>
      </c>
      <c r="Q4528" s="315" t="str">
        <f t="shared" si="374"/>
        <v>New Vehicle</v>
      </c>
      <c r="R4528" s="315" t="str">
        <f t="shared" si="375"/>
        <v>New VehicleOther Income per NV unit</v>
      </c>
      <c r="S4528" s="199"/>
      <c r="T4528" s="199"/>
      <c r="U4528" s="199"/>
    </row>
    <row r="4529" spans="1:21" x14ac:dyDescent="0.25">
      <c r="A4529" t="s">
        <v>996</v>
      </c>
      <c r="B4529" t="s">
        <v>997</v>
      </c>
      <c r="C4529" t="s">
        <v>997</v>
      </c>
      <c r="D4529" t="s">
        <v>1529</v>
      </c>
      <c r="E4529">
        <v>110</v>
      </c>
      <c r="F4529" t="s">
        <v>1287</v>
      </c>
      <c r="G4529" t="s">
        <v>1288</v>
      </c>
      <c r="H4529" s="315" t="s">
        <v>30</v>
      </c>
      <c r="I4529" s="315" t="s">
        <v>1016</v>
      </c>
      <c r="J4529" s="315" t="str">
        <f t="shared" si="371"/>
        <v>Used VehicleEx NV demonstrators gross profit p.u.</v>
      </c>
      <c r="K4529" s="315" t="str">
        <f t="shared" si="372"/>
        <v>110Ex-Toyota NV demonstrator Cost of Sales</v>
      </c>
      <c r="L4529" s="311">
        <f>+SUMIF('TUNZ Extracted TB'!M:M,$P4529,'TUNZ Extracted TB'!G:G)</f>
        <v>0</v>
      </c>
      <c r="M4529" s="311"/>
      <c r="N4529" s="311">
        <f>+SUMIF('Input Sheet'!$AE:$AE,P4529,'Input Sheet'!$X:$X)</f>
        <v>0</v>
      </c>
      <c r="O4529" s="311"/>
      <c r="P4529" t="str">
        <f t="shared" si="373"/>
        <v>110-4021RR</v>
      </c>
      <c r="Q4529" s="315" t="str">
        <f t="shared" si="374"/>
        <v>Used Vehicle</v>
      </c>
      <c r="R4529" s="315" t="str">
        <f t="shared" si="375"/>
        <v>Used VehicleEx NV demonstrators gross profit p.u.</v>
      </c>
      <c r="S4529" s="199"/>
      <c r="T4529" s="199"/>
      <c r="U4529" s="199"/>
    </row>
    <row r="4530" spans="1:21" x14ac:dyDescent="0.25">
      <c r="A4530" t="s">
        <v>996</v>
      </c>
      <c r="B4530" t="s">
        <v>997</v>
      </c>
      <c r="C4530" t="s">
        <v>997</v>
      </c>
      <c r="D4530" t="s">
        <v>1530</v>
      </c>
      <c r="E4530">
        <v>100</v>
      </c>
      <c r="F4530" t="s">
        <v>1024</v>
      </c>
      <c r="G4530" t="s">
        <v>1027</v>
      </c>
      <c r="H4530" s="315" t="s">
        <v>29</v>
      </c>
      <c r="I4530" s="315" t="s">
        <v>1026</v>
      </c>
      <c r="J4530" s="315" t="str">
        <f t="shared" si="371"/>
        <v>New VehicleOther Income per NV unit</v>
      </c>
      <c r="K4530" s="315" t="str">
        <f t="shared" si="372"/>
        <v>100New Vehicle Other Income - Toyota</v>
      </c>
      <c r="L4530" s="311">
        <f>+SUMIF('TUNZ Extracted TB'!M:M,$P4530,'TUNZ Extracted TB'!G:G)</f>
        <v>0</v>
      </c>
      <c r="M4530" s="311"/>
      <c r="N4530" s="311">
        <f>+SUMIF('Input Sheet'!$AE:$AE,P4530,'Input Sheet'!$X:$X)</f>
        <v>0</v>
      </c>
      <c r="O4530" s="311"/>
      <c r="P4530" t="str">
        <f t="shared" si="373"/>
        <v>100-4023R</v>
      </c>
      <c r="Q4530" s="315" t="str">
        <f t="shared" si="374"/>
        <v>New Vehicle</v>
      </c>
      <c r="R4530" s="315" t="str">
        <f t="shared" si="375"/>
        <v>New VehicleOther Income per NV unit</v>
      </c>
      <c r="S4530" s="199"/>
      <c r="T4530" s="199"/>
      <c r="U4530" s="199"/>
    </row>
    <row r="4531" spans="1:21" x14ac:dyDescent="0.25">
      <c r="A4531" t="s">
        <v>996</v>
      </c>
      <c r="B4531" t="s">
        <v>997</v>
      </c>
      <c r="C4531" t="s">
        <v>1005</v>
      </c>
      <c r="D4531" t="s">
        <v>1529</v>
      </c>
      <c r="E4531">
        <v>210</v>
      </c>
      <c r="F4531" t="s">
        <v>1287</v>
      </c>
      <c r="G4531" t="s">
        <v>1288</v>
      </c>
      <c r="H4531" s="315" t="s">
        <v>30</v>
      </c>
      <c r="I4531" s="315" t="s">
        <v>1016</v>
      </c>
      <c r="J4531" s="315" t="str">
        <f t="shared" si="371"/>
        <v>Used VehicleEx NV demonstrators gross profit p.u.</v>
      </c>
      <c r="K4531" s="315" t="str">
        <f t="shared" si="372"/>
        <v>210Ex-Toyota NV demonstrator Cost of Sales</v>
      </c>
      <c r="L4531" s="311">
        <f>+SUMIF('TUNZ Extracted TB'!M:M,$P4531,'TUNZ Extracted TB'!G:G)</f>
        <v>0</v>
      </c>
      <c r="M4531" s="311"/>
      <c r="N4531" s="311">
        <f>+SUMIF('Input Sheet'!$AE:$AE,P4531,'Input Sheet'!$X:$X)</f>
        <v>0</v>
      </c>
      <c r="O4531" s="311"/>
      <c r="P4531" t="str">
        <f t="shared" si="373"/>
        <v>210-4021RR</v>
      </c>
      <c r="Q4531" s="315" t="str">
        <f t="shared" si="374"/>
        <v>Used Vehicle</v>
      </c>
      <c r="R4531" s="315" t="str">
        <f t="shared" si="375"/>
        <v>Used VehicleEx NV demonstrators gross profit p.u.</v>
      </c>
      <c r="S4531" s="199"/>
      <c r="T4531" s="199"/>
      <c r="U4531" s="199"/>
    </row>
    <row r="4532" spans="1:21" x14ac:dyDescent="0.25">
      <c r="A4532" t="s">
        <v>996</v>
      </c>
      <c r="B4532" t="s">
        <v>997</v>
      </c>
      <c r="C4532" t="s">
        <v>1012</v>
      </c>
      <c r="D4532" t="s">
        <v>1529</v>
      </c>
      <c r="E4532">
        <v>410</v>
      </c>
      <c r="F4532" t="s">
        <v>1287</v>
      </c>
      <c r="G4532" t="s">
        <v>1288</v>
      </c>
      <c r="H4532" s="315" t="s">
        <v>30</v>
      </c>
      <c r="I4532" s="315" t="s">
        <v>1016</v>
      </c>
      <c r="J4532" s="315" t="str">
        <f t="shared" si="371"/>
        <v>Used VehicleEx NV demonstrators gross profit p.u.</v>
      </c>
      <c r="K4532" s="315" t="str">
        <f t="shared" si="372"/>
        <v>410Ex-Toyota NV demonstrator Cost of Sales</v>
      </c>
      <c r="L4532" s="311">
        <f>+SUMIF('TUNZ Extracted TB'!M:M,$P4532,'TUNZ Extracted TB'!G:G)</f>
        <v>0</v>
      </c>
      <c r="M4532" s="311"/>
      <c r="N4532" s="311">
        <f>+SUMIF('Input Sheet'!$AE:$AE,P4532,'Input Sheet'!$X:$X)</f>
        <v>0</v>
      </c>
      <c r="O4532" s="311"/>
      <c r="P4532" t="str">
        <f t="shared" si="373"/>
        <v>410-4021RR</v>
      </c>
      <c r="Q4532" s="315" t="str">
        <f t="shared" si="374"/>
        <v>Used Vehicle</v>
      </c>
      <c r="R4532" s="315" t="str">
        <f t="shared" si="375"/>
        <v>Used VehicleEx NV demonstrators gross profit p.u.</v>
      </c>
      <c r="S4532" s="199"/>
      <c r="T4532" s="199"/>
      <c r="U4532" s="199"/>
    </row>
    <row r="4533" spans="1:21" x14ac:dyDescent="0.25">
      <c r="A4533" t="s">
        <v>996</v>
      </c>
      <c r="B4533" t="s">
        <v>997</v>
      </c>
      <c r="C4533" t="s">
        <v>1013</v>
      </c>
      <c r="D4533" t="s">
        <v>1529</v>
      </c>
      <c r="E4533">
        <v>310</v>
      </c>
      <c r="F4533" t="s">
        <v>1287</v>
      </c>
      <c r="G4533" t="s">
        <v>1288</v>
      </c>
      <c r="H4533" s="315" t="s">
        <v>30</v>
      </c>
      <c r="I4533" s="315" t="s">
        <v>1016</v>
      </c>
      <c r="J4533" s="315" t="str">
        <f t="shared" si="371"/>
        <v>Used VehicleEx NV demonstrators gross profit p.u.</v>
      </c>
      <c r="K4533" s="315" t="str">
        <f t="shared" si="372"/>
        <v>310Ex-Toyota NV demonstrator Cost of Sales</v>
      </c>
      <c r="L4533" s="311">
        <f>+SUMIF('TUNZ Extracted TB'!M:M,$P4533,'TUNZ Extracted TB'!G:G)</f>
        <v>0</v>
      </c>
      <c r="M4533" s="311"/>
      <c r="N4533" s="311">
        <f>+SUMIF('Input Sheet'!$AE:$AE,P4533,'Input Sheet'!$X:$X)</f>
        <v>0</v>
      </c>
      <c r="O4533" s="311"/>
      <c r="P4533" t="str">
        <f t="shared" si="373"/>
        <v>310-4021RR</v>
      </c>
      <c r="Q4533" s="315" t="str">
        <f t="shared" si="374"/>
        <v>Used Vehicle</v>
      </c>
      <c r="R4533" s="315" t="str">
        <f t="shared" si="375"/>
        <v>Used VehicleEx NV demonstrators gross profit p.u.</v>
      </c>
      <c r="S4533" s="199"/>
      <c r="T4533" s="199"/>
      <c r="U4533" s="199"/>
    </row>
    <row r="4534" spans="1:21" x14ac:dyDescent="0.25">
      <c r="A4534" t="s">
        <v>996</v>
      </c>
      <c r="B4534" t="s">
        <v>997</v>
      </c>
      <c r="C4534" t="s">
        <v>1005</v>
      </c>
      <c r="D4534" t="s">
        <v>1530</v>
      </c>
      <c r="E4534">
        <v>200</v>
      </c>
      <c r="F4534" t="s">
        <v>1024</v>
      </c>
      <c r="G4534" t="s">
        <v>1027</v>
      </c>
      <c r="H4534" s="315" t="s">
        <v>29</v>
      </c>
      <c r="I4534" s="315" t="s">
        <v>1026</v>
      </c>
      <c r="J4534" s="315" t="str">
        <f t="shared" si="371"/>
        <v>New VehicleOther Income per NV unit</v>
      </c>
      <c r="K4534" s="315" t="str">
        <f t="shared" si="372"/>
        <v>200New Vehicle Other Income - Toyota</v>
      </c>
      <c r="L4534" s="311">
        <f>+SUMIF('TUNZ Extracted TB'!M:M,$P4534,'TUNZ Extracted TB'!G:G)</f>
        <v>0</v>
      </c>
      <c r="M4534" s="311"/>
      <c r="N4534" s="311">
        <f>+SUMIF('Input Sheet'!$AE:$AE,P4534,'Input Sheet'!$X:$X)</f>
        <v>0</v>
      </c>
      <c r="O4534" s="311"/>
      <c r="P4534" t="str">
        <f t="shared" si="373"/>
        <v>200-4023R</v>
      </c>
      <c r="Q4534" s="315" t="str">
        <f t="shared" si="374"/>
        <v>New Vehicle</v>
      </c>
      <c r="R4534" s="315" t="str">
        <f t="shared" si="375"/>
        <v>New VehicleOther Income per NV unit</v>
      </c>
      <c r="S4534" s="199"/>
      <c r="T4534" s="199"/>
      <c r="U4534" s="199"/>
    </row>
    <row r="4535" spans="1:21" x14ac:dyDescent="0.25">
      <c r="A4535" t="s">
        <v>996</v>
      </c>
      <c r="B4535" t="s">
        <v>997</v>
      </c>
      <c r="C4535" t="s">
        <v>1012</v>
      </c>
      <c r="D4535" t="s">
        <v>1530</v>
      </c>
      <c r="E4535">
        <v>400</v>
      </c>
      <c r="F4535" t="s">
        <v>1024</v>
      </c>
      <c r="G4535" t="s">
        <v>1027</v>
      </c>
      <c r="H4535" s="315" t="s">
        <v>29</v>
      </c>
      <c r="I4535" s="315" t="s">
        <v>1026</v>
      </c>
      <c r="J4535" s="315" t="str">
        <f t="shared" si="371"/>
        <v>New VehicleOther Income per NV unit</v>
      </c>
      <c r="K4535" s="315" t="str">
        <f t="shared" si="372"/>
        <v>400New Vehicle Other Income - Toyota</v>
      </c>
      <c r="L4535" s="311">
        <f>+SUMIF('TUNZ Extracted TB'!M:M,$P4535,'TUNZ Extracted TB'!G:G)</f>
        <v>0</v>
      </c>
      <c r="M4535" s="311"/>
      <c r="N4535" s="311">
        <f>+SUMIF('Input Sheet'!$AE:$AE,P4535,'Input Sheet'!$X:$X)</f>
        <v>0</v>
      </c>
      <c r="O4535" s="311"/>
      <c r="P4535" t="str">
        <f t="shared" si="373"/>
        <v>400-4023R</v>
      </c>
      <c r="Q4535" s="315" t="str">
        <f t="shared" si="374"/>
        <v>New Vehicle</v>
      </c>
      <c r="R4535" s="315" t="str">
        <f t="shared" si="375"/>
        <v>New VehicleOther Income per NV unit</v>
      </c>
      <c r="S4535" s="199"/>
      <c r="T4535" s="199"/>
      <c r="U4535" s="199"/>
    </row>
    <row r="4536" spans="1:21" x14ac:dyDescent="0.25">
      <c r="A4536" t="s">
        <v>996</v>
      </c>
      <c r="B4536" t="s">
        <v>997</v>
      </c>
      <c r="C4536" t="s">
        <v>1013</v>
      </c>
      <c r="D4536" t="s">
        <v>1530</v>
      </c>
      <c r="E4536">
        <v>300</v>
      </c>
      <c r="F4536" t="s">
        <v>1024</v>
      </c>
      <c r="G4536" t="s">
        <v>1027</v>
      </c>
      <c r="H4536" s="315" t="s">
        <v>29</v>
      </c>
      <c r="I4536" s="315" t="s">
        <v>1026</v>
      </c>
      <c r="J4536" s="315" t="str">
        <f t="shared" si="371"/>
        <v>New VehicleOther Income per NV unit</v>
      </c>
      <c r="K4536" s="315" t="str">
        <f t="shared" si="372"/>
        <v>300New Vehicle Other Income - Toyota</v>
      </c>
      <c r="L4536" s="311">
        <f>+SUMIF('TUNZ Extracted TB'!M:M,$P4536,'TUNZ Extracted TB'!G:G)</f>
        <v>0</v>
      </c>
      <c r="M4536" s="311"/>
      <c r="N4536" s="311">
        <f>+SUMIF('Input Sheet'!$AE:$AE,P4536,'Input Sheet'!$X:$X)</f>
        <v>0</v>
      </c>
      <c r="O4536" s="311"/>
      <c r="P4536" t="str">
        <f t="shared" si="373"/>
        <v>300-4023R</v>
      </c>
      <c r="Q4536" s="315" t="str">
        <f t="shared" si="374"/>
        <v>New Vehicle</v>
      </c>
      <c r="R4536" s="315" t="str">
        <f t="shared" si="375"/>
        <v>New VehicleOther Income per NV unit</v>
      </c>
      <c r="S4536" s="199"/>
      <c r="T4536" s="199"/>
      <c r="U4536" s="199"/>
    </row>
    <row r="4537" spans="1:21" x14ac:dyDescent="0.25">
      <c r="A4537" t="s">
        <v>996</v>
      </c>
      <c r="B4537" t="s">
        <v>997</v>
      </c>
      <c r="C4537" t="s">
        <v>997</v>
      </c>
      <c r="D4537" t="s">
        <v>1530</v>
      </c>
      <c r="E4537">
        <v>110</v>
      </c>
      <c r="F4537" t="s">
        <v>1287</v>
      </c>
      <c r="G4537" t="s">
        <v>1288</v>
      </c>
      <c r="H4537" s="315" t="s">
        <v>30</v>
      </c>
      <c r="I4537" s="315" t="s">
        <v>1016</v>
      </c>
      <c r="J4537" s="315" t="str">
        <f t="shared" si="371"/>
        <v>Used VehicleEx NV demonstrators gross profit p.u.</v>
      </c>
      <c r="K4537" s="315" t="str">
        <f t="shared" si="372"/>
        <v>110Ex-Toyota NV demonstrator Cost of Sales</v>
      </c>
      <c r="L4537" s="311">
        <f>+SUMIF('TUNZ Extracted TB'!M:M,$P4537,'TUNZ Extracted TB'!G:G)</f>
        <v>0</v>
      </c>
      <c r="M4537" s="311"/>
      <c r="N4537" s="311">
        <f>+SUMIF('Input Sheet'!$AE:$AE,P4537,'Input Sheet'!$X:$X)</f>
        <v>0</v>
      </c>
      <c r="O4537" s="311"/>
      <c r="P4537" t="str">
        <f t="shared" si="373"/>
        <v>110-4023R</v>
      </c>
      <c r="Q4537" s="315" t="str">
        <f t="shared" si="374"/>
        <v>Used Vehicle</v>
      </c>
      <c r="R4537" s="315" t="str">
        <f t="shared" si="375"/>
        <v>Used VehicleEx NV demonstrators gross profit p.u.</v>
      </c>
      <c r="S4537" s="199"/>
      <c r="T4537" s="199"/>
      <c r="U4537" s="199"/>
    </row>
    <row r="4538" spans="1:21" x14ac:dyDescent="0.25">
      <c r="A4538" t="s">
        <v>996</v>
      </c>
      <c r="B4538" t="s">
        <v>997</v>
      </c>
      <c r="C4538" t="s">
        <v>997</v>
      </c>
      <c r="D4538" t="s">
        <v>1531</v>
      </c>
      <c r="E4538">
        <v>100</v>
      </c>
      <c r="F4538" t="s">
        <v>1024</v>
      </c>
      <c r="G4538" t="s">
        <v>1027</v>
      </c>
      <c r="H4538" s="315" t="s">
        <v>29</v>
      </c>
      <c r="I4538" s="315" t="s">
        <v>1026</v>
      </c>
      <c r="J4538" s="315" t="str">
        <f t="shared" si="371"/>
        <v>New VehicleOther Income per NV unit</v>
      </c>
      <c r="K4538" s="315" t="str">
        <f t="shared" si="372"/>
        <v>100New Vehicle Other Income - Toyota</v>
      </c>
      <c r="L4538" s="311">
        <f>+SUMIF('TUNZ Extracted TB'!M:M,$P4538,'TUNZ Extracted TB'!G:G)</f>
        <v>0</v>
      </c>
      <c r="M4538" s="311"/>
      <c r="N4538" s="311">
        <f>+SUMIF('Input Sheet'!$AE:$AE,P4538,'Input Sheet'!$X:$X)</f>
        <v>0</v>
      </c>
      <c r="O4538" s="311"/>
      <c r="P4538" t="str">
        <f t="shared" si="373"/>
        <v>100-4023RR</v>
      </c>
      <c r="Q4538" s="315" t="str">
        <f t="shared" si="374"/>
        <v>New Vehicle</v>
      </c>
      <c r="R4538" s="315" t="str">
        <f t="shared" si="375"/>
        <v>New VehicleOther Income per NV unit</v>
      </c>
      <c r="S4538" s="199"/>
      <c r="T4538" s="199"/>
      <c r="U4538" s="199"/>
    </row>
    <row r="4539" spans="1:21" x14ac:dyDescent="0.25">
      <c r="A4539" t="s">
        <v>996</v>
      </c>
      <c r="B4539" t="s">
        <v>997</v>
      </c>
      <c r="C4539" t="s">
        <v>1005</v>
      </c>
      <c r="D4539" t="s">
        <v>1530</v>
      </c>
      <c r="E4539">
        <v>210</v>
      </c>
      <c r="F4539" t="s">
        <v>1287</v>
      </c>
      <c r="G4539" t="s">
        <v>1288</v>
      </c>
      <c r="H4539" s="315" t="s">
        <v>30</v>
      </c>
      <c r="I4539" s="315" t="s">
        <v>1016</v>
      </c>
      <c r="J4539" s="315" t="str">
        <f t="shared" si="371"/>
        <v>Used VehicleEx NV demonstrators gross profit p.u.</v>
      </c>
      <c r="K4539" s="315" t="str">
        <f t="shared" si="372"/>
        <v>210Ex-Toyota NV demonstrator Cost of Sales</v>
      </c>
      <c r="L4539" s="311">
        <f>+SUMIF('TUNZ Extracted TB'!M:M,$P4539,'TUNZ Extracted TB'!G:G)</f>
        <v>0</v>
      </c>
      <c r="M4539" s="311"/>
      <c r="N4539" s="311">
        <f>+SUMIF('Input Sheet'!$AE:$AE,P4539,'Input Sheet'!$X:$X)</f>
        <v>0</v>
      </c>
      <c r="O4539" s="311"/>
      <c r="P4539" t="str">
        <f t="shared" si="373"/>
        <v>210-4023R</v>
      </c>
      <c r="Q4539" s="315" t="str">
        <f t="shared" si="374"/>
        <v>Used Vehicle</v>
      </c>
      <c r="R4539" s="315" t="str">
        <f t="shared" si="375"/>
        <v>Used VehicleEx NV demonstrators gross profit p.u.</v>
      </c>
      <c r="S4539" s="199"/>
      <c r="T4539" s="199"/>
      <c r="U4539" s="199"/>
    </row>
    <row r="4540" spans="1:21" x14ac:dyDescent="0.25">
      <c r="A4540" t="s">
        <v>996</v>
      </c>
      <c r="B4540" t="s">
        <v>997</v>
      </c>
      <c r="C4540" t="s">
        <v>1012</v>
      </c>
      <c r="D4540" t="s">
        <v>1530</v>
      </c>
      <c r="E4540">
        <v>410</v>
      </c>
      <c r="F4540" t="s">
        <v>1287</v>
      </c>
      <c r="G4540" t="s">
        <v>1288</v>
      </c>
      <c r="H4540" s="315" t="s">
        <v>30</v>
      </c>
      <c r="I4540" s="315" t="s">
        <v>1016</v>
      </c>
      <c r="J4540" s="315" t="str">
        <f t="shared" si="371"/>
        <v>Used VehicleEx NV demonstrators gross profit p.u.</v>
      </c>
      <c r="K4540" s="315" t="str">
        <f t="shared" si="372"/>
        <v>410Ex-Toyota NV demonstrator Cost of Sales</v>
      </c>
      <c r="L4540" s="311">
        <f>+SUMIF('TUNZ Extracted TB'!M:M,$P4540,'TUNZ Extracted TB'!G:G)</f>
        <v>0</v>
      </c>
      <c r="M4540" s="311"/>
      <c r="N4540" s="311">
        <f>+SUMIF('Input Sheet'!$AE:$AE,P4540,'Input Sheet'!$X:$X)</f>
        <v>0</v>
      </c>
      <c r="O4540" s="311"/>
      <c r="P4540" t="str">
        <f t="shared" si="373"/>
        <v>410-4023R</v>
      </c>
      <c r="Q4540" s="315" t="str">
        <f t="shared" si="374"/>
        <v>Used Vehicle</v>
      </c>
      <c r="R4540" s="315" t="str">
        <f t="shared" si="375"/>
        <v>Used VehicleEx NV demonstrators gross profit p.u.</v>
      </c>
      <c r="S4540" s="199"/>
      <c r="T4540" s="199"/>
      <c r="U4540" s="199"/>
    </row>
    <row r="4541" spans="1:21" x14ac:dyDescent="0.25">
      <c r="A4541" t="s">
        <v>996</v>
      </c>
      <c r="B4541" t="s">
        <v>997</v>
      </c>
      <c r="C4541" t="s">
        <v>1013</v>
      </c>
      <c r="D4541" t="s">
        <v>1530</v>
      </c>
      <c r="E4541">
        <v>310</v>
      </c>
      <c r="F4541" t="s">
        <v>1287</v>
      </c>
      <c r="G4541" t="s">
        <v>1288</v>
      </c>
      <c r="H4541" s="315" t="s">
        <v>30</v>
      </c>
      <c r="I4541" s="315" t="s">
        <v>1016</v>
      </c>
      <c r="J4541" s="315" t="str">
        <f t="shared" si="371"/>
        <v>Used VehicleEx NV demonstrators gross profit p.u.</v>
      </c>
      <c r="K4541" s="315" t="str">
        <f t="shared" si="372"/>
        <v>310Ex-Toyota NV demonstrator Cost of Sales</v>
      </c>
      <c r="L4541" s="311">
        <f>+SUMIF('TUNZ Extracted TB'!M:M,$P4541,'TUNZ Extracted TB'!G:G)</f>
        <v>0</v>
      </c>
      <c r="M4541" s="311"/>
      <c r="N4541" s="311">
        <f>+SUMIF('Input Sheet'!$AE:$AE,P4541,'Input Sheet'!$X:$X)</f>
        <v>0</v>
      </c>
      <c r="O4541" s="311"/>
      <c r="P4541" t="str">
        <f t="shared" si="373"/>
        <v>310-4023R</v>
      </c>
      <c r="Q4541" s="315" t="str">
        <f t="shared" si="374"/>
        <v>Used Vehicle</v>
      </c>
      <c r="R4541" s="315" t="str">
        <f t="shared" si="375"/>
        <v>Used VehicleEx NV demonstrators gross profit p.u.</v>
      </c>
      <c r="S4541" s="199"/>
      <c r="T4541" s="199"/>
      <c r="U4541" s="199"/>
    </row>
    <row r="4542" spans="1:21" x14ac:dyDescent="0.25">
      <c r="A4542" t="s">
        <v>996</v>
      </c>
      <c r="B4542" t="s">
        <v>997</v>
      </c>
      <c r="C4542" t="s">
        <v>1005</v>
      </c>
      <c r="D4542" t="s">
        <v>1531</v>
      </c>
      <c r="E4542">
        <v>200</v>
      </c>
      <c r="F4542" t="s">
        <v>1024</v>
      </c>
      <c r="G4542" t="s">
        <v>1027</v>
      </c>
      <c r="H4542" s="315" t="s">
        <v>29</v>
      </c>
      <c r="I4542" s="315" t="s">
        <v>1026</v>
      </c>
      <c r="J4542" s="315" t="str">
        <f t="shared" si="371"/>
        <v>New VehicleOther Income per NV unit</v>
      </c>
      <c r="K4542" s="315" t="str">
        <f t="shared" si="372"/>
        <v>200New Vehicle Other Income - Toyota</v>
      </c>
      <c r="L4542" s="311">
        <f>+SUMIF('TUNZ Extracted TB'!M:M,$P4542,'TUNZ Extracted TB'!G:G)</f>
        <v>0</v>
      </c>
      <c r="M4542" s="311"/>
      <c r="N4542" s="311">
        <f>+SUMIF('Input Sheet'!$AE:$AE,P4542,'Input Sheet'!$X:$X)</f>
        <v>0</v>
      </c>
      <c r="O4542" s="311"/>
      <c r="P4542" t="str">
        <f t="shared" si="373"/>
        <v>200-4023RR</v>
      </c>
      <c r="Q4542" s="315" t="str">
        <f t="shared" si="374"/>
        <v>New Vehicle</v>
      </c>
      <c r="R4542" s="315" t="str">
        <f t="shared" si="375"/>
        <v>New VehicleOther Income per NV unit</v>
      </c>
      <c r="S4542" s="199"/>
      <c r="T4542" s="199"/>
      <c r="U4542" s="199"/>
    </row>
    <row r="4543" spans="1:21" x14ac:dyDescent="0.25">
      <c r="A4543" t="s">
        <v>996</v>
      </c>
      <c r="B4543" t="s">
        <v>997</v>
      </c>
      <c r="C4543" t="s">
        <v>1012</v>
      </c>
      <c r="D4543" t="s">
        <v>1531</v>
      </c>
      <c r="E4543">
        <v>400</v>
      </c>
      <c r="F4543" t="s">
        <v>1024</v>
      </c>
      <c r="G4543" t="s">
        <v>1027</v>
      </c>
      <c r="H4543" s="315" t="s">
        <v>29</v>
      </c>
      <c r="I4543" s="315" t="s">
        <v>1026</v>
      </c>
      <c r="J4543" s="315" t="str">
        <f t="shared" si="371"/>
        <v>New VehicleOther Income per NV unit</v>
      </c>
      <c r="K4543" s="315" t="str">
        <f t="shared" si="372"/>
        <v>400New Vehicle Other Income - Toyota</v>
      </c>
      <c r="L4543" s="311">
        <f>+SUMIF('TUNZ Extracted TB'!M:M,$P4543,'TUNZ Extracted TB'!G:G)</f>
        <v>0</v>
      </c>
      <c r="M4543" s="311"/>
      <c r="N4543" s="311">
        <f>+SUMIF('Input Sheet'!$AE:$AE,P4543,'Input Sheet'!$X:$X)</f>
        <v>0</v>
      </c>
      <c r="O4543" s="311"/>
      <c r="P4543" t="str">
        <f t="shared" si="373"/>
        <v>400-4023RR</v>
      </c>
      <c r="Q4543" s="315" t="str">
        <f t="shared" si="374"/>
        <v>New Vehicle</v>
      </c>
      <c r="R4543" s="315" t="str">
        <f t="shared" si="375"/>
        <v>New VehicleOther Income per NV unit</v>
      </c>
      <c r="S4543" s="199"/>
      <c r="T4543" s="199"/>
      <c r="U4543" s="199"/>
    </row>
    <row r="4544" spans="1:21" x14ac:dyDescent="0.25">
      <c r="A4544" t="s">
        <v>996</v>
      </c>
      <c r="B4544" t="s">
        <v>997</v>
      </c>
      <c r="C4544" t="s">
        <v>1013</v>
      </c>
      <c r="D4544" t="s">
        <v>1531</v>
      </c>
      <c r="E4544">
        <v>300</v>
      </c>
      <c r="F4544" t="s">
        <v>1024</v>
      </c>
      <c r="G4544" t="s">
        <v>1027</v>
      </c>
      <c r="H4544" s="315" t="s">
        <v>29</v>
      </c>
      <c r="I4544" s="315" t="s">
        <v>1026</v>
      </c>
      <c r="J4544" s="315" t="str">
        <f t="shared" si="371"/>
        <v>New VehicleOther Income per NV unit</v>
      </c>
      <c r="K4544" s="315" t="str">
        <f t="shared" si="372"/>
        <v>300New Vehicle Other Income - Toyota</v>
      </c>
      <c r="L4544" s="311">
        <f>+SUMIF('TUNZ Extracted TB'!M:M,$P4544,'TUNZ Extracted TB'!G:G)</f>
        <v>0</v>
      </c>
      <c r="M4544" s="311"/>
      <c r="N4544" s="311">
        <f>+SUMIF('Input Sheet'!$AE:$AE,P4544,'Input Sheet'!$X:$X)</f>
        <v>0</v>
      </c>
      <c r="O4544" s="311"/>
      <c r="P4544" t="str">
        <f t="shared" si="373"/>
        <v>300-4023RR</v>
      </c>
      <c r="Q4544" s="315" t="str">
        <f t="shared" si="374"/>
        <v>New Vehicle</v>
      </c>
      <c r="R4544" s="315" t="str">
        <f t="shared" si="375"/>
        <v>New VehicleOther Income per NV unit</v>
      </c>
      <c r="S4544" s="199"/>
      <c r="T4544" s="199"/>
      <c r="U4544" s="199"/>
    </row>
    <row r="4545" spans="1:21" x14ac:dyDescent="0.25">
      <c r="A4545" t="s">
        <v>996</v>
      </c>
      <c r="B4545" t="s">
        <v>997</v>
      </c>
      <c r="C4545" t="s">
        <v>997</v>
      </c>
      <c r="D4545" t="s">
        <v>1531</v>
      </c>
      <c r="E4545">
        <v>110</v>
      </c>
      <c r="F4545" t="s">
        <v>1287</v>
      </c>
      <c r="G4545" t="s">
        <v>1288</v>
      </c>
      <c r="H4545" s="315" t="s">
        <v>30</v>
      </c>
      <c r="I4545" s="315" t="s">
        <v>1016</v>
      </c>
      <c r="J4545" s="315" t="str">
        <f t="shared" si="371"/>
        <v>Used VehicleEx NV demonstrators gross profit p.u.</v>
      </c>
      <c r="K4545" s="315" t="str">
        <f t="shared" si="372"/>
        <v>110Ex-Toyota NV demonstrator Cost of Sales</v>
      </c>
      <c r="L4545" s="311">
        <f>+SUMIF('TUNZ Extracted TB'!M:M,$P4545,'TUNZ Extracted TB'!G:G)</f>
        <v>0</v>
      </c>
      <c r="M4545" s="311"/>
      <c r="N4545" s="311">
        <f>+SUMIF('Input Sheet'!$AE:$AE,P4545,'Input Sheet'!$X:$X)</f>
        <v>0</v>
      </c>
      <c r="O4545" s="311"/>
      <c r="P4545" t="str">
        <f t="shared" si="373"/>
        <v>110-4023RR</v>
      </c>
      <c r="Q4545" s="315" t="str">
        <f t="shared" si="374"/>
        <v>Used Vehicle</v>
      </c>
      <c r="R4545" s="315" t="str">
        <f t="shared" si="375"/>
        <v>Used VehicleEx NV demonstrators gross profit p.u.</v>
      </c>
      <c r="S4545" s="199"/>
      <c r="T4545" s="199"/>
      <c r="U4545" s="199"/>
    </row>
    <row r="4546" spans="1:21" x14ac:dyDescent="0.25">
      <c r="A4546" t="s">
        <v>996</v>
      </c>
      <c r="B4546" t="s">
        <v>997</v>
      </c>
      <c r="C4546" t="s">
        <v>997</v>
      </c>
      <c r="D4546" t="s">
        <v>1532</v>
      </c>
      <c r="E4546">
        <v>100</v>
      </c>
      <c r="F4546" t="s">
        <v>1024</v>
      </c>
      <c r="G4546" t="s">
        <v>1027</v>
      </c>
      <c r="H4546" s="315" t="s">
        <v>29</v>
      </c>
      <c r="I4546" s="315" t="s">
        <v>1026</v>
      </c>
      <c r="J4546" s="315" t="str">
        <f t="shared" si="371"/>
        <v>New VehicleOther Income per NV unit</v>
      </c>
      <c r="K4546" s="315" t="str">
        <f t="shared" si="372"/>
        <v>100New Vehicle Other Income - Toyota</v>
      </c>
      <c r="L4546" s="311">
        <f>+SUMIF('TUNZ Extracted TB'!M:M,$P4546,'TUNZ Extracted TB'!G:G)</f>
        <v>0</v>
      </c>
      <c r="M4546" s="311"/>
      <c r="N4546" s="311">
        <f>+SUMIF('Input Sheet'!$AE:$AE,P4546,'Input Sheet'!$X:$X)</f>
        <v>0</v>
      </c>
      <c r="O4546" s="311"/>
      <c r="P4546" t="str">
        <f t="shared" si="373"/>
        <v>100-4024R</v>
      </c>
      <c r="Q4546" s="315" t="str">
        <f t="shared" si="374"/>
        <v>New Vehicle</v>
      </c>
      <c r="R4546" s="315" t="str">
        <f t="shared" si="375"/>
        <v>New VehicleOther Income per NV unit</v>
      </c>
      <c r="S4546" s="199"/>
      <c r="T4546" s="199"/>
      <c r="U4546" s="199"/>
    </row>
    <row r="4547" spans="1:21" x14ac:dyDescent="0.25">
      <c r="A4547" t="s">
        <v>996</v>
      </c>
      <c r="B4547" t="s">
        <v>997</v>
      </c>
      <c r="C4547" t="s">
        <v>1005</v>
      </c>
      <c r="D4547" t="s">
        <v>1531</v>
      </c>
      <c r="E4547">
        <v>210</v>
      </c>
      <c r="F4547" t="s">
        <v>1287</v>
      </c>
      <c r="G4547" t="s">
        <v>1288</v>
      </c>
      <c r="H4547" s="315" t="s">
        <v>30</v>
      </c>
      <c r="I4547" s="315" t="s">
        <v>1016</v>
      </c>
      <c r="J4547" s="315" t="str">
        <f t="shared" ref="J4547:J4610" si="376">+H4547&amp;I4547</f>
        <v>Used VehicleEx NV demonstrators gross profit p.u.</v>
      </c>
      <c r="K4547" s="315" t="str">
        <f t="shared" ref="K4547:K4610" si="377">+E4547&amp;G4547</f>
        <v>210Ex-Toyota NV demonstrator Cost of Sales</v>
      </c>
      <c r="L4547" s="311">
        <f>+SUMIF('TUNZ Extracted TB'!M:M,$P4547,'TUNZ Extracted TB'!G:G)</f>
        <v>0</v>
      </c>
      <c r="M4547" s="311"/>
      <c r="N4547" s="311">
        <f>+SUMIF('Input Sheet'!$AE:$AE,P4547,'Input Sheet'!$X:$X)</f>
        <v>0</v>
      </c>
      <c r="O4547" s="311"/>
      <c r="P4547" t="str">
        <f t="shared" ref="P4547:P4610" si="378">+E4547&amp;"-"&amp;D4547</f>
        <v>210-4023RR</v>
      </c>
      <c r="Q4547" s="315" t="str">
        <f t="shared" ref="Q4547:Q4610" si="379">H4547</f>
        <v>Used Vehicle</v>
      </c>
      <c r="R4547" s="315" t="str">
        <f t="shared" ref="R4547:R4610" si="380">J4547</f>
        <v>Used VehicleEx NV demonstrators gross profit p.u.</v>
      </c>
      <c r="S4547" s="199"/>
      <c r="T4547" s="199"/>
      <c r="U4547" s="199"/>
    </row>
    <row r="4548" spans="1:21" x14ac:dyDescent="0.25">
      <c r="A4548" t="s">
        <v>996</v>
      </c>
      <c r="B4548" t="s">
        <v>997</v>
      </c>
      <c r="C4548" t="s">
        <v>1012</v>
      </c>
      <c r="D4548" t="s">
        <v>1531</v>
      </c>
      <c r="E4548">
        <v>410</v>
      </c>
      <c r="F4548" t="s">
        <v>1287</v>
      </c>
      <c r="G4548" t="s">
        <v>1288</v>
      </c>
      <c r="H4548" s="315" t="s">
        <v>30</v>
      </c>
      <c r="I4548" s="315" t="s">
        <v>1016</v>
      </c>
      <c r="J4548" s="315" t="str">
        <f t="shared" si="376"/>
        <v>Used VehicleEx NV demonstrators gross profit p.u.</v>
      </c>
      <c r="K4548" s="315" t="str">
        <f t="shared" si="377"/>
        <v>410Ex-Toyota NV demonstrator Cost of Sales</v>
      </c>
      <c r="L4548" s="311">
        <f>+SUMIF('TUNZ Extracted TB'!M:M,$P4548,'TUNZ Extracted TB'!G:G)</f>
        <v>0</v>
      </c>
      <c r="M4548" s="311"/>
      <c r="N4548" s="311">
        <f>+SUMIF('Input Sheet'!$AE:$AE,P4548,'Input Sheet'!$X:$X)</f>
        <v>0</v>
      </c>
      <c r="O4548" s="311"/>
      <c r="P4548" t="str">
        <f t="shared" si="378"/>
        <v>410-4023RR</v>
      </c>
      <c r="Q4548" s="315" t="str">
        <f t="shared" si="379"/>
        <v>Used Vehicle</v>
      </c>
      <c r="R4548" s="315" t="str">
        <f t="shared" si="380"/>
        <v>Used VehicleEx NV demonstrators gross profit p.u.</v>
      </c>
      <c r="S4548" s="199"/>
      <c r="T4548" s="199"/>
      <c r="U4548" s="199"/>
    </row>
    <row r="4549" spans="1:21" x14ac:dyDescent="0.25">
      <c r="A4549" t="s">
        <v>996</v>
      </c>
      <c r="B4549" t="s">
        <v>997</v>
      </c>
      <c r="C4549" t="s">
        <v>1013</v>
      </c>
      <c r="D4549" t="s">
        <v>1531</v>
      </c>
      <c r="E4549">
        <v>310</v>
      </c>
      <c r="F4549" t="s">
        <v>1287</v>
      </c>
      <c r="G4549" t="s">
        <v>1288</v>
      </c>
      <c r="H4549" s="315" t="s">
        <v>30</v>
      </c>
      <c r="I4549" s="315" t="s">
        <v>1016</v>
      </c>
      <c r="J4549" s="315" t="str">
        <f t="shared" si="376"/>
        <v>Used VehicleEx NV demonstrators gross profit p.u.</v>
      </c>
      <c r="K4549" s="315" t="str">
        <f t="shared" si="377"/>
        <v>310Ex-Toyota NV demonstrator Cost of Sales</v>
      </c>
      <c r="L4549" s="311">
        <f>+SUMIF('TUNZ Extracted TB'!M:M,$P4549,'TUNZ Extracted TB'!G:G)</f>
        <v>0</v>
      </c>
      <c r="M4549" s="311"/>
      <c r="N4549" s="311">
        <f>+SUMIF('Input Sheet'!$AE:$AE,P4549,'Input Sheet'!$X:$X)</f>
        <v>0</v>
      </c>
      <c r="O4549" s="311"/>
      <c r="P4549" t="str">
        <f t="shared" si="378"/>
        <v>310-4023RR</v>
      </c>
      <c r="Q4549" s="315" t="str">
        <f t="shared" si="379"/>
        <v>Used Vehicle</v>
      </c>
      <c r="R4549" s="315" t="str">
        <f t="shared" si="380"/>
        <v>Used VehicleEx NV demonstrators gross profit p.u.</v>
      </c>
      <c r="S4549" s="199"/>
      <c r="T4549" s="199"/>
      <c r="U4549" s="199"/>
    </row>
    <row r="4550" spans="1:21" x14ac:dyDescent="0.25">
      <c r="A4550" t="s">
        <v>996</v>
      </c>
      <c r="B4550" t="s">
        <v>997</v>
      </c>
      <c r="C4550" t="s">
        <v>1005</v>
      </c>
      <c r="D4550" t="s">
        <v>1532</v>
      </c>
      <c r="E4550">
        <v>200</v>
      </c>
      <c r="F4550" t="s">
        <v>1024</v>
      </c>
      <c r="G4550" t="s">
        <v>1027</v>
      </c>
      <c r="H4550" s="315" t="s">
        <v>29</v>
      </c>
      <c r="I4550" s="315" t="s">
        <v>1026</v>
      </c>
      <c r="J4550" s="315" t="str">
        <f t="shared" si="376"/>
        <v>New VehicleOther Income per NV unit</v>
      </c>
      <c r="K4550" s="315" t="str">
        <f t="shared" si="377"/>
        <v>200New Vehicle Other Income - Toyota</v>
      </c>
      <c r="L4550" s="311">
        <f>+SUMIF('TUNZ Extracted TB'!M:M,$P4550,'TUNZ Extracted TB'!G:G)</f>
        <v>0</v>
      </c>
      <c r="M4550" s="311"/>
      <c r="N4550" s="311">
        <f>+SUMIF('Input Sheet'!$AE:$AE,P4550,'Input Sheet'!$X:$X)</f>
        <v>0</v>
      </c>
      <c r="O4550" s="311"/>
      <c r="P4550" t="str">
        <f t="shared" si="378"/>
        <v>200-4024R</v>
      </c>
      <c r="Q4550" s="315" t="str">
        <f t="shared" si="379"/>
        <v>New Vehicle</v>
      </c>
      <c r="R4550" s="315" t="str">
        <f t="shared" si="380"/>
        <v>New VehicleOther Income per NV unit</v>
      </c>
      <c r="S4550" s="199"/>
      <c r="T4550" s="199"/>
      <c r="U4550" s="199"/>
    </row>
    <row r="4551" spans="1:21" x14ac:dyDescent="0.25">
      <c r="A4551" t="s">
        <v>996</v>
      </c>
      <c r="B4551" t="s">
        <v>997</v>
      </c>
      <c r="C4551" t="s">
        <v>1012</v>
      </c>
      <c r="D4551" t="s">
        <v>1532</v>
      </c>
      <c r="E4551">
        <v>400</v>
      </c>
      <c r="F4551" t="s">
        <v>1024</v>
      </c>
      <c r="G4551" t="s">
        <v>1027</v>
      </c>
      <c r="H4551" s="315" t="s">
        <v>29</v>
      </c>
      <c r="I4551" s="315" t="s">
        <v>1026</v>
      </c>
      <c r="J4551" s="315" t="str">
        <f t="shared" si="376"/>
        <v>New VehicleOther Income per NV unit</v>
      </c>
      <c r="K4551" s="315" t="str">
        <f t="shared" si="377"/>
        <v>400New Vehicle Other Income - Toyota</v>
      </c>
      <c r="L4551" s="311">
        <f>+SUMIF('TUNZ Extracted TB'!M:M,$P4551,'TUNZ Extracted TB'!G:G)</f>
        <v>0</v>
      </c>
      <c r="M4551" s="311"/>
      <c r="N4551" s="311">
        <f>+SUMIF('Input Sheet'!$AE:$AE,P4551,'Input Sheet'!$X:$X)</f>
        <v>0</v>
      </c>
      <c r="O4551" s="311"/>
      <c r="P4551" t="str">
        <f t="shared" si="378"/>
        <v>400-4024R</v>
      </c>
      <c r="Q4551" s="315" t="str">
        <f t="shared" si="379"/>
        <v>New Vehicle</v>
      </c>
      <c r="R4551" s="315" t="str">
        <f t="shared" si="380"/>
        <v>New VehicleOther Income per NV unit</v>
      </c>
      <c r="S4551" s="199"/>
      <c r="T4551" s="199"/>
      <c r="U4551" s="199"/>
    </row>
    <row r="4552" spans="1:21" x14ac:dyDescent="0.25">
      <c r="A4552" t="s">
        <v>996</v>
      </c>
      <c r="B4552" t="s">
        <v>997</v>
      </c>
      <c r="C4552" t="s">
        <v>1013</v>
      </c>
      <c r="D4552" t="s">
        <v>1532</v>
      </c>
      <c r="E4552">
        <v>300</v>
      </c>
      <c r="F4552" t="s">
        <v>1024</v>
      </c>
      <c r="G4552" t="s">
        <v>1027</v>
      </c>
      <c r="H4552" s="315" t="s">
        <v>29</v>
      </c>
      <c r="I4552" s="315" t="s">
        <v>1026</v>
      </c>
      <c r="J4552" s="315" t="str">
        <f t="shared" si="376"/>
        <v>New VehicleOther Income per NV unit</v>
      </c>
      <c r="K4552" s="315" t="str">
        <f t="shared" si="377"/>
        <v>300New Vehicle Other Income - Toyota</v>
      </c>
      <c r="L4552" s="311">
        <f>+SUMIF('TUNZ Extracted TB'!M:M,$P4552,'TUNZ Extracted TB'!G:G)</f>
        <v>0</v>
      </c>
      <c r="M4552" s="311"/>
      <c r="N4552" s="311">
        <f>+SUMIF('Input Sheet'!$AE:$AE,P4552,'Input Sheet'!$X:$X)</f>
        <v>0</v>
      </c>
      <c r="O4552" s="311"/>
      <c r="P4552" t="str">
        <f t="shared" si="378"/>
        <v>300-4024R</v>
      </c>
      <c r="Q4552" s="315" t="str">
        <f t="shared" si="379"/>
        <v>New Vehicle</v>
      </c>
      <c r="R4552" s="315" t="str">
        <f t="shared" si="380"/>
        <v>New VehicleOther Income per NV unit</v>
      </c>
      <c r="S4552" s="199"/>
      <c r="T4552" s="199"/>
      <c r="U4552" s="199"/>
    </row>
    <row r="4553" spans="1:21" x14ac:dyDescent="0.25">
      <c r="A4553" t="s">
        <v>996</v>
      </c>
      <c r="B4553" t="s">
        <v>997</v>
      </c>
      <c r="C4553" t="s">
        <v>997</v>
      </c>
      <c r="D4553" t="s">
        <v>1532</v>
      </c>
      <c r="E4553">
        <v>110</v>
      </c>
      <c r="F4553" t="s">
        <v>1287</v>
      </c>
      <c r="G4553" t="s">
        <v>1288</v>
      </c>
      <c r="H4553" s="315" t="s">
        <v>30</v>
      </c>
      <c r="I4553" s="315" t="s">
        <v>1016</v>
      </c>
      <c r="J4553" s="315" t="str">
        <f t="shared" si="376"/>
        <v>Used VehicleEx NV demonstrators gross profit p.u.</v>
      </c>
      <c r="K4553" s="315" t="str">
        <f t="shared" si="377"/>
        <v>110Ex-Toyota NV demonstrator Cost of Sales</v>
      </c>
      <c r="L4553" s="311">
        <f>+SUMIF('TUNZ Extracted TB'!M:M,$P4553,'TUNZ Extracted TB'!G:G)</f>
        <v>0</v>
      </c>
      <c r="M4553" s="311"/>
      <c r="N4553" s="311">
        <f>+SUMIF('Input Sheet'!$AE:$AE,P4553,'Input Sheet'!$X:$X)</f>
        <v>0</v>
      </c>
      <c r="O4553" s="311"/>
      <c r="P4553" t="str">
        <f t="shared" si="378"/>
        <v>110-4024R</v>
      </c>
      <c r="Q4553" s="315" t="str">
        <f t="shared" si="379"/>
        <v>Used Vehicle</v>
      </c>
      <c r="R4553" s="315" t="str">
        <f t="shared" si="380"/>
        <v>Used VehicleEx NV demonstrators gross profit p.u.</v>
      </c>
      <c r="S4553" s="199"/>
      <c r="T4553" s="199"/>
      <c r="U4553" s="199"/>
    </row>
    <row r="4554" spans="1:21" x14ac:dyDescent="0.25">
      <c r="A4554" t="s">
        <v>996</v>
      </c>
      <c r="B4554" t="s">
        <v>997</v>
      </c>
      <c r="C4554" t="s">
        <v>997</v>
      </c>
      <c r="D4554" t="s">
        <v>1533</v>
      </c>
      <c r="E4554">
        <v>100</v>
      </c>
      <c r="F4554" t="s">
        <v>1024</v>
      </c>
      <c r="G4554" t="s">
        <v>1027</v>
      </c>
      <c r="H4554" s="315" t="s">
        <v>29</v>
      </c>
      <c r="I4554" s="315" t="s">
        <v>1026</v>
      </c>
      <c r="J4554" s="315" t="str">
        <f t="shared" si="376"/>
        <v>New VehicleOther Income per NV unit</v>
      </c>
      <c r="K4554" s="315" t="str">
        <f t="shared" si="377"/>
        <v>100New Vehicle Other Income - Toyota</v>
      </c>
      <c r="L4554" s="311">
        <f>+SUMIF('TUNZ Extracted TB'!M:M,$P4554,'TUNZ Extracted TB'!G:G)</f>
        <v>0</v>
      </c>
      <c r="M4554" s="311"/>
      <c r="N4554" s="311">
        <f>+SUMIF('Input Sheet'!$AE:$AE,P4554,'Input Sheet'!$X:$X)</f>
        <v>0</v>
      </c>
      <c r="O4554" s="311"/>
      <c r="P4554" t="str">
        <f t="shared" si="378"/>
        <v>100-4024RR</v>
      </c>
      <c r="Q4554" s="315" t="str">
        <f t="shared" si="379"/>
        <v>New Vehicle</v>
      </c>
      <c r="R4554" s="315" t="str">
        <f t="shared" si="380"/>
        <v>New VehicleOther Income per NV unit</v>
      </c>
      <c r="S4554" s="199"/>
      <c r="T4554" s="199"/>
      <c r="U4554" s="199"/>
    </row>
    <row r="4555" spans="1:21" x14ac:dyDescent="0.25">
      <c r="A4555" t="s">
        <v>996</v>
      </c>
      <c r="B4555" t="s">
        <v>997</v>
      </c>
      <c r="C4555" t="s">
        <v>1005</v>
      </c>
      <c r="D4555" t="s">
        <v>1532</v>
      </c>
      <c r="E4555">
        <v>210</v>
      </c>
      <c r="F4555" t="s">
        <v>1287</v>
      </c>
      <c r="G4555" t="s">
        <v>1288</v>
      </c>
      <c r="H4555" s="315" t="s">
        <v>30</v>
      </c>
      <c r="I4555" s="315" t="s">
        <v>1016</v>
      </c>
      <c r="J4555" s="315" t="str">
        <f t="shared" si="376"/>
        <v>Used VehicleEx NV demonstrators gross profit p.u.</v>
      </c>
      <c r="K4555" s="315" t="str">
        <f t="shared" si="377"/>
        <v>210Ex-Toyota NV demonstrator Cost of Sales</v>
      </c>
      <c r="L4555" s="311">
        <f>+SUMIF('TUNZ Extracted TB'!M:M,$P4555,'TUNZ Extracted TB'!G:G)</f>
        <v>0</v>
      </c>
      <c r="M4555" s="311"/>
      <c r="N4555" s="311">
        <f>+SUMIF('Input Sheet'!$AE:$AE,P4555,'Input Sheet'!$X:$X)</f>
        <v>0</v>
      </c>
      <c r="O4555" s="311"/>
      <c r="P4555" t="str">
        <f t="shared" si="378"/>
        <v>210-4024R</v>
      </c>
      <c r="Q4555" s="315" t="str">
        <f t="shared" si="379"/>
        <v>Used Vehicle</v>
      </c>
      <c r="R4555" s="315" t="str">
        <f t="shared" si="380"/>
        <v>Used VehicleEx NV demonstrators gross profit p.u.</v>
      </c>
      <c r="S4555" s="199"/>
      <c r="T4555" s="199"/>
      <c r="U4555" s="199"/>
    </row>
    <row r="4556" spans="1:21" x14ac:dyDescent="0.25">
      <c r="A4556" t="s">
        <v>996</v>
      </c>
      <c r="B4556" t="s">
        <v>997</v>
      </c>
      <c r="C4556" t="s">
        <v>1012</v>
      </c>
      <c r="D4556" t="s">
        <v>1532</v>
      </c>
      <c r="E4556">
        <v>410</v>
      </c>
      <c r="F4556" t="s">
        <v>1287</v>
      </c>
      <c r="G4556" t="s">
        <v>1288</v>
      </c>
      <c r="H4556" s="315" t="s">
        <v>30</v>
      </c>
      <c r="I4556" s="315" t="s">
        <v>1016</v>
      </c>
      <c r="J4556" s="315" t="str">
        <f t="shared" si="376"/>
        <v>Used VehicleEx NV demonstrators gross profit p.u.</v>
      </c>
      <c r="K4556" s="315" t="str">
        <f t="shared" si="377"/>
        <v>410Ex-Toyota NV demonstrator Cost of Sales</v>
      </c>
      <c r="L4556" s="311">
        <f>+SUMIF('TUNZ Extracted TB'!M:M,$P4556,'TUNZ Extracted TB'!G:G)</f>
        <v>0</v>
      </c>
      <c r="M4556" s="311"/>
      <c r="N4556" s="311">
        <f>+SUMIF('Input Sheet'!$AE:$AE,P4556,'Input Sheet'!$X:$X)</f>
        <v>0</v>
      </c>
      <c r="O4556" s="311"/>
      <c r="P4556" t="str">
        <f t="shared" si="378"/>
        <v>410-4024R</v>
      </c>
      <c r="Q4556" s="315" t="str">
        <f t="shared" si="379"/>
        <v>Used Vehicle</v>
      </c>
      <c r="R4556" s="315" t="str">
        <f t="shared" si="380"/>
        <v>Used VehicleEx NV demonstrators gross profit p.u.</v>
      </c>
      <c r="S4556" s="199"/>
      <c r="T4556" s="199"/>
      <c r="U4556" s="199"/>
    </row>
    <row r="4557" spans="1:21" x14ac:dyDescent="0.25">
      <c r="A4557" t="s">
        <v>996</v>
      </c>
      <c r="B4557" t="s">
        <v>997</v>
      </c>
      <c r="C4557" t="s">
        <v>1013</v>
      </c>
      <c r="D4557" t="s">
        <v>1532</v>
      </c>
      <c r="E4557">
        <v>310</v>
      </c>
      <c r="F4557" t="s">
        <v>1287</v>
      </c>
      <c r="G4557" t="s">
        <v>1288</v>
      </c>
      <c r="H4557" s="315" t="s">
        <v>30</v>
      </c>
      <c r="I4557" s="315" t="s">
        <v>1016</v>
      </c>
      <c r="J4557" s="315" t="str">
        <f t="shared" si="376"/>
        <v>Used VehicleEx NV demonstrators gross profit p.u.</v>
      </c>
      <c r="K4557" s="315" t="str">
        <f t="shared" si="377"/>
        <v>310Ex-Toyota NV demonstrator Cost of Sales</v>
      </c>
      <c r="L4557" s="311">
        <f>+SUMIF('TUNZ Extracted TB'!M:M,$P4557,'TUNZ Extracted TB'!G:G)</f>
        <v>0</v>
      </c>
      <c r="M4557" s="311"/>
      <c r="N4557" s="311">
        <f>+SUMIF('Input Sheet'!$AE:$AE,P4557,'Input Sheet'!$X:$X)</f>
        <v>0</v>
      </c>
      <c r="O4557" s="311"/>
      <c r="P4557" t="str">
        <f t="shared" si="378"/>
        <v>310-4024R</v>
      </c>
      <c r="Q4557" s="315" t="str">
        <f t="shared" si="379"/>
        <v>Used Vehicle</v>
      </c>
      <c r="R4557" s="315" t="str">
        <f t="shared" si="380"/>
        <v>Used VehicleEx NV demonstrators gross profit p.u.</v>
      </c>
      <c r="S4557" s="199"/>
      <c r="T4557" s="199"/>
      <c r="U4557" s="199"/>
    </row>
    <row r="4558" spans="1:21" x14ac:dyDescent="0.25">
      <c r="A4558" t="s">
        <v>996</v>
      </c>
      <c r="B4558" t="s">
        <v>997</v>
      </c>
      <c r="C4558" t="s">
        <v>1005</v>
      </c>
      <c r="D4558" t="s">
        <v>1533</v>
      </c>
      <c r="E4558">
        <v>200</v>
      </c>
      <c r="F4558" t="s">
        <v>1024</v>
      </c>
      <c r="G4558" t="s">
        <v>1027</v>
      </c>
      <c r="H4558" s="315" t="s">
        <v>29</v>
      </c>
      <c r="I4558" s="315" t="s">
        <v>1026</v>
      </c>
      <c r="J4558" s="315" t="str">
        <f t="shared" si="376"/>
        <v>New VehicleOther Income per NV unit</v>
      </c>
      <c r="K4558" s="315" t="str">
        <f t="shared" si="377"/>
        <v>200New Vehicle Other Income - Toyota</v>
      </c>
      <c r="L4558" s="311">
        <f>+SUMIF('TUNZ Extracted TB'!M:M,$P4558,'TUNZ Extracted TB'!G:G)</f>
        <v>0</v>
      </c>
      <c r="M4558" s="311"/>
      <c r="N4558" s="311">
        <f>+SUMIF('Input Sheet'!$AE:$AE,P4558,'Input Sheet'!$X:$X)</f>
        <v>0</v>
      </c>
      <c r="O4558" s="311"/>
      <c r="P4558" t="str">
        <f t="shared" si="378"/>
        <v>200-4024RR</v>
      </c>
      <c r="Q4558" s="315" t="str">
        <f t="shared" si="379"/>
        <v>New Vehicle</v>
      </c>
      <c r="R4558" s="315" t="str">
        <f t="shared" si="380"/>
        <v>New VehicleOther Income per NV unit</v>
      </c>
      <c r="S4558" s="199"/>
      <c r="T4558" s="199"/>
      <c r="U4558" s="199"/>
    </row>
    <row r="4559" spans="1:21" x14ac:dyDescent="0.25">
      <c r="A4559" t="s">
        <v>996</v>
      </c>
      <c r="B4559" t="s">
        <v>997</v>
      </c>
      <c r="C4559" t="s">
        <v>1012</v>
      </c>
      <c r="D4559" t="s">
        <v>1533</v>
      </c>
      <c r="E4559">
        <v>400</v>
      </c>
      <c r="F4559" t="s">
        <v>1024</v>
      </c>
      <c r="G4559" t="s">
        <v>1027</v>
      </c>
      <c r="H4559" s="315" t="s">
        <v>29</v>
      </c>
      <c r="I4559" s="315" t="s">
        <v>1026</v>
      </c>
      <c r="J4559" s="315" t="str">
        <f t="shared" si="376"/>
        <v>New VehicleOther Income per NV unit</v>
      </c>
      <c r="K4559" s="315" t="str">
        <f t="shared" si="377"/>
        <v>400New Vehicle Other Income - Toyota</v>
      </c>
      <c r="L4559" s="311">
        <f>+SUMIF('TUNZ Extracted TB'!M:M,$P4559,'TUNZ Extracted TB'!G:G)</f>
        <v>0</v>
      </c>
      <c r="M4559" s="311"/>
      <c r="N4559" s="311">
        <f>+SUMIF('Input Sheet'!$AE:$AE,P4559,'Input Sheet'!$X:$X)</f>
        <v>0</v>
      </c>
      <c r="O4559" s="311"/>
      <c r="P4559" t="str">
        <f t="shared" si="378"/>
        <v>400-4024RR</v>
      </c>
      <c r="Q4559" s="315" t="str">
        <f t="shared" si="379"/>
        <v>New Vehicle</v>
      </c>
      <c r="R4559" s="315" t="str">
        <f t="shared" si="380"/>
        <v>New VehicleOther Income per NV unit</v>
      </c>
      <c r="S4559" s="199"/>
      <c r="T4559" s="199"/>
      <c r="U4559" s="199"/>
    </row>
    <row r="4560" spans="1:21" x14ac:dyDescent="0.25">
      <c r="A4560" t="s">
        <v>996</v>
      </c>
      <c r="B4560" t="s">
        <v>997</v>
      </c>
      <c r="C4560" t="s">
        <v>1013</v>
      </c>
      <c r="D4560" t="s">
        <v>1533</v>
      </c>
      <c r="E4560">
        <v>300</v>
      </c>
      <c r="F4560" t="s">
        <v>1024</v>
      </c>
      <c r="G4560" t="s">
        <v>1027</v>
      </c>
      <c r="H4560" s="315" t="s">
        <v>29</v>
      </c>
      <c r="I4560" s="315" t="s">
        <v>1026</v>
      </c>
      <c r="J4560" s="315" t="str">
        <f t="shared" si="376"/>
        <v>New VehicleOther Income per NV unit</v>
      </c>
      <c r="K4560" s="315" t="str">
        <f t="shared" si="377"/>
        <v>300New Vehicle Other Income - Toyota</v>
      </c>
      <c r="L4560" s="311">
        <f>+SUMIF('TUNZ Extracted TB'!M:M,$P4560,'TUNZ Extracted TB'!G:G)</f>
        <v>0</v>
      </c>
      <c r="M4560" s="311"/>
      <c r="N4560" s="311">
        <f>+SUMIF('Input Sheet'!$AE:$AE,P4560,'Input Sheet'!$X:$X)</f>
        <v>0</v>
      </c>
      <c r="O4560" s="311"/>
      <c r="P4560" t="str">
        <f t="shared" si="378"/>
        <v>300-4024RR</v>
      </c>
      <c r="Q4560" s="315" t="str">
        <f t="shared" si="379"/>
        <v>New Vehicle</v>
      </c>
      <c r="R4560" s="315" t="str">
        <f t="shared" si="380"/>
        <v>New VehicleOther Income per NV unit</v>
      </c>
      <c r="S4560" s="199"/>
      <c r="T4560" s="199"/>
      <c r="U4560" s="199"/>
    </row>
    <row r="4561" spans="1:21" x14ac:dyDescent="0.25">
      <c r="A4561" t="s">
        <v>996</v>
      </c>
      <c r="B4561" t="s">
        <v>997</v>
      </c>
      <c r="C4561" t="s">
        <v>997</v>
      </c>
      <c r="D4561" t="s">
        <v>1533</v>
      </c>
      <c r="E4561">
        <v>110</v>
      </c>
      <c r="F4561" t="s">
        <v>1287</v>
      </c>
      <c r="G4561" t="s">
        <v>1288</v>
      </c>
      <c r="H4561" s="315" t="s">
        <v>30</v>
      </c>
      <c r="I4561" s="315" t="s">
        <v>1016</v>
      </c>
      <c r="J4561" s="315" t="str">
        <f t="shared" si="376"/>
        <v>Used VehicleEx NV demonstrators gross profit p.u.</v>
      </c>
      <c r="K4561" s="315" t="str">
        <f t="shared" si="377"/>
        <v>110Ex-Toyota NV demonstrator Cost of Sales</v>
      </c>
      <c r="L4561" s="311">
        <f>+SUMIF('TUNZ Extracted TB'!M:M,$P4561,'TUNZ Extracted TB'!G:G)</f>
        <v>0</v>
      </c>
      <c r="M4561" s="311"/>
      <c r="N4561" s="311">
        <f>+SUMIF('Input Sheet'!$AE:$AE,P4561,'Input Sheet'!$X:$X)</f>
        <v>0</v>
      </c>
      <c r="O4561" s="311"/>
      <c r="P4561" t="str">
        <f t="shared" si="378"/>
        <v>110-4024RR</v>
      </c>
      <c r="Q4561" s="315" t="str">
        <f t="shared" si="379"/>
        <v>Used Vehicle</v>
      </c>
      <c r="R4561" s="315" t="str">
        <f t="shared" si="380"/>
        <v>Used VehicleEx NV demonstrators gross profit p.u.</v>
      </c>
      <c r="S4561" s="199"/>
      <c r="T4561" s="199"/>
      <c r="U4561" s="199"/>
    </row>
    <row r="4562" spans="1:21" x14ac:dyDescent="0.25">
      <c r="A4562" t="s">
        <v>996</v>
      </c>
      <c r="B4562" t="s">
        <v>997</v>
      </c>
      <c r="C4562" t="s">
        <v>997</v>
      </c>
      <c r="D4562" t="s">
        <v>790</v>
      </c>
      <c r="E4562">
        <v>100</v>
      </c>
      <c r="F4562" t="s">
        <v>1024</v>
      </c>
      <c r="G4562" t="s">
        <v>1027</v>
      </c>
      <c r="H4562" s="315" t="s">
        <v>29</v>
      </c>
      <c r="I4562" s="315" t="s">
        <v>1026</v>
      </c>
      <c r="J4562" s="315" t="str">
        <f t="shared" si="376"/>
        <v>New VehicleOther Income per NV unit</v>
      </c>
      <c r="K4562" s="315" t="str">
        <f t="shared" si="377"/>
        <v>100New Vehicle Other Income - Toyota</v>
      </c>
      <c r="L4562" s="311">
        <f>+SUMIF('TUNZ Extracted TB'!M:M,$P4562,'TUNZ Extracted TB'!G:G)</f>
        <v>0</v>
      </c>
      <c r="M4562" s="311"/>
      <c r="N4562" s="311">
        <f>+SUMIF('Input Sheet'!$AE:$AE,P4562,'Input Sheet'!$X:$X)</f>
        <v>0</v>
      </c>
      <c r="O4562" s="311"/>
      <c r="P4562" t="str">
        <f t="shared" si="378"/>
        <v>100-4037R</v>
      </c>
      <c r="Q4562" s="315" t="str">
        <f t="shared" si="379"/>
        <v>New Vehicle</v>
      </c>
      <c r="R4562" s="315" t="str">
        <f t="shared" si="380"/>
        <v>New VehicleOther Income per NV unit</v>
      </c>
      <c r="S4562" s="199"/>
      <c r="T4562" s="199"/>
      <c r="U4562" s="199"/>
    </row>
    <row r="4563" spans="1:21" x14ac:dyDescent="0.25">
      <c r="A4563" t="s">
        <v>996</v>
      </c>
      <c r="B4563" t="s">
        <v>997</v>
      </c>
      <c r="C4563" t="s">
        <v>1005</v>
      </c>
      <c r="D4563" t="s">
        <v>1533</v>
      </c>
      <c r="E4563">
        <v>210</v>
      </c>
      <c r="F4563" t="s">
        <v>1287</v>
      </c>
      <c r="G4563" t="s">
        <v>1288</v>
      </c>
      <c r="H4563" s="315" t="s">
        <v>30</v>
      </c>
      <c r="I4563" s="315" t="s">
        <v>1016</v>
      </c>
      <c r="J4563" s="315" t="str">
        <f t="shared" si="376"/>
        <v>Used VehicleEx NV demonstrators gross profit p.u.</v>
      </c>
      <c r="K4563" s="315" t="str">
        <f t="shared" si="377"/>
        <v>210Ex-Toyota NV demonstrator Cost of Sales</v>
      </c>
      <c r="L4563" s="311">
        <f>+SUMIF('TUNZ Extracted TB'!M:M,$P4563,'TUNZ Extracted TB'!G:G)</f>
        <v>0</v>
      </c>
      <c r="M4563" s="311"/>
      <c r="N4563" s="311">
        <f>+SUMIF('Input Sheet'!$AE:$AE,P4563,'Input Sheet'!$X:$X)</f>
        <v>0</v>
      </c>
      <c r="O4563" s="311"/>
      <c r="P4563" t="str">
        <f t="shared" si="378"/>
        <v>210-4024RR</v>
      </c>
      <c r="Q4563" s="315" t="str">
        <f t="shared" si="379"/>
        <v>Used Vehicle</v>
      </c>
      <c r="R4563" s="315" t="str">
        <f t="shared" si="380"/>
        <v>Used VehicleEx NV demonstrators gross profit p.u.</v>
      </c>
      <c r="S4563" s="199"/>
      <c r="T4563" s="199"/>
      <c r="U4563" s="199"/>
    </row>
    <row r="4564" spans="1:21" x14ac:dyDescent="0.25">
      <c r="A4564" t="s">
        <v>996</v>
      </c>
      <c r="B4564" t="s">
        <v>997</v>
      </c>
      <c r="C4564" t="s">
        <v>1012</v>
      </c>
      <c r="D4564" t="s">
        <v>1533</v>
      </c>
      <c r="E4564">
        <v>410</v>
      </c>
      <c r="F4564" t="s">
        <v>1287</v>
      </c>
      <c r="G4564" t="s">
        <v>1288</v>
      </c>
      <c r="H4564" s="315" t="s">
        <v>30</v>
      </c>
      <c r="I4564" s="315" t="s">
        <v>1016</v>
      </c>
      <c r="J4564" s="315" t="str">
        <f t="shared" si="376"/>
        <v>Used VehicleEx NV demonstrators gross profit p.u.</v>
      </c>
      <c r="K4564" s="315" t="str">
        <f t="shared" si="377"/>
        <v>410Ex-Toyota NV demonstrator Cost of Sales</v>
      </c>
      <c r="L4564" s="311">
        <f>+SUMIF('TUNZ Extracted TB'!M:M,$P4564,'TUNZ Extracted TB'!G:G)</f>
        <v>0</v>
      </c>
      <c r="M4564" s="311"/>
      <c r="N4564" s="311">
        <f>+SUMIF('Input Sheet'!$AE:$AE,P4564,'Input Sheet'!$X:$X)</f>
        <v>0</v>
      </c>
      <c r="O4564" s="311"/>
      <c r="P4564" t="str">
        <f t="shared" si="378"/>
        <v>410-4024RR</v>
      </c>
      <c r="Q4564" s="315" t="str">
        <f t="shared" si="379"/>
        <v>Used Vehicle</v>
      </c>
      <c r="R4564" s="315" t="str">
        <f t="shared" si="380"/>
        <v>Used VehicleEx NV demonstrators gross profit p.u.</v>
      </c>
      <c r="S4564" s="199"/>
      <c r="T4564" s="199"/>
      <c r="U4564" s="199"/>
    </row>
    <row r="4565" spans="1:21" x14ac:dyDescent="0.25">
      <c r="A4565" t="s">
        <v>996</v>
      </c>
      <c r="B4565" t="s">
        <v>997</v>
      </c>
      <c r="C4565" t="s">
        <v>1013</v>
      </c>
      <c r="D4565" t="s">
        <v>1533</v>
      </c>
      <c r="E4565">
        <v>310</v>
      </c>
      <c r="F4565" t="s">
        <v>1287</v>
      </c>
      <c r="G4565" t="s">
        <v>1288</v>
      </c>
      <c r="H4565" s="315" t="s">
        <v>30</v>
      </c>
      <c r="I4565" s="315" t="s">
        <v>1016</v>
      </c>
      <c r="J4565" s="315" t="str">
        <f t="shared" si="376"/>
        <v>Used VehicleEx NV demonstrators gross profit p.u.</v>
      </c>
      <c r="K4565" s="315" t="str">
        <f t="shared" si="377"/>
        <v>310Ex-Toyota NV demonstrator Cost of Sales</v>
      </c>
      <c r="L4565" s="311">
        <f>+SUMIF('TUNZ Extracted TB'!M:M,$P4565,'TUNZ Extracted TB'!G:G)</f>
        <v>0</v>
      </c>
      <c r="M4565" s="311"/>
      <c r="N4565" s="311">
        <f>+SUMIF('Input Sheet'!$AE:$AE,P4565,'Input Sheet'!$X:$X)</f>
        <v>0</v>
      </c>
      <c r="O4565" s="311"/>
      <c r="P4565" t="str">
        <f t="shared" si="378"/>
        <v>310-4024RR</v>
      </c>
      <c r="Q4565" s="315" t="str">
        <f t="shared" si="379"/>
        <v>Used Vehicle</v>
      </c>
      <c r="R4565" s="315" t="str">
        <f t="shared" si="380"/>
        <v>Used VehicleEx NV demonstrators gross profit p.u.</v>
      </c>
      <c r="S4565" s="199"/>
      <c r="T4565" s="199"/>
      <c r="U4565" s="199"/>
    </row>
    <row r="4566" spans="1:21" x14ac:dyDescent="0.25">
      <c r="A4566" t="s">
        <v>996</v>
      </c>
      <c r="B4566" t="s">
        <v>997</v>
      </c>
      <c r="C4566" t="s">
        <v>1005</v>
      </c>
      <c r="D4566" t="s">
        <v>790</v>
      </c>
      <c r="E4566">
        <v>200</v>
      </c>
      <c r="F4566" t="s">
        <v>1024</v>
      </c>
      <c r="G4566" t="s">
        <v>1027</v>
      </c>
      <c r="H4566" s="315" t="s">
        <v>29</v>
      </c>
      <c r="I4566" s="315" t="s">
        <v>1026</v>
      </c>
      <c r="J4566" s="315" t="str">
        <f t="shared" si="376"/>
        <v>New VehicleOther Income per NV unit</v>
      </c>
      <c r="K4566" s="315" t="str">
        <f t="shared" si="377"/>
        <v>200New Vehicle Other Income - Toyota</v>
      </c>
      <c r="L4566" s="311">
        <f>+SUMIF('TUNZ Extracted TB'!M:M,$P4566,'TUNZ Extracted TB'!G:G)</f>
        <v>0</v>
      </c>
      <c r="M4566" s="311"/>
      <c r="N4566" s="311">
        <f>+SUMIF('Input Sheet'!$AE:$AE,P4566,'Input Sheet'!$X:$X)</f>
        <v>0</v>
      </c>
      <c r="O4566" s="311"/>
      <c r="P4566" t="str">
        <f t="shared" si="378"/>
        <v>200-4037R</v>
      </c>
      <c r="Q4566" s="315" t="str">
        <f t="shared" si="379"/>
        <v>New Vehicle</v>
      </c>
      <c r="R4566" s="315" t="str">
        <f t="shared" si="380"/>
        <v>New VehicleOther Income per NV unit</v>
      </c>
      <c r="S4566" s="199"/>
      <c r="T4566" s="199"/>
      <c r="U4566" s="199"/>
    </row>
    <row r="4567" spans="1:21" x14ac:dyDescent="0.25">
      <c r="A4567" t="s">
        <v>996</v>
      </c>
      <c r="B4567" t="s">
        <v>997</v>
      </c>
      <c r="C4567" t="s">
        <v>1012</v>
      </c>
      <c r="D4567" t="s">
        <v>790</v>
      </c>
      <c r="E4567">
        <v>400</v>
      </c>
      <c r="F4567" t="s">
        <v>1024</v>
      </c>
      <c r="G4567" t="s">
        <v>1027</v>
      </c>
      <c r="H4567" s="315" t="s">
        <v>29</v>
      </c>
      <c r="I4567" s="315" t="s">
        <v>1026</v>
      </c>
      <c r="J4567" s="315" t="str">
        <f t="shared" si="376"/>
        <v>New VehicleOther Income per NV unit</v>
      </c>
      <c r="K4567" s="315" t="str">
        <f t="shared" si="377"/>
        <v>400New Vehicle Other Income - Toyota</v>
      </c>
      <c r="L4567" s="311">
        <f>+SUMIF('TUNZ Extracted TB'!M:M,$P4567,'TUNZ Extracted TB'!G:G)</f>
        <v>0</v>
      </c>
      <c r="M4567" s="311"/>
      <c r="N4567" s="311">
        <f>+SUMIF('Input Sheet'!$AE:$AE,P4567,'Input Sheet'!$X:$X)</f>
        <v>0</v>
      </c>
      <c r="O4567" s="311"/>
      <c r="P4567" t="str">
        <f t="shared" si="378"/>
        <v>400-4037R</v>
      </c>
      <c r="Q4567" s="315" t="str">
        <f t="shared" si="379"/>
        <v>New Vehicle</v>
      </c>
      <c r="R4567" s="315" t="str">
        <f t="shared" si="380"/>
        <v>New VehicleOther Income per NV unit</v>
      </c>
      <c r="S4567" s="199"/>
      <c r="T4567" s="199"/>
      <c r="U4567" s="199"/>
    </row>
    <row r="4568" spans="1:21" x14ac:dyDescent="0.25">
      <c r="A4568" t="s">
        <v>996</v>
      </c>
      <c r="B4568" t="s">
        <v>997</v>
      </c>
      <c r="C4568" t="s">
        <v>1013</v>
      </c>
      <c r="D4568" t="s">
        <v>790</v>
      </c>
      <c r="E4568">
        <v>300</v>
      </c>
      <c r="F4568" t="s">
        <v>1024</v>
      </c>
      <c r="G4568" t="s">
        <v>1027</v>
      </c>
      <c r="H4568" s="315" t="s">
        <v>29</v>
      </c>
      <c r="I4568" s="315" t="s">
        <v>1026</v>
      </c>
      <c r="J4568" s="315" t="str">
        <f t="shared" si="376"/>
        <v>New VehicleOther Income per NV unit</v>
      </c>
      <c r="K4568" s="315" t="str">
        <f t="shared" si="377"/>
        <v>300New Vehicle Other Income - Toyota</v>
      </c>
      <c r="L4568" s="311">
        <f>+SUMIF('TUNZ Extracted TB'!M:M,$P4568,'TUNZ Extracted TB'!G:G)</f>
        <v>0</v>
      </c>
      <c r="M4568" s="311"/>
      <c r="N4568" s="311">
        <f>+SUMIF('Input Sheet'!$AE:$AE,P4568,'Input Sheet'!$X:$X)</f>
        <v>0</v>
      </c>
      <c r="O4568" s="311"/>
      <c r="P4568" t="str">
        <f t="shared" si="378"/>
        <v>300-4037R</v>
      </c>
      <c r="Q4568" s="315" t="str">
        <f t="shared" si="379"/>
        <v>New Vehicle</v>
      </c>
      <c r="R4568" s="315" t="str">
        <f t="shared" si="380"/>
        <v>New VehicleOther Income per NV unit</v>
      </c>
      <c r="S4568" s="199"/>
      <c r="T4568" s="199"/>
      <c r="U4568" s="199"/>
    </row>
    <row r="4569" spans="1:21" x14ac:dyDescent="0.25">
      <c r="A4569" t="s">
        <v>996</v>
      </c>
      <c r="B4569" t="s">
        <v>997</v>
      </c>
      <c r="C4569" t="s">
        <v>997</v>
      </c>
      <c r="D4569" t="s">
        <v>790</v>
      </c>
      <c r="E4569">
        <v>110</v>
      </c>
      <c r="F4569" t="s">
        <v>1287</v>
      </c>
      <c r="G4569" t="s">
        <v>1288</v>
      </c>
      <c r="H4569" s="315" t="s">
        <v>30</v>
      </c>
      <c r="I4569" s="315" t="s">
        <v>1016</v>
      </c>
      <c r="J4569" s="315" t="str">
        <f t="shared" si="376"/>
        <v>Used VehicleEx NV demonstrators gross profit p.u.</v>
      </c>
      <c r="K4569" s="315" t="str">
        <f t="shared" si="377"/>
        <v>110Ex-Toyota NV demonstrator Cost of Sales</v>
      </c>
      <c r="L4569" s="311">
        <f>+SUMIF('TUNZ Extracted TB'!M:M,$P4569,'TUNZ Extracted TB'!G:G)</f>
        <v>0</v>
      </c>
      <c r="M4569" s="311"/>
      <c r="N4569" s="311">
        <f>+SUMIF('Input Sheet'!$AE:$AE,P4569,'Input Sheet'!$X:$X)</f>
        <v>0</v>
      </c>
      <c r="O4569" s="311"/>
      <c r="P4569" t="str">
        <f t="shared" si="378"/>
        <v>110-4037R</v>
      </c>
      <c r="Q4569" s="315" t="str">
        <f t="shared" si="379"/>
        <v>Used Vehicle</v>
      </c>
      <c r="R4569" s="315" t="str">
        <f t="shared" si="380"/>
        <v>Used VehicleEx NV demonstrators gross profit p.u.</v>
      </c>
      <c r="S4569" s="199"/>
      <c r="T4569" s="199"/>
      <c r="U4569" s="199"/>
    </row>
    <row r="4570" spans="1:21" x14ac:dyDescent="0.25">
      <c r="A4570" t="s">
        <v>996</v>
      </c>
      <c r="B4570" t="s">
        <v>997</v>
      </c>
      <c r="C4570" t="s">
        <v>997</v>
      </c>
      <c r="D4570" t="s">
        <v>1534</v>
      </c>
      <c r="E4570">
        <v>100</v>
      </c>
      <c r="F4570" t="s">
        <v>1024</v>
      </c>
      <c r="G4570" t="s">
        <v>1027</v>
      </c>
      <c r="H4570" s="315" t="s">
        <v>29</v>
      </c>
      <c r="I4570" s="315" t="s">
        <v>1026</v>
      </c>
      <c r="J4570" s="315" t="str">
        <f t="shared" si="376"/>
        <v>New VehicleOther Income per NV unit</v>
      </c>
      <c r="K4570" s="315" t="str">
        <f t="shared" si="377"/>
        <v>100New Vehicle Other Income - Toyota</v>
      </c>
      <c r="L4570" s="311">
        <f>+SUMIF('TUNZ Extracted TB'!M:M,$P4570,'TUNZ Extracted TB'!G:G)</f>
        <v>0</v>
      </c>
      <c r="M4570" s="311"/>
      <c r="N4570" s="311">
        <f>+SUMIF('Input Sheet'!$AE:$AE,P4570,'Input Sheet'!$X:$X)</f>
        <v>0</v>
      </c>
      <c r="O4570" s="311"/>
      <c r="P4570" t="str">
        <f t="shared" si="378"/>
        <v>100-4037RR</v>
      </c>
      <c r="Q4570" s="315" t="str">
        <f t="shared" si="379"/>
        <v>New Vehicle</v>
      </c>
      <c r="R4570" s="315" t="str">
        <f t="shared" si="380"/>
        <v>New VehicleOther Income per NV unit</v>
      </c>
      <c r="S4570" s="199"/>
      <c r="T4570" s="199"/>
      <c r="U4570" s="199"/>
    </row>
    <row r="4571" spans="1:21" x14ac:dyDescent="0.25">
      <c r="A4571" t="s">
        <v>996</v>
      </c>
      <c r="B4571" t="s">
        <v>997</v>
      </c>
      <c r="C4571" t="s">
        <v>1005</v>
      </c>
      <c r="D4571" t="s">
        <v>790</v>
      </c>
      <c r="E4571">
        <v>210</v>
      </c>
      <c r="F4571" t="s">
        <v>1287</v>
      </c>
      <c r="G4571" t="s">
        <v>1288</v>
      </c>
      <c r="H4571" s="315" t="s">
        <v>30</v>
      </c>
      <c r="I4571" s="315" t="s">
        <v>1016</v>
      </c>
      <c r="J4571" s="315" t="str">
        <f t="shared" si="376"/>
        <v>Used VehicleEx NV demonstrators gross profit p.u.</v>
      </c>
      <c r="K4571" s="315" t="str">
        <f t="shared" si="377"/>
        <v>210Ex-Toyota NV demonstrator Cost of Sales</v>
      </c>
      <c r="L4571" s="311">
        <f>+SUMIF('TUNZ Extracted TB'!M:M,$P4571,'TUNZ Extracted TB'!G:G)</f>
        <v>0</v>
      </c>
      <c r="M4571" s="311"/>
      <c r="N4571" s="311">
        <f>+SUMIF('Input Sheet'!$AE:$AE,P4571,'Input Sheet'!$X:$X)</f>
        <v>0</v>
      </c>
      <c r="O4571" s="311"/>
      <c r="P4571" t="str">
        <f t="shared" si="378"/>
        <v>210-4037R</v>
      </c>
      <c r="Q4571" s="315" t="str">
        <f t="shared" si="379"/>
        <v>Used Vehicle</v>
      </c>
      <c r="R4571" s="315" t="str">
        <f t="shared" si="380"/>
        <v>Used VehicleEx NV demonstrators gross profit p.u.</v>
      </c>
      <c r="S4571" s="199"/>
      <c r="T4571" s="199"/>
      <c r="U4571" s="199"/>
    </row>
    <row r="4572" spans="1:21" x14ac:dyDescent="0.25">
      <c r="A4572" t="s">
        <v>996</v>
      </c>
      <c r="B4572" t="s">
        <v>997</v>
      </c>
      <c r="C4572" t="s">
        <v>1012</v>
      </c>
      <c r="D4572" t="s">
        <v>790</v>
      </c>
      <c r="E4572">
        <v>410</v>
      </c>
      <c r="F4572" t="s">
        <v>1287</v>
      </c>
      <c r="G4572" t="s">
        <v>1288</v>
      </c>
      <c r="H4572" s="315" t="s">
        <v>30</v>
      </c>
      <c r="I4572" s="315" t="s">
        <v>1016</v>
      </c>
      <c r="J4572" s="315" t="str">
        <f t="shared" si="376"/>
        <v>Used VehicleEx NV demonstrators gross profit p.u.</v>
      </c>
      <c r="K4572" s="315" t="str">
        <f t="shared" si="377"/>
        <v>410Ex-Toyota NV demonstrator Cost of Sales</v>
      </c>
      <c r="L4572" s="311">
        <f>+SUMIF('TUNZ Extracted TB'!M:M,$P4572,'TUNZ Extracted TB'!G:G)</f>
        <v>0</v>
      </c>
      <c r="M4572" s="311"/>
      <c r="N4572" s="311">
        <f>+SUMIF('Input Sheet'!$AE:$AE,P4572,'Input Sheet'!$X:$X)</f>
        <v>0</v>
      </c>
      <c r="O4572" s="311"/>
      <c r="P4572" t="str">
        <f t="shared" si="378"/>
        <v>410-4037R</v>
      </c>
      <c r="Q4572" s="315" t="str">
        <f t="shared" si="379"/>
        <v>Used Vehicle</v>
      </c>
      <c r="R4572" s="315" t="str">
        <f t="shared" si="380"/>
        <v>Used VehicleEx NV demonstrators gross profit p.u.</v>
      </c>
      <c r="S4572" s="199"/>
      <c r="T4572" s="199"/>
      <c r="U4572" s="199"/>
    </row>
    <row r="4573" spans="1:21" x14ac:dyDescent="0.25">
      <c r="A4573" t="s">
        <v>996</v>
      </c>
      <c r="B4573" t="s">
        <v>997</v>
      </c>
      <c r="C4573" t="s">
        <v>1013</v>
      </c>
      <c r="D4573" t="s">
        <v>790</v>
      </c>
      <c r="E4573">
        <v>310</v>
      </c>
      <c r="F4573" t="s">
        <v>1287</v>
      </c>
      <c r="G4573" t="s">
        <v>1288</v>
      </c>
      <c r="H4573" s="315" t="s">
        <v>30</v>
      </c>
      <c r="I4573" s="315" t="s">
        <v>1016</v>
      </c>
      <c r="J4573" s="315" t="str">
        <f t="shared" si="376"/>
        <v>Used VehicleEx NV demonstrators gross profit p.u.</v>
      </c>
      <c r="K4573" s="315" t="str">
        <f t="shared" si="377"/>
        <v>310Ex-Toyota NV demonstrator Cost of Sales</v>
      </c>
      <c r="L4573" s="311">
        <f>+SUMIF('TUNZ Extracted TB'!M:M,$P4573,'TUNZ Extracted TB'!G:G)</f>
        <v>0</v>
      </c>
      <c r="M4573" s="311"/>
      <c r="N4573" s="311">
        <f>+SUMIF('Input Sheet'!$AE:$AE,P4573,'Input Sheet'!$X:$X)</f>
        <v>0</v>
      </c>
      <c r="O4573" s="311"/>
      <c r="P4573" t="str">
        <f t="shared" si="378"/>
        <v>310-4037R</v>
      </c>
      <c r="Q4573" s="315" t="str">
        <f t="shared" si="379"/>
        <v>Used Vehicle</v>
      </c>
      <c r="R4573" s="315" t="str">
        <f t="shared" si="380"/>
        <v>Used VehicleEx NV demonstrators gross profit p.u.</v>
      </c>
      <c r="S4573" s="199"/>
      <c r="T4573" s="199"/>
      <c r="U4573" s="199"/>
    </row>
    <row r="4574" spans="1:21" x14ac:dyDescent="0.25">
      <c r="A4574" t="s">
        <v>996</v>
      </c>
      <c r="B4574" t="s">
        <v>997</v>
      </c>
      <c r="C4574" t="s">
        <v>1005</v>
      </c>
      <c r="D4574" t="s">
        <v>1534</v>
      </c>
      <c r="E4574">
        <v>200</v>
      </c>
      <c r="F4574" t="s">
        <v>1024</v>
      </c>
      <c r="G4574" t="s">
        <v>1027</v>
      </c>
      <c r="H4574" s="315" t="s">
        <v>29</v>
      </c>
      <c r="I4574" s="315" t="s">
        <v>1026</v>
      </c>
      <c r="J4574" s="315" t="str">
        <f t="shared" si="376"/>
        <v>New VehicleOther Income per NV unit</v>
      </c>
      <c r="K4574" s="315" t="str">
        <f t="shared" si="377"/>
        <v>200New Vehicle Other Income - Toyota</v>
      </c>
      <c r="L4574" s="311">
        <f>+SUMIF('TUNZ Extracted TB'!M:M,$P4574,'TUNZ Extracted TB'!G:G)</f>
        <v>0</v>
      </c>
      <c r="M4574" s="311"/>
      <c r="N4574" s="311">
        <f>+SUMIF('Input Sheet'!$AE:$AE,P4574,'Input Sheet'!$X:$X)</f>
        <v>0</v>
      </c>
      <c r="O4574" s="311"/>
      <c r="P4574" t="str">
        <f t="shared" si="378"/>
        <v>200-4037RR</v>
      </c>
      <c r="Q4574" s="315" t="str">
        <f t="shared" si="379"/>
        <v>New Vehicle</v>
      </c>
      <c r="R4574" s="315" t="str">
        <f t="shared" si="380"/>
        <v>New VehicleOther Income per NV unit</v>
      </c>
      <c r="S4574" s="199"/>
      <c r="T4574" s="199"/>
      <c r="U4574" s="199"/>
    </row>
    <row r="4575" spans="1:21" x14ac:dyDescent="0.25">
      <c r="A4575" t="s">
        <v>996</v>
      </c>
      <c r="B4575" t="s">
        <v>997</v>
      </c>
      <c r="C4575" t="s">
        <v>1012</v>
      </c>
      <c r="D4575" t="s">
        <v>1534</v>
      </c>
      <c r="E4575">
        <v>400</v>
      </c>
      <c r="F4575" t="s">
        <v>1024</v>
      </c>
      <c r="G4575" t="s">
        <v>1027</v>
      </c>
      <c r="H4575" s="315" t="s">
        <v>29</v>
      </c>
      <c r="I4575" s="315" t="s">
        <v>1026</v>
      </c>
      <c r="J4575" s="315" t="str">
        <f t="shared" si="376"/>
        <v>New VehicleOther Income per NV unit</v>
      </c>
      <c r="K4575" s="315" t="str">
        <f t="shared" si="377"/>
        <v>400New Vehicle Other Income - Toyota</v>
      </c>
      <c r="L4575" s="311">
        <f>+SUMIF('TUNZ Extracted TB'!M:M,$P4575,'TUNZ Extracted TB'!G:G)</f>
        <v>0</v>
      </c>
      <c r="M4575" s="311"/>
      <c r="N4575" s="311">
        <f>+SUMIF('Input Sheet'!$AE:$AE,P4575,'Input Sheet'!$X:$X)</f>
        <v>0</v>
      </c>
      <c r="O4575" s="311"/>
      <c r="P4575" t="str">
        <f t="shared" si="378"/>
        <v>400-4037RR</v>
      </c>
      <c r="Q4575" s="315" t="str">
        <f t="shared" si="379"/>
        <v>New Vehicle</v>
      </c>
      <c r="R4575" s="315" t="str">
        <f t="shared" si="380"/>
        <v>New VehicleOther Income per NV unit</v>
      </c>
      <c r="S4575" s="199"/>
      <c r="T4575" s="199"/>
      <c r="U4575" s="199"/>
    </row>
    <row r="4576" spans="1:21" x14ac:dyDescent="0.25">
      <c r="A4576" t="s">
        <v>996</v>
      </c>
      <c r="B4576" t="s">
        <v>997</v>
      </c>
      <c r="C4576" t="s">
        <v>1013</v>
      </c>
      <c r="D4576" t="s">
        <v>1534</v>
      </c>
      <c r="E4576">
        <v>300</v>
      </c>
      <c r="F4576" t="s">
        <v>1024</v>
      </c>
      <c r="G4576" t="s">
        <v>1027</v>
      </c>
      <c r="H4576" s="315" t="s">
        <v>29</v>
      </c>
      <c r="I4576" s="315" t="s">
        <v>1026</v>
      </c>
      <c r="J4576" s="315" t="str">
        <f t="shared" si="376"/>
        <v>New VehicleOther Income per NV unit</v>
      </c>
      <c r="K4576" s="315" t="str">
        <f t="shared" si="377"/>
        <v>300New Vehicle Other Income - Toyota</v>
      </c>
      <c r="L4576" s="311">
        <f>+SUMIF('TUNZ Extracted TB'!M:M,$P4576,'TUNZ Extracted TB'!G:G)</f>
        <v>0</v>
      </c>
      <c r="M4576" s="311"/>
      <c r="N4576" s="311">
        <f>+SUMIF('Input Sheet'!$AE:$AE,P4576,'Input Sheet'!$X:$X)</f>
        <v>0</v>
      </c>
      <c r="O4576" s="311"/>
      <c r="P4576" t="str">
        <f t="shared" si="378"/>
        <v>300-4037RR</v>
      </c>
      <c r="Q4576" s="315" t="str">
        <f t="shared" si="379"/>
        <v>New Vehicle</v>
      </c>
      <c r="R4576" s="315" t="str">
        <f t="shared" si="380"/>
        <v>New VehicleOther Income per NV unit</v>
      </c>
      <c r="S4576" s="199"/>
      <c r="T4576" s="199"/>
      <c r="U4576" s="199"/>
    </row>
    <row r="4577" spans="1:21" x14ac:dyDescent="0.25">
      <c r="A4577" t="s">
        <v>996</v>
      </c>
      <c r="B4577" t="s">
        <v>997</v>
      </c>
      <c r="C4577" t="s">
        <v>997</v>
      </c>
      <c r="D4577" t="s">
        <v>1534</v>
      </c>
      <c r="E4577">
        <v>110</v>
      </c>
      <c r="F4577" t="s">
        <v>1287</v>
      </c>
      <c r="G4577" t="s">
        <v>1288</v>
      </c>
      <c r="H4577" s="315" t="s">
        <v>30</v>
      </c>
      <c r="I4577" s="315" t="s">
        <v>1016</v>
      </c>
      <c r="J4577" s="315" t="str">
        <f t="shared" si="376"/>
        <v>Used VehicleEx NV demonstrators gross profit p.u.</v>
      </c>
      <c r="K4577" s="315" t="str">
        <f t="shared" si="377"/>
        <v>110Ex-Toyota NV demonstrator Cost of Sales</v>
      </c>
      <c r="L4577" s="311">
        <f>+SUMIF('TUNZ Extracted TB'!M:M,$P4577,'TUNZ Extracted TB'!G:G)</f>
        <v>0</v>
      </c>
      <c r="M4577" s="311"/>
      <c r="N4577" s="311">
        <f>+SUMIF('Input Sheet'!$AE:$AE,P4577,'Input Sheet'!$X:$X)</f>
        <v>0</v>
      </c>
      <c r="O4577" s="311"/>
      <c r="P4577" t="str">
        <f t="shared" si="378"/>
        <v>110-4037RR</v>
      </c>
      <c r="Q4577" s="315" t="str">
        <f t="shared" si="379"/>
        <v>Used Vehicle</v>
      </c>
      <c r="R4577" s="315" t="str">
        <f t="shared" si="380"/>
        <v>Used VehicleEx NV demonstrators gross profit p.u.</v>
      </c>
      <c r="S4577" s="199"/>
      <c r="T4577" s="199"/>
      <c r="U4577" s="199"/>
    </row>
    <row r="4578" spans="1:21" x14ac:dyDescent="0.25">
      <c r="A4578" t="s">
        <v>996</v>
      </c>
      <c r="B4578" t="s">
        <v>997</v>
      </c>
      <c r="C4578" t="s">
        <v>997</v>
      </c>
      <c r="D4578" t="s">
        <v>1535</v>
      </c>
      <c r="E4578">
        <v>112</v>
      </c>
      <c r="F4578" t="s">
        <v>1536</v>
      </c>
      <c r="G4578" t="s">
        <v>1537</v>
      </c>
      <c r="H4578" s="315" t="s">
        <v>1011</v>
      </c>
      <c r="I4578" s="315" t="s">
        <v>1004</v>
      </c>
      <c r="J4578" s="315" t="str">
        <f t="shared" si="376"/>
        <v>LEX New VehicleRetail Gross p.u.</v>
      </c>
      <c r="K4578" s="315" t="str">
        <f t="shared" si="377"/>
        <v>112New Vehicle Cost of Sales - Lexus</v>
      </c>
      <c r="L4578" s="311">
        <f>+SUMIF('TUNZ Extracted TB'!M:M,$P4578,'TUNZ Extracted TB'!G:G)</f>
        <v>0</v>
      </c>
      <c r="M4578" s="311"/>
      <c r="N4578" s="311">
        <f>+SUMIF('Input Sheet'!$AE:$AE,P4578,'Input Sheet'!$X:$X)</f>
        <v>0</v>
      </c>
      <c r="O4578" s="311"/>
      <c r="P4578" t="str">
        <f t="shared" si="378"/>
        <v>112-4038R</v>
      </c>
      <c r="Q4578" s="315" t="str">
        <f t="shared" si="379"/>
        <v>LEX New Vehicle</v>
      </c>
      <c r="R4578" s="315" t="str">
        <f t="shared" si="380"/>
        <v>LEX New VehicleRetail Gross p.u.</v>
      </c>
      <c r="S4578" s="199"/>
      <c r="T4578" s="199"/>
      <c r="U4578" s="199"/>
    </row>
    <row r="4579" spans="1:21" x14ac:dyDescent="0.25">
      <c r="A4579" t="s">
        <v>996</v>
      </c>
      <c r="B4579" t="s">
        <v>997</v>
      </c>
      <c r="C4579" t="s">
        <v>1005</v>
      </c>
      <c r="D4579" t="s">
        <v>1534</v>
      </c>
      <c r="E4579">
        <v>210</v>
      </c>
      <c r="F4579" t="s">
        <v>1287</v>
      </c>
      <c r="G4579" t="s">
        <v>1288</v>
      </c>
      <c r="H4579" s="315" t="s">
        <v>30</v>
      </c>
      <c r="I4579" s="315" t="s">
        <v>1016</v>
      </c>
      <c r="J4579" s="315" t="str">
        <f t="shared" si="376"/>
        <v>Used VehicleEx NV demonstrators gross profit p.u.</v>
      </c>
      <c r="K4579" s="315" t="str">
        <f t="shared" si="377"/>
        <v>210Ex-Toyota NV demonstrator Cost of Sales</v>
      </c>
      <c r="L4579" s="311">
        <f>+SUMIF('TUNZ Extracted TB'!M:M,$P4579,'TUNZ Extracted TB'!G:G)</f>
        <v>0</v>
      </c>
      <c r="M4579" s="311"/>
      <c r="N4579" s="311">
        <f>+SUMIF('Input Sheet'!$AE:$AE,P4579,'Input Sheet'!$X:$X)</f>
        <v>0</v>
      </c>
      <c r="O4579" s="311"/>
      <c r="P4579" t="str">
        <f t="shared" si="378"/>
        <v>210-4037RR</v>
      </c>
      <c r="Q4579" s="315" t="str">
        <f t="shared" si="379"/>
        <v>Used Vehicle</v>
      </c>
      <c r="R4579" s="315" t="str">
        <f t="shared" si="380"/>
        <v>Used VehicleEx NV demonstrators gross profit p.u.</v>
      </c>
      <c r="S4579" s="199"/>
      <c r="T4579" s="199"/>
      <c r="U4579" s="199"/>
    </row>
    <row r="4580" spans="1:21" x14ac:dyDescent="0.25">
      <c r="A4580" t="s">
        <v>996</v>
      </c>
      <c r="B4580" t="s">
        <v>997</v>
      </c>
      <c r="C4580" t="s">
        <v>1012</v>
      </c>
      <c r="D4580" t="s">
        <v>1534</v>
      </c>
      <c r="E4580">
        <v>410</v>
      </c>
      <c r="F4580" t="s">
        <v>1287</v>
      </c>
      <c r="G4580" t="s">
        <v>1288</v>
      </c>
      <c r="H4580" s="315" t="s">
        <v>30</v>
      </c>
      <c r="I4580" s="315" t="s">
        <v>1016</v>
      </c>
      <c r="J4580" s="315" t="str">
        <f t="shared" si="376"/>
        <v>Used VehicleEx NV demonstrators gross profit p.u.</v>
      </c>
      <c r="K4580" s="315" t="str">
        <f t="shared" si="377"/>
        <v>410Ex-Toyota NV demonstrator Cost of Sales</v>
      </c>
      <c r="L4580" s="311">
        <f>+SUMIF('TUNZ Extracted TB'!M:M,$P4580,'TUNZ Extracted TB'!G:G)</f>
        <v>0</v>
      </c>
      <c r="M4580" s="311"/>
      <c r="N4580" s="311">
        <f>+SUMIF('Input Sheet'!$AE:$AE,P4580,'Input Sheet'!$X:$X)</f>
        <v>0</v>
      </c>
      <c r="O4580" s="311"/>
      <c r="P4580" t="str">
        <f t="shared" si="378"/>
        <v>410-4037RR</v>
      </c>
      <c r="Q4580" s="315" t="str">
        <f t="shared" si="379"/>
        <v>Used Vehicle</v>
      </c>
      <c r="R4580" s="315" t="str">
        <f t="shared" si="380"/>
        <v>Used VehicleEx NV demonstrators gross profit p.u.</v>
      </c>
      <c r="S4580" s="199"/>
      <c r="T4580" s="199"/>
      <c r="U4580" s="199"/>
    </row>
    <row r="4581" spans="1:21" x14ac:dyDescent="0.25">
      <c r="A4581" t="s">
        <v>996</v>
      </c>
      <c r="B4581" t="s">
        <v>997</v>
      </c>
      <c r="C4581" t="s">
        <v>1013</v>
      </c>
      <c r="D4581" t="s">
        <v>1534</v>
      </c>
      <c r="E4581">
        <v>310</v>
      </c>
      <c r="F4581" t="s">
        <v>1287</v>
      </c>
      <c r="G4581" t="s">
        <v>1288</v>
      </c>
      <c r="H4581" s="315" t="s">
        <v>30</v>
      </c>
      <c r="I4581" s="315" t="s">
        <v>1016</v>
      </c>
      <c r="J4581" s="315" t="str">
        <f t="shared" si="376"/>
        <v>Used VehicleEx NV demonstrators gross profit p.u.</v>
      </c>
      <c r="K4581" s="315" t="str">
        <f t="shared" si="377"/>
        <v>310Ex-Toyota NV demonstrator Cost of Sales</v>
      </c>
      <c r="L4581" s="311">
        <f>+SUMIF('TUNZ Extracted TB'!M:M,$P4581,'TUNZ Extracted TB'!G:G)</f>
        <v>0</v>
      </c>
      <c r="M4581" s="311"/>
      <c r="N4581" s="311">
        <f>+SUMIF('Input Sheet'!$AE:$AE,P4581,'Input Sheet'!$X:$X)</f>
        <v>0</v>
      </c>
      <c r="O4581" s="311"/>
      <c r="P4581" t="str">
        <f t="shared" si="378"/>
        <v>310-4037RR</v>
      </c>
      <c r="Q4581" s="315" t="str">
        <f t="shared" si="379"/>
        <v>Used Vehicle</v>
      </c>
      <c r="R4581" s="315" t="str">
        <f t="shared" si="380"/>
        <v>Used VehicleEx NV demonstrators gross profit p.u.</v>
      </c>
      <c r="S4581" s="199"/>
      <c r="T4581" s="199"/>
      <c r="U4581" s="199"/>
    </row>
    <row r="4582" spans="1:21" x14ac:dyDescent="0.25">
      <c r="A4582" t="s">
        <v>996</v>
      </c>
      <c r="B4582" t="s">
        <v>997</v>
      </c>
      <c r="C4582" t="s">
        <v>997</v>
      </c>
      <c r="D4582" t="s">
        <v>1538</v>
      </c>
      <c r="E4582">
        <v>112</v>
      </c>
      <c r="F4582" t="s">
        <v>1536</v>
      </c>
      <c r="G4582" t="s">
        <v>1537</v>
      </c>
      <c r="H4582" s="315" t="s">
        <v>1011</v>
      </c>
      <c r="I4582" s="315" t="s">
        <v>1004</v>
      </c>
      <c r="J4582" s="315" t="str">
        <f t="shared" si="376"/>
        <v>LEX New VehicleRetail Gross p.u.</v>
      </c>
      <c r="K4582" s="315" t="str">
        <f t="shared" si="377"/>
        <v>112New Vehicle Cost of Sales - Lexus</v>
      </c>
      <c r="L4582" s="311">
        <f>+SUMIF('TUNZ Extracted TB'!M:M,$P4582,'TUNZ Extracted TB'!G:G)</f>
        <v>0</v>
      </c>
      <c r="M4582" s="311"/>
      <c r="N4582" s="311">
        <f>+SUMIF('Input Sheet'!$AE:$AE,P4582,'Input Sheet'!$X:$X)</f>
        <v>0</v>
      </c>
      <c r="O4582" s="311"/>
      <c r="P4582" t="str">
        <f t="shared" si="378"/>
        <v>112-4038RR</v>
      </c>
      <c r="Q4582" s="315" t="str">
        <f t="shared" si="379"/>
        <v>LEX New Vehicle</v>
      </c>
      <c r="R4582" s="315" t="str">
        <f t="shared" si="380"/>
        <v>LEX New VehicleRetail Gross p.u.</v>
      </c>
      <c r="S4582" s="199"/>
      <c r="T4582" s="199"/>
      <c r="U4582" s="199"/>
    </row>
    <row r="4583" spans="1:21" x14ac:dyDescent="0.25">
      <c r="A4583" t="s">
        <v>996</v>
      </c>
      <c r="B4583" t="s">
        <v>997</v>
      </c>
      <c r="C4583" t="s">
        <v>997</v>
      </c>
      <c r="D4583" t="s">
        <v>792</v>
      </c>
      <c r="E4583">
        <v>112</v>
      </c>
      <c r="F4583" t="s">
        <v>1536</v>
      </c>
      <c r="G4583" t="s">
        <v>1537</v>
      </c>
      <c r="H4583" s="315" t="s">
        <v>1011</v>
      </c>
      <c r="I4583" s="315" t="s">
        <v>1004</v>
      </c>
      <c r="J4583" s="315" t="str">
        <f t="shared" si="376"/>
        <v>LEX New VehicleRetail Gross p.u.</v>
      </c>
      <c r="K4583" s="315" t="str">
        <f t="shared" si="377"/>
        <v>112New Vehicle Cost of Sales - Lexus</v>
      </c>
      <c r="L4583" s="311">
        <f>+SUMIF('TUNZ Extracted TB'!M:M,$P4583,'TUNZ Extracted TB'!G:G)</f>
        <v>0</v>
      </c>
      <c r="M4583" s="311"/>
      <c r="N4583" s="311">
        <f>+SUMIF('Input Sheet'!$AE:$AE,P4583,'Input Sheet'!$X:$X)</f>
        <v>0</v>
      </c>
      <c r="O4583" s="311"/>
      <c r="P4583" t="str">
        <f t="shared" si="378"/>
        <v>112-4039R</v>
      </c>
      <c r="Q4583" s="315" t="str">
        <f t="shared" si="379"/>
        <v>LEX New Vehicle</v>
      </c>
      <c r="R4583" s="315" t="str">
        <f t="shared" si="380"/>
        <v>LEX New VehicleRetail Gross p.u.</v>
      </c>
      <c r="S4583" s="199"/>
      <c r="T4583" s="199"/>
      <c r="U4583" s="199"/>
    </row>
    <row r="4584" spans="1:21" x14ac:dyDescent="0.25">
      <c r="A4584" t="s">
        <v>996</v>
      </c>
      <c r="B4584" t="s">
        <v>997</v>
      </c>
      <c r="C4584" t="s">
        <v>997</v>
      </c>
      <c r="D4584" t="s">
        <v>1539</v>
      </c>
      <c r="E4584">
        <v>112</v>
      </c>
      <c r="F4584" t="s">
        <v>1536</v>
      </c>
      <c r="G4584" t="s">
        <v>1537</v>
      </c>
      <c r="H4584" s="315" t="s">
        <v>1011</v>
      </c>
      <c r="I4584" s="315" t="s">
        <v>1004</v>
      </c>
      <c r="J4584" s="315" t="str">
        <f t="shared" si="376"/>
        <v>LEX New VehicleRetail Gross p.u.</v>
      </c>
      <c r="K4584" s="315" t="str">
        <f t="shared" si="377"/>
        <v>112New Vehicle Cost of Sales - Lexus</v>
      </c>
      <c r="L4584" s="311">
        <f>+SUMIF('TUNZ Extracted TB'!M:M,$P4584,'TUNZ Extracted TB'!G:G)</f>
        <v>0</v>
      </c>
      <c r="M4584" s="311"/>
      <c r="N4584" s="311">
        <f>+SUMIF('Input Sheet'!$AE:$AE,P4584,'Input Sheet'!$X:$X)</f>
        <v>0</v>
      </c>
      <c r="O4584" s="311"/>
      <c r="P4584" t="str">
        <f t="shared" si="378"/>
        <v>112-4039RR</v>
      </c>
      <c r="Q4584" s="315" t="str">
        <f t="shared" si="379"/>
        <v>LEX New Vehicle</v>
      </c>
      <c r="R4584" s="315" t="str">
        <f t="shared" si="380"/>
        <v>LEX New VehicleRetail Gross p.u.</v>
      </c>
      <c r="S4584" s="199"/>
      <c r="T4584" s="199"/>
      <c r="U4584" s="199"/>
    </row>
    <row r="4585" spans="1:21" x14ac:dyDescent="0.25">
      <c r="A4585" t="s">
        <v>996</v>
      </c>
      <c r="B4585" t="s">
        <v>997</v>
      </c>
      <c r="C4585" t="s">
        <v>997</v>
      </c>
      <c r="D4585" t="s">
        <v>794</v>
      </c>
      <c r="E4585">
        <v>112</v>
      </c>
      <c r="F4585" t="s">
        <v>1536</v>
      </c>
      <c r="G4585" t="s">
        <v>1537</v>
      </c>
      <c r="H4585" s="315" t="s">
        <v>1011</v>
      </c>
      <c r="I4585" s="315" t="s">
        <v>1004</v>
      </c>
      <c r="J4585" s="315" t="str">
        <f t="shared" si="376"/>
        <v>LEX New VehicleRetail Gross p.u.</v>
      </c>
      <c r="K4585" s="315" t="str">
        <f t="shared" si="377"/>
        <v>112New Vehicle Cost of Sales - Lexus</v>
      </c>
      <c r="L4585" s="311">
        <f>+SUMIF('TUNZ Extracted TB'!M:M,$P4585,'TUNZ Extracted TB'!G:G)</f>
        <v>67030.070000000007</v>
      </c>
      <c r="M4585" s="311"/>
      <c r="N4585" s="311">
        <f>+SUMIF('Input Sheet'!$AE:$AE,P4585,'Input Sheet'!$X:$X)</f>
        <v>0</v>
      </c>
      <c r="O4585" s="311"/>
      <c r="P4585" t="str">
        <f t="shared" si="378"/>
        <v>112-4040R</v>
      </c>
      <c r="Q4585" s="315" t="str">
        <f t="shared" si="379"/>
        <v>LEX New Vehicle</v>
      </c>
      <c r="R4585" s="315" t="str">
        <f t="shared" si="380"/>
        <v>LEX New VehicleRetail Gross p.u.</v>
      </c>
      <c r="S4585" s="199"/>
      <c r="T4585" s="199"/>
      <c r="U4585" s="199"/>
    </row>
    <row r="4586" spans="1:21" x14ac:dyDescent="0.25">
      <c r="A4586" t="s">
        <v>996</v>
      </c>
      <c r="B4586" t="s">
        <v>997</v>
      </c>
      <c r="C4586" t="s">
        <v>997</v>
      </c>
      <c r="D4586" t="s">
        <v>796</v>
      </c>
      <c r="E4586">
        <v>112</v>
      </c>
      <c r="F4586" t="s">
        <v>1536</v>
      </c>
      <c r="G4586" t="s">
        <v>1537</v>
      </c>
      <c r="H4586" s="315" t="s">
        <v>1011</v>
      </c>
      <c r="I4586" s="315" t="s">
        <v>1004</v>
      </c>
      <c r="J4586" s="315" t="str">
        <f t="shared" si="376"/>
        <v>LEX New VehicleRetail Gross p.u.</v>
      </c>
      <c r="K4586" s="315" t="str">
        <f t="shared" si="377"/>
        <v>112New Vehicle Cost of Sales - Lexus</v>
      </c>
      <c r="L4586" s="311">
        <f>+SUMIF('TUNZ Extracted TB'!M:M,$P4586,'TUNZ Extracted TB'!G:G)</f>
        <v>-7321.74</v>
      </c>
      <c r="M4586" s="311"/>
      <c r="N4586" s="311">
        <f>+SUMIF('Input Sheet'!$AE:$AE,P4586,'Input Sheet'!$X:$X)</f>
        <v>0</v>
      </c>
      <c r="O4586" s="311"/>
      <c r="P4586" t="str">
        <f t="shared" si="378"/>
        <v>112-4040RR</v>
      </c>
      <c r="Q4586" s="315" t="str">
        <f t="shared" si="379"/>
        <v>LEX New Vehicle</v>
      </c>
      <c r="R4586" s="315" t="str">
        <f t="shared" si="380"/>
        <v>LEX New VehicleRetail Gross p.u.</v>
      </c>
      <c r="S4586" s="199"/>
      <c r="T4586" s="199"/>
      <c r="U4586" s="199"/>
    </row>
    <row r="4587" spans="1:21" x14ac:dyDescent="0.25">
      <c r="A4587" t="s">
        <v>996</v>
      </c>
      <c r="B4587" t="s">
        <v>997</v>
      </c>
      <c r="C4587" t="s">
        <v>997</v>
      </c>
      <c r="D4587" t="s">
        <v>798</v>
      </c>
      <c r="E4587">
        <v>112</v>
      </c>
      <c r="F4587" t="s">
        <v>1536</v>
      </c>
      <c r="G4587" t="s">
        <v>1537</v>
      </c>
      <c r="H4587" s="315" t="s">
        <v>1011</v>
      </c>
      <c r="I4587" s="315" t="s">
        <v>1004</v>
      </c>
      <c r="J4587" s="315" t="str">
        <f t="shared" si="376"/>
        <v>LEX New VehicleRetail Gross p.u.</v>
      </c>
      <c r="K4587" s="315" t="str">
        <f t="shared" si="377"/>
        <v>112New Vehicle Cost of Sales - Lexus</v>
      </c>
      <c r="L4587" s="311">
        <f>+SUMIF('TUNZ Extracted TB'!M:M,$P4587,'TUNZ Extracted TB'!G:G)</f>
        <v>0</v>
      </c>
      <c r="M4587" s="311"/>
      <c r="N4587" s="311">
        <f>+SUMIF('Input Sheet'!$AE:$AE,P4587,'Input Sheet'!$X:$X)</f>
        <v>0</v>
      </c>
      <c r="O4587" s="311"/>
      <c r="P4587" t="str">
        <f t="shared" si="378"/>
        <v>112-4041R</v>
      </c>
      <c r="Q4587" s="315" t="str">
        <f t="shared" si="379"/>
        <v>LEX New Vehicle</v>
      </c>
      <c r="R4587" s="315" t="str">
        <f t="shared" si="380"/>
        <v>LEX New VehicleRetail Gross p.u.</v>
      </c>
      <c r="S4587" s="199"/>
      <c r="T4587" s="199"/>
      <c r="U4587" s="199"/>
    </row>
    <row r="4588" spans="1:21" x14ac:dyDescent="0.25">
      <c r="A4588" t="s">
        <v>996</v>
      </c>
      <c r="B4588" t="s">
        <v>997</v>
      </c>
      <c r="C4588" t="s">
        <v>997</v>
      </c>
      <c r="D4588" t="s">
        <v>1540</v>
      </c>
      <c r="E4588">
        <v>112</v>
      </c>
      <c r="F4588" t="s">
        <v>1536</v>
      </c>
      <c r="G4588" t="s">
        <v>1537</v>
      </c>
      <c r="H4588" s="315" t="s">
        <v>1011</v>
      </c>
      <c r="I4588" s="315" t="s">
        <v>1004</v>
      </c>
      <c r="J4588" s="315" t="str">
        <f t="shared" si="376"/>
        <v>LEX New VehicleRetail Gross p.u.</v>
      </c>
      <c r="K4588" s="315" t="str">
        <f t="shared" si="377"/>
        <v>112New Vehicle Cost of Sales - Lexus</v>
      </c>
      <c r="L4588" s="311">
        <f>+SUMIF('TUNZ Extracted TB'!M:M,$P4588,'TUNZ Extracted TB'!G:G)</f>
        <v>0</v>
      </c>
      <c r="M4588" s="311"/>
      <c r="N4588" s="311">
        <f>+SUMIF('Input Sheet'!$AE:$AE,P4588,'Input Sheet'!$X:$X)</f>
        <v>0</v>
      </c>
      <c r="O4588" s="311"/>
      <c r="P4588" t="str">
        <f t="shared" si="378"/>
        <v>112-4041RR</v>
      </c>
      <c r="Q4588" s="315" t="str">
        <f t="shared" si="379"/>
        <v>LEX New Vehicle</v>
      </c>
      <c r="R4588" s="315" t="str">
        <f t="shared" si="380"/>
        <v>LEX New VehicleRetail Gross p.u.</v>
      </c>
      <c r="S4588" s="199"/>
      <c r="T4588" s="199"/>
      <c r="U4588" s="199"/>
    </row>
    <row r="4589" spans="1:21" x14ac:dyDescent="0.25">
      <c r="A4589" t="s">
        <v>996</v>
      </c>
      <c r="B4589" t="s">
        <v>997</v>
      </c>
      <c r="C4589" t="s">
        <v>997</v>
      </c>
      <c r="D4589" t="s">
        <v>800</v>
      </c>
      <c r="E4589">
        <v>112</v>
      </c>
      <c r="F4589" t="s">
        <v>1536</v>
      </c>
      <c r="G4589" t="s">
        <v>1537</v>
      </c>
      <c r="H4589" s="315" t="s">
        <v>1011</v>
      </c>
      <c r="I4589" s="315" t="s">
        <v>1004</v>
      </c>
      <c r="J4589" s="315" t="str">
        <f t="shared" si="376"/>
        <v>LEX New VehicleRetail Gross p.u.</v>
      </c>
      <c r="K4589" s="315" t="str">
        <f t="shared" si="377"/>
        <v>112New Vehicle Cost of Sales - Lexus</v>
      </c>
      <c r="L4589" s="311">
        <f>+SUMIF('TUNZ Extracted TB'!M:M,$P4589,'TUNZ Extracted TB'!G:G)</f>
        <v>100</v>
      </c>
      <c r="M4589" s="311"/>
      <c r="N4589" s="311">
        <f>+SUMIF('Input Sheet'!$AE:$AE,P4589,'Input Sheet'!$X:$X)</f>
        <v>0</v>
      </c>
      <c r="O4589" s="311"/>
      <c r="P4589" t="str">
        <f t="shared" si="378"/>
        <v>112-4042R</v>
      </c>
      <c r="Q4589" s="315" t="str">
        <f t="shared" si="379"/>
        <v>LEX New Vehicle</v>
      </c>
      <c r="R4589" s="315" t="str">
        <f t="shared" si="380"/>
        <v>LEX New VehicleRetail Gross p.u.</v>
      </c>
      <c r="S4589" s="199"/>
      <c r="T4589" s="199"/>
      <c r="U4589" s="199"/>
    </row>
    <row r="4590" spans="1:21" x14ac:dyDescent="0.25">
      <c r="A4590" t="s">
        <v>996</v>
      </c>
      <c r="B4590" t="s">
        <v>997</v>
      </c>
      <c r="C4590" t="s">
        <v>997</v>
      </c>
      <c r="D4590" t="s">
        <v>802</v>
      </c>
      <c r="E4590">
        <v>112</v>
      </c>
      <c r="F4590" t="s">
        <v>1536</v>
      </c>
      <c r="G4590" t="s">
        <v>1537</v>
      </c>
      <c r="H4590" s="315" t="s">
        <v>1011</v>
      </c>
      <c r="I4590" s="315" t="s">
        <v>1004</v>
      </c>
      <c r="J4590" s="315" t="str">
        <f t="shared" si="376"/>
        <v>LEX New VehicleRetail Gross p.u.</v>
      </c>
      <c r="K4590" s="315" t="str">
        <f t="shared" si="377"/>
        <v>112New Vehicle Cost of Sales - Lexus</v>
      </c>
      <c r="L4590" s="311">
        <f>+SUMIF('TUNZ Extracted TB'!M:M,$P4590,'TUNZ Extracted TB'!G:G)</f>
        <v>0</v>
      </c>
      <c r="M4590" s="311"/>
      <c r="N4590" s="311">
        <f>+SUMIF('Input Sheet'!$AE:$AE,P4590,'Input Sheet'!$X:$X)</f>
        <v>0</v>
      </c>
      <c r="O4590" s="311"/>
      <c r="P4590" t="str">
        <f t="shared" si="378"/>
        <v>112-4042RR</v>
      </c>
      <c r="Q4590" s="315" t="str">
        <f t="shared" si="379"/>
        <v>LEX New Vehicle</v>
      </c>
      <c r="R4590" s="315" t="str">
        <f t="shared" si="380"/>
        <v>LEX New VehicleRetail Gross p.u.</v>
      </c>
      <c r="S4590" s="199"/>
      <c r="T4590" s="199"/>
      <c r="U4590" s="199"/>
    </row>
    <row r="4591" spans="1:21" x14ac:dyDescent="0.25">
      <c r="A4591" t="s">
        <v>996</v>
      </c>
      <c r="B4591" t="s">
        <v>997</v>
      </c>
      <c r="C4591" t="s">
        <v>997</v>
      </c>
      <c r="D4591" t="s">
        <v>1541</v>
      </c>
      <c r="E4591">
        <v>112</v>
      </c>
      <c r="F4591" t="s">
        <v>1536</v>
      </c>
      <c r="G4591" t="s">
        <v>1537</v>
      </c>
      <c r="H4591" s="315" t="s">
        <v>1011</v>
      </c>
      <c r="I4591" s="315" t="s">
        <v>1004</v>
      </c>
      <c r="J4591" s="315" t="str">
        <f t="shared" si="376"/>
        <v>LEX New VehicleRetail Gross p.u.</v>
      </c>
      <c r="K4591" s="315" t="str">
        <f t="shared" si="377"/>
        <v>112New Vehicle Cost of Sales - Lexus</v>
      </c>
      <c r="L4591" s="311">
        <f>+SUMIF('TUNZ Extracted TB'!M:M,$P4591,'TUNZ Extracted TB'!G:G)</f>
        <v>0</v>
      </c>
      <c r="M4591" s="311"/>
      <c r="N4591" s="311">
        <f>+SUMIF('Input Sheet'!$AE:$AE,P4591,'Input Sheet'!$X:$X)</f>
        <v>0</v>
      </c>
      <c r="O4591" s="311"/>
      <c r="P4591" t="str">
        <f t="shared" si="378"/>
        <v>112-4043R</v>
      </c>
      <c r="Q4591" s="315" t="str">
        <f t="shared" si="379"/>
        <v>LEX New Vehicle</v>
      </c>
      <c r="R4591" s="315" t="str">
        <f t="shared" si="380"/>
        <v>LEX New VehicleRetail Gross p.u.</v>
      </c>
      <c r="S4591" s="199"/>
      <c r="T4591" s="199"/>
      <c r="U4591" s="199"/>
    </row>
    <row r="4592" spans="1:21" x14ac:dyDescent="0.25">
      <c r="A4592" t="s">
        <v>996</v>
      </c>
      <c r="B4592" t="s">
        <v>997</v>
      </c>
      <c r="C4592" t="s">
        <v>997</v>
      </c>
      <c r="D4592" t="s">
        <v>1542</v>
      </c>
      <c r="E4592">
        <v>112</v>
      </c>
      <c r="F4592" t="s">
        <v>1536</v>
      </c>
      <c r="G4592" t="s">
        <v>1537</v>
      </c>
      <c r="H4592" s="315" t="s">
        <v>1011</v>
      </c>
      <c r="I4592" s="315" t="s">
        <v>1004</v>
      </c>
      <c r="J4592" s="315" t="str">
        <f t="shared" si="376"/>
        <v>LEX New VehicleRetail Gross p.u.</v>
      </c>
      <c r="K4592" s="315" t="str">
        <f t="shared" si="377"/>
        <v>112New Vehicle Cost of Sales - Lexus</v>
      </c>
      <c r="L4592" s="311">
        <f>+SUMIF('TUNZ Extracted TB'!M:M,$P4592,'TUNZ Extracted TB'!G:G)</f>
        <v>0</v>
      </c>
      <c r="M4592" s="311"/>
      <c r="N4592" s="311">
        <f>+SUMIF('Input Sheet'!$AE:$AE,P4592,'Input Sheet'!$X:$X)</f>
        <v>0</v>
      </c>
      <c r="O4592" s="311"/>
      <c r="P4592" t="str">
        <f t="shared" si="378"/>
        <v>112-4043RR</v>
      </c>
      <c r="Q4592" s="315" t="str">
        <f t="shared" si="379"/>
        <v>LEX New Vehicle</v>
      </c>
      <c r="R4592" s="315" t="str">
        <f t="shared" si="380"/>
        <v>LEX New VehicleRetail Gross p.u.</v>
      </c>
      <c r="S4592" s="199"/>
      <c r="T4592" s="199"/>
      <c r="U4592" s="199"/>
    </row>
    <row r="4593" spans="1:21" x14ac:dyDescent="0.25">
      <c r="A4593" t="s">
        <v>996</v>
      </c>
      <c r="B4593" t="s">
        <v>997</v>
      </c>
      <c r="C4593" t="s">
        <v>997</v>
      </c>
      <c r="D4593" t="s">
        <v>1543</v>
      </c>
      <c r="E4593">
        <v>112</v>
      </c>
      <c r="F4593" t="s">
        <v>1536</v>
      </c>
      <c r="G4593" t="s">
        <v>1537</v>
      </c>
      <c r="H4593" s="315" t="s">
        <v>1011</v>
      </c>
      <c r="I4593" s="315" t="s">
        <v>1004</v>
      </c>
      <c r="J4593" s="315" t="str">
        <f t="shared" si="376"/>
        <v>LEX New VehicleRetail Gross p.u.</v>
      </c>
      <c r="K4593" s="315" t="str">
        <f t="shared" si="377"/>
        <v>112New Vehicle Cost of Sales - Lexus</v>
      </c>
      <c r="L4593" s="311">
        <f>+SUMIF('TUNZ Extracted TB'!M:M,$P4593,'TUNZ Extracted TB'!G:G)</f>
        <v>0</v>
      </c>
      <c r="M4593" s="311"/>
      <c r="N4593" s="311">
        <f>+SUMIF('Input Sheet'!$AE:$AE,P4593,'Input Sheet'!$X:$X)</f>
        <v>0</v>
      </c>
      <c r="O4593" s="311"/>
      <c r="P4593" t="str">
        <f t="shared" si="378"/>
        <v>112-4044R</v>
      </c>
      <c r="Q4593" s="315" t="str">
        <f t="shared" si="379"/>
        <v>LEX New Vehicle</v>
      </c>
      <c r="R4593" s="315" t="str">
        <f t="shared" si="380"/>
        <v>LEX New VehicleRetail Gross p.u.</v>
      </c>
      <c r="S4593" s="199"/>
      <c r="T4593" s="199"/>
      <c r="U4593" s="199"/>
    </row>
    <row r="4594" spans="1:21" x14ac:dyDescent="0.25">
      <c r="A4594" t="s">
        <v>996</v>
      </c>
      <c r="B4594" t="s">
        <v>997</v>
      </c>
      <c r="C4594" t="s">
        <v>997</v>
      </c>
      <c r="D4594" t="s">
        <v>1544</v>
      </c>
      <c r="E4594">
        <v>112</v>
      </c>
      <c r="F4594" t="s">
        <v>1536</v>
      </c>
      <c r="G4594" t="s">
        <v>1537</v>
      </c>
      <c r="H4594" s="315" t="s">
        <v>1011</v>
      </c>
      <c r="I4594" s="315" t="s">
        <v>1004</v>
      </c>
      <c r="J4594" s="315" t="str">
        <f t="shared" si="376"/>
        <v>LEX New VehicleRetail Gross p.u.</v>
      </c>
      <c r="K4594" s="315" t="str">
        <f t="shared" si="377"/>
        <v>112New Vehicle Cost of Sales - Lexus</v>
      </c>
      <c r="L4594" s="311">
        <f>+SUMIF('TUNZ Extracted TB'!M:M,$P4594,'TUNZ Extracted TB'!G:G)</f>
        <v>0</v>
      </c>
      <c r="M4594" s="311"/>
      <c r="N4594" s="311">
        <f>+SUMIF('Input Sheet'!$AE:$AE,P4594,'Input Sheet'!$X:$X)</f>
        <v>0</v>
      </c>
      <c r="O4594" s="311"/>
      <c r="P4594" t="str">
        <f t="shared" si="378"/>
        <v>112-4044RR</v>
      </c>
      <c r="Q4594" s="315" t="str">
        <f t="shared" si="379"/>
        <v>LEX New Vehicle</v>
      </c>
      <c r="R4594" s="315" t="str">
        <f t="shared" si="380"/>
        <v>LEX New VehicleRetail Gross p.u.</v>
      </c>
      <c r="S4594" s="199"/>
      <c r="T4594" s="199"/>
      <c r="U4594" s="199"/>
    </row>
    <row r="4595" spans="1:21" x14ac:dyDescent="0.25">
      <c r="A4595" t="s">
        <v>996</v>
      </c>
      <c r="B4595" t="s">
        <v>997</v>
      </c>
      <c r="C4595" t="s">
        <v>997</v>
      </c>
      <c r="D4595" t="s">
        <v>1545</v>
      </c>
      <c r="E4595">
        <v>112</v>
      </c>
      <c r="F4595" t="s">
        <v>1536</v>
      </c>
      <c r="G4595" t="s">
        <v>1537</v>
      </c>
      <c r="H4595" s="315" t="s">
        <v>1011</v>
      </c>
      <c r="I4595" s="315" t="s">
        <v>1004</v>
      </c>
      <c r="J4595" s="315" t="str">
        <f t="shared" si="376"/>
        <v>LEX New VehicleRetail Gross p.u.</v>
      </c>
      <c r="K4595" s="315" t="str">
        <f t="shared" si="377"/>
        <v>112New Vehicle Cost of Sales - Lexus</v>
      </c>
      <c r="L4595" s="311">
        <f>+SUMIF('TUNZ Extracted TB'!M:M,$P4595,'TUNZ Extracted TB'!G:G)</f>
        <v>0</v>
      </c>
      <c r="M4595" s="311"/>
      <c r="N4595" s="311">
        <f>+SUMIF('Input Sheet'!$AE:$AE,P4595,'Input Sheet'!$X:$X)</f>
        <v>0</v>
      </c>
      <c r="O4595" s="311"/>
      <c r="P4595" t="str">
        <f t="shared" si="378"/>
        <v>112-4045R</v>
      </c>
      <c r="Q4595" s="315" t="str">
        <f t="shared" si="379"/>
        <v>LEX New Vehicle</v>
      </c>
      <c r="R4595" s="315" t="str">
        <f t="shared" si="380"/>
        <v>LEX New VehicleRetail Gross p.u.</v>
      </c>
      <c r="S4595" s="199"/>
      <c r="T4595" s="199"/>
      <c r="U4595" s="199"/>
    </row>
    <row r="4596" spans="1:21" x14ac:dyDescent="0.25">
      <c r="A4596" t="s">
        <v>996</v>
      </c>
      <c r="B4596" t="s">
        <v>997</v>
      </c>
      <c r="C4596" t="s">
        <v>997</v>
      </c>
      <c r="D4596" t="s">
        <v>1546</v>
      </c>
      <c r="E4596">
        <v>112</v>
      </c>
      <c r="F4596" t="s">
        <v>1536</v>
      </c>
      <c r="G4596" t="s">
        <v>1537</v>
      </c>
      <c r="H4596" s="315" t="s">
        <v>1011</v>
      </c>
      <c r="I4596" s="315" t="s">
        <v>1004</v>
      </c>
      <c r="J4596" s="315" t="str">
        <f t="shared" si="376"/>
        <v>LEX New VehicleRetail Gross p.u.</v>
      </c>
      <c r="K4596" s="315" t="str">
        <f t="shared" si="377"/>
        <v>112New Vehicle Cost of Sales - Lexus</v>
      </c>
      <c r="L4596" s="311">
        <f>+SUMIF('TUNZ Extracted TB'!M:M,$P4596,'TUNZ Extracted TB'!G:G)</f>
        <v>0</v>
      </c>
      <c r="M4596" s="311"/>
      <c r="N4596" s="311">
        <f>+SUMIF('Input Sheet'!$AE:$AE,P4596,'Input Sheet'!$X:$X)</f>
        <v>0</v>
      </c>
      <c r="O4596" s="311"/>
      <c r="P4596" t="str">
        <f t="shared" si="378"/>
        <v>112-4045RR</v>
      </c>
      <c r="Q4596" s="315" t="str">
        <f t="shared" si="379"/>
        <v>LEX New Vehicle</v>
      </c>
      <c r="R4596" s="315" t="str">
        <f t="shared" si="380"/>
        <v>LEX New VehicleRetail Gross p.u.</v>
      </c>
      <c r="S4596" s="199"/>
      <c r="T4596" s="199"/>
      <c r="U4596" s="199"/>
    </row>
    <row r="4597" spans="1:21" x14ac:dyDescent="0.25">
      <c r="A4597" t="s">
        <v>996</v>
      </c>
      <c r="B4597" t="s">
        <v>997</v>
      </c>
      <c r="C4597" t="s">
        <v>997</v>
      </c>
      <c r="D4597" t="s">
        <v>804</v>
      </c>
      <c r="E4597">
        <v>112</v>
      </c>
      <c r="F4597" t="s">
        <v>1536</v>
      </c>
      <c r="G4597" t="s">
        <v>1537</v>
      </c>
      <c r="H4597" s="315" t="s">
        <v>1011</v>
      </c>
      <c r="I4597" s="315" t="s">
        <v>1004</v>
      </c>
      <c r="J4597" s="315" t="str">
        <f t="shared" si="376"/>
        <v>LEX New VehicleRetail Gross p.u.</v>
      </c>
      <c r="K4597" s="315" t="str">
        <f t="shared" si="377"/>
        <v>112New Vehicle Cost of Sales - Lexus</v>
      </c>
      <c r="L4597" s="311">
        <f>+SUMIF('TUNZ Extracted TB'!M:M,$P4597,'TUNZ Extracted TB'!G:G)</f>
        <v>0</v>
      </c>
      <c r="M4597" s="311"/>
      <c r="N4597" s="311">
        <f>+SUMIF('Input Sheet'!$AE:$AE,P4597,'Input Sheet'!$X:$X)</f>
        <v>0</v>
      </c>
      <c r="O4597" s="311"/>
      <c r="P4597" t="str">
        <f t="shared" si="378"/>
        <v>112-4046R</v>
      </c>
      <c r="Q4597" s="315" t="str">
        <f t="shared" si="379"/>
        <v>LEX New Vehicle</v>
      </c>
      <c r="R4597" s="315" t="str">
        <f t="shared" si="380"/>
        <v>LEX New VehicleRetail Gross p.u.</v>
      </c>
      <c r="S4597" s="199"/>
      <c r="T4597" s="199"/>
      <c r="U4597" s="199"/>
    </row>
    <row r="4598" spans="1:21" x14ac:dyDescent="0.25">
      <c r="A4598" t="s">
        <v>996</v>
      </c>
      <c r="B4598" t="s">
        <v>997</v>
      </c>
      <c r="C4598" t="s">
        <v>997</v>
      </c>
      <c r="D4598" t="s">
        <v>1547</v>
      </c>
      <c r="E4598">
        <v>112</v>
      </c>
      <c r="F4598" t="s">
        <v>1536</v>
      </c>
      <c r="G4598" t="s">
        <v>1537</v>
      </c>
      <c r="H4598" s="315" t="s">
        <v>1011</v>
      </c>
      <c r="I4598" s="315" t="s">
        <v>1004</v>
      </c>
      <c r="J4598" s="315" t="str">
        <f t="shared" si="376"/>
        <v>LEX New VehicleRetail Gross p.u.</v>
      </c>
      <c r="K4598" s="315" t="str">
        <f t="shared" si="377"/>
        <v>112New Vehicle Cost of Sales - Lexus</v>
      </c>
      <c r="L4598" s="311">
        <f>+SUMIF('TUNZ Extracted TB'!M:M,$P4598,'TUNZ Extracted TB'!G:G)</f>
        <v>0</v>
      </c>
      <c r="M4598" s="311"/>
      <c r="N4598" s="311">
        <f>+SUMIF('Input Sheet'!$AE:$AE,P4598,'Input Sheet'!$X:$X)</f>
        <v>0</v>
      </c>
      <c r="O4598" s="311"/>
      <c r="P4598" t="str">
        <f t="shared" si="378"/>
        <v>112-4046RR</v>
      </c>
      <c r="Q4598" s="315" t="str">
        <f t="shared" si="379"/>
        <v>LEX New Vehicle</v>
      </c>
      <c r="R4598" s="315" t="str">
        <f t="shared" si="380"/>
        <v>LEX New VehicleRetail Gross p.u.</v>
      </c>
      <c r="S4598" s="199"/>
      <c r="T4598" s="199"/>
      <c r="U4598" s="199"/>
    </row>
    <row r="4599" spans="1:21" x14ac:dyDescent="0.25">
      <c r="A4599" t="s">
        <v>996</v>
      </c>
      <c r="B4599" t="s">
        <v>997</v>
      </c>
      <c r="C4599" t="s">
        <v>997</v>
      </c>
      <c r="D4599" t="s">
        <v>1548</v>
      </c>
      <c r="E4599">
        <v>112</v>
      </c>
      <c r="F4599" t="s">
        <v>1536</v>
      </c>
      <c r="G4599" t="s">
        <v>1537</v>
      </c>
      <c r="H4599" s="315" t="s">
        <v>1011</v>
      </c>
      <c r="I4599" s="315" t="s">
        <v>1004</v>
      </c>
      <c r="J4599" s="315" t="str">
        <f t="shared" si="376"/>
        <v>LEX New VehicleRetail Gross p.u.</v>
      </c>
      <c r="K4599" s="315" t="str">
        <f t="shared" si="377"/>
        <v>112New Vehicle Cost of Sales - Lexus</v>
      </c>
      <c r="L4599" s="311">
        <f>+SUMIF('TUNZ Extracted TB'!M:M,$P4599,'TUNZ Extracted TB'!G:G)</f>
        <v>0</v>
      </c>
      <c r="M4599" s="311"/>
      <c r="N4599" s="311">
        <f>+SUMIF('Input Sheet'!$AE:$AE,P4599,'Input Sheet'!$X:$X)</f>
        <v>0</v>
      </c>
      <c r="O4599" s="311"/>
      <c r="P4599" t="str">
        <f t="shared" si="378"/>
        <v>112-4047R</v>
      </c>
      <c r="Q4599" s="315" t="str">
        <f t="shared" si="379"/>
        <v>LEX New Vehicle</v>
      </c>
      <c r="R4599" s="315" t="str">
        <f t="shared" si="380"/>
        <v>LEX New VehicleRetail Gross p.u.</v>
      </c>
      <c r="S4599" s="199"/>
      <c r="T4599" s="199"/>
      <c r="U4599" s="199"/>
    </row>
    <row r="4600" spans="1:21" x14ac:dyDescent="0.25">
      <c r="A4600" t="s">
        <v>996</v>
      </c>
      <c r="B4600" t="s">
        <v>997</v>
      </c>
      <c r="C4600" t="s">
        <v>997</v>
      </c>
      <c r="D4600" t="s">
        <v>1549</v>
      </c>
      <c r="E4600">
        <v>112</v>
      </c>
      <c r="F4600" t="s">
        <v>1536</v>
      </c>
      <c r="G4600" t="s">
        <v>1537</v>
      </c>
      <c r="H4600" s="315" t="s">
        <v>1011</v>
      </c>
      <c r="I4600" s="315" t="s">
        <v>1004</v>
      </c>
      <c r="J4600" s="315" t="str">
        <f t="shared" si="376"/>
        <v>LEX New VehicleRetail Gross p.u.</v>
      </c>
      <c r="K4600" s="315" t="str">
        <f t="shared" si="377"/>
        <v>112New Vehicle Cost of Sales - Lexus</v>
      </c>
      <c r="L4600" s="311">
        <f>+SUMIF('TUNZ Extracted TB'!M:M,$P4600,'TUNZ Extracted TB'!G:G)</f>
        <v>0</v>
      </c>
      <c r="M4600" s="311"/>
      <c r="N4600" s="311">
        <f>+SUMIF('Input Sheet'!$AE:$AE,P4600,'Input Sheet'!$X:$X)</f>
        <v>0</v>
      </c>
      <c r="O4600" s="311"/>
      <c r="P4600" t="str">
        <f t="shared" si="378"/>
        <v>112-4047RR</v>
      </c>
      <c r="Q4600" s="315" t="str">
        <f t="shared" si="379"/>
        <v>LEX New Vehicle</v>
      </c>
      <c r="R4600" s="315" t="str">
        <f t="shared" si="380"/>
        <v>LEX New VehicleRetail Gross p.u.</v>
      </c>
      <c r="S4600" s="199"/>
      <c r="T4600" s="199"/>
      <c r="U4600" s="199"/>
    </row>
    <row r="4601" spans="1:21" x14ac:dyDescent="0.25">
      <c r="A4601" t="s">
        <v>996</v>
      </c>
      <c r="B4601" t="s">
        <v>997</v>
      </c>
      <c r="C4601" t="s">
        <v>997</v>
      </c>
      <c r="D4601" t="s">
        <v>806</v>
      </c>
      <c r="E4601">
        <v>112</v>
      </c>
      <c r="F4601" t="s">
        <v>1536</v>
      </c>
      <c r="G4601" t="s">
        <v>1537</v>
      </c>
      <c r="H4601" s="315" t="s">
        <v>1011</v>
      </c>
      <c r="I4601" s="315" t="s">
        <v>1004</v>
      </c>
      <c r="J4601" s="315" t="str">
        <f t="shared" si="376"/>
        <v>LEX New VehicleRetail Gross p.u.</v>
      </c>
      <c r="K4601" s="315" t="str">
        <f t="shared" si="377"/>
        <v>112New Vehicle Cost of Sales - Lexus</v>
      </c>
      <c r="L4601" s="311">
        <f>+SUMIF('TUNZ Extracted TB'!M:M,$P4601,'TUNZ Extracted TB'!G:G)</f>
        <v>0</v>
      </c>
      <c r="M4601" s="311"/>
      <c r="N4601" s="311">
        <f>+SUMIF('Input Sheet'!$AE:$AE,P4601,'Input Sheet'!$X:$X)</f>
        <v>0</v>
      </c>
      <c r="O4601" s="311"/>
      <c r="P4601" t="str">
        <f t="shared" si="378"/>
        <v>112-4048R</v>
      </c>
      <c r="Q4601" s="315" t="str">
        <f t="shared" si="379"/>
        <v>LEX New Vehicle</v>
      </c>
      <c r="R4601" s="315" t="str">
        <f t="shared" si="380"/>
        <v>LEX New VehicleRetail Gross p.u.</v>
      </c>
      <c r="S4601" s="199"/>
      <c r="T4601" s="199"/>
      <c r="U4601" s="199"/>
    </row>
    <row r="4602" spans="1:21" x14ac:dyDescent="0.25">
      <c r="A4602" t="s">
        <v>996</v>
      </c>
      <c r="B4602" t="s">
        <v>997</v>
      </c>
      <c r="C4602" t="s">
        <v>997</v>
      </c>
      <c r="D4602" t="s">
        <v>1550</v>
      </c>
      <c r="E4602">
        <v>112</v>
      </c>
      <c r="F4602" t="s">
        <v>1536</v>
      </c>
      <c r="G4602" t="s">
        <v>1537</v>
      </c>
      <c r="H4602" s="315" t="s">
        <v>1011</v>
      </c>
      <c r="I4602" s="315" t="s">
        <v>1004</v>
      </c>
      <c r="J4602" s="315" t="str">
        <f t="shared" si="376"/>
        <v>LEX New VehicleRetail Gross p.u.</v>
      </c>
      <c r="K4602" s="315" t="str">
        <f t="shared" si="377"/>
        <v>112New Vehicle Cost of Sales - Lexus</v>
      </c>
      <c r="L4602" s="311">
        <f>+SUMIF('TUNZ Extracted TB'!M:M,$P4602,'TUNZ Extracted TB'!G:G)</f>
        <v>0</v>
      </c>
      <c r="M4602" s="311"/>
      <c r="N4602" s="311">
        <f>+SUMIF('Input Sheet'!$AE:$AE,P4602,'Input Sheet'!$X:$X)</f>
        <v>0</v>
      </c>
      <c r="O4602" s="311"/>
      <c r="P4602" t="str">
        <f t="shared" si="378"/>
        <v>112-4048RR</v>
      </c>
      <c r="Q4602" s="315" t="str">
        <f t="shared" si="379"/>
        <v>LEX New Vehicle</v>
      </c>
      <c r="R4602" s="315" t="str">
        <f t="shared" si="380"/>
        <v>LEX New VehicleRetail Gross p.u.</v>
      </c>
      <c r="S4602" s="199"/>
      <c r="T4602" s="199"/>
      <c r="U4602" s="199"/>
    </row>
    <row r="4603" spans="1:21" x14ac:dyDescent="0.25">
      <c r="A4603" t="s">
        <v>996</v>
      </c>
      <c r="B4603" t="s">
        <v>997</v>
      </c>
      <c r="C4603" t="s">
        <v>997</v>
      </c>
      <c r="D4603" t="s">
        <v>808</v>
      </c>
      <c r="E4603">
        <v>112</v>
      </c>
      <c r="F4603" t="s">
        <v>1536</v>
      </c>
      <c r="G4603" t="s">
        <v>1537</v>
      </c>
      <c r="H4603" s="315" t="s">
        <v>1011</v>
      </c>
      <c r="I4603" s="315" t="s">
        <v>1004</v>
      </c>
      <c r="J4603" s="315" t="str">
        <f t="shared" si="376"/>
        <v>LEX New VehicleRetail Gross p.u.</v>
      </c>
      <c r="K4603" s="315" t="str">
        <f t="shared" si="377"/>
        <v>112New Vehicle Cost of Sales - Lexus</v>
      </c>
      <c r="L4603" s="311">
        <f>+SUMIF('TUNZ Extracted TB'!M:M,$P4603,'TUNZ Extracted TB'!G:G)</f>
        <v>100</v>
      </c>
      <c r="M4603" s="311"/>
      <c r="N4603" s="311">
        <f>+SUMIF('Input Sheet'!$AE:$AE,P4603,'Input Sheet'!$X:$X)</f>
        <v>0</v>
      </c>
      <c r="O4603" s="311"/>
      <c r="P4603" t="str">
        <f t="shared" si="378"/>
        <v>112-4049R</v>
      </c>
      <c r="Q4603" s="315" t="str">
        <f t="shared" si="379"/>
        <v>LEX New Vehicle</v>
      </c>
      <c r="R4603" s="315" t="str">
        <f t="shared" si="380"/>
        <v>LEX New VehicleRetail Gross p.u.</v>
      </c>
      <c r="S4603" s="199"/>
      <c r="T4603" s="199"/>
      <c r="U4603" s="199"/>
    </row>
    <row r="4604" spans="1:21" x14ac:dyDescent="0.25">
      <c r="A4604" t="s">
        <v>996</v>
      </c>
      <c r="B4604" t="s">
        <v>997</v>
      </c>
      <c r="C4604" t="s">
        <v>997</v>
      </c>
      <c r="D4604" t="s">
        <v>810</v>
      </c>
      <c r="E4604">
        <v>112</v>
      </c>
      <c r="F4604" t="s">
        <v>1536</v>
      </c>
      <c r="G4604" t="s">
        <v>1537</v>
      </c>
      <c r="H4604" s="315" t="s">
        <v>1011</v>
      </c>
      <c r="I4604" s="315" t="s">
        <v>1004</v>
      </c>
      <c r="J4604" s="315" t="str">
        <f t="shared" si="376"/>
        <v>LEX New VehicleRetail Gross p.u.</v>
      </c>
      <c r="K4604" s="315" t="str">
        <f t="shared" si="377"/>
        <v>112New Vehicle Cost of Sales - Lexus</v>
      </c>
      <c r="L4604" s="311">
        <f>+SUMIF('TUNZ Extracted TB'!M:M,$P4604,'TUNZ Extracted TB'!G:G)</f>
        <v>0</v>
      </c>
      <c r="M4604" s="311"/>
      <c r="N4604" s="311">
        <f>+SUMIF('Input Sheet'!$AE:$AE,P4604,'Input Sheet'!$X:$X)</f>
        <v>0</v>
      </c>
      <c r="O4604" s="311"/>
      <c r="P4604" t="str">
        <f t="shared" si="378"/>
        <v>112-4049RR</v>
      </c>
      <c r="Q4604" s="315" t="str">
        <f t="shared" si="379"/>
        <v>LEX New Vehicle</v>
      </c>
      <c r="R4604" s="315" t="str">
        <f t="shared" si="380"/>
        <v>LEX New VehicleRetail Gross p.u.</v>
      </c>
      <c r="S4604" s="199"/>
      <c r="T4604" s="199"/>
      <c r="U4604" s="199"/>
    </row>
    <row r="4605" spans="1:21" x14ac:dyDescent="0.25">
      <c r="A4605" t="s">
        <v>996</v>
      </c>
      <c r="B4605" t="s">
        <v>997</v>
      </c>
      <c r="C4605" t="s">
        <v>997</v>
      </c>
      <c r="D4605" t="s">
        <v>812</v>
      </c>
      <c r="E4605">
        <v>112</v>
      </c>
      <c r="F4605" t="s">
        <v>1536</v>
      </c>
      <c r="G4605" t="s">
        <v>1537</v>
      </c>
      <c r="H4605" s="315" t="s">
        <v>1011</v>
      </c>
      <c r="I4605" s="315" t="s">
        <v>1004</v>
      </c>
      <c r="J4605" s="315" t="str">
        <f t="shared" si="376"/>
        <v>LEX New VehicleRetail Gross p.u.</v>
      </c>
      <c r="K4605" s="315" t="str">
        <f t="shared" si="377"/>
        <v>112New Vehicle Cost of Sales - Lexus</v>
      </c>
      <c r="L4605" s="311">
        <f>+SUMIF('TUNZ Extracted TB'!M:M,$P4605,'TUNZ Extracted TB'!G:G)</f>
        <v>389412.54</v>
      </c>
      <c r="M4605" s="311"/>
      <c r="N4605" s="311">
        <f>+SUMIF('Input Sheet'!$AE:$AE,P4605,'Input Sheet'!$X:$X)</f>
        <v>0</v>
      </c>
      <c r="O4605" s="311"/>
      <c r="P4605" t="str">
        <f t="shared" si="378"/>
        <v>112-4050R</v>
      </c>
      <c r="Q4605" s="315" t="str">
        <f t="shared" si="379"/>
        <v>LEX New Vehicle</v>
      </c>
      <c r="R4605" s="315" t="str">
        <f t="shared" si="380"/>
        <v>LEX New VehicleRetail Gross p.u.</v>
      </c>
      <c r="S4605" s="199"/>
      <c r="T4605" s="199"/>
      <c r="U4605" s="199"/>
    </row>
    <row r="4606" spans="1:21" x14ac:dyDescent="0.25">
      <c r="A4606" t="s">
        <v>996</v>
      </c>
      <c r="B4606" t="s">
        <v>997</v>
      </c>
      <c r="C4606" t="s">
        <v>997</v>
      </c>
      <c r="D4606" t="s">
        <v>814</v>
      </c>
      <c r="E4606">
        <v>112</v>
      </c>
      <c r="F4606" t="s">
        <v>1536</v>
      </c>
      <c r="G4606" t="s">
        <v>1537</v>
      </c>
      <c r="H4606" s="315" t="s">
        <v>1011</v>
      </c>
      <c r="I4606" s="315" t="s">
        <v>1004</v>
      </c>
      <c r="J4606" s="315" t="str">
        <f t="shared" si="376"/>
        <v>LEX New VehicleRetail Gross p.u.</v>
      </c>
      <c r="K4606" s="315" t="str">
        <f t="shared" si="377"/>
        <v>112New Vehicle Cost of Sales - Lexus</v>
      </c>
      <c r="L4606" s="311">
        <f>+SUMIF('TUNZ Extracted TB'!M:M,$P4606,'TUNZ Extracted TB'!G:G)</f>
        <v>-38634.78</v>
      </c>
      <c r="M4606" s="311"/>
      <c r="N4606" s="311">
        <f>+SUMIF('Input Sheet'!$AE:$AE,P4606,'Input Sheet'!$X:$X)</f>
        <v>0</v>
      </c>
      <c r="O4606" s="311"/>
      <c r="P4606" t="str">
        <f t="shared" si="378"/>
        <v>112-4050RR</v>
      </c>
      <c r="Q4606" s="315" t="str">
        <f t="shared" si="379"/>
        <v>LEX New Vehicle</v>
      </c>
      <c r="R4606" s="315" t="str">
        <f t="shared" si="380"/>
        <v>LEX New VehicleRetail Gross p.u.</v>
      </c>
      <c r="S4606" s="199"/>
      <c r="T4606" s="199"/>
      <c r="U4606" s="199"/>
    </row>
    <row r="4607" spans="1:21" x14ac:dyDescent="0.25">
      <c r="A4607" t="s">
        <v>996</v>
      </c>
      <c r="B4607" t="s">
        <v>997</v>
      </c>
      <c r="C4607" t="s">
        <v>997</v>
      </c>
      <c r="D4607" t="s">
        <v>816</v>
      </c>
      <c r="E4607">
        <v>112</v>
      </c>
      <c r="F4607" t="s">
        <v>1536</v>
      </c>
      <c r="G4607" t="s">
        <v>1537</v>
      </c>
      <c r="H4607" s="315" t="s">
        <v>1011</v>
      </c>
      <c r="I4607" s="315" t="s">
        <v>1004</v>
      </c>
      <c r="J4607" s="315" t="str">
        <f t="shared" si="376"/>
        <v>LEX New VehicleRetail Gross p.u.</v>
      </c>
      <c r="K4607" s="315" t="str">
        <f t="shared" si="377"/>
        <v>112New Vehicle Cost of Sales - Lexus</v>
      </c>
      <c r="L4607" s="311">
        <f>+SUMIF('TUNZ Extracted TB'!M:M,$P4607,'TUNZ Extracted TB'!G:G)</f>
        <v>0</v>
      </c>
      <c r="M4607" s="311"/>
      <c r="N4607" s="311">
        <f>+SUMIF('Input Sheet'!$AE:$AE,P4607,'Input Sheet'!$X:$X)</f>
        <v>0</v>
      </c>
      <c r="O4607" s="311"/>
      <c r="P4607" t="str">
        <f t="shared" si="378"/>
        <v>112-4051R</v>
      </c>
      <c r="Q4607" s="315" t="str">
        <f t="shared" si="379"/>
        <v>LEX New Vehicle</v>
      </c>
      <c r="R4607" s="315" t="str">
        <f t="shared" si="380"/>
        <v>LEX New VehicleRetail Gross p.u.</v>
      </c>
      <c r="S4607" s="199"/>
      <c r="T4607" s="199"/>
      <c r="U4607" s="199"/>
    </row>
    <row r="4608" spans="1:21" x14ac:dyDescent="0.25">
      <c r="A4608" t="s">
        <v>996</v>
      </c>
      <c r="B4608" t="s">
        <v>997</v>
      </c>
      <c r="C4608" t="s">
        <v>997</v>
      </c>
      <c r="D4608" t="s">
        <v>818</v>
      </c>
      <c r="E4608">
        <v>112</v>
      </c>
      <c r="F4608" t="s">
        <v>1536</v>
      </c>
      <c r="G4608" t="s">
        <v>1537</v>
      </c>
      <c r="H4608" s="315" t="s">
        <v>1011</v>
      </c>
      <c r="I4608" s="315" t="s">
        <v>1004</v>
      </c>
      <c r="J4608" s="315" t="str">
        <f t="shared" si="376"/>
        <v>LEX New VehicleRetail Gross p.u.</v>
      </c>
      <c r="K4608" s="315" t="str">
        <f t="shared" si="377"/>
        <v>112New Vehicle Cost of Sales - Lexus</v>
      </c>
      <c r="L4608" s="311">
        <f>+SUMIF('TUNZ Extracted TB'!M:M,$P4608,'TUNZ Extracted TB'!G:G)</f>
        <v>0</v>
      </c>
      <c r="M4608" s="311"/>
      <c r="N4608" s="311">
        <f>+SUMIF('Input Sheet'!$AE:$AE,P4608,'Input Sheet'!$X:$X)</f>
        <v>0</v>
      </c>
      <c r="O4608" s="311"/>
      <c r="P4608" t="str">
        <f t="shared" si="378"/>
        <v>112-4051RR</v>
      </c>
      <c r="Q4608" s="315" t="str">
        <f t="shared" si="379"/>
        <v>LEX New Vehicle</v>
      </c>
      <c r="R4608" s="315" t="str">
        <f t="shared" si="380"/>
        <v>LEX New VehicleRetail Gross p.u.</v>
      </c>
      <c r="S4608" s="199"/>
      <c r="T4608" s="199"/>
      <c r="U4608" s="199"/>
    </row>
    <row r="4609" spans="1:21" x14ac:dyDescent="0.25">
      <c r="A4609" t="s">
        <v>996</v>
      </c>
      <c r="B4609" t="s">
        <v>997</v>
      </c>
      <c r="C4609" t="s">
        <v>997</v>
      </c>
      <c r="D4609" t="s">
        <v>820</v>
      </c>
      <c r="E4609">
        <v>112</v>
      </c>
      <c r="F4609" t="s">
        <v>1536</v>
      </c>
      <c r="G4609" t="s">
        <v>1537</v>
      </c>
      <c r="H4609" s="315" t="s">
        <v>1011</v>
      </c>
      <c r="I4609" s="315" t="s">
        <v>1004</v>
      </c>
      <c r="J4609" s="315" t="str">
        <f t="shared" si="376"/>
        <v>LEX New VehicleRetail Gross p.u.</v>
      </c>
      <c r="K4609" s="315" t="str">
        <f t="shared" si="377"/>
        <v>112New Vehicle Cost of Sales - Lexus</v>
      </c>
      <c r="L4609" s="311">
        <f>+SUMIF('TUNZ Extracted TB'!M:M,$P4609,'TUNZ Extracted TB'!G:G)</f>
        <v>0</v>
      </c>
      <c r="M4609" s="311"/>
      <c r="N4609" s="311">
        <f>+SUMIF('Input Sheet'!$AE:$AE,P4609,'Input Sheet'!$X:$X)</f>
        <v>0</v>
      </c>
      <c r="O4609" s="311"/>
      <c r="P4609" t="str">
        <f t="shared" si="378"/>
        <v>112-4052R</v>
      </c>
      <c r="Q4609" s="315" t="str">
        <f t="shared" si="379"/>
        <v>LEX New Vehicle</v>
      </c>
      <c r="R4609" s="315" t="str">
        <f t="shared" si="380"/>
        <v>LEX New VehicleRetail Gross p.u.</v>
      </c>
      <c r="S4609" s="199"/>
      <c r="T4609" s="199"/>
      <c r="U4609" s="199"/>
    </row>
    <row r="4610" spans="1:21" x14ac:dyDescent="0.25">
      <c r="A4610" t="s">
        <v>996</v>
      </c>
      <c r="B4610" t="s">
        <v>997</v>
      </c>
      <c r="C4610" t="s">
        <v>997</v>
      </c>
      <c r="D4610" t="s">
        <v>822</v>
      </c>
      <c r="E4610">
        <v>112</v>
      </c>
      <c r="F4610" t="s">
        <v>1536</v>
      </c>
      <c r="G4610" t="s">
        <v>1537</v>
      </c>
      <c r="H4610" s="315" t="s">
        <v>1011</v>
      </c>
      <c r="I4610" s="315" t="s">
        <v>1004</v>
      </c>
      <c r="J4610" s="315" t="str">
        <f t="shared" si="376"/>
        <v>LEX New VehicleRetail Gross p.u.</v>
      </c>
      <c r="K4610" s="315" t="str">
        <f t="shared" si="377"/>
        <v>112New Vehicle Cost of Sales - Lexus</v>
      </c>
      <c r="L4610" s="311">
        <f>+SUMIF('TUNZ Extracted TB'!M:M,$P4610,'TUNZ Extracted TB'!G:G)</f>
        <v>0</v>
      </c>
      <c r="M4610" s="311"/>
      <c r="N4610" s="311">
        <f>+SUMIF('Input Sheet'!$AE:$AE,P4610,'Input Sheet'!$X:$X)</f>
        <v>0</v>
      </c>
      <c r="O4610" s="311"/>
      <c r="P4610" t="str">
        <f t="shared" si="378"/>
        <v>112-4052RR</v>
      </c>
      <c r="Q4610" s="315" t="str">
        <f t="shared" si="379"/>
        <v>LEX New Vehicle</v>
      </c>
      <c r="R4610" s="315" t="str">
        <f t="shared" si="380"/>
        <v>LEX New VehicleRetail Gross p.u.</v>
      </c>
      <c r="S4610" s="199"/>
      <c r="T4610" s="199"/>
      <c r="U4610" s="199"/>
    </row>
    <row r="4611" spans="1:21" x14ac:dyDescent="0.25">
      <c r="A4611" t="s">
        <v>996</v>
      </c>
      <c r="B4611" t="s">
        <v>997</v>
      </c>
      <c r="C4611" t="s">
        <v>997</v>
      </c>
      <c r="D4611" t="s">
        <v>1551</v>
      </c>
      <c r="E4611">
        <v>112</v>
      </c>
      <c r="F4611" t="s">
        <v>1536</v>
      </c>
      <c r="G4611" t="s">
        <v>1537</v>
      </c>
      <c r="H4611" s="315" t="s">
        <v>1011</v>
      </c>
      <c r="I4611" s="315" t="s">
        <v>1004</v>
      </c>
      <c r="J4611" s="315" t="str">
        <f t="shared" ref="J4611:J4674" si="381">+H4611&amp;I4611</f>
        <v>LEX New VehicleRetail Gross p.u.</v>
      </c>
      <c r="K4611" s="315" t="str">
        <f t="shared" ref="K4611:K4674" si="382">+E4611&amp;G4611</f>
        <v>112New Vehicle Cost of Sales - Lexus</v>
      </c>
      <c r="L4611" s="311">
        <f>+SUMIF('TUNZ Extracted TB'!M:M,$P4611,'TUNZ Extracted TB'!G:G)</f>
        <v>0</v>
      </c>
      <c r="M4611" s="311"/>
      <c r="N4611" s="311">
        <f>+SUMIF('Input Sheet'!$AE:$AE,P4611,'Input Sheet'!$X:$X)</f>
        <v>0</v>
      </c>
      <c r="O4611" s="311"/>
      <c r="P4611" t="str">
        <f t="shared" ref="P4611:P4674" si="383">+E4611&amp;"-"&amp;D4611</f>
        <v>112-4053R</v>
      </c>
      <c r="Q4611" s="315" t="str">
        <f t="shared" ref="Q4611:Q4674" si="384">H4611</f>
        <v>LEX New Vehicle</v>
      </c>
      <c r="R4611" s="315" t="str">
        <f t="shared" ref="R4611:R4674" si="385">J4611</f>
        <v>LEX New VehicleRetail Gross p.u.</v>
      </c>
      <c r="S4611" s="199"/>
      <c r="T4611" s="199"/>
      <c r="U4611" s="199"/>
    </row>
    <row r="4612" spans="1:21" x14ac:dyDescent="0.25">
      <c r="A4612" t="s">
        <v>996</v>
      </c>
      <c r="B4612" t="s">
        <v>997</v>
      </c>
      <c r="C4612" t="s">
        <v>997</v>
      </c>
      <c r="D4612" t="s">
        <v>1552</v>
      </c>
      <c r="E4612">
        <v>112</v>
      </c>
      <c r="F4612" t="s">
        <v>1536</v>
      </c>
      <c r="G4612" t="s">
        <v>1537</v>
      </c>
      <c r="H4612" s="315" t="s">
        <v>1011</v>
      </c>
      <c r="I4612" s="315" t="s">
        <v>1004</v>
      </c>
      <c r="J4612" s="315" t="str">
        <f t="shared" si="381"/>
        <v>LEX New VehicleRetail Gross p.u.</v>
      </c>
      <c r="K4612" s="315" t="str">
        <f t="shared" si="382"/>
        <v>112New Vehicle Cost of Sales - Lexus</v>
      </c>
      <c r="L4612" s="311">
        <f>+SUMIF('TUNZ Extracted TB'!M:M,$P4612,'TUNZ Extracted TB'!G:G)</f>
        <v>0</v>
      </c>
      <c r="M4612" s="311"/>
      <c r="N4612" s="311">
        <f>+SUMIF('Input Sheet'!$AE:$AE,P4612,'Input Sheet'!$X:$X)</f>
        <v>0</v>
      </c>
      <c r="O4612" s="311"/>
      <c r="P4612" t="str">
        <f t="shared" si="383"/>
        <v>112-4053RR</v>
      </c>
      <c r="Q4612" s="315" t="str">
        <f t="shared" si="384"/>
        <v>LEX New Vehicle</v>
      </c>
      <c r="R4612" s="315" t="str">
        <f t="shared" si="385"/>
        <v>LEX New VehicleRetail Gross p.u.</v>
      </c>
      <c r="S4612" s="199"/>
      <c r="T4612" s="199"/>
      <c r="U4612" s="199"/>
    </row>
    <row r="4613" spans="1:21" x14ac:dyDescent="0.25">
      <c r="A4613" t="s">
        <v>996</v>
      </c>
      <c r="B4613" t="s">
        <v>997</v>
      </c>
      <c r="C4613" t="s">
        <v>997</v>
      </c>
      <c r="D4613" t="s">
        <v>824</v>
      </c>
      <c r="E4613">
        <v>112</v>
      </c>
      <c r="F4613" t="s">
        <v>1536</v>
      </c>
      <c r="G4613" t="s">
        <v>1537</v>
      </c>
      <c r="H4613" s="315" t="s">
        <v>1011</v>
      </c>
      <c r="I4613" s="315" t="s">
        <v>1004</v>
      </c>
      <c r="J4613" s="315" t="str">
        <f t="shared" si="381"/>
        <v>LEX New VehicleRetail Gross p.u.</v>
      </c>
      <c r="K4613" s="315" t="str">
        <f t="shared" si="382"/>
        <v>112New Vehicle Cost of Sales - Lexus</v>
      </c>
      <c r="L4613" s="311">
        <f>+SUMIF('TUNZ Extracted TB'!M:M,$P4613,'TUNZ Extracted TB'!G:G)</f>
        <v>386250.57</v>
      </c>
      <c r="M4613" s="311"/>
      <c r="N4613" s="311">
        <f>+SUMIF('Input Sheet'!$AE:$AE,P4613,'Input Sheet'!$X:$X)</f>
        <v>0</v>
      </c>
      <c r="O4613" s="311"/>
      <c r="P4613" t="str">
        <f t="shared" si="383"/>
        <v>112-4054R</v>
      </c>
      <c r="Q4613" s="315" t="str">
        <f t="shared" si="384"/>
        <v>LEX New Vehicle</v>
      </c>
      <c r="R4613" s="315" t="str">
        <f t="shared" si="385"/>
        <v>LEX New VehicleRetail Gross p.u.</v>
      </c>
      <c r="S4613" s="199"/>
      <c r="T4613" s="199"/>
      <c r="U4613" s="199"/>
    </row>
    <row r="4614" spans="1:21" x14ac:dyDescent="0.25">
      <c r="A4614" t="s">
        <v>996</v>
      </c>
      <c r="B4614" t="s">
        <v>997</v>
      </c>
      <c r="C4614" t="s">
        <v>997</v>
      </c>
      <c r="D4614" t="s">
        <v>826</v>
      </c>
      <c r="E4614">
        <v>112</v>
      </c>
      <c r="F4614" t="s">
        <v>1536</v>
      </c>
      <c r="G4614" t="s">
        <v>1537</v>
      </c>
      <c r="H4614" s="315" t="s">
        <v>1011</v>
      </c>
      <c r="I4614" s="315" t="s">
        <v>1004</v>
      </c>
      <c r="J4614" s="315" t="str">
        <f t="shared" si="381"/>
        <v>LEX New VehicleRetail Gross p.u.</v>
      </c>
      <c r="K4614" s="315" t="str">
        <f t="shared" si="382"/>
        <v>112New Vehicle Cost of Sales - Lexus</v>
      </c>
      <c r="L4614" s="311">
        <f>+SUMIF('TUNZ Extracted TB'!M:M,$P4614,'TUNZ Extracted TB'!G:G)</f>
        <v>-11426.09</v>
      </c>
      <c r="M4614" s="311"/>
      <c r="N4614" s="311">
        <f>+SUMIF('Input Sheet'!$AE:$AE,P4614,'Input Sheet'!$X:$X)</f>
        <v>0</v>
      </c>
      <c r="O4614" s="311"/>
      <c r="P4614" t="str">
        <f t="shared" si="383"/>
        <v>112-4054RR</v>
      </c>
      <c r="Q4614" s="315" t="str">
        <f t="shared" si="384"/>
        <v>LEX New Vehicle</v>
      </c>
      <c r="R4614" s="315" t="str">
        <f t="shared" si="385"/>
        <v>LEX New VehicleRetail Gross p.u.</v>
      </c>
      <c r="S4614" s="199"/>
      <c r="T4614" s="199"/>
      <c r="U4614" s="199"/>
    </row>
    <row r="4615" spans="1:21" x14ac:dyDescent="0.25">
      <c r="A4615" t="s">
        <v>996</v>
      </c>
      <c r="B4615" t="s">
        <v>997</v>
      </c>
      <c r="C4615" t="s">
        <v>997</v>
      </c>
      <c r="D4615" t="s">
        <v>1553</v>
      </c>
      <c r="E4615">
        <v>112</v>
      </c>
      <c r="F4615" t="s">
        <v>1536</v>
      </c>
      <c r="G4615" t="s">
        <v>1537</v>
      </c>
      <c r="H4615" s="315" t="s">
        <v>1011</v>
      </c>
      <c r="I4615" s="315" t="s">
        <v>1004</v>
      </c>
      <c r="J4615" s="315" t="str">
        <f t="shared" si="381"/>
        <v>LEX New VehicleRetail Gross p.u.</v>
      </c>
      <c r="K4615" s="315" t="str">
        <f t="shared" si="382"/>
        <v>112New Vehicle Cost of Sales - Lexus</v>
      </c>
      <c r="L4615" s="311">
        <f>+SUMIF('TUNZ Extracted TB'!M:M,$P4615,'TUNZ Extracted TB'!G:G)</f>
        <v>0</v>
      </c>
      <c r="M4615" s="311"/>
      <c r="N4615" s="311">
        <f>+SUMIF('Input Sheet'!$AE:$AE,P4615,'Input Sheet'!$X:$X)</f>
        <v>0</v>
      </c>
      <c r="O4615" s="311"/>
      <c r="P4615" t="str">
        <f t="shared" si="383"/>
        <v>112-4055R</v>
      </c>
      <c r="Q4615" s="315" t="str">
        <f t="shared" si="384"/>
        <v>LEX New Vehicle</v>
      </c>
      <c r="R4615" s="315" t="str">
        <f t="shared" si="385"/>
        <v>LEX New VehicleRetail Gross p.u.</v>
      </c>
      <c r="S4615" s="199"/>
      <c r="T4615" s="199"/>
      <c r="U4615" s="199"/>
    </row>
    <row r="4616" spans="1:21" x14ac:dyDescent="0.25">
      <c r="A4616" t="s">
        <v>996</v>
      </c>
      <c r="B4616" t="s">
        <v>997</v>
      </c>
      <c r="C4616" t="s">
        <v>997</v>
      </c>
      <c r="D4616" t="s">
        <v>1554</v>
      </c>
      <c r="E4616">
        <v>112</v>
      </c>
      <c r="F4616" t="s">
        <v>1536</v>
      </c>
      <c r="G4616" t="s">
        <v>1537</v>
      </c>
      <c r="H4616" s="315" t="s">
        <v>1011</v>
      </c>
      <c r="I4616" s="315" t="s">
        <v>1004</v>
      </c>
      <c r="J4616" s="315" t="str">
        <f t="shared" si="381"/>
        <v>LEX New VehicleRetail Gross p.u.</v>
      </c>
      <c r="K4616" s="315" t="str">
        <f t="shared" si="382"/>
        <v>112New Vehicle Cost of Sales - Lexus</v>
      </c>
      <c r="L4616" s="311">
        <f>+SUMIF('TUNZ Extracted TB'!M:M,$P4616,'TUNZ Extracted TB'!G:G)</f>
        <v>0</v>
      </c>
      <c r="M4616" s="311"/>
      <c r="N4616" s="311">
        <f>+SUMIF('Input Sheet'!$AE:$AE,P4616,'Input Sheet'!$X:$X)</f>
        <v>0</v>
      </c>
      <c r="O4616" s="311"/>
      <c r="P4616" t="str">
        <f t="shared" si="383"/>
        <v>112-4055RR</v>
      </c>
      <c r="Q4616" s="315" t="str">
        <f t="shared" si="384"/>
        <v>LEX New Vehicle</v>
      </c>
      <c r="R4616" s="315" t="str">
        <f t="shared" si="385"/>
        <v>LEX New VehicleRetail Gross p.u.</v>
      </c>
      <c r="S4616" s="199"/>
      <c r="T4616" s="199"/>
      <c r="U4616" s="199"/>
    </row>
    <row r="4617" spans="1:21" x14ac:dyDescent="0.25">
      <c r="A4617" t="s">
        <v>996</v>
      </c>
      <c r="B4617" t="s">
        <v>997</v>
      </c>
      <c r="C4617" t="s">
        <v>997</v>
      </c>
      <c r="D4617" t="s">
        <v>1555</v>
      </c>
      <c r="E4617">
        <v>112</v>
      </c>
      <c r="F4617" t="s">
        <v>1536</v>
      </c>
      <c r="G4617" t="s">
        <v>1537</v>
      </c>
      <c r="H4617" s="315" t="s">
        <v>1011</v>
      </c>
      <c r="I4617" s="315" t="s">
        <v>1004</v>
      </c>
      <c r="J4617" s="315" t="str">
        <f t="shared" si="381"/>
        <v>LEX New VehicleRetail Gross p.u.</v>
      </c>
      <c r="K4617" s="315" t="str">
        <f t="shared" si="382"/>
        <v>112New Vehicle Cost of Sales - Lexus</v>
      </c>
      <c r="L4617" s="311">
        <f>+SUMIF('TUNZ Extracted TB'!M:M,$P4617,'TUNZ Extracted TB'!G:G)</f>
        <v>0</v>
      </c>
      <c r="M4617" s="311"/>
      <c r="N4617" s="311">
        <f>+SUMIF('Input Sheet'!$AE:$AE,P4617,'Input Sheet'!$X:$X)</f>
        <v>0</v>
      </c>
      <c r="O4617" s="311"/>
      <c r="P4617" t="str">
        <f t="shared" si="383"/>
        <v>112-4056R</v>
      </c>
      <c r="Q4617" s="315" t="str">
        <f t="shared" si="384"/>
        <v>LEX New Vehicle</v>
      </c>
      <c r="R4617" s="315" t="str">
        <f t="shared" si="385"/>
        <v>LEX New VehicleRetail Gross p.u.</v>
      </c>
      <c r="S4617" s="199"/>
      <c r="T4617" s="199"/>
      <c r="U4617" s="199"/>
    </row>
    <row r="4618" spans="1:21" x14ac:dyDescent="0.25">
      <c r="A4618" t="s">
        <v>996</v>
      </c>
      <c r="B4618" t="s">
        <v>997</v>
      </c>
      <c r="C4618" t="s">
        <v>997</v>
      </c>
      <c r="D4618" t="s">
        <v>1556</v>
      </c>
      <c r="E4618">
        <v>112</v>
      </c>
      <c r="F4618" t="s">
        <v>1536</v>
      </c>
      <c r="G4618" t="s">
        <v>1537</v>
      </c>
      <c r="H4618" s="315" t="s">
        <v>1011</v>
      </c>
      <c r="I4618" s="315" t="s">
        <v>1004</v>
      </c>
      <c r="J4618" s="315" t="str">
        <f t="shared" si="381"/>
        <v>LEX New VehicleRetail Gross p.u.</v>
      </c>
      <c r="K4618" s="315" t="str">
        <f t="shared" si="382"/>
        <v>112New Vehicle Cost of Sales - Lexus</v>
      </c>
      <c r="L4618" s="311">
        <f>+SUMIF('TUNZ Extracted TB'!M:M,$P4618,'TUNZ Extracted TB'!G:G)</f>
        <v>0</v>
      </c>
      <c r="M4618" s="311"/>
      <c r="N4618" s="311">
        <f>+SUMIF('Input Sheet'!$AE:$AE,P4618,'Input Sheet'!$X:$X)</f>
        <v>0</v>
      </c>
      <c r="O4618" s="311"/>
      <c r="P4618" t="str">
        <f t="shared" si="383"/>
        <v>112-4056RR</v>
      </c>
      <c r="Q4618" s="315" t="str">
        <f t="shared" si="384"/>
        <v>LEX New Vehicle</v>
      </c>
      <c r="R4618" s="315" t="str">
        <f t="shared" si="385"/>
        <v>LEX New VehicleRetail Gross p.u.</v>
      </c>
      <c r="S4618" s="199"/>
      <c r="T4618" s="199"/>
      <c r="U4618" s="199"/>
    </row>
    <row r="4619" spans="1:21" x14ac:dyDescent="0.25">
      <c r="A4619" t="s">
        <v>996</v>
      </c>
      <c r="B4619" t="s">
        <v>997</v>
      </c>
      <c r="C4619" t="s">
        <v>997</v>
      </c>
      <c r="D4619" t="s">
        <v>1557</v>
      </c>
      <c r="E4619">
        <v>112</v>
      </c>
      <c r="F4619" t="s">
        <v>1536</v>
      </c>
      <c r="G4619" t="s">
        <v>1537</v>
      </c>
      <c r="H4619" s="315" t="s">
        <v>1011</v>
      </c>
      <c r="I4619" s="315" t="s">
        <v>1004</v>
      </c>
      <c r="J4619" s="315" t="str">
        <f t="shared" si="381"/>
        <v>LEX New VehicleRetail Gross p.u.</v>
      </c>
      <c r="K4619" s="315" t="str">
        <f t="shared" si="382"/>
        <v>112New Vehicle Cost of Sales - Lexus</v>
      </c>
      <c r="L4619" s="311">
        <f>+SUMIF('TUNZ Extracted TB'!M:M,$P4619,'TUNZ Extracted TB'!G:G)</f>
        <v>0</v>
      </c>
      <c r="M4619" s="311"/>
      <c r="N4619" s="311">
        <f>+SUMIF('Input Sheet'!$AE:$AE,P4619,'Input Sheet'!$X:$X)</f>
        <v>0</v>
      </c>
      <c r="O4619" s="311"/>
      <c r="P4619" t="str">
        <f t="shared" si="383"/>
        <v>112-4057R</v>
      </c>
      <c r="Q4619" s="315" t="str">
        <f t="shared" si="384"/>
        <v>LEX New Vehicle</v>
      </c>
      <c r="R4619" s="315" t="str">
        <f t="shared" si="385"/>
        <v>LEX New VehicleRetail Gross p.u.</v>
      </c>
      <c r="S4619" s="199"/>
      <c r="T4619" s="199"/>
      <c r="U4619" s="199"/>
    </row>
    <row r="4620" spans="1:21" x14ac:dyDescent="0.25">
      <c r="A4620" t="s">
        <v>996</v>
      </c>
      <c r="B4620" t="s">
        <v>997</v>
      </c>
      <c r="C4620" t="s">
        <v>997</v>
      </c>
      <c r="D4620" t="s">
        <v>1558</v>
      </c>
      <c r="E4620">
        <v>112</v>
      </c>
      <c r="F4620" t="s">
        <v>1536</v>
      </c>
      <c r="G4620" t="s">
        <v>1537</v>
      </c>
      <c r="H4620" s="315" t="s">
        <v>1011</v>
      </c>
      <c r="I4620" s="315" t="s">
        <v>1004</v>
      </c>
      <c r="J4620" s="315" t="str">
        <f t="shared" si="381"/>
        <v>LEX New VehicleRetail Gross p.u.</v>
      </c>
      <c r="K4620" s="315" t="str">
        <f t="shared" si="382"/>
        <v>112New Vehicle Cost of Sales - Lexus</v>
      </c>
      <c r="L4620" s="311">
        <f>+SUMIF('TUNZ Extracted TB'!M:M,$P4620,'TUNZ Extracted TB'!G:G)</f>
        <v>0</v>
      </c>
      <c r="M4620" s="311"/>
      <c r="N4620" s="311">
        <f>+SUMIF('Input Sheet'!$AE:$AE,P4620,'Input Sheet'!$X:$X)</f>
        <v>0</v>
      </c>
      <c r="O4620" s="311"/>
      <c r="P4620" t="str">
        <f t="shared" si="383"/>
        <v>112-4057RR</v>
      </c>
      <c r="Q4620" s="315" t="str">
        <f t="shared" si="384"/>
        <v>LEX New Vehicle</v>
      </c>
      <c r="R4620" s="315" t="str">
        <f t="shared" si="385"/>
        <v>LEX New VehicleRetail Gross p.u.</v>
      </c>
      <c r="S4620" s="199"/>
      <c r="T4620" s="199"/>
      <c r="U4620" s="199"/>
    </row>
    <row r="4621" spans="1:21" x14ac:dyDescent="0.25">
      <c r="A4621" t="s">
        <v>996</v>
      </c>
      <c r="B4621" t="s">
        <v>997</v>
      </c>
      <c r="C4621" t="s">
        <v>997</v>
      </c>
      <c r="D4621" t="s">
        <v>1559</v>
      </c>
      <c r="E4621">
        <v>112</v>
      </c>
      <c r="F4621" t="s">
        <v>1536</v>
      </c>
      <c r="G4621" t="s">
        <v>1537</v>
      </c>
      <c r="H4621" s="315" t="s">
        <v>1011</v>
      </c>
      <c r="I4621" s="315" t="s">
        <v>1004</v>
      </c>
      <c r="J4621" s="315" t="str">
        <f t="shared" si="381"/>
        <v>LEX New VehicleRetail Gross p.u.</v>
      </c>
      <c r="K4621" s="315" t="str">
        <f t="shared" si="382"/>
        <v>112New Vehicle Cost of Sales - Lexus</v>
      </c>
      <c r="L4621" s="311">
        <f>+SUMIF('TUNZ Extracted TB'!M:M,$P4621,'TUNZ Extracted TB'!G:G)</f>
        <v>0</v>
      </c>
      <c r="M4621" s="311"/>
      <c r="N4621" s="311">
        <f>+SUMIF('Input Sheet'!$AE:$AE,P4621,'Input Sheet'!$X:$X)</f>
        <v>0</v>
      </c>
      <c r="O4621" s="311"/>
      <c r="P4621" t="str">
        <f t="shared" si="383"/>
        <v>112-4058R</v>
      </c>
      <c r="Q4621" s="315" t="str">
        <f t="shared" si="384"/>
        <v>LEX New Vehicle</v>
      </c>
      <c r="R4621" s="315" t="str">
        <f t="shared" si="385"/>
        <v>LEX New VehicleRetail Gross p.u.</v>
      </c>
      <c r="S4621" s="199"/>
      <c r="T4621" s="199"/>
      <c r="U4621" s="199"/>
    </row>
    <row r="4622" spans="1:21" x14ac:dyDescent="0.25">
      <c r="A4622" t="s">
        <v>996</v>
      </c>
      <c r="B4622" t="s">
        <v>997</v>
      </c>
      <c r="C4622" t="s">
        <v>997</v>
      </c>
      <c r="D4622" t="s">
        <v>1560</v>
      </c>
      <c r="E4622">
        <v>112</v>
      </c>
      <c r="F4622" t="s">
        <v>1536</v>
      </c>
      <c r="G4622" t="s">
        <v>1537</v>
      </c>
      <c r="H4622" s="315" t="s">
        <v>1011</v>
      </c>
      <c r="I4622" s="315" t="s">
        <v>1004</v>
      </c>
      <c r="J4622" s="315" t="str">
        <f t="shared" si="381"/>
        <v>LEX New VehicleRetail Gross p.u.</v>
      </c>
      <c r="K4622" s="315" t="str">
        <f t="shared" si="382"/>
        <v>112New Vehicle Cost of Sales - Lexus</v>
      </c>
      <c r="L4622" s="311">
        <f>+SUMIF('TUNZ Extracted TB'!M:M,$P4622,'TUNZ Extracted TB'!G:G)</f>
        <v>0</v>
      </c>
      <c r="M4622" s="311"/>
      <c r="N4622" s="311">
        <f>+SUMIF('Input Sheet'!$AE:$AE,P4622,'Input Sheet'!$X:$X)</f>
        <v>0</v>
      </c>
      <c r="O4622" s="311"/>
      <c r="P4622" t="str">
        <f t="shared" si="383"/>
        <v>112-4058RR</v>
      </c>
      <c r="Q4622" s="315" t="str">
        <f t="shared" si="384"/>
        <v>LEX New Vehicle</v>
      </c>
      <c r="R4622" s="315" t="str">
        <f t="shared" si="385"/>
        <v>LEX New VehicleRetail Gross p.u.</v>
      </c>
      <c r="S4622" s="199"/>
      <c r="T4622" s="199"/>
      <c r="U4622" s="199"/>
    </row>
    <row r="4623" spans="1:21" x14ac:dyDescent="0.25">
      <c r="A4623" t="s">
        <v>996</v>
      </c>
      <c r="B4623" t="s">
        <v>997</v>
      </c>
      <c r="C4623" t="s">
        <v>997</v>
      </c>
      <c r="D4623" t="s">
        <v>1561</v>
      </c>
      <c r="E4623">
        <v>112</v>
      </c>
      <c r="F4623" t="s">
        <v>1536</v>
      </c>
      <c r="G4623" t="s">
        <v>1537</v>
      </c>
      <c r="H4623" s="315" t="s">
        <v>1011</v>
      </c>
      <c r="I4623" s="315" t="s">
        <v>1004</v>
      </c>
      <c r="J4623" s="315" t="str">
        <f t="shared" si="381"/>
        <v>LEX New VehicleRetail Gross p.u.</v>
      </c>
      <c r="K4623" s="315" t="str">
        <f t="shared" si="382"/>
        <v>112New Vehicle Cost of Sales - Lexus</v>
      </c>
      <c r="L4623" s="311">
        <f>+SUMIF('TUNZ Extracted TB'!M:M,$P4623,'TUNZ Extracted TB'!G:G)</f>
        <v>0</v>
      </c>
      <c r="M4623" s="311"/>
      <c r="N4623" s="311">
        <f>+SUMIF('Input Sheet'!$AE:$AE,P4623,'Input Sheet'!$X:$X)</f>
        <v>0</v>
      </c>
      <c r="O4623" s="311"/>
      <c r="P4623" t="str">
        <f t="shared" si="383"/>
        <v>112-4059R</v>
      </c>
      <c r="Q4623" s="315" t="str">
        <f t="shared" si="384"/>
        <v>LEX New Vehicle</v>
      </c>
      <c r="R4623" s="315" t="str">
        <f t="shared" si="385"/>
        <v>LEX New VehicleRetail Gross p.u.</v>
      </c>
      <c r="S4623" s="199"/>
      <c r="T4623" s="199"/>
      <c r="U4623" s="199"/>
    </row>
    <row r="4624" spans="1:21" x14ac:dyDescent="0.25">
      <c r="A4624" t="s">
        <v>996</v>
      </c>
      <c r="B4624" t="s">
        <v>997</v>
      </c>
      <c r="C4624" t="s">
        <v>997</v>
      </c>
      <c r="D4624" t="s">
        <v>1562</v>
      </c>
      <c r="E4624">
        <v>112</v>
      </c>
      <c r="F4624" t="s">
        <v>1536</v>
      </c>
      <c r="G4624" t="s">
        <v>1537</v>
      </c>
      <c r="H4624" s="315" t="s">
        <v>1011</v>
      </c>
      <c r="I4624" s="315" t="s">
        <v>1004</v>
      </c>
      <c r="J4624" s="315" t="str">
        <f t="shared" si="381"/>
        <v>LEX New VehicleRetail Gross p.u.</v>
      </c>
      <c r="K4624" s="315" t="str">
        <f t="shared" si="382"/>
        <v>112New Vehicle Cost of Sales - Lexus</v>
      </c>
      <c r="L4624" s="311">
        <f>+SUMIF('TUNZ Extracted TB'!M:M,$P4624,'TUNZ Extracted TB'!G:G)</f>
        <v>0</v>
      </c>
      <c r="M4624" s="311"/>
      <c r="N4624" s="311">
        <f>+SUMIF('Input Sheet'!$AE:$AE,P4624,'Input Sheet'!$X:$X)</f>
        <v>0</v>
      </c>
      <c r="O4624" s="311"/>
      <c r="P4624" t="str">
        <f t="shared" si="383"/>
        <v>112-4059RR</v>
      </c>
      <c r="Q4624" s="315" t="str">
        <f t="shared" si="384"/>
        <v>LEX New Vehicle</v>
      </c>
      <c r="R4624" s="315" t="str">
        <f t="shared" si="385"/>
        <v>LEX New VehicleRetail Gross p.u.</v>
      </c>
      <c r="S4624" s="199"/>
      <c r="T4624" s="199"/>
      <c r="U4624" s="199"/>
    </row>
    <row r="4625" spans="1:21" x14ac:dyDescent="0.25">
      <c r="A4625" t="s">
        <v>996</v>
      </c>
      <c r="B4625" t="s">
        <v>997</v>
      </c>
      <c r="C4625" t="s">
        <v>997</v>
      </c>
      <c r="D4625" t="s">
        <v>829</v>
      </c>
      <c r="E4625">
        <v>112</v>
      </c>
      <c r="F4625" t="s">
        <v>1536</v>
      </c>
      <c r="G4625" t="s">
        <v>1537</v>
      </c>
      <c r="H4625" s="315" t="s">
        <v>1011</v>
      </c>
      <c r="I4625" s="315" t="s">
        <v>1004</v>
      </c>
      <c r="J4625" s="315" t="str">
        <f t="shared" si="381"/>
        <v>LEX New VehicleRetail Gross p.u.</v>
      </c>
      <c r="K4625" s="315" t="str">
        <f t="shared" si="382"/>
        <v>112New Vehicle Cost of Sales - Lexus</v>
      </c>
      <c r="L4625" s="311">
        <f>+SUMIF('TUNZ Extracted TB'!M:M,$P4625,'TUNZ Extracted TB'!G:G)</f>
        <v>712126.18</v>
      </c>
      <c r="M4625" s="311"/>
      <c r="N4625" s="311">
        <f>+SUMIF('Input Sheet'!$AE:$AE,P4625,'Input Sheet'!$X:$X)</f>
        <v>0</v>
      </c>
      <c r="O4625" s="311"/>
      <c r="P4625" t="str">
        <f t="shared" si="383"/>
        <v>112-4061R</v>
      </c>
      <c r="Q4625" s="315" t="str">
        <f t="shared" si="384"/>
        <v>LEX New Vehicle</v>
      </c>
      <c r="R4625" s="315" t="str">
        <f t="shared" si="385"/>
        <v>LEX New VehicleRetail Gross p.u.</v>
      </c>
      <c r="S4625" s="199"/>
      <c r="T4625" s="199"/>
      <c r="U4625" s="199"/>
    </row>
    <row r="4626" spans="1:21" x14ac:dyDescent="0.25">
      <c r="A4626" t="s">
        <v>996</v>
      </c>
      <c r="B4626" t="s">
        <v>997</v>
      </c>
      <c r="C4626" t="s">
        <v>997</v>
      </c>
      <c r="D4626" t="s">
        <v>831</v>
      </c>
      <c r="E4626">
        <v>112</v>
      </c>
      <c r="F4626" t="s">
        <v>1536</v>
      </c>
      <c r="G4626" t="s">
        <v>1537</v>
      </c>
      <c r="H4626" s="315" t="s">
        <v>1011</v>
      </c>
      <c r="I4626" s="315" t="s">
        <v>1004</v>
      </c>
      <c r="J4626" s="315" t="str">
        <f t="shared" si="381"/>
        <v>LEX New VehicleRetail Gross p.u.</v>
      </c>
      <c r="K4626" s="315" t="str">
        <f t="shared" si="382"/>
        <v>112New Vehicle Cost of Sales - Lexus</v>
      </c>
      <c r="L4626" s="311">
        <f>+SUMIF('TUNZ Extracted TB'!M:M,$P4626,'TUNZ Extracted TB'!G:G)</f>
        <v>0</v>
      </c>
      <c r="M4626" s="311"/>
      <c r="N4626" s="311">
        <f>+SUMIF('Input Sheet'!$AE:$AE,P4626,'Input Sheet'!$X:$X)</f>
        <v>0</v>
      </c>
      <c r="O4626" s="311"/>
      <c r="P4626" t="str">
        <f t="shared" si="383"/>
        <v>112-4061RR</v>
      </c>
      <c r="Q4626" s="315" t="str">
        <f t="shared" si="384"/>
        <v>LEX New Vehicle</v>
      </c>
      <c r="R4626" s="315" t="str">
        <f t="shared" si="385"/>
        <v>LEX New VehicleRetail Gross p.u.</v>
      </c>
      <c r="S4626" s="199"/>
      <c r="T4626" s="199"/>
      <c r="U4626" s="199"/>
    </row>
    <row r="4627" spans="1:21" x14ac:dyDescent="0.25">
      <c r="A4627" t="s">
        <v>996</v>
      </c>
      <c r="B4627" t="s">
        <v>997</v>
      </c>
      <c r="C4627" t="s">
        <v>997</v>
      </c>
      <c r="D4627" t="s">
        <v>1563</v>
      </c>
      <c r="E4627">
        <v>112</v>
      </c>
      <c r="F4627" t="s">
        <v>1536</v>
      </c>
      <c r="G4627" t="s">
        <v>1537</v>
      </c>
      <c r="H4627" s="315" t="s">
        <v>1011</v>
      </c>
      <c r="I4627" s="315" t="s">
        <v>1004</v>
      </c>
      <c r="J4627" s="315" t="str">
        <f t="shared" si="381"/>
        <v>LEX New VehicleRetail Gross p.u.</v>
      </c>
      <c r="K4627" s="315" t="str">
        <f t="shared" si="382"/>
        <v>112New Vehicle Cost of Sales - Lexus</v>
      </c>
      <c r="L4627" s="311">
        <f>+SUMIF('TUNZ Extracted TB'!M:M,$P4627,'TUNZ Extracted TB'!G:G)</f>
        <v>0</v>
      </c>
      <c r="M4627" s="311"/>
      <c r="N4627" s="311">
        <f>+SUMIF('Input Sheet'!$AE:$AE,P4627,'Input Sheet'!$X:$X)</f>
        <v>0</v>
      </c>
      <c r="O4627" s="311"/>
      <c r="P4627" t="str">
        <f t="shared" si="383"/>
        <v>112-4062R</v>
      </c>
      <c r="Q4627" s="315" t="str">
        <f t="shared" si="384"/>
        <v>LEX New Vehicle</v>
      </c>
      <c r="R4627" s="315" t="str">
        <f t="shared" si="385"/>
        <v>LEX New VehicleRetail Gross p.u.</v>
      </c>
      <c r="S4627" s="199"/>
      <c r="T4627" s="199"/>
      <c r="U4627" s="199"/>
    </row>
    <row r="4628" spans="1:21" x14ac:dyDescent="0.25">
      <c r="A4628" t="s">
        <v>996</v>
      </c>
      <c r="B4628" t="s">
        <v>997</v>
      </c>
      <c r="C4628" t="s">
        <v>997</v>
      </c>
      <c r="D4628" t="s">
        <v>1564</v>
      </c>
      <c r="E4628">
        <v>112</v>
      </c>
      <c r="F4628" t="s">
        <v>1536</v>
      </c>
      <c r="G4628" t="s">
        <v>1537</v>
      </c>
      <c r="H4628" s="315" t="s">
        <v>1011</v>
      </c>
      <c r="I4628" s="315" t="s">
        <v>1004</v>
      </c>
      <c r="J4628" s="315" t="str">
        <f t="shared" si="381"/>
        <v>LEX New VehicleRetail Gross p.u.</v>
      </c>
      <c r="K4628" s="315" t="str">
        <f t="shared" si="382"/>
        <v>112New Vehicle Cost of Sales - Lexus</v>
      </c>
      <c r="L4628" s="311">
        <f>+SUMIF('TUNZ Extracted TB'!M:M,$P4628,'TUNZ Extracted TB'!G:G)</f>
        <v>0</v>
      </c>
      <c r="M4628" s="311"/>
      <c r="N4628" s="311">
        <f>+SUMIF('Input Sheet'!$AE:$AE,P4628,'Input Sheet'!$X:$X)</f>
        <v>0</v>
      </c>
      <c r="O4628" s="311"/>
      <c r="P4628" t="str">
        <f t="shared" si="383"/>
        <v>112-4062RR</v>
      </c>
      <c r="Q4628" s="315" t="str">
        <f t="shared" si="384"/>
        <v>LEX New Vehicle</v>
      </c>
      <c r="R4628" s="315" t="str">
        <f t="shared" si="385"/>
        <v>LEX New VehicleRetail Gross p.u.</v>
      </c>
      <c r="S4628" s="199"/>
      <c r="T4628" s="199"/>
      <c r="U4628" s="199"/>
    </row>
    <row r="4629" spans="1:21" x14ac:dyDescent="0.25">
      <c r="A4629" t="s">
        <v>996</v>
      </c>
      <c r="B4629" t="s">
        <v>997</v>
      </c>
      <c r="C4629" t="s">
        <v>997</v>
      </c>
      <c r="D4629" t="s">
        <v>833</v>
      </c>
      <c r="E4629">
        <v>112</v>
      </c>
      <c r="F4629" t="s">
        <v>1536</v>
      </c>
      <c r="G4629" t="s">
        <v>1537</v>
      </c>
      <c r="H4629" s="315" t="s">
        <v>1011</v>
      </c>
      <c r="I4629" s="315" t="s">
        <v>1004</v>
      </c>
      <c r="J4629" s="315" t="str">
        <f t="shared" si="381"/>
        <v>LEX New VehicleRetail Gross p.u.</v>
      </c>
      <c r="K4629" s="315" t="str">
        <f t="shared" si="382"/>
        <v>112New Vehicle Cost of Sales - Lexus</v>
      </c>
      <c r="L4629" s="311">
        <f>+SUMIF('TUNZ Extracted TB'!M:M,$P4629,'TUNZ Extracted TB'!G:G)</f>
        <v>0</v>
      </c>
      <c r="M4629" s="311"/>
      <c r="N4629" s="311">
        <f>+SUMIF('Input Sheet'!$AE:$AE,P4629,'Input Sheet'!$X:$X)</f>
        <v>0</v>
      </c>
      <c r="O4629" s="311"/>
      <c r="P4629" t="str">
        <f t="shared" si="383"/>
        <v>112-4063R</v>
      </c>
      <c r="Q4629" s="315" t="str">
        <f t="shared" si="384"/>
        <v>LEX New Vehicle</v>
      </c>
      <c r="R4629" s="315" t="str">
        <f t="shared" si="385"/>
        <v>LEX New VehicleRetail Gross p.u.</v>
      </c>
      <c r="S4629" s="199"/>
      <c r="T4629" s="199"/>
      <c r="U4629" s="199"/>
    </row>
    <row r="4630" spans="1:21" x14ac:dyDescent="0.25">
      <c r="A4630" t="s">
        <v>996</v>
      </c>
      <c r="B4630" t="s">
        <v>997</v>
      </c>
      <c r="C4630" t="s">
        <v>997</v>
      </c>
      <c r="D4630" t="s">
        <v>835</v>
      </c>
      <c r="E4630">
        <v>112</v>
      </c>
      <c r="F4630" t="s">
        <v>1536</v>
      </c>
      <c r="G4630" t="s">
        <v>1537</v>
      </c>
      <c r="H4630" s="315" t="s">
        <v>1011</v>
      </c>
      <c r="I4630" s="315" t="s">
        <v>1004</v>
      </c>
      <c r="J4630" s="315" t="str">
        <f t="shared" si="381"/>
        <v>LEX New VehicleRetail Gross p.u.</v>
      </c>
      <c r="K4630" s="315" t="str">
        <f t="shared" si="382"/>
        <v>112New Vehicle Cost of Sales - Lexus</v>
      </c>
      <c r="L4630" s="311">
        <f>+SUMIF('TUNZ Extracted TB'!M:M,$P4630,'TUNZ Extracted TB'!G:G)</f>
        <v>0</v>
      </c>
      <c r="M4630" s="311"/>
      <c r="N4630" s="311">
        <f>+SUMIF('Input Sheet'!$AE:$AE,P4630,'Input Sheet'!$X:$X)</f>
        <v>0</v>
      </c>
      <c r="O4630" s="311"/>
      <c r="P4630" t="str">
        <f t="shared" si="383"/>
        <v>112-4063RR</v>
      </c>
      <c r="Q4630" s="315" t="str">
        <f t="shared" si="384"/>
        <v>LEX New Vehicle</v>
      </c>
      <c r="R4630" s="315" t="str">
        <f t="shared" si="385"/>
        <v>LEX New VehicleRetail Gross p.u.</v>
      </c>
      <c r="S4630" s="199"/>
      <c r="T4630" s="199"/>
      <c r="U4630" s="199"/>
    </row>
    <row r="4631" spans="1:21" x14ac:dyDescent="0.25">
      <c r="A4631" t="s">
        <v>996</v>
      </c>
      <c r="B4631" t="s">
        <v>997</v>
      </c>
      <c r="C4631" t="s">
        <v>997</v>
      </c>
      <c r="D4631" t="s">
        <v>837</v>
      </c>
      <c r="E4631">
        <v>112</v>
      </c>
      <c r="F4631" t="s">
        <v>1536</v>
      </c>
      <c r="G4631" t="s">
        <v>1537</v>
      </c>
      <c r="H4631" s="315" t="s">
        <v>1011</v>
      </c>
      <c r="I4631" s="315" t="s">
        <v>1004</v>
      </c>
      <c r="J4631" s="315" t="str">
        <f t="shared" si="381"/>
        <v>LEX New VehicleRetail Gross p.u.</v>
      </c>
      <c r="K4631" s="315" t="str">
        <f t="shared" si="382"/>
        <v>112New Vehicle Cost of Sales - Lexus</v>
      </c>
      <c r="L4631" s="311">
        <f>+SUMIF('TUNZ Extracted TB'!M:M,$P4631,'TUNZ Extracted TB'!G:G)</f>
        <v>0</v>
      </c>
      <c r="M4631" s="311"/>
      <c r="N4631" s="311">
        <f>+SUMIF('Input Sheet'!$AE:$AE,P4631,'Input Sheet'!$X:$X)</f>
        <v>0</v>
      </c>
      <c r="O4631" s="311"/>
      <c r="P4631" t="str">
        <f t="shared" si="383"/>
        <v>112-4064R</v>
      </c>
      <c r="Q4631" s="315" t="str">
        <f t="shared" si="384"/>
        <v>LEX New Vehicle</v>
      </c>
      <c r="R4631" s="315" t="str">
        <f t="shared" si="385"/>
        <v>LEX New VehicleRetail Gross p.u.</v>
      </c>
      <c r="S4631" s="199"/>
      <c r="T4631" s="199"/>
      <c r="U4631" s="199"/>
    </row>
    <row r="4632" spans="1:21" x14ac:dyDescent="0.25">
      <c r="A4632" t="s">
        <v>996</v>
      </c>
      <c r="B4632" t="s">
        <v>997</v>
      </c>
      <c r="C4632" t="s">
        <v>997</v>
      </c>
      <c r="D4632" t="s">
        <v>839</v>
      </c>
      <c r="E4632">
        <v>112</v>
      </c>
      <c r="F4632" t="s">
        <v>1536</v>
      </c>
      <c r="G4632" t="s">
        <v>1537</v>
      </c>
      <c r="H4632" s="315" t="s">
        <v>1011</v>
      </c>
      <c r="I4632" s="315" t="s">
        <v>1004</v>
      </c>
      <c r="J4632" s="315" t="str">
        <f t="shared" si="381"/>
        <v>LEX New VehicleRetail Gross p.u.</v>
      </c>
      <c r="K4632" s="315" t="str">
        <f t="shared" si="382"/>
        <v>112New Vehicle Cost of Sales - Lexus</v>
      </c>
      <c r="L4632" s="311">
        <f>+SUMIF('TUNZ Extracted TB'!M:M,$P4632,'TUNZ Extracted TB'!G:G)</f>
        <v>0</v>
      </c>
      <c r="M4632" s="311"/>
      <c r="N4632" s="311">
        <f>+SUMIF('Input Sheet'!$AE:$AE,P4632,'Input Sheet'!$X:$X)</f>
        <v>0</v>
      </c>
      <c r="O4632" s="311"/>
      <c r="P4632" t="str">
        <f t="shared" si="383"/>
        <v>112-4064RR</v>
      </c>
      <c r="Q4632" s="315" t="str">
        <f t="shared" si="384"/>
        <v>LEX New Vehicle</v>
      </c>
      <c r="R4632" s="315" t="str">
        <f t="shared" si="385"/>
        <v>LEX New VehicleRetail Gross p.u.</v>
      </c>
      <c r="S4632" s="199"/>
      <c r="T4632" s="199"/>
      <c r="U4632" s="199"/>
    </row>
    <row r="4633" spans="1:21" x14ac:dyDescent="0.25">
      <c r="A4633" t="s">
        <v>996</v>
      </c>
      <c r="B4633" t="s">
        <v>997</v>
      </c>
      <c r="C4633" t="s">
        <v>997</v>
      </c>
      <c r="D4633" t="s">
        <v>1565</v>
      </c>
      <c r="E4633">
        <v>112</v>
      </c>
      <c r="F4633" t="s">
        <v>1536</v>
      </c>
      <c r="G4633" t="s">
        <v>1537</v>
      </c>
      <c r="H4633" s="315" t="s">
        <v>1011</v>
      </c>
      <c r="I4633" s="315" t="s">
        <v>1004</v>
      </c>
      <c r="J4633" s="315" t="str">
        <f t="shared" si="381"/>
        <v>LEX New VehicleRetail Gross p.u.</v>
      </c>
      <c r="K4633" s="315" t="str">
        <f t="shared" si="382"/>
        <v>112New Vehicle Cost of Sales - Lexus</v>
      </c>
      <c r="L4633" s="311">
        <f>+SUMIF('TUNZ Extracted TB'!M:M,$P4633,'TUNZ Extracted TB'!G:G)</f>
        <v>0</v>
      </c>
      <c r="M4633" s="311"/>
      <c r="N4633" s="311">
        <f>+SUMIF('Input Sheet'!$AE:$AE,P4633,'Input Sheet'!$X:$X)</f>
        <v>0</v>
      </c>
      <c r="O4633" s="311"/>
      <c r="P4633" t="str">
        <f t="shared" si="383"/>
        <v>112-4069R</v>
      </c>
      <c r="Q4633" s="315" t="str">
        <f t="shared" si="384"/>
        <v>LEX New Vehicle</v>
      </c>
      <c r="R4633" s="315" t="str">
        <f t="shared" si="385"/>
        <v>LEX New VehicleRetail Gross p.u.</v>
      </c>
      <c r="S4633" s="199"/>
      <c r="T4633" s="199"/>
      <c r="U4633" s="199"/>
    </row>
    <row r="4634" spans="1:21" x14ac:dyDescent="0.25">
      <c r="A4634" t="s">
        <v>996</v>
      </c>
      <c r="B4634" t="s">
        <v>997</v>
      </c>
      <c r="C4634" t="s">
        <v>997</v>
      </c>
      <c r="D4634" t="s">
        <v>1566</v>
      </c>
      <c r="E4634">
        <v>112</v>
      </c>
      <c r="F4634" t="s">
        <v>1536</v>
      </c>
      <c r="G4634" t="s">
        <v>1537</v>
      </c>
      <c r="H4634" s="315" t="s">
        <v>1011</v>
      </c>
      <c r="I4634" s="315" t="s">
        <v>1004</v>
      </c>
      <c r="J4634" s="315" t="str">
        <f t="shared" si="381"/>
        <v>LEX New VehicleRetail Gross p.u.</v>
      </c>
      <c r="K4634" s="315" t="str">
        <f t="shared" si="382"/>
        <v>112New Vehicle Cost of Sales - Lexus</v>
      </c>
      <c r="L4634" s="311">
        <f>+SUMIF('TUNZ Extracted TB'!M:M,$P4634,'TUNZ Extracted TB'!G:G)</f>
        <v>0</v>
      </c>
      <c r="M4634" s="311"/>
      <c r="N4634" s="311">
        <f>+SUMIF('Input Sheet'!$AE:$AE,P4634,'Input Sheet'!$X:$X)</f>
        <v>0</v>
      </c>
      <c r="O4634" s="311"/>
      <c r="P4634" t="str">
        <f t="shared" si="383"/>
        <v>112-4069RR</v>
      </c>
      <c r="Q4634" s="315" t="str">
        <f t="shared" si="384"/>
        <v>LEX New Vehicle</v>
      </c>
      <c r="R4634" s="315" t="str">
        <f t="shared" si="385"/>
        <v>LEX New VehicleRetail Gross p.u.</v>
      </c>
      <c r="S4634" s="199"/>
      <c r="T4634" s="199"/>
      <c r="U4634" s="199"/>
    </row>
    <row r="4635" spans="1:21" x14ac:dyDescent="0.25">
      <c r="A4635" t="s">
        <v>996</v>
      </c>
      <c r="B4635" t="s">
        <v>997</v>
      </c>
      <c r="C4635" t="s">
        <v>997</v>
      </c>
      <c r="D4635" t="s">
        <v>841</v>
      </c>
      <c r="E4635">
        <v>112</v>
      </c>
      <c r="F4635" t="s">
        <v>1536</v>
      </c>
      <c r="G4635" t="s">
        <v>1537</v>
      </c>
      <c r="H4635" s="315" t="s">
        <v>1011</v>
      </c>
      <c r="I4635" s="315" t="s">
        <v>1004</v>
      </c>
      <c r="J4635" s="315" t="str">
        <f t="shared" si="381"/>
        <v>LEX New VehicleRetail Gross p.u.</v>
      </c>
      <c r="K4635" s="315" t="str">
        <f t="shared" si="382"/>
        <v>112New Vehicle Cost of Sales - Lexus</v>
      </c>
      <c r="L4635" s="311">
        <f>+SUMIF('TUNZ Extracted TB'!M:M,$P4635,'TUNZ Extracted TB'!G:G)</f>
        <v>44705.15</v>
      </c>
      <c r="M4635" s="311"/>
      <c r="N4635" s="311">
        <f>+SUMIF('Input Sheet'!$AE:$AE,P4635,'Input Sheet'!$X:$X)</f>
        <v>0</v>
      </c>
      <c r="O4635" s="311"/>
      <c r="P4635" t="str">
        <f t="shared" si="383"/>
        <v>112-4070R</v>
      </c>
      <c r="Q4635" s="315" t="str">
        <f t="shared" si="384"/>
        <v>LEX New Vehicle</v>
      </c>
      <c r="R4635" s="315" t="str">
        <f t="shared" si="385"/>
        <v>LEX New VehicleRetail Gross p.u.</v>
      </c>
      <c r="S4635" s="199"/>
      <c r="T4635" s="199"/>
      <c r="U4635" s="199"/>
    </row>
    <row r="4636" spans="1:21" x14ac:dyDescent="0.25">
      <c r="A4636" t="s">
        <v>996</v>
      </c>
      <c r="B4636" t="s">
        <v>997</v>
      </c>
      <c r="C4636" t="s">
        <v>997</v>
      </c>
      <c r="D4636" t="s">
        <v>843</v>
      </c>
      <c r="E4636">
        <v>112</v>
      </c>
      <c r="F4636" t="s">
        <v>1536</v>
      </c>
      <c r="G4636" t="s">
        <v>1537</v>
      </c>
      <c r="H4636" s="315" t="s">
        <v>1011</v>
      </c>
      <c r="I4636" s="315" t="s">
        <v>1004</v>
      </c>
      <c r="J4636" s="315" t="str">
        <f t="shared" si="381"/>
        <v>LEX New VehicleRetail Gross p.u.</v>
      </c>
      <c r="K4636" s="315" t="str">
        <f t="shared" si="382"/>
        <v>112New Vehicle Cost of Sales - Lexus</v>
      </c>
      <c r="L4636" s="311">
        <f>+SUMIF('TUNZ Extracted TB'!M:M,$P4636,'TUNZ Extracted TB'!G:G)</f>
        <v>-1869.57</v>
      </c>
      <c r="M4636" s="311"/>
      <c r="N4636" s="311">
        <f>+SUMIF('Input Sheet'!$AE:$AE,P4636,'Input Sheet'!$X:$X)</f>
        <v>0</v>
      </c>
      <c r="O4636" s="311"/>
      <c r="P4636" t="str">
        <f t="shared" si="383"/>
        <v>112-4070RR</v>
      </c>
      <c r="Q4636" s="315" t="str">
        <f t="shared" si="384"/>
        <v>LEX New Vehicle</v>
      </c>
      <c r="R4636" s="315" t="str">
        <f t="shared" si="385"/>
        <v>LEX New VehicleRetail Gross p.u.</v>
      </c>
      <c r="S4636" s="199"/>
      <c r="T4636" s="199"/>
      <c r="U4636" s="199"/>
    </row>
    <row r="4637" spans="1:21" x14ac:dyDescent="0.25">
      <c r="A4637" t="s">
        <v>996</v>
      </c>
      <c r="B4637" t="s">
        <v>997</v>
      </c>
      <c r="C4637" t="s">
        <v>997</v>
      </c>
      <c r="D4637" t="s">
        <v>845</v>
      </c>
      <c r="E4637">
        <v>112</v>
      </c>
      <c r="F4637" t="s">
        <v>1536</v>
      </c>
      <c r="G4637" t="s">
        <v>1537</v>
      </c>
      <c r="H4637" s="315" t="s">
        <v>1011</v>
      </c>
      <c r="I4637" s="315" t="s">
        <v>1004</v>
      </c>
      <c r="J4637" s="315" t="str">
        <f t="shared" si="381"/>
        <v>LEX New VehicleRetail Gross p.u.</v>
      </c>
      <c r="K4637" s="315" t="str">
        <f t="shared" si="382"/>
        <v>112New Vehicle Cost of Sales - Lexus</v>
      </c>
      <c r="L4637" s="311">
        <f>+SUMIF('TUNZ Extracted TB'!M:M,$P4637,'TUNZ Extracted TB'!G:G)</f>
        <v>59054.67</v>
      </c>
      <c r="M4637" s="311"/>
      <c r="N4637" s="311">
        <f>+SUMIF('Input Sheet'!$AE:$AE,P4637,'Input Sheet'!$X:$X)</f>
        <v>0</v>
      </c>
      <c r="O4637" s="311"/>
      <c r="P4637" t="str">
        <f t="shared" si="383"/>
        <v>112-4071R</v>
      </c>
      <c r="Q4637" s="315" t="str">
        <f t="shared" si="384"/>
        <v>LEX New Vehicle</v>
      </c>
      <c r="R4637" s="315" t="str">
        <f t="shared" si="385"/>
        <v>LEX New VehicleRetail Gross p.u.</v>
      </c>
      <c r="S4637" s="199"/>
      <c r="T4637" s="199"/>
      <c r="U4637" s="199"/>
    </row>
    <row r="4638" spans="1:21" x14ac:dyDescent="0.25">
      <c r="A4638" t="s">
        <v>996</v>
      </c>
      <c r="B4638" t="s">
        <v>997</v>
      </c>
      <c r="C4638" t="s">
        <v>997</v>
      </c>
      <c r="D4638" t="s">
        <v>847</v>
      </c>
      <c r="E4638">
        <v>112</v>
      </c>
      <c r="F4638" t="s">
        <v>1536</v>
      </c>
      <c r="G4638" t="s">
        <v>1537</v>
      </c>
      <c r="H4638" s="315" t="s">
        <v>1011</v>
      </c>
      <c r="I4638" s="315" t="s">
        <v>1004</v>
      </c>
      <c r="J4638" s="315" t="str">
        <f t="shared" si="381"/>
        <v>LEX New VehicleRetail Gross p.u.</v>
      </c>
      <c r="K4638" s="315" t="str">
        <f t="shared" si="382"/>
        <v>112New Vehicle Cost of Sales - Lexus</v>
      </c>
      <c r="L4638" s="311">
        <f>+SUMIF('TUNZ Extracted TB'!M:M,$P4638,'TUNZ Extracted TB'!G:G)</f>
        <v>-5113.04</v>
      </c>
      <c r="M4638" s="311"/>
      <c r="N4638" s="311">
        <f>+SUMIF('Input Sheet'!$AE:$AE,P4638,'Input Sheet'!$X:$X)</f>
        <v>0</v>
      </c>
      <c r="O4638" s="311"/>
      <c r="P4638" t="str">
        <f t="shared" si="383"/>
        <v>112-4071RR</v>
      </c>
      <c r="Q4638" s="315" t="str">
        <f t="shared" si="384"/>
        <v>LEX New Vehicle</v>
      </c>
      <c r="R4638" s="315" t="str">
        <f t="shared" si="385"/>
        <v>LEX New VehicleRetail Gross p.u.</v>
      </c>
      <c r="S4638" s="199"/>
      <c r="T4638" s="199"/>
      <c r="U4638" s="199"/>
    </row>
    <row r="4639" spans="1:21" x14ac:dyDescent="0.25">
      <c r="A4639" t="s">
        <v>996</v>
      </c>
      <c r="B4639" t="s">
        <v>997</v>
      </c>
      <c r="C4639" t="s">
        <v>997</v>
      </c>
      <c r="D4639" t="s">
        <v>849</v>
      </c>
      <c r="E4639">
        <v>112</v>
      </c>
      <c r="F4639" t="s">
        <v>1536</v>
      </c>
      <c r="G4639" t="s">
        <v>1537</v>
      </c>
      <c r="H4639" s="315" t="s">
        <v>1011</v>
      </c>
      <c r="I4639" s="315" t="s">
        <v>1004</v>
      </c>
      <c r="J4639" s="315" t="str">
        <f t="shared" si="381"/>
        <v>LEX New VehicleRetail Gross p.u.</v>
      </c>
      <c r="K4639" s="315" t="str">
        <f t="shared" si="382"/>
        <v>112New Vehicle Cost of Sales - Lexus</v>
      </c>
      <c r="L4639" s="311">
        <f>+SUMIF('TUNZ Extracted TB'!M:M,$P4639,'TUNZ Extracted TB'!G:G)</f>
        <v>-4.57</v>
      </c>
      <c r="M4639" s="311"/>
      <c r="N4639" s="311">
        <f>+SUMIF('Input Sheet'!$AE:$AE,P4639,'Input Sheet'!$X:$X)</f>
        <v>0</v>
      </c>
      <c r="O4639" s="311"/>
      <c r="P4639" t="str">
        <f t="shared" si="383"/>
        <v>112-4074R</v>
      </c>
      <c r="Q4639" s="315" t="str">
        <f t="shared" si="384"/>
        <v>LEX New Vehicle</v>
      </c>
      <c r="R4639" s="315" t="str">
        <f t="shared" si="385"/>
        <v>LEX New VehicleRetail Gross p.u.</v>
      </c>
      <c r="S4639" s="199"/>
      <c r="T4639" s="199"/>
      <c r="U4639" s="199"/>
    </row>
    <row r="4640" spans="1:21" x14ac:dyDescent="0.25">
      <c r="A4640" t="s">
        <v>996</v>
      </c>
      <c r="B4640" t="s">
        <v>997</v>
      </c>
      <c r="C4640" t="s">
        <v>997</v>
      </c>
      <c r="D4640" t="s">
        <v>851</v>
      </c>
      <c r="E4640">
        <v>112</v>
      </c>
      <c r="F4640" t="s">
        <v>1536</v>
      </c>
      <c r="G4640" t="s">
        <v>1537</v>
      </c>
      <c r="H4640" s="315" t="s">
        <v>1011</v>
      </c>
      <c r="I4640" s="315" t="s">
        <v>1004</v>
      </c>
      <c r="J4640" s="315" t="str">
        <f t="shared" si="381"/>
        <v>LEX New VehicleRetail Gross p.u.</v>
      </c>
      <c r="K4640" s="315" t="str">
        <f t="shared" si="382"/>
        <v>112New Vehicle Cost of Sales - Lexus</v>
      </c>
      <c r="L4640" s="311">
        <f>+SUMIF('TUNZ Extracted TB'!M:M,$P4640,'TUNZ Extracted TB'!G:G)</f>
        <v>0</v>
      </c>
      <c r="M4640" s="311"/>
      <c r="N4640" s="311">
        <f>+SUMIF('Input Sheet'!$AE:$AE,P4640,'Input Sheet'!$X:$X)</f>
        <v>0</v>
      </c>
      <c r="O4640" s="311"/>
      <c r="P4640" t="str">
        <f t="shared" si="383"/>
        <v>112-4074RR</v>
      </c>
      <c r="Q4640" s="315" t="str">
        <f t="shared" si="384"/>
        <v>LEX New Vehicle</v>
      </c>
      <c r="R4640" s="315" t="str">
        <f t="shared" si="385"/>
        <v>LEX New VehicleRetail Gross p.u.</v>
      </c>
      <c r="S4640" s="199"/>
      <c r="T4640" s="199"/>
      <c r="U4640" s="199"/>
    </row>
    <row r="4641" spans="1:21" x14ac:dyDescent="0.25">
      <c r="A4641" t="s">
        <v>996</v>
      </c>
      <c r="B4641" t="s">
        <v>997</v>
      </c>
      <c r="C4641" t="s">
        <v>1005</v>
      </c>
      <c r="D4641" t="s">
        <v>853</v>
      </c>
      <c r="E4641">
        <v>200</v>
      </c>
      <c r="F4641" t="s">
        <v>1024</v>
      </c>
      <c r="G4641" t="s">
        <v>1027</v>
      </c>
      <c r="H4641" s="315" t="s">
        <v>29</v>
      </c>
      <c r="I4641" s="315" t="s">
        <v>1026</v>
      </c>
      <c r="J4641" s="315" t="str">
        <f t="shared" si="381"/>
        <v>New VehicleOther Income per NV unit</v>
      </c>
      <c r="K4641" s="315" t="str">
        <f t="shared" si="382"/>
        <v>200New Vehicle Other Income - Toyota</v>
      </c>
      <c r="L4641" s="311">
        <f>+SUMIF('TUNZ Extracted TB'!M:M,$P4641,'TUNZ Extracted TB'!G:G)</f>
        <v>3089.95</v>
      </c>
      <c r="M4641" s="311"/>
      <c r="N4641" s="311">
        <f>+SUMIF('Input Sheet'!$AE:$AE,P4641,'Input Sheet'!$X:$X)</f>
        <v>0</v>
      </c>
      <c r="O4641" s="311"/>
      <c r="P4641" t="str">
        <f t="shared" si="383"/>
        <v>200-4075R</v>
      </c>
      <c r="Q4641" s="315" t="str">
        <f t="shared" si="384"/>
        <v>New Vehicle</v>
      </c>
      <c r="R4641" s="315" t="str">
        <f t="shared" si="385"/>
        <v>New VehicleOther Income per NV unit</v>
      </c>
      <c r="S4641" s="199"/>
      <c r="T4641" s="199"/>
      <c r="U4641" s="199"/>
    </row>
    <row r="4642" spans="1:21" x14ac:dyDescent="0.25">
      <c r="A4642" t="s">
        <v>996</v>
      </c>
      <c r="B4642" t="s">
        <v>997</v>
      </c>
      <c r="C4642" t="s">
        <v>997</v>
      </c>
      <c r="D4642" t="s">
        <v>853</v>
      </c>
      <c r="E4642">
        <v>100</v>
      </c>
      <c r="F4642" t="s">
        <v>1024</v>
      </c>
      <c r="G4642" t="s">
        <v>1027</v>
      </c>
      <c r="H4642" s="315" t="s">
        <v>29</v>
      </c>
      <c r="I4642" s="315" t="s">
        <v>1026</v>
      </c>
      <c r="J4642" s="315" t="str">
        <f t="shared" si="381"/>
        <v>New VehicleOther Income per NV unit</v>
      </c>
      <c r="K4642" s="315" t="str">
        <f t="shared" si="382"/>
        <v>100New Vehicle Other Income - Toyota</v>
      </c>
      <c r="L4642" s="311">
        <f>+SUMIF('TUNZ Extracted TB'!M:M,$P4642,'TUNZ Extracted TB'!G:G)</f>
        <v>2292.17</v>
      </c>
      <c r="M4642" s="311"/>
      <c r="N4642" s="311">
        <f>+SUMIF('Input Sheet'!$AE:$AE,P4642,'Input Sheet'!$X:$X)</f>
        <v>0</v>
      </c>
      <c r="O4642" s="311"/>
      <c r="P4642" t="str">
        <f t="shared" si="383"/>
        <v>100-4075R</v>
      </c>
      <c r="Q4642" s="315" t="str">
        <f t="shared" si="384"/>
        <v>New Vehicle</v>
      </c>
      <c r="R4642" s="315" t="str">
        <f t="shared" si="385"/>
        <v>New VehicleOther Income per NV unit</v>
      </c>
      <c r="S4642" s="199"/>
      <c r="T4642" s="199"/>
      <c r="U4642" s="199"/>
    </row>
    <row r="4643" spans="1:21" x14ac:dyDescent="0.25">
      <c r="A4643" t="s">
        <v>996</v>
      </c>
      <c r="B4643" t="s">
        <v>997</v>
      </c>
      <c r="C4643" t="s">
        <v>1012</v>
      </c>
      <c r="D4643" t="s">
        <v>853</v>
      </c>
      <c r="E4643">
        <v>400</v>
      </c>
      <c r="F4643" t="s">
        <v>1024</v>
      </c>
      <c r="G4643" t="s">
        <v>1027</v>
      </c>
      <c r="H4643" s="315" t="s">
        <v>29</v>
      </c>
      <c r="I4643" s="315" t="s">
        <v>1026</v>
      </c>
      <c r="J4643" s="315" t="str">
        <f t="shared" si="381"/>
        <v>New VehicleOther Income per NV unit</v>
      </c>
      <c r="K4643" s="315" t="str">
        <f t="shared" si="382"/>
        <v>400New Vehicle Other Income - Toyota</v>
      </c>
      <c r="L4643" s="311">
        <f>+SUMIF('TUNZ Extracted TB'!M:M,$P4643,'TUNZ Extracted TB'!G:G)</f>
        <v>0</v>
      </c>
      <c r="M4643" s="311"/>
      <c r="N4643" s="311">
        <f>+SUMIF('Input Sheet'!$AE:$AE,P4643,'Input Sheet'!$X:$X)</f>
        <v>0</v>
      </c>
      <c r="O4643" s="311"/>
      <c r="P4643" t="str">
        <f t="shared" si="383"/>
        <v>400-4075R</v>
      </c>
      <c r="Q4643" s="315" t="str">
        <f t="shared" si="384"/>
        <v>New Vehicle</v>
      </c>
      <c r="R4643" s="315" t="str">
        <f t="shared" si="385"/>
        <v>New VehicleOther Income per NV unit</v>
      </c>
      <c r="S4643" s="199"/>
      <c r="T4643" s="199"/>
      <c r="U4643" s="199"/>
    </row>
    <row r="4644" spans="1:21" x14ac:dyDescent="0.25">
      <c r="A4644" t="s">
        <v>996</v>
      </c>
      <c r="B4644" t="s">
        <v>997</v>
      </c>
      <c r="C4644" t="s">
        <v>1013</v>
      </c>
      <c r="D4644" t="s">
        <v>853</v>
      </c>
      <c r="E4644">
        <v>300</v>
      </c>
      <c r="F4644" t="s">
        <v>1024</v>
      </c>
      <c r="G4644" t="s">
        <v>1027</v>
      </c>
      <c r="H4644" s="315" t="s">
        <v>29</v>
      </c>
      <c r="I4644" s="315" t="s">
        <v>1026</v>
      </c>
      <c r="J4644" s="315" t="str">
        <f t="shared" si="381"/>
        <v>New VehicleOther Income per NV unit</v>
      </c>
      <c r="K4644" s="315" t="str">
        <f t="shared" si="382"/>
        <v>300New Vehicle Other Income - Toyota</v>
      </c>
      <c r="L4644" s="311">
        <f>+SUMIF('TUNZ Extracted TB'!M:M,$P4644,'TUNZ Extracted TB'!G:G)</f>
        <v>0</v>
      </c>
      <c r="M4644" s="311"/>
      <c r="N4644" s="311">
        <f>+SUMIF('Input Sheet'!$AE:$AE,P4644,'Input Sheet'!$X:$X)</f>
        <v>0</v>
      </c>
      <c r="O4644" s="311"/>
      <c r="P4644" t="str">
        <f t="shared" si="383"/>
        <v>300-4075R</v>
      </c>
      <c r="Q4644" s="315" t="str">
        <f t="shared" si="384"/>
        <v>New Vehicle</v>
      </c>
      <c r="R4644" s="315" t="str">
        <f t="shared" si="385"/>
        <v>New VehicleOther Income per NV unit</v>
      </c>
      <c r="S4644" s="199"/>
      <c r="T4644" s="199"/>
      <c r="U4644" s="199"/>
    </row>
    <row r="4645" spans="1:21" x14ac:dyDescent="0.25">
      <c r="A4645" t="s">
        <v>996</v>
      </c>
      <c r="B4645" t="s">
        <v>997</v>
      </c>
      <c r="C4645" t="s">
        <v>997</v>
      </c>
      <c r="D4645" t="s">
        <v>855</v>
      </c>
      <c r="E4645">
        <v>100</v>
      </c>
      <c r="F4645" t="s">
        <v>1024</v>
      </c>
      <c r="G4645" t="s">
        <v>1027</v>
      </c>
      <c r="H4645" s="315" t="s">
        <v>29</v>
      </c>
      <c r="I4645" s="315" t="s">
        <v>1026</v>
      </c>
      <c r="J4645" s="315" t="str">
        <f t="shared" si="381"/>
        <v>New VehicleOther Income per NV unit</v>
      </c>
      <c r="K4645" s="315" t="str">
        <f t="shared" si="382"/>
        <v>100New Vehicle Other Income - Toyota</v>
      </c>
      <c r="L4645" s="311">
        <f>+SUMIF('TUNZ Extracted TB'!M:M,$P4645,'TUNZ Extracted TB'!G:G)</f>
        <v>0</v>
      </c>
      <c r="M4645" s="311"/>
      <c r="N4645" s="311">
        <f>+SUMIF('Input Sheet'!$AE:$AE,P4645,'Input Sheet'!$X:$X)</f>
        <v>0</v>
      </c>
      <c r="O4645" s="311"/>
      <c r="P4645" t="str">
        <f t="shared" si="383"/>
        <v>100-4075RR</v>
      </c>
      <c r="Q4645" s="315" t="str">
        <f t="shared" si="384"/>
        <v>New Vehicle</v>
      </c>
      <c r="R4645" s="315" t="str">
        <f t="shared" si="385"/>
        <v>New VehicleOther Income per NV unit</v>
      </c>
      <c r="S4645" s="199"/>
      <c r="T4645" s="199"/>
      <c r="U4645" s="199"/>
    </row>
    <row r="4646" spans="1:21" x14ac:dyDescent="0.25">
      <c r="A4646" t="s">
        <v>996</v>
      </c>
      <c r="B4646" t="s">
        <v>997</v>
      </c>
      <c r="C4646" t="s">
        <v>1005</v>
      </c>
      <c r="D4646" t="s">
        <v>855</v>
      </c>
      <c r="E4646">
        <v>200</v>
      </c>
      <c r="F4646" t="s">
        <v>1024</v>
      </c>
      <c r="G4646" t="s">
        <v>1027</v>
      </c>
      <c r="H4646" s="315" t="s">
        <v>29</v>
      </c>
      <c r="I4646" s="315" t="s">
        <v>1026</v>
      </c>
      <c r="J4646" s="315" t="str">
        <f t="shared" si="381"/>
        <v>New VehicleOther Income per NV unit</v>
      </c>
      <c r="K4646" s="315" t="str">
        <f t="shared" si="382"/>
        <v>200New Vehicle Other Income - Toyota</v>
      </c>
      <c r="L4646" s="311">
        <f>+SUMIF('TUNZ Extracted TB'!M:M,$P4646,'TUNZ Extracted TB'!G:G)</f>
        <v>0</v>
      </c>
      <c r="M4646" s="311"/>
      <c r="N4646" s="311">
        <f>+SUMIF('Input Sheet'!$AE:$AE,P4646,'Input Sheet'!$X:$X)</f>
        <v>0</v>
      </c>
      <c r="O4646" s="311"/>
      <c r="P4646" t="str">
        <f t="shared" si="383"/>
        <v>200-4075RR</v>
      </c>
      <c r="Q4646" s="315" t="str">
        <f t="shared" si="384"/>
        <v>New Vehicle</v>
      </c>
      <c r="R4646" s="315" t="str">
        <f t="shared" si="385"/>
        <v>New VehicleOther Income per NV unit</v>
      </c>
      <c r="S4646" s="199"/>
      <c r="T4646" s="199"/>
      <c r="U4646" s="199"/>
    </row>
    <row r="4647" spans="1:21" x14ac:dyDescent="0.25">
      <c r="A4647" t="s">
        <v>996</v>
      </c>
      <c r="B4647" t="s">
        <v>997</v>
      </c>
      <c r="C4647" t="s">
        <v>997</v>
      </c>
      <c r="D4647" t="s">
        <v>853</v>
      </c>
      <c r="E4647">
        <v>110</v>
      </c>
      <c r="F4647" t="s">
        <v>1287</v>
      </c>
      <c r="G4647" t="s">
        <v>1288</v>
      </c>
      <c r="H4647" s="315" t="s">
        <v>30</v>
      </c>
      <c r="I4647" s="315" t="s">
        <v>1016</v>
      </c>
      <c r="J4647" s="315" t="str">
        <f t="shared" si="381"/>
        <v>Used VehicleEx NV demonstrators gross profit p.u.</v>
      </c>
      <c r="K4647" s="315" t="str">
        <f t="shared" si="382"/>
        <v>110Ex-Toyota NV demonstrator Cost of Sales</v>
      </c>
      <c r="L4647" s="311">
        <f>+SUMIF('TUNZ Extracted TB'!M:M,$P4647,'TUNZ Extracted TB'!G:G)</f>
        <v>0</v>
      </c>
      <c r="M4647" s="311"/>
      <c r="N4647" s="311">
        <f>+SUMIF('Input Sheet'!$AE:$AE,P4647,'Input Sheet'!$X:$X)</f>
        <v>0</v>
      </c>
      <c r="O4647" s="311"/>
      <c r="P4647" t="str">
        <f t="shared" si="383"/>
        <v>110-4075R</v>
      </c>
      <c r="Q4647" s="315" t="str">
        <f t="shared" si="384"/>
        <v>Used Vehicle</v>
      </c>
      <c r="R4647" s="315" t="str">
        <f t="shared" si="385"/>
        <v>Used VehicleEx NV demonstrators gross profit p.u.</v>
      </c>
      <c r="S4647" s="199"/>
      <c r="T4647" s="199"/>
      <c r="U4647" s="199"/>
    </row>
    <row r="4648" spans="1:21" x14ac:dyDescent="0.25">
      <c r="A4648" t="s">
        <v>996</v>
      </c>
      <c r="B4648" t="s">
        <v>997</v>
      </c>
      <c r="C4648" t="s">
        <v>1005</v>
      </c>
      <c r="D4648" t="s">
        <v>853</v>
      </c>
      <c r="E4648">
        <v>210</v>
      </c>
      <c r="F4648" t="s">
        <v>1287</v>
      </c>
      <c r="G4648" t="s">
        <v>1288</v>
      </c>
      <c r="H4648" s="315" t="s">
        <v>30</v>
      </c>
      <c r="I4648" s="315" t="s">
        <v>1016</v>
      </c>
      <c r="J4648" s="315" t="str">
        <f t="shared" si="381"/>
        <v>Used VehicleEx NV demonstrators gross profit p.u.</v>
      </c>
      <c r="K4648" s="315" t="str">
        <f t="shared" si="382"/>
        <v>210Ex-Toyota NV demonstrator Cost of Sales</v>
      </c>
      <c r="L4648" s="311">
        <f>+SUMIF('TUNZ Extracted TB'!M:M,$P4648,'TUNZ Extracted TB'!G:G)</f>
        <v>0</v>
      </c>
      <c r="M4648" s="311"/>
      <c r="N4648" s="311">
        <f>+SUMIF('Input Sheet'!$AE:$AE,P4648,'Input Sheet'!$X:$X)</f>
        <v>0</v>
      </c>
      <c r="O4648" s="311"/>
      <c r="P4648" t="str">
        <f t="shared" si="383"/>
        <v>210-4075R</v>
      </c>
      <c r="Q4648" s="315" t="str">
        <f t="shared" si="384"/>
        <v>Used Vehicle</v>
      </c>
      <c r="R4648" s="315" t="str">
        <f t="shared" si="385"/>
        <v>Used VehicleEx NV demonstrators gross profit p.u.</v>
      </c>
      <c r="S4648" s="199"/>
      <c r="T4648" s="199"/>
      <c r="U4648" s="199"/>
    </row>
    <row r="4649" spans="1:21" x14ac:dyDescent="0.25">
      <c r="A4649" t="s">
        <v>996</v>
      </c>
      <c r="B4649" t="s">
        <v>997</v>
      </c>
      <c r="C4649" t="s">
        <v>1012</v>
      </c>
      <c r="D4649" t="s">
        <v>853</v>
      </c>
      <c r="E4649">
        <v>410</v>
      </c>
      <c r="F4649" t="s">
        <v>1287</v>
      </c>
      <c r="G4649" t="s">
        <v>1288</v>
      </c>
      <c r="H4649" s="315" t="s">
        <v>30</v>
      </c>
      <c r="I4649" s="315" t="s">
        <v>1016</v>
      </c>
      <c r="J4649" s="315" t="str">
        <f t="shared" si="381"/>
        <v>Used VehicleEx NV demonstrators gross profit p.u.</v>
      </c>
      <c r="K4649" s="315" t="str">
        <f t="shared" si="382"/>
        <v>410Ex-Toyota NV demonstrator Cost of Sales</v>
      </c>
      <c r="L4649" s="311">
        <f>+SUMIF('TUNZ Extracted TB'!M:M,$P4649,'TUNZ Extracted TB'!G:G)</f>
        <v>0</v>
      </c>
      <c r="M4649" s="311"/>
      <c r="N4649" s="311">
        <f>+SUMIF('Input Sheet'!$AE:$AE,P4649,'Input Sheet'!$X:$X)</f>
        <v>0</v>
      </c>
      <c r="O4649" s="311"/>
      <c r="P4649" t="str">
        <f t="shared" si="383"/>
        <v>410-4075R</v>
      </c>
      <c r="Q4649" s="315" t="str">
        <f t="shared" si="384"/>
        <v>Used Vehicle</v>
      </c>
      <c r="R4649" s="315" t="str">
        <f t="shared" si="385"/>
        <v>Used VehicleEx NV demonstrators gross profit p.u.</v>
      </c>
      <c r="S4649" s="199"/>
      <c r="T4649" s="199"/>
      <c r="U4649" s="199"/>
    </row>
    <row r="4650" spans="1:21" x14ac:dyDescent="0.25">
      <c r="A4650" t="s">
        <v>996</v>
      </c>
      <c r="B4650" t="s">
        <v>997</v>
      </c>
      <c r="C4650" t="s">
        <v>1013</v>
      </c>
      <c r="D4650" t="s">
        <v>853</v>
      </c>
      <c r="E4650">
        <v>310</v>
      </c>
      <c r="F4650" t="s">
        <v>1287</v>
      </c>
      <c r="G4650" t="s">
        <v>1288</v>
      </c>
      <c r="H4650" s="315" t="s">
        <v>30</v>
      </c>
      <c r="I4650" s="315" t="s">
        <v>1016</v>
      </c>
      <c r="J4650" s="315" t="str">
        <f t="shared" si="381"/>
        <v>Used VehicleEx NV demonstrators gross profit p.u.</v>
      </c>
      <c r="K4650" s="315" t="str">
        <f t="shared" si="382"/>
        <v>310Ex-Toyota NV demonstrator Cost of Sales</v>
      </c>
      <c r="L4650" s="311">
        <f>+SUMIF('TUNZ Extracted TB'!M:M,$P4650,'TUNZ Extracted TB'!G:G)</f>
        <v>0</v>
      </c>
      <c r="M4650" s="311"/>
      <c r="N4650" s="311">
        <f>+SUMIF('Input Sheet'!$AE:$AE,P4650,'Input Sheet'!$X:$X)</f>
        <v>0</v>
      </c>
      <c r="O4650" s="311"/>
      <c r="P4650" t="str">
        <f t="shared" si="383"/>
        <v>310-4075R</v>
      </c>
      <c r="Q4650" s="315" t="str">
        <f t="shared" si="384"/>
        <v>Used Vehicle</v>
      </c>
      <c r="R4650" s="315" t="str">
        <f t="shared" si="385"/>
        <v>Used VehicleEx NV demonstrators gross profit p.u.</v>
      </c>
      <c r="S4650" s="199"/>
      <c r="T4650" s="199"/>
      <c r="U4650" s="199"/>
    </row>
    <row r="4651" spans="1:21" x14ac:dyDescent="0.25">
      <c r="A4651" t="s">
        <v>996</v>
      </c>
      <c r="B4651" t="s">
        <v>997</v>
      </c>
      <c r="C4651" t="s">
        <v>1012</v>
      </c>
      <c r="D4651" t="s">
        <v>855</v>
      </c>
      <c r="E4651">
        <v>400</v>
      </c>
      <c r="F4651" t="s">
        <v>1024</v>
      </c>
      <c r="G4651" t="s">
        <v>1027</v>
      </c>
      <c r="H4651" s="315" t="s">
        <v>29</v>
      </c>
      <c r="I4651" s="315" t="s">
        <v>1026</v>
      </c>
      <c r="J4651" s="315" t="str">
        <f t="shared" si="381"/>
        <v>New VehicleOther Income per NV unit</v>
      </c>
      <c r="K4651" s="315" t="str">
        <f t="shared" si="382"/>
        <v>400New Vehicle Other Income - Toyota</v>
      </c>
      <c r="L4651" s="311">
        <f>+SUMIF('TUNZ Extracted TB'!M:M,$P4651,'TUNZ Extracted TB'!G:G)</f>
        <v>0</v>
      </c>
      <c r="M4651" s="311"/>
      <c r="N4651" s="311">
        <f>+SUMIF('Input Sheet'!$AE:$AE,P4651,'Input Sheet'!$X:$X)</f>
        <v>0</v>
      </c>
      <c r="O4651" s="311"/>
      <c r="P4651" t="str">
        <f t="shared" si="383"/>
        <v>400-4075RR</v>
      </c>
      <c r="Q4651" s="315" t="str">
        <f t="shared" si="384"/>
        <v>New Vehicle</v>
      </c>
      <c r="R4651" s="315" t="str">
        <f t="shared" si="385"/>
        <v>New VehicleOther Income per NV unit</v>
      </c>
      <c r="S4651" s="199"/>
      <c r="T4651" s="199"/>
      <c r="U4651" s="199"/>
    </row>
    <row r="4652" spans="1:21" x14ac:dyDescent="0.25">
      <c r="A4652" t="s">
        <v>996</v>
      </c>
      <c r="B4652" t="s">
        <v>997</v>
      </c>
      <c r="C4652" t="s">
        <v>1013</v>
      </c>
      <c r="D4652" t="s">
        <v>855</v>
      </c>
      <c r="E4652">
        <v>300</v>
      </c>
      <c r="F4652" t="s">
        <v>1024</v>
      </c>
      <c r="G4652" t="s">
        <v>1027</v>
      </c>
      <c r="H4652" s="315" t="s">
        <v>29</v>
      </c>
      <c r="I4652" s="315" t="s">
        <v>1026</v>
      </c>
      <c r="J4652" s="315" t="str">
        <f t="shared" si="381"/>
        <v>New VehicleOther Income per NV unit</v>
      </c>
      <c r="K4652" s="315" t="str">
        <f t="shared" si="382"/>
        <v>300New Vehicle Other Income - Toyota</v>
      </c>
      <c r="L4652" s="311">
        <f>+SUMIF('TUNZ Extracted TB'!M:M,$P4652,'TUNZ Extracted TB'!G:G)</f>
        <v>0</v>
      </c>
      <c r="M4652" s="311"/>
      <c r="N4652" s="311">
        <f>+SUMIF('Input Sheet'!$AE:$AE,P4652,'Input Sheet'!$X:$X)</f>
        <v>0</v>
      </c>
      <c r="O4652" s="311"/>
      <c r="P4652" t="str">
        <f t="shared" si="383"/>
        <v>300-4075RR</v>
      </c>
      <c r="Q4652" s="315" t="str">
        <f t="shared" si="384"/>
        <v>New Vehicle</v>
      </c>
      <c r="R4652" s="315" t="str">
        <f t="shared" si="385"/>
        <v>New VehicleOther Income per NV unit</v>
      </c>
      <c r="S4652" s="199"/>
      <c r="T4652" s="199"/>
      <c r="U4652" s="199"/>
    </row>
    <row r="4653" spans="1:21" x14ac:dyDescent="0.25">
      <c r="A4653" t="s">
        <v>996</v>
      </c>
      <c r="B4653" t="s">
        <v>997</v>
      </c>
      <c r="C4653" t="s">
        <v>997</v>
      </c>
      <c r="D4653" t="s">
        <v>855</v>
      </c>
      <c r="E4653">
        <v>110</v>
      </c>
      <c r="F4653" t="s">
        <v>1287</v>
      </c>
      <c r="G4653" t="s">
        <v>1288</v>
      </c>
      <c r="H4653" s="315" t="s">
        <v>30</v>
      </c>
      <c r="I4653" s="315" t="s">
        <v>1016</v>
      </c>
      <c r="J4653" s="315" t="str">
        <f t="shared" si="381"/>
        <v>Used VehicleEx NV demonstrators gross profit p.u.</v>
      </c>
      <c r="K4653" s="315" t="str">
        <f t="shared" si="382"/>
        <v>110Ex-Toyota NV demonstrator Cost of Sales</v>
      </c>
      <c r="L4653" s="311">
        <f>+SUMIF('TUNZ Extracted TB'!M:M,$P4653,'TUNZ Extracted TB'!G:G)</f>
        <v>0</v>
      </c>
      <c r="M4653" s="311"/>
      <c r="N4653" s="311">
        <f>+SUMIF('Input Sheet'!$AE:$AE,P4653,'Input Sheet'!$X:$X)</f>
        <v>0</v>
      </c>
      <c r="O4653" s="311"/>
      <c r="P4653" t="str">
        <f t="shared" si="383"/>
        <v>110-4075RR</v>
      </c>
      <c r="Q4653" s="315" t="str">
        <f t="shared" si="384"/>
        <v>Used Vehicle</v>
      </c>
      <c r="R4653" s="315" t="str">
        <f t="shared" si="385"/>
        <v>Used VehicleEx NV demonstrators gross profit p.u.</v>
      </c>
      <c r="S4653" s="199"/>
      <c r="T4653" s="199"/>
      <c r="U4653" s="199"/>
    </row>
    <row r="4654" spans="1:21" x14ac:dyDescent="0.25">
      <c r="A4654" t="s">
        <v>996</v>
      </c>
      <c r="B4654" t="s">
        <v>997</v>
      </c>
      <c r="C4654" t="s">
        <v>1005</v>
      </c>
      <c r="D4654" t="s">
        <v>742</v>
      </c>
      <c r="E4654">
        <v>200</v>
      </c>
      <c r="F4654" t="s">
        <v>1024</v>
      </c>
      <c r="G4654" t="s">
        <v>1027</v>
      </c>
      <c r="H4654" s="315" t="s">
        <v>29</v>
      </c>
      <c r="I4654" s="315" t="s">
        <v>1026</v>
      </c>
      <c r="J4654" s="315" t="str">
        <f t="shared" si="381"/>
        <v>New VehicleOther Income per NV unit</v>
      </c>
      <c r="K4654" s="315" t="str">
        <f t="shared" si="382"/>
        <v>200New Vehicle Other Income - Toyota</v>
      </c>
      <c r="L4654" s="311">
        <f>+SUMIF('TUNZ Extracted TB'!M:M,$P4654,'TUNZ Extracted TB'!G:G)</f>
        <v>6498.4</v>
      </c>
      <c r="M4654" s="311"/>
      <c r="N4654" s="311">
        <f>+SUMIF('Input Sheet'!$AE:$AE,P4654,'Input Sheet'!$X:$X)</f>
        <v>0</v>
      </c>
      <c r="O4654" s="311"/>
      <c r="P4654" t="str">
        <f t="shared" si="383"/>
        <v>200-4076R</v>
      </c>
      <c r="Q4654" s="315" t="str">
        <f t="shared" si="384"/>
        <v>New Vehicle</v>
      </c>
      <c r="R4654" s="315" t="str">
        <f t="shared" si="385"/>
        <v>New VehicleOther Income per NV unit</v>
      </c>
      <c r="S4654" s="199"/>
      <c r="T4654" s="199"/>
      <c r="U4654" s="199"/>
    </row>
    <row r="4655" spans="1:21" x14ac:dyDescent="0.25">
      <c r="A4655" t="s">
        <v>996</v>
      </c>
      <c r="B4655" t="s">
        <v>997</v>
      </c>
      <c r="C4655" t="s">
        <v>1005</v>
      </c>
      <c r="D4655" t="s">
        <v>855</v>
      </c>
      <c r="E4655">
        <v>210</v>
      </c>
      <c r="F4655" t="s">
        <v>1287</v>
      </c>
      <c r="G4655" t="s">
        <v>1288</v>
      </c>
      <c r="H4655" s="315" t="s">
        <v>30</v>
      </c>
      <c r="I4655" s="315" t="s">
        <v>1016</v>
      </c>
      <c r="J4655" s="315" t="str">
        <f t="shared" si="381"/>
        <v>Used VehicleEx NV demonstrators gross profit p.u.</v>
      </c>
      <c r="K4655" s="315" t="str">
        <f t="shared" si="382"/>
        <v>210Ex-Toyota NV demonstrator Cost of Sales</v>
      </c>
      <c r="L4655" s="311">
        <f>+SUMIF('TUNZ Extracted TB'!M:M,$P4655,'TUNZ Extracted TB'!G:G)</f>
        <v>0</v>
      </c>
      <c r="M4655" s="311"/>
      <c r="N4655" s="311">
        <f>+SUMIF('Input Sheet'!$AE:$AE,P4655,'Input Sheet'!$X:$X)</f>
        <v>0</v>
      </c>
      <c r="O4655" s="311"/>
      <c r="P4655" t="str">
        <f t="shared" si="383"/>
        <v>210-4075RR</v>
      </c>
      <c r="Q4655" s="315" t="str">
        <f t="shared" si="384"/>
        <v>Used Vehicle</v>
      </c>
      <c r="R4655" s="315" t="str">
        <f t="shared" si="385"/>
        <v>Used VehicleEx NV demonstrators gross profit p.u.</v>
      </c>
      <c r="S4655" s="199"/>
      <c r="T4655" s="199"/>
      <c r="U4655" s="199"/>
    </row>
    <row r="4656" spans="1:21" x14ac:dyDescent="0.25">
      <c r="A4656" t="s">
        <v>996</v>
      </c>
      <c r="B4656" t="s">
        <v>997</v>
      </c>
      <c r="C4656" t="s">
        <v>1012</v>
      </c>
      <c r="D4656" t="s">
        <v>855</v>
      </c>
      <c r="E4656">
        <v>410</v>
      </c>
      <c r="F4656" t="s">
        <v>1287</v>
      </c>
      <c r="G4656" t="s">
        <v>1288</v>
      </c>
      <c r="H4656" s="315" t="s">
        <v>30</v>
      </c>
      <c r="I4656" s="315" t="s">
        <v>1016</v>
      </c>
      <c r="J4656" s="315" t="str">
        <f t="shared" si="381"/>
        <v>Used VehicleEx NV demonstrators gross profit p.u.</v>
      </c>
      <c r="K4656" s="315" t="str">
        <f t="shared" si="382"/>
        <v>410Ex-Toyota NV demonstrator Cost of Sales</v>
      </c>
      <c r="L4656" s="311">
        <f>+SUMIF('TUNZ Extracted TB'!M:M,$P4656,'TUNZ Extracted TB'!G:G)</f>
        <v>0</v>
      </c>
      <c r="M4656" s="311"/>
      <c r="N4656" s="311">
        <f>+SUMIF('Input Sheet'!$AE:$AE,P4656,'Input Sheet'!$X:$X)</f>
        <v>0</v>
      </c>
      <c r="O4656" s="311"/>
      <c r="P4656" t="str">
        <f t="shared" si="383"/>
        <v>410-4075RR</v>
      </c>
      <c r="Q4656" s="315" t="str">
        <f t="shared" si="384"/>
        <v>Used Vehicle</v>
      </c>
      <c r="R4656" s="315" t="str">
        <f t="shared" si="385"/>
        <v>Used VehicleEx NV demonstrators gross profit p.u.</v>
      </c>
      <c r="S4656" s="199"/>
      <c r="T4656" s="199"/>
      <c r="U4656" s="199"/>
    </row>
    <row r="4657" spans="1:21" x14ac:dyDescent="0.25">
      <c r="A4657" t="s">
        <v>996</v>
      </c>
      <c r="B4657" t="s">
        <v>997</v>
      </c>
      <c r="C4657" t="s">
        <v>1013</v>
      </c>
      <c r="D4657" t="s">
        <v>855</v>
      </c>
      <c r="E4657">
        <v>310</v>
      </c>
      <c r="F4657" t="s">
        <v>1287</v>
      </c>
      <c r="G4657" t="s">
        <v>1288</v>
      </c>
      <c r="H4657" s="315" t="s">
        <v>30</v>
      </c>
      <c r="I4657" s="315" t="s">
        <v>1016</v>
      </c>
      <c r="J4657" s="315" t="str">
        <f t="shared" si="381"/>
        <v>Used VehicleEx NV demonstrators gross profit p.u.</v>
      </c>
      <c r="K4657" s="315" t="str">
        <f t="shared" si="382"/>
        <v>310Ex-Toyota NV demonstrator Cost of Sales</v>
      </c>
      <c r="L4657" s="311">
        <f>+SUMIF('TUNZ Extracted TB'!M:M,$P4657,'TUNZ Extracted TB'!G:G)</f>
        <v>0</v>
      </c>
      <c r="M4657" s="311"/>
      <c r="N4657" s="311">
        <f>+SUMIF('Input Sheet'!$AE:$AE,P4657,'Input Sheet'!$X:$X)</f>
        <v>0</v>
      </c>
      <c r="O4657" s="311"/>
      <c r="P4657" t="str">
        <f t="shared" si="383"/>
        <v>310-4075RR</v>
      </c>
      <c r="Q4657" s="315" t="str">
        <f t="shared" si="384"/>
        <v>Used Vehicle</v>
      </c>
      <c r="R4657" s="315" t="str">
        <f t="shared" si="385"/>
        <v>Used VehicleEx NV demonstrators gross profit p.u.</v>
      </c>
      <c r="S4657" s="199"/>
      <c r="T4657" s="199"/>
      <c r="U4657" s="199"/>
    </row>
    <row r="4658" spans="1:21" x14ac:dyDescent="0.25">
      <c r="A4658" t="s">
        <v>996</v>
      </c>
      <c r="B4658" t="s">
        <v>997</v>
      </c>
      <c r="C4658" t="s">
        <v>997</v>
      </c>
      <c r="D4658" t="s">
        <v>742</v>
      </c>
      <c r="E4658">
        <v>100</v>
      </c>
      <c r="F4658" t="s">
        <v>1024</v>
      </c>
      <c r="G4658" t="s">
        <v>1027</v>
      </c>
      <c r="H4658" s="315" t="s">
        <v>29</v>
      </c>
      <c r="I4658" s="315" t="s">
        <v>1026</v>
      </c>
      <c r="J4658" s="315" t="str">
        <f t="shared" si="381"/>
        <v>New VehicleOther Income per NV unit</v>
      </c>
      <c r="K4658" s="315" t="str">
        <f t="shared" si="382"/>
        <v>100New Vehicle Other Income - Toyota</v>
      </c>
      <c r="L4658" s="311">
        <f>+SUMIF('TUNZ Extracted TB'!M:M,$P4658,'TUNZ Extracted TB'!G:G)</f>
        <v>0</v>
      </c>
      <c r="M4658" s="311"/>
      <c r="N4658" s="311">
        <f>+SUMIF('Input Sheet'!$AE:$AE,P4658,'Input Sheet'!$X:$X)</f>
        <v>0</v>
      </c>
      <c r="O4658" s="311"/>
      <c r="P4658" t="str">
        <f t="shared" si="383"/>
        <v>100-4076R</v>
      </c>
      <c r="Q4658" s="315" t="str">
        <f t="shared" si="384"/>
        <v>New Vehicle</v>
      </c>
      <c r="R4658" s="315" t="str">
        <f t="shared" si="385"/>
        <v>New VehicleOther Income per NV unit</v>
      </c>
      <c r="S4658" s="199"/>
      <c r="T4658" s="199"/>
      <c r="U4658" s="199"/>
    </row>
    <row r="4659" spans="1:21" x14ac:dyDescent="0.25">
      <c r="A4659" t="s">
        <v>996</v>
      </c>
      <c r="B4659" t="s">
        <v>997</v>
      </c>
      <c r="C4659" t="s">
        <v>1012</v>
      </c>
      <c r="D4659" t="s">
        <v>742</v>
      </c>
      <c r="E4659">
        <v>400</v>
      </c>
      <c r="F4659" t="s">
        <v>1024</v>
      </c>
      <c r="G4659" t="s">
        <v>1027</v>
      </c>
      <c r="H4659" s="315" t="s">
        <v>29</v>
      </c>
      <c r="I4659" s="315" t="s">
        <v>1026</v>
      </c>
      <c r="J4659" s="315" t="str">
        <f t="shared" si="381"/>
        <v>New VehicleOther Income per NV unit</v>
      </c>
      <c r="K4659" s="315" t="str">
        <f t="shared" si="382"/>
        <v>400New Vehicle Other Income - Toyota</v>
      </c>
      <c r="L4659" s="311">
        <f>+SUMIF('TUNZ Extracted TB'!M:M,$P4659,'TUNZ Extracted TB'!G:G)</f>
        <v>0</v>
      </c>
      <c r="M4659" s="311"/>
      <c r="N4659" s="311">
        <f>+SUMIF('Input Sheet'!$AE:$AE,P4659,'Input Sheet'!$X:$X)</f>
        <v>0</v>
      </c>
      <c r="O4659" s="311"/>
      <c r="P4659" t="str">
        <f t="shared" si="383"/>
        <v>400-4076R</v>
      </c>
      <c r="Q4659" s="315" t="str">
        <f t="shared" si="384"/>
        <v>New Vehicle</v>
      </c>
      <c r="R4659" s="315" t="str">
        <f t="shared" si="385"/>
        <v>New VehicleOther Income per NV unit</v>
      </c>
      <c r="S4659" s="199"/>
      <c r="T4659" s="199"/>
      <c r="U4659" s="199"/>
    </row>
    <row r="4660" spans="1:21" x14ac:dyDescent="0.25">
      <c r="A4660" t="s">
        <v>996</v>
      </c>
      <c r="B4660" t="s">
        <v>997</v>
      </c>
      <c r="C4660" t="s">
        <v>1013</v>
      </c>
      <c r="D4660" t="s">
        <v>742</v>
      </c>
      <c r="E4660">
        <v>300</v>
      </c>
      <c r="F4660" t="s">
        <v>1024</v>
      </c>
      <c r="G4660" t="s">
        <v>1027</v>
      </c>
      <c r="H4660" s="315" t="s">
        <v>29</v>
      </c>
      <c r="I4660" s="315" t="s">
        <v>1026</v>
      </c>
      <c r="J4660" s="315" t="str">
        <f t="shared" si="381"/>
        <v>New VehicleOther Income per NV unit</v>
      </c>
      <c r="K4660" s="315" t="str">
        <f t="shared" si="382"/>
        <v>300New Vehicle Other Income - Toyota</v>
      </c>
      <c r="L4660" s="311">
        <f>+SUMIF('TUNZ Extracted TB'!M:M,$P4660,'TUNZ Extracted TB'!G:G)</f>
        <v>0</v>
      </c>
      <c r="M4660" s="311"/>
      <c r="N4660" s="311">
        <f>+SUMIF('Input Sheet'!$AE:$AE,P4660,'Input Sheet'!$X:$X)</f>
        <v>0</v>
      </c>
      <c r="O4660" s="311"/>
      <c r="P4660" t="str">
        <f t="shared" si="383"/>
        <v>300-4076R</v>
      </c>
      <c r="Q4660" s="315" t="str">
        <f t="shared" si="384"/>
        <v>New Vehicle</v>
      </c>
      <c r="R4660" s="315" t="str">
        <f t="shared" si="385"/>
        <v>New VehicleOther Income per NV unit</v>
      </c>
      <c r="S4660" s="199"/>
      <c r="T4660" s="199"/>
      <c r="U4660" s="199"/>
    </row>
    <row r="4661" spans="1:21" x14ac:dyDescent="0.25">
      <c r="A4661" t="s">
        <v>996</v>
      </c>
      <c r="B4661" t="s">
        <v>997</v>
      </c>
      <c r="C4661" t="s">
        <v>997</v>
      </c>
      <c r="D4661" t="s">
        <v>745</v>
      </c>
      <c r="E4661">
        <v>100</v>
      </c>
      <c r="F4661" t="s">
        <v>1024</v>
      </c>
      <c r="G4661" t="s">
        <v>1027</v>
      </c>
      <c r="H4661" s="315" t="s">
        <v>29</v>
      </c>
      <c r="I4661" s="315" t="s">
        <v>1026</v>
      </c>
      <c r="J4661" s="315" t="str">
        <f t="shared" si="381"/>
        <v>New VehicleOther Income per NV unit</v>
      </c>
      <c r="K4661" s="315" t="str">
        <f t="shared" si="382"/>
        <v>100New Vehicle Other Income - Toyota</v>
      </c>
      <c r="L4661" s="311">
        <f>+SUMIF('TUNZ Extracted TB'!M:M,$P4661,'TUNZ Extracted TB'!G:G)</f>
        <v>0</v>
      </c>
      <c r="M4661" s="311"/>
      <c r="N4661" s="311">
        <f>+SUMIF('Input Sheet'!$AE:$AE,P4661,'Input Sheet'!$X:$X)</f>
        <v>0</v>
      </c>
      <c r="O4661" s="311"/>
      <c r="P4661" t="str">
        <f t="shared" si="383"/>
        <v>100-4076RR</v>
      </c>
      <c r="Q4661" s="315" t="str">
        <f t="shared" si="384"/>
        <v>New Vehicle</v>
      </c>
      <c r="R4661" s="315" t="str">
        <f t="shared" si="385"/>
        <v>New VehicleOther Income per NV unit</v>
      </c>
      <c r="S4661" s="199"/>
      <c r="T4661" s="199"/>
      <c r="U4661" s="199"/>
    </row>
    <row r="4662" spans="1:21" x14ac:dyDescent="0.25">
      <c r="A4662" t="s">
        <v>996</v>
      </c>
      <c r="B4662" t="s">
        <v>997</v>
      </c>
      <c r="C4662" t="s">
        <v>997</v>
      </c>
      <c r="D4662" t="s">
        <v>742</v>
      </c>
      <c r="E4662">
        <v>110</v>
      </c>
      <c r="F4662" t="s">
        <v>1287</v>
      </c>
      <c r="G4662" t="s">
        <v>1288</v>
      </c>
      <c r="H4662" s="315" t="s">
        <v>30</v>
      </c>
      <c r="I4662" s="315" t="s">
        <v>1016</v>
      </c>
      <c r="J4662" s="315" t="str">
        <f t="shared" si="381"/>
        <v>Used VehicleEx NV demonstrators gross profit p.u.</v>
      </c>
      <c r="K4662" s="315" t="str">
        <f t="shared" si="382"/>
        <v>110Ex-Toyota NV demonstrator Cost of Sales</v>
      </c>
      <c r="L4662" s="311">
        <f>+SUMIF('TUNZ Extracted TB'!M:M,$P4662,'TUNZ Extracted TB'!G:G)</f>
        <v>0</v>
      </c>
      <c r="M4662" s="311"/>
      <c r="N4662" s="311">
        <f>+SUMIF('Input Sheet'!$AE:$AE,P4662,'Input Sheet'!$X:$X)</f>
        <v>0</v>
      </c>
      <c r="O4662" s="311"/>
      <c r="P4662" t="str">
        <f t="shared" si="383"/>
        <v>110-4076R</v>
      </c>
      <c r="Q4662" s="315" t="str">
        <f t="shared" si="384"/>
        <v>Used Vehicle</v>
      </c>
      <c r="R4662" s="315" t="str">
        <f t="shared" si="385"/>
        <v>Used VehicleEx NV demonstrators gross profit p.u.</v>
      </c>
      <c r="S4662" s="199"/>
      <c r="T4662" s="199"/>
      <c r="U4662" s="199"/>
    </row>
    <row r="4663" spans="1:21" x14ac:dyDescent="0.25">
      <c r="A4663" t="s">
        <v>996</v>
      </c>
      <c r="B4663" t="s">
        <v>997</v>
      </c>
      <c r="C4663" t="s">
        <v>1005</v>
      </c>
      <c r="D4663" t="s">
        <v>745</v>
      </c>
      <c r="E4663">
        <v>200</v>
      </c>
      <c r="F4663" t="s">
        <v>1024</v>
      </c>
      <c r="G4663" t="s">
        <v>1027</v>
      </c>
      <c r="H4663" s="315" t="s">
        <v>29</v>
      </c>
      <c r="I4663" s="315" t="s">
        <v>1026</v>
      </c>
      <c r="J4663" s="315" t="str">
        <f t="shared" si="381"/>
        <v>New VehicleOther Income per NV unit</v>
      </c>
      <c r="K4663" s="315" t="str">
        <f t="shared" si="382"/>
        <v>200New Vehicle Other Income - Toyota</v>
      </c>
      <c r="L4663" s="311">
        <f>+SUMIF('TUNZ Extracted TB'!M:M,$P4663,'TUNZ Extracted TB'!G:G)</f>
        <v>0</v>
      </c>
      <c r="M4663" s="311"/>
      <c r="N4663" s="311">
        <f>+SUMIF('Input Sheet'!$AE:$AE,P4663,'Input Sheet'!$X:$X)</f>
        <v>0</v>
      </c>
      <c r="O4663" s="311"/>
      <c r="P4663" t="str">
        <f t="shared" si="383"/>
        <v>200-4076RR</v>
      </c>
      <c r="Q4663" s="315" t="str">
        <f t="shared" si="384"/>
        <v>New Vehicle</v>
      </c>
      <c r="R4663" s="315" t="str">
        <f t="shared" si="385"/>
        <v>New VehicleOther Income per NV unit</v>
      </c>
      <c r="S4663" s="199"/>
      <c r="T4663" s="199"/>
      <c r="U4663" s="199"/>
    </row>
    <row r="4664" spans="1:21" x14ac:dyDescent="0.25">
      <c r="A4664" t="s">
        <v>996</v>
      </c>
      <c r="B4664" t="s">
        <v>997</v>
      </c>
      <c r="C4664" t="s">
        <v>1005</v>
      </c>
      <c r="D4664" t="s">
        <v>742</v>
      </c>
      <c r="E4664">
        <v>210</v>
      </c>
      <c r="F4664" t="s">
        <v>1287</v>
      </c>
      <c r="G4664" t="s">
        <v>1288</v>
      </c>
      <c r="H4664" s="315" t="s">
        <v>30</v>
      </c>
      <c r="I4664" s="315" t="s">
        <v>1016</v>
      </c>
      <c r="J4664" s="315" t="str">
        <f t="shared" si="381"/>
        <v>Used VehicleEx NV demonstrators gross profit p.u.</v>
      </c>
      <c r="K4664" s="315" t="str">
        <f t="shared" si="382"/>
        <v>210Ex-Toyota NV demonstrator Cost of Sales</v>
      </c>
      <c r="L4664" s="311">
        <f>+SUMIF('TUNZ Extracted TB'!M:M,$P4664,'TUNZ Extracted TB'!G:G)</f>
        <v>0</v>
      </c>
      <c r="M4664" s="311"/>
      <c r="N4664" s="311">
        <f>+SUMIF('Input Sheet'!$AE:$AE,P4664,'Input Sheet'!$X:$X)</f>
        <v>0</v>
      </c>
      <c r="O4664" s="311"/>
      <c r="P4664" t="str">
        <f t="shared" si="383"/>
        <v>210-4076R</v>
      </c>
      <c r="Q4664" s="315" t="str">
        <f t="shared" si="384"/>
        <v>Used Vehicle</v>
      </c>
      <c r="R4664" s="315" t="str">
        <f t="shared" si="385"/>
        <v>Used VehicleEx NV demonstrators gross profit p.u.</v>
      </c>
      <c r="S4664" s="199"/>
      <c r="T4664" s="199"/>
      <c r="U4664" s="199"/>
    </row>
    <row r="4665" spans="1:21" x14ac:dyDescent="0.25">
      <c r="A4665" t="s">
        <v>996</v>
      </c>
      <c r="B4665" t="s">
        <v>997</v>
      </c>
      <c r="C4665" t="s">
        <v>1012</v>
      </c>
      <c r="D4665" t="s">
        <v>742</v>
      </c>
      <c r="E4665">
        <v>410</v>
      </c>
      <c r="F4665" t="s">
        <v>1287</v>
      </c>
      <c r="G4665" t="s">
        <v>1288</v>
      </c>
      <c r="H4665" s="315" t="s">
        <v>30</v>
      </c>
      <c r="I4665" s="315" t="s">
        <v>1016</v>
      </c>
      <c r="J4665" s="315" t="str">
        <f t="shared" si="381"/>
        <v>Used VehicleEx NV demonstrators gross profit p.u.</v>
      </c>
      <c r="K4665" s="315" t="str">
        <f t="shared" si="382"/>
        <v>410Ex-Toyota NV demonstrator Cost of Sales</v>
      </c>
      <c r="L4665" s="311">
        <f>+SUMIF('TUNZ Extracted TB'!M:M,$P4665,'TUNZ Extracted TB'!G:G)</f>
        <v>0</v>
      </c>
      <c r="M4665" s="311"/>
      <c r="N4665" s="311">
        <f>+SUMIF('Input Sheet'!$AE:$AE,P4665,'Input Sheet'!$X:$X)</f>
        <v>0</v>
      </c>
      <c r="O4665" s="311"/>
      <c r="P4665" t="str">
        <f t="shared" si="383"/>
        <v>410-4076R</v>
      </c>
      <c r="Q4665" s="315" t="str">
        <f t="shared" si="384"/>
        <v>Used Vehicle</v>
      </c>
      <c r="R4665" s="315" t="str">
        <f t="shared" si="385"/>
        <v>Used VehicleEx NV demonstrators gross profit p.u.</v>
      </c>
      <c r="S4665" s="199"/>
      <c r="T4665" s="199"/>
      <c r="U4665" s="199"/>
    </row>
    <row r="4666" spans="1:21" x14ac:dyDescent="0.25">
      <c r="A4666" t="s">
        <v>996</v>
      </c>
      <c r="B4666" t="s">
        <v>997</v>
      </c>
      <c r="C4666" t="s">
        <v>1013</v>
      </c>
      <c r="D4666" t="s">
        <v>742</v>
      </c>
      <c r="E4666">
        <v>310</v>
      </c>
      <c r="F4666" t="s">
        <v>1287</v>
      </c>
      <c r="G4666" t="s">
        <v>1288</v>
      </c>
      <c r="H4666" s="315" t="s">
        <v>30</v>
      </c>
      <c r="I4666" s="315" t="s">
        <v>1016</v>
      </c>
      <c r="J4666" s="315" t="str">
        <f t="shared" si="381"/>
        <v>Used VehicleEx NV demonstrators gross profit p.u.</v>
      </c>
      <c r="K4666" s="315" t="str">
        <f t="shared" si="382"/>
        <v>310Ex-Toyota NV demonstrator Cost of Sales</v>
      </c>
      <c r="L4666" s="311">
        <f>+SUMIF('TUNZ Extracted TB'!M:M,$P4666,'TUNZ Extracted TB'!G:G)</f>
        <v>0</v>
      </c>
      <c r="M4666" s="311"/>
      <c r="N4666" s="311">
        <f>+SUMIF('Input Sheet'!$AE:$AE,P4666,'Input Sheet'!$X:$X)</f>
        <v>0</v>
      </c>
      <c r="O4666" s="311"/>
      <c r="P4666" t="str">
        <f t="shared" si="383"/>
        <v>310-4076R</v>
      </c>
      <c r="Q4666" s="315" t="str">
        <f t="shared" si="384"/>
        <v>Used Vehicle</v>
      </c>
      <c r="R4666" s="315" t="str">
        <f t="shared" si="385"/>
        <v>Used VehicleEx NV demonstrators gross profit p.u.</v>
      </c>
      <c r="S4666" s="199"/>
      <c r="T4666" s="199"/>
      <c r="U4666" s="199"/>
    </row>
    <row r="4667" spans="1:21" x14ac:dyDescent="0.25">
      <c r="A4667" t="s">
        <v>996</v>
      </c>
      <c r="B4667" t="s">
        <v>997</v>
      </c>
      <c r="C4667" t="s">
        <v>1012</v>
      </c>
      <c r="D4667" t="s">
        <v>745</v>
      </c>
      <c r="E4667">
        <v>400</v>
      </c>
      <c r="F4667" t="s">
        <v>1024</v>
      </c>
      <c r="G4667" t="s">
        <v>1027</v>
      </c>
      <c r="H4667" s="315" t="s">
        <v>29</v>
      </c>
      <c r="I4667" s="315" t="s">
        <v>1026</v>
      </c>
      <c r="J4667" s="315" t="str">
        <f t="shared" si="381"/>
        <v>New VehicleOther Income per NV unit</v>
      </c>
      <c r="K4667" s="315" t="str">
        <f t="shared" si="382"/>
        <v>400New Vehicle Other Income - Toyota</v>
      </c>
      <c r="L4667" s="311">
        <f>+SUMIF('TUNZ Extracted TB'!M:M,$P4667,'TUNZ Extracted TB'!G:G)</f>
        <v>0</v>
      </c>
      <c r="M4667" s="311"/>
      <c r="N4667" s="311">
        <f>+SUMIF('Input Sheet'!$AE:$AE,P4667,'Input Sheet'!$X:$X)</f>
        <v>0</v>
      </c>
      <c r="O4667" s="311"/>
      <c r="P4667" t="str">
        <f t="shared" si="383"/>
        <v>400-4076RR</v>
      </c>
      <c r="Q4667" s="315" t="str">
        <f t="shared" si="384"/>
        <v>New Vehicle</v>
      </c>
      <c r="R4667" s="315" t="str">
        <f t="shared" si="385"/>
        <v>New VehicleOther Income per NV unit</v>
      </c>
      <c r="S4667" s="199"/>
      <c r="T4667" s="199"/>
      <c r="U4667" s="199"/>
    </row>
    <row r="4668" spans="1:21" x14ac:dyDescent="0.25">
      <c r="A4668" t="s">
        <v>996</v>
      </c>
      <c r="B4668" t="s">
        <v>997</v>
      </c>
      <c r="C4668" t="s">
        <v>1013</v>
      </c>
      <c r="D4668" t="s">
        <v>745</v>
      </c>
      <c r="E4668">
        <v>300</v>
      </c>
      <c r="F4668" t="s">
        <v>1024</v>
      </c>
      <c r="G4668" t="s">
        <v>1027</v>
      </c>
      <c r="H4668" s="315" t="s">
        <v>29</v>
      </c>
      <c r="I4668" s="315" t="s">
        <v>1026</v>
      </c>
      <c r="J4668" s="315" t="str">
        <f t="shared" si="381"/>
        <v>New VehicleOther Income per NV unit</v>
      </c>
      <c r="K4668" s="315" t="str">
        <f t="shared" si="382"/>
        <v>300New Vehicle Other Income - Toyota</v>
      </c>
      <c r="L4668" s="311">
        <f>+SUMIF('TUNZ Extracted TB'!M:M,$P4668,'TUNZ Extracted TB'!G:G)</f>
        <v>0</v>
      </c>
      <c r="M4668" s="311"/>
      <c r="N4668" s="311">
        <f>+SUMIF('Input Sheet'!$AE:$AE,P4668,'Input Sheet'!$X:$X)</f>
        <v>0</v>
      </c>
      <c r="O4668" s="311"/>
      <c r="P4668" t="str">
        <f t="shared" si="383"/>
        <v>300-4076RR</v>
      </c>
      <c r="Q4668" s="315" t="str">
        <f t="shared" si="384"/>
        <v>New Vehicle</v>
      </c>
      <c r="R4668" s="315" t="str">
        <f t="shared" si="385"/>
        <v>New VehicleOther Income per NV unit</v>
      </c>
      <c r="S4668" s="199"/>
      <c r="T4668" s="199"/>
      <c r="U4668" s="199"/>
    </row>
    <row r="4669" spans="1:21" x14ac:dyDescent="0.25">
      <c r="A4669" t="s">
        <v>996</v>
      </c>
      <c r="B4669" t="s">
        <v>997</v>
      </c>
      <c r="C4669" t="s">
        <v>997</v>
      </c>
      <c r="D4669" t="s">
        <v>745</v>
      </c>
      <c r="E4669">
        <v>110</v>
      </c>
      <c r="F4669" t="s">
        <v>1287</v>
      </c>
      <c r="G4669" t="s">
        <v>1288</v>
      </c>
      <c r="H4669" s="315" t="s">
        <v>30</v>
      </c>
      <c r="I4669" s="315" t="s">
        <v>1016</v>
      </c>
      <c r="J4669" s="315" t="str">
        <f t="shared" si="381"/>
        <v>Used VehicleEx NV demonstrators gross profit p.u.</v>
      </c>
      <c r="K4669" s="315" t="str">
        <f t="shared" si="382"/>
        <v>110Ex-Toyota NV demonstrator Cost of Sales</v>
      </c>
      <c r="L4669" s="311">
        <f>+SUMIF('TUNZ Extracted TB'!M:M,$P4669,'TUNZ Extracted TB'!G:G)</f>
        <v>0</v>
      </c>
      <c r="M4669" s="311"/>
      <c r="N4669" s="311">
        <f>+SUMIF('Input Sheet'!$AE:$AE,P4669,'Input Sheet'!$X:$X)</f>
        <v>0</v>
      </c>
      <c r="O4669" s="311"/>
      <c r="P4669" t="str">
        <f t="shared" si="383"/>
        <v>110-4076RR</v>
      </c>
      <c r="Q4669" s="315" t="str">
        <f t="shared" si="384"/>
        <v>Used Vehicle</v>
      </c>
      <c r="R4669" s="315" t="str">
        <f t="shared" si="385"/>
        <v>Used VehicleEx NV demonstrators gross profit p.u.</v>
      </c>
      <c r="S4669" s="199"/>
      <c r="T4669" s="199"/>
      <c r="U4669" s="199"/>
    </row>
    <row r="4670" spans="1:21" x14ac:dyDescent="0.25">
      <c r="A4670" t="s">
        <v>996</v>
      </c>
      <c r="B4670" t="s">
        <v>997</v>
      </c>
      <c r="C4670" t="s">
        <v>997</v>
      </c>
      <c r="D4670" t="s">
        <v>1567</v>
      </c>
      <c r="E4670">
        <v>100</v>
      </c>
      <c r="F4670" t="s">
        <v>1024</v>
      </c>
      <c r="G4670" t="s">
        <v>1027</v>
      </c>
      <c r="H4670" s="315" t="s">
        <v>29</v>
      </c>
      <c r="I4670" s="315" t="s">
        <v>1026</v>
      </c>
      <c r="J4670" s="315" t="str">
        <f t="shared" si="381"/>
        <v>New VehicleOther Income per NV unit</v>
      </c>
      <c r="K4670" s="315" t="str">
        <f t="shared" si="382"/>
        <v>100New Vehicle Other Income - Toyota</v>
      </c>
      <c r="L4670" s="311">
        <f>+SUMIF('TUNZ Extracted TB'!M:M,$P4670,'TUNZ Extracted TB'!G:G)</f>
        <v>0</v>
      </c>
      <c r="M4670" s="311"/>
      <c r="N4670" s="311">
        <f>+SUMIF('Input Sheet'!$AE:$AE,P4670,'Input Sheet'!$X:$X)</f>
        <v>0</v>
      </c>
      <c r="O4670" s="311"/>
      <c r="P4670" t="str">
        <f t="shared" si="383"/>
        <v>100-4077R</v>
      </c>
      <c r="Q4670" s="315" t="str">
        <f t="shared" si="384"/>
        <v>New Vehicle</v>
      </c>
      <c r="R4670" s="315" t="str">
        <f t="shared" si="385"/>
        <v>New VehicleOther Income per NV unit</v>
      </c>
      <c r="S4670" s="199"/>
      <c r="T4670" s="199"/>
      <c r="U4670" s="199"/>
    </row>
    <row r="4671" spans="1:21" x14ac:dyDescent="0.25">
      <c r="A4671" t="s">
        <v>996</v>
      </c>
      <c r="B4671" t="s">
        <v>997</v>
      </c>
      <c r="C4671" t="s">
        <v>1005</v>
      </c>
      <c r="D4671" t="s">
        <v>745</v>
      </c>
      <c r="E4671">
        <v>210</v>
      </c>
      <c r="F4671" t="s">
        <v>1287</v>
      </c>
      <c r="G4671" t="s">
        <v>1288</v>
      </c>
      <c r="H4671" s="315" t="s">
        <v>30</v>
      </c>
      <c r="I4671" s="315" t="s">
        <v>1016</v>
      </c>
      <c r="J4671" s="315" t="str">
        <f t="shared" si="381"/>
        <v>Used VehicleEx NV demonstrators gross profit p.u.</v>
      </c>
      <c r="K4671" s="315" t="str">
        <f t="shared" si="382"/>
        <v>210Ex-Toyota NV demonstrator Cost of Sales</v>
      </c>
      <c r="L4671" s="311">
        <f>+SUMIF('TUNZ Extracted TB'!M:M,$P4671,'TUNZ Extracted TB'!G:G)</f>
        <v>0</v>
      </c>
      <c r="M4671" s="311"/>
      <c r="N4671" s="311">
        <f>+SUMIF('Input Sheet'!$AE:$AE,P4671,'Input Sheet'!$X:$X)</f>
        <v>0</v>
      </c>
      <c r="O4671" s="311"/>
      <c r="P4671" t="str">
        <f t="shared" si="383"/>
        <v>210-4076RR</v>
      </c>
      <c r="Q4671" s="315" t="str">
        <f t="shared" si="384"/>
        <v>Used Vehicle</v>
      </c>
      <c r="R4671" s="315" t="str">
        <f t="shared" si="385"/>
        <v>Used VehicleEx NV demonstrators gross profit p.u.</v>
      </c>
      <c r="S4671" s="199"/>
      <c r="T4671" s="199"/>
      <c r="U4671" s="199"/>
    </row>
    <row r="4672" spans="1:21" x14ac:dyDescent="0.25">
      <c r="A4672" t="s">
        <v>996</v>
      </c>
      <c r="B4672" t="s">
        <v>997</v>
      </c>
      <c r="C4672" t="s">
        <v>1012</v>
      </c>
      <c r="D4672" t="s">
        <v>745</v>
      </c>
      <c r="E4672">
        <v>410</v>
      </c>
      <c r="F4672" t="s">
        <v>1287</v>
      </c>
      <c r="G4672" t="s">
        <v>1288</v>
      </c>
      <c r="H4672" s="315" t="s">
        <v>30</v>
      </c>
      <c r="I4672" s="315" t="s">
        <v>1016</v>
      </c>
      <c r="J4672" s="315" t="str">
        <f t="shared" si="381"/>
        <v>Used VehicleEx NV demonstrators gross profit p.u.</v>
      </c>
      <c r="K4672" s="315" t="str">
        <f t="shared" si="382"/>
        <v>410Ex-Toyota NV demonstrator Cost of Sales</v>
      </c>
      <c r="L4672" s="311">
        <f>+SUMIF('TUNZ Extracted TB'!M:M,$P4672,'TUNZ Extracted TB'!G:G)</f>
        <v>0</v>
      </c>
      <c r="M4672" s="311"/>
      <c r="N4672" s="311">
        <f>+SUMIF('Input Sheet'!$AE:$AE,P4672,'Input Sheet'!$X:$X)</f>
        <v>0</v>
      </c>
      <c r="O4672" s="311"/>
      <c r="P4672" t="str">
        <f t="shared" si="383"/>
        <v>410-4076RR</v>
      </c>
      <c r="Q4672" s="315" t="str">
        <f t="shared" si="384"/>
        <v>Used Vehicle</v>
      </c>
      <c r="R4672" s="315" t="str">
        <f t="shared" si="385"/>
        <v>Used VehicleEx NV demonstrators gross profit p.u.</v>
      </c>
      <c r="S4672" s="199"/>
      <c r="T4672" s="199"/>
      <c r="U4672" s="199"/>
    </row>
    <row r="4673" spans="1:21" x14ac:dyDescent="0.25">
      <c r="A4673" t="s">
        <v>996</v>
      </c>
      <c r="B4673" t="s">
        <v>997</v>
      </c>
      <c r="C4673" t="s">
        <v>1013</v>
      </c>
      <c r="D4673" t="s">
        <v>745</v>
      </c>
      <c r="E4673">
        <v>310</v>
      </c>
      <c r="F4673" t="s">
        <v>1287</v>
      </c>
      <c r="G4673" t="s">
        <v>1288</v>
      </c>
      <c r="H4673" s="315" t="s">
        <v>30</v>
      </c>
      <c r="I4673" s="315" t="s">
        <v>1016</v>
      </c>
      <c r="J4673" s="315" t="str">
        <f t="shared" si="381"/>
        <v>Used VehicleEx NV demonstrators gross profit p.u.</v>
      </c>
      <c r="K4673" s="315" t="str">
        <f t="shared" si="382"/>
        <v>310Ex-Toyota NV demonstrator Cost of Sales</v>
      </c>
      <c r="L4673" s="311">
        <f>+SUMIF('TUNZ Extracted TB'!M:M,$P4673,'TUNZ Extracted TB'!G:G)</f>
        <v>0</v>
      </c>
      <c r="M4673" s="311"/>
      <c r="N4673" s="311">
        <f>+SUMIF('Input Sheet'!$AE:$AE,P4673,'Input Sheet'!$X:$X)</f>
        <v>0</v>
      </c>
      <c r="O4673" s="311"/>
      <c r="P4673" t="str">
        <f t="shared" si="383"/>
        <v>310-4076RR</v>
      </c>
      <c r="Q4673" s="315" t="str">
        <f t="shared" si="384"/>
        <v>Used Vehicle</v>
      </c>
      <c r="R4673" s="315" t="str">
        <f t="shared" si="385"/>
        <v>Used VehicleEx NV demonstrators gross profit p.u.</v>
      </c>
      <c r="S4673" s="199"/>
      <c r="T4673" s="199"/>
      <c r="U4673" s="199"/>
    </row>
    <row r="4674" spans="1:21" x14ac:dyDescent="0.25">
      <c r="A4674" t="s">
        <v>996</v>
      </c>
      <c r="B4674" t="s">
        <v>997</v>
      </c>
      <c r="C4674" t="s">
        <v>1005</v>
      </c>
      <c r="D4674" t="s">
        <v>1567</v>
      </c>
      <c r="E4674">
        <v>200</v>
      </c>
      <c r="F4674" t="s">
        <v>1024</v>
      </c>
      <c r="G4674" t="s">
        <v>1027</v>
      </c>
      <c r="H4674" s="315" t="s">
        <v>29</v>
      </c>
      <c r="I4674" s="315" t="s">
        <v>1026</v>
      </c>
      <c r="J4674" s="315" t="str">
        <f t="shared" si="381"/>
        <v>New VehicleOther Income per NV unit</v>
      </c>
      <c r="K4674" s="315" t="str">
        <f t="shared" si="382"/>
        <v>200New Vehicle Other Income - Toyota</v>
      </c>
      <c r="L4674" s="311">
        <f>+SUMIF('TUNZ Extracted TB'!M:M,$P4674,'TUNZ Extracted TB'!G:G)</f>
        <v>0</v>
      </c>
      <c r="M4674" s="311"/>
      <c r="N4674" s="311">
        <f>+SUMIF('Input Sheet'!$AE:$AE,P4674,'Input Sheet'!$X:$X)</f>
        <v>0</v>
      </c>
      <c r="O4674" s="311"/>
      <c r="P4674" t="str">
        <f t="shared" si="383"/>
        <v>200-4077R</v>
      </c>
      <c r="Q4674" s="315" t="str">
        <f t="shared" si="384"/>
        <v>New Vehicle</v>
      </c>
      <c r="R4674" s="315" t="str">
        <f t="shared" si="385"/>
        <v>New VehicleOther Income per NV unit</v>
      </c>
      <c r="S4674" s="199"/>
      <c r="T4674" s="199"/>
      <c r="U4674" s="199"/>
    </row>
    <row r="4675" spans="1:21" x14ac:dyDescent="0.25">
      <c r="A4675" t="s">
        <v>996</v>
      </c>
      <c r="B4675" t="s">
        <v>997</v>
      </c>
      <c r="C4675" t="s">
        <v>1012</v>
      </c>
      <c r="D4675" t="s">
        <v>1567</v>
      </c>
      <c r="E4675">
        <v>400</v>
      </c>
      <c r="F4675" t="s">
        <v>1024</v>
      </c>
      <c r="G4675" t="s">
        <v>1027</v>
      </c>
      <c r="H4675" s="315" t="s">
        <v>29</v>
      </c>
      <c r="I4675" s="315" t="s">
        <v>1026</v>
      </c>
      <c r="J4675" s="315" t="str">
        <f t="shared" ref="J4675:J4738" si="386">+H4675&amp;I4675</f>
        <v>New VehicleOther Income per NV unit</v>
      </c>
      <c r="K4675" s="315" t="str">
        <f t="shared" ref="K4675:K4738" si="387">+E4675&amp;G4675</f>
        <v>400New Vehicle Other Income - Toyota</v>
      </c>
      <c r="L4675" s="311">
        <f>+SUMIF('TUNZ Extracted TB'!M:M,$P4675,'TUNZ Extracted TB'!G:G)</f>
        <v>0</v>
      </c>
      <c r="M4675" s="311"/>
      <c r="N4675" s="311">
        <f>+SUMIF('Input Sheet'!$AE:$AE,P4675,'Input Sheet'!$X:$X)</f>
        <v>0</v>
      </c>
      <c r="O4675" s="311"/>
      <c r="P4675" t="str">
        <f t="shared" ref="P4675:P4738" si="388">+E4675&amp;"-"&amp;D4675</f>
        <v>400-4077R</v>
      </c>
      <c r="Q4675" s="315" t="str">
        <f t="shared" ref="Q4675:Q4738" si="389">H4675</f>
        <v>New Vehicle</v>
      </c>
      <c r="R4675" s="315" t="str">
        <f t="shared" ref="R4675:R4738" si="390">J4675</f>
        <v>New VehicleOther Income per NV unit</v>
      </c>
      <c r="S4675" s="199"/>
      <c r="T4675" s="199"/>
      <c r="U4675" s="199"/>
    </row>
    <row r="4676" spans="1:21" x14ac:dyDescent="0.25">
      <c r="A4676" t="s">
        <v>996</v>
      </c>
      <c r="B4676" t="s">
        <v>997</v>
      </c>
      <c r="C4676" t="s">
        <v>1013</v>
      </c>
      <c r="D4676" t="s">
        <v>1567</v>
      </c>
      <c r="E4676">
        <v>300</v>
      </c>
      <c r="F4676" t="s">
        <v>1024</v>
      </c>
      <c r="G4676" t="s">
        <v>1027</v>
      </c>
      <c r="H4676" s="315" t="s">
        <v>29</v>
      </c>
      <c r="I4676" s="315" t="s">
        <v>1026</v>
      </c>
      <c r="J4676" s="315" t="str">
        <f t="shared" si="386"/>
        <v>New VehicleOther Income per NV unit</v>
      </c>
      <c r="K4676" s="315" t="str">
        <f t="shared" si="387"/>
        <v>300New Vehicle Other Income - Toyota</v>
      </c>
      <c r="L4676" s="311">
        <f>+SUMIF('TUNZ Extracted TB'!M:M,$P4676,'TUNZ Extracted TB'!G:G)</f>
        <v>0</v>
      </c>
      <c r="M4676" s="311"/>
      <c r="N4676" s="311">
        <f>+SUMIF('Input Sheet'!$AE:$AE,P4676,'Input Sheet'!$X:$X)</f>
        <v>0</v>
      </c>
      <c r="O4676" s="311"/>
      <c r="P4676" t="str">
        <f t="shared" si="388"/>
        <v>300-4077R</v>
      </c>
      <c r="Q4676" s="315" t="str">
        <f t="shared" si="389"/>
        <v>New Vehicle</v>
      </c>
      <c r="R4676" s="315" t="str">
        <f t="shared" si="390"/>
        <v>New VehicleOther Income per NV unit</v>
      </c>
      <c r="S4676" s="199"/>
      <c r="T4676" s="199"/>
      <c r="U4676" s="199"/>
    </row>
    <row r="4677" spans="1:21" x14ac:dyDescent="0.25">
      <c r="A4677" t="s">
        <v>996</v>
      </c>
      <c r="B4677" t="s">
        <v>997</v>
      </c>
      <c r="C4677" t="s">
        <v>997</v>
      </c>
      <c r="D4677" t="s">
        <v>1567</v>
      </c>
      <c r="E4677">
        <v>110</v>
      </c>
      <c r="F4677" t="s">
        <v>1287</v>
      </c>
      <c r="G4677" t="s">
        <v>1288</v>
      </c>
      <c r="H4677" s="315" t="s">
        <v>30</v>
      </c>
      <c r="I4677" s="315" t="s">
        <v>1016</v>
      </c>
      <c r="J4677" s="315" t="str">
        <f t="shared" si="386"/>
        <v>Used VehicleEx NV demonstrators gross profit p.u.</v>
      </c>
      <c r="K4677" s="315" t="str">
        <f t="shared" si="387"/>
        <v>110Ex-Toyota NV demonstrator Cost of Sales</v>
      </c>
      <c r="L4677" s="311">
        <f>+SUMIF('TUNZ Extracted TB'!M:M,$P4677,'TUNZ Extracted TB'!G:G)</f>
        <v>0</v>
      </c>
      <c r="M4677" s="311"/>
      <c r="N4677" s="311">
        <f>+SUMIF('Input Sheet'!$AE:$AE,P4677,'Input Sheet'!$X:$X)</f>
        <v>0</v>
      </c>
      <c r="O4677" s="311"/>
      <c r="P4677" t="str">
        <f t="shared" si="388"/>
        <v>110-4077R</v>
      </c>
      <c r="Q4677" s="315" t="str">
        <f t="shared" si="389"/>
        <v>Used Vehicle</v>
      </c>
      <c r="R4677" s="315" t="str">
        <f t="shared" si="390"/>
        <v>Used VehicleEx NV demonstrators gross profit p.u.</v>
      </c>
      <c r="S4677" s="199"/>
      <c r="T4677" s="199"/>
      <c r="U4677" s="199"/>
    </row>
    <row r="4678" spans="1:21" x14ac:dyDescent="0.25">
      <c r="A4678" t="s">
        <v>996</v>
      </c>
      <c r="B4678" t="s">
        <v>997</v>
      </c>
      <c r="C4678" t="s">
        <v>997</v>
      </c>
      <c r="D4678" t="s">
        <v>1568</v>
      </c>
      <c r="E4678">
        <v>100</v>
      </c>
      <c r="F4678" t="s">
        <v>1024</v>
      </c>
      <c r="G4678" t="s">
        <v>1027</v>
      </c>
      <c r="H4678" s="315" t="s">
        <v>29</v>
      </c>
      <c r="I4678" s="315" t="s">
        <v>1026</v>
      </c>
      <c r="J4678" s="315" t="str">
        <f t="shared" si="386"/>
        <v>New VehicleOther Income per NV unit</v>
      </c>
      <c r="K4678" s="315" t="str">
        <f t="shared" si="387"/>
        <v>100New Vehicle Other Income - Toyota</v>
      </c>
      <c r="L4678" s="311">
        <f>+SUMIF('TUNZ Extracted TB'!M:M,$P4678,'TUNZ Extracted TB'!G:G)</f>
        <v>0</v>
      </c>
      <c r="M4678" s="311"/>
      <c r="N4678" s="311">
        <f>+SUMIF('Input Sheet'!$AE:$AE,P4678,'Input Sheet'!$X:$X)</f>
        <v>0</v>
      </c>
      <c r="O4678" s="311"/>
      <c r="P4678" t="str">
        <f t="shared" si="388"/>
        <v>100-4077RR</v>
      </c>
      <c r="Q4678" s="315" t="str">
        <f t="shared" si="389"/>
        <v>New Vehicle</v>
      </c>
      <c r="R4678" s="315" t="str">
        <f t="shared" si="390"/>
        <v>New VehicleOther Income per NV unit</v>
      </c>
      <c r="S4678" s="199"/>
      <c r="T4678" s="199"/>
      <c r="U4678" s="199"/>
    </row>
    <row r="4679" spans="1:21" x14ac:dyDescent="0.25">
      <c r="A4679" t="s">
        <v>996</v>
      </c>
      <c r="B4679" t="s">
        <v>997</v>
      </c>
      <c r="C4679" t="s">
        <v>1005</v>
      </c>
      <c r="D4679" t="s">
        <v>1567</v>
      </c>
      <c r="E4679">
        <v>210</v>
      </c>
      <c r="F4679" t="s">
        <v>1287</v>
      </c>
      <c r="G4679" t="s">
        <v>1288</v>
      </c>
      <c r="H4679" s="315" t="s">
        <v>30</v>
      </c>
      <c r="I4679" s="315" t="s">
        <v>1016</v>
      </c>
      <c r="J4679" s="315" t="str">
        <f t="shared" si="386"/>
        <v>Used VehicleEx NV demonstrators gross profit p.u.</v>
      </c>
      <c r="K4679" s="315" t="str">
        <f t="shared" si="387"/>
        <v>210Ex-Toyota NV demonstrator Cost of Sales</v>
      </c>
      <c r="L4679" s="311">
        <f>+SUMIF('TUNZ Extracted TB'!M:M,$P4679,'TUNZ Extracted TB'!G:G)</f>
        <v>0</v>
      </c>
      <c r="M4679" s="311"/>
      <c r="N4679" s="311">
        <f>+SUMIF('Input Sheet'!$AE:$AE,P4679,'Input Sheet'!$X:$X)</f>
        <v>0</v>
      </c>
      <c r="O4679" s="311"/>
      <c r="P4679" t="str">
        <f t="shared" si="388"/>
        <v>210-4077R</v>
      </c>
      <c r="Q4679" s="315" t="str">
        <f t="shared" si="389"/>
        <v>Used Vehicle</v>
      </c>
      <c r="R4679" s="315" t="str">
        <f t="shared" si="390"/>
        <v>Used VehicleEx NV demonstrators gross profit p.u.</v>
      </c>
      <c r="S4679" s="199"/>
      <c r="T4679" s="199"/>
      <c r="U4679" s="199"/>
    </row>
    <row r="4680" spans="1:21" x14ac:dyDescent="0.25">
      <c r="A4680" t="s">
        <v>996</v>
      </c>
      <c r="B4680" t="s">
        <v>997</v>
      </c>
      <c r="C4680" t="s">
        <v>1012</v>
      </c>
      <c r="D4680" t="s">
        <v>1567</v>
      </c>
      <c r="E4680">
        <v>410</v>
      </c>
      <c r="F4680" t="s">
        <v>1287</v>
      </c>
      <c r="G4680" t="s">
        <v>1288</v>
      </c>
      <c r="H4680" s="315" t="s">
        <v>30</v>
      </c>
      <c r="I4680" s="315" t="s">
        <v>1016</v>
      </c>
      <c r="J4680" s="315" t="str">
        <f t="shared" si="386"/>
        <v>Used VehicleEx NV demonstrators gross profit p.u.</v>
      </c>
      <c r="K4680" s="315" t="str">
        <f t="shared" si="387"/>
        <v>410Ex-Toyota NV demonstrator Cost of Sales</v>
      </c>
      <c r="L4680" s="311">
        <f>+SUMIF('TUNZ Extracted TB'!M:M,$P4680,'TUNZ Extracted TB'!G:G)</f>
        <v>0</v>
      </c>
      <c r="M4680" s="311"/>
      <c r="N4680" s="311">
        <f>+SUMIF('Input Sheet'!$AE:$AE,P4680,'Input Sheet'!$X:$X)</f>
        <v>0</v>
      </c>
      <c r="O4680" s="311"/>
      <c r="P4680" t="str">
        <f t="shared" si="388"/>
        <v>410-4077R</v>
      </c>
      <c r="Q4680" s="315" t="str">
        <f t="shared" si="389"/>
        <v>Used Vehicle</v>
      </c>
      <c r="R4680" s="315" t="str">
        <f t="shared" si="390"/>
        <v>Used VehicleEx NV demonstrators gross profit p.u.</v>
      </c>
      <c r="S4680" s="199"/>
      <c r="T4680" s="199"/>
      <c r="U4680" s="199"/>
    </row>
    <row r="4681" spans="1:21" x14ac:dyDescent="0.25">
      <c r="A4681" t="s">
        <v>996</v>
      </c>
      <c r="B4681" t="s">
        <v>997</v>
      </c>
      <c r="C4681" t="s">
        <v>1013</v>
      </c>
      <c r="D4681" t="s">
        <v>1567</v>
      </c>
      <c r="E4681">
        <v>310</v>
      </c>
      <c r="F4681" t="s">
        <v>1287</v>
      </c>
      <c r="G4681" t="s">
        <v>1288</v>
      </c>
      <c r="H4681" s="315" t="s">
        <v>30</v>
      </c>
      <c r="I4681" s="315" t="s">
        <v>1016</v>
      </c>
      <c r="J4681" s="315" t="str">
        <f t="shared" si="386"/>
        <v>Used VehicleEx NV demonstrators gross profit p.u.</v>
      </c>
      <c r="K4681" s="315" t="str">
        <f t="shared" si="387"/>
        <v>310Ex-Toyota NV demonstrator Cost of Sales</v>
      </c>
      <c r="L4681" s="311">
        <f>+SUMIF('TUNZ Extracted TB'!M:M,$P4681,'TUNZ Extracted TB'!G:G)</f>
        <v>0</v>
      </c>
      <c r="M4681" s="311"/>
      <c r="N4681" s="311">
        <f>+SUMIF('Input Sheet'!$AE:$AE,P4681,'Input Sheet'!$X:$X)</f>
        <v>0</v>
      </c>
      <c r="O4681" s="311"/>
      <c r="P4681" t="str">
        <f t="shared" si="388"/>
        <v>310-4077R</v>
      </c>
      <c r="Q4681" s="315" t="str">
        <f t="shared" si="389"/>
        <v>Used Vehicle</v>
      </c>
      <c r="R4681" s="315" t="str">
        <f t="shared" si="390"/>
        <v>Used VehicleEx NV demonstrators gross profit p.u.</v>
      </c>
      <c r="S4681" s="199"/>
      <c r="T4681" s="199"/>
      <c r="U4681" s="199"/>
    </row>
    <row r="4682" spans="1:21" x14ac:dyDescent="0.25">
      <c r="A4682" t="s">
        <v>996</v>
      </c>
      <c r="B4682" t="s">
        <v>997</v>
      </c>
      <c r="C4682" t="s">
        <v>1005</v>
      </c>
      <c r="D4682" t="s">
        <v>1568</v>
      </c>
      <c r="E4682">
        <v>200</v>
      </c>
      <c r="F4682" t="s">
        <v>1024</v>
      </c>
      <c r="G4682" t="s">
        <v>1027</v>
      </c>
      <c r="H4682" s="315" t="s">
        <v>29</v>
      </c>
      <c r="I4682" s="315" t="s">
        <v>1026</v>
      </c>
      <c r="J4682" s="315" t="str">
        <f t="shared" si="386"/>
        <v>New VehicleOther Income per NV unit</v>
      </c>
      <c r="K4682" s="315" t="str">
        <f t="shared" si="387"/>
        <v>200New Vehicle Other Income - Toyota</v>
      </c>
      <c r="L4682" s="311">
        <f>+SUMIF('TUNZ Extracted TB'!M:M,$P4682,'TUNZ Extracted TB'!G:G)</f>
        <v>0</v>
      </c>
      <c r="M4682" s="311"/>
      <c r="N4682" s="311">
        <f>+SUMIF('Input Sheet'!$AE:$AE,P4682,'Input Sheet'!$X:$X)</f>
        <v>0</v>
      </c>
      <c r="O4682" s="311"/>
      <c r="P4682" t="str">
        <f t="shared" si="388"/>
        <v>200-4077RR</v>
      </c>
      <c r="Q4682" s="315" t="str">
        <f t="shared" si="389"/>
        <v>New Vehicle</v>
      </c>
      <c r="R4682" s="315" t="str">
        <f t="shared" si="390"/>
        <v>New VehicleOther Income per NV unit</v>
      </c>
      <c r="S4682" s="199"/>
      <c r="T4682" s="199"/>
      <c r="U4682" s="199"/>
    </row>
    <row r="4683" spans="1:21" x14ac:dyDescent="0.25">
      <c r="A4683" t="s">
        <v>996</v>
      </c>
      <c r="B4683" t="s">
        <v>997</v>
      </c>
      <c r="C4683" t="s">
        <v>1012</v>
      </c>
      <c r="D4683" t="s">
        <v>1568</v>
      </c>
      <c r="E4683">
        <v>400</v>
      </c>
      <c r="F4683" t="s">
        <v>1024</v>
      </c>
      <c r="G4683" t="s">
        <v>1027</v>
      </c>
      <c r="H4683" s="315" t="s">
        <v>29</v>
      </c>
      <c r="I4683" s="315" t="s">
        <v>1026</v>
      </c>
      <c r="J4683" s="315" t="str">
        <f t="shared" si="386"/>
        <v>New VehicleOther Income per NV unit</v>
      </c>
      <c r="K4683" s="315" t="str">
        <f t="shared" si="387"/>
        <v>400New Vehicle Other Income - Toyota</v>
      </c>
      <c r="L4683" s="311">
        <f>+SUMIF('TUNZ Extracted TB'!M:M,$P4683,'TUNZ Extracted TB'!G:G)</f>
        <v>0</v>
      </c>
      <c r="M4683" s="311"/>
      <c r="N4683" s="311">
        <f>+SUMIF('Input Sheet'!$AE:$AE,P4683,'Input Sheet'!$X:$X)</f>
        <v>0</v>
      </c>
      <c r="O4683" s="311"/>
      <c r="P4683" t="str">
        <f t="shared" si="388"/>
        <v>400-4077RR</v>
      </c>
      <c r="Q4683" s="315" t="str">
        <f t="shared" si="389"/>
        <v>New Vehicle</v>
      </c>
      <c r="R4683" s="315" t="str">
        <f t="shared" si="390"/>
        <v>New VehicleOther Income per NV unit</v>
      </c>
      <c r="S4683" s="199"/>
      <c r="T4683" s="199"/>
      <c r="U4683" s="199"/>
    </row>
    <row r="4684" spans="1:21" x14ac:dyDescent="0.25">
      <c r="A4684" t="s">
        <v>996</v>
      </c>
      <c r="B4684" t="s">
        <v>997</v>
      </c>
      <c r="C4684" t="s">
        <v>1013</v>
      </c>
      <c r="D4684" t="s">
        <v>1568</v>
      </c>
      <c r="E4684">
        <v>300</v>
      </c>
      <c r="F4684" t="s">
        <v>1024</v>
      </c>
      <c r="G4684" t="s">
        <v>1027</v>
      </c>
      <c r="H4684" s="315" t="s">
        <v>29</v>
      </c>
      <c r="I4684" s="315" t="s">
        <v>1026</v>
      </c>
      <c r="J4684" s="315" t="str">
        <f t="shared" si="386"/>
        <v>New VehicleOther Income per NV unit</v>
      </c>
      <c r="K4684" s="315" t="str">
        <f t="shared" si="387"/>
        <v>300New Vehicle Other Income - Toyota</v>
      </c>
      <c r="L4684" s="311">
        <f>+SUMIF('TUNZ Extracted TB'!M:M,$P4684,'TUNZ Extracted TB'!G:G)</f>
        <v>0</v>
      </c>
      <c r="M4684" s="311"/>
      <c r="N4684" s="311">
        <f>+SUMIF('Input Sheet'!$AE:$AE,P4684,'Input Sheet'!$X:$X)</f>
        <v>0</v>
      </c>
      <c r="O4684" s="311"/>
      <c r="P4684" t="str">
        <f t="shared" si="388"/>
        <v>300-4077RR</v>
      </c>
      <c r="Q4684" s="315" t="str">
        <f t="shared" si="389"/>
        <v>New Vehicle</v>
      </c>
      <c r="R4684" s="315" t="str">
        <f t="shared" si="390"/>
        <v>New VehicleOther Income per NV unit</v>
      </c>
      <c r="S4684" s="199"/>
      <c r="T4684" s="199"/>
      <c r="U4684" s="199"/>
    </row>
    <row r="4685" spans="1:21" x14ac:dyDescent="0.25">
      <c r="A4685" t="s">
        <v>996</v>
      </c>
      <c r="B4685" t="s">
        <v>997</v>
      </c>
      <c r="C4685" t="s">
        <v>997</v>
      </c>
      <c r="D4685" t="s">
        <v>1568</v>
      </c>
      <c r="E4685">
        <v>110</v>
      </c>
      <c r="F4685" t="s">
        <v>1287</v>
      </c>
      <c r="G4685" t="s">
        <v>1288</v>
      </c>
      <c r="H4685" s="315" t="s">
        <v>30</v>
      </c>
      <c r="I4685" s="315" t="s">
        <v>1016</v>
      </c>
      <c r="J4685" s="315" t="str">
        <f t="shared" si="386"/>
        <v>Used VehicleEx NV demonstrators gross profit p.u.</v>
      </c>
      <c r="K4685" s="315" t="str">
        <f t="shared" si="387"/>
        <v>110Ex-Toyota NV demonstrator Cost of Sales</v>
      </c>
      <c r="L4685" s="311">
        <f>+SUMIF('TUNZ Extracted TB'!M:M,$P4685,'TUNZ Extracted TB'!G:G)</f>
        <v>0</v>
      </c>
      <c r="M4685" s="311"/>
      <c r="N4685" s="311">
        <f>+SUMIF('Input Sheet'!$AE:$AE,P4685,'Input Sheet'!$X:$X)</f>
        <v>0</v>
      </c>
      <c r="O4685" s="311"/>
      <c r="P4685" t="str">
        <f t="shared" si="388"/>
        <v>110-4077RR</v>
      </c>
      <c r="Q4685" s="315" t="str">
        <f t="shared" si="389"/>
        <v>Used Vehicle</v>
      </c>
      <c r="R4685" s="315" t="str">
        <f t="shared" si="390"/>
        <v>Used VehicleEx NV demonstrators gross profit p.u.</v>
      </c>
      <c r="S4685" s="199"/>
      <c r="T4685" s="199"/>
      <c r="U4685" s="199"/>
    </row>
    <row r="4686" spans="1:21" x14ac:dyDescent="0.25">
      <c r="A4686" t="s">
        <v>996</v>
      </c>
      <c r="B4686" t="s">
        <v>997</v>
      </c>
      <c r="C4686" t="s">
        <v>997</v>
      </c>
      <c r="D4686" t="s">
        <v>857</v>
      </c>
      <c r="E4686">
        <v>100</v>
      </c>
      <c r="F4686" t="s">
        <v>1024</v>
      </c>
      <c r="G4686" t="s">
        <v>1027</v>
      </c>
      <c r="H4686" s="315" t="s">
        <v>29</v>
      </c>
      <c r="I4686" s="315" t="s">
        <v>1026</v>
      </c>
      <c r="J4686" s="315" t="str">
        <f t="shared" si="386"/>
        <v>New VehicleOther Income per NV unit</v>
      </c>
      <c r="K4686" s="315" t="str">
        <f t="shared" si="387"/>
        <v>100New Vehicle Other Income - Toyota</v>
      </c>
      <c r="L4686" s="311">
        <f>+SUMIF('TUNZ Extracted TB'!M:M,$P4686,'TUNZ Extracted TB'!G:G)</f>
        <v>0</v>
      </c>
      <c r="M4686" s="311"/>
      <c r="N4686" s="311">
        <f>+SUMIF('Input Sheet'!$AE:$AE,P4686,'Input Sheet'!$X:$X)</f>
        <v>0</v>
      </c>
      <c r="O4686" s="311"/>
      <c r="P4686" t="str">
        <f t="shared" si="388"/>
        <v>100-4078R</v>
      </c>
      <c r="Q4686" s="315" t="str">
        <f t="shared" si="389"/>
        <v>New Vehicle</v>
      </c>
      <c r="R4686" s="315" t="str">
        <f t="shared" si="390"/>
        <v>New VehicleOther Income per NV unit</v>
      </c>
      <c r="S4686" s="199"/>
      <c r="T4686" s="199"/>
      <c r="U4686" s="199"/>
    </row>
    <row r="4687" spans="1:21" x14ac:dyDescent="0.25">
      <c r="A4687" t="s">
        <v>996</v>
      </c>
      <c r="B4687" t="s">
        <v>997</v>
      </c>
      <c r="C4687" t="s">
        <v>1005</v>
      </c>
      <c r="D4687" t="s">
        <v>1568</v>
      </c>
      <c r="E4687">
        <v>210</v>
      </c>
      <c r="F4687" t="s">
        <v>1287</v>
      </c>
      <c r="G4687" t="s">
        <v>1288</v>
      </c>
      <c r="H4687" s="315" t="s">
        <v>30</v>
      </c>
      <c r="I4687" s="315" t="s">
        <v>1016</v>
      </c>
      <c r="J4687" s="315" t="str">
        <f t="shared" si="386"/>
        <v>Used VehicleEx NV demonstrators gross profit p.u.</v>
      </c>
      <c r="K4687" s="315" t="str">
        <f t="shared" si="387"/>
        <v>210Ex-Toyota NV demonstrator Cost of Sales</v>
      </c>
      <c r="L4687" s="311">
        <f>+SUMIF('TUNZ Extracted TB'!M:M,$P4687,'TUNZ Extracted TB'!G:G)</f>
        <v>0</v>
      </c>
      <c r="M4687" s="311"/>
      <c r="N4687" s="311">
        <f>+SUMIF('Input Sheet'!$AE:$AE,P4687,'Input Sheet'!$X:$X)</f>
        <v>0</v>
      </c>
      <c r="O4687" s="311"/>
      <c r="P4687" t="str">
        <f t="shared" si="388"/>
        <v>210-4077RR</v>
      </c>
      <c r="Q4687" s="315" t="str">
        <f t="shared" si="389"/>
        <v>Used Vehicle</v>
      </c>
      <c r="R4687" s="315" t="str">
        <f t="shared" si="390"/>
        <v>Used VehicleEx NV demonstrators gross profit p.u.</v>
      </c>
      <c r="S4687" s="199"/>
      <c r="T4687" s="199"/>
      <c r="U4687" s="199"/>
    </row>
    <row r="4688" spans="1:21" x14ac:dyDescent="0.25">
      <c r="A4688" t="s">
        <v>996</v>
      </c>
      <c r="B4688" t="s">
        <v>997</v>
      </c>
      <c r="C4688" t="s">
        <v>1012</v>
      </c>
      <c r="D4688" t="s">
        <v>1568</v>
      </c>
      <c r="E4688">
        <v>410</v>
      </c>
      <c r="F4688" t="s">
        <v>1287</v>
      </c>
      <c r="G4688" t="s">
        <v>1288</v>
      </c>
      <c r="H4688" s="315" t="s">
        <v>30</v>
      </c>
      <c r="I4688" s="315" t="s">
        <v>1016</v>
      </c>
      <c r="J4688" s="315" t="str">
        <f t="shared" si="386"/>
        <v>Used VehicleEx NV demonstrators gross profit p.u.</v>
      </c>
      <c r="K4688" s="315" t="str">
        <f t="shared" si="387"/>
        <v>410Ex-Toyota NV demonstrator Cost of Sales</v>
      </c>
      <c r="L4688" s="311">
        <f>+SUMIF('TUNZ Extracted TB'!M:M,$P4688,'TUNZ Extracted TB'!G:G)</f>
        <v>0</v>
      </c>
      <c r="M4688" s="311"/>
      <c r="N4688" s="311">
        <f>+SUMIF('Input Sheet'!$AE:$AE,P4688,'Input Sheet'!$X:$X)</f>
        <v>0</v>
      </c>
      <c r="O4688" s="311"/>
      <c r="P4688" t="str">
        <f t="shared" si="388"/>
        <v>410-4077RR</v>
      </c>
      <c r="Q4688" s="315" t="str">
        <f t="shared" si="389"/>
        <v>Used Vehicle</v>
      </c>
      <c r="R4688" s="315" t="str">
        <f t="shared" si="390"/>
        <v>Used VehicleEx NV demonstrators gross profit p.u.</v>
      </c>
      <c r="S4688" s="199"/>
      <c r="T4688" s="199"/>
      <c r="U4688" s="199"/>
    </row>
    <row r="4689" spans="1:21" x14ac:dyDescent="0.25">
      <c r="A4689" t="s">
        <v>996</v>
      </c>
      <c r="B4689" t="s">
        <v>997</v>
      </c>
      <c r="C4689" t="s">
        <v>1013</v>
      </c>
      <c r="D4689" t="s">
        <v>1568</v>
      </c>
      <c r="E4689">
        <v>310</v>
      </c>
      <c r="F4689" t="s">
        <v>1287</v>
      </c>
      <c r="G4689" t="s">
        <v>1288</v>
      </c>
      <c r="H4689" s="315" t="s">
        <v>30</v>
      </c>
      <c r="I4689" s="315" t="s">
        <v>1016</v>
      </c>
      <c r="J4689" s="315" t="str">
        <f t="shared" si="386"/>
        <v>Used VehicleEx NV demonstrators gross profit p.u.</v>
      </c>
      <c r="K4689" s="315" t="str">
        <f t="shared" si="387"/>
        <v>310Ex-Toyota NV demonstrator Cost of Sales</v>
      </c>
      <c r="L4689" s="311">
        <f>+SUMIF('TUNZ Extracted TB'!M:M,$P4689,'TUNZ Extracted TB'!G:G)</f>
        <v>0</v>
      </c>
      <c r="M4689" s="311"/>
      <c r="N4689" s="311">
        <f>+SUMIF('Input Sheet'!$AE:$AE,P4689,'Input Sheet'!$X:$X)</f>
        <v>0</v>
      </c>
      <c r="O4689" s="311"/>
      <c r="P4689" t="str">
        <f t="shared" si="388"/>
        <v>310-4077RR</v>
      </c>
      <c r="Q4689" s="315" t="str">
        <f t="shared" si="389"/>
        <v>Used Vehicle</v>
      </c>
      <c r="R4689" s="315" t="str">
        <f t="shared" si="390"/>
        <v>Used VehicleEx NV demonstrators gross profit p.u.</v>
      </c>
      <c r="S4689" s="199"/>
      <c r="T4689" s="199"/>
      <c r="U4689" s="199"/>
    </row>
    <row r="4690" spans="1:21" x14ac:dyDescent="0.25">
      <c r="A4690" t="s">
        <v>996</v>
      </c>
      <c r="B4690" t="s">
        <v>997</v>
      </c>
      <c r="C4690" t="s">
        <v>1005</v>
      </c>
      <c r="D4690" t="s">
        <v>857</v>
      </c>
      <c r="E4690">
        <v>200</v>
      </c>
      <c r="F4690" t="s">
        <v>1024</v>
      </c>
      <c r="G4690" t="s">
        <v>1027</v>
      </c>
      <c r="H4690" s="315" t="s">
        <v>29</v>
      </c>
      <c r="I4690" s="315" t="s">
        <v>1026</v>
      </c>
      <c r="J4690" s="315" t="str">
        <f t="shared" si="386"/>
        <v>New VehicleOther Income per NV unit</v>
      </c>
      <c r="K4690" s="315" t="str">
        <f t="shared" si="387"/>
        <v>200New Vehicle Other Income - Toyota</v>
      </c>
      <c r="L4690" s="311">
        <f>+SUMIF('TUNZ Extracted TB'!M:M,$P4690,'TUNZ Extracted TB'!G:G)</f>
        <v>0</v>
      </c>
      <c r="M4690" s="311"/>
      <c r="N4690" s="311">
        <f>+SUMIF('Input Sheet'!$AE:$AE,P4690,'Input Sheet'!$X:$X)</f>
        <v>0</v>
      </c>
      <c r="O4690" s="311"/>
      <c r="P4690" t="str">
        <f t="shared" si="388"/>
        <v>200-4078R</v>
      </c>
      <c r="Q4690" s="315" t="str">
        <f t="shared" si="389"/>
        <v>New Vehicle</v>
      </c>
      <c r="R4690" s="315" t="str">
        <f t="shared" si="390"/>
        <v>New VehicleOther Income per NV unit</v>
      </c>
      <c r="S4690" s="199"/>
      <c r="T4690" s="199"/>
      <c r="U4690" s="199"/>
    </row>
    <row r="4691" spans="1:21" x14ac:dyDescent="0.25">
      <c r="A4691" t="s">
        <v>996</v>
      </c>
      <c r="B4691" t="s">
        <v>997</v>
      </c>
      <c r="C4691" t="s">
        <v>1012</v>
      </c>
      <c r="D4691" t="s">
        <v>857</v>
      </c>
      <c r="E4691">
        <v>400</v>
      </c>
      <c r="F4691" t="s">
        <v>1024</v>
      </c>
      <c r="G4691" t="s">
        <v>1027</v>
      </c>
      <c r="H4691" s="315" t="s">
        <v>29</v>
      </c>
      <c r="I4691" s="315" t="s">
        <v>1026</v>
      </c>
      <c r="J4691" s="315" t="str">
        <f t="shared" si="386"/>
        <v>New VehicleOther Income per NV unit</v>
      </c>
      <c r="K4691" s="315" t="str">
        <f t="shared" si="387"/>
        <v>400New Vehicle Other Income - Toyota</v>
      </c>
      <c r="L4691" s="311">
        <f>+SUMIF('TUNZ Extracted TB'!M:M,$P4691,'TUNZ Extracted TB'!G:G)</f>
        <v>0</v>
      </c>
      <c r="M4691" s="311"/>
      <c r="N4691" s="311">
        <f>+SUMIF('Input Sheet'!$AE:$AE,P4691,'Input Sheet'!$X:$X)</f>
        <v>0</v>
      </c>
      <c r="O4691" s="311"/>
      <c r="P4691" t="str">
        <f t="shared" si="388"/>
        <v>400-4078R</v>
      </c>
      <c r="Q4691" s="315" t="str">
        <f t="shared" si="389"/>
        <v>New Vehicle</v>
      </c>
      <c r="R4691" s="315" t="str">
        <f t="shared" si="390"/>
        <v>New VehicleOther Income per NV unit</v>
      </c>
      <c r="S4691" s="199"/>
      <c r="T4691" s="199"/>
      <c r="U4691" s="199"/>
    </row>
    <row r="4692" spans="1:21" x14ac:dyDescent="0.25">
      <c r="A4692" t="s">
        <v>996</v>
      </c>
      <c r="B4692" t="s">
        <v>997</v>
      </c>
      <c r="C4692" t="s">
        <v>1013</v>
      </c>
      <c r="D4692" t="s">
        <v>857</v>
      </c>
      <c r="E4692">
        <v>300</v>
      </c>
      <c r="F4692" t="s">
        <v>1024</v>
      </c>
      <c r="G4692" t="s">
        <v>1027</v>
      </c>
      <c r="H4692" s="315" t="s">
        <v>29</v>
      </c>
      <c r="I4692" s="315" t="s">
        <v>1026</v>
      </c>
      <c r="J4692" s="315" t="str">
        <f t="shared" si="386"/>
        <v>New VehicleOther Income per NV unit</v>
      </c>
      <c r="K4692" s="315" t="str">
        <f t="shared" si="387"/>
        <v>300New Vehicle Other Income - Toyota</v>
      </c>
      <c r="L4692" s="311">
        <f>+SUMIF('TUNZ Extracted TB'!M:M,$P4692,'TUNZ Extracted TB'!G:G)</f>
        <v>0</v>
      </c>
      <c r="M4692" s="311"/>
      <c r="N4692" s="311">
        <f>+SUMIF('Input Sheet'!$AE:$AE,P4692,'Input Sheet'!$X:$X)</f>
        <v>0</v>
      </c>
      <c r="O4692" s="311"/>
      <c r="P4692" t="str">
        <f t="shared" si="388"/>
        <v>300-4078R</v>
      </c>
      <c r="Q4692" s="315" t="str">
        <f t="shared" si="389"/>
        <v>New Vehicle</v>
      </c>
      <c r="R4692" s="315" t="str">
        <f t="shared" si="390"/>
        <v>New VehicleOther Income per NV unit</v>
      </c>
      <c r="S4692" s="199"/>
      <c r="T4692" s="199"/>
      <c r="U4692" s="199"/>
    </row>
    <row r="4693" spans="1:21" x14ac:dyDescent="0.25">
      <c r="A4693" t="s">
        <v>996</v>
      </c>
      <c r="B4693" t="s">
        <v>997</v>
      </c>
      <c r="C4693" t="s">
        <v>997</v>
      </c>
      <c r="D4693" t="s">
        <v>857</v>
      </c>
      <c r="E4693">
        <v>110</v>
      </c>
      <c r="F4693" t="s">
        <v>1287</v>
      </c>
      <c r="G4693" t="s">
        <v>1288</v>
      </c>
      <c r="H4693" s="315" t="s">
        <v>30</v>
      </c>
      <c r="I4693" s="315" t="s">
        <v>1016</v>
      </c>
      <c r="J4693" s="315" t="str">
        <f t="shared" si="386"/>
        <v>Used VehicleEx NV demonstrators gross profit p.u.</v>
      </c>
      <c r="K4693" s="315" t="str">
        <f t="shared" si="387"/>
        <v>110Ex-Toyota NV demonstrator Cost of Sales</v>
      </c>
      <c r="L4693" s="311">
        <f>+SUMIF('TUNZ Extracted TB'!M:M,$P4693,'TUNZ Extracted TB'!G:G)</f>
        <v>0</v>
      </c>
      <c r="M4693" s="311"/>
      <c r="N4693" s="311">
        <f>+SUMIF('Input Sheet'!$AE:$AE,P4693,'Input Sheet'!$X:$X)</f>
        <v>0</v>
      </c>
      <c r="O4693" s="311"/>
      <c r="P4693" t="str">
        <f t="shared" si="388"/>
        <v>110-4078R</v>
      </c>
      <c r="Q4693" s="315" t="str">
        <f t="shared" si="389"/>
        <v>Used Vehicle</v>
      </c>
      <c r="R4693" s="315" t="str">
        <f t="shared" si="390"/>
        <v>Used VehicleEx NV demonstrators gross profit p.u.</v>
      </c>
      <c r="S4693" s="199"/>
      <c r="T4693" s="199"/>
      <c r="U4693" s="199"/>
    </row>
    <row r="4694" spans="1:21" x14ac:dyDescent="0.25">
      <c r="A4694" t="s">
        <v>996</v>
      </c>
      <c r="B4694" t="s">
        <v>997</v>
      </c>
      <c r="C4694" t="s">
        <v>997</v>
      </c>
      <c r="D4694" t="s">
        <v>859</v>
      </c>
      <c r="E4694">
        <v>100</v>
      </c>
      <c r="F4694" t="s">
        <v>1024</v>
      </c>
      <c r="G4694" t="s">
        <v>1027</v>
      </c>
      <c r="H4694" s="315" t="s">
        <v>29</v>
      </c>
      <c r="I4694" s="315" t="s">
        <v>1026</v>
      </c>
      <c r="J4694" s="315" t="str">
        <f t="shared" si="386"/>
        <v>New VehicleOther Income per NV unit</v>
      </c>
      <c r="K4694" s="315" t="str">
        <f t="shared" si="387"/>
        <v>100New Vehicle Other Income - Toyota</v>
      </c>
      <c r="L4694" s="311">
        <f>+SUMIF('TUNZ Extracted TB'!M:M,$P4694,'TUNZ Extracted TB'!G:G)</f>
        <v>0</v>
      </c>
      <c r="M4694" s="311"/>
      <c r="N4694" s="311">
        <f>+SUMIF('Input Sheet'!$AE:$AE,P4694,'Input Sheet'!$X:$X)</f>
        <v>0</v>
      </c>
      <c r="O4694" s="311"/>
      <c r="P4694" t="str">
        <f t="shared" si="388"/>
        <v>100-4080R</v>
      </c>
      <c r="Q4694" s="315" t="str">
        <f t="shared" si="389"/>
        <v>New Vehicle</v>
      </c>
      <c r="R4694" s="315" t="str">
        <f t="shared" si="390"/>
        <v>New VehicleOther Income per NV unit</v>
      </c>
      <c r="S4694" s="199"/>
      <c r="T4694" s="199"/>
      <c r="U4694" s="199"/>
    </row>
    <row r="4695" spans="1:21" x14ac:dyDescent="0.25">
      <c r="A4695" t="s">
        <v>996</v>
      </c>
      <c r="B4695" t="s">
        <v>997</v>
      </c>
      <c r="C4695" t="s">
        <v>1005</v>
      </c>
      <c r="D4695" t="s">
        <v>857</v>
      </c>
      <c r="E4695">
        <v>210</v>
      </c>
      <c r="F4695" t="s">
        <v>1287</v>
      </c>
      <c r="G4695" t="s">
        <v>1288</v>
      </c>
      <c r="H4695" s="315" t="s">
        <v>30</v>
      </c>
      <c r="I4695" s="315" t="s">
        <v>1016</v>
      </c>
      <c r="J4695" s="315" t="str">
        <f t="shared" si="386"/>
        <v>Used VehicleEx NV demonstrators gross profit p.u.</v>
      </c>
      <c r="K4695" s="315" t="str">
        <f t="shared" si="387"/>
        <v>210Ex-Toyota NV demonstrator Cost of Sales</v>
      </c>
      <c r="L4695" s="311">
        <f>+SUMIF('TUNZ Extracted TB'!M:M,$P4695,'TUNZ Extracted TB'!G:G)</f>
        <v>0</v>
      </c>
      <c r="M4695" s="311"/>
      <c r="N4695" s="311">
        <f>+SUMIF('Input Sheet'!$AE:$AE,P4695,'Input Sheet'!$X:$X)</f>
        <v>0</v>
      </c>
      <c r="O4695" s="311"/>
      <c r="P4695" t="str">
        <f t="shared" si="388"/>
        <v>210-4078R</v>
      </c>
      <c r="Q4695" s="315" t="str">
        <f t="shared" si="389"/>
        <v>Used Vehicle</v>
      </c>
      <c r="R4695" s="315" t="str">
        <f t="shared" si="390"/>
        <v>Used VehicleEx NV demonstrators gross profit p.u.</v>
      </c>
      <c r="S4695" s="199"/>
      <c r="T4695" s="199"/>
      <c r="U4695" s="199"/>
    </row>
    <row r="4696" spans="1:21" x14ac:dyDescent="0.25">
      <c r="A4696" t="s">
        <v>996</v>
      </c>
      <c r="B4696" t="s">
        <v>997</v>
      </c>
      <c r="C4696" t="s">
        <v>1012</v>
      </c>
      <c r="D4696" t="s">
        <v>857</v>
      </c>
      <c r="E4696">
        <v>410</v>
      </c>
      <c r="F4696" t="s">
        <v>1287</v>
      </c>
      <c r="G4696" t="s">
        <v>1288</v>
      </c>
      <c r="H4696" s="315" t="s">
        <v>30</v>
      </c>
      <c r="I4696" s="315" t="s">
        <v>1016</v>
      </c>
      <c r="J4696" s="315" t="str">
        <f t="shared" si="386"/>
        <v>Used VehicleEx NV demonstrators gross profit p.u.</v>
      </c>
      <c r="K4696" s="315" t="str">
        <f t="shared" si="387"/>
        <v>410Ex-Toyota NV demonstrator Cost of Sales</v>
      </c>
      <c r="L4696" s="311">
        <f>+SUMIF('TUNZ Extracted TB'!M:M,$P4696,'TUNZ Extracted TB'!G:G)</f>
        <v>0</v>
      </c>
      <c r="M4696" s="311"/>
      <c r="N4696" s="311">
        <f>+SUMIF('Input Sheet'!$AE:$AE,P4696,'Input Sheet'!$X:$X)</f>
        <v>0</v>
      </c>
      <c r="O4696" s="311"/>
      <c r="P4696" t="str">
        <f t="shared" si="388"/>
        <v>410-4078R</v>
      </c>
      <c r="Q4696" s="315" t="str">
        <f t="shared" si="389"/>
        <v>Used Vehicle</v>
      </c>
      <c r="R4696" s="315" t="str">
        <f t="shared" si="390"/>
        <v>Used VehicleEx NV demonstrators gross profit p.u.</v>
      </c>
      <c r="S4696" s="199"/>
      <c r="T4696" s="199"/>
      <c r="U4696" s="199"/>
    </row>
    <row r="4697" spans="1:21" x14ac:dyDescent="0.25">
      <c r="A4697" t="s">
        <v>996</v>
      </c>
      <c r="B4697" t="s">
        <v>997</v>
      </c>
      <c r="C4697" t="s">
        <v>1013</v>
      </c>
      <c r="D4697" t="s">
        <v>857</v>
      </c>
      <c r="E4697">
        <v>310</v>
      </c>
      <c r="F4697" t="s">
        <v>1287</v>
      </c>
      <c r="G4697" t="s">
        <v>1288</v>
      </c>
      <c r="H4697" s="315" t="s">
        <v>30</v>
      </c>
      <c r="I4697" s="315" t="s">
        <v>1016</v>
      </c>
      <c r="J4697" s="315" t="str">
        <f t="shared" si="386"/>
        <v>Used VehicleEx NV demonstrators gross profit p.u.</v>
      </c>
      <c r="K4697" s="315" t="str">
        <f t="shared" si="387"/>
        <v>310Ex-Toyota NV demonstrator Cost of Sales</v>
      </c>
      <c r="L4697" s="311">
        <f>+SUMIF('TUNZ Extracted TB'!M:M,$P4697,'TUNZ Extracted TB'!G:G)</f>
        <v>0</v>
      </c>
      <c r="M4697" s="311"/>
      <c r="N4697" s="311">
        <f>+SUMIF('Input Sheet'!$AE:$AE,P4697,'Input Sheet'!$X:$X)</f>
        <v>0</v>
      </c>
      <c r="O4697" s="311"/>
      <c r="P4697" t="str">
        <f t="shared" si="388"/>
        <v>310-4078R</v>
      </c>
      <c r="Q4697" s="315" t="str">
        <f t="shared" si="389"/>
        <v>Used Vehicle</v>
      </c>
      <c r="R4697" s="315" t="str">
        <f t="shared" si="390"/>
        <v>Used VehicleEx NV demonstrators gross profit p.u.</v>
      </c>
      <c r="S4697" s="199"/>
      <c r="T4697" s="199"/>
      <c r="U4697" s="199"/>
    </row>
    <row r="4698" spans="1:21" x14ac:dyDescent="0.25">
      <c r="A4698" t="s">
        <v>996</v>
      </c>
      <c r="B4698" t="s">
        <v>997</v>
      </c>
      <c r="C4698" t="s">
        <v>1005</v>
      </c>
      <c r="D4698" t="s">
        <v>859</v>
      </c>
      <c r="E4698">
        <v>200</v>
      </c>
      <c r="F4698" t="s">
        <v>1024</v>
      </c>
      <c r="G4698" t="s">
        <v>1027</v>
      </c>
      <c r="H4698" s="315" t="s">
        <v>29</v>
      </c>
      <c r="I4698" s="315" t="s">
        <v>1026</v>
      </c>
      <c r="J4698" s="315" t="str">
        <f t="shared" si="386"/>
        <v>New VehicleOther Income per NV unit</v>
      </c>
      <c r="K4698" s="315" t="str">
        <f t="shared" si="387"/>
        <v>200New Vehicle Other Income - Toyota</v>
      </c>
      <c r="L4698" s="311">
        <f>+SUMIF('TUNZ Extracted TB'!M:M,$P4698,'TUNZ Extracted TB'!G:G)</f>
        <v>0</v>
      </c>
      <c r="M4698" s="311"/>
      <c r="N4698" s="311">
        <f>+SUMIF('Input Sheet'!$AE:$AE,P4698,'Input Sheet'!$X:$X)</f>
        <v>0</v>
      </c>
      <c r="O4698" s="311"/>
      <c r="P4698" t="str">
        <f t="shared" si="388"/>
        <v>200-4080R</v>
      </c>
      <c r="Q4698" s="315" t="str">
        <f t="shared" si="389"/>
        <v>New Vehicle</v>
      </c>
      <c r="R4698" s="315" t="str">
        <f t="shared" si="390"/>
        <v>New VehicleOther Income per NV unit</v>
      </c>
      <c r="S4698" s="199"/>
      <c r="T4698" s="199"/>
      <c r="U4698" s="199"/>
    </row>
    <row r="4699" spans="1:21" x14ac:dyDescent="0.25">
      <c r="A4699" t="s">
        <v>996</v>
      </c>
      <c r="B4699" t="s">
        <v>997</v>
      </c>
      <c r="C4699" t="s">
        <v>1012</v>
      </c>
      <c r="D4699" t="s">
        <v>859</v>
      </c>
      <c r="E4699">
        <v>400</v>
      </c>
      <c r="F4699" t="s">
        <v>1024</v>
      </c>
      <c r="G4699" t="s">
        <v>1027</v>
      </c>
      <c r="H4699" s="315" t="s">
        <v>29</v>
      </c>
      <c r="I4699" s="315" t="s">
        <v>1026</v>
      </c>
      <c r="J4699" s="315" t="str">
        <f t="shared" si="386"/>
        <v>New VehicleOther Income per NV unit</v>
      </c>
      <c r="K4699" s="315" t="str">
        <f t="shared" si="387"/>
        <v>400New Vehicle Other Income - Toyota</v>
      </c>
      <c r="L4699" s="311">
        <f>+SUMIF('TUNZ Extracted TB'!M:M,$P4699,'TUNZ Extracted TB'!G:G)</f>
        <v>0</v>
      </c>
      <c r="M4699" s="311"/>
      <c r="N4699" s="311">
        <f>+SUMIF('Input Sheet'!$AE:$AE,P4699,'Input Sheet'!$X:$X)</f>
        <v>0</v>
      </c>
      <c r="O4699" s="311"/>
      <c r="P4699" t="str">
        <f t="shared" si="388"/>
        <v>400-4080R</v>
      </c>
      <c r="Q4699" s="315" t="str">
        <f t="shared" si="389"/>
        <v>New Vehicle</v>
      </c>
      <c r="R4699" s="315" t="str">
        <f t="shared" si="390"/>
        <v>New VehicleOther Income per NV unit</v>
      </c>
      <c r="S4699" s="199"/>
      <c r="T4699" s="199"/>
      <c r="U4699" s="199"/>
    </row>
    <row r="4700" spans="1:21" x14ac:dyDescent="0.25">
      <c r="A4700" t="s">
        <v>996</v>
      </c>
      <c r="B4700" t="s">
        <v>997</v>
      </c>
      <c r="C4700" t="s">
        <v>1013</v>
      </c>
      <c r="D4700" t="s">
        <v>859</v>
      </c>
      <c r="E4700">
        <v>300</v>
      </c>
      <c r="F4700" t="s">
        <v>1024</v>
      </c>
      <c r="G4700" t="s">
        <v>1027</v>
      </c>
      <c r="H4700" s="315" t="s">
        <v>29</v>
      </c>
      <c r="I4700" s="315" t="s">
        <v>1026</v>
      </c>
      <c r="J4700" s="315" t="str">
        <f t="shared" si="386"/>
        <v>New VehicleOther Income per NV unit</v>
      </c>
      <c r="K4700" s="315" t="str">
        <f t="shared" si="387"/>
        <v>300New Vehicle Other Income - Toyota</v>
      </c>
      <c r="L4700" s="311">
        <f>+SUMIF('TUNZ Extracted TB'!M:M,$P4700,'TUNZ Extracted TB'!G:G)</f>
        <v>0</v>
      </c>
      <c r="M4700" s="311"/>
      <c r="N4700" s="311">
        <f>+SUMIF('Input Sheet'!$AE:$AE,P4700,'Input Sheet'!$X:$X)</f>
        <v>0</v>
      </c>
      <c r="O4700" s="311"/>
      <c r="P4700" t="str">
        <f t="shared" si="388"/>
        <v>300-4080R</v>
      </c>
      <c r="Q4700" s="315" t="str">
        <f t="shared" si="389"/>
        <v>New Vehicle</v>
      </c>
      <c r="R4700" s="315" t="str">
        <f t="shared" si="390"/>
        <v>New VehicleOther Income per NV unit</v>
      </c>
      <c r="S4700" s="199"/>
      <c r="T4700" s="199"/>
      <c r="U4700" s="199"/>
    </row>
    <row r="4701" spans="1:21" x14ac:dyDescent="0.25">
      <c r="A4701" t="s">
        <v>996</v>
      </c>
      <c r="B4701" t="s">
        <v>997</v>
      </c>
      <c r="C4701" t="s">
        <v>997</v>
      </c>
      <c r="D4701" t="s">
        <v>1569</v>
      </c>
      <c r="E4701">
        <v>100</v>
      </c>
      <c r="F4701" t="s">
        <v>1287</v>
      </c>
      <c r="G4701" t="s">
        <v>1288</v>
      </c>
      <c r="H4701" s="315" t="s">
        <v>30</v>
      </c>
      <c r="I4701" s="315" t="s">
        <v>1016</v>
      </c>
      <c r="J4701" s="315" t="str">
        <f t="shared" si="386"/>
        <v>Used VehicleEx NV demonstrators gross profit p.u.</v>
      </c>
      <c r="K4701" s="315" t="str">
        <f t="shared" si="387"/>
        <v>100Ex-Toyota NV demonstrator Cost of Sales</v>
      </c>
      <c r="L4701" s="311">
        <f>+SUMIF('TUNZ Extracted TB'!M:M,$P4701,'TUNZ Extracted TB'!G:G)</f>
        <v>0</v>
      </c>
      <c r="M4701" s="311"/>
      <c r="N4701" s="311">
        <f>+SUMIF('Input Sheet'!$AE:$AE,P4701,'Input Sheet'!$X:$X)</f>
        <v>0</v>
      </c>
      <c r="O4701" s="311"/>
      <c r="P4701" t="str">
        <f t="shared" si="388"/>
        <v>100-4078RR</v>
      </c>
      <c r="Q4701" s="315" t="str">
        <f t="shared" si="389"/>
        <v>Used Vehicle</v>
      </c>
      <c r="R4701" s="315" t="str">
        <f t="shared" si="390"/>
        <v>Used VehicleEx NV demonstrators gross profit p.u.</v>
      </c>
      <c r="S4701" s="199"/>
      <c r="T4701" s="199"/>
      <c r="U4701" s="199"/>
    </row>
    <row r="4702" spans="1:21" x14ac:dyDescent="0.25">
      <c r="A4702" t="s">
        <v>996</v>
      </c>
      <c r="B4702" t="s">
        <v>997</v>
      </c>
      <c r="C4702" t="s">
        <v>997</v>
      </c>
      <c r="D4702" t="s">
        <v>1569</v>
      </c>
      <c r="E4702">
        <v>110</v>
      </c>
      <c r="F4702" t="s">
        <v>1287</v>
      </c>
      <c r="G4702" t="s">
        <v>1288</v>
      </c>
      <c r="H4702" s="315" t="s">
        <v>30</v>
      </c>
      <c r="I4702" s="315" t="s">
        <v>1016</v>
      </c>
      <c r="J4702" s="315" t="str">
        <f t="shared" si="386"/>
        <v>Used VehicleEx NV demonstrators gross profit p.u.</v>
      </c>
      <c r="K4702" s="315" t="str">
        <f t="shared" si="387"/>
        <v>110Ex-Toyota NV demonstrator Cost of Sales</v>
      </c>
      <c r="L4702" s="311">
        <f>+SUMIF('TUNZ Extracted TB'!M:M,$P4702,'TUNZ Extracted TB'!G:G)</f>
        <v>0</v>
      </c>
      <c r="M4702" s="311"/>
      <c r="N4702" s="311">
        <f>+SUMIF('Input Sheet'!$AE:$AE,P4702,'Input Sheet'!$X:$X)</f>
        <v>0</v>
      </c>
      <c r="O4702" s="311"/>
      <c r="P4702" t="str">
        <f t="shared" si="388"/>
        <v>110-4078RR</v>
      </c>
      <c r="Q4702" s="315" t="str">
        <f t="shared" si="389"/>
        <v>Used Vehicle</v>
      </c>
      <c r="R4702" s="315" t="str">
        <f t="shared" si="390"/>
        <v>Used VehicleEx NV demonstrators gross profit p.u.</v>
      </c>
      <c r="S4702" s="199"/>
      <c r="T4702" s="199"/>
      <c r="U4702" s="199"/>
    </row>
    <row r="4703" spans="1:21" x14ac:dyDescent="0.25">
      <c r="A4703" t="s">
        <v>996</v>
      </c>
      <c r="B4703" t="s">
        <v>997</v>
      </c>
      <c r="C4703" t="s">
        <v>1005</v>
      </c>
      <c r="D4703" t="s">
        <v>1569</v>
      </c>
      <c r="E4703">
        <v>200</v>
      </c>
      <c r="F4703" t="s">
        <v>1287</v>
      </c>
      <c r="G4703" t="s">
        <v>1288</v>
      </c>
      <c r="H4703" s="315" t="s">
        <v>30</v>
      </c>
      <c r="I4703" s="315" t="s">
        <v>1016</v>
      </c>
      <c r="J4703" s="315" t="str">
        <f t="shared" si="386"/>
        <v>Used VehicleEx NV demonstrators gross profit p.u.</v>
      </c>
      <c r="K4703" s="315" t="str">
        <f t="shared" si="387"/>
        <v>200Ex-Toyota NV demonstrator Cost of Sales</v>
      </c>
      <c r="L4703" s="311">
        <f>+SUMIF('TUNZ Extracted TB'!M:M,$P4703,'TUNZ Extracted TB'!G:G)</f>
        <v>0</v>
      </c>
      <c r="M4703" s="311"/>
      <c r="N4703" s="311">
        <f>+SUMIF('Input Sheet'!$AE:$AE,P4703,'Input Sheet'!$X:$X)</f>
        <v>0</v>
      </c>
      <c r="O4703" s="311"/>
      <c r="P4703" t="str">
        <f t="shared" si="388"/>
        <v>200-4078RR</v>
      </c>
      <c r="Q4703" s="315" t="str">
        <f t="shared" si="389"/>
        <v>Used Vehicle</v>
      </c>
      <c r="R4703" s="315" t="str">
        <f t="shared" si="390"/>
        <v>Used VehicleEx NV demonstrators gross profit p.u.</v>
      </c>
      <c r="S4703" s="199"/>
      <c r="T4703" s="199"/>
      <c r="U4703" s="199"/>
    </row>
    <row r="4704" spans="1:21" x14ac:dyDescent="0.25">
      <c r="A4704" t="s">
        <v>996</v>
      </c>
      <c r="B4704" t="s">
        <v>997</v>
      </c>
      <c r="C4704" t="s">
        <v>1005</v>
      </c>
      <c r="D4704" t="s">
        <v>1569</v>
      </c>
      <c r="E4704">
        <v>210</v>
      </c>
      <c r="F4704" t="s">
        <v>1287</v>
      </c>
      <c r="G4704" t="s">
        <v>1288</v>
      </c>
      <c r="H4704" s="315" t="s">
        <v>30</v>
      </c>
      <c r="I4704" s="315" t="s">
        <v>1016</v>
      </c>
      <c r="J4704" s="315" t="str">
        <f t="shared" si="386"/>
        <v>Used VehicleEx NV demonstrators gross profit p.u.</v>
      </c>
      <c r="K4704" s="315" t="str">
        <f t="shared" si="387"/>
        <v>210Ex-Toyota NV demonstrator Cost of Sales</v>
      </c>
      <c r="L4704" s="311">
        <f>+SUMIF('TUNZ Extracted TB'!M:M,$P4704,'TUNZ Extracted TB'!G:G)</f>
        <v>0</v>
      </c>
      <c r="M4704" s="311"/>
      <c r="N4704" s="311">
        <f>+SUMIF('Input Sheet'!$AE:$AE,P4704,'Input Sheet'!$X:$X)</f>
        <v>0</v>
      </c>
      <c r="O4704" s="311"/>
      <c r="P4704" t="str">
        <f t="shared" si="388"/>
        <v>210-4078RR</v>
      </c>
      <c r="Q4704" s="315" t="str">
        <f t="shared" si="389"/>
        <v>Used Vehicle</v>
      </c>
      <c r="R4704" s="315" t="str">
        <f t="shared" si="390"/>
        <v>Used VehicleEx NV demonstrators gross profit p.u.</v>
      </c>
      <c r="S4704" s="199"/>
      <c r="T4704" s="199"/>
      <c r="U4704" s="199"/>
    </row>
    <row r="4705" spans="1:21" x14ac:dyDescent="0.25">
      <c r="A4705" t="s">
        <v>996</v>
      </c>
      <c r="B4705" t="s">
        <v>997</v>
      </c>
      <c r="C4705" t="s">
        <v>1012</v>
      </c>
      <c r="D4705" t="s">
        <v>1569</v>
      </c>
      <c r="E4705">
        <v>400</v>
      </c>
      <c r="F4705" t="s">
        <v>1287</v>
      </c>
      <c r="G4705" t="s">
        <v>1288</v>
      </c>
      <c r="H4705" s="315" t="s">
        <v>30</v>
      </c>
      <c r="I4705" s="315" t="s">
        <v>1016</v>
      </c>
      <c r="J4705" s="315" t="str">
        <f t="shared" si="386"/>
        <v>Used VehicleEx NV demonstrators gross profit p.u.</v>
      </c>
      <c r="K4705" s="315" t="str">
        <f t="shared" si="387"/>
        <v>400Ex-Toyota NV demonstrator Cost of Sales</v>
      </c>
      <c r="L4705" s="311">
        <f>+SUMIF('TUNZ Extracted TB'!M:M,$P4705,'TUNZ Extracted TB'!G:G)</f>
        <v>0</v>
      </c>
      <c r="M4705" s="311"/>
      <c r="N4705" s="311">
        <f>+SUMIF('Input Sheet'!$AE:$AE,P4705,'Input Sheet'!$X:$X)</f>
        <v>0</v>
      </c>
      <c r="O4705" s="311"/>
      <c r="P4705" t="str">
        <f t="shared" si="388"/>
        <v>400-4078RR</v>
      </c>
      <c r="Q4705" s="315" t="str">
        <f t="shared" si="389"/>
        <v>Used Vehicle</v>
      </c>
      <c r="R4705" s="315" t="str">
        <f t="shared" si="390"/>
        <v>Used VehicleEx NV demonstrators gross profit p.u.</v>
      </c>
      <c r="S4705" s="199"/>
      <c r="T4705" s="199"/>
      <c r="U4705" s="199"/>
    </row>
    <row r="4706" spans="1:21" x14ac:dyDescent="0.25">
      <c r="A4706" t="s">
        <v>996</v>
      </c>
      <c r="B4706" t="s">
        <v>997</v>
      </c>
      <c r="C4706" t="s">
        <v>1012</v>
      </c>
      <c r="D4706" t="s">
        <v>1569</v>
      </c>
      <c r="E4706">
        <v>410</v>
      </c>
      <c r="F4706" t="s">
        <v>1287</v>
      </c>
      <c r="G4706" t="s">
        <v>1288</v>
      </c>
      <c r="H4706" s="315" t="s">
        <v>30</v>
      </c>
      <c r="I4706" s="315" t="s">
        <v>1016</v>
      </c>
      <c r="J4706" s="315" t="str">
        <f t="shared" si="386"/>
        <v>Used VehicleEx NV demonstrators gross profit p.u.</v>
      </c>
      <c r="K4706" s="315" t="str">
        <f t="shared" si="387"/>
        <v>410Ex-Toyota NV demonstrator Cost of Sales</v>
      </c>
      <c r="L4706" s="311">
        <f>+SUMIF('TUNZ Extracted TB'!M:M,$P4706,'TUNZ Extracted TB'!G:G)</f>
        <v>0</v>
      </c>
      <c r="M4706" s="311"/>
      <c r="N4706" s="311">
        <f>+SUMIF('Input Sheet'!$AE:$AE,P4706,'Input Sheet'!$X:$X)</f>
        <v>0</v>
      </c>
      <c r="O4706" s="311"/>
      <c r="P4706" t="str">
        <f t="shared" si="388"/>
        <v>410-4078RR</v>
      </c>
      <c r="Q4706" s="315" t="str">
        <f t="shared" si="389"/>
        <v>Used Vehicle</v>
      </c>
      <c r="R4706" s="315" t="str">
        <f t="shared" si="390"/>
        <v>Used VehicleEx NV demonstrators gross profit p.u.</v>
      </c>
      <c r="S4706" s="199"/>
      <c r="T4706" s="199"/>
      <c r="U4706" s="199"/>
    </row>
    <row r="4707" spans="1:21" x14ac:dyDescent="0.25">
      <c r="A4707" t="s">
        <v>996</v>
      </c>
      <c r="B4707" t="s">
        <v>997</v>
      </c>
      <c r="C4707" t="s">
        <v>1013</v>
      </c>
      <c r="D4707" t="s">
        <v>1569</v>
      </c>
      <c r="E4707">
        <v>300</v>
      </c>
      <c r="F4707" t="s">
        <v>1287</v>
      </c>
      <c r="G4707" t="s">
        <v>1288</v>
      </c>
      <c r="H4707" s="315" t="s">
        <v>30</v>
      </c>
      <c r="I4707" s="315" t="s">
        <v>1016</v>
      </c>
      <c r="J4707" s="315" t="str">
        <f t="shared" si="386"/>
        <v>Used VehicleEx NV demonstrators gross profit p.u.</v>
      </c>
      <c r="K4707" s="315" t="str">
        <f t="shared" si="387"/>
        <v>300Ex-Toyota NV demonstrator Cost of Sales</v>
      </c>
      <c r="L4707" s="311">
        <f>+SUMIF('TUNZ Extracted TB'!M:M,$P4707,'TUNZ Extracted TB'!G:G)</f>
        <v>0</v>
      </c>
      <c r="M4707" s="311"/>
      <c r="N4707" s="311">
        <f>+SUMIF('Input Sheet'!$AE:$AE,P4707,'Input Sheet'!$X:$X)</f>
        <v>0</v>
      </c>
      <c r="O4707" s="311"/>
      <c r="P4707" t="str">
        <f t="shared" si="388"/>
        <v>300-4078RR</v>
      </c>
      <c r="Q4707" s="315" t="str">
        <f t="shared" si="389"/>
        <v>Used Vehicle</v>
      </c>
      <c r="R4707" s="315" t="str">
        <f t="shared" si="390"/>
        <v>Used VehicleEx NV demonstrators gross profit p.u.</v>
      </c>
      <c r="S4707" s="199"/>
      <c r="T4707" s="199"/>
      <c r="U4707" s="199"/>
    </row>
    <row r="4708" spans="1:21" x14ac:dyDescent="0.25">
      <c r="A4708" t="s">
        <v>996</v>
      </c>
      <c r="B4708" t="s">
        <v>997</v>
      </c>
      <c r="C4708" t="s">
        <v>1013</v>
      </c>
      <c r="D4708" t="s">
        <v>1569</v>
      </c>
      <c r="E4708">
        <v>310</v>
      </c>
      <c r="F4708" t="s">
        <v>1287</v>
      </c>
      <c r="G4708" t="s">
        <v>1288</v>
      </c>
      <c r="H4708" s="315" t="s">
        <v>30</v>
      </c>
      <c r="I4708" s="315" t="s">
        <v>1016</v>
      </c>
      <c r="J4708" s="315" t="str">
        <f t="shared" si="386"/>
        <v>Used VehicleEx NV demonstrators gross profit p.u.</v>
      </c>
      <c r="K4708" s="315" t="str">
        <f t="shared" si="387"/>
        <v>310Ex-Toyota NV demonstrator Cost of Sales</v>
      </c>
      <c r="L4708" s="311">
        <f>+SUMIF('TUNZ Extracted TB'!M:M,$P4708,'TUNZ Extracted TB'!G:G)</f>
        <v>0</v>
      </c>
      <c r="M4708" s="311"/>
      <c r="N4708" s="311">
        <f>+SUMIF('Input Sheet'!$AE:$AE,P4708,'Input Sheet'!$X:$X)</f>
        <v>0</v>
      </c>
      <c r="O4708" s="311"/>
      <c r="P4708" t="str">
        <f t="shared" si="388"/>
        <v>310-4078RR</v>
      </c>
      <c r="Q4708" s="315" t="str">
        <f t="shared" si="389"/>
        <v>Used Vehicle</v>
      </c>
      <c r="R4708" s="315" t="str">
        <f t="shared" si="390"/>
        <v>Used VehicleEx NV demonstrators gross profit p.u.</v>
      </c>
      <c r="S4708" s="199"/>
      <c r="T4708" s="199"/>
      <c r="U4708" s="199"/>
    </row>
    <row r="4709" spans="1:21" x14ac:dyDescent="0.25">
      <c r="A4709" t="s">
        <v>996</v>
      </c>
      <c r="B4709" t="s">
        <v>997</v>
      </c>
      <c r="C4709" t="s">
        <v>997</v>
      </c>
      <c r="D4709" t="s">
        <v>859</v>
      </c>
      <c r="E4709">
        <v>110</v>
      </c>
      <c r="F4709" t="s">
        <v>1287</v>
      </c>
      <c r="G4709" t="s">
        <v>1288</v>
      </c>
      <c r="H4709" s="315" t="s">
        <v>30</v>
      </c>
      <c r="I4709" s="315" t="s">
        <v>1016</v>
      </c>
      <c r="J4709" s="315" t="str">
        <f t="shared" si="386"/>
        <v>Used VehicleEx NV demonstrators gross profit p.u.</v>
      </c>
      <c r="K4709" s="315" t="str">
        <f t="shared" si="387"/>
        <v>110Ex-Toyota NV demonstrator Cost of Sales</v>
      </c>
      <c r="L4709" s="311">
        <f>+SUMIF('TUNZ Extracted TB'!M:M,$P4709,'TUNZ Extracted TB'!G:G)</f>
        <v>0</v>
      </c>
      <c r="M4709" s="311"/>
      <c r="N4709" s="311">
        <f>+SUMIF('Input Sheet'!$AE:$AE,P4709,'Input Sheet'!$X:$X)</f>
        <v>0</v>
      </c>
      <c r="O4709" s="311"/>
      <c r="P4709" t="str">
        <f t="shared" si="388"/>
        <v>110-4080R</v>
      </c>
      <c r="Q4709" s="315" t="str">
        <f t="shared" si="389"/>
        <v>Used Vehicle</v>
      </c>
      <c r="R4709" s="315" t="str">
        <f t="shared" si="390"/>
        <v>Used VehicleEx NV demonstrators gross profit p.u.</v>
      </c>
      <c r="S4709" s="199"/>
      <c r="T4709" s="199"/>
      <c r="U4709" s="199"/>
    </row>
    <row r="4710" spans="1:21" x14ac:dyDescent="0.25">
      <c r="A4710" t="s">
        <v>996</v>
      </c>
      <c r="B4710" t="s">
        <v>997</v>
      </c>
      <c r="C4710" t="s">
        <v>997</v>
      </c>
      <c r="D4710" t="s">
        <v>861</v>
      </c>
      <c r="E4710">
        <v>100</v>
      </c>
      <c r="F4710" t="s">
        <v>1024</v>
      </c>
      <c r="G4710" t="s">
        <v>1027</v>
      </c>
      <c r="H4710" s="315" t="s">
        <v>29</v>
      </c>
      <c r="I4710" s="315" t="s">
        <v>1026</v>
      </c>
      <c r="J4710" s="315" t="str">
        <f t="shared" si="386"/>
        <v>New VehicleOther Income per NV unit</v>
      </c>
      <c r="K4710" s="315" t="str">
        <f t="shared" si="387"/>
        <v>100New Vehicle Other Income - Toyota</v>
      </c>
      <c r="L4710" s="311">
        <f>+SUMIF('TUNZ Extracted TB'!M:M,$P4710,'TUNZ Extracted TB'!G:G)</f>
        <v>0</v>
      </c>
      <c r="M4710" s="311"/>
      <c r="N4710" s="311">
        <f>+SUMIF('Input Sheet'!$AE:$AE,P4710,'Input Sheet'!$X:$X)</f>
        <v>0</v>
      </c>
      <c r="O4710" s="311"/>
      <c r="P4710" t="str">
        <f t="shared" si="388"/>
        <v>100-4080RR</v>
      </c>
      <c r="Q4710" s="315" t="str">
        <f t="shared" si="389"/>
        <v>New Vehicle</v>
      </c>
      <c r="R4710" s="315" t="str">
        <f t="shared" si="390"/>
        <v>New VehicleOther Income per NV unit</v>
      </c>
      <c r="S4710" s="199"/>
      <c r="T4710" s="199"/>
      <c r="U4710" s="199"/>
    </row>
    <row r="4711" spans="1:21" x14ac:dyDescent="0.25">
      <c r="A4711" t="s">
        <v>996</v>
      </c>
      <c r="B4711" t="s">
        <v>997</v>
      </c>
      <c r="C4711" t="s">
        <v>1005</v>
      </c>
      <c r="D4711" t="s">
        <v>859</v>
      </c>
      <c r="E4711">
        <v>210</v>
      </c>
      <c r="F4711" t="s">
        <v>1287</v>
      </c>
      <c r="G4711" t="s">
        <v>1288</v>
      </c>
      <c r="H4711" s="315" t="s">
        <v>30</v>
      </c>
      <c r="I4711" s="315" t="s">
        <v>1016</v>
      </c>
      <c r="J4711" s="315" t="str">
        <f t="shared" si="386"/>
        <v>Used VehicleEx NV demonstrators gross profit p.u.</v>
      </c>
      <c r="K4711" s="315" t="str">
        <f t="shared" si="387"/>
        <v>210Ex-Toyota NV demonstrator Cost of Sales</v>
      </c>
      <c r="L4711" s="311">
        <f>+SUMIF('TUNZ Extracted TB'!M:M,$P4711,'TUNZ Extracted TB'!G:G)</f>
        <v>0</v>
      </c>
      <c r="M4711" s="311"/>
      <c r="N4711" s="311">
        <f>+SUMIF('Input Sheet'!$AE:$AE,P4711,'Input Sheet'!$X:$X)</f>
        <v>0</v>
      </c>
      <c r="O4711" s="311"/>
      <c r="P4711" t="str">
        <f t="shared" si="388"/>
        <v>210-4080R</v>
      </c>
      <c r="Q4711" s="315" t="str">
        <f t="shared" si="389"/>
        <v>Used Vehicle</v>
      </c>
      <c r="R4711" s="315" t="str">
        <f t="shared" si="390"/>
        <v>Used VehicleEx NV demonstrators gross profit p.u.</v>
      </c>
      <c r="S4711" s="199"/>
      <c r="T4711" s="199"/>
      <c r="U4711" s="199"/>
    </row>
    <row r="4712" spans="1:21" x14ac:dyDescent="0.25">
      <c r="A4712" t="s">
        <v>996</v>
      </c>
      <c r="B4712" t="s">
        <v>997</v>
      </c>
      <c r="C4712" t="s">
        <v>1012</v>
      </c>
      <c r="D4712" t="s">
        <v>859</v>
      </c>
      <c r="E4712">
        <v>410</v>
      </c>
      <c r="F4712" t="s">
        <v>1287</v>
      </c>
      <c r="G4712" t="s">
        <v>1288</v>
      </c>
      <c r="H4712" s="315" t="s">
        <v>30</v>
      </c>
      <c r="I4712" s="315" t="s">
        <v>1016</v>
      </c>
      <c r="J4712" s="315" t="str">
        <f t="shared" si="386"/>
        <v>Used VehicleEx NV demonstrators gross profit p.u.</v>
      </c>
      <c r="K4712" s="315" t="str">
        <f t="shared" si="387"/>
        <v>410Ex-Toyota NV demonstrator Cost of Sales</v>
      </c>
      <c r="L4712" s="311">
        <f>+SUMIF('TUNZ Extracted TB'!M:M,$P4712,'TUNZ Extracted TB'!G:G)</f>
        <v>0</v>
      </c>
      <c r="M4712" s="311"/>
      <c r="N4712" s="311">
        <f>+SUMIF('Input Sheet'!$AE:$AE,P4712,'Input Sheet'!$X:$X)</f>
        <v>0</v>
      </c>
      <c r="O4712" s="311"/>
      <c r="P4712" t="str">
        <f t="shared" si="388"/>
        <v>410-4080R</v>
      </c>
      <c r="Q4712" s="315" t="str">
        <f t="shared" si="389"/>
        <v>Used Vehicle</v>
      </c>
      <c r="R4712" s="315" t="str">
        <f t="shared" si="390"/>
        <v>Used VehicleEx NV demonstrators gross profit p.u.</v>
      </c>
      <c r="S4712" s="199"/>
      <c r="T4712" s="199"/>
      <c r="U4712" s="199"/>
    </row>
    <row r="4713" spans="1:21" x14ac:dyDescent="0.25">
      <c r="A4713" t="s">
        <v>996</v>
      </c>
      <c r="B4713" t="s">
        <v>997</v>
      </c>
      <c r="C4713" t="s">
        <v>1013</v>
      </c>
      <c r="D4713" t="s">
        <v>859</v>
      </c>
      <c r="E4713">
        <v>310</v>
      </c>
      <c r="F4713" t="s">
        <v>1287</v>
      </c>
      <c r="G4713" t="s">
        <v>1288</v>
      </c>
      <c r="H4713" s="315" t="s">
        <v>30</v>
      </c>
      <c r="I4713" s="315" t="s">
        <v>1016</v>
      </c>
      <c r="J4713" s="315" t="str">
        <f t="shared" si="386"/>
        <v>Used VehicleEx NV demonstrators gross profit p.u.</v>
      </c>
      <c r="K4713" s="315" t="str">
        <f t="shared" si="387"/>
        <v>310Ex-Toyota NV demonstrator Cost of Sales</v>
      </c>
      <c r="L4713" s="311">
        <f>+SUMIF('TUNZ Extracted TB'!M:M,$P4713,'TUNZ Extracted TB'!G:G)</f>
        <v>0</v>
      </c>
      <c r="M4713" s="311"/>
      <c r="N4713" s="311">
        <f>+SUMIF('Input Sheet'!$AE:$AE,P4713,'Input Sheet'!$X:$X)</f>
        <v>0</v>
      </c>
      <c r="O4713" s="311"/>
      <c r="P4713" t="str">
        <f t="shared" si="388"/>
        <v>310-4080R</v>
      </c>
      <c r="Q4713" s="315" t="str">
        <f t="shared" si="389"/>
        <v>Used Vehicle</v>
      </c>
      <c r="R4713" s="315" t="str">
        <f t="shared" si="390"/>
        <v>Used VehicleEx NV demonstrators gross profit p.u.</v>
      </c>
      <c r="S4713" s="199"/>
      <c r="T4713" s="199"/>
      <c r="U4713" s="199"/>
    </row>
    <row r="4714" spans="1:21" x14ac:dyDescent="0.25">
      <c r="A4714" t="s">
        <v>996</v>
      </c>
      <c r="B4714" t="s">
        <v>997</v>
      </c>
      <c r="C4714" t="s">
        <v>1005</v>
      </c>
      <c r="D4714" t="s">
        <v>861</v>
      </c>
      <c r="E4714">
        <v>200</v>
      </c>
      <c r="F4714" t="s">
        <v>1024</v>
      </c>
      <c r="G4714" t="s">
        <v>1027</v>
      </c>
      <c r="H4714" s="315" t="s">
        <v>29</v>
      </c>
      <c r="I4714" s="315" t="s">
        <v>1026</v>
      </c>
      <c r="J4714" s="315" t="str">
        <f t="shared" si="386"/>
        <v>New VehicleOther Income per NV unit</v>
      </c>
      <c r="K4714" s="315" t="str">
        <f t="shared" si="387"/>
        <v>200New Vehicle Other Income - Toyota</v>
      </c>
      <c r="L4714" s="311">
        <f>+SUMIF('TUNZ Extracted TB'!M:M,$P4714,'TUNZ Extracted TB'!G:G)</f>
        <v>0</v>
      </c>
      <c r="M4714" s="311"/>
      <c r="N4714" s="311">
        <f>+SUMIF('Input Sheet'!$AE:$AE,P4714,'Input Sheet'!$X:$X)</f>
        <v>0</v>
      </c>
      <c r="O4714" s="311"/>
      <c r="P4714" t="str">
        <f t="shared" si="388"/>
        <v>200-4080RR</v>
      </c>
      <c r="Q4714" s="315" t="str">
        <f t="shared" si="389"/>
        <v>New Vehicle</v>
      </c>
      <c r="R4714" s="315" t="str">
        <f t="shared" si="390"/>
        <v>New VehicleOther Income per NV unit</v>
      </c>
      <c r="S4714" s="199"/>
      <c r="T4714" s="199"/>
      <c r="U4714" s="199"/>
    </row>
    <row r="4715" spans="1:21" x14ac:dyDescent="0.25">
      <c r="A4715" t="s">
        <v>996</v>
      </c>
      <c r="B4715" t="s">
        <v>997</v>
      </c>
      <c r="C4715" t="s">
        <v>1012</v>
      </c>
      <c r="D4715" t="s">
        <v>861</v>
      </c>
      <c r="E4715">
        <v>400</v>
      </c>
      <c r="F4715" t="s">
        <v>1024</v>
      </c>
      <c r="G4715" t="s">
        <v>1027</v>
      </c>
      <c r="H4715" s="315" t="s">
        <v>29</v>
      </c>
      <c r="I4715" s="315" t="s">
        <v>1026</v>
      </c>
      <c r="J4715" s="315" t="str">
        <f t="shared" si="386"/>
        <v>New VehicleOther Income per NV unit</v>
      </c>
      <c r="K4715" s="315" t="str">
        <f t="shared" si="387"/>
        <v>400New Vehicle Other Income - Toyota</v>
      </c>
      <c r="L4715" s="311">
        <f>+SUMIF('TUNZ Extracted TB'!M:M,$P4715,'TUNZ Extracted TB'!G:G)</f>
        <v>0</v>
      </c>
      <c r="M4715" s="311"/>
      <c r="N4715" s="311">
        <f>+SUMIF('Input Sheet'!$AE:$AE,P4715,'Input Sheet'!$X:$X)</f>
        <v>0</v>
      </c>
      <c r="O4715" s="311"/>
      <c r="P4715" t="str">
        <f t="shared" si="388"/>
        <v>400-4080RR</v>
      </c>
      <c r="Q4715" s="315" t="str">
        <f t="shared" si="389"/>
        <v>New Vehicle</v>
      </c>
      <c r="R4715" s="315" t="str">
        <f t="shared" si="390"/>
        <v>New VehicleOther Income per NV unit</v>
      </c>
      <c r="S4715" s="199"/>
      <c r="T4715" s="199"/>
      <c r="U4715" s="199"/>
    </row>
    <row r="4716" spans="1:21" x14ac:dyDescent="0.25">
      <c r="A4716" t="s">
        <v>996</v>
      </c>
      <c r="B4716" t="s">
        <v>997</v>
      </c>
      <c r="C4716" t="s">
        <v>1013</v>
      </c>
      <c r="D4716" t="s">
        <v>861</v>
      </c>
      <c r="E4716">
        <v>300</v>
      </c>
      <c r="F4716" t="s">
        <v>1024</v>
      </c>
      <c r="G4716" t="s">
        <v>1027</v>
      </c>
      <c r="H4716" s="315" t="s">
        <v>29</v>
      </c>
      <c r="I4716" s="315" t="s">
        <v>1026</v>
      </c>
      <c r="J4716" s="315" t="str">
        <f t="shared" si="386"/>
        <v>New VehicleOther Income per NV unit</v>
      </c>
      <c r="K4716" s="315" t="str">
        <f t="shared" si="387"/>
        <v>300New Vehicle Other Income - Toyota</v>
      </c>
      <c r="L4716" s="311">
        <f>+SUMIF('TUNZ Extracted TB'!M:M,$P4716,'TUNZ Extracted TB'!G:G)</f>
        <v>0</v>
      </c>
      <c r="M4716" s="311"/>
      <c r="N4716" s="311">
        <f>+SUMIF('Input Sheet'!$AE:$AE,P4716,'Input Sheet'!$X:$X)</f>
        <v>0</v>
      </c>
      <c r="O4716" s="311"/>
      <c r="P4716" t="str">
        <f t="shared" si="388"/>
        <v>300-4080RR</v>
      </c>
      <c r="Q4716" s="315" t="str">
        <f t="shared" si="389"/>
        <v>New Vehicle</v>
      </c>
      <c r="R4716" s="315" t="str">
        <f t="shared" si="390"/>
        <v>New VehicleOther Income per NV unit</v>
      </c>
      <c r="S4716" s="199"/>
      <c r="T4716" s="199"/>
      <c r="U4716" s="199"/>
    </row>
    <row r="4717" spans="1:21" x14ac:dyDescent="0.25">
      <c r="A4717" s="316">
        <v>44986</v>
      </c>
      <c r="B4717" t="s">
        <v>997</v>
      </c>
      <c r="C4717" t="s">
        <v>997</v>
      </c>
      <c r="D4717" t="s">
        <v>747</v>
      </c>
      <c r="E4717">
        <v>112</v>
      </c>
      <c r="G4717" t="s">
        <v>748</v>
      </c>
      <c r="H4717" s="315" t="s">
        <v>1011</v>
      </c>
      <c r="I4717" s="315" t="s">
        <v>1004</v>
      </c>
      <c r="J4717" s="315" t="str">
        <f t="shared" si="386"/>
        <v>LEX New VehicleRetail Gross p.u.</v>
      </c>
      <c r="K4717" s="315" t="str">
        <f t="shared" si="387"/>
        <v>112COGS - Lexus RX500h</v>
      </c>
      <c r="L4717" s="311">
        <f>+SUMIF('TUNZ Extracted TB'!M:M,$P4717,'TUNZ Extracted TB'!G:G)</f>
        <v>112567.25</v>
      </c>
      <c r="M4717" s="311"/>
      <c r="N4717" s="311">
        <f>+SUMIF('Input Sheet'!$AE:$AE,P4717,'Input Sheet'!$X:$X)</f>
        <v>0</v>
      </c>
      <c r="O4717" s="311"/>
      <c r="P4717" t="str">
        <f t="shared" si="388"/>
        <v>112-4082r</v>
      </c>
      <c r="Q4717" s="315" t="str">
        <f t="shared" si="389"/>
        <v>LEX New Vehicle</v>
      </c>
      <c r="R4717" s="315" t="str">
        <f t="shared" si="390"/>
        <v>LEX New VehicleRetail Gross p.u.</v>
      </c>
      <c r="S4717" s="199"/>
      <c r="T4717" s="199"/>
      <c r="U4717" s="199"/>
    </row>
    <row r="4718" spans="1:21" x14ac:dyDescent="0.25">
      <c r="A4718" t="s">
        <v>996</v>
      </c>
      <c r="B4718" t="s">
        <v>997</v>
      </c>
      <c r="C4718" t="s">
        <v>997</v>
      </c>
      <c r="D4718" t="s">
        <v>861</v>
      </c>
      <c r="E4718">
        <v>110</v>
      </c>
      <c r="F4718" t="s">
        <v>1287</v>
      </c>
      <c r="G4718" t="s">
        <v>1288</v>
      </c>
      <c r="H4718" s="315" t="s">
        <v>30</v>
      </c>
      <c r="I4718" s="315" t="s">
        <v>1016</v>
      </c>
      <c r="J4718" s="315" t="str">
        <f t="shared" si="386"/>
        <v>Used VehicleEx NV demonstrators gross profit p.u.</v>
      </c>
      <c r="K4718" s="315" t="str">
        <f t="shared" si="387"/>
        <v>110Ex-Toyota NV demonstrator Cost of Sales</v>
      </c>
      <c r="L4718" s="311">
        <f>+SUMIF('TUNZ Extracted TB'!M:M,$P4718,'TUNZ Extracted TB'!G:G)</f>
        <v>0</v>
      </c>
      <c r="M4718" s="311"/>
      <c r="N4718" s="311">
        <f>+SUMIF('Input Sheet'!$AE:$AE,P4718,'Input Sheet'!$X:$X)</f>
        <v>0</v>
      </c>
      <c r="O4718" s="311"/>
      <c r="P4718" t="str">
        <f t="shared" si="388"/>
        <v>110-4080RR</v>
      </c>
      <c r="Q4718" s="315" t="str">
        <f t="shared" si="389"/>
        <v>Used Vehicle</v>
      </c>
      <c r="R4718" s="315" t="str">
        <f t="shared" si="390"/>
        <v>Used VehicleEx NV demonstrators gross profit p.u.</v>
      </c>
      <c r="S4718" s="199"/>
      <c r="T4718" s="199"/>
      <c r="U4718" s="199"/>
    </row>
    <row r="4719" spans="1:21" x14ac:dyDescent="0.25">
      <c r="A4719" t="s">
        <v>996</v>
      </c>
      <c r="B4719" t="s">
        <v>997</v>
      </c>
      <c r="C4719" t="s">
        <v>1012</v>
      </c>
      <c r="D4719" t="s">
        <v>861</v>
      </c>
      <c r="E4719">
        <v>410</v>
      </c>
      <c r="F4719" t="s">
        <v>1287</v>
      </c>
      <c r="G4719" t="s">
        <v>1288</v>
      </c>
      <c r="H4719" s="315" t="s">
        <v>30</v>
      </c>
      <c r="I4719" s="315" t="s">
        <v>1016</v>
      </c>
      <c r="J4719" s="315" t="str">
        <f t="shared" si="386"/>
        <v>Used VehicleEx NV demonstrators gross profit p.u.</v>
      </c>
      <c r="K4719" s="315" t="str">
        <f t="shared" si="387"/>
        <v>410Ex-Toyota NV demonstrator Cost of Sales</v>
      </c>
      <c r="L4719" s="311">
        <f>+SUMIF('TUNZ Extracted TB'!M:M,$P4719,'TUNZ Extracted TB'!G:G)</f>
        <v>0</v>
      </c>
      <c r="M4719" s="311"/>
      <c r="N4719" s="311">
        <f>+SUMIF('Input Sheet'!$AE:$AE,P4719,'Input Sheet'!$X:$X)</f>
        <v>0</v>
      </c>
      <c r="O4719" s="311"/>
      <c r="P4719" t="str">
        <f t="shared" si="388"/>
        <v>410-4080RR</v>
      </c>
      <c r="Q4719" s="315" t="str">
        <f t="shared" si="389"/>
        <v>Used Vehicle</v>
      </c>
      <c r="R4719" s="315" t="str">
        <f t="shared" si="390"/>
        <v>Used VehicleEx NV demonstrators gross profit p.u.</v>
      </c>
      <c r="S4719" s="199"/>
      <c r="T4719" s="199"/>
      <c r="U4719" s="199"/>
    </row>
    <row r="4720" spans="1:21" x14ac:dyDescent="0.25">
      <c r="A4720" t="s">
        <v>996</v>
      </c>
      <c r="B4720" t="s">
        <v>997</v>
      </c>
      <c r="C4720" t="s">
        <v>1013</v>
      </c>
      <c r="D4720" t="s">
        <v>861</v>
      </c>
      <c r="E4720">
        <v>310</v>
      </c>
      <c r="F4720" t="s">
        <v>1287</v>
      </c>
      <c r="G4720" t="s">
        <v>1288</v>
      </c>
      <c r="H4720" s="315" t="s">
        <v>30</v>
      </c>
      <c r="I4720" s="315" t="s">
        <v>1016</v>
      </c>
      <c r="J4720" s="315" t="str">
        <f t="shared" si="386"/>
        <v>Used VehicleEx NV demonstrators gross profit p.u.</v>
      </c>
      <c r="K4720" s="315" t="str">
        <f t="shared" si="387"/>
        <v>310Ex-Toyota NV demonstrator Cost of Sales</v>
      </c>
      <c r="L4720" s="311">
        <f>+SUMIF('TUNZ Extracted TB'!M:M,$P4720,'TUNZ Extracted TB'!G:G)</f>
        <v>0</v>
      </c>
      <c r="M4720" s="311"/>
      <c r="N4720" s="311">
        <f>+SUMIF('Input Sheet'!$AE:$AE,P4720,'Input Sheet'!$X:$X)</f>
        <v>0</v>
      </c>
      <c r="O4720" s="311"/>
      <c r="P4720" t="str">
        <f t="shared" si="388"/>
        <v>310-4080RR</v>
      </c>
      <c r="Q4720" s="315" t="str">
        <f t="shared" si="389"/>
        <v>Used Vehicle</v>
      </c>
      <c r="R4720" s="315" t="str">
        <f t="shared" si="390"/>
        <v>Used VehicleEx NV demonstrators gross profit p.u.</v>
      </c>
      <c r="S4720" s="199"/>
      <c r="T4720" s="199"/>
      <c r="U4720" s="199"/>
    </row>
    <row r="4721" spans="1:21" x14ac:dyDescent="0.25">
      <c r="A4721" t="s">
        <v>996</v>
      </c>
      <c r="B4721" t="s">
        <v>997</v>
      </c>
      <c r="C4721" t="s">
        <v>1005</v>
      </c>
      <c r="D4721" t="s">
        <v>861</v>
      </c>
      <c r="E4721">
        <v>210</v>
      </c>
      <c r="F4721" t="s">
        <v>1287</v>
      </c>
      <c r="G4721" t="s">
        <v>1288</v>
      </c>
      <c r="H4721" s="315" t="s">
        <v>30</v>
      </c>
      <c r="I4721" s="315" t="s">
        <v>1016</v>
      </c>
      <c r="J4721" s="315" t="str">
        <f t="shared" si="386"/>
        <v>Used VehicleEx NV demonstrators gross profit p.u.</v>
      </c>
      <c r="K4721" s="315" t="str">
        <f t="shared" si="387"/>
        <v>210Ex-Toyota NV demonstrator Cost of Sales</v>
      </c>
      <c r="L4721" s="311">
        <f>+SUMIF('TUNZ Extracted TB'!M:M,$P4721,'TUNZ Extracted TB'!G:G)</f>
        <v>0</v>
      </c>
      <c r="M4721" s="311"/>
      <c r="N4721" s="311">
        <f>+SUMIF('Input Sheet'!$AE:$AE,P4721,'Input Sheet'!$X:$X)</f>
        <v>0</v>
      </c>
      <c r="O4721" s="311"/>
      <c r="P4721" t="str">
        <f t="shared" si="388"/>
        <v>210-4080RR</v>
      </c>
      <c r="Q4721" s="315" t="str">
        <f t="shared" si="389"/>
        <v>Used Vehicle</v>
      </c>
      <c r="R4721" s="315" t="str">
        <f t="shared" si="390"/>
        <v>Used VehicleEx NV demonstrators gross profit p.u.</v>
      </c>
      <c r="S4721" s="199"/>
      <c r="T4721" s="199"/>
      <c r="U4721" s="199"/>
    </row>
    <row r="4722" spans="1:21" x14ac:dyDescent="0.25">
      <c r="A4722" s="316">
        <v>45170</v>
      </c>
      <c r="B4722" t="s">
        <v>997</v>
      </c>
      <c r="C4722" t="s">
        <v>997</v>
      </c>
      <c r="D4722" t="s">
        <v>863</v>
      </c>
      <c r="E4722">
        <v>112</v>
      </c>
      <c r="G4722" t="s">
        <v>864</v>
      </c>
      <c r="H4722" s="315" t="s">
        <v>1011</v>
      </c>
      <c r="I4722" s="315" t="s">
        <v>1004</v>
      </c>
      <c r="J4722" s="315" t="str">
        <f t="shared" si="386"/>
        <v>LEX New VehicleRetail Gross p.u.</v>
      </c>
      <c r="K4722" s="315" t="str">
        <f t="shared" si="387"/>
        <v>112Rebate - Lexus RX500h</v>
      </c>
      <c r="L4722" s="311">
        <f>+SUMIF('TUNZ Extracted TB'!M:M,$P4722,'TUNZ Extracted TB'!G:G)</f>
        <v>0</v>
      </c>
      <c r="M4722" s="311"/>
      <c r="N4722" s="311">
        <f>+SUMIF('Input Sheet'!$AE:$AE,P4722,'Input Sheet'!$X:$X)</f>
        <v>0</v>
      </c>
      <c r="O4722" s="311"/>
      <c r="P4722" t="str">
        <f t="shared" si="388"/>
        <v>112-4082RR</v>
      </c>
      <c r="Q4722" s="315" t="str">
        <f t="shared" si="389"/>
        <v>LEX New Vehicle</v>
      </c>
      <c r="R4722" s="315" t="str">
        <f t="shared" si="390"/>
        <v>LEX New VehicleRetail Gross p.u.</v>
      </c>
      <c r="S4722" s="199"/>
      <c r="T4722" s="199"/>
      <c r="U4722" s="199"/>
    </row>
    <row r="4723" spans="1:21" x14ac:dyDescent="0.25">
      <c r="A4723" t="s">
        <v>996</v>
      </c>
      <c r="B4723" t="s">
        <v>997</v>
      </c>
      <c r="C4723" t="s">
        <v>1005</v>
      </c>
      <c r="D4723" t="s">
        <v>865</v>
      </c>
      <c r="E4723">
        <v>200</v>
      </c>
      <c r="F4723" t="s">
        <v>1024</v>
      </c>
      <c r="G4723" t="s">
        <v>1027</v>
      </c>
      <c r="H4723" s="315" t="s">
        <v>29</v>
      </c>
      <c r="I4723" s="315" t="s">
        <v>1026</v>
      </c>
      <c r="J4723" s="315" t="str">
        <f t="shared" si="386"/>
        <v>New VehicleOther Income per NV unit</v>
      </c>
      <c r="K4723" s="315" t="str">
        <f t="shared" si="387"/>
        <v>200New Vehicle Other Income - Toyota</v>
      </c>
      <c r="L4723" s="311">
        <f>+SUMIF('TUNZ Extracted TB'!M:M,$P4723,'TUNZ Extracted TB'!G:G)</f>
        <v>0</v>
      </c>
      <c r="M4723" s="311"/>
      <c r="N4723" s="311">
        <f>+SUMIF('Input Sheet'!$AE:$AE,P4723,'Input Sheet'!$X:$X)</f>
        <v>0</v>
      </c>
      <c r="O4723" s="311"/>
      <c r="P4723" t="str">
        <f t="shared" si="388"/>
        <v>200-4083R</v>
      </c>
      <c r="Q4723" s="315" t="str">
        <f t="shared" si="389"/>
        <v>New Vehicle</v>
      </c>
      <c r="R4723" s="315" t="str">
        <f t="shared" si="390"/>
        <v>New VehicleOther Income per NV unit</v>
      </c>
      <c r="S4723" s="199"/>
      <c r="T4723" s="199"/>
      <c r="U4723" s="199"/>
    </row>
    <row r="4724" spans="1:21" x14ac:dyDescent="0.25">
      <c r="A4724" t="s">
        <v>996</v>
      </c>
      <c r="B4724" t="s">
        <v>997</v>
      </c>
      <c r="C4724" t="s">
        <v>997</v>
      </c>
      <c r="D4724" t="s">
        <v>865</v>
      </c>
      <c r="E4724">
        <v>100</v>
      </c>
      <c r="F4724" t="s">
        <v>1024</v>
      </c>
      <c r="G4724" t="s">
        <v>1027</v>
      </c>
      <c r="H4724" s="315" t="s">
        <v>29</v>
      </c>
      <c r="I4724" s="315" t="s">
        <v>1026</v>
      </c>
      <c r="J4724" s="315" t="str">
        <f t="shared" si="386"/>
        <v>New VehicleOther Income per NV unit</v>
      </c>
      <c r="K4724" s="315" t="str">
        <f t="shared" si="387"/>
        <v>100New Vehicle Other Income - Toyota</v>
      </c>
      <c r="L4724" s="311">
        <f>+SUMIF('TUNZ Extracted TB'!M:M,$P4724,'TUNZ Extracted TB'!G:G)</f>
        <v>0</v>
      </c>
      <c r="M4724" s="311"/>
      <c r="N4724" s="311">
        <f>+SUMIF('Input Sheet'!$AE:$AE,P4724,'Input Sheet'!$X:$X)</f>
        <v>0</v>
      </c>
      <c r="O4724" s="311"/>
      <c r="P4724" t="str">
        <f t="shared" si="388"/>
        <v>100-4083R</v>
      </c>
      <c r="Q4724" s="315" t="str">
        <f t="shared" si="389"/>
        <v>New Vehicle</v>
      </c>
      <c r="R4724" s="315" t="str">
        <f t="shared" si="390"/>
        <v>New VehicleOther Income per NV unit</v>
      </c>
      <c r="S4724" s="199"/>
      <c r="T4724" s="199"/>
      <c r="U4724" s="199"/>
    </row>
    <row r="4725" spans="1:21" x14ac:dyDescent="0.25">
      <c r="A4725" t="s">
        <v>996</v>
      </c>
      <c r="B4725" t="s">
        <v>997</v>
      </c>
      <c r="C4725" t="s">
        <v>1012</v>
      </c>
      <c r="D4725" t="s">
        <v>865</v>
      </c>
      <c r="E4725">
        <v>400</v>
      </c>
      <c r="F4725" t="s">
        <v>1024</v>
      </c>
      <c r="G4725" t="s">
        <v>1027</v>
      </c>
      <c r="H4725" s="315" t="s">
        <v>29</v>
      </c>
      <c r="I4725" s="315" t="s">
        <v>1026</v>
      </c>
      <c r="J4725" s="315" t="str">
        <f t="shared" si="386"/>
        <v>New VehicleOther Income per NV unit</v>
      </c>
      <c r="K4725" s="315" t="str">
        <f t="shared" si="387"/>
        <v>400New Vehicle Other Income - Toyota</v>
      </c>
      <c r="L4725" s="311">
        <f>+SUMIF('TUNZ Extracted TB'!M:M,$P4725,'TUNZ Extracted TB'!G:G)</f>
        <v>0</v>
      </c>
      <c r="M4725" s="311"/>
      <c r="N4725" s="311">
        <f>+SUMIF('Input Sheet'!$AE:$AE,P4725,'Input Sheet'!$X:$X)</f>
        <v>0</v>
      </c>
      <c r="O4725" s="311"/>
      <c r="P4725" t="str">
        <f t="shared" si="388"/>
        <v>400-4083R</v>
      </c>
      <c r="Q4725" s="315" t="str">
        <f t="shared" si="389"/>
        <v>New Vehicle</v>
      </c>
      <c r="R4725" s="315" t="str">
        <f t="shared" si="390"/>
        <v>New VehicleOther Income per NV unit</v>
      </c>
      <c r="S4725" s="199"/>
      <c r="T4725" s="199"/>
      <c r="U4725" s="199"/>
    </row>
    <row r="4726" spans="1:21" x14ac:dyDescent="0.25">
      <c r="A4726" t="s">
        <v>996</v>
      </c>
      <c r="B4726" t="s">
        <v>997</v>
      </c>
      <c r="C4726" t="s">
        <v>1013</v>
      </c>
      <c r="D4726" t="s">
        <v>865</v>
      </c>
      <c r="E4726">
        <v>300</v>
      </c>
      <c r="F4726" t="s">
        <v>1024</v>
      </c>
      <c r="G4726" t="s">
        <v>1027</v>
      </c>
      <c r="H4726" s="315" t="s">
        <v>29</v>
      </c>
      <c r="I4726" s="315" t="s">
        <v>1026</v>
      </c>
      <c r="J4726" s="315" t="str">
        <f t="shared" si="386"/>
        <v>New VehicleOther Income per NV unit</v>
      </c>
      <c r="K4726" s="315" t="str">
        <f t="shared" si="387"/>
        <v>300New Vehicle Other Income - Toyota</v>
      </c>
      <c r="L4726" s="311">
        <f>+SUMIF('TUNZ Extracted TB'!M:M,$P4726,'TUNZ Extracted TB'!G:G)</f>
        <v>0</v>
      </c>
      <c r="M4726" s="311"/>
      <c r="N4726" s="311">
        <f>+SUMIF('Input Sheet'!$AE:$AE,P4726,'Input Sheet'!$X:$X)</f>
        <v>0</v>
      </c>
      <c r="O4726" s="311"/>
      <c r="P4726" t="str">
        <f t="shared" si="388"/>
        <v>300-4083R</v>
      </c>
      <c r="Q4726" s="315" t="str">
        <f t="shared" si="389"/>
        <v>New Vehicle</v>
      </c>
      <c r="R4726" s="315" t="str">
        <f t="shared" si="390"/>
        <v>New VehicleOther Income per NV unit</v>
      </c>
      <c r="S4726" s="199"/>
      <c r="T4726" s="199"/>
      <c r="U4726" s="199"/>
    </row>
    <row r="4727" spans="1:21" x14ac:dyDescent="0.25">
      <c r="A4727" t="s">
        <v>996</v>
      </c>
      <c r="B4727" t="s">
        <v>997</v>
      </c>
      <c r="C4727" t="s">
        <v>997</v>
      </c>
      <c r="D4727" t="s">
        <v>867</v>
      </c>
      <c r="E4727">
        <v>100</v>
      </c>
      <c r="F4727" t="s">
        <v>1024</v>
      </c>
      <c r="G4727" t="s">
        <v>1027</v>
      </c>
      <c r="H4727" s="315" t="s">
        <v>29</v>
      </c>
      <c r="I4727" s="315" t="s">
        <v>1026</v>
      </c>
      <c r="J4727" s="315" t="str">
        <f t="shared" si="386"/>
        <v>New VehicleOther Income per NV unit</v>
      </c>
      <c r="K4727" s="315" t="str">
        <f t="shared" si="387"/>
        <v>100New Vehicle Other Income - Toyota</v>
      </c>
      <c r="L4727" s="311">
        <f>+SUMIF('TUNZ Extracted TB'!M:M,$P4727,'TUNZ Extracted TB'!G:G)</f>
        <v>0</v>
      </c>
      <c r="M4727" s="311"/>
      <c r="N4727" s="311">
        <f>+SUMIF('Input Sheet'!$AE:$AE,P4727,'Input Sheet'!$X:$X)</f>
        <v>0</v>
      </c>
      <c r="O4727" s="311"/>
      <c r="P4727" t="str">
        <f t="shared" si="388"/>
        <v>100-4083RR</v>
      </c>
      <c r="Q4727" s="315" t="str">
        <f t="shared" si="389"/>
        <v>New Vehicle</v>
      </c>
      <c r="R4727" s="315" t="str">
        <f t="shared" si="390"/>
        <v>New VehicleOther Income per NV unit</v>
      </c>
      <c r="S4727" s="199"/>
      <c r="T4727" s="199"/>
      <c r="U4727" s="199"/>
    </row>
    <row r="4728" spans="1:21" x14ac:dyDescent="0.25">
      <c r="A4728" t="s">
        <v>996</v>
      </c>
      <c r="B4728" t="s">
        <v>997</v>
      </c>
      <c r="C4728" t="s">
        <v>1005</v>
      </c>
      <c r="D4728" t="s">
        <v>867</v>
      </c>
      <c r="E4728">
        <v>200</v>
      </c>
      <c r="F4728" t="s">
        <v>1024</v>
      </c>
      <c r="G4728" t="s">
        <v>1027</v>
      </c>
      <c r="H4728" s="315" t="s">
        <v>29</v>
      </c>
      <c r="I4728" s="315" t="s">
        <v>1026</v>
      </c>
      <c r="J4728" s="315" t="str">
        <f t="shared" si="386"/>
        <v>New VehicleOther Income per NV unit</v>
      </c>
      <c r="K4728" s="315" t="str">
        <f t="shared" si="387"/>
        <v>200New Vehicle Other Income - Toyota</v>
      </c>
      <c r="L4728" s="311">
        <f>+SUMIF('TUNZ Extracted TB'!M:M,$P4728,'TUNZ Extracted TB'!G:G)</f>
        <v>0</v>
      </c>
      <c r="M4728" s="311"/>
      <c r="N4728" s="311">
        <f>+SUMIF('Input Sheet'!$AE:$AE,P4728,'Input Sheet'!$X:$X)</f>
        <v>0</v>
      </c>
      <c r="O4728" s="311"/>
      <c r="P4728" t="str">
        <f t="shared" si="388"/>
        <v>200-4083RR</v>
      </c>
      <c r="Q4728" s="315" t="str">
        <f t="shared" si="389"/>
        <v>New Vehicle</v>
      </c>
      <c r="R4728" s="315" t="str">
        <f t="shared" si="390"/>
        <v>New VehicleOther Income per NV unit</v>
      </c>
      <c r="S4728" s="199"/>
      <c r="T4728" s="199"/>
      <c r="U4728" s="199"/>
    </row>
    <row r="4729" spans="1:21" x14ac:dyDescent="0.25">
      <c r="A4729" t="s">
        <v>996</v>
      </c>
      <c r="B4729" t="s">
        <v>997</v>
      </c>
      <c r="C4729" t="s">
        <v>997</v>
      </c>
      <c r="D4729" t="s">
        <v>865</v>
      </c>
      <c r="E4729">
        <v>110</v>
      </c>
      <c r="F4729" t="s">
        <v>1287</v>
      </c>
      <c r="G4729" t="s">
        <v>1288</v>
      </c>
      <c r="H4729" s="315" t="s">
        <v>30</v>
      </c>
      <c r="I4729" s="315" t="s">
        <v>1016</v>
      </c>
      <c r="J4729" s="315" t="str">
        <f t="shared" si="386"/>
        <v>Used VehicleEx NV demonstrators gross profit p.u.</v>
      </c>
      <c r="K4729" s="315" t="str">
        <f t="shared" si="387"/>
        <v>110Ex-Toyota NV demonstrator Cost of Sales</v>
      </c>
      <c r="L4729" s="311">
        <f>+SUMIF('TUNZ Extracted TB'!M:M,$P4729,'TUNZ Extracted TB'!G:G)</f>
        <v>37855.53</v>
      </c>
      <c r="M4729" s="311"/>
      <c r="N4729" s="311">
        <f>+SUMIF('Input Sheet'!$AE:$AE,P4729,'Input Sheet'!$X:$X)</f>
        <v>0</v>
      </c>
      <c r="O4729" s="311"/>
      <c r="P4729" t="str">
        <f t="shared" si="388"/>
        <v>110-4083R</v>
      </c>
      <c r="Q4729" s="315" t="str">
        <f t="shared" si="389"/>
        <v>Used Vehicle</v>
      </c>
      <c r="R4729" s="315" t="str">
        <f t="shared" si="390"/>
        <v>Used VehicleEx NV demonstrators gross profit p.u.</v>
      </c>
      <c r="S4729" s="199"/>
      <c r="T4729" s="199"/>
      <c r="U4729" s="199"/>
    </row>
    <row r="4730" spans="1:21" x14ac:dyDescent="0.25">
      <c r="A4730" t="s">
        <v>996</v>
      </c>
      <c r="B4730" t="s">
        <v>997</v>
      </c>
      <c r="C4730" t="s">
        <v>1005</v>
      </c>
      <c r="D4730" t="s">
        <v>865</v>
      </c>
      <c r="E4730">
        <v>210</v>
      </c>
      <c r="F4730" t="s">
        <v>1287</v>
      </c>
      <c r="G4730" t="s">
        <v>1288</v>
      </c>
      <c r="H4730" s="315" t="s">
        <v>30</v>
      </c>
      <c r="I4730" s="315" t="s">
        <v>1016</v>
      </c>
      <c r="J4730" s="315" t="str">
        <f t="shared" si="386"/>
        <v>Used VehicleEx NV demonstrators gross profit p.u.</v>
      </c>
      <c r="K4730" s="315" t="str">
        <f t="shared" si="387"/>
        <v>210Ex-Toyota NV demonstrator Cost of Sales</v>
      </c>
      <c r="L4730" s="311">
        <f>+SUMIF('TUNZ Extracted TB'!M:M,$P4730,'TUNZ Extracted TB'!G:G)</f>
        <v>872.32</v>
      </c>
      <c r="M4730" s="311"/>
      <c r="N4730" s="311">
        <f>+SUMIF('Input Sheet'!$AE:$AE,P4730,'Input Sheet'!$X:$X)</f>
        <v>0</v>
      </c>
      <c r="O4730" s="311"/>
      <c r="P4730" t="str">
        <f t="shared" si="388"/>
        <v>210-4083R</v>
      </c>
      <c r="Q4730" s="315" t="str">
        <f t="shared" si="389"/>
        <v>Used Vehicle</v>
      </c>
      <c r="R4730" s="315" t="str">
        <f t="shared" si="390"/>
        <v>Used VehicleEx NV demonstrators gross profit p.u.</v>
      </c>
      <c r="S4730" s="199"/>
      <c r="T4730" s="199"/>
      <c r="U4730" s="199"/>
    </row>
    <row r="4731" spans="1:21" x14ac:dyDescent="0.25">
      <c r="A4731" t="s">
        <v>996</v>
      </c>
      <c r="B4731" t="s">
        <v>997</v>
      </c>
      <c r="C4731" t="s">
        <v>1012</v>
      </c>
      <c r="D4731" t="s">
        <v>865</v>
      </c>
      <c r="E4731">
        <v>410</v>
      </c>
      <c r="F4731" t="s">
        <v>1287</v>
      </c>
      <c r="G4731" t="s">
        <v>1288</v>
      </c>
      <c r="H4731" s="315" t="s">
        <v>30</v>
      </c>
      <c r="I4731" s="315" t="s">
        <v>1016</v>
      </c>
      <c r="J4731" s="315" t="str">
        <f t="shared" si="386"/>
        <v>Used VehicleEx NV demonstrators gross profit p.u.</v>
      </c>
      <c r="K4731" s="315" t="str">
        <f t="shared" si="387"/>
        <v>410Ex-Toyota NV demonstrator Cost of Sales</v>
      </c>
      <c r="L4731" s="311">
        <f>+SUMIF('TUNZ Extracted TB'!M:M,$P4731,'TUNZ Extracted TB'!G:G)</f>
        <v>0</v>
      </c>
      <c r="M4731" s="311"/>
      <c r="N4731" s="311">
        <f>+SUMIF('Input Sheet'!$AE:$AE,P4731,'Input Sheet'!$X:$X)</f>
        <v>0</v>
      </c>
      <c r="O4731" s="311"/>
      <c r="P4731" t="str">
        <f t="shared" si="388"/>
        <v>410-4083R</v>
      </c>
      <c r="Q4731" s="315" t="str">
        <f t="shared" si="389"/>
        <v>Used Vehicle</v>
      </c>
      <c r="R4731" s="315" t="str">
        <f t="shared" si="390"/>
        <v>Used VehicleEx NV demonstrators gross profit p.u.</v>
      </c>
      <c r="S4731" s="199"/>
      <c r="T4731" s="199"/>
      <c r="U4731" s="199"/>
    </row>
    <row r="4732" spans="1:21" x14ac:dyDescent="0.25">
      <c r="A4732" t="s">
        <v>996</v>
      </c>
      <c r="B4732" t="s">
        <v>997</v>
      </c>
      <c r="C4732" t="s">
        <v>1013</v>
      </c>
      <c r="D4732" t="s">
        <v>865</v>
      </c>
      <c r="E4732">
        <v>310</v>
      </c>
      <c r="F4732" t="s">
        <v>1287</v>
      </c>
      <c r="G4732" t="s">
        <v>1288</v>
      </c>
      <c r="H4732" s="315" t="s">
        <v>30</v>
      </c>
      <c r="I4732" s="315" t="s">
        <v>1016</v>
      </c>
      <c r="J4732" s="315" t="str">
        <f t="shared" si="386"/>
        <v>Used VehicleEx NV demonstrators gross profit p.u.</v>
      </c>
      <c r="K4732" s="315" t="str">
        <f t="shared" si="387"/>
        <v>310Ex-Toyota NV demonstrator Cost of Sales</v>
      </c>
      <c r="L4732" s="311">
        <f>+SUMIF('TUNZ Extracted TB'!M:M,$P4732,'TUNZ Extracted TB'!G:G)</f>
        <v>0</v>
      </c>
      <c r="M4732" s="311"/>
      <c r="N4732" s="311">
        <f>+SUMIF('Input Sheet'!$AE:$AE,P4732,'Input Sheet'!$X:$X)</f>
        <v>0</v>
      </c>
      <c r="O4732" s="311"/>
      <c r="P4732" t="str">
        <f t="shared" si="388"/>
        <v>310-4083R</v>
      </c>
      <c r="Q4732" s="315" t="str">
        <f t="shared" si="389"/>
        <v>Used Vehicle</v>
      </c>
      <c r="R4732" s="315" t="str">
        <f t="shared" si="390"/>
        <v>Used VehicleEx NV demonstrators gross profit p.u.</v>
      </c>
      <c r="S4732" s="199"/>
      <c r="T4732" s="199"/>
      <c r="U4732" s="199"/>
    </row>
    <row r="4733" spans="1:21" x14ac:dyDescent="0.25">
      <c r="A4733" t="s">
        <v>996</v>
      </c>
      <c r="B4733" t="s">
        <v>997</v>
      </c>
      <c r="C4733" t="s">
        <v>1012</v>
      </c>
      <c r="D4733" t="s">
        <v>867</v>
      </c>
      <c r="E4733">
        <v>400</v>
      </c>
      <c r="F4733" t="s">
        <v>1024</v>
      </c>
      <c r="G4733" t="s">
        <v>1027</v>
      </c>
      <c r="H4733" s="315" t="s">
        <v>29</v>
      </c>
      <c r="I4733" s="315" t="s">
        <v>1026</v>
      </c>
      <c r="J4733" s="315" t="str">
        <f t="shared" si="386"/>
        <v>New VehicleOther Income per NV unit</v>
      </c>
      <c r="K4733" s="315" t="str">
        <f t="shared" si="387"/>
        <v>400New Vehicle Other Income - Toyota</v>
      </c>
      <c r="L4733" s="311">
        <f>+SUMIF('TUNZ Extracted TB'!M:M,$P4733,'TUNZ Extracted TB'!G:G)</f>
        <v>0</v>
      </c>
      <c r="M4733" s="311"/>
      <c r="N4733" s="311">
        <f>+SUMIF('Input Sheet'!$AE:$AE,P4733,'Input Sheet'!$X:$X)</f>
        <v>0</v>
      </c>
      <c r="O4733" s="311"/>
      <c r="P4733" t="str">
        <f t="shared" si="388"/>
        <v>400-4083RR</v>
      </c>
      <c r="Q4733" s="315" t="str">
        <f t="shared" si="389"/>
        <v>New Vehicle</v>
      </c>
      <c r="R4733" s="315" t="str">
        <f t="shared" si="390"/>
        <v>New VehicleOther Income per NV unit</v>
      </c>
      <c r="S4733" s="199"/>
      <c r="T4733" s="199"/>
      <c r="U4733" s="199"/>
    </row>
    <row r="4734" spans="1:21" x14ac:dyDescent="0.25">
      <c r="A4734" t="s">
        <v>996</v>
      </c>
      <c r="B4734" t="s">
        <v>997</v>
      </c>
      <c r="C4734" t="s">
        <v>1013</v>
      </c>
      <c r="D4734" t="s">
        <v>867</v>
      </c>
      <c r="E4734">
        <v>300</v>
      </c>
      <c r="F4734" t="s">
        <v>1024</v>
      </c>
      <c r="G4734" t="s">
        <v>1027</v>
      </c>
      <c r="H4734" s="315" t="s">
        <v>29</v>
      </c>
      <c r="I4734" s="315" t="s">
        <v>1026</v>
      </c>
      <c r="J4734" s="315" t="str">
        <f t="shared" si="386"/>
        <v>New VehicleOther Income per NV unit</v>
      </c>
      <c r="K4734" s="315" t="str">
        <f t="shared" si="387"/>
        <v>300New Vehicle Other Income - Toyota</v>
      </c>
      <c r="L4734" s="311">
        <f>+SUMIF('TUNZ Extracted TB'!M:M,$P4734,'TUNZ Extracted TB'!G:G)</f>
        <v>0</v>
      </c>
      <c r="M4734" s="311"/>
      <c r="N4734" s="311">
        <f>+SUMIF('Input Sheet'!$AE:$AE,P4734,'Input Sheet'!$X:$X)</f>
        <v>0</v>
      </c>
      <c r="O4734" s="311"/>
      <c r="P4734" t="str">
        <f t="shared" si="388"/>
        <v>300-4083RR</v>
      </c>
      <c r="Q4734" s="315" t="str">
        <f t="shared" si="389"/>
        <v>New Vehicle</v>
      </c>
      <c r="R4734" s="315" t="str">
        <f t="shared" si="390"/>
        <v>New VehicleOther Income per NV unit</v>
      </c>
      <c r="S4734" s="199"/>
      <c r="T4734" s="199"/>
      <c r="U4734" s="199"/>
    </row>
    <row r="4735" spans="1:21" x14ac:dyDescent="0.25">
      <c r="A4735" t="s">
        <v>996</v>
      </c>
      <c r="B4735" t="s">
        <v>997</v>
      </c>
      <c r="C4735" t="s">
        <v>997</v>
      </c>
      <c r="D4735" t="s">
        <v>867</v>
      </c>
      <c r="E4735">
        <v>110</v>
      </c>
      <c r="F4735" t="s">
        <v>1287</v>
      </c>
      <c r="G4735" t="s">
        <v>1288</v>
      </c>
      <c r="H4735" s="315" t="s">
        <v>30</v>
      </c>
      <c r="I4735" s="315" t="s">
        <v>1016</v>
      </c>
      <c r="J4735" s="315" t="str">
        <f t="shared" si="386"/>
        <v>Used VehicleEx NV demonstrators gross profit p.u.</v>
      </c>
      <c r="K4735" s="315" t="str">
        <f t="shared" si="387"/>
        <v>110Ex-Toyota NV demonstrator Cost of Sales</v>
      </c>
      <c r="L4735" s="311">
        <f>+SUMIF('TUNZ Extracted TB'!M:M,$P4735,'TUNZ Extracted TB'!G:G)</f>
        <v>-269.7</v>
      </c>
      <c r="M4735" s="311"/>
      <c r="N4735" s="311">
        <f>+SUMIF('Input Sheet'!$AE:$AE,P4735,'Input Sheet'!$X:$X)</f>
        <v>0</v>
      </c>
      <c r="O4735" s="311"/>
      <c r="P4735" t="str">
        <f t="shared" si="388"/>
        <v>110-4083RR</v>
      </c>
      <c r="Q4735" s="315" t="str">
        <f t="shared" si="389"/>
        <v>Used Vehicle</v>
      </c>
      <c r="R4735" s="315" t="str">
        <f t="shared" si="390"/>
        <v>Used VehicleEx NV demonstrators gross profit p.u.</v>
      </c>
      <c r="S4735" s="199"/>
      <c r="T4735" s="199"/>
      <c r="U4735" s="199"/>
    </row>
    <row r="4736" spans="1:21" x14ac:dyDescent="0.25">
      <c r="A4736" t="s">
        <v>996</v>
      </c>
      <c r="B4736" t="s">
        <v>997</v>
      </c>
      <c r="C4736" t="s">
        <v>1005</v>
      </c>
      <c r="D4736" t="s">
        <v>869</v>
      </c>
      <c r="E4736">
        <v>200</v>
      </c>
      <c r="F4736" t="s">
        <v>1024</v>
      </c>
      <c r="G4736" t="s">
        <v>1027</v>
      </c>
      <c r="H4736" s="315" t="s">
        <v>29</v>
      </c>
      <c r="I4736" s="315" t="s">
        <v>1026</v>
      </c>
      <c r="J4736" s="315" t="str">
        <f t="shared" si="386"/>
        <v>New VehicleOther Income per NV unit</v>
      </c>
      <c r="K4736" s="315" t="str">
        <f t="shared" si="387"/>
        <v>200New Vehicle Other Income - Toyota</v>
      </c>
      <c r="L4736" s="311">
        <f>+SUMIF('TUNZ Extracted TB'!M:M,$P4736,'TUNZ Extracted TB'!G:G)</f>
        <v>6671.22</v>
      </c>
      <c r="M4736" s="311"/>
      <c r="N4736" s="311">
        <f>+SUMIF('Input Sheet'!$AE:$AE,P4736,'Input Sheet'!$X:$X)</f>
        <v>0</v>
      </c>
      <c r="O4736" s="311"/>
      <c r="P4736" t="str">
        <f t="shared" si="388"/>
        <v>200-4085R</v>
      </c>
      <c r="Q4736" s="315" t="str">
        <f t="shared" si="389"/>
        <v>New Vehicle</v>
      </c>
      <c r="R4736" s="315" t="str">
        <f t="shared" si="390"/>
        <v>New VehicleOther Income per NV unit</v>
      </c>
      <c r="S4736" s="199"/>
      <c r="T4736" s="199"/>
      <c r="U4736" s="199"/>
    </row>
    <row r="4737" spans="1:21" x14ac:dyDescent="0.25">
      <c r="A4737" t="s">
        <v>996</v>
      </c>
      <c r="B4737" t="s">
        <v>997</v>
      </c>
      <c r="C4737" t="s">
        <v>1012</v>
      </c>
      <c r="D4737" t="s">
        <v>867</v>
      </c>
      <c r="E4737">
        <v>410</v>
      </c>
      <c r="F4737" t="s">
        <v>1287</v>
      </c>
      <c r="G4737" t="s">
        <v>1288</v>
      </c>
      <c r="H4737" s="315" t="s">
        <v>30</v>
      </c>
      <c r="I4737" s="315" t="s">
        <v>1016</v>
      </c>
      <c r="J4737" s="315" t="str">
        <f t="shared" si="386"/>
        <v>Used VehicleEx NV demonstrators gross profit p.u.</v>
      </c>
      <c r="K4737" s="315" t="str">
        <f t="shared" si="387"/>
        <v>410Ex-Toyota NV demonstrator Cost of Sales</v>
      </c>
      <c r="L4737" s="311">
        <f>+SUMIF('TUNZ Extracted TB'!M:M,$P4737,'TUNZ Extracted TB'!G:G)</f>
        <v>0</v>
      </c>
      <c r="M4737" s="311"/>
      <c r="N4737" s="311">
        <f>+SUMIF('Input Sheet'!$AE:$AE,P4737,'Input Sheet'!$X:$X)</f>
        <v>0</v>
      </c>
      <c r="O4737" s="311"/>
      <c r="P4737" t="str">
        <f t="shared" si="388"/>
        <v>410-4083RR</v>
      </c>
      <c r="Q4737" s="315" t="str">
        <f t="shared" si="389"/>
        <v>Used Vehicle</v>
      </c>
      <c r="R4737" s="315" t="str">
        <f t="shared" si="390"/>
        <v>Used VehicleEx NV demonstrators gross profit p.u.</v>
      </c>
      <c r="S4737" s="199"/>
      <c r="T4737" s="199"/>
      <c r="U4737" s="199"/>
    </row>
    <row r="4738" spans="1:21" x14ac:dyDescent="0.25">
      <c r="A4738" t="s">
        <v>996</v>
      </c>
      <c r="B4738" t="s">
        <v>997</v>
      </c>
      <c r="C4738" t="s">
        <v>1013</v>
      </c>
      <c r="D4738" t="s">
        <v>867</v>
      </c>
      <c r="E4738">
        <v>310</v>
      </c>
      <c r="F4738" t="s">
        <v>1287</v>
      </c>
      <c r="G4738" t="s">
        <v>1288</v>
      </c>
      <c r="H4738" s="315" t="s">
        <v>30</v>
      </c>
      <c r="I4738" s="315" t="s">
        <v>1016</v>
      </c>
      <c r="J4738" s="315" t="str">
        <f t="shared" si="386"/>
        <v>Used VehicleEx NV demonstrators gross profit p.u.</v>
      </c>
      <c r="K4738" s="315" t="str">
        <f t="shared" si="387"/>
        <v>310Ex-Toyota NV demonstrator Cost of Sales</v>
      </c>
      <c r="L4738" s="311">
        <f>+SUMIF('TUNZ Extracted TB'!M:M,$P4738,'TUNZ Extracted TB'!G:G)</f>
        <v>0</v>
      </c>
      <c r="M4738" s="311"/>
      <c r="N4738" s="311">
        <f>+SUMIF('Input Sheet'!$AE:$AE,P4738,'Input Sheet'!$X:$X)</f>
        <v>0</v>
      </c>
      <c r="O4738" s="311"/>
      <c r="P4738" t="str">
        <f t="shared" si="388"/>
        <v>310-4083RR</v>
      </c>
      <c r="Q4738" s="315" t="str">
        <f t="shared" si="389"/>
        <v>Used Vehicle</v>
      </c>
      <c r="R4738" s="315" t="str">
        <f t="shared" si="390"/>
        <v>Used VehicleEx NV demonstrators gross profit p.u.</v>
      </c>
      <c r="S4738" s="199"/>
      <c r="T4738" s="199"/>
      <c r="U4738" s="199"/>
    </row>
    <row r="4739" spans="1:21" x14ac:dyDescent="0.25">
      <c r="A4739" t="s">
        <v>996</v>
      </c>
      <c r="B4739" t="s">
        <v>997</v>
      </c>
      <c r="C4739" t="s">
        <v>1005</v>
      </c>
      <c r="D4739" t="s">
        <v>867</v>
      </c>
      <c r="E4739">
        <v>210</v>
      </c>
      <c r="F4739" t="s">
        <v>1287</v>
      </c>
      <c r="G4739" t="s">
        <v>1288</v>
      </c>
      <c r="H4739" s="315" t="s">
        <v>30</v>
      </c>
      <c r="I4739" s="315" t="s">
        <v>1016</v>
      </c>
      <c r="J4739" s="315" t="str">
        <f t="shared" ref="J4739:J4802" si="391">+H4739&amp;I4739</f>
        <v>Used VehicleEx NV demonstrators gross profit p.u.</v>
      </c>
      <c r="K4739" s="315" t="str">
        <f t="shared" ref="K4739:K4802" si="392">+E4739&amp;G4739</f>
        <v>210Ex-Toyota NV demonstrator Cost of Sales</v>
      </c>
      <c r="L4739" s="311">
        <f>+SUMIF('TUNZ Extracted TB'!M:M,$P4739,'TUNZ Extracted TB'!G:G)</f>
        <v>0</v>
      </c>
      <c r="M4739" s="311"/>
      <c r="N4739" s="311">
        <f>+SUMIF('Input Sheet'!$AE:$AE,P4739,'Input Sheet'!$X:$X)</f>
        <v>0</v>
      </c>
      <c r="O4739" s="311"/>
      <c r="P4739" t="str">
        <f t="shared" ref="P4739:P4802" si="393">+E4739&amp;"-"&amp;D4739</f>
        <v>210-4083RR</v>
      </c>
      <c r="Q4739" s="315" t="str">
        <f t="shared" ref="Q4739:Q4802" si="394">H4739</f>
        <v>Used Vehicle</v>
      </c>
      <c r="R4739" s="315" t="str">
        <f t="shared" ref="R4739:R4802" si="395">J4739</f>
        <v>Used VehicleEx NV demonstrators gross profit p.u.</v>
      </c>
      <c r="S4739" s="199"/>
      <c r="T4739" s="199"/>
      <c r="U4739" s="199"/>
    </row>
    <row r="4740" spans="1:21" x14ac:dyDescent="0.25">
      <c r="A4740" t="s">
        <v>996</v>
      </c>
      <c r="B4740" t="s">
        <v>997</v>
      </c>
      <c r="C4740" t="s">
        <v>997</v>
      </c>
      <c r="D4740" t="s">
        <v>869</v>
      </c>
      <c r="E4740">
        <v>100</v>
      </c>
      <c r="F4740" t="s">
        <v>1024</v>
      </c>
      <c r="G4740" t="s">
        <v>1027</v>
      </c>
      <c r="H4740" s="315" t="s">
        <v>29</v>
      </c>
      <c r="I4740" s="315" t="s">
        <v>1026</v>
      </c>
      <c r="J4740" s="315" t="str">
        <f t="shared" si="391"/>
        <v>New VehicleOther Income per NV unit</v>
      </c>
      <c r="K4740" s="315" t="str">
        <f t="shared" si="392"/>
        <v>100New Vehicle Other Income - Toyota</v>
      </c>
      <c r="L4740" s="311">
        <f>+SUMIF('TUNZ Extracted TB'!M:M,$P4740,'TUNZ Extracted TB'!G:G)</f>
        <v>15351.05</v>
      </c>
      <c r="M4740" s="311"/>
      <c r="N4740" s="311">
        <f>+SUMIF('Input Sheet'!$AE:$AE,P4740,'Input Sheet'!$X:$X)</f>
        <v>0</v>
      </c>
      <c r="O4740" s="311"/>
      <c r="P4740" t="str">
        <f t="shared" si="393"/>
        <v>100-4085R</v>
      </c>
      <c r="Q4740" s="315" t="str">
        <f t="shared" si="394"/>
        <v>New Vehicle</v>
      </c>
      <c r="R4740" s="315" t="str">
        <f t="shared" si="395"/>
        <v>New VehicleOther Income per NV unit</v>
      </c>
      <c r="S4740" s="199"/>
      <c r="T4740" s="199"/>
      <c r="U4740" s="199"/>
    </row>
    <row r="4741" spans="1:21" x14ac:dyDescent="0.25">
      <c r="A4741" t="s">
        <v>996</v>
      </c>
      <c r="B4741" t="s">
        <v>997</v>
      </c>
      <c r="C4741" t="s">
        <v>1012</v>
      </c>
      <c r="D4741" t="s">
        <v>869</v>
      </c>
      <c r="E4741">
        <v>400</v>
      </c>
      <c r="F4741" t="s">
        <v>1024</v>
      </c>
      <c r="G4741" t="s">
        <v>1027</v>
      </c>
      <c r="H4741" s="315" t="s">
        <v>29</v>
      </c>
      <c r="I4741" s="315" t="s">
        <v>1026</v>
      </c>
      <c r="J4741" s="315" t="str">
        <f t="shared" si="391"/>
        <v>New VehicleOther Income per NV unit</v>
      </c>
      <c r="K4741" s="315" t="str">
        <f t="shared" si="392"/>
        <v>400New Vehicle Other Income - Toyota</v>
      </c>
      <c r="L4741" s="311">
        <f>+SUMIF('TUNZ Extracted TB'!M:M,$P4741,'TUNZ Extracted TB'!G:G)</f>
        <v>0</v>
      </c>
      <c r="M4741" s="311"/>
      <c r="N4741" s="311">
        <f>+SUMIF('Input Sheet'!$AE:$AE,P4741,'Input Sheet'!$X:$X)</f>
        <v>0</v>
      </c>
      <c r="O4741" s="311"/>
      <c r="P4741" t="str">
        <f t="shared" si="393"/>
        <v>400-4085R</v>
      </c>
      <c r="Q4741" s="315" t="str">
        <f t="shared" si="394"/>
        <v>New Vehicle</v>
      </c>
      <c r="R4741" s="315" t="str">
        <f t="shared" si="395"/>
        <v>New VehicleOther Income per NV unit</v>
      </c>
      <c r="S4741" s="199"/>
      <c r="T4741" s="199"/>
      <c r="U4741" s="199"/>
    </row>
    <row r="4742" spans="1:21" x14ac:dyDescent="0.25">
      <c r="A4742" t="s">
        <v>996</v>
      </c>
      <c r="B4742" t="s">
        <v>997</v>
      </c>
      <c r="C4742" t="s">
        <v>1013</v>
      </c>
      <c r="D4742" t="s">
        <v>869</v>
      </c>
      <c r="E4742">
        <v>300</v>
      </c>
      <c r="F4742" t="s">
        <v>1024</v>
      </c>
      <c r="G4742" t="s">
        <v>1027</v>
      </c>
      <c r="H4742" s="315" t="s">
        <v>29</v>
      </c>
      <c r="I4742" s="315" t="s">
        <v>1026</v>
      </c>
      <c r="J4742" s="315" t="str">
        <f t="shared" si="391"/>
        <v>New VehicleOther Income per NV unit</v>
      </c>
      <c r="K4742" s="315" t="str">
        <f t="shared" si="392"/>
        <v>300New Vehicle Other Income - Toyota</v>
      </c>
      <c r="L4742" s="311">
        <f>+SUMIF('TUNZ Extracted TB'!M:M,$P4742,'TUNZ Extracted TB'!G:G)</f>
        <v>0</v>
      </c>
      <c r="M4742" s="311"/>
      <c r="N4742" s="311">
        <f>+SUMIF('Input Sheet'!$AE:$AE,P4742,'Input Sheet'!$X:$X)</f>
        <v>0</v>
      </c>
      <c r="O4742" s="311"/>
      <c r="P4742" t="str">
        <f t="shared" si="393"/>
        <v>300-4085R</v>
      </c>
      <c r="Q4742" s="315" t="str">
        <f t="shared" si="394"/>
        <v>New Vehicle</v>
      </c>
      <c r="R4742" s="315" t="str">
        <f t="shared" si="395"/>
        <v>New VehicleOther Income per NV unit</v>
      </c>
      <c r="S4742" s="199"/>
      <c r="T4742" s="199"/>
      <c r="U4742" s="199"/>
    </row>
    <row r="4743" spans="1:21" x14ac:dyDescent="0.25">
      <c r="A4743" t="s">
        <v>996</v>
      </c>
      <c r="B4743" t="s">
        <v>997</v>
      </c>
      <c r="C4743" t="s">
        <v>1005</v>
      </c>
      <c r="D4743" t="s">
        <v>869</v>
      </c>
      <c r="E4743">
        <v>210</v>
      </c>
      <c r="F4743" t="s">
        <v>1287</v>
      </c>
      <c r="G4743" t="s">
        <v>1288</v>
      </c>
      <c r="H4743" s="315" t="s">
        <v>30</v>
      </c>
      <c r="I4743" s="315" t="s">
        <v>1016</v>
      </c>
      <c r="J4743" s="315" t="str">
        <f t="shared" si="391"/>
        <v>Used VehicleEx NV demonstrators gross profit p.u.</v>
      </c>
      <c r="K4743" s="315" t="str">
        <f t="shared" si="392"/>
        <v>210Ex-Toyota NV demonstrator Cost of Sales</v>
      </c>
      <c r="L4743" s="311">
        <f>+SUMIF('TUNZ Extracted TB'!M:M,$P4743,'TUNZ Extracted TB'!G:G)</f>
        <v>126655.65</v>
      </c>
      <c r="M4743" s="311"/>
      <c r="N4743" s="311">
        <f>+SUMIF('Input Sheet'!$AE:$AE,P4743,'Input Sheet'!$X:$X)</f>
        <v>0</v>
      </c>
      <c r="O4743" s="311"/>
      <c r="P4743" t="str">
        <f t="shared" si="393"/>
        <v>210-4085R</v>
      </c>
      <c r="Q4743" s="315" t="str">
        <f t="shared" si="394"/>
        <v>Used Vehicle</v>
      </c>
      <c r="R4743" s="315" t="str">
        <f t="shared" si="395"/>
        <v>Used VehicleEx NV demonstrators gross profit p.u.</v>
      </c>
      <c r="S4743" s="199"/>
      <c r="T4743" s="199"/>
      <c r="U4743" s="199"/>
    </row>
    <row r="4744" spans="1:21" x14ac:dyDescent="0.25">
      <c r="A4744" t="s">
        <v>996</v>
      </c>
      <c r="B4744" t="s">
        <v>997</v>
      </c>
      <c r="C4744" t="s">
        <v>997</v>
      </c>
      <c r="D4744" t="s">
        <v>871</v>
      </c>
      <c r="E4744">
        <v>100</v>
      </c>
      <c r="F4744" t="s">
        <v>1024</v>
      </c>
      <c r="G4744" t="s">
        <v>1027</v>
      </c>
      <c r="H4744" s="315" t="s">
        <v>29</v>
      </c>
      <c r="I4744" s="315" t="s">
        <v>1026</v>
      </c>
      <c r="J4744" s="315" t="str">
        <f t="shared" si="391"/>
        <v>New VehicleOther Income per NV unit</v>
      </c>
      <c r="K4744" s="315" t="str">
        <f t="shared" si="392"/>
        <v>100New Vehicle Other Income - Toyota</v>
      </c>
      <c r="L4744" s="311">
        <f>+SUMIF('TUNZ Extracted TB'!M:M,$P4744,'TUNZ Extracted TB'!G:G)</f>
        <v>0</v>
      </c>
      <c r="M4744" s="311"/>
      <c r="N4744" s="311">
        <f>+SUMIF('Input Sheet'!$AE:$AE,P4744,'Input Sheet'!$X:$X)</f>
        <v>0</v>
      </c>
      <c r="O4744" s="311"/>
      <c r="P4744" t="str">
        <f t="shared" si="393"/>
        <v>100-4085RR</v>
      </c>
      <c r="Q4744" s="315" t="str">
        <f t="shared" si="394"/>
        <v>New Vehicle</v>
      </c>
      <c r="R4744" s="315" t="str">
        <f t="shared" si="395"/>
        <v>New VehicleOther Income per NV unit</v>
      </c>
      <c r="S4744" s="199"/>
      <c r="T4744" s="199"/>
      <c r="U4744" s="199"/>
    </row>
    <row r="4745" spans="1:21" x14ac:dyDescent="0.25">
      <c r="A4745" t="s">
        <v>996</v>
      </c>
      <c r="B4745" t="s">
        <v>997</v>
      </c>
      <c r="C4745" t="s">
        <v>1005</v>
      </c>
      <c r="D4745" t="s">
        <v>871</v>
      </c>
      <c r="E4745">
        <v>200</v>
      </c>
      <c r="F4745" t="s">
        <v>1024</v>
      </c>
      <c r="G4745" t="s">
        <v>1027</v>
      </c>
      <c r="H4745" s="315" t="s">
        <v>29</v>
      </c>
      <c r="I4745" s="315" t="s">
        <v>1026</v>
      </c>
      <c r="J4745" s="315" t="str">
        <f t="shared" si="391"/>
        <v>New VehicleOther Income per NV unit</v>
      </c>
      <c r="K4745" s="315" t="str">
        <f t="shared" si="392"/>
        <v>200New Vehicle Other Income - Toyota</v>
      </c>
      <c r="L4745" s="311">
        <f>+SUMIF('TUNZ Extracted TB'!M:M,$P4745,'TUNZ Extracted TB'!G:G)</f>
        <v>0</v>
      </c>
      <c r="M4745" s="311"/>
      <c r="N4745" s="311">
        <f>+SUMIF('Input Sheet'!$AE:$AE,P4745,'Input Sheet'!$X:$X)</f>
        <v>0</v>
      </c>
      <c r="O4745" s="311"/>
      <c r="P4745" t="str">
        <f t="shared" si="393"/>
        <v>200-4085RR</v>
      </c>
      <c r="Q4745" s="315" t="str">
        <f t="shared" si="394"/>
        <v>New Vehicle</v>
      </c>
      <c r="R4745" s="315" t="str">
        <f t="shared" si="395"/>
        <v>New VehicleOther Income per NV unit</v>
      </c>
      <c r="S4745" s="199"/>
      <c r="T4745" s="199"/>
      <c r="U4745" s="199"/>
    </row>
    <row r="4746" spans="1:21" x14ac:dyDescent="0.25">
      <c r="A4746" t="s">
        <v>996</v>
      </c>
      <c r="B4746" t="s">
        <v>997</v>
      </c>
      <c r="C4746" t="s">
        <v>997</v>
      </c>
      <c r="D4746" t="s">
        <v>869</v>
      </c>
      <c r="E4746">
        <v>110</v>
      </c>
      <c r="F4746" t="s">
        <v>1287</v>
      </c>
      <c r="G4746" t="s">
        <v>1288</v>
      </c>
      <c r="H4746" s="315" t="s">
        <v>30</v>
      </c>
      <c r="I4746" s="315" t="s">
        <v>1016</v>
      </c>
      <c r="J4746" s="315" t="str">
        <f t="shared" si="391"/>
        <v>Used VehicleEx NV demonstrators gross profit p.u.</v>
      </c>
      <c r="K4746" s="315" t="str">
        <f t="shared" si="392"/>
        <v>110Ex-Toyota NV demonstrator Cost of Sales</v>
      </c>
      <c r="L4746" s="311">
        <f>+SUMIF('TUNZ Extracted TB'!M:M,$P4746,'TUNZ Extracted TB'!G:G)</f>
        <v>0</v>
      </c>
      <c r="M4746" s="311"/>
      <c r="N4746" s="311">
        <f>+SUMIF('Input Sheet'!$AE:$AE,P4746,'Input Sheet'!$X:$X)</f>
        <v>0</v>
      </c>
      <c r="O4746" s="311"/>
      <c r="P4746" t="str">
        <f t="shared" si="393"/>
        <v>110-4085R</v>
      </c>
      <c r="Q4746" s="315" t="str">
        <f t="shared" si="394"/>
        <v>Used Vehicle</v>
      </c>
      <c r="R4746" s="315" t="str">
        <f t="shared" si="395"/>
        <v>Used VehicleEx NV demonstrators gross profit p.u.</v>
      </c>
      <c r="S4746" s="199"/>
      <c r="T4746" s="199"/>
      <c r="U4746" s="199"/>
    </row>
    <row r="4747" spans="1:21" x14ac:dyDescent="0.25">
      <c r="A4747" t="s">
        <v>996</v>
      </c>
      <c r="B4747" t="s">
        <v>997</v>
      </c>
      <c r="C4747" t="s">
        <v>1012</v>
      </c>
      <c r="D4747" t="s">
        <v>869</v>
      </c>
      <c r="E4747">
        <v>410</v>
      </c>
      <c r="F4747" t="s">
        <v>1287</v>
      </c>
      <c r="G4747" t="s">
        <v>1288</v>
      </c>
      <c r="H4747" s="315" t="s">
        <v>30</v>
      </c>
      <c r="I4747" s="315" t="s">
        <v>1016</v>
      </c>
      <c r="J4747" s="315" t="str">
        <f t="shared" si="391"/>
        <v>Used VehicleEx NV demonstrators gross profit p.u.</v>
      </c>
      <c r="K4747" s="315" t="str">
        <f t="shared" si="392"/>
        <v>410Ex-Toyota NV demonstrator Cost of Sales</v>
      </c>
      <c r="L4747" s="311">
        <f>+SUMIF('TUNZ Extracted TB'!M:M,$P4747,'TUNZ Extracted TB'!G:G)</f>
        <v>0</v>
      </c>
      <c r="M4747" s="311"/>
      <c r="N4747" s="311">
        <f>+SUMIF('Input Sheet'!$AE:$AE,P4747,'Input Sheet'!$X:$X)</f>
        <v>0</v>
      </c>
      <c r="O4747" s="311"/>
      <c r="P4747" t="str">
        <f t="shared" si="393"/>
        <v>410-4085R</v>
      </c>
      <c r="Q4747" s="315" t="str">
        <f t="shared" si="394"/>
        <v>Used Vehicle</v>
      </c>
      <c r="R4747" s="315" t="str">
        <f t="shared" si="395"/>
        <v>Used VehicleEx NV demonstrators gross profit p.u.</v>
      </c>
      <c r="S4747" s="199"/>
      <c r="T4747" s="199"/>
      <c r="U4747" s="199"/>
    </row>
    <row r="4748" spans="1:21" x14ac:dyDescent="0.25">
      <c r="A4748" t="s">
        <v>996</v>
      </c>
      <c r="B4748" t="s">
        <v>997</v>
      </c>
      <c r="C4748" t="s">
        <v>1013</v>
      </c>
      <c r="D4748" t="s">
        <v>869</v>
      </c>
      <c r="E4748">
        <v>310</v>
      </c>
      <c r="F4748" t="s">
        <v>1287</v>
      </c>
      <c r="G4748" t="s">
        <v>1288</v>
      </c>
      <c r="H4748" s="315" t="s">
        <v>30</v>
      </c>
      <c r="I4748" s="315" t="s">
        <v>1016</v>
      </c>
      <c r="J4748" s="315" t="str">
        <f t="shared" si="391"/>
        <v>Used VehicleEx NV demonstrators gross profit p.u.</v>
      </c>
      <c r="K4748" s="315" t="str">
        <f t="shared" si="392"/>
        <v>310Ex-Toyota NV demonstrator Cost of Sales</v>
      </c>
      <c r="L4748" s="311">
        <f>+SUMIF('TUNZ Extracted TB'!M:M,$P4748,'TUNZ Extracted TB'!G:G)</f>
        <v>0</v>
      </c>
      <c r="M4748" s="311"/>
      <c r="N4748" s="311">
        <f>+SUMIF('Input Sheet'!$AE:$AE,P4748,'Input Sheet'!$X:$X)</f>
        <v>0</v>
      </c>
      <c r="O4748" s="311"/>
      <c r="P4748" t="str">
        <f t="shared" si="393"/>
        <v>310-4085R</v>
      </c>
      <c r="Q4748" s="315" t="str">
        <f t="shared" si="394"/>
        <v>Used Vehicle</v>
      </c>
      <c r="R4748" s="315" t="str">
        <f t="shared" si="395"/>
        <v>Used VehicleEx NV demonstrators gross profit p.u.</v>
      </c>
      <c r="S4748" s="199"/>
      <c r="T4748" s="199"/>
      <c r="U4748" s="199"/>
    </row>
    <row r="4749" spans="1:21" x14ac:dyDescent="0.25">
      <c r="A4749" t="s">
        <v>996</v>
      </c>
      <c r="B4749" t="s">
        <v>997</v>
      </c>
      <c r="C4749" t="s">
        <v>1012</v>
      </c>
      <c r="D4749" t="s">
        <v>871</v>
      </c>
      <c r="E4749">
        <v>400</v>
      </c>
      <c r="F4749" t="s">
        <v>1024</v>
      </c>
      <c r="G4749" t="s">
        <v>1027</v>
      </c>
      <c r="H4749" s="315" t="s">
        <v>29</v>
      </c>
      <c r="I4749" s="315" t="s">
        <v>1026</v>
      </c>
      <c r="J4749" s="315" t="str">
        <f t="shared" si="391"/>
        <v>New VehicleOther Income per NV unit</v>
      </c>
      <c r="K4749" s="315" t="str">
        <f t="shared" si="392"/>
        <v>400New Vehicle Other Income - Toyota</v>
      </c>
      <c r="L4749" s="311">
        <f>+SUMIF('TUNZ Extracted TB'!M:M,$P4749,'TUNZ Extracted TB'!G:G)</f>
        <v>0</v>
      </c>
      <c r="M4749" s="311"/>
      <c r="N4749" s="311">
        <f>+SUMIF('Input Sheet'!$AE:$AE,P4749,'Input Sheet'!$X:$X)</f>
        <v>0</v>
      </c>
      <c r="O4749" s="311"/>
      <c r="P4749" t="str">
        <f t="shared" si="393"/>
        <v>400-4085RR</v>
      </c>
      <c r="Q4749" s="315" t="str">
        <f t="shared" si="394"/>
        <v>New Vehicle</v>
      </c>
      <c r="R4749" s="315" t="str">
        <f t="shared" si="395"/>
        <v>New VehicleOther Income per NV unit</v>
      </c>
      <c r="S4749" s="199"/>
      <c r="T4749" s="199"/>
      <c r="U4749" s="199"/>
    </row>
    <row r="4750" spans="1:21" x14ac:dyDescent="0.25">
      <c r="A4750" t="s">
        <v>996</v>
      </c>
      <c r="B4750" t="s">
        <v>997</v>
      </c>
      <c r="C4750" t="s">
        <v>1013</v>
      </c>
      <c r="D4750" t="s">
        <v>871</v>
      </c>
      <c r="E4750">
        <v>300</v>
      </c>
      <c r="F4750" t="s">
        <v>1024</v>
      </c>
      <c r="G4750" t="s">
        <v>1027</v>
      </c>
      <c r="H4750" s="315" t="s">
        <v>29</v>
      </c>
      <c r="I4750" s="315" t="s">
        <v>1026</v>
      </c>
      <c r="J4750" s="315" t="str">
        <f t="shared" si="391"/>
        <v>New VehicleOther Income per NV unit</v>
      </c>
      <c r="K4750" s="315" t="str">
        <f t="shared" si="392"/>
        <v>300New Vehicle Other Income - Toyota</v>
      </c>
      <c r="L4750" s="311">
        <f>+SUMIF('TUNZ Extracted TB'!M:M,$P4750,'TUNZ Extracted TB'!G:G)</f>
        <v>0</v>
      </c>
      <c r="M4750" s="311"/>
      <c r="N4750" s="311">
        <f>+SUMIF('Input Sheet'!$AE:$AE,P4750,'Input Sheet'!$X:$X)</f>
        <v>0</v>
      </c>
      <c r="O4750" s="311"/>
      <c r="P4750" t="str">
        <f t="shared" si="393"/>
        <v>300-4085RR</v>
      </c>
      <c r="Q4750" s="315" t="str">
        <f t="shared" si="394"/>
        <v>New Vehicle</v>
      </c>
      <c r="R4750" s="315" t="str">
        <f t="shared" si="395"/>
        <v>New VehicleOther Income per NV unit</v>
      </c>
      <c r="S4750" s="199"/>
      <c r="T4750" s="199"/>
      <c r="U4750" s="199"/>
    </row>
    <row r="4751" spans="1:21" x14ac:dyDescent="0.25">
      <c r="A4751" t="s">
        <v>996</v>
      </c>
      <c r="B4751" t="s">
        <v>997</v>
      </c>
      <c r="C4751" t="s">
        <v>997</v>
      </c>
      <c r="D4751" t="s">
        <v>871</v>
      </c>
      <c r="E4751">
        <v>110</v>
      </c>
      <c r="F4751" t="s">
        <v>1287</v>
      </c>
      <c r="G4751" t="s">
        <v>1288</v>
      </c>
      <c r="H4751" s="315" t="s">
        <v>30</v>
      </c>
      <c r="I4751" s="315" t="s">
        <v>1016</v>
      </c>
      <c r="J4751" s="315" t="str">
        <f t="shared" si="391"/>
        <v>Used VehicleEx NV demonstrators gross profit p.u.</v>
      </c>
      <c r="K4751" s="315" t="str">
        <f t="shared" si="392"/>
        <v>110Ex-Toyota NV demonstrator Cost of Sales</v>
      </c>
      <c r="L4751" s="311">
        <f>+SUMIF('TUNZ Extracted TB'!M:M,$P4751,'TUNZ Extracted TB'!G:G)</f>
        <v>0</v>
      </c>
      <c r="M4751" s="311"/>
      <c r="N4751" s="311">
        <f>+SUMIF('Input Sheet'!$AE:$AE,P4751,'Input Sheet'!$X:$X)</f>
        <v>0</v>
      </c>
      <c r="O4751" s="311"/>
      <c r="P4751" t="str">
        <f t="shared" si="393"/>
        <v>110-4085RR</v>
      </c>
      <c r="Q4751" s="315" t="str">
        <f t="shared" si="394"/>
        <v>Used Vehicle</v>
      </c>
      <c r="R4751" s="315" t="str">
        <f t="shared" si="395"/>
        <v>Used VehicleEx NV demonstrators gross profit p.u.</v>
      </c>
      <c r="S4751" s="199"/>
      <c r="T4751" s="199"/>
      <c r="U4751" s="199"/>
    </row>
    <row r="4752" spans="1:21" x14ac:dyDescent="0.25">
      <c r="A4752" t="s">
        <v>996</v>
      </c>
      <c r="B4752" t="s">
        <v>997</v>
      </c>
      <c r="C4752" t="s">
        <v>1005</v>
      </c>
      <c r="D4752" t="s">
        <v>873</v>
      </c>
      <c r="E4752">
        <v>200</v>
      </c>
      <c r="F4752" t="s">
        <v>1024</v>
      </c>
      <c r="G4752" t="s">
        <v>1027</v>
      </c>
      <c r="H4752" s="315" t="s">
        <v>29</v>
      </c>
      <c r="I4752" s="315" t="s">
        <v>1026</v>
      </c>
      <c r="J4752" s="315" t="str">
        <f t="shared" si="391"/>
        <v>New VehicleOther Income per NV unit</v>
      </c>
      <c r="K4752" s="315" t="str">
        <f t="shared" si="392"/>
        <v>200New Vehicle Other Income - Toyota</v>
      </c>
      <c r="L4752" s="311">
        <f>+SUMIF('TUNZ Extracted TB'!M:M,$P4752,'TUNZ Extracted TB'!G:G)</f>
        <v>8145.88</v>
      </c>
      <c r="M4752" s="311"/>
      <c r="N4752" s="311">
        <f>+SUMIF('Input Sheet'!$AE:$AE,P4752,'Input Sheet'!$X:$X)</f>
        <v>0</v>
      </c>
      <c r="O4752" s="311"/>
      <c r="P4752" t="str">
        <f t="shared" si="393"/>
        <v>200-4087R</v>
      </c>
      <c r="Q4752" s="315" t="str">
        <f t="shared" si="394"/>
        <v>New Vehicle</v>
      </c>
      <c r="R4752" s="315" t="str">
        <f t="shared" si="395"/>
        <v>New VehicleOther Income per NV unit</v>
      </c>
      <c r="S4752" s="199"/>
      <c r="T4752" s="199"/>
      <c r="U4752" s="199"/>
    </row>
    <row r="4753" spans="1:21" x14ac:dyDescent="0.25">
      <c r="A4753" t="s">
        <v>996</v>
      </c>
      <c r="B4753" t="s">
        <v>997</v>
      </c>
      <c r="C4753" t="s">
        <v>1012</v>
      </c>
      <c r="D4753" t="s">
        <v>871</v>
      </c>
      <c r="E4753">
        <v>410</v>
      </c>
      <c r="F4753" t="s">
        <v>1287</v>
      </c>
      <c r="G4753" t="s">
        <v>1288</v>
      </c>
      <c r="H4753" s="315" t="s">
        <v>30</v>
      </c>
      <c r="I4753" s="315" t="s">
        <v>1016</v>
      </c>
      <c r="J4753" s="315" t="str">
        <f t="shared" si="391"/>
        <v>Used VehicleEx NV demonstrators gross profit p.u.</v>
      </c>
      <c r="K4753" s="315" t="str">
        <f t="shared" si="392"/>
        <v>410Ex-Toyota NV demonstrator Cost of Sales</v>
      </c>
      <c r="L4753" s="311">
        <f>+SUMIF('TUNZ Extracted TB'!M:M,$P4753,'TUNZ Extracted TB'!G:G)</f>
        <v>0</v>
      </c>
      <c r="M4753" s="311"/>
      <c r="N4753" s="311">
        <f>+SUMIF('Input Sheet'!$AE:$AE,P4753,'Input Sheet'!$X:$X)</f>
        <v>0</v>
      </c>
      <c r="O4753" s="311"/>
      <c r="P4753" t="str">
        <f t="shared" si="393"/>
        <v>410-4085RR</v>
      </c>
      <c r="Q4753" s="315" t="str">
        <f t="shared" si="394"/>
        <v>Used Vehicle</v>
      </c>
      <c r="R4753" s="315" t="str">
        <f t="shared" si="395"/>
        <v>Used VehicleEx NV demonstrators gross profit p.u.</v>
      </c>
      <c r="S4753" s="199"/>
      <c r="T4753" s="199"/>
      <c r="U4753" s="199"/>
    </row>
    <row r="4754" spans="1:21" x14ac:dyDescent="0.25">
      <c r="A4754" t="s">
        <v>996</v>
      </c>
      <c r="B4754" t="s">
        <v>997</v>
      </c>
      <c r="C4754" t="s">
        <v>1013</v>
      </c>
      <c r="D4754" t="s">
        <v>871</v>
      </c>
      <c r="E4754">
        <v>310</v>
      </c>
      <c r="F4754" t="s">
        <v>1287</v>
      </c>
      <c r="G4754" t="s">
        <v>1288</v>
      </c>
      <c r="H4754" s="315" t="s">
        <v>30</v>
      </c>
      <c r="I4754" s="315" t="s">
        <v>1016</v>
      </c>
      <c r="J4754" s="315" t="str">
        <f t="shared" si="391"/>
        <v>Used VehicleEx NV demonstrators gross profit p.u.</v>
      </c>
      <c r="K4754" s="315" t="str">
        <f t="shared" si="392"/>
        <v>310Ex-Toyota NV demonstrator Cost of Sales</v>
      </c>
      <c r="L4754" s="311">
        <f>+SUMIF('TUNZ Extracted TB'!M:M,$P4754,'TUNZ Extracted TB'!G:G)</f>
        <v>0</v>
      </c>
      <c r="M4754" s="311"/>
      <c r="N4754" s="311">
        <f>+SUMIF('Input Sheet'!$AE:$AE,P4754,'Input Sheet'!$X:$X)</f>
        <v>0</v>
      </c>
      <c r="O4754" s="311"/>
      <c r="P4754" t="str">
        <f t="shared" si="393"/>
        <v>310-4085RR</v>
      </c>
      <c r="Q4754" s="315" t="str">
        <f t="shared" si="394"/>
        <v>Used Vehicle</v>
      </c>
      <c r="R4754" s="315" t="str">
        <f t="shared" si="395"/>
        <v>Used VehicleEx NV demonstrators gross profit p.u.</v>
      </c>
      <c r="S4754" s="199"/>
      <c r="T4754" s="199"/>
      <c r="U4754" s="199"/>
    </row>
    <row r="4755" spans="1:21" x14ac:dyDescent="0.25">
      <c r="A4755" t="s">
        <v>996</v>
      </c>
      <c r="B4755" t="s">
        <v>997</v>
      </c>
      <c r="C4755" t="s">
        <v>997</v>
      </c>
      <c r="D4755" t="s">
        <v>873</v>
      </c>
      <c r="E4755">
        <v>100</v>
      </c>
      <c r="F4755" t="s">
        <v>1024</v>
      </c>
      <c r="G4755" t="s">
        <v>1027</v>
      </c>
      <c r="H4755" s="315" t="s">
        <v>29</v>
      </c>
      <c r="I4755" s="315" t="s">
        <v>1026</v>
      </c>
      <c r="J4755" s="315" t="str">
        <f t="shared" si="391"/>
        <v>New VehicleOther Income per NV unit</v>
      </c>
      <c r="K4755" s="315" t="str">
        <f t="shared" si="392"/>
        <v>100New Vehicle Other Income - Toyota</v>
      </c>
      <c r="L4755" s="311">
        <f>+SUMIF('TUNZ Extracted TB'!M:M,$P4755,'TUNZ Extracted TB'!G:G)</f>
        <v>15413.36</v>
      </c>
      <c r="M4755" s="311"/>
      <c r="N4755" s="311">
        <f>+SUMIF('Input Sheet'!$AE:$AE,P4755,'Input Sheet'!$X:$X)</f>
        <v>0</v>
      </c>
      <c r="O4755" s="311"/>
      <c r="P4755" t="str">
        <f t="shared" si="393"/>
        <v>100-4087R</v>
      </c>
      <c r="Q4755" s="315" t="str">
        <f t="shared" si="394"/>
        <v>New Vehicle</v>
      </c>
      <c r="R4755" s="315" t="str">
        <f t="shared" si="395"/>
        <v>New VehicleOther Income per NV unit</v>
      </c>
      <c r="S4755" s="199"/>
      <c r="T4755" s="199"/>
      <c r="U4755" s="199"/>
    </row>
    <row r="4756" spans="1:21" x14ac:dyDescent="0.25">
      <c r="A4756" t="s">
        <v>996</v>
      </c>
      <c r="B4756" t="s">
        <v>997</v>
      </c>
      <c r="C4756" t="s">
        <v>1012</v>
      </c>
      <c r="D4756" t="s">
        <v>873</v>
      </c>
      <c r="E4756">
        <v>400</v>
      </c>
      <c r="F4756" t="s">
        <v>1024</v>
      </c>
      <c r="G4756" t="s">
        <v>1027</v>
      </c>
      <c r="H4756" s="315" t="s">
        <v>29</v>
      </c>
      <c r="I4756" s="315" t="s">
        <v>1026</v>
      </c>
      <c r="J4756" s="315" t="str">
        <f t="shared" si="391"/>
        <v>New VehicleOther Income per NV unit</v>
      </c>
      <c r="K4756" s="315" t="str">
        <f t="shared" si="392"/>
        <v>400New Vehicle Other Income - Toyota</v>
      </c>
      <c r="L4756" s="311">
        <f>+SUMIF('TUNZ Extracted TB'!M:M,$P4756,'TUNZ Extracted TB'!G:G)</f>
        <v>0</v>
      </c>
      <c r="M4756" s="311"/>
      <c r="N4756" s="311">
        <f>+SUMIF('Input Sheet'!$AE:$AE,P4756,'Input Sheet'!$X:$X)</f>
        <v>0</v>
      </c>
      <c r="O4756" s="311"/>
      <c r="P4756" t="str">
        <f t="shared" si="393"/>
        <v>400-4087R</v>
      </c>
      <c r="Q4756" s="315" t="str">
        <f t="shared" si="394"/>
        <v>New Vehicle</v>
      </c>
      <c r="R4756" s="315" t="str">
        <f t="shared" si="395"/>
        <v>New VehicleOther Income per NV unit</v>
      </c>
      <c r="S4756" s="199"/>
      <c r="T4756" s="199"/>
      <c r="U4756" s="199"/>
    </row>
    <row r="4757" spans="1:21" x14ac:dyDescent="0.25">
      <c r="A4757" t="s">
        <v>996</v>
      </c>
      <c r="B4757" t="s">
        <v>997</v>
      </c>
      <c r="C4757" t="s">
        <v>1013</v>
      </c>
      <c r="D4757" t="s">
        <v>873</v>
      </c>
      <c r="E4757">
        <v>300</v>
      </c>
      <c r="F4757" t="s">
        <v>1024</v>
      </c>
      <c r="G4757" t="s">
        <v>1027</v>
      </c>
      <c r="H4757" s="315" t="s">
        <v>29</v>
      </c>
      <c r="I4757" s="315" t="s">
        <v>1026</v>
      </c>
      <c r="J4757" s="315" t="str">
        <f t="shared" si="391"/>
        <v>New VehicleOther Income per NV unit</v>
      </c>
      <c r="K4757" s="315" t="str">
        <f t="shared" si="392"/>
        <v>300New Vehicle Other Income - Toyota</v>
      </c>
      <c r="L4757" s="311">
        <f>+SUMIF('TUNZ Extracted TB'!M:M,$P4757,'TUNZ Extracted TB'!G:G)</f>
        <v>0</v>
      </c>
      <c r="M4757" s="311"/>
      <c r="N4757" s="311">
        <f>+SUMIF('Input Sheet'!$AE:$AE,P4757,'Input Sheet'!$X:$X)</f>
        <v>0</v>
      </c>
      <c r="O4757" s="311"/>
      <c r="P4757" t="str">
        <f t="shared" si="393"/>
        <v>300-4087R</v>
      </c>
      <c r="Q4757" s="315" t="str">
        <f t="shared" si="394"/>
        <v>New Vehicle</v>
      </c>
      <c r="R4757" s="315" t="str">
        <f t="shared" si="395"/>
        <v>New VehicleOther Income per NV unit</v>
      </c>
      <c r="S4757" s="199"/>
      <c r="T4757" s="199"/>
      <c r="U4757" s="199"/>
    </row>
    <row r="4758" spans="1:21" x14ac:dyDescent="0.25">
      <c r="A4758" t="s">
        <v>996</v>
      </c>
      <c r="B4758" t="s">
        <v>997</v>
      </c>
      <c r="C4758" t="s">
        <v>1005</v>
      </c>
      <c r="D4758" t="s">
        <v>871</v>
      </c>
      <c r="E4758">
        <v>210</v>
      </c>
      <c r="F4758" t="s">
        <v>1287</v>
      </c>
      <c r="G4758" t="s">
        <v>1288</v>
      </c>
      <c r="H4758" s="315" t="s">
        <v>30</v>
      </c>
      <c r="I4758" s="315" t="s">
        <v>1016</v>
      </c>
      <c r="J4758" s="315" t="str">
        <f t="shared" si="391"/>
        <v>Used VehicleEx NV demonstrators gross profit p.u.</v>
      </c>
      <c r="K4758" s="315" t="str">
        <f t="shared" si="392"/>
        <v>210Ex-Toyota NV demonstrator Cost of Sales</v>
      </c>
      <c r="L4758" s="311">
        <f>+SUMIF('TUNZ Extracted TB'!M:M,$P4758,'TUNZ Extracted TB'!G:G)</f>
        <v>-1157.51</v>
      </c>
      <c r="M4758" s="311"/>
      <c r="N4758" s="311">
        <f>+SUMIF('Input Sheet'!$AE:$AE,P4758,'Input Sheet'!$X:$X)</f>
        <v>0</v>
      </c>
      <c r="O4758" s="311"/>
      <c r="P4758" t="str">
        <f t="shared" si="393"/>
        <v>210-4085RR</v>
      </c>
      <c r="Q4758" s="315" t="str">
        <f t="shared" si="394"/>
        <v>Used Vehicle</v>
      </c>
      <c r="R4758" s="315" t="str">
        <f t="shared" si="395"/>
        <v>Used VehicleEx NV demonstrators gross profit p.u.</v>
      </c>
      <c r="S4758" s="199"/>
      <c r="T4758" s="199"/>
      <c r="U4758" s="199"/>
    </row>
    <row r="4759" spans="1:21" x14ac:dyDescent="0.25">
      <c r="A4759" t="s">
        <v>996</v>
      </c>
      <c r="B4759" t="s">
        <v>997</v>
      </c>
      <c r="C4759" t="s">
        <v>997</v>
      </c>
      <c r="D4759" t="s">
        <v>875</v>
      </c>
      <c r="E4759">
        <v>100</v>
      </c>
      <c r="F4759" t="s">
        <v>1024</v>
      </c>
      <c r="G4759" t="s">
        <v>1027</v>
      </c>
      <c r="H4759" s="315" t="s">
        <v>29</v>
      </c>
      <c r="I4759" s="315" t="s">
        <v>1026</v>
      </c>
      <c r="J4759" s="315" t="str">
        <f t="shared" si="391"/>
        <v>New VehicleOther Income per NV unit</v>
      </c>
      <c r="K4759" s="315" t="str">
        <f t="shared" si="392"/>
        <v>100New Vehicle Other Income - Toyota</v>
      </c>
      <c r="L4759" s="311">
        <f>+SUMIF('TUNZ Extracted TB'!M:M,$P4759,'TUNZ Extracted TB'!G:G)</f>
        <v>0</v>
      </c>
      <c r="M4759" s="311"/>
      <c r="N4759" s="311">
        <f>+SUMIF('Input Sheet'!$AE:$AE,P4759,'Input Sheet'!$X:$X)</f>
        <v>0</v>
      </c>
      <c r="O4759" s="311"/>
      <c r="P4759" t="str">
        <f t="shared" si="393"/>
        <v>100-4087RR</v>
      </c>
      <c r="Q4759" s="315" t="str">
        <f t="shared" si="394"/>
        <v>New Vehicle</v>
      </c>
      <c r="R4759" s="315" t="str">
        <f t="shared" si="395"/>
        <v>New VehicleOther Income per NV unit</v>
      </c>
      <c r="S4759" s="199"/>
      <c r="T4759" s="199"/>
      <c r="U4759" s="199"/>
    </row>
    <row r="4760" spans="1:21" x14ac:dyDescent="0.25">
      <c r="A4760" t="s">
        <v>996</v>
      </c>
      <c r="B4760" t="s">
        <v>997</v>
      </c>
      <c r="C4760" t="s">
        <v>1005</v>
      </c>
      <c r="D4760" t="s">
        <v>875</v>
      </c>
      <c r="E4760">
        <v>200</v>
      </c>
      <c r="F4760" t="s">
        <v>1024</v>
      </c>
      <c r="G4760" t="s">
        <v>1027</v>
      </c>
      <c r="H4760" s="315" t="s">
        <v>29</v>
      </c>
      <c r="I4760" s="315" t="s">
        <v>1026</v>
      </c>
      <c r="J4760" s="315" t="str">
        <f t="shared" si="391"/>
        <v>New VehicleOther Income per NV unit</v>
      </c>
      <c r="K4760" s="315" t="str">
        <f t="shared" si="392"/>
        <v>200New Vehicle Other Income - Toyota</v>
      </c>
      <c r="L4760" s="311">
        <f>+SUMIF('TUNZ Extracted TB'!M:M,$P4760,'TUNZ Extracted TB'!G:G)</f>
        <v>0</v>
      </c>
      <c r="M4760" s="311"/>
      <c r="N4760" s="311">
        <f>+SUMIF('Input Sheet'!$AE:$AE,P4760,'Input Sheet'!$X:$X)</f>
        <v>0</v>
      </c>
      <c r="O4760" s="311"/>
      <c r="P4760" t="str">
        <f t="shared" si="393"/>
        <v>200-4087RR</v>
      </c>
      <c r="Q4760" s="315" t="str">
        <f t="shared" si="394"/>
        <v>New Vehicle</v>
      </c>
      <c r="R4760" s="315" t="str">
        <f t="shared" si="395"/>
        <v>New VehicleOther Income per NV unit</v>
      </c>
      <c r="S4760" s="199"/>
      <c r="T4760" s="199"/>
      <c r="U4760" s="199"/>
    </row>
    <row r="4761" spans="1:21" x14ac:dyDescent="0.25">
      <c r="A4761" t="s">
        <v>996</v>
      </c>
      <c r="B4761" t="s">
        <v>997</v>
      </c>
      <c r="C4761" t="s">
        <v>997</v>
      </c>
      <c r="D4761" t="s">
        <v>873</v>
      </c>
      <c r="E4761">
        <v>110</v>
      </c>
      <c r="F4761" t="s">
        <v>1287</v>
      </c>
      <c r="G4761" t="s">
        <v>1288</v>
      </c>
      <c r="H4761" s="315" t="s">
        <v>30</v>
      </c>
      <c r="I4761" s="315" t="s">
        <v>1016</v>
      </c>
      <c r="J4761" s="315" t="str">
        <f t="shared" si="391"/>
        <v>Used VehicleEx NV demonstrators gross profit p.u.</v>
      </c>
      <c r="K4761" s="315" t="str">
        <f t="shared" si="392"/>
        <v>110Ex-Toyota NV demonstrator Cost of Sales</v>
      </c>
      <c r="L4761" s="311">
        <f>+SUMIF('TUNZ Extracted TB'!M:M,$P4761,'TUNZ Extracted TB'!G:G)</f>
        <v>-21.74</v>
      </c>
      <c r="M4761" s="311"/>
      <c r="N4761" s="311">
        <f>+SUMIF('Input Sheet'!$AE:$AE,P4761,'Input Sheet'!$X:$X)</f>
        <v>0</v>
      </c>
      <c r="O4761" s="311"/>
      <c r="P4761" t="str">
        <f t="shared" si="393"/>
        <v>110-4087R</v>
      </c>
      <c r="Q4761" s="315" t="str">
        <f t="shared" si="394"/>
        <v>Used Vehicle</v>
      </c>
      <c r="R4761" s="315" t="str">
        <f t="shared" si="395"/>
        <v>Used VehicleEx NV demonstrators gross profit p.u.</v>
      </c>
      <c r="S4761" s="199"/>
      <c r="T4761" s="199"/>
      <c r="U4761" s="199"/>
    </row>
    <row r="4762" spans="1:21" x14ac:dyDescent="0.25">
      <c r="A4762" t="s">
        <v>996</v>
      </c>
      <c r="B4762" t="s">
        <v>997</v>
      </c>
      <c r="C4762" t="s">
        <v>1005</v>
      </c>
      <c r="D4762" t="s">
        <v>873</v>
      </c>
      <c r="E4762">
        <v>210</v>
      </c>
      <c r="F4762" t="s">
        <v>1287</v>
      </c>
      <c r="G4762" t="s">
        <v>1288</v>
      </c>
      <c r="H4762" s="315" t="s">
        <v>30</v>
      </c>
      <c r="I4762" s="315" t="s">
        <v>1016</v>
      </c>
      <c r="J4762" s="315" t="str">
        <f t="shared" si="391"/>
        <v>Used VehicleEx NV demonstrators gross profit p.u.</v>
      </c>
      <c r="K4762" s="315" t="str">
        <f t="shared" si="392"/>
        <v>210Ex-Toyota NV demonstrator Cost of Sales</v>
      </c>
      <c r="L4762" s="311">
        <f>+SUMIF('TUNZ Extracted TB'!M:M,$P4762,'TUNZ Extracted TB'!G:G)</f>
        <v>0</v>
      </c>
      <c r="M4762" s="311"/>
      <c r="N4762" s="311">
        <f>+SUMIF('Input Sheet'!$AE:$AE,P4762,'Input Sheet'!$X:$X)</f>
        <v>0</v>
      </c>
      <c r="O4762" s="311"/>
      <c r="P4762" t="str">
        <f t="shared" si="393"/>
        <v>210-4087R</v>
      </c>
      <c r="Q4762" s="315" t="str">
        <f t="shared" si="394"/>
        <v>Used Vehicle</v>
      </c>
      <c r="R4762" s="315" t="str">
        <f t="shared" si="395"/>
        <v>Used VehicleEx NV demonstrators gross profit p.u.</v>
      </c>
      <c r="S4762" s="199"/>
      <c r="T4762" s="199"/>
      <c r="U4762" s="199"/>
    </row>
    <row r="4763" spans="1:21" x14ac:dyDescent="0.25">
      <c r="A4763" t="s">
        <v>996</v>
      </c>
      <c r="B4763" t="s">
        <v>997</v>
      </c>
      <c r="C4763" t="s">
        <v>1012</v>
      </c>
      <c r="D4763" t="s">
        <v>873</v>
      </c>
      <c r="E4763">
        <v>410</v>
      </c>
      <c r="F4763" t="s">
        <v>1287</v>
      </c>
      <c r="G4763" t="s">
        <v>1288</v>
      </c>
      <c r="H4763" s="315" t="s">
        <v>30</v>
      </c>
      <c r="I4763" s="315" t="s">
        <v>1016</v>
      </c>
      <c r="J4763" s="315" t="str">
        <f t="shared" si="391"/>
        <v>Used VehicleEx NV demonstrators gross profit p.u.</v>
      </c>
      <c r="K4763" s="315" t="str">
        <f t="shared" si="392"/>
        <v>410Ex-Toyota NV demonstrator Cost of Sales</v>
      </c>
      <c r="L4763" s="311">
        <f>+SUMIF('TUNZ Extracted TB'!M:M,$P4763,'TUNZ Extracted TB'!G:G)</f>
        <v>0</v>
      </c>
      <c r="M4763" s="311"/>
      <c r="N4763" s="311">
        <f>+SUMIF('Input Sheet'!$AE:$AE,P4763,'Input Sheet'!$X:$X)</f>
        <v>0</v>
      </c>
      <c r="O4763" s="311"/>
      <c r="P4763" t="str">
        <f t="shared" si="393"/>
        <v>410-4087R</v>
      </c>
      <c r="Q4763" s="315" t="str">
        <f t="shared" si="394"/>
        <v>Used Vehicle</v>
      </c>
      <c r="R4763" s="315" t="str">
        <f t="shared" si="395"/>
        <v>Used VehicleEx NV demonstrators gross profit p.u.</v>
      </c>
      <c r="S4763" s="199"/>
      <c r="T4763" s="199"/>
      <c r="U4763" s="199"/>
    </row>
    <row r="4764" spans="1:21" x14ac:dyDescent="0.25">
      <c r="A4764" t="s">
        <v>996</v>
      </c>
      <c r="B4764" t="s">
        <v>997</v>
      </c>
      <c r="C4764" t="s">
        <v>1013</v>
      </c>
      <c r="D4764" t="s">
        <v>873</v>
      </c>
      <c r="E4764">
        <v>310</v>
      </c>
      <c r="F4764" t="s">
        <v>1287</v>
      </c>
      <c r="G4764" t="s">
        <v>1288</v>
      </c>
      <c r="H4764" s="315" t="s">
        <v>30</v>
      </c>
      <c r="I4764" s="315" t="s">
        <v>1016</v>
      </c>
      <c r="J4764" s="315" t="str">
        <f t="shared" si="391"/>
        <v>Used VehicleEx NV demonstrators gross profit p.u.</v>
      </c>
      <c r="K4764" s="315" t="str">
        <f t="shared" si="392"/>
        <v>310Ex-Toyota NV demonstrator Cost of Sales</v>
      </c>
      <c r="L4764" s="311">
        <f>+SUMIF('TUNZ Extracted TB'!M:M,$P4764,'TUNZ Extracted TB'!G:G)</f>
        <v>0</v>
      </c>
      <c r="M4764" s="311"/>
      <c r="N4764" s="311">
        <f>+SUMIF('Input Sheet'!$AE:$AE,P4764,'Input Sheet'!$X:$X)</f>
        <v>0</v>
      </c>
      <c r="O4764" s="311"/>
      <c r="P4764" t="str">
        <f t="shared" si="393"/>
        <v>310-4087R</v>
      </c>
      <c r="Q4764" s="315" t="str">
        <f t="shared" si="394"/>
        <v>Used Vehicle</v>
      </c>
      <c r="R4764" s="315" t="str">
        <f t="shared" si="395"/>
        <v>Used VehicleEx NV demonstrators gross profit p.u.</v>
      </c>
      <c r="S4764" s="199"/>
      <c r="T4764" s="199"/>
      <c r="U4764" s="199"/>
    </row>
    <row r="4765" spans="1:21" x14ac:dyDescent="0.25">
      <c r="A4765" t="s">
        <v>996</v>
      </c>
      <c r="B4765" t="s">
        <v>997</v>
      </c>
      <c r="C4765" t="s">
        <v>1012</v>
      </c>
      <c r="D4765" t="s">
        <v>875</v>
      </c>
      <c r="E4765">
        <v>400</v>
      </c>
      <c r="F4765" t="s">
        <v>1024</v>
      </c>
      <c r="G4765" t="s">
        <v>1027</v>
      </c>
      <c r="H4765" s="315" t="s">
        <v>29</v>
      </c>
      <c r="I4765" s="315" t="s">
        <v>1026</v>
      </c>
      <c r="J4765" s="315" t="str">
        <f t="shared" si="391"/>
        <v>New VehicleOther Income per NV unit</v>
      </c>
      <c r="K4765" s="315" t="str">
        <f t="shared" si="392"/>
        <v>400New Vehicle Other Income - Toyota</v>
      </c>
      <c r="L4765" s="311">
        <f>+SUMIF('TUNZ Extracted TB'!M:M,$P4765,'TUNZ Extracted TB'!G:G)</f>
        <v>0</v>
      </c>
      <c r="M4765" s="311"/>
      <c r="N4765" s="311">
        <f>+SUMIF('Input Sheet'!$AE:$AE,P4765,'Input Sheet'!$X:$X)</f>
        <v>0</v>
      </c>
      <c r="O4765" s="311"/>
      <c r="P4765" t="str">
        <f t="shared" si="393"/>
        <v>400-4087RR</v>
      </c>
      <c r="Q4765" s="315" t="str">
        <f t="shared" si="394"/>
        <v>New Vehicle</v>
      </c>
      <c r="R4765" s="315" t="str">
        <f t="shared" si="395"/>
        <v>New VehicleOther Income per NV unit</v>
      </c>
      <c r="S4765" s="199"/>
      <c r="T4765" s="199"/>
      <c r="U4765" s="199"/>
    </row>
    <row r="4766" spans="1:21" x14ac:dyDescent="0.25">
      <c r="A4766" t="s">
        <v>996</v>
      </c>
      <c r="B4766" t="s">
        <v>997</v>
      </c>
      <c r="C4766" t="s">
        <v>1013</v>
      </c>
      <c r="D4766" t="s">
        <v>875</v>
      </c>
      <c r="E4766">
        <v>300</v>
      </c>
      <c r="F4766" t="s">
        <v>1024</v>
      </c>
      <c r="G4766" t="s">
        <v>1027</v>
      </c>
      <c r="H4766" s="315" t="s">
        <v>29</v>
      </c>
      <c r="I4766" s="315" t="s">
        <v>1026</v>
      </c>
      <c r="J4766" s="315" t="str">
        <f t="shared" si="391"/>
        <v>New VehicleOther Income per NV unit</v>
      </c>
      <c r="K4766" s="315" t="str">
        <f t="shared" si="392"/>
        <v>300New Vehicle Other Income - Toyota</v>
      </c>
      <c r="L4766" s="311">
        <f>+SUMIF('TUNZ Extracted TB'!M:M,$P4766,'TUNZ Extracted TB'!G:G)</f>
        <v>0</v>
      </c>
      <c r="M4766" s="311"/>
      <c r="N4766" s="311">
        <f>+SUMIF('Input Sheet'!$AE:$AE,P4766,'Input Sheet'!$X:$X)</f>
        <v>0</v>
      </c>
      <c r="O4766" s="311"/>
      <c r="P4766" t="str">
        <f t="shared" si="393"/>
        <v>300-4087RR</v>
      </c>
      <c r="Q4766" s="315" t="str">
        <f t="shared" si="394"/>
        <v>New Vehicle</v>
      </c>
      <c r="R4766" s="315" t="str">
        <f t="shared" si="395"/>
        <v>New VehicleOther Income per NV unit</v>
      </c>
      <c r="S4766" s="199"/>
      <c r="T4766" s="199"/>
      <c r="U4766" s="199"/>
    </row>
    <row r="4767" spans="1:21" x14ac:dyDescent="0.25">
      <c r="A4767" t="s">
        <v>996</v>
      </c>
      <c r="B4767" t="s">
        <v>997</v>
      </c>
      <c r="C4767" t="s">
        <v>997</v>
      </c>
      <c r="D4767" t="s">
        <v>875</v>
      </c>
      <c r="E4767">
        <v>110</v>
      </c>
      <c r="F4767" t="s">
        <v>1287</v>
      </c>
      <c r="G4767" t="s">
        <v>1288</v>
      </c>
      <c r="H4767" s="315" t="s">
        <v>30</v>
      </c>
      <c r="I4767" s="315" t="s">
        <v>1016</v>
      </c>
      <c r="J4767" s="315" t="str">
        <f t="shared" si="391"/>
        <v>Used VehicleEx NV demonstrators gross profit p.u.</v>
      </c>
      <c r="K4767" s="315" t="str">
        <f t="shared" si="392"/>
        <v>110Ex-Toyota NV demonstrator Cost of Sales</v>
      </c>
      <c r="L4767" s="311">
        <f>+SUMIF('TUNZ Extracted TB'!M:M,$P4767,'TUNZ Extracted TB'!G:G)</f>
        <v>0</v>
      </c>
      <c r="M4767" s="311"/>
      <c r="N4767" s="311">
        <f>+SUMIF('Input Sheet'!$AE:$AE,P4767,'Input Sheet'!$X:$X)</f>
        <v>0</v>
      </c>
      <c r="O4767" s="311"/>
      <c r="P4767" t="str">
        <f t="shared" si="393"/>
        <v>110-4087RR</v>
      </c>
      <c r="Q4767" s="315" t="str">
        <f t="shared" si="394"/>
        <v>Used Vehicle</v>
      </c>
      <c r="R4767" s="315" t="str">
        <f t="shared" si="395"/>
        <v>Used VehicleEx NV demonstrators gross profit p.u.</v>
      </c>
      <c r="S4767" s="199"/>
      <c r="T4767" s="199"/>
      <c r="U4767" s="199"/>
    </row>
    <row r="4768" spans="1:21" x14ac:dyDescent="0.25">
      <c r="A4768" t="s">
        <v>996</v>
      </c>
      <c r="B4768" t="s">
        <v>997</v>
      </c>
      <c r="C4768" t="s">
        <v>997</v>
      </c>
      <c r="D4768" t="s">
        <v>877</v>
      </c>
      <c r="E4768">
        <v>100</v>
      </c>
      <c r="F4768" t="s">
        <v>1024</v>
      </c>
      <c r="G4768" t="s">
        <v>1027</v>
      </c>
      <c r="H4768" s="315" t="s">
        <v>29</v>
      </c>
      <c r="I4768" s="315" t="s">
        <v>1026</v>
      </c>
      <c r="J4768" s="315" t="str">
        <f t="shared" si="391"/>
        <v>New VehicleOther Income per NV unit</v>
      </c>
      <c r="K4768" s="315" t="str">
        <f t="shared" si="392"/>
        <v>100New Vehicle Other Income - Toyota</v>
      </c>
      <c r="L4768" s="311">
        <f>+SUMIF('TUNZ Extracted TB'!M:M,$P4768,'TUNZ Extracted TB'!G:G)</f>
        <v>0</v>
      </c>
      <c r="M4768" s="311"/>
      <c r="N4768" s="311">
        <f>+SUMIF('Input Sheet'!$AE:$AE,P4768,'Input Sheet'!$X:$X)</f>
        <v>0</v>
      </c>
      <c r="O4768" s="311"/>
      <c r="P4768" t="str">
        <f t="shared" si="393"/>
        <v>100-4088R</v>
      </c>
      <c r="Q4768" s="315" t="str">
        <f t="shared" si="394"/>
        <v>New Vehicle</v>
      </c>
      <c r="R4768" s="315" t="str">
        <f t="shared" si="395"/>
        <v>New VehicleOther Income per NV unit</v>
      </c>
      <c r="S4768" s="199"/>
      <c r="T4768" s="199"/>
      <c r="U4768" s="199"/>
    </row>
    <row r="4769" spans="1:21" x14ac:dyDescent="0.25">
      <c r="A4769" t="s">
        <v>996</v>
      </c>
      <c r="B4769" t="s">
        <v>997</v>
      </c>
      <c r="C4769" t="s">
        <v>1012</v>
      </c>
      <c r="D4769" t="s">
        <v>875</v>
      </c>
      <c r="E4769">
        <v>410</v>
      </c>
      <c r="F4769" t="s">
        <v>1287</v>
      </c>
      <c r="G4769" t="s">
        <v>1288</v>
      </c>
      <c r="H4769" s="315" t="s">
        <v>30</v>
      </c>
      <c r="I4769" s="315" t="s">
        <v>1016</v>
      </c>
      <c r="J4769" s="315" t="str">
        <f t="shared" si="391"/>
        <v>Used VehicleEx NV demonstrators gross profit p.u.</v>
      </c>
      <c r="K4769" s="315" t="str">
        <f t="shared" si="392"/>
        <v>410Ex-Toyota NV demonstrator Cost of Sales</v>
      </c>
      <c r="L4769" s="311">
        <f>+SUMIF('TUNZ Extracted TB'!M:M,$P4769,'TUNZ Extracted TB'!G:G)</f>
        <v>0</v>
      </c>
      <c r="M4769" s="311"/>
      <c r="N4769" s="311">
        <f>+SUMIF('Input Sheet'!$AE:$AE,P4769,'Input Sheet'!$X:$X)</f>
        <v>0</v>
      </c>
      <c r="O4769" s="311"/>
      <c r="P4769" t="str">
        <f t="shared" si="393"/>
        <v>410-4087RR</v>
      </c>
      <c r="Q4769" s="315" t="str">
        <f t="shared" si="394"/>
        <v>Used Vehicle</v>
      </c>
      <c r="R4769" s="315" t="str">
        <f t="shared" si="395"/>
        <v>Used VehicleEx NV demonstrators gross profit p.u.</v>
      </c>
      <c r="S4769" s="199"/>
      <c r="T4769" s="199"/>
      <c r="U4769" s="199"/>
    </row>
    <row r="4770" spans="1:21" x14ac:dyDescent="0.25">
      <c r="A4770" t="s">
        <v>996</v>
      </c>
      <c r="B4770" t="s">
        <v>997</v>
      </c>
      <c r="C4770" t="s">
        <v>1013</v>
      </c>
      <c r="D4770" t="s">
        <v>875</v>
      </c>
      <c r="E4770">
        <v>310</v>
      </c>
      <c r="F4770" t="s">
        <v>1287</v>
      </c>
      <c r="G4770" t="s">
        <v>1288</v>
      </c>
      <c r="H4770" s="315" t="s">
        <v>30</v>
      </c>
      <c r="I4770" s="315" t="s">
        <v>1016</v>
      </c>
      <c r="J4770" s="315" t="str">
        <f t="shared" si="391"/>
        <v>Used VehicleEx NV demonstrators gross profit p.u.</v>
      </c>
      <c r="K4770" s="315" t="str">
        <f t="shared" si="392"/>
        <v>310Ex-Toyota NV demonstrator Cost of Sales</v>
      </c>
      <c r="L4770" s="311">
        <f>+SUMIF('TUNZ Extracted TB'!M:M,$P4770,'TUNZ Extracted TB'!G:G)</f>
        <v>0</v>
      </c>
      <c r="M4770" s="311"/>
      <c r="N4770" s="311">
        <f>+SUMIF('Input Sheet'!$AE:$AE,P4770,'Input Sheet'!$X:$X)</f>
        <v>0</v>
      </c>
      <c r="O4770" s="311"/>
      <c r="P4770" t="str">
        <f t="shared" si="393"/>
        <v>310-4087RR</v>
      </c>
      <c r="Q4770" s="315" t="str">
        <f t="shared" si="394"/>
        <v>Used Vehicle</v>
      </c>
      <c r="R4770" s="315" t="str">
        <f t="shared" si="395"/>
        <v>Used VehicleEx NV demonstrators gross profit p.u.</v>
      </c>
      <c r="S4770" s="199"/>
      <c r="T4770" s="199"/>
      <c r="U4770" s="199"/>
    </row>
    <row r="4771" spans="1:21" x14ac:dyDescent="0.25">
      <c r="A4771" t="s">
        <v>996</v>
      </c>
      <c r="B4771" t="s">
        <v>997</v>
      </c>
      <c r="C4771" t="s">
        <v>1005</v>
      </c>
      <c r="D4771" t="s">
        <v>875</v>
      </c>
      <c r="E4771">
        <v>210</v>
      </c>
      <c r="F4771" t="s">
        <v>1287</v>
      </c>
      <c r="G4771" t="s">
        <v>1288</v>
      </c>
      <c r="H4771" s="315" t="s">
        <v>30</v>
      </c>
      <c r="I4771" s="315" t="s">
        <v>1016</v>
      </c>
      <c r="J4771" s="315" t="str">
        <f t="shared" si="391"/>
        <v>Used VehicleEx NV demonstrators gross profit p.u.</v>
      </c>
      <c r="K4771" s="315" t="str">
        <f t="shared" si="392"/>
        <v>210Ex-Toyota NV demonstrator Cost of Sales</v>
      </c>
      <c r="L4771" s="311">
        <f>+SUMIF('TUNZ Extracted TB'!M:M,$P4771,'TUNZ Extracted TB'!G:G)</f>
        <v>0</v>
      </c>
      <c r="M4771" s="311"/>
      <c r="N4771" s="311">
        <f>+SUMIF('Input Sheet'!$AE:$AE,P4771,'Input Sheet'!$X:$X)</f>
        <v>0</v>
      </c>
      <c r="O4771" s="311"/>
      <c r="P4771" t="str">
        <f t="shared" si="393"/>
        <v>210-4087RR</v>
      </c>
      <c r="Q4771" s="315" t="str">
        <f t="shared" si="394"/>
        <v>Used Vehicle</v>
      </c>
      <c r="R4771" s="315" t="str">
        <f t="shared" si="395"/>
        <v>Used VehicleEx NV demonstrators gross profit p.u.</v>
      </c>
      <c r="S4771" s="199"/>
      <c r="T4771" s="199"/>
      <c r="U4771" s="199"/>
    </row>
    <row r="4772" spans="1:21" x14ac:dyDescent="0.25">
      <c r="A4772" t="s">
        <v>996</v>
      </c>
      <c r="B4772" t="s">
        <v>997</v>
      </c>
      <c r="C4772" t="s">
        <v>1005</v>
      </c>
      <c r="D4772" t="s">
        <v>877</v>
      </c>
      <c r="E4772">
        <v>200</v>
      </c>
      <c r="F4772" t="s">
        <v>1024</v>
      </c>
      <c r="G4772" t="s">
        <v>1027</v>
      </c>
      <c r="H4772" s="315" t="s">
        <v>29</v>
      </c>
      <c r="I4772" s="315" t="s">
        <v>1026</v>
      </c>
      <c r="J4772" s="315" t="str">
        <f t="shared" si="391"/>
        <v>New VehicleOther Income per NV unit</v>
      </c>
      <c r="K4772" s="315" t="str">
        <f t="shared" si="392"/>
        <v>200New Vehicle Other Income - Toyota</v>
      </c>
      <c r="L4772" s="311">
        <f>+SUMIF('TUNZ Extracted TB'!M:M,$P4772,'TUNZ Extracted TB'!G:G)</f>
        <v>0</v>
      </c>
      <c r="M4772" s="311"/>
      <c r="N4772" s="311">
        <f>+SUMIF('Input Sheet'!$AE:$AE,P4772,'Input Sheet'!$X:$X)</f>
        <v>0</v>
      </c>
      <c r="O4772" s="311"/>
      <c r="P4772" t="str">
        <f t="shared" si="393"/>
        <v>200-4088R</v>
      </c>
      <c r="Q4772" s="315" t="str">
        <f t="shared" si="394"/>
        <v>New Vehicle</v>
      </c>
      <c r="R4772" s="315" t="str">
        <f t="shared" si="395"/>
        <v>New VehicleOther Income per NV unit</v>
      </c>
      <c r="S4772" s="199"/>
      <c r="T4772" s="199"/>
      <c r="U4772" s="199"/>
    </row>
    <row r="4773" spans="1:21" x14ac:dyDescent="0.25">
      <c r="A4773" t="s">
        <v>996</v>
      </c>
      <c r="B4773" t="s">
        <v>997</v>
      </c>
      <c r="C4773" t="s">
        <v>1012</v>
      </c>
      <c r="D4773" t="s">
        <v>877</v>
      </c>
      <c r="E4773">
        <v>400</v>
      </c>
      <c r="F4773" t="s">
        <v>1024</v>
      </c>
      <c r="G4773" t="s">
        <v>1027</v>
      </c>
      <c r="H4773" s="315" t="s">
        <v>29</v>
      </c>
      <c r="I4773" s="315" t="s">
        <v>1026</v>
      </c>
      <c r="J4773" s="315" t="str">
        <f t="shared" si="391"/>
        <v>New VehicleOther Income per NV unit</v>
      </c>
      <c r="K4773" s="315" t="str">
        <f t="shared" si="392"/>
        <v>400New Vehicle Other Income - Toyota</v>
      </c>
      <c r="L4773" s="311">
        <f>+SUMIF('TUNZ Extracted TB'!M:M,$P4773,'TUNZ Extracted TB'!G:G)</f>
        <v>0</v>
      </c>
      <c r="M4773" s="311"/>
      <c r="N4773" s="311">
        <f>+SUMIF('Input Sheet'!$AE:$AE,P4773,'Input Sheet'!$X:$X)</f>
        <v>0</v>
      </c>
      <c r="O4773" s="311"/>
      <c r="P4773" t="str">
        <f t="shared" si="393"/>
        <v>400-4088R</v>
      </c>
      <c r="Q4773" s="315" t="str">
        <f t="shared" si="394"/>
        <v>New Vehicle</v>
      </c>
      <c r="R4773" s="315" t="str">
        <f t="shared" si="395"/>
        <v>New VehicleOther Income per NV unit</v>
      </c>
      <c r="S4773" s="199"/>
      <c r="T4773" s="199"/>
      <c r="U4773" s="199"/>
    </row>
    <row r="4774" spans="1:21" x14ac:dyDescent="0.25">
      <c r="A4774" t="s">
        <v>996</v>
      </c>
      <c r="B4774" t="s">
        <v>997</v>
      </c>
      <c r="C4774" t="s">
        <v>1013</v>
      </c>
      <c r="D4774" t="s">
        <v>877</v>
      </c>
      <c r="E4774">
        <v>300</v>
      </c>
      <c r="F4774" t="s">
        <v>1024</v>
      </c>
      <c r="G4774" t="s">
        <v>1027</v>
      </c>
      <c r="H4774" s="315" t="s">
        <v>29</v>
      </c>
      <c r="I4774" s="315" t="s">
        <v>1026</v>
      </c>
      <c r="J4774" s="315" t="str">
        <f t="shared" si="391"/>
        <v>New VehicleOther Income per NV unit</v>
      </c>
      <c r="K4774" s="315" t="str">
        <f t="shared" si="392"/>
        <v>300New Vehicle Other Income - Toyota</v>
      </c>
      <c r="L4774" s="311">
        <f>+SUMIF('TUNZ Extracted TB'!M:M,$P4774,'TUNZ Extracted TB'!G:G)</f>
        <v>0</v>
      </c>
      <c r="M4774" s="311"/>
      <c r="N4774" s="311">
        <f>+SUMIF('Input Sheet'!$AE:$AE,P4774,'Input Sheet'!$X:$X)</f>
        <v>0</v>
      </c>
      <c r="O4774" s="311"/>
      <c r="P4774" t="str">
        <f t="shared" si="393"/>
        <v>300-4088R</v>
      </c>
      <c r="Q4774" s="315" t="str">
        <f t="shared" si="394"/>
        <v>New Vehicle</v>
      </c>
      <c r="R4774" s="315" t="str">
        <f t="shared" si="395"/>
        <v>New VehicleOther Income per NV unit</v>
      </c>
      <c r="S4774" s="199"/>
      <c r="T4774" s="199"/>
      <c r="U4774" s="199"/>
    </row>
    <row r="4775" spans="1:21" x14ac:dyDescent="0.25">
      <c r="A4775" t="s">
        <v>996</v>
      </c>
      <c r="B4775" t="s">
        <v>997</v>
      </c>
      <c r="C4775" t="s">
        <v>1005</v>
      </c>
      <c r="D4775" t="s">
        <v>877</v>
      </c>
      <c r="E4775">
        <v>210</v>
      </c>
      <c r="F4775" t="s">
        <v>1287</v>
      </c>
      <c r="G4775" t="s">
        <v>1288</v>
      </c>
      <c r="H4775" s="315" t="s">
        <v>30</v>
      </c>
      <c r="I4775" s="315" t="s">
        <v>1016</v>
      </c>
      <c r="J4775" s="315" t="str">
        <f t="shared" si="391"/>
        <v>Used VehicleEx NV demonstrators gross profit p.u.</v>
      </c>
      <c r="K4775" s="315" t="str">
        <f t="shared" si="392"/>
        <v>210Ex-Toyota NV demonstrator Cost of Sales</v>
      </c>
      <c r="L4775" s="311">
        <f>+SUMIF('TUNZ Extracted TB'!M:M,$P4775,'TUNZ Extracted TB'!G:G)</f>
        <v>0</v>
      </c>
      <c r="M4775" s="311"/>
      <c r="N4775" s="311">
        <f>+SUMIF('Input Sheet'!$AE:$AE,P4775,'Input Sheet'!$X:$X)</f>
        <v>0</v>
      </c>
      <c r="O4775" s="311"/>
      <c r="P4775" t="str">
        <f t="shared" si="393"/>
        <v>210-4088R</v>
      </c>
      <c r="Q4775" s="315" t="str">
        <f t="shared" si="394"/>
        <v>Used Vehicle</v>
      </c>
      <c r="R4775" s="315" t="str">
        <f t="shared" si="395"/>
        <v>Used VehicleEx NV demonstrators gross profit p.u.</v>
      </c>
      <c r="S4775" s="199" t="s">
        <v>1570</v>
      </c>
      <c r="T4775" s="199">
        <v>8</v>
      </c>
      <c r="U4775" s="199">
        <v>9</v>
      </c>
    </row>
    <row r="4776" spans="1:21" x14ac:dyDescent="0.25">
      <c r="A4776" t="s">
        <v>996</v>
      </c>
      <c r="B4776" t="s">
        <v>997</v>
      </c>
      <c r="C4776" t="s">
        <v>997</v>
      </c>
      <c r="D4776" t="s">
        <v>877</v>
      </c>
      <c r="E4776">
        <v>110</v>
      </c>
      <c r="F4776" t="s">
        <v>1287</v>
      </c>
      <c r="G4776" t="s">
        <v>1288</v>
      </c>
      <c r="H4776" s="315" t="s">
        <v>30</v>
      </c>
      <c r="I4776" s="315" t="s">
        <v>1016</v>
      </c>
      <c r="J4776" s="315" t="str">
        <f t="shared" si="391"/>
        <v>Used VehicleEx NV demonstrators gross profit p.u.</v>
      </c>
      <c r="K4776" s="315" t="str">
        <f t="shared" si="392"/>
        <v>110Ex-Toyota NV demonstrator Cost of Sales</v>
      </c>
      <c r="L4776" s="311">
        <f>+SUMIF('TUNZ Extracted TB'!M:M,$P4776,'TUNZ Extracted TB'!G:G)</f>
        <v>0</v>
      </c>
      <c r="M4776" s="311"/>
      <c r="N4776" s="311">
        <f>+SUMIF('Input Sheet'!$AE:$AE,P4776,'Input Sheet'!$X:$X)</f>
        <v>0</v>
      </c>
      <c r="O4776" s="311"/>
      <c r="P4776" t="str">
        <f t="shared" si="393"/>
        <v>110-4088R</v>
      </c>
      <c r="Q4776" s="315" t="str">
        <f t="shared" si="394"/>
        <v>Used Vehicle</v>
      </c>
      <c r="R4776" s="315" t="str">
        <f t="shared" si="395"/>
        <v>Used VehicleEx NV demonstrators gross profit p.u.</v>
      </c>
      <c r="S4776" s="199"/>
      <c r="T4776" s="199"/>
      <c r="U4776" s="199"/>
    </row>
    <row r="4777" spans="1:21" x14ac:dyDescent="0.25">
      <c r="A4777" t="s">
        <v>996</v>
      </c>
      <c r="B4777" t="s">
        <v>997</v>
      </c>
      <c r="C4777" t="s">
        <v>997</v>
      </c>
      <c r="D4777" t="s">
        <v>879</v>
      </c>
      <c r="E4777">
        <v>100</v>
      </c>
      <c r="F4777" t="s">
        <v>1024</v>
      </c>
      <c r="G4777" t="s">
        <v>1027</v>
      </c>
      <c r="H4777" s="315" t="s">
        <v>29</v>
      </c>
      <c r="I4777" s="315" t="s">
        <v>1026</v>
      </c>
      <c r="J4777" s="315" t="str">
        <f t="shared" si="391"/>
        <v>New VehicleOther Income per NV unit</v>
      </c>
      <c r="K4777" s="315" t="str">
        <f t="shared" si="392"/>
        <v>100New Vehicle Other Income - Toyota</v>
      </c>
      <c r="L4777" s="311">
        <f>+SUMIF('TUNZ Extracted TB'!M:M,$P4777,'TUNZ Extracted TB'!G:G)</f>
        <v>0</v>
      </c>
      <c r="M4777" s="311"/>
      <c r="N4777" s="311">
        <f>+SUMIF('Input Sheet'!$AE:$AE,P4777,'Input Sheet'!$X:$X)</f>
        <v>0</v>
      </c>
      <c r="O4777" s="311"/>
      <c r="P4777" t="str">
        <f t="shared" si="393"/>
        <v>100-4088RR</v>
      </c>
      <c r="Q4777" s="315" t="str">
        <f t="shared" si="394"/>
        <v>New Vehicle</v>
      </c>
      <c r="R4777" s="315" t="str">
        <f t="shared" si="395"/>
        <v>New VehicleOther Income per NV unit</v>
      </c>
      <c r="S4777" s="199"/>
      <c r="T4777" s="199"/>
      <c r="U4777" s="199"/>
    </row>
    <row r="4778" spans="1:21" x14ac:dyDescent="0.25">
      <c r="A4778" t="s">
        <v>996</v>
      </c>
      <c r="B4778" t="s">
        <v>997</v>
      </c>
      <c r="C4778" t="s">
        <v>1012</v>
      </c>
      <c r="D4778" t="s">
        <v>877</v>
      </c>
      <c r="E4778">
        <v>410</v>
      </c>
      <c r="F4778" t="s">
        <v>1287</v>
      </c>
      <c r="G4778" t="s">
        <v>1288</v>
      </c>
      <c r="H4778" s="315" t="s">
        <v>30</v>
      </c>
      <c r="I4778" s="315" t="s">
        <v>1016</v>
      </c>
      <c r="J4778" s="315" t="str">
        <f t="shared" si="391"/>
        <v>Used VehicleEx NV demonstrators gross profit p.u.</v>
      </c>
      <c r="K4778" s="315" t="str">
        <f t="shared" si="392"/>
        <v>410Ex-Toyota NV demonstrator Cost of Sales</v>
      </c>
      <c r="L4778" s="311">
        <f>+SUMIF('TUNZ Extracted TB'!M:M,$P4778,'TUNZ Extracted TB'!G:G)</f>
        <v>0</v>
      </c>
      <c r="M4778" s="311"/>
      <c r="N4778" s="311">
        <f>+SUMIF('Input Sheet'!$AE:$AE,P4778,'Input Sheet'!$X:$X)</f>
        <v>0</v>
      </c>
      <c r="O4778" s="311"/>
      <c r="P4778" t="str">
        <f t="shared" si="393"/>
        <v>410-4088R</v>
      </c>
      <c r="Q4778" s="315" t="str">
        <f t="shared" si="394"/>
        <v>Used Vehicle</v>
      </c>
      <c r="R4778" s="315" t="str">
        <f t="shared" si="395"/>
        <v>Used VehicleEx NV demonstrators gross profit p.u.</v>
      </c>
      <c r="S4778" s="199"/>
      <c r="T4778" s="199"/>
      <c r="U4778" s="199"/>
    </row>
    <row r="4779" spans="1:21" x14ac:dyDescent="0.25">
      <c r="A4779" t="s">
        <v>996</v>
      </c>
      <c r="B4779" t="s">
        <v>997</v>
      </c>
      <c r="C4779" t="s">
        <v>1013</v>
      </c>
      <c r="D4779" t="s">
        <v>877</v>
      </c>
      <c r="E4779">
        <v>310</v>
      </c>
      <c r="F4779" t="s">
        <v>1287</v>
      </c>
      <c r="G4779" t="s">
        <v>1288</v>
      </c>
      <c r="H4779" s="315" t="s">
        <v>30</v>
      </c>
      <c r="I4779" s="315" t="s">
        <v>1016</v>
      </c>
      <c r="J4779" s="315" t="str">
        <f t="shared" si="391"/>
        <v>Used VehicleEx NV demonstrators gross profit p.u.</v>
      </c>
      <c r="K4779" s="315" t="str">
        <f t="shared" si="392"/>
        <v>310Ex-Toyota NV demonstrator Cost of Sales</v>
      </c>
      <c r="L4779" s="311">
        <f>+SUMIF('TUNZ Extracted TB'!M:M,$P4779,'TUNZ Extracted TB'!G:G)</f>
        <v>0</v>
      </c>
      <c r="M4779" s="311"/>
      <c r="N4779" s="311">
        <f>+SUMIF('Input Sheet'!$AE:$AE,P4779,'Input Sheet'!$X:$X)</f>
        <v>0</v>
      </c>
      <c r="O4779" s="311"/>
      <c r="P4779" t="str">
        <f t="shared" si="393"/>
        <v>310-4088R</v>
      </c>
      <c r="Q4779" s="315" t="str">
        <f t="shared" si="394"/>
        <v>Used Vehicle</v>
      </c>
      <c r="R4779" s="315" t="str">
        <f t="shared" si="395"/>
        <v>Used VehicleEx NV demonstrators gross profit p.u.</v>
      </c>
      <c r="S4779" s="199"/>
      <c r="T4779" s="199"/>
      <c r="U4779" s="199"/>
    </row>
    <row r="4780" spans="1:21" x14ac:dyDescent="0.25">
      <c r="A4780" t="s">
        <v>996</v>
      </c>
      <c r="B4780" t="s">
        <v>997</v>
      </c>
      <c r="C4780" t="s">
        <v>1005</v>
      </c>
      <c r="D4780" t="s">
        <v>879</v>
      </c>
      <c r="E4780">
        <v>200</v>
      </c>
      <c r="F4780" t="s">
        <v>1024</v>
      </c>
      <c r="G4780" t="s">
        <v>1027</v>
      </c>
      <c r="H4780" s="315" t="s">
        <v>29</v>
      </c>
      <c r="I4780" s="315" t="s">
        <v>1026</v>
      </c>
      <c r="J4780" s="315" t="str">
        <f t="shared" si="391"/>
        <v>New VehicleOther Income per NV unit</v>
      </c>
      <c r="K4780" s="315" t="str">
        <f t="shared" si="392"/>
        <v>200New Vehicle Other Income - Toyota</v>
      </c>
      <c r="L4780" s="311">
        <f>+SUMIF('TUNZ Extracted TB'!M:M,$P4780,'TUNZ Extracted TB'!G:G)</f>
        <v>0</v>
      </c>
      <c r="M4780" s="311"/>
      <c r="N4780" s="311">
        <f>+SUMIF('Input Sheet'!$AE:$AE,P4780,'Input Sheet'!$X:$X)</f>
        <v>0</v>
      </c>
      <c r="O4780" s="311"/>
      <c r="P4780" t="str">
        <f t="shared" si="393"/>
        <v>200-4088RR</v>
      </c>
      <c r="Q4780" s="315" t="str">
        <f t="shared" si="394"/>
        <v>New Vehicle</v>
      </c>
      <c r="R4780" s="315" t="str">
        <f t="shared" si="395"/>
        <v>New VehicleOther Income per NV unit</v>
      </c>
      <c r="S4780" s="199"/>
      <c r="T4780" s="199"/>
      <c r="U4780" s="199"/>
    </row>
    <row r="4781" spans="1:21" x14ac:dyDescent="0.25">
      <c r="A4781" t="s">
        <v>996</v>
      </c>
      <c r="B4781" t="s">
        <v>997</v>
      </c>
      <c r="C4781" t="s">
        <v>1012</v>
      </c>
      <c r="D4781" t="s">
        <v>879</v>
      </c>
      <c r="E4781">
        <v>400</v>
      </c>
      <c r="F4781" t="s">
        <v>1024</v>
      </c>
      <c r="G4781" t="s">
        <v>1027</v>
      </c>
      <c r="H4781" s="315" t="s">
        <v>29</v>
      </c>
      <c r="I4781" s="315" t="s">
        <v>1026</v>
      </c>
      <c r="J4781" s="315" t="str">
        <f t="shared" si="391"/>
        <v>New VehicleOther Income per NV unit</v>
      </c>
      <c r="K4781" s="315" t="str">
        <f t="shared" si="392"/>
        <v>400New Vehicle Other Income - Toyota</v>
      </c>
      <c r="L4781" s="311">
        <f>+SUMIF('TUNZ Extracted TB'!M:M,$P4781,'TUNZ Extracted TB'!G:G)</f>
        <v>0</v>
      </c>
      <c r="M4781" s="311"/>
      <c r="N4781" s="311">
        <f>+SUMIF('Input Sheet'!$AE:$AE,P4781,'Input Sheet'!$X:$X)</f>
        <v>0</v>
      </c>
      <c r="O4781" s="311"/>
      <c r="P4781" t="str">
        <f t="shared" si="393"/>
        <v>400-4088RR</v>
      </c>
      <c r="Q4781" s="315" t="str">
        <f t="shared" si="394"/>
        <v>New Vehicle</v>
      </c>
      <c r="R4781" s="315" t="str">
        <f t="shared" si="395"/>
        <v>New VehicleOther Income per NV unit</v>
      </c>
      <c r="S4781" s="199"/>
      <c r="T4781" s="199"/>
      <c r="U4781" s="199"/>
    </row>
    <row r="4782" spans="1:21" x14ac:dyDescent="0.25">
      <c r="A4782" t="s">
        <v>996</v>
      </c>
      <c r="B4782" t="s">
        <v>997</v>
      </c>
      <c r="C4782" t="s">
        <v>1013</v>
      </c>
      <c r="D4782" t="s">
        <v>879</v>
      </c>
      <c r="E4782">
        <v>300</v>
      </c>
      <c r="F4782" t="s">
        <v>1024</v>
      </c>
      <c r="G4782" t="s">
        <v>1027</v>
      </c>
      <c r="H4782" s="315" t="s">
        <v>29</v>
      </c>
      <c r="I4782" s="315" t="s">
        <v>1026</v>
      </c>
      <c r="J4782" s="315" t="str">
        <f t="shared" si="391"/>
        <v>New VehicleOther Income per NV unit</v>
      </c>
      <c r="K4782" s="315" t="str">
        <f t="shared" si="392"/>
        <v>300New Vehicle Other Income - Toyota</v>
      </c>
      <c r="L4782" s="311">
        <f>+SUMIF('TUNZ Extracted TB'!M:M,$P4782,'TUNZ Extracted TB'!G:G)</f>
        <v>0</v>
      </c>
      <c r="M4782" s="311"/>
      <c r="N4782" s="311">
        <f>+SUMIF('Input Sheet'!$AE:$AE,P4782,'Input Sheet'!$X:$X)</f>
        <v>0</v>
      </c>
      <c r="O4782" s="311"/>
      <c r="P4782" t="str">
        <f t="shared" si="393"/>
        <v>300-4088RR</v>
      </c>
      <c r="Q4782" s="315" t="str">
        <f t="shared" si="394"/>
        <v>New Vehicle</v>
      </c>
      <c r="R4782" s="315" t="str">
        <f t="shared" si="395"/>
        <v>New VehicleOther Income per NV unit</v>
      </c>
      <c r="S4782" s="199"/>
      <c r="T4782" s="199"/>
      <c r="U4782" s="199"/>
    </row>
    <row r="4783" spans="1:21" x14ac:dyDescent="0.25">
      <c r="A4783" t="s">
        <v>996</v>
      </c>
      <c r="B4783" t="s">
        <v>997</v>
      </c>
      <c r="C4783" t="s">
        <v>997</v>
      </c>
      <c r="D4783" t="s">
        <v>879</v>
      </c>
      <c r="E4783">
        <v>110</v>
      </c>
      <c r="F4783" t="s">
        <v>1287</v>
      </c>
      <c r="G4783" t="s">
        <v>1288</v>
      </c>
      <c r="H4783" s="315" t="s">
        <v>30</v>
      </c>
      <c r="I4783" s="315" t="s">
        <v>1016</v>
      </c>
      <c r="J4783" s="315" t="str">
        <f t="shared" si="391"/>
        <v>Used VehicleEx NV demonstrators gross profit p.u.</v>
      </c>
      <c r="K4783" s="315" t="str">
        <f t="shared" si="392"/>
        <v>110Ex-Toyota NV demonstrator Cost of Sales</v>
      </c>
      <c r="L4783" s="311">
        <f>+SUMIF('TUNZ Extracted TB'!M:M,$P4783,'TUNZ Extracted TB'!G:G)</f>
        <v>0</v>
      </c>
      <c r="M4783" s="311"/>
      <c r="N4783" s="311">
        <f>+SUMIF('Input Sheet'!$AE:$AE,P4783,'Input Sheet'!$X:$X)</f>
        <v>0</v>
      </c>
      <c r="O4783" s="311"/>
      <c r="P4783" t="str">
        <f t="shared" si="393"/>
        <v>110-4088RR</v>
      </c>
      <c r="Q4783" s="315" t="str">
        <f t="shared" si="394"/>
        <v>Used Vehicle</v>
      </c>
      <c r="R4783" s="315" t="str">
        <f t="shared" si="395"/>
        <v>Used VehicleEx NV demonstrators gross profit p.u.</v>
      </c>
      <c r="S4783" s="199"/>
      <c r="T4783" s="199"/>
      <c r="U4783" s="199"/>
    </row>
    <row r="4784" spans="1:21" x14ac:dyDescent="0.25">
      <c r="A4784" t="s">
        <v>996</v>
      </c>
      <c r="B4784" t="s">
        <v>997</v>
      </c>
      <c r="C4784" t="s">
        <v>1005</v>
      </c>
      <c r="D4784" t="s">
        <v>89</v>
      </c>
      <c r="E4784">
        <v>200</v>
      </c>
      <c r="F4784" t="s">
        <v>1024</v>
      </c>
      <c r="G4784" t="s">
        <v>1027</v>
      </c>
      <c r="H4784" s="315" t="s">
        <v>29</v>
      </c>
      <c r="I4784" s="315" t="s">
        <v>1026</v>
      </c>
      <c r="J4784" s="315" t="str">
        <f t="shared" si="391"/>
        <v>New VehicleOther Income per NV unit</v>
      </c>
      <c r="K4784" s="315" t="str">
        <f t="shared" si="392"/>
        <v>200New Vehicle Other Income - Toyota</v>
      </c>
      <c r="L4784" s="311">
        <f>+SUMIF('TUNZ Extracted TB'!M:M,$P4784,'TUNZ Extracted TB'!G:G)</f>
        <v>38039.32</v>
      </c>
      <c r="M4784" s="311"/>
      <c r="N4784" s="311">
        <f>+SUMIF('Input Sheet'!$AE:$AE,P4784,'Input Sheet'!$X:$X)</f>
        <v>0</v>
      </c>
      <c r="O4784" s="311"/>
      <c r="P4784" t="str">
        <f t="shared" si="393"/>
        <v>200-4090R</v>
      </c>
      <c r="Q4784" s="315" t="str">
        <f t="shared" si="394"/>
        <v>New Vehicle</v>
      </c>
      <c r="R4784" s="315" t="str">
        <f t="shared" si="395"/>
        <v>New VehicleOther Income per NV unit</v>
      </c>
      <c r="S4784" s="199"/>
      <c r="T4784" s="199"/>
      <c r="U4784" s="199"/>
    </row>
    <row r="4785" spans="1:21" x14ac:dyDescent="0.25">
      <c r="A4785" t="s">
        <v>996</v>
      </c>
      <c r="B4785" t="s">
        <v>997</v>
      </c>
      <c r="C4785" t="s">
        <v>1012</v>
      </c>
      <c r="D4785" t="s">
        <v>879</v>
      </c>
      <c r="E4785">
        <v>410</v>
      </c>
      <c r="F4785" t="s">
        <v>1287</v>
      </c>
      <c r="G4785" t="s">
        <v>1288</v>
      </c>
      <c r="H4785" s="315" t="s">
        <v>30</v>
      </c>
      <c r="I4785" s="315" t="s">
        <v>1016</v>
      </c>
      <c r="J4785" s="315" t="str">
        <f t="shared" si="391"/>
        <v>Used VehicleEx NV demonstrators gross profit p.u.</v>
      </c>
      <c r="K4785" s="315" t="str">
        <f t="shared" si="392"/>
        <v>410Ex-Toyota NV demonstrator Cost of Sales</v>
      </c>
      <c r="L4785" s="311">
        <f>+SUMIF('TUNZ Extracted TB'!M:M,$P4785,'TUNZ Extracted TB'!G:G)</f>
        <v>0</v>
      </c>
      <c r="M4785" s="311"/>
      <c r="N4785" s="311">
        <f>+SUMIF('Input Sheet'!$AE:$AE,P4785,'Input Sheet'!$X:$X)</f>
        <v>0</v>
      </c>
      <c r="O4785" s="311"/>
      <c r="P4785" t="str">
        <f t="shared" si="393"/>
        <v>410-4088RR</v>
      </c>
      <c r="Q4785" s="315" t="str">
        <f t="shared" si="394"/>
        <v>Used Vehicle</v>
      </c>
      <c r="R4785" s="315" t="str">
        <f t="shared" si="395"/>
        <v>Used VehicleEx NV demonstrators gross profit p.u.</v>
      </c>
      <c r="S4785" s="199"/>
      <c r="T4785" s="199"/>
      <c r="U4785" s="199"/>
    </row>
    <row r="4786" spans="1:21" x14ac:dyDescent="0.25">
      <c r="A4786" t="s">
        <v>996</v>
      </c>
      <c r="B4786" t="s">
        <v>997</v>
      </c>
      <c r="C4786" t="s">
        <v>1013</v>
      </c>
      <c r="D4786" t="s">
        <v>879</v>
      </c>
      <c r="E4786">
        <v>310</v>
      </c>
      <c r="F4786" t="s">
        <v>1287</v>
      </c>
      <c r="G4786" t="s">
        <v>1288</v>
      </c>
      <c r="H4786" s="315" t="s">
        <v>30</v>
      </c>
      <c r="I4786" s="315" t="s">
        <v>1016</v>
      </c>
      <c r="J4786" s="315" t="str">
        <f t="shared" si="391"/>
        <v>Used VehicleEx NV demonstrators gross profit p.u.</v>
      </c>
      <c r="K4786" s="315" t="str">
        <f t="shared" si="392"/>
        <v>310Ex-Toyota NV demonstrator Cost of Sales</v>
      </c>
      <c r="L4786" s="311">
        <f>+SUMIF('TUNZ Extracted TB'!M:M,$P4786,'TUNZ Extracted TB'!G:G)</f>
        <v>0</v>
      </c>
      <c r="M4786" s="311"/>
      <c r="N4786" s="311">
        <f>+SUMIF('Input Sheet'!$AE:$AE,P4786,'Input Sheet'!$X:$X)</f>
        <v>0</v>
      </c>
      <c r="O4786" s="311"/>
      <c r="P4786" t="str">
        <f t="shared" si="393"/>
        <v>310-4088RR</v>
      </c>
      <c r="Q4786" s="315" t="str">
        <f t="shared" si="394"/>
        <v>Used Vehicle</v>
      </c>
      <c r="R4786" s="315" t="str">
        <f t="shared" si="395"/>
        <v>Used VehicleEx NV demonstrators gross profit p.u.</v>
      </c>
      <c r="S4786" s="199"/>
      <c r="T4786" s="199"/>
      <c r="U4786" s="199"/>
    </row>
    <row r="4787" spans="1:21" x14ac:dyDescent="0.25">
      <c r="A4787" t="s">
        <v>996</v>
      </c>
      <c r="B4787" t="s">
        <v>997</v>
      </c>
      <c r="C4787" t="s">
        <v>997</v>
      </c>
      <c r="D4787" t="s">
        <v>89</v>
      </c>
      <c r="E4787">
        <v>100</v>
      </c>
      <c r="F4787" t="s">
        <v>1024</v>
      </c>
      <c r="G4787" t="s">
        <v>1027</v>
      </c>
      <c r="H4787" s="315" t="s">
        <v>29</v>
      </c>
      <c r="I4787" s="315" t="s">
        <v>1026</v>
      </c>
      <c r="J4787" s="315" t="str">
        <f t="shared" si="391"/>
        <v>New VehicleOther Income per NV unit</v>
      </c>
      <c r="K4787" s="315" t="str">
        <f t="shared" si="392"/>
        <v>100New Vehicle Other Income - Toyota</v>
      </c>
      <c r="L4787" s="311">
        <f>+SUMIF('TUNZ Extracted TB'!M:M,$P4787,'TUNZ Extracted TB'!G:G)</f>
        <v>17041.05</v>
      </c>
      <c r="M4787" s="311"/>
      <c r="N4787" s="311">
        <f>+SUMIF('Input Sheet'!$AE:$AE,P4787,'Input Sheet'!$X:$X)</f>
        <v>0</v>
      </c>
      <c r="O4787" s="311"/>
      <c r="P4787" t="str">
        <f t="shared" si="393"/>
        <v>100-4090R</v>
      </c>
      <c r="Q4787" s="315" t="str">
        <f t="shared" si="394"/>
        <v>New Vehicle</v>
      </c>
      <c r="R4787" s="315" t="str">
        <f t="shared" si="395"/>
        <v>New VehicleOther Income per NV unit</v>
      </c>
      <c r="S4787" s="199"/>
      <c r="T4787" s="199"/>
      <c r="U4787" s="199"/>
    </row>
    <row r="4788" spans="1:21" x14ac:dyDescent="0.25">
      <c r="A4788" t="s">
        <v>996</v>
      </c>
      <c r="B4788" t="s">
        <v>997</v>
      </c>
      <c r="C4788" t="s">
        <v>1012</v>
      </c>
      <c r="D4788" t="s">
        <v>89</v>
      </c>
      <c r="E4788">
        <v>400</v>
      </c>
      <c r="F4788" t="s">
        <v>1024</v>
      </c>
      <c r="G4788" t="s">
        <v>1027</v>
      </c>
      <c r="H4788" s="315" t="s">
        <v>29</v>
      </c>
      <c r="I4788" s="315" t="s">
        <v>1026</v>
      </c>
      <c r="J4788" s="315" t="str">
        <f t="shared" si="391"/>
        <v>New VehicleOther Income per NV unit</v>
      </c>
      <c r="K4788" s="315" t="str">
        <f t="shared" si="392"/>
        <v>400New Vehicle Other Income - Toyota</v>
      </c>
      <c r="L4788" s="311">
        <f>+SUMIF('TUNZ Extracted TB'!M:M,$P4788,'TUNZ Extracted TB'!G:G)</f>
        <v>0</v>
      </c>
      <c r="M4788" s="311"/>
      <c r="N4788" s="311">
        <f>+SUMIF('Input Sheet'!$AE:$AE,P4788,'Input Sheet'!$X:$X)</f>
        <v>0</v>
      </c>
      <c r="O4788" s="311"/>
      <c r="P4788" t="str">
        <f t="shared" si="393"/>
        <v>400-4090R</v>
      </c>
      <c r="Q4788" s="315" t="str">
        <f t="shared" si="394"/>
        <v>New Vehicle</v>
      </c>
      <c r="R4788" s="315" t="str">
        <f t="shared" si="395"/>
        <v>New VehicleOther Income per NV unit</v>
      </c>
      <c r="S4788" s="199"/>
      <c r="T4788" s="199"/>
      <c r="U4788" s="199"/>
    </row>
    <row r="4789" spans="1:21" x14ac:dyDescent="0.25">
      <c r="A4789" t="s">
        <v>996</v>
      </c>
      <c r="B4789" t="s">
        <v>997</v>
      </c>
      <c r="C4789" t="s">
        <v>1013</v>
      </c>
      <c r="D4789" t="s">
        <v>89</v>
      </c>
      <c r="E4789">
        <v>300</v>
      </c>
      <c r="F4789" t="s">
        <v>1024</v>
      </c>
      <c r="G4789" t="s">
        <v>1027</v>
      </c>
      <c r="H4789" s="315" t="s">
        <v>29</v>
      </c>
      <c r="I4789" s="315" t="s">
        <v>1026</v>
      </c>
      <c r="J4789" s="315" t="str">
        <f t="shared" si="391"/>
        <v>New VehicleOther Income per NV unit</v>
      </c>
      <c r="K4789" s="315" t="str">
        <f t="shared" si="392"/>
        <v>300New Vehicle Other Income - Toyota</v>
      </c>
      <c r="L4789" s="311">
        <f>+SUMIF('TUNZ Extracted TB'!M:M,$P4789,'TUNZ Extracted TB'!G:G)</f>
        <v>0</v>
      </c>
      <c r="M4789" s="311"/>
      <c r="N4789" s="311">
        <f>+SUMIF('Input Sheet'!$AE:$AE,P4789,'Input Sheet'!$X:$X)</f>
        <v>0</v>
      </c>
      <c r="O4789" s="311"/>
      <c r="P4789" t="str">
        <f t="shared" si="393"/>
        <v>300-4090R</v>
      </c>
      <c r="Q4789" s="315" t="str">
        <f t="shared" si="394"/>
        <v>New Vehicle</v>
      </c>
      <c r="R4789" s="315" t="str">
        <f t="shared" si="395"/>
        <v>New VehicleOther Income per NV unit</v>
      </c>
      <c r="S4789" s="199"/>
      <c r="T4789" s="199"/>
      <c r="U4789" s="199"/>
    </row>
    <row r="4790" spans="1:21" x14ac:dyDescent="0.25">
      <c r="A4790" t="s">
        <v>996</v>
      </c>
      <c r="B4790" t="s">
        <v>997</v>
      </c>
      <c r="C4790" t="s">
        <v>1005</v>
      </c>
      <c r="D4790" t="s">
        <v>879</v>
      </c>
      <c r="E4790">
        <v>210</v>
      </c>
      <c r="F4790" t="s">
        <v>1287</v>
      </c>
      <c r="G4790" t="s">
        <v>1288</v>
      </c>
      <c r="H4790" s="315" t="s">
        <v>30</v>
      </c>
      <c r="I4790" s="315" t="s">
        <v>1016</v>
      </c>
      <c r="J4790" s="315" t="str">
        <f t="shared" si="391"/>
        <v>Used VehicleEx NV demonstrators gross profit p.u.</v>
      </c>
      <c r="K4790" s="315" t="str">
        <f t="shared" si="392"/>
        <v>210Ex-Toyota NV demonstrator Cost of Sales</v>
      </c>
      <c r="L4790" s="311">
        <f>+SUMIF('TUNZ Extracted TB'!M:M,$P4790,'TUNZ Extracted TB'!G:G)</f>
        <v>0</v>
      </c>
      <c r="M4790" s="311"/>
      <c r="N4790" s="311">
        <f>+SUMIF('Input Sheet'!$AE:$AE,P4790,'Input Sheet'!$X:$X)</f>
        <v>0</v>
      </c>
      <c r="O4790" s="311"/>
      <c r="P4790" t="str">
        <f t="shared" si="393"/>
        <v>210-4088RR</v>
      </c>
      <c r="Q4790" s="315" t="str">
        <f t="shared" si="394"/>
        <v>Used Vehicle</v>
      </c>
      <c r="R4790" s="315" t="str">
        <f t="shared" si="395"/>
        <v>Used VehicleEx NV demonstrators gross profit p.u.</v>
      </c>
      <c r="S4790" s="199"/>
      <c r="T4790" s="199"/>
      <c r="U4790" s="199"/>
    </row>
    <row r="4791" spans="1:21" x14ac:dyDescent="0.25">
      <c r="A4791" t="s">
        <v>996</v>
      </c>
      <c r="B4791" t="s">
        <v>997</v>
      </c>
      <c r="C4791" t="s">
        <v>997</v>
      </c>
      <c r="D4791" t="s">
        <v>749</v>
      </c>
      <c r="E4791">
        <v>100</v>
      </c>
      <c r="F4791" t="s">
        <v>1024</v>
      </c>
      <c r="G4791" t="s">
        <v>1027</v>
      </c>
      <c r="H4791" s="315" t="s">
        <v>29</v>
      </c>
      <c r="I4791" s="315" t="s">
        <v>1026</v>
      </c>
      <c r="J4791" s="315" t="str">
        <f t="shared" si="391"/>
        <v>New VehicleOther Income per NV unit</v>
      </c>
      <c r="K4791" s="315" t="str">
        <f t="shared" si="392"/>
        <v>100New Vehicle Other Income - Toyota</v>
      </c>
      <c r="L4791" s="311">
        <f>+SUMIF('TUNZ Extracted TB'!M:M,$P4791,'TUNZ Extracted TB'!G:G)</f>
        <v>0</v>
      </c>
      <c r="M4791" s="311"/>
      <c r="N4791" s="311">
        <f>+SUMIF('Input Sheet'!$AE:$AE,P4791,'Input Sheet'!$X:$X)</f>
        <v>0</v>
      </c>
      <c r="O4791" s="311"/>
      <c r="P4791" t="str">
        <f t="shared" si="393"/>
        <v>100-4090RR</v>
      </c>
      <c r="Q4791" s="315" t="str">
        <f t="shared" si="394"/>
        <v>New Vehicle</v>
      </c>
      <c r="R4791" s="315" t="str">
        <f t="shared" si="395"/>
        <v>New VehicleOther Income per NV unit</v>
      </c>
      <c r="S4791" s="199"/>
      <c r="T4791" s="199"/>
      <c r="U4791" s="199"/>
    </row>
    <row r="4792" spans="1:21" x14ac:dyDescent="0.25">
      <c r="A4792" t="s">
        <v>996</v>
      </c>
      <c r="B4792" t="s">
        <v>997</v>
      </c>
      <c r="C4792" t="s">
        <v>1005</v>
      </c>
      <c r="D4792" t="s">
        <v>749</v>
      </c>
      <c r="E4792">
        <v>200</v>
      </c>
      <c r="F4792" t="s">
        <v>1024</v>
      </c>
      <c r="G4792" t="s">
        <v>1027</v>
      </c>
      <c r="H4792" s="315" t="s">
        <v>29</v>
      </c>
      <c r="I4792" s="315" t="s">
        <v>1026</v>
      </c>
      <c r="J4792" s="315" t="str">
        <f t="shared" si="391"/>
        <v>New VehicleOther Income per NV unit</v>
      </c>
      <c r="K4792" s="315" t="str">
        <f t="shared" si="392"/>
        <v>200New Vehicle Other Income - Toyota</v>
      </c>
      <c r="L4792" s="311">
        <f>+SUMIF('TUNZ Extracted TB'!M:M,$P4792,'TUNZ Extracted TB'!G:G)</f>
        <v>0</v>
      </c>
      <c r="M4792" s="311"/>
      <c r="N4792" s="311">
        <f>+SUMIF('Input Sheet'!$AE:$AE,P4792,'Input Sheet'!$X:$X)</f>
        <v>0</v>
      </c>
      <c r="O4792" s="311"/>
      <c r="P4792" t="str">
        <f t="shared" si="393"/>
        <v>200-4090RR</v>
      </c>
      <c r="Q4792" s="315" t="str">
        <f t="shared" si="394"/>
        <v>New Vehicle</v>
      </c>
      <c r="R4792" s="315" t="str">
        <f t="shared" si="395"/>
        <v>New VehicleOther Income per NV unit</v>
      </c>
      <c r="S4792" s="199"/>
      <c r="T4792" s="199"/>
      <c r="U4792" s="199"/>
    </row>
    <row r="4793" spans="1:21" x14ac:dyDescent="0.25">
      <c r="A4793" t="s">
        <v>996</v>
      </c>
      <c r="B4793" t="s">
        <v>997</v>
      </c>
      <c r="C4793" t="s">
        <v>997</v>
      </c>
      <c r="D4793" t="s">
        <v>89</v>
      </c>
      <c r="E4793">
        <v>110</v>
      </c>
      <c r="F4793" t="s">
        <v>1287</v>
      </c>
      <c r="G4793" t="s">
        <v>1288</v>
      </c>
      <c r="H4793" s="315" t="s">
        <v>30</v>
      </c>
      <c r="I4793" s="315" t="s">
        <v>1016</v>
      </c>
      <c r="J4793" s="315" t="str">
        <f t="shared" si="391"/>
        <v>Used VehicleEx NV demonstrators gross profit p.u.</v>
      </c>
      <c r="K4793" s="315" t="str">
        <f t="shared" si="392"/>
        <v>110Ex-Toyota NV demonstrator Cost of Sales</v>
      </c>
      <c r="L4793" s="311">
        <f>+SUMIF('TUNZ Extracted TB'!M:M,$P4793,'TUNZ Extracted TB'!G:G)</f>
        <v>0</v>
      </c>
      <c r="M4793" s="311"/>
      <c r="N4793" s="311">
        <f>+SUMIF('Input Sheet'!$AE:$AE,P4793,'Input Sheet'!$X:$X)</f>
        <v>94500</v>
      </c>
      <c r="O4793" s="311"/>
      <c r="P4793" t="str">
        <f t="shared" si="393"/>
        <v>110-4090R</v>
      </c>
      <c r="Q4793" s="315" t="str">
        <f t="shared" si="394"/>
        <v>Used Vehicle</v>
      </c>
      <c r="R4793" s="315" t="str">
        <f t="shared" si="395"/>
        <v>Used VehicleEx NV demonstrators gross profit p.u.</v>
      </c>
      <c r="S4793" s="199"/>
      <c r="T4793" s="199"/>
      <c r="U4793" s="199"/>
    </row>
    <row r="4794" spans="1:21" x14ac:dyDescent="0.25">
      <c r="A4794" t="s">
        <v>996</v>
      </c>
      <c r="B4794" t="s">
        <v>997</v>
      </c>
      <c r="C4794" t="s">
        <v>1005</v>
      </c>
      <c r="D4794" t="s">
        <v>89</v>
      </c>
      <c r="E4794">
        <v>210</v>
      </c>
      <c r="F4794" t="s">
        <v>1287</v>
      </c>
      <c r="G4794" t="s">
        <v>1288</v>
      </c>
      <c r="H4794" s="315" t="s">
        <v>30</v>
      </c>
      <c r="I4794" s="315" t="s">
        <v>1016</v>
      </c>
      <c r="J4794" s="315" t="str">
        <f t="shared" si="391"/>
        <v>Used VehicleEx NV demonstrators gross profit p.u.</v>
      </c>
      <c r="K4794" s="315" t="str">
        <f t="shared" si="392"/>
        <v>210Ex-Toyota NV demonstrator Cost of Sales</v>
      </c>
      <c r="L4794" s="311">
        <f>+SUMIF('TUNZ Extracted TB'!M:M,$P4794,'TUNZ Extracted TB'!G:G)</f>
        <v>0</v>
      </c>
      <c r="M4794" s="311"/>
      <c r="N4794" s="311">
        <f>+SUMIF('Input Sheet'!$AE:$AE,P4794,'Input Sheet'!$X:$X)</f>
        <v>65799.999999999985</v>
      </c>
      <c r="O4794" s="311"/>
      <c r="P4794" t="str">
        <f t="shared" si="393"/>
        <v>210-4090R</v>
      </c>
      <c r="Q4794" s="315" t="str">
        <f t="shared" si="394"/>
        <v>Used Vehicle</v>
      </c>
      <c r="R4794" s="315" t="str">
        <f t="shared" si="395"/>
        <v>Used VehicleEx NV demonstrators gross profit p.u.</v>
      </c>
      <c r="S4794" s="199"/>
      <c r="T4794" s="199"/>
      <c r="U4794" s="199"/>
    </row>
    <row r="4795" spans="1:21" x14ac:dyDescent="0.25">
      <c r="A4795" t="s">
        <v>996</v>
      </c>
      <c r="B4795" t="s">
        <v>997</v>
      </c>
      <c r="C4795" t="s">
        <v>1012</v>
      </c>
      <c r="D4795" t="s">
        <v>89</v>
      </c>
      <c r="E4795">
        <v>410</v>
      </c>
      <c r="F4795" t="s">
        <v>1287</v>
      </c>
      <c r="G4795" t="s">
        <v>1288</v>
      </c>
      <c r="H4795" s="315" t="s">
        <v>30</v>
      </c>
      <c r="I4795" s="315" t="s">
        <v>1016</v>
      </c>
      <c r="J4795" s="315" t="str">
        <f t="shared" si="391"/>
        <v>Used VehicleEx NV demonstrators gross profit p.u.</v>
      </c>
      <c r="K4795" s="315" t="str">
        <f t="shared" si="392"/>
        <v>410Ex-Toyota NV demonstrator Cost of Sales</v>
      </c>
      <c r="L4795" s="311">
        <f>+SUMIF('TUNZ Extracted TB'!M:M,$P4795,'TUNZ Extracted TB'!G:G)</f>
        <v>0</v>
      </c>
      <c r="M4795" s="311"/>
      <c r="N4795" s="311">
        <f>+SUMIF('Input Sheet'!$AE:$AE,P4795,'Input Sheet'!$X:$X)</f>
        <v>0</v>
      </c>
      <c r="O4795" s="311"/>
      <c r="P4795" t="str">
        <f t="shared" si="393"/>
        <v>410-4090R</v>
      </c>
      <c r="Q4795" s="315" t="str">
        <f t="shared" si="394"/>
        <v>Used Vehicle</v>
      </c>
      <c r="R4795" s="315" t="str">
        <f t="shared" si="395"/>
        <v>Used VehicleEx NV demonstrators gross profit p.u.</v>
      </c>
      <c r="S4795" s="199"/>
      <c r="T4795" s="199"/>
      <c r="U4795" s="199"/>
    </row>
    <row r="4796" spans="1:21" x14ac:dyDescent="0.25">
      <c r="A4796" t="s">
        <v>996</v>
      </c>
      <c r="B4796" t="s">
        <v>997</v>
      </c>
      <c r="C4796" t="s">
        <v>1013</v>
      </c>
      <c r="D4796" t="s">
        <v>89</v>
      </c>
      <c r="E4796">
        <v>310</v>
      </c>
      <c r="F4796" t="s">
        <v>1287</v>
      </c>
      <c r="G4796" t="s">
        <v>1288</v>
      </c>
      <c r="H4796" s="315" t="s">
        <v>30</v>
      </c>
      <c r="I4796" s="315" t="s">
        <v>1016</v>
      </c>
      <c r="J4796" s="315" t="str">
        <f t="shared" si="391"/>
        <v>Used VehicleEx NV demonstrators gross profit p.u.</v>
      </c>
      <c r="K4796" s="315" t="str">
        <f t="shared" si="392"/>
        <v>310Ex-Toyota NV demonstrator Cost of Sales</v>
      </c>
      <c r="L4796" s="311">
        <f>+SUMIF('TUNZ Extracted TB'!M:M,$P4796,'TUNZ Extracted TB'!G:G)</f>
        <v>0</v>
      </c>
      <c r="M4796" s="311"/>
      <c r="N4796" s="311">
        <f>+SUMIF('Input Sheet'!$AE:$AE,P4796,'Input Sheet'!$X:$X)</f>
        <v>0</v>
      </c>
      <c r="O4796" s="311"/>
      <c r="P4796" t="str">
        <f t="shared" si="393"/>
        <v>310-4090R</v>
      </c>
      <c r="Q4796" s="315" t="str">
        <f t="shared" si="394"/>
        <v>Used Vehicle</v>
      </c>
      <c r="R4796" s="315" t="str">
        <f t="shared" si="395"/>
        <v>Used VehicleEx NV demonstrators gross profit p.u.</v>
      </c>
      <c r="S4796" s="199"/>
      <c r="T4796" s="199"/>
      <c r="U4796" s="199"/>
    </row>
    <row r="4797" spans="1:21" x14ac:dyDescent="0.25">
      <c r="A4797" t="s">
        <v>996</v>
      </c>
      <c r="B4797" t="s">
        <v>997</v>
      </c>
      <c r="C4797" t="s">
        <v>1012</v>
      </c>
      <c r="D4797" t="s">
        <v>749</v>
      </c>
      <c r="E4797">
        <v>400</v>
      </c>
      <c r="F4797" t="s">
        <v>1024</v>
      </c>
      <c r="G4797" t="s">
        <v>1027</v>
      </c>
      <c r="H4797" s="315" t="s">
        <v>29</v>
      </c>
      <c r="I4797" s="315" t="s">
        <v>1026</v>
      </c>
      <c r="J4797" s="315" t="str">
        <f t="shared" si="391"/>
        <v>New VehicleOther Income per NV unit</v>
      </c>
      <c r="K4797" s="315" t="str">
        <f t="shared" si="392"/>
        <v>400New Vehicle Other Income - Toyota</v>
      </c>
      <c r="L4797" s="311">
        <f>+SUMIF('TUNZ Extracted TB'!M:M,$P4797,'TUNZ Extracted TB'!G:G)</f>
        <v>0</v>
      </c>
      <c r="M4797" s="311"/>
      <c r="N4797" s="311">
        <f>+SUMIF('Input Sheet'!$AE:$AE,P4797,'Input Sheet'!$X:$X)</f>
        <v>0</v>
      </c>
      <c r="O4797" s="311"/>
      <c r="P4797" t="str">
        <f t="shared" si="393"/>
        <v>400-4090RR</v>
      </c>
      <c r="Q4797" s="315" t="str">
        <f t="shared" si="394"/>
        <v>New Vehicle</v>
      </c>
      <c r="R4797" s="315" t="str">
        <f t="shared" si="395"/>
        <v>New VehicleOther Income per NV unit</v>
      </c>
      <c r="S4797" s="199"/>
      <c r="T4797" s="199"/>
      <c r="U4797" s="199"/>
    </row>
    <row r="4798" spans="1:21" x14ac:dyDescent="0.25">
      <c r="A4798" t="s">
        <v>996</v>
      </c>
      <c r="B4798" t="s">
        <v>997</v>
      </c>
      <c r="C4798" t="s">
        <v>1013</v>
      </c>
      <c r="D4798" t="s">
        <v>749</v>
      </c>
      <c r="E4798">
        <v>300</v>
      </c>
      <c r="F4798" t="s">
        <v>1024</v>
      </c>
      <c r="G4798" t="s">
        <v>1027</v>
      </c>
      <c r="H4798" s="315" t="s">
        <v>29</v>
      </c>
      <c r="I4798" s="315" t="s">
        <v>1026</v>
      </c>
      <c r="J4798" s="315" t="str">
        <f t="shared" si="391"/>
        <v>New VehicleOther Income per NV unit</v>
      </c>
      <c r="K4798" s="315" t="str">
        <f t="shared" si="392"/>
        <v>300New Vehicle Other Income - Toyota</v>
      </c>
      <c r="L4798" s="311">
        <f>+SUMIF('TUNZ Extracted TB'!M:M,$P4798,'TUNZ Extracted TB'!G:G)</f>
        <v>0</v>
      </c>
      <c r="M4798" s="311"/>
      <c r="N4798" s="311">
        <f>+SUMIF('Input Sheet'!$AE:$AE,P4798,'Input Sheet'!$X:$X)</f>
        <v>0</v>
      </c>
      <c r="O4798" s="311"/>
      <c r="P4798" t="str">
        <f t="shared" si="393"/>
        <v>300-4090RR</v>
      </c>
      <c r="Q4798" s="315" t="str">
        <f t="shared" si="394"/>
        <v>New Vehicle</v>
      </c>
      <c r="R4798" s="315" t="str">
        <f t="shared" si="395"/>
        <v>New VehicleOther Income per NV unit</v>
      </c>
      <c r="S4798" s="199"/>
      <c r="T4798" s="199"/>
      <c r="U4798" s="199"/>
    </row>
    <row r="4799" spans="1:21" x14ac:dyDescent="0.25">
      <c r="A4799" t="s">
        <v>996</v>
      </c>
      <c r="B4799" t="s">
        <v>997</v>
      </c>
      <c r="C4799" t="s">
        <v>997</v>
      </c>
      <c r="D4799" t="s">
        <v>749</v>
      </c>
      <c r="E4799">
        <v>110</v>
      </c>
      <c r="F4799" t="s">
        <v>1287</v>
      </c>
      <c r="G4799" t="s">
        <v>1288</v>
      </c>
      <c r="H4799" s="315" t="s">
        <v>30</v>
      </c>
      <c r="I4799" s="315" t="s">
        <v>1016</v>
      </c>
      <c r="J4799" s="315" t="str">
        <f t="shared" si="391"/>
        <v>Used VehicleEx NV demonstrators gross profit p.u.</v>
      </c>
      <c r="K4799" s="315" t="str">
        <f t="shared" si="392"/>
        <v>110Ex-Toyota NV demonstrator Cost of Sales</v>
      </c>
      <c r="L4799" s="311">
        <f>+SUMIF('TUNZ Extracted TB'!M:M,$P4799,'TUNZ Extracted TB'!G:G)</f>
        <v>0</v>
      </c>
      <c r="M4799" s="311"/>
      <c r="N4799" s="311">
        <f>+SUMIF('Input Sheet'!$AE:$AE,P4799,'Input Sheet'!$X:$X)</f>
        <v>0</v>
      </c>
      <c r="O4799" s="311"/>
      <c r="P4799" t="str">
        <f t="shared" si="393"/>
        <v>110-4090RR</v>
      </c>
      <c r="Q4799" s="315" t="str">
        <f t="shared" si="394"/>
        <v>Used Vehicle</v>
      </c>
      <c r="R4799" s="315" t="str">
        <f t="shared" si="395"/>
        <v>Used VehicleEx NV demonstrators gross profit p.u.</v>
      </c>
      <c r="S4799" s="199"/>
      <c r="T4799" s="199"/>
      <c r="U4799" s="199"/>
    </row>
    <row r="4800" spans="1:21" x14ac:dyDescent="0.25">
      <c r="A4800" t="s">
        <v>996</v>
      </c>
      <c r="B4800" t="s">
        <v>997</v>
      </c>
      <c r="C4800" t="s">
        <v>1005</v>
      </c>
      <c r="D4800" t="s">
        <v>751</v>
      </c>
      <c r="E4800">
        <v>200</v>
      </c>
      <c r="F4800" t="s">
        <v>1024</v>
      </c>
      <c r="G4800" t="s">
        <v>1027</v>
      </c>
      <c r="H4800" s="315" t="s">
        <v>29</v>
      </c>
      <c r="I4800" s="315" t="s">
        <v>1026</v>
      </c>
      <c r="J4800" s="315" t="str">
        <f t="shared" si="391"/>
        <v>New VehicleOther Income per NV unit</v>
      </c>
      <c r="K4800" s="315" t="str">
        <f t="shared" si="392"/>
        <v>200New Vehicle Other Income - Toyota</v>
      </c>
      <c r="L4800" s="311">
        <f>+SUMIF('TUNZ Extracted TB'!M:M,$P4800,'TUNZ Extracted TB'!G:G)</f>
        <v>7530.72</v>
      </c>
      <c r="M4800" s="311"/>
      <c r="N4800" s="311">
        <f>+SUMIF('Input Sheet'!$AE:$AE,P4800,'Input Sheet'!$X:$X)</f>
        <v>0</v>
      </c>
      <c r="O4800" s="311"/>
      <c r="P4800" t="str">
        <f t="shared" si="393"/>
        <v>200-4095R</v>
      </c>
      <c r="Q4800" s="315" t="str">
        <f t="shared" si="394"/>
        <v>New Vehicle</v>
      </c>
      <c r="R4800" s="315" t="str">
        <f t="shared" si="395"/>
        <v>New VehicleOther Income per NV unit</v>
      </c>
      <c r="S4800" s="199"/>
      <c r="T4800" s="199"/>
      <c r="U4800" s="199"/>
    </row>
    <row r="4801" spans="1:21" x14ac:dyDescent="0.25">
      <c r="A4801" t="s">
        <v>996</v>
      </c>
      <c r="B4801" t="s">
        <v>997</v>
      </c>
      <c r="C4801" t="s">
        <v>1005</v>
      </c>
      <c r="D4801" t="s">
        <v>749</v>
      </c>
      <c r="E4801">
        <v>210</v>
      </c>
      <c r="F4801" t="s">
        <v>1287</v>
      </c>
      <c r="G4801" t="s">
        <v>1288</v>
      </c>
      <c r="H4801" s="315" t="s">
        <v>30</v>
      </c>
      <c r="I4801" s="315" t="s">
        <v>1016</v>
      </c>
      <c r="J4801" s="315" t="str">
        <f t="shared" si="391"/>
        <v>Used VehicleEx NV demonstrators gross profit p.u.</v>
      </c>
      <c r="K4801" s="315" t="str">
        <f t="shared" si="392"/>
        <v>210Ex-Toyota NV demonstrator Cost of Sales</v>
      </c>
      <c r="L4801" s="311">
        <f>+SUMIF('TUNZ Extracted TB'!M:M,$P4801,'TUNZ Extracted TB'!G:G)</f>
        <v>0</v>
      </c>
      <c r="M4801" s="311"/>
      <c r="N4801" s="311">
        <f>+SUMIF('Input Sheet'!$AE:$AE,P4801,'Input Sheet'!$X:$X)</f>
        <v>0</v>
      </c>
      <c r="O4801" s="311"/>
      <c r="P4801" t="str">
        <f t="shared" si="393"/>
        <v>210-4090RR</v>
      </c>
      <c r="Q4801" s="315" t="str">
        <f t="shared" si="394"/>
        <v>Used Vehicle</v>
      </c>
      <c r="R4801" s="315" t="str">
        <f t="shared" si="395"/>
        <v>Used VehicleEx NV demonstrators gross profit p.u.</v>
      </c>
      <c r="S4801" s="199"/>
      <c r="T4801" s="199"/>
      <c r="U4801" s="199"/>
    </row>
    <row r="4802" spans="1:21" x14ac:dyDescent="0.25">
      <c r="A4802" t="s">
        <v>996</v>
      </c>
      <c r="B4802" t="s">
        <v>997</v>
      </c>
      <c r="C4802" t="s">
        <v>1012</v>
      </c>
      <c r="D4802" t="s">
        <v>749</v>
      </c>
      <c r="E4802">
        <v>410</v>
      </c>
      <c r="F4802" t="s">
        <v>1287</v>
      </c>
      <c r="G4802" t="s">
        <v>1288</v>
      </c>
      <c r="H4802" s="315" t="s">
        <v>30</v>
      </c>
      <c r="I4802" s="315" t="s">
        <v>1016</v>
      </c>
      <c r="J4802" s="315" t="str">
        <f t="shared" si="391"/>
        <v>Used VehicleEx NV demonstrators gross profit p.u.</v>
      </c>
      <c r="K4802" s="315" t="str">
        <f t="shared" si="392"/>
        <v>410Ex-Toyota NV demonstrator Cost of Sales</v>
      </c>
      <c r="L4802" s="311">
        <f>+SUMIF('TUNZ Extracted TB'!M:M,$P4802,'TUNZ Extracted TB'!G:G)</f>
        <v>0</v>
      </c>
      <c r="M4802" s="311"/>
      <c r="N4802" s="311">
        <f>+SUMIF('Input Sheet'!$AE:$AE,P4802,'Input Sheet'!$X:$X)</f>
        <v>0</v>
      </c>
      <c r="O4802" s="311"/>
      <c r="P4802" t="str">
        <f t="shared" si="393"/>
        <v>410-4090RR</v>
      </c>
      <c r="Q4802" s="315" t="str">
        <f t="shared" si="394"/>
        <v>Used Vehicle</v>
      </c>
      <c r="R4802" s="315" t="str">
        <f t="shared" si="395"/>
        <v>Used VehicleEx NV demonstrators gross profit p.u.</v>
      </c>
      <c r="S4802" s="199"/>
      <c r="T4802" s="199"/>
      <c r="U4802" s="199"/>
    </row>
    <row r="4803" spans="1:21" x14ac:dyDescent="0.25">
      <c r="A4803" t="s">
        <v>996</v>
      </c>
      <c r="B4803" t="s">
        <v>997</v>
      </c>
      <c r="C4803" t="s">
        <v>1013</v>
      </c>
      <c r="D4803" t="s">
        <v>749</v>
      </c>
      <c r="E4803">
        <v>310</v>
      </c>
      <c r="F4803" t="s">
        <v>1287</v>
      </c>
      <c r="G4803" t="s">
        <v>1288</v>
      </c>
      <c r="H4803" s="315" t="s">
        <v>30</v>
      </c>
      <c r="I4803" s="315" t="s">
        <v>1016</v>
      </c>
      <c r="J4803" s="315" t="str">
        <f t="shared" ref="J4803:J4866" si="396">+H4803&amp;I4803</f>
        <v>Used VehicleEx NV demonstrators gross profit p.u.</v>
      </c>
      <c r="K4803" s="315" t="str">
        <f t="shared" ref="K4803:K4866" si="397">+E4803&amp;G4803</f>
        <v>310Ex-Toyota NV demonstrator Cost of Sales</v>
      </c>
      <c r="L4803" s="311">
        <f>+SUMIF('TUNZ Extracted TB'!M:M,$P4803,'TUNZ Extracted TB'!G:G)</f>
        <v>0</v>
      </c>
      <c r="M4803" s="311"/>
      <c r="N4803" s="311">
        <f>+SUMIF('Input Sheet'!$AE:$AE,P4803,'Input Sheet'!$X:$X)</f>
        <v>0</v>
      </c>
      <c r="O4803" s="311"/>
      <c r="P4803" t="str">
        <f t="shared" ref="P4803:P4866" si="398">+E4803&amp;"-"&amp;D4803</f>
        <v>310-4090RR</v>
      </c>
      <c r="Q4803" s="315" t="str">
        <f t="shared" ref="Q4803:Q4866" si="399">H4803</f>
        <v>Used Vehicle</v>
      </c>
      <c r="R4803" s="315" t="str">
        <f t="shared" ref="R4803:R4866" si="400">J4803</f>
        <v>Used VehicleEx NV demonstrators gross profit p.u.</v>
      </c>
      <c r="S4803" s="199"/>
      <c r="T4803" s="199"/>
      <c r="U4803" s="199"/>
    </row>
    <row r="4804" spans="1:21" x14ac:dyDescent="0.25">
      <c r="A4804" t="s">
        <v>996</v>
      </c>
      <c r="B4804" t="s">
        <v>997</v>
      </c>
      <c r="C4804" t="s">
        <v>997</v>
      </c>
      <c r="D4804" t="s">
        <v>751</v>
      </c>
      <c r="E4804">
        <v>100</v>
      </c>
      <c r="F4804" t="s">
        <v>1024</v>
      </c>
      <c r="G4804" t="s">
        <v>1027</v>
      </c>
      <c r="H4804" s="315" t="s">
        <v>29</v>
      </c>
      <c r="I4804" s="315" t="s">
        <v>1026</v>
      </c>
      <c r="J4804" s="315" t="str">
        <f t="shared" si="396"/>
        <v>New VehicleOther Income per NV unit</v>
      </c>
      <c r="K4804" s="315" t="str">
        <f t="shared" si="397"/>
        <v>100New Vehicle Other Income - Toyota</v>
      </c>
      <c r="L4804" s="311">
        <f>+SUMIF('TUNZ Extracted TB'!M:M,$P4804,'TUNZ Extracted TB'!G:G)</f>
        <v>3293.82</v>
      </c>
      <c r="M4804" s="311"/>
      <c r="N4804" s="311">
        <f>+SUMIF('Input Sheet'!$AE:$AE,P4804,'Input Sheet'!$X:$X)</f>
        <v>0</v>
      </c>
      <c r="O4804" s="311"/>
      <c r="P4804" t="str">
        <f t="shared" si="398"/>
        <v>100-4095R</v>
      </c>
      <c r="Q4804" s="315" t="str">
        <f t="shared" si="399"/>
        <v>New Vehicle</v>
      </c>
      <c r="R4804" s="315" t="str">
        <f t="shared" si="400"/>
        <v>New VehicleOther Income per NV unit</v>
      </c>
      <c r="S4804" s="199"/>
      <c r="T4804" s="199"/>
      <c r="U4804" s="199"/>
    </row>
    <row r="4805" spans="1:21" x14ac:dyDescent="0.25">
      <c r="A4805" t="s">
        <v>996</v>
      </c>
      <c r="B4805" t="s">
        <v>997</v>
      </c>
      <c r="C4805" t="s">
        <v>1012</v>
      </c>
      <c r="D4805" t="s">
        <v>751</v>
      </c>
      <c r="E4805">
        <v>400</v>
      </c>
      <c r="F4805" t="s">
        <v>1024</v>
      </c>
      <c r="G4805" t="s">
        <v>1027</v>
      </c>
      <c r="H4805" s="315" t="s">
        <v>29</v>
      </c>
      <c r="I4805" s="315" t="s">
        <v>1026</v>
      </c>
      <c r="J4805" s="315" t="str">
        <f t="shared" si="396"/>
        <v>New VehicleOther Income per NV unit</v>
      </c>
      <c r="K4805" s="315" t="str">
        <f t="shared" si="397"/>
        <v>400New Vehicle Other Income - Toyota</v>
      </c>
      <c r="L4805" s="311">
        <f>+SUMIF('TUNZ Extracted TB'!M:M,$P4805,'TUNZ Extracted TB'!G:G)</f>
        <v>0</v>
      </c>
      <c r="M4805" s="311"/>
      <c r="N4805" s="311">
        <f>+SUMIF('Input Sheet'!$AE:$AE,P4805,'Input Sheet'!$X:$X)</f>
        <v>0</v>
      </c>
      <c r="O4805" s="311"/>
      <c r="P4805" t="str">
        <f t="shared" si="398"/>
        <v>400-4095R</v>
      </c>
      <c r="Q4805" s="315" t="str">
        <f t="shared" si="399"/>
        <v>New Vehicle</v>
      </c>
      <c r="R4805" s="315" t="str">
        <f t="shared" si="400"/>
        <v>New VehicleOther Income per NV unit</v>
      </c>
      <c r="S4805" s="199"/>
      <c r="T4805" s="199"/>
      <c r="U4805" s="199"/>
    </row>
    <row r="4806" spans="1:21" x14ac:dyDescent="0.25">
      <c r="A4806" t="s">
        <v>996</v>
      </c>
      <c r="B4806" t="s">
        <v>997</v>
      </c>
      <c r="C4806" t="s">
        <v>1013</v>
      </c>
      <c r="D4806" t="s">
        <v>751</v>
      </c>
      <c r="E4806">
        <v>300</v>
      </c>
      <c r="F4806" t="s">
        <v>1024</v>
      </c>
      <c r="G4806" t="s">
        <v>1027</v>
      </c>
      <c r="H4806" s="315" t="s">
        <v>29</v>
      </c>
      <c r="I4806" s="315" t="s">
        <v>1026</v>
      </c>
      <c r="J4806" s="315" t="str">
        <f t="shared" si="396"/>
        <v>New VehicleOther Income per NV unit</v>
      </c>
      <c r="K4806" s="315" t="str">
        <f t="shared" si="397"/>
        <v>300New Vehicle Other Income - Toyota</v>
      </c>
      <c r="L4806" s="311">
        <f>+SUMIF('TUNZ Extracted TB'!M:M,$P4806,'TUNZ Extracted TB'!G:G)</f>
        <v>0</v>
      </c>
      <c r="M4806" s="311"/>
      <c r="N4806" s="311">
        <f>+SUMIF('Input Sheet'!$AE:$AE,P4806,'Input Sheet'!$X:$X)</f>
        <v>0</v>
      </c>
      <c r="O4806" s="311"/>
      <c r="P4806" t="str">
        <f t="shared" si="398"/>
        <v>300-4095R</v>
      </c>
      <c r="Q4806" s="315" t="str">
        <f t="shared" si="399"/>
        <v>New Vehicle</v>
      </c>
      <c r="R4806" s="315" t="str">
        <f t="shared" si="400"/>
        <v>New VehicleOther Income per NV unit</v>
      </c>
      <c r="S4806" s="199"/>
      <c r="T4806" s="199"/>
      <c r="U4806" s="199"/>
    </row>
    <row r="4807" spans="1:21" x14ac:dyDescent="0.25">
      <c r="A4807" t="s">
        <v>996</v>
      </c>
      <c r="B4807" t="s">
        <v>997</v>
      </c>
      <c r="C4807" t="s">
        <v>997</v>
      </c>
      <c r="D4807" t="s">
        <v>753</v>
      </c>
      <c r="E4807">
        <v>100</v>
      </c>
      <c r="F4807" t="s">
        <v>1024</v>
      </c>
      <c r="G4807" t="s">
        <v>1027</v>
      </c>
      <c r="H4807" s="315" t="s">
        <v>29</v>
      </c>
      <c r="I4807" s="315" t="s">
        <v>1026</v>
      </c>
      <c r="J4807" s="315" t="str">
        <f t="shared" si="396"/>
        <v>New VehicleOther Income per NV unit</v>
      </c>
      <c r="K4807" s="315" t="str">
        <f t="shared" si="397"/>
        <v>100New Vehicle Other Income - Toyota</v>
      </c>
      <c r="L4807" s="311">
        <f>+SUMIF('TUNZ Extracted TB'!M:M,$P4807,'TUNZ Extracted TB'!G:G)</f>
        <v>0</v>
      </c>
      <c r="M4807" s="311"/>
      <c r="N4807" s="311">
        <f>+SUMIF('Input Sheet'!$AE:$AE,P4807,'Input Sheet'!$X:$X)</f>
        <v>0</v>
      </c>
      <c r="O4807" s="311"/>
      <c r="P4807" t="str">
        <f t="shared" si="398"/>
        <v>100-4095RR</v>
      </c>
      <c r="Q4807" s="315" t="str">
        <f t="shared" si="399"/>
        <v>New Vehicle</v>
      </c>
      <c r="R4807" s="315" t="str">
        <f t="shared" si="400"/>
        <v>New VehicleOther Income per NV unit</v>
      </c>
      <c r="S4807" s="199"/>
      <c r="T4807" s="199"/>
      <c r="U4807" s="199"/>
    </row>
    <row r="4808" spans="1:21" x14ac:dyDescent="0.25">
      <c r="A4808" t="s">
        <v>996</v>
      </c>
      <c r="B4808" t="s">
        <v>997</v>
      </c>
      <c r="C4808" t="s">
        <v>1005</v>
      </c>
      <c r="D4808" t="s">
        <v>753</v>
      </c>
      <c r="E4808">
        <v>200</v>
      </c>
      <c r="F4808" t="s">
        <v>1024</v>
      </c>
      <c r="G4808" t="s">
        <v>1027</v>
      </c>
      <c r="H4808" s="315" t="s">
        <v>29</v>
      </c>
      <c r="I4808" s="315" t="s">
        <v>1026</v>
      </c>
      <c r="J4808" s="315" t="str">
        <f t="shared" si="396"/>
        <v>New VehicleOther Income per NV unit</v>
      </c>
      <c r="K4808" s="315" t="str">
        <f t="shared" si="397"/>
        <v>200New Vehicle Other Income - Toyota</v>
      </c>
      <c r="L4808" s="311">
        <f>+SUMIF('TUNZ Extracted TB'!M:M,$P4808,'TUNZ Extracted TB'!G:G)</f>
        <v>0</v>
      </c>
      <c r="M4808" s="311"/>
      <c r="N4808" s="311">
        <f>+SUMIF('Input Sheet'!$AE:$AE,P4808,'Input Sheet'!$X:$X)</f>
        <v>0</v>
      </c>
      <c r="O4808" s="311"/>
      <c r="P4808" t="str">
        <f t="shared" si="398"/>
        <v>200-4095RR</v>
      </c>
      <c r="Q4808" s="315" t="str">
        <f t="shared" si="399"/>
        <v>New Vehicle</v>
      </c>
      <c r="R4808" s="315" t="str">
        <f t="shared" si="400"/>
        <v>New VehicleOther Income per NV unit</v>
      </c>
      <c r="S4808" s="199"/>
      <c r="T4808" s="199"/>
      <c r="U4808" s="199"/>
    </row>
    <row r="4809" spans="1:21" x14ac:dyDescent="0.25">
      <c r="A4809" t="s">
        <v>996</v>
      </c>
      <c r="B4809" t="s">
        <v>997</v>
      </c>
      <c r="C4809" t="s">
        <v>997</v>
      </c>
      <c r="D4809" t="s">
        <v>751</v>
      </c>
      <c r="E4809">
        <v>110</v>
      </c>
      <c r="F4809" t="s">
        <v>1287</v>
      </c>
      <c r="G4809" t="s">
        <v>1288</v>
      </c>
      <c r="H4809" s="315" t="s">
        <v>30</v>
      </c>
      <c r="I4809" s="315" t="s">
        <v>1016</v>
      </c>
      <c r="J4809" s="315" t="str">
        <f t="shared" si="396"/>
        <v>Used VehicleEx NV demonstrators gross profit p.u.</v>
      </c>
      <c r="K4809" s="315" t="str">
        <f t="shared" si="397"/>
        <v>110Ex-Toyota NV demonstrator Cost of Sales</v>
      </c>
      <c r="L4809" s="311">
        <f>+SUMIF('TUNZ Extracted TB'!M:M,$P4809,'TUNZ Extracted TB'!G:G)</f>
        <v>0</v>
      </c>
      <c r="M4809" s="311"/>
      <c r="N4809" s="311">
        <f>+SUMIF('Input Sheet'!$AE:$AE,P4809,'Input Sheet'!$X:$X)</f>
        <v>0</v>
      </c>
      <c r="O4809" s="311"/>
      <c r="P4809" t="str">
        <f t="shared" si="398"/>
        <v>110-4095R</v>
      </c>
      <c r="Q4809" s="315" t="str">
        <f t="shared" si="399"/>
        <v>Used Vehicle</v>
      </c>
      <c r="R4809" s="315" t="str">
        <f t="shared" si="400"/>
        <v>Used VehicleEx NV demonstrators gross profit p.u.</v>
      </c>
      <c r="S4809" s="199"/>
      <c r="T4809" s="199"/>
      <c r="U4809" s="199"/>
    </row>
    <row r="4810" spans="1:21" x14ac:dyDescent="0.25">
      <c r="A4810" t="s">
        <v>996</v>
      </c>
      <c r="B4810" t="s">
        <v>997</v>
      </c>
      <c r="C4810" t="s">
        <v>1005</v>
      </c>
      <c r="D4810" t="s">
        <v>751</v>
      </c>
      <c r="E4810">
        <v>210</v>
      </c>
      <c r="F4810" t="s">
        <v>1287</v>
      </c>
      <c r="G4810" t="s">
        <v>1288</v>
      </c>
      <c r="H4810" s="315" t="s">
        <v>30</v>
      </c>
      <c r="I4810" s="315" t="s">
        <v>1016</v>
      </c>
      <c r="J4810" s="315" t="str">
        <f t="shared" si="396"/>
        <v>Used VehicleEx NV demonstrators gross profit p.u.</v>
      </c>
      <c r="K4810" s="315" t="str">
        <f t="shared" si="397"/>
        <v>210Ex-Toyota NV demonstrator Cost of Sales</v>
      </c>
      <c r="L4810" s="311">
        <f>+SUMIF('TUNZ Extracted TB'!M:M,$P4810,'TUNZ Extracted TB'!G:G)</f>
        <v>0</v>
      </c>
      <c r="M4810" s="311"/>
      <c r="N4810" s="311">
        <f>+SUMIF('Input Sheet'!$AE:$AE,P4810,'Input Sheet'!$X:$X)</f>
        <v>0</v>
      </c>
      <c r="O4810" s="311"/>
      <c r="P4810" t="str">
        <f t="shared" si="398"/>
        <v>210-4095R</v>
      </c>
      <c r="Q4810" s="315" t="str">
        <f t="shared" si="399"/>
        <v>Used Vehicle</v>
      </c>
      <c r="R4810" s="315" t="str">
        <f t="shared" si="400"/>
        <v>Used VehicleEx NV demonstrators gross profit p.u.</v>
      </c>
      <c r="S4810" s="199"/>
      <c r="T4810" s="199"/>
      <c r="U4810" s="199"/>
    </row>
    <row r="4811" spans="1:21" x14ac:dyDescent="0.25">
      <c r="A4811" t="s">
        <v>996</v>
      </c>
      <c r="B4811" t="s">
        <v>997</v>
      </c>
      <c r="C4811" t="s">
        <v>1012</v>
      </c>
      <c r="D4811" t="s">
        <v>751</v>
      </c>
      <c r="E4811">
        <v>410</v>
      </c>
      <c r="F4811" t="s">
        <v>1287</v>
      </c>
      <c r="G4811" t="s">
        <v>1288</v>
      </c>
      <c r="H4811" s="315" t="s">
        <v>30</v>
      </c>
      <c r="I4811" s="315" t="s">
        <v>1016</v>
      </c>
      <c r="J4811" s="315" t="str">
        <f t="shared" si="396"/>
        <v>Used VehicleEx NV demonstrators gross profit p.u.</v>
      </c>
      <c r="K4811" s="315" t="str">
        <f t="shared" si="397"/>
        <v>410Ex-Toyota NV demonstrator Cost of Sales</v>
      </c>
      <c r="L4811" s="311">
        <f>+SUMIF('TUNZ Extracted TB'!M:M,$P4811,'TUNZ Extracted TB'!G:G)</f>
        <v>0</v>
      </c>
      <c r="M4811" s="311"/>
      <c r="N4811" s="311">
        <f>+SUMIF('Input Sheet'!$AE:$AE,P4811,'Input Sheet'!$X:$X)</f>
        <v>0</v>
      </c>
      <c r="O4811" s="311"/>
      <c r="P4811" t="str">
        <f t="shared" si="398"/>
        <v>410-4095R</v>
      </c>
      <c r="Q4811" s="315" t="str">
        <f t="shared" si="399"/>
        <v>Used Vehicle</v>
      </c>
      <c r="R4811" s="315" t="str">
        <f t="shared" si="400"/>
        <v>Used VehicleEx NV demonstrators gross profit p.u.</v>
      </c>
      <c r="S4811" s="199"/>
      <c r="T4811" s="199"/>
      <c r="U4811" s="199"/>
    </row>
    <row r="4812" spans="1:21" x14ac:dyDescent="0.25">
      <c r="A4812" t="s">
        <v>996</v>
      </c>
      <c r="B4812" t="s">
        <v>997</v>
      </c>
      <c r="C4812" t="s">
        <v>1013</v>
      </c>
      <c r="D4812" t="s">
        <v>751</v>
      </c>
      <c r="E4812">
        <v>310</v>
      </c>
      <c r="F4812" t="s">
        <v>1287</v>
      </c>
      <c r="G4812" t="s">
        <v>1288</v>
      </c>
      <c r="H4812" s="315" t="s">
        <v>30</v>
      </c>
      <c r="I4812" s="315" t="s">
        <v>1016</v>
      </c>
      <c r="J4812" s="315" t="str">
        <f t="shared" si="396"/>
        <v>Used VehicleEx NV demonstrators gross profit p.u.</v>
      </c>
      <c r="K4812" s="315" t="str">
        <f t="shared" si="397"/>
        <v>310Ex-Toyota NV demonstrator Cost of Sales</v>
      </c>
      <c r="L4812" s="311">
        <f>+SUMIF('TUNZ Extracted TB'!M:M,$P4812,'TUNZ Extracted TB'!G:G)</f>
        <v>0</v>
      </c>
      <c r="M4812" s="311"/>
      <c r="N4812" s="311">
        <f>+SUMIF('Input Sheet'!$AE:$AE,P4812,'Input Sheet'!$X:$X)</f>
        <v>0</v>
      </c>
      <c r="O4812" s="311"/>
      <c r="P4812" t="str">
        <f t="shared" si="398"/>
        <v>310-4095R</v>
      </c>
      <c r="Q4812" s="315" t="str">
        <f t="shared" si="399"/>
        <v>Used Vehicle</v>
      </c>
      <c r="R4812" s="315" t="str">
        <f t="shared" si="400"/>
        <v>Used VehicleEx NV demonstrators gross profit p.u.</v>
      </c>
      <c r="S4812" s="199"/>
      <c r="T4812" s="199"/>
      <c r="U4812" s="199"/>
    </row>
    <row r="4813" spans="1:21" x14ac:dyDescent="0.25">
      <c r="A4813" t="s">
        <v>996</v>
      </c>
      <c r="B4813" t="s">
        <v>997</v>
      </c>
      <c r="C4813" t="s">
        <v>1012</v>
      </c>
      <c r="D4813" t="s">
        <v>753</v>
      </c>
      <c r="E4813">
        <v>400</v>
      </c>
      <c r="F4813" t="s">
        <v>1024</v>
      </c>
      <c r="G4813" t="s">
        <v>1027</v>
      </c>
      <c r="H4813" s="315" t="s">
        <v>29</v>
      </c>
      <c r="I4813" s="315" t="s">
        <v>1026</v>
      </c>
      <c r="J4813" s="315" t="str">
        <f t="shared" si="396"/>
        <v>New VehicleOther Income per NV unit</v>
      </c>
      <c r="K4813" s="315" t="str">
        <f t="shared" si="397"/>
        <v>400New Vehicle Other Income - Toyota</v>
      </c>
      <c r="L4813" s="311">
        <f>+SUMIF('TUNZ Extracted TB'!M:M,$P4813,'TUNZ Extracted TB'!G:G)</f>
        <v>0</v>
      </c>
      <c r="M4813" s="311"/>
      <c r="N4813" s="311">
        <f>+SUMIF('Input Sheet'!$AE:$AE,P4813,'Input Sheet'!$X:$X)</f>
        <v>0</v>
      </c>
      <c r="O4813" s="311"/>
      <c r="P4813" t="str">
        <f t="shared" si="398"/>
        <v>400-4095RR</v>
      </c>
      <c r="Q4813" s="315" t="str">
        <f t="shared" si="399"/>
        <v>New Vehicle</v>
      </c>
      <c r="R4813" s="315" t="str">
        <f t="shared" si="400"/>
        <v>New VehicleOther Income per NV unit</v>
      </c>
      <c r="S4813" s="199"/>
      <c r="T4813" s="199"/>
      <c r="U4813" s="199"/>
    </row>
    <row r="4814" spans="1:21" x14ac:dyDescent="0.25">
      <c r="A4814" t="s">
        <v>996</v>
      </c>
      <c r="B4814" t="s">
        <v>997</v>
      </c>
      <c r="C4814" t="s">
        <v>1013</v>
      </c>
      <c r="D4814" t="s">
        <v>753</v>
      </c>
      <c r="E4814">
        <v>300</v>
      </c>
      <c r="F4814" t="s">
        <v>1024</v>
      </c>
      <c r="G4814" t="s">
        <v>1027</v>
      </c>
      <c r="H4814" s="315" t="s">
        <v>29</v>
      </c>
      <c r="I4814" s="315" t="s">
        <v>1026</v>
      </c>
      <c r="J4814" s="315" t="str">
        <f t="shared" si="396"/>
        <v>New VehicleOther Income per NV unit</v>
      </c>
      <c r="K4814" s="315" t="str">
        <f t="shared" si="397"/>
        <v>300New Vehicle Other Income - Toyota</v>
      </c>
      <c r="L4814" s="311">
        <f>+SUMIF('TUNZ Extracted TB'!M:M,$P4814,'TUNZ Extracted TB'!G:G)</f>
        <v>0</v>
      </c>
      <c r="M4814" s="311"/>
      <c r="N4814" s="311">
        <f>+SUMIF('Input Sheet'!$AE:$AE,P4814,'Input Sheet'!$X:$X)</f>
        <v>0</v>
      </c>
      <c r="O4814" s="311"/>
      <c r="P4814" t="str">
        <f t="shared" si="398"/>
        <v>300-4095RR</v>
      </c>
      <c r="Q4814" s="315" t="str">
        <f t="shared" si="399"/>
        <v>New Vehicle</v>
      </c>
      <c r="R4814" s="315" t="str">
        <f t="shared" si="400"/>
        <v>New VehicleOther Income per NV unit</v>
      </c>
      <c r="S4814" s="199"/>
      <c r="T4814" s="199"/>
      <c r="U4814" s="199"/>
    </row>
    <row r="4815" spans="1:21" x14ac:dyDescent="0.25">
      <c r="A4815" t="s">
        <v>996</v>
      </c>
      <c r="B4815" t="s">
        <v>997</v>
      </c>
      <c r="C4815" t="s">
        <v>997</v>
      </c>
      <c r="D4815" t="s">
        <v>753</v>
      </c>
      <c r="E4815">
        <v>110</v>
      </c>
      <c r="F4815" t="s">
        <v>1287</v>
      </c>
      <c r="G4815" t="s">
        <v>1288</v>
      </c>
      <c r="H4815" s="315" t="s">
        <v>30</v>
      </c>
      <c r="I4815" s="315" t="s">
        <v>1016</v>
      </c>
      <c r="J4815" s="315" t="str">
        <f t="shared" si="396"/>
        <v>Used VehicleEx NV demonstrators gross profit p.u.</v>
      </c>
      <c r="K4815" s="315" t="str">
        <f t="shared" si="397"/>
        <v>110Ex-Toyota NV demonstrator Cost of Sales</v>
      </c>
      <c r="L4815" s="311">
        <f>+SUMIF('TUNZ Extracted TB'!M:M,$P4815,'TUNZ Extracted TB'!G:G)</f>
        <v>0</v>
      </c>
      <c r="M4815" s="311"/>
      <c r="N4815" s="311">
        <f>+SUMIF('Input Sheet'!$AE:$AE,P4815,'Input Sheet'!$X:$X)</f>
        <v>0</v>
      </c>
      <c r="O4815" s="311"/>
      <c r="P4815" t="str">
        <f t="shared" si="398"/>
        <v>110-4095RR</v>
      </c>
      <c r="Q4815" s="315" t="str">
        <f t="shared" si="399"/>
        <v>Used Vehicle</v>
      </c>
      <c r="R4815" s="315" t="str">
        <f t="shared" si="400"/>
        <v>Used VehicleEx NV demonstrators gross profit p.u.</v>
      </c>
      <c r="S4815" s="199"/>
      <c r="T4815" s="199"/>
      <c r="U4815" s="199"/>
    </row>
    <row r="4816" spans="1:21" x14ac:dyDescent="0.25">
      <c r="A4816" t="s">
        <v>996</v>
      </c>
      <c r="B4816" t="s">
        <v>997</v>
      </c>
      <c r="C4816" t="s">
        <v>1005</v>
      </c>
      <c r="D4816" t="s">
        <v>755</v>
      </c>
      <c r="E4816">
        <v>200</v>
      </c>
      <c r="F4816" t="s">
        <v>1024</v>
      </c>
      <c r="G4816" t="s">
        <v>1027</v>
      </c>
      <c r="H4816" s="315" t="s">
        <v>29</v>
      </c>
      <c r="I4816" s="315" t="s">
        <v>1026</v>
      </c>
      <c r="J4816" s="315" t="str">
        <f t="shared" si="396"/>
        <v>New VehicleOther Income per NV unit</v>
      </c>
      <c r="K4816" s="315" t="str">
        <f t="shared" si="397"/>
        <v>200New Vehicle Other Income - Toyota</v>
      </c>
      <c r="L4816" s="311">
        <f>+SUMIF('TUNZ Extracted TB'!M:M,$P4816,'TUNZ Extracted TB'!G:G)</f>
        <v>19713.169999999998</v>
      </c>
      <c r="M4816" s="311"/>
      <c r="N4816" s="311">
        <f>+SUMIF('Input Sheet'!$AE:$AE,P4816,'Input Sheet'!$X:$X)</f>
        <v>0</v>
      </c>
      <c r="O4816" s="311"/>
      <c r="P4816" t="str">
        <f t="shared" si="398"/>
        <v>200-4105R</v>
      </c>
      <c r="Q4816" s="315" t="str">
        <f t="shared" si="399"/>
        <v>New Vehicle</v>
      </c>
      <c r="R4816" s="315" t="str">
        <f t="shared" si="400"/>
        <v>New VehicleOther Income per NV unit</v>
      </c>
      <c r="S4816" s="199"/>
      <c r="T4816" s="199"/>
      <c r="U4816" s="199"/>
    </row>
    <row r="4817" spans="1:21" x14ac:dyDescent="0.25">
      <c r="A4817" t="s">
        <v>996</v>
      </c>
      <c r="B4817" t="s">
        <v>997</v>
      </c>
      <c r="C4817" t="s">
        <v>1005</v>
      </c>
      <c r="D4817" t="s">
        <v>753</v>
      </c>
      <c r="E4817">
        <v>210</v>
      </c>
      <c r="F4817" t="s">
        <v>1287</v>
      </c>
      <c r="G4817" t="s">
        <v>1288</v>
      </c>
      <c r="H4817" s="315" t="s">
        <v>30</v>
      </c>
      <c r="I4817" s="315" t="s">
        <v>1016</v>
      </c>
      <c r="J4817" s="315" t="str">
        <f t="shared" si="396"/>
        <v>Used VehicleEx NV demonstrators gross profit p.u.</v>
      </c>
      <c r="K4817" s="315" t="str">
        <f t="shared" si="397"/>
        <v>210Ex-Toyota NV demonstrator Cost of Sales</v>
      </c>
      <c r="L4817" s="311">
        <f>+SUMIF('TUNZ Extracted TB'!M:M,$P4817,'TUNZ Extracted TB'!G:G)</f>
        <v>0</v>
      </c>
      <c r="M4817" s="311"/>
      <c r="N4817" s="311">
        <f>+SUMIF('Input Sheet'!$AE:$AE,P4817,'Input Sheet'!$X:$X)</f>
        <v>0</v>
      </c>
      <c r="O4817" s="311"/>
      <c r="P4817" t="str">
        <f t="shared" si="398"/>
        <v>210-4095RR</v>
      </c>
      <c r="Q4817" s="315" t="str">
        <f t="shared" si="399"/>
        <v>Used Vehicle</v>
      </c>
      <c r="R4817" s="315" t="str">
        <f t="shared" si="400"/>
        <v>Used VehicleEx NV demonstrators gross profit p.u.</v>
      </c>
      <c r="S4817" s="199"/>
      <c r="T4817" s="199"/>
      <c r="U4817" s="199"/>
    </row>
    <row r="4818" spans="1:21" x14ac:dyDescent="0.25">
      <c r="A4818" t="s">
        <v>996</v>
      </c>
      <c r="B4818" t="s">
        <v>997</v>
      </c>
      <c r="C4818" t="s">
        <v>1012</v>
      </c>
      <c r="D4818" t="s">
        <v>753</v>
      </c>
      <c r="E4818">
        <v>410</v>
      </c>
      <c r="F4818" t="s">
        <v>1287</v>
      </c>
      <c r="G4818" t="s">
        <v>1288</v>
      </c>
      <c r="H4818" s="315" t="s">
        <v>30</v>
      </c>
      <c r="I4818" s="315" t="s">
        <v>1016</v>
      </c>
      <c r="J4818" s="315" t="str">
        <f t="shared" si="396"/>
        <v>Used VehicleEx NV demonstrators gross profit p.u.</v>
      </c>
      <c r="K4818" s="315" t="str">
        <f t="shared" si="397"/>
        <v>410Ex-Toyota NV demonstrator Cost of Sales</v>
      </c>
      <c r="L4818" s="311">
        <f>+SUMIF('TUNZ Extracted TB'!M:M,$P4818,'TUNZ Extracted TB'!G:G)</f>
        <v>0</v>
      </c>
      <c r="M4818" s="311"/>
      <c r="N4818" s="311">
        <f>+SUMIF('Input Sheet'!$AE:$AE,P4818,'Input Sheet'!$X:$X)</f>
        <v>0</v>
      </c>
      <c r="O4818" s="311"/>
      <c r="P4818" t="str">
        <f t="shared" si="398"/>
        <v>410-4095RR</v>
      </c>
      <c r="Q4818" s="315" t="str">
        <f t="shared" si="399"/>
        <v>Used Vehicle</v>
      </c>
      <c r="R4818" s="315" t="str">
        <f t="shared" si="400"/>
        <v>Used VehicleEx NV demonstrators gross profit p.u.</v>
      </c>
      <c r="S4818" s="199"/>
      <c r="T4818" s="199"/>
      <c r="U4818" s="199"/>
    </row>
    <row r="4819" spans="1:21" x14ac:dyDescent="0.25">
      <c r="A4819" t="s">
        <v>996</v>
      </c>
      <c r="B4819" t="s">
        <v>997</v>
      </c>
      <c r="C4819" t="s">
        <v>1013</v>
      </c>
      <c r="D4819" t="s">
        <v>753</v>
      </c>
      <c r="E4819">
        <v>310</v>
      </c>
      <c r="F4819" t="s">
        <v>1287</v>
      </c>
      <c r="G4819" t="s">
        <v>1288</v>
      </c>
      <c r="H4819" s="315" t="s">
        <v>30</v>
      </c>
      <c r="I4819" s="315" t="s">
        <v>1016</v>
      </c>
      <c r="J4819" s="315" t="str">
        <f t="shared" si="396"/>
        <v>Used VehicleEx NV demonstrators gross profit p.u.</v>
      </c>
      <c r="K4819" s="315" t="str">
        <f t="shared" si="397"/>
        <v>310Ex-Toyota NV demonstrator Cost of Sales</v>
      </c>
      <c r="L4819" s="311">
        <f>+SUMIF('TUNZ Extracted TB'!M:M,$P4819,'TUNZ Extracted TB'!G:G)</f>
        <v>0</v>
      </c>
      <c r="M4819" s="311"/>
      <c r="N4819" s="311">
        <f>+SUMIF('Input Sheet'!$AE:$AE,P4819,'Input Sheet'!$X:$X)</f>
        <v>0</v>
      </c>
      <c r="O4819" s="311"/>
      <c r="P4819" t="str">
        <f t="shared" si="398"/>
        <v>310-4095RR</v>
      </c>
      <c r="Q4819" s="315" t="str">
        <f t="shared" si="399"/>
        <v>Used Vehicle</v>
      </c>
      <c r="R4819" s="315" t="str">
        <f t="shared" si="400"/>
        <v>Used VehicleEx NV demonstrators gross profit p.u.</v>
      </c>
      <c r="S4819" s="199"/>
      <c r="T4819" s="199"/>
      <c r="U4819" s="199"/>
    </row>
    <row r="4820" spans="1:21" x14ac:dyDescent="0.25">
      <c r="A4820" t="s">
        <v>996</v>
      </c>
      <c r="B4820" t="s">
        <v>997</v>
      </c>
      <c r="C4820" t="s">
        <v>997</v>
      </c>
      <c r="D4820" t="s">
        <v>755</v>
      </c>
      <c r="E4820">
        <v>100</v>
      </c>
      <c r="F4820" t="s">
        <v>1024</v>
      </c>
      <c r="G4820" t="s">
        <v>1027</v>
      </c>
      <c r="H4820" s="315" t="s">
        <v>29</v>
      </c>
      <c r="I4820" s="315" t="s">
        <v>1026</v>
      </c>
      <c r="J4820" s="315" t="str">
        <f t="shared" si="396"/>
        <v>New VehicleOther Income per NV unit</v>
      </c>
      <c r="K4820" s="315" t="str">
        <f t="shared" si="397"/>
        <v>100New Vehicle Other Income - Toyota</v>
      </c>
      <c r="L4820" s="311">
        <f>+SUMIF('TUNZ Extracted TB'!M:M,$P4820,'TUNZ Extracted TB'!G:G)</f>
        <v>7851.49</v>
      </c>
      <c r="M4820" s="311"/>
      <c r="N4820" s="311">
        <f>+SUMIF('Input Sheet'!$AE:$AE,P4820,'Input Sheet'!$X:$X)</f>
        <v>0</v>
      </c>
      <c r="O4820" s="311"/>
      <c r="P4820" t="str">
        <f t="shared" si="398"/>
        <v>100-4105R</v>
      </c>
      <c r="Q4820" s="315" t="str">
        <f t="shared" si="399"/>
        <v>New Vehicle</v>
      </c>
      <c r="R4820" s="315" t="str">
        <f t="shared" si="400"/>
        <v>New VehicleOther Income per NV unit</v>
      </c>
      <c r="S4820" s="199"/>
      <c r="T4820" s="199"/>
      <c r="U4820" s="199"/>
    </row>
    <row r="4821" spans="1:21" x14ac:dyDescent="0.25">
      <c r="A4821" t="s">
        <v>996</v>
      </c>
      <c r="B4821" t="s">
        <v>997</v>
      </c>
      <c r="C4821" t="s">
        <v>1012</v>
      </c>
      <c r="D4821" t="s">
        <v>755</v>
      </c>
      <c r="E4821">
        <v>400</v>
      </c>
      <c r="F4821" t="s">
        <v>1024</v>
      </c>
      <c r="G4821" t="s">
        <v>1027</v>
      </c>
      <c r="H4821" s="315" t="s">
        <v>29</v>
      </c>
      <c r="I4821" s="315" t="s">
        <v>1026</v>
      </c>
      <c r="J4821" s="315" t="str">
        <f t="shared" si="396"/>
        <v>New VehicleOther Income per NV unit</v>
      </c>
      <c r="K4821" s="315" t="str">
        <f t="shared" si="397"/>
        <v>400New Vehicle Other Income - Toyota</v>
      </c>
      <c r="L4821" s="311">
        <f>+SUMIF('TUNZ Extracted TB'!M:M,$P4821,'TUNZ Extracted TB'!G:G)</f>
        <v>0</v>
      </c>
      <c r="M4821" s="311"/>
      <c r="N4821" s="311">
        <f>+SUMIF('Input Sheet'!$AE:$AE,P4821,'Input Sheet'!$X:$X)</f>
        <v>0</v>
      </c>
      <c r="O4821" s="311"/>
      <c r="P4821" t="str">
        <f t="shared" si="398"/>
        <v>400-4105R</v>
      </c>
      <c r="Q4821" s="315" t="str">
        <f t="shared" si="399"/>
        <v>New Vehicle</v>
      </c>
      <c r="R4821" s="315" t="str">
        <f t="shared" si="400"/>
        <v>New VehicleOther Income per NV unit</v>
      </c>
      <c r="S4821" s="199"/>
      <c r="T4821" s="199"/>
      <c r="U4821" s="199"/>
    </row>
    <row r="4822" spans="1:21" x14ac:dyDescent="0.25">
      <c r="A4822" t="s">
        <v>996</v>
      </c>
      <c r="B4822" t="s">
        <v>997</v>
      </c>
      <c r="C4822" t="s">
        <v>1013</v>
      </c>
      <c r="D4822" t="s">
        <v>755</v>
      </c>
      <c r="E4822">
        <v>300</v>
      </c>
      <c r="F4822" t="s">
        <v>1024</v>
      </c>
      <c r="G4822" t="s">
        <v>1027</v>
      </c>
      <c r="H4822" s="315" t="s">
        <v>29</v>
      </c>
      <c r="I4822" s="315" t="s">
        <v>1026</v>
      </c>
      <c r="J4822" s="315" t="str">
        <f t="shared" si="396"/>
        <v>New VehicleOther Income per NV unit</v>
      </c>
      <c r="K4822" s="315" t="str">
        <f t="shared" si="397"/>
        <v>300New Vehicle Other Income - Toyota</v>
      </c>
      <c r="L4822" s="311">
        <f>+SUMIF('TUNZ Extracted TB'!M:M,$P4822,'TUNZ Extracted TB'!G:G)</f>
        <v>0</v>
      </c>
      <c r="M4822" s="311"/>
      <c r="N4822" s="311">
        <f>+SUMIF('Input Sheet'!$AE:$AE,P4822,'Input Sheet'!$X:$X)</f>
        <v>0</v>
      </c>
      <c r="O4822" s="311"/>
      <c r="P4822" t="str">
        <f t="shared" si="398"/>
        <v>300-4105R</v>
      </c>
      <c r="Q4822" s="315" t="str">
        <f t="shared" si="399"/>
        <v>New Vehicle</v>
      </c>
      <c r="R4822" s="315" t="str">
        <f t="shared" si="400"/>
        <v>New VehicleOther Income per NV unit</v>
      </c>
      <c r="S4822" s="199"/>
      <c r="T4822" s="199"/>
      <c r="U4822" s="199"/>
    </row>
    <row r="4823" spans="1:21" x14ac:dyDescent="0.25">
      <c r="A4823" t="s">
        <v>996</v>
      </c>
      <c r="B4823" t="s">
        <v>997</v>
      </c>
      <c r="C4823" t="s">
        <v>1005</v>
      </c>
      <c r="D4823" t="s">
        <v>755</v>
      </c>
      <c r="E4823">
        <v>210</v>
      </c>
      <c r="F4823" t="s">
        <v>1287</v>
      </c>
      <c r="G4823" t="s">
        <v>1288</v>
      </c>
      <c r="H4823" s="315" t="s">
        <v>30</v>
      </c>
      <c r="I4823" s="315" t="s">
        <v>1016</v>
      </c>
      <c r="J4823" s="315" t="str">
        <f t="shared" si="396"/>
        <v>Used VehicleEx NV demonstrators gross profit p.u.</v>
      </c>
      <c r="K4823" s="315" t="str">
        <f t="shared" si="397"/>
        <v>210Ex-Toyota NV demonstrator Cost of Sales</v>
      </c>
      <c r="L4823" s="311">
        <f>+SUMIF('TUNZ Extracted TB'!M:M,$P4823,'TUNZ Extracted TB'!G:G)</f>
        <v>0</v>
      </c>
      <c r="M4823" s="311"/>
      <c r="N4823" s="311">
        <f>+SUMIF('Input Sheet'!$AE:$AE,P4823,'Input Sheet'!$X:$X)</f>
        <v>0</v>
      </c>
      <c r="O4823" s="311"/>
      <c r="P4823" t="str">
        <f t="shared" si="398"/>
        <v>210-4105R</v>
      </c>
      <c r="Q4823" s="315" t="str">
        <f t="shared" si="399"/>
        <v>Used Vehicle</v>
      </c>
      <c r="R4823" s="315" t="str">
        <f t="shared" si="400"/>
        <v>Used VehicleEx NV demonstrators gross profit p.u.</v>
      </c>
      <c r="S4823" s="199" t="s">
        <v>1571</v>
      </c>
      <c r="T4823" s="199">
        <v>11</v>
      </c>
      <c r="U4823" s="199">
        <v>12</v>
      </c>
    </row>
    <row r="4824" spans="1:21" x14ac:dyDescent="0.25">
      <c r="A4824" t="s">
        <v>996</v>
      </c>
      <c r="B4824" t="s">
        <v>997</v>
      </c>
      <c r="C4824" t="s">
        <v>997</v>
      </c>
      <c r="D4824" t="s">
        <v>757</v>
      </c>
      <c r="E4824">
        <v>100</v>
      </c>
      <c r="F4824" t="s">
        <v>1024</v>
      </c>
      <c r="G4824" t="s">
        <v>1027</v>
      </c>
      <c r="H4824" s="315" t="s">
        <v>29</v>
      </c>
      <c r="I4824" s="315" t="s">
        <v>1026</v>
      </c>
      <c r="J4824" s="315" t="str">
        <f t="shared" si="396"/>
        <v>New VehicleOther Income per NV unit</v>
      </c>
      <c r="K4824" s="315" t="str">
        <f t="shared" si="397"/>
        <v>100New Vehicle Other Income - Toyota</v>
      </c>
      <c r="L4824" s="311">
        <f>+SUMIF('TUNZ Extracted TB'!M:M,$P4824,'TUNZ Extracted TB'!G:G)</f>
        <v>0</v>
      </c>
      <c r="M4824" s="311"/>
      <c r="N4824" s="311">
        <f>+SUMIF('Input Sheet'!$AE:$AE,P4824,'Input Sheet'!$X:$X)</f>
        <v>0</v>
      </c>
      <c r="O4824" s="311"/>
      <c r="P4824" t="str">
        <f t="shared" si="398"/>
        <v>100-4105RR</v>
      </c>
      <c r="Q4824" s="315" t="str">
        <f t="shared" si="399"/>
        <v>New Vehicle</v>
      </c>
      <c r="R4824" s="315" t="str">
        <f t="shared" si="400"/>
        <v>New VehicleOther Income per NV unit</v>
      </c>
      <c r="S4824" s="199"/>
      <c r="T4824" s="199"/>
      <c r="U4824" s="199"/>
    </row>
    <row r="4825" spans="1:21" x14ac:dyDescent="0.25">
      <c r="A4825" t="s">
        <v>996</v>
      </c>
      <c r="B4825" t="s">
        <v>997</v>
      </c>
      <c r="C4825" t="s">
        <v>1005</v>
      </c>
      <c r="D4825" t="s">
        <v>757</v>
      </c>
      <c r="E4825">
        <v>200</v>
      </c>
      <c r="F4825" t="s">
        <v>1024</v>
      </c>
      <c r="G4825" t="s">
        <v>1027</v>
      </c>
      <c r="H4825" s="315" t="s">
        <v>29</v>
      </c>
      <c r="I4825" s="315" t="s">
        <v>1026</v>
      </c>
      <c r="J4825" s="315" t="str">
        <f t="shared" si="396"/>
        <v>New VehicleOther Income per NV unit</v>
      </c>
      <c r="K4825" s="315" t="str">
        <f t="shared" si="397"/>
        <v>200New Vehicle Other Income - Toyota</v>
      </c>
      <c r="L4825" s="311">
        <f>+SUMIF('TUNZ Extracted TB'!M:M,$P4825,'TUNZ Extracted TB'!G:G)</f>
        <v>0</v>
      </c>
      <c r="M4825" s="311"/>
      <c r="N4825" s="311">
        <f>+SUMIF('Input Sheet'!$AE:$AE,P4825,'Input Sheet'!$X:$X)</f>
        <v>0</v>
      </c>
      <c r="O4825" s="311"/>
      <c r="P4825" t="str">
        <f t="shared" si="398"/>
        <v>200-4105RR</v>
      </c>
      <c r="Q4825" s="315" t="str">
        <f t="shared" si="399"/>
        <v>New Vehicle</v>
      </c>
      <c r="R4825" s="315" t="str">
        <f t="shared" si="400"/>
        <v>New VehicleOther Income per NV unit</v>
      </c>
      <c r="S4825" s="199"/>
      <c r="T4825" s="199"/>
      <c r="U4825" s="199"/>
    </row>
    <row r="4826" spans="1:21" x14ac:dyDescent="0.25">
      <c r="A4826" t="s">
        <v>996</v>
      </c>
      <c r="B4826" t="s">
        <v>997</v>
      </c>
      <c r="C4826" t="s">
        <v>997</v>
      </c>
      <c r="D4826" t="s">
        <v>755</v>
      </c>
      <c r="E4826">
        <v>110</v>
      </c>
      <c r="F4826" t="s">
        <v>1287</v>
      </c>
      <c r="G4826" t="s">
        <v>1288</v>
      </c>
      <c r="H4826" s="315" t="s">
        <v>30</v>
      </c>
      <c r="I4826" s="315" t="s">
        <v>1016</v>
      </c>
      <c r="J4826" s="315" t="str">
        <f t="shared" si="396"/>
        <v>Used VehicleEx NV demonstrators gross profit p.u.</v>
      </c>
      <c r="K4826" s="315" t="str">
        <f t="shared" si="397"/>
        <v>110Ex-Toyota NV demonstrator Cost of Sales</v>
      </c>
      <c r="L4826" s="311">
        <f>+SUMIF('TUNZ Extracted TB'!M:M,$P4826,'TUNZ Extracted TB'!G:G)</f>
        <v>0</v>
      </c>
      <c r="M4826" s="311"/>
      <c r="N4826" s="311">
        <f>+SUMIF('Input Sheet'!$AE:$AE,P4826,'Input Sheet'!$X:$X)</f>
        <v>0</v>
      </c>
      <c r="O4826" s="311"/>
      <c r="P4826" t="str">
        <f t="shared" si="398"/>
        <v>110-4105R</v>
      </c>
      <c r="Q4826" s="315" t="str">
        <f t="shared" si="399"/>
        <v>Used Vehicle</v>
      </c>
      <c r="R4826" s="315" t="str">
        <f t="shared" si="400"/>
        <v>Used VehicleEx NV demonstrators gross profit p.u.</v>
      </c>
      <c r="S4826" s="199"/>
      <c r="T4826" s="199"/>
      <c r="U4826" s="199"/>
    </row>
    <row r="4827" spans="1:21" x14ac:dyDescent="0.25">
      <c r="A4827" t="s">
        <v>996</v>
      </c>
      <c r="B4827" t="s">
        <v>997</v>
      </c>
      <c r="C4827" t="s">
        <v>1012</v>
      </c>
      <c r="D4827" t="s">
        <v>755</v>
      </c>
      <c r="E4827">
        <v>410</v>
      </c>
      <c r="F4827" t="s">
        <v>1287</v>
      </c>
      <c r="G4827" t="s">
        <v>1288</v>
      </c>
      <c r="H4827" s="315" t="s">
        <v>30</v>
      </c>
      <c r="I4827" s="315" t="s">
        <v>1016</v>
      </c>
      <c r="J4827" s="315" t="str">
        <f t="shared" si="396"/>
        <v>Used VehicleEx NV demonstrators gross profit p.u.</v>
      </c>
      <c r="K4827" s="315" t="str">
        <f t="shared" si="397"/>
        <v>410Ex-Toyota NV demonstrator Cost of Sales</v>
      </c>
      <c r="L4827" s="311">
        <f>+SUMIF('TUNZ Extracted TB'!M:M,$P4827,'TUNZ Extracted TB'!G:G)</f>
        <v>0</v>
      </c>
      <c r="M4827" s="311"/>
      <c r="N4827" s="311">
        <f>+SUMIF('Input Sheet'!$AE:$AE,P4827,'Input Sheet'!$X:$X)</f>
        <v>0</v>
      </c>
      <c r="O4827" s="311"/>
      <c r="P4827" t="str">
        <f t="shared" si="398"/>
        <v>410-4105R</v>
      </c>
      <c r="Q4827" s="315" t="str">
        <f t="shared" si="399"/>
        <v>Used Vehicle</v>
      </c>
      <c r="R4827" s="315" t="str">
        <f t="shared" si="400"/>
        <v>Used VehicleEx NV demonstrators gross profit p.u.</v>
      </c>
      <c r="S4827" s="199"/>
      <c r="T4827" s="199"/>
      <c r="U4827" s="199"/>
    </row>
    <row r="4828" spans="1:21" x14ac:dyDescent="0.25">
      <c r="A4828" t="s">
        <v>996</v>
      </c>
      <c r="B4828" t="s">
        <v>997</v>
      </c>
      <c r="C4828" t="s">
        <v>1013</v>
      </c>
      <c r="D4828" t="s">
        <v>755</v>
      </c>
      <c r="E4828">
        <v>310</v>
      </c>
      <c r="F4828" t="s">
        <v>1287</v>
      </c>
      <c r="G4828" t="s">
        <v>1288</v>
      </c>
      <c r="H4828" s="315" t="s">
        <v>30</v>
      </c>
      <c r="I4828" s="315" t="s">
        <v>1016</v>
      </c>
      <c r="J4828" s="315" t="str">
        <f t="shared" si="396"/>
        <v>Used VehicleEx NV demonstrators gross profit p.u.</v>
      </c>
      <c r="K4828" s="315" t="str">
        <f t="shared" si="397"/>
        <v>310Ex-Toyota NV demonstrator Cost of Sales</v>
      </c>
      <c r="L4828" s="311">
        <f>+SUMIF('TUNZ Extracted TB'!M:M,$P4828,'TUNZ Extracted TB'!G:G)</f>
        <v>0</v>
      </c>
      <c r="M4828" s="311"/>
      <c r="N4828" s="311">
        <f>+SUMIF('Input Sheet'!$AE:$AE,P4828,'Input Sheet'!$X:$X)</f>
        <v>0</v>
      </c>
      <c r="O4828" s="311"/>
      <c r="P4828" t="str">
        <f t="shared" si="398"/>
        <v>310-4105R</v>
      </c>
      <c r="Q4828" s="315" t="str">
        <f t="shared" si="399"/>
        <v>Used Vehicle</v>
      </c>
      <c r="R4828" s="315" t="str">
        <f t="shared" si="400"/>
        <v>Used VehicleEx NV demonstrators gross profit p.u.</v>
      </c>
      <c r="S4828" s="199"/>
      <c r="T4828" s="199"/>
      <c r="U4828" s="199"/>
    </row>
    <row r="4829" spans="1:21" x14ac:dyDescent="0.25">
      <c r="A4829" t="s">
        <v>996</v>
      </c>
      <c r="B4829" t="s">
        <v>997</v>
      </c>
      <c r="C4829" t="s">
        <v>1012</v>
      </c>
      <c r="D4829" t="s">
        <v>757</v>
      </c>
      <c r="E4829">
        <v>400</v>
      </c>
      <c r="F4829" t="s">
        <v>1024</v>
      </c>
      <c r="G4829" t="s">
        <v>1027</v>
      </c>
      <c r="H4829" s="315" t="s">
        <v>29</v>
      </c>
      <c r="I4829" s="315" t="s">
        <v>1026</v>
      </c>
      <c r="J4829" s="315" t="str">
        <f t="shared" si="396"/>
        <v>New VehicleOther Income per NV unit</v>
      </c>
      <c r="K4829" s="315" t="str">
        <f t="shared" si="397"/>
        <v>400New Vehicle Other Income - Toyota</v>
      </c>
      <c r="L4829" s="311">
        <f>+SUMIF('TUNZ Extracted TB'!M:M,$P4829,'TUNZ Extracted TB'!G:G)</f>
        <v>0</v>
      </c>
      <c r="M4829" s="311"/>
      <c r="N4829" s="311">
        <f>+SUMIF('Input Sheet'!$AE:$AE,P4829,'Input Sheet'!$X:$X)</f>
        <v>0</v>
      </c>
      <c r="O4829" s="311"/>
      <c r="P4829" t="str">
        <f t="shared" si="398"/>
        <v>400-4105RR</v>
      </c>
      <c r="Q4829" s="315" t="str">
        <f t="shared" si="399"/>
        <v>New Vehicle</v>
      </c>
      <c r="R4829" s="315" t="str">
        <f t="shared" si="400"/>
        <v>New VehicleOther Income per NV unit</v>
      </c>
      <c r="S4829" s="199"/>
      <c r="T4829" s="199"/>
      <c r="U4829" s="199"/>
    </row>
    <row r="4830" spans="1:21" x14ac:dyDescent="0.25">
      <c r="A4830" t="s">
        <v>996</v>
      </c>
      <c r="B4830" t="s">
        <v>997</v>
      </c>
      <c r="C4830" t="s">
        <v>1013</v>
      </c>
      <c r="D4830" t="s">
        <v>757</v>
      </c>
      <c r="E4830">
        <v>300</v>
      </c>
      <c r="F4830" t="s">
        <v>1024</v>
      </c>
      <c r="G4830" t="s">
        <v>1027</v>
      </c>
      <c r="H4830" s="315" t="s">
        <v>29</v>
      </c>
      <c r="I4830" s="315" t="s">
        <v>1026</v>
      </c>
      <c r="J4830" s="315" t="str">
        <f t="shared" si="396"/>
        <v>New VehicleOther Income per NV unit</v>
      </c>
      <c r="K4830" s="315" t="str">
        <f t="shared" si="397"/>
        <v>300New Vehicle Other Income - Toyota</v>
      </c>
      <c r="L4830" s="311">
        <f>+SUMIF('TUNZ Extracted TB'!M:M,$P4830,'TUNZ Extracted TB'!G:G)</f>
        <v>0</v>
      </c>
      <c r="M4830" s="311"/>
      <c r="N4830" s="311">
        <f>+SUMIF('Input Sheet'!$AE:$AE,P4830,'Input Sheet'!$X:$X)</f>
        <v>0</v>
      </c>
      <c r="O4830" s="311"/>
      <c r="P4830" t="str">
        <f t="shared" si="398"/>
        <v>300-4105RR</v>
      </c>
      <c r="Q4830" s="315" t="str">
        <f t="shared" si="399"/>
        <v>New Vehicle</v>
      </c>
      <c r="R4830" s="315" t="str">
        <f t="shared" si="400"/>
        <v>New VehicleOther Income per NV unit</v>
      </c>
      <c r="S4830" s="199"/>
      <c r="T4830" s="199"/>
      <c r="U4830" s="199"/>
    </row>
    <row r="4831" spans="1:21" x14ac:dyDescent="0.25">
      <c r="A4831" t="s">
        <v>996</v>
      </c>
      <c r="B4831" t="s">
        <v>997</v>
      </c>
      <c r="C4831" t="s">
        <v>997</v>
      </c>
      <c r="D4831" t="s">
        <v>1572</v>
      </c>
      <c r="E4831">
        <v>100</v>
      </c>
      <c r="F4831" t="s">
        <v>1024</v>
      </c>
      <c r="G4831" t="s">
        <v>1027</v>
      </c>
      <c r="H4831" s="315" t="s">
        <v>29</v>
      </c>
      <c r="I4831" s="315" t="s">
        <v>1026</v>
      </c>
      <c r="J4831" s="315" t="str">
        <f t="shared" si="396"/>
        <v>New VehicleOther Income per NV unit</v>
      </c>
      <c r="K4831" s="315" t="str">
        <f t="shared" si="397"/>
        <v>100New Vehicle Other Income - Toyota</v>
      </c>
      <c r="L4831" s="311">
        <f>+SUMIF('TUNZ Extracted TB'!M:M,$P4831,'TUNZ Extracted TB'!G:G)</f>
        <v>0</v>
      </c>
      <c r="M4831" s="311"/>
      <c r="N4831" s="311">
        <f>+SUMIF('Input Sheet'!$AE:$AE,P4831,'Input Sheet'!$X:$X)</f>
        <v>0</v>
      </c>
      <c r="O4831" s="311"/>
      <c r="P4831" t="str">
        <f t="shared" si="398"/>
        <v>100-4110R</v>
      </c>
      <c r="Q4831" s="315" t="str">
        <f t="shared" si="399"/>
        <v>New Vehicle</v>
      </c>
      <c r="R4831" s="315" t="str">
        <f t="shared" si="400"/>
        <v>New VehicleOther Income per NV unit</v>
      </c>
      <c r="S4831" s="199"/>
      <c r="T4831" s="199"/>
      <c r="U4831" s="199"/>
    </row>
    <row r="4832" spans="1:21" x14ac:dyDescent="0.25">
      <c r="A4832" t="s">
        <v>996</v>
      </c>
      <c r="B4832" t="s">
        <v>997</v>
      </c>
      <c r="C4832" t="s">
        <v>997</v>
      </c>
      <c r="D4832" t="s">
        <v>757</v>
      </c>
      <c r="E4832">
        <v>110</v>
      </c>
      <c r="F4832" t="s">
        <v>1287</v>
      </c>
      <c r="G4832" t="s">
        <v>1288</v>
      </c>
      <c r="H4832" s="315" t="s">
        <v>30</v>
      </c>
      <c r="I4832" s="315" t="s">
        <v>1016</v>
      </c>
      <c r="J4832" s="315" t="str">
        <f t="shared" si="396"/>
        <v>Used VehicleEx NV demonstrators gross profit p.u.</v>
      </c>
      <c r="K4832" s="315" t="str">
        <f t="shared" si="397"/>
        <v>110Ex-Toyota NV demonstrator Cost of Sales</v>
      </c>
      <c r="L4832" s="311">
        <f>+SUMIF('TUNZ Extracted TB'!M:M,$P4832,'TUNZ Extracted TB'!G:G)</f>
        <v>0</v>
      </c>
      <c r="M4832" s="311"/>
      <c r="N4832" s="311">
        <f>+SUMIF('Input Sheet'!$AE:$AE,P4832,'Input Sheet'!$X:$X)</f>
        <v>0</v>
      </c>
      <c r="O4832" s="311"/>
      <c r="P4832" t="str">
        <f t="shared" si="398"/>
        <v>110-4105RR</v>
      </c>
      <c r="Q4832" s="315" t="str">
        <f t="shared" si="399"/>
        <v>Used Vehicle</v>
      </c>
      <c r="R4832" s="315" t="str">
        <f t="shared" si="400"/>
        <v>Used VehicleEx NV demonstrators gross profit p.u.</v>
      </c>
      <c r="S4832" s="199"/>
      <c r="T4832" s="199"/>
      <c r="U4832" s="199"/>
    </row>
    <row r="4833" spans="1:21" x14ac:dyDescent="0.25">
      <c r="A4833" t="s">
        <v>996</v>
      </c>
      <c r="B4833" t="s">
        <v>997</v>
      </c>
      <c r="C4833" t="s">
        <v>1005</v>
      </c>
      <c r="D4833" t="s">
        <v>757</v>
      </c>
      <c r="E4833">
        <v>210</v>
      </c>
      <c r="F4833" t="s">
        <v>1287</v>
      </c>
      <c r="G4833" t="s">
        <v>1288</v>
      </c>
      <c r="H4833" s="315" t="s">
        <v>30</v>
      </c>
      <c r="I4833" s="315" t="s">
        <v>1016</v>
      </c>
      <c r="J4833" s="315" t="str">
        <f t="shared" si="396"/>
        <v>Used VehicleEx NV demonstrators gross profit p.u.</v>
      </c>
      <c r="K4833" s="315" t="str">
        <f t="shared" si="397"/>
        <v>210Ex-Toyota NV demonstrator Cost of Sales</v>
      </c>
      <c r="L4833" s="311">
        <f>+SUMIF('TUNZ Extracted TB'!M:M,$P4833,'TUNZ Extracted TB'!G:G)</f>
        <v>0</v>
      </c>
      <c r="M4833" s="311"/>
      <c r="N4833" s="311">
        <f>+SUMIF('Input Sheet'!$AE:$AE,P4833,'Input Sheet'!$X:$X)</f>
        <v>0</v>
      </c>
      <c r="O4833" s="311"/>
      <c r="P4833" t="str">
        <f t="shared" si="398"/>
        <v>210-4105RR</v>
      </c>
      <c r="Q4833" s="315" t="str">
        <f t="shared" si="399"/>
        <v>Used Vehicle</v>
      </c>
      <c r="R4833" s="315" t="str">
        <f t="shared" si="400"/>
        <v>Used VehicleEx NV demonstrators gross profit p.u.</v>
      </c>
      <c r="S4833" s="199"/>
      <c r="T4833" s="199"/>
      <c r="U4833" s="199"/>
    </row>
    <row r="4834" spans="1:21" x14ac:dyDescent="0.25">
      <c r="A4834" t="s">
        <v>996</v>
      </c>
      <c r="B4834" t="s">
        <v>997</v>
      </c>
      <c r="C4834" t="s">
        <v>1012</v>
      </c>
      <c r="D4834" t="s">
        <v>757</v>
      </c>
      <c r="E4834">
        <v>410</v>
      </c>
      <c r="F4834" t="s">
        <v>1287</v>
      </c>
      <c r="G4834" t="s">
        <v>1288</v>
      </c>
      <c r="H4834" s="315" t="s">
        <v>30</v>
      </c>
      <c r="I4834" s="315" t="s">
        <v>1016</v>
      </c>
      <c r="J4834" s="315" t="str">
        <f t="shared" si="396"/>
        <v>Used VehicleEx NV demonstrators gross profit p.u.</v>
      </c>
      <c r="K4834" s="315" t="str">
        <f t="shared" si="397"/>
        <v>410Ex-Toyota NV demonstrator Cost of Sales</v>
      </c>
      <c r="L4834" s="311">
        <f>+SUMIF('TUNZ Extracted TB'!M:M,$P4834,'TUNZ Extracted TB'!G:G)</f>
        <v>0</v>
      </c>
      <c r="M4834" s="311"/>
      <c r="N4834" s="311">
        <f>+SUMIF('Input Sheet'!$AE:$AE,P4834,'Input Sheet'!$X:$X)</f>
        <v>0</v>
      </c>
      <c r="O4834" s="311"/>
      <c r="P4834" t="str">
        <f t="shared" si="398"/>
        <v>410-4105RR</v>
      </c>
      <c r="Q4834" s="315" t="str">
        <f t="shared" si="399"/>
        <v>Used Vehicle</v>
      </c>
      <c r="R4834" s="315" t="str">
        <f t="shared" si="400"/>
        <v>Used VehicleEx NV demonstrators gross profit p.u.</v>
      </c>
      <c r="S4834" s="199"/>
      <c r="T4834" s="199"/>
      <c r="U4834" s="199"/>
    </row>
    <row r="4835" spans="1:21" x14ac:dyDescent="0.25">
      <c r="A4835" t="s">
        <v>996</v>
      </c>
      <c r="B4835" t="s">
        <v>997</v>
      </c>
      <c r="C4835" t="s">
        <v>1013</v>
      </c>
      <c r="D4835" t="s">
        <v>757</v>
      </c>
      <c r="E4835">
        <v>310</v>
      </c>
      <c r="F4835" t="s">
        <v>1287</v>
      </c>
      <c r="G4835" t="s">
        <v>1288</v>
      </c>
      <c r="H4835" s="315" t="s">
        <v>30</v>
      </c>
      <c r="I4835" s="315" t="s">
        <v>1016</v>
      </c>
      <c r="J4835" s="315" t="str">
        <f t="shared" si="396"/>
        <v>Used VehicleEx NV demonstrators gross profit p.u.</v>
      </c>
      <c r="K4835" s="315" t="str">
        <f t="shared" si="397"/>
        <v>310Ex-Toyota NV demonstrator Cost of Sales</v>
      </c>
      <c r="L4835" s="311">
        <f>+SUMIF('TUNZ Extracted TB'!M:M,$P4835,'TUNZ Extracted TB'!G:G)</f>
        <v>0</v>
      </c>
      <c r="M4835" s="311"/>
      <c r="N4835" s="311">
        <f>+SUMIF('Input Sheet'!$AE:$AE,P4835,'Input Sheet'!$X:$X)</f>
        <v>0</v>
      </c>
      <c r="O4835" s="311"/>
      <c r="P4835" t="str">
        <f t="shared" si="398"/>
        <v>310-4105RR</v>
      </c>
      <c r="Q4835" s="315" t="str">
        <f t="shared" si="399"/>
        <v>Used Vehicle</v>
      </c>
      <c r="R4835" s="315" t="str">
        <f t="shared" si="400"/>
        <v>Used VehicleEx NV demonstrators gross profit p.u.</v>
      </c>
      <c r="S4835" s="199"/>
      <c r="T4835" s="199"/>
      <c r="U4835" s="199"/>
    </row>
    <row r="4836" spans="1:21" x14ac:dyDescent="0.25">
      <c r="A4836" t="s">
        <v>996</v>
      </c>
      <c r="B4836" t="s">
        <v>997</v>
      </c>
      <c r="C4836" t="s">
        <v>1005</v>
      </c>
      <c r="D4836" t="s">
        <v>1572</v>
      </c>
      <c r="E4836">
        <v>200</v>
      </c>
      <c r="F4836" t="s">
        <v>1024</v>
      </c>
      <c r="G4836" t="s">
        <v>1027</v>
      </c>
      <c r="H4836" s="315" t="s">
        <v>29</v>
      </c>
      <c r="I4836" s="315" t="s">
        <v>1026</v>
      </c>
      <c r="J4836" s="315" t="str">
        <f t="shared" si="396"/>
        <v>New VehicleOther Income per NV unit</v>
      </c>
      <c r="K4836" s="315" t="str">
        <f t="shared" si="397"/>
        <v>200New Vehicle Other Income - Toyota</v>
      </c>
      <c r="L4836" s="311">
        <f>+SUMIF('TUNZ Extracted TB'!M:M,$P4836,'TUNZ Extracted TB'!G:G)</f>
        <v>0</v>
      </c>
      <c r="M4836" s="311"/>
      <c r="N4836" s="311">
        <f>+SUMIF('Input Sheet'!$AE:$AE,P4836,'Input Sheet'!$X:$X)</f>
        <v>0</v>
      </c>
      <c r="O4836" s="311"/>
      <c r="P4836" t="str">
        <f t="shared" si="398"/>
        <v>200-4110R</v>
      </c>
      <c r="Q4836" s="315" t="str">
        <f t="shared" si="399"/>
        <v>New Vehicle</v>
      </c>
      <c r="R4836" s="315" t="str">
        <f t="shared" si="400"/>
        <v>New VehicleOther Income per NV unit</v>
      </c>
      <c r="S4836" s="199"/>
      <c r="T4836" s="199"/>
      <c r="U4836" s="199"/>
    </row>
    <row r="4837" spans="1:21" x14ac:dyDescent="0.25">
      <c r="A4837" t="s">
        <v>996</v>
      </c>
      <c r="B4837" t="s">
        <v>997</v>
      </c>
      <c r="C4837" t="s">
        <v>1012</v>
      </c>
      <c r="D4837" t="s">
        <v>1572</v>
      </c>
      <c r="E4837">
        <v>400</v>
      </c>
      <c r="F4837" t="s">
        <v>1024</v>
      </c>
      <c r="G4837" t="s">
        <v>1027</v>
      </c>
      <c r="H4837" s="315" t="s">
        <v>29</v>
      </c>
      <c r="I4837" s="315" t="s">
        <v>1026</v>
      </c>
      <c r="J4837" s="315" t="str">
        <f t="shared" si="396"/>
        <v>New VehicleOther Income per NV unit</v>
      </c>
      <c r="K4837" s="315" t="str">
        <f t="shared" si="397"/>
        <v>400New Vehicle Other Income - Toyota</v>
      </c>
      <c r="L4837" s="311">
        <f>+SUMIF('TUNZ Extracted TB'!M:M,$P4837,'TUNZ Extracted TB'!G:G)</f>
        <v>0</v>
      </c>
      <c r="M4837" s="311"/>
      <c r="N4837" s="311">
        <f>+SUMIF('Input Sheet'!$AE:$AE,P4837,'Input Sheet'!$X:$X)</f>
        <v>0</v>
      </c>
      <c r="O4837" s="311"/>
      <c r="P4837" t="str">
        <f t="shared" si="398"/>
        <v>400-4110R</v>
      </c>
      <c r="Q4837" s="315" t="str">
        <f t="shared" si="399"/>
        <v>New Vehicle</v>
      </c>
      <c r="R4837" s="315" t="str">
        <f t="shared" si="400"/>
        <v>New VehicleOther Income per NV unit</v>
      </c>
      <c r="S4837" s="199"/>
      <c r="T4837" s="199"/>
      <c r="U4837" s="199"/>
    </row>
    <row r="4838" spans="1:21" x14ac:dyDescent="0.25">
      <c r="A4838" t="s">
        <v>996</v>
      </c>
      <c r="B4838" t="s">
        <v>997</v>
      </c>
      <c r="C4838" t="s">
        <v>1013</v>
      </c>
      <c r="D4838" t="s">
        <v>1572</v>
      </c>
      <c r="E4838">
        <v>300</v>
      </c>
      <c r="F4838" t="s">
        <v>1024</v>
      </c>
      <c r="G4838" t="s">
        <v>1027</v>
      </c>
      <c r="H4838" s="315" t="s">
        <v>29</v>
      </c>
      <c r="I4838" s="315" t="s">
        <v>1026</v>
      </c>
      <c r="J4838" s="315" t="str">
        <f t="shared" si="396"/>
        <v>New VehicleOther Income per NV unit</v>
      </c>
      <c r="K4838" s="315" t="str">
        <f t="shared" si="397"/>
        <v>300New Vehicle Other Income - Toyota</v>
      </c>
      <c r="L4838" s="311">
        <f>+SUMIF('TUNZ Extracted TB'!M:M,$P4838,'TUNZ Extracted TB'!G:G)</f>
        <v>0</v>
      </c>
      <c r="M4838" s="311"/>
      <c r="N4838" s="311">
        <f>+SUMIF('Input Sheet'!$AE:$AE,P4838,'Input Sheet'!$X:$X)</f>
        <v>0</v>
      </c>
      <c r="O4838" s="311"/>
      <c r="P4838" t="str">
        <f t="shared" si="398"/>
        <v>300-4110R</v>
      </c>
      <c r="Q4838" s="315" t="str">
        <f t="shared" si="399"/>
        <v>New Vehicle</v>
      </c>
      <c r="R4838" s="315" t="str">
        <f t="shared" si="400"/>
        <v>New VehicleOther Income per NV unit</v>
      </c>
      <c r="S4838" s="199"/>
      <c r="T4838" s="199"/>
      <c r="U4838" s="199"/>
    </row>
    <row r="4839" spans="1:21" x14ac:dyDescent="0.25">
      <c r="A4839" t="s">
        <v>996</v>
      </c>
      <c r="B4839" t="s">
        <v>997</v>
      </c>
      <c r="C4839" t="s">
        <v>997</v>
      </c>
      <c r="D4839" t="s">
        <v>1572</v>
      </c>
      <c r="E4839">
        <v>110</v>
      </c>
      <c r="F4839" t="s">
        <v>1287</v>
      </c>
      <c r="G4839" t="s">
        <v>1288</v>
      </c>
      <c r="H4839" s="315" t="s">
        <v>30</v>
      </c>
      <c r="I4839" s="315" t="s">
        <v>1016</v>
      </c>
      <c r="J4839" s="315" t="str">
        <f t="shared" si="396"/>
        <v>Used VehicleEx NV demonstrators gross profit p.u.</v>
      </c>
      <c r="K4839" s="315" t="str">
        <f t="shared" si="397"/>
        <v>110Ex-Toyota NV demonstrator Cost of Sales</v>
      </c>
      <c r="L4839" s="311">
        <f>+SUMIF('TUNZ Extracted TB'!M:M,$P4839,'TUNZ Extracted TB'!G:G)</f>
        <v>0</v>
      </c>
      <c r="M4839" s="311"/>
      <c r="N4839" s="311">
        <f>+SUMIF('Input Sheet'!$AE:$AE,P4839,'Input Sheet'!$X:$X)</f>
        <v>0</v>
      </c>
      <c r="O4839" s="311"/>
      <c r="P4839" t="str">
        <f t="shared" si="398"/>
        <v>110-4110R</v>
      </c>
      <c r="Q4839" s="315" t="str">
        <f t="shared" si="399"/>
        <v>Used Vehicle</v>
      </c>
      <c r="R4839" s="315" t="str">
        <f t="shared" si="400"/>
        <v>Used VehicleEx NV demonstrators gross profit p.u.</v>
      </c>
      <c r="S4839" s="199"/>
      <c r="T4839" s="199"/>
      <c r="U4839" s="199"/>
    </row>
    <row r="4840" spans="1:21" x14ac:dyDescent="0.25">
      <c r="A4840" t="s">
        <v>996</v>
      </c>
      <c r="B4840" t="s">
        <v>997</v>
      </c>
      <c r="C4840" t="s">
        <v>997</v>
      </c>
      <c r="D4840" t="s">
        <v>1573</v>
      </c>
      <c r="E4840">
        <v>100</v>
      </c>
      <c r="F4840" t="s">
        <v>1024</v>
      </c>
      <c r="G4840" t="s">
        <v>1027</v>
      </c>
      <c r="H4840" s="315" t="s">
        <v>29</v>
      </c>
      <c r="I4840" s="315" t="s">
        <v>1026</v>
      </c>
      <c r="J4840" s="315" t="str">
        <f t="shared" si="396"/>
        <v>New VehicleOther Income per NV unit</v>
      </c>
      <c r="K4840" s="315" t="str">
        <f t="shared" si="397"/>
        <v>100New Vehicle Other Income - Toyota</v>
      </c>
      <c r="L4840" s="311">
        <f>+SUMIF('TUNZ Extracted TB'!M:M,$P4840,'TUNZ Extracted TB'!G:G)</f>
        <v>0</v>
      </c>
      <c r="M4840" s="311"/>
      <c r="N4840" s="311">
        <f>+SUMIF('Input Sheet'!$AE:$AE,P4840,'Input Sheet'!$X:$X)</f>
        <v>0</v>
      </c>
      <c r="O4840" s="311"/>
      <c r="P4840" t="str">
        <f t="shared" si="398"/>
        <v>100-4110RR</v>
      </c>
      <c r="Q4840" s="315" t="str">
        <f t="shared" si="399"/>
        <v>New Vehicle</v>
      </c>
      <c r="R4840" s="315" t="str">
        <f t="shared" si="400"/>
        <v>New VehicleOther Income per NV unit</v>
      </c>
      <c r="S4840" s="199"/>
      <c r="T4840" s="199"/>
      <c r="U4840" s="199"/>
    </row>
    <row r="4841" spans="1:21" x14ac:dyDescent="0.25">
      <c r="A4841" t="s">
        <v>996</v>
      </c>
      <c r="B4841" t="s">
        <v>997</v>
      </c>
      <c r="C4841" t="s">
        <v>1005</v>
      </c>
      <c r="D4841" t="s">
        <v>1572</v>
      </c>
      <c r="E4841">
        <v>210</v>
      </c>
      <c r="F4841" t="s">
        <v>1287</v>
      </c>
      <c r="G4841" t="s">
        <v>1288</v>
      </c>
      <c r="H4841" s="315" t="s">
        <v>30</v>
      </c>
      <c r="I4841" s="315" t="s">
        <v>1016</v>
      </c>
      <c r="J4841" s="315" t="str">
        <f t="shared" si="396"/>
        <v>Used VehicleEx NV demonstrators gross profit p.u.</v>
      </c>
      <c r="K4841" s="315" t="str">
        <f t="shared" si="397"/>
        <v>210Ex-Toyota NV demonstrator Cost of Sales</v>
      </c>
      <c r="L4841" s="311">
        <f>+SUMIF('TUNZ Extracted TB'!M:M,$P4841,'TUNZ Extracted TB'!G:G)</f>
        <v>0</v>
      </c>
      <c r="M4841" s="311"/>
      <c r="N4841" s="311">
        <f>+SUMIF('Input Sheet'!$AE:$AE,P4841,'Input Sheet'!$X:$X)</f>
        <v>0</v>
      </c>
      <c r="O4841" s="311"/>
      <c r="P4841" t="str">
        <f t="shared" si="398"/>
        <v>210-4110R</v>
      </c>
      <c r="Q4841" s="315" t="str">
        <f t="shared" si="399"/>
        <v>Used Vehicle</v>
      </c>
      <c r="R4841" s="315" t="str">
        <f t="shared" si="400"/>
        <v>Used VehicleEx NV demonstrators gross profit p.u.</v>
      </c>
      <c r="S4841" s="199"/>
      <c r="T4841" s="199"/>
      <c r="U4841" s="199"/>
    </row>
    <row r="4842" spans="1:21" x14ac:dyDescent="0.25">
      <c r="A4842" t="s">
        <v>996</v>
      </c>
      <c r="B4842" t="s">
        <v>997</v>
      </c>
      <c r="C4842" t="s">
        <v>1012</v>
      </c>
      <c r="D4842" t="s">
        <v>1572</v>
      </c>
      <c r="E4842">
        <v>410</v>
      </c>
      <c r="F4842" t="s">
        <v>1287</v>
      </c>
      <c r="G4842" t="s">
        <v>1288</v>
      </c>
      <c r="H4842" s="315" t="s">
        <v>30</v>
      </c>
      <c r="I4842" s="315" t="s">
        <v>1016</v>
      </c>
      <c r="J4842" s="315" t="str">
        <f t="shared" si="396"/>
        <v>Used VehicleEx NV demonstrators gross profit p.u.</v>
      </c>
      <c r="K4842" s="315" t="str">
        <f t="shared" si="397"/>
        <v>410Ex-Toyota NV demonstrator Cost of Sales</v>
      </c>
      <c r="L4842" s="311">
        <f>+SUMIF('TUNZ Extracted TB'!M:M,$P4842,'TUNZ Extracted TB'!G:G)</f>
        <v>0</v>
      </c>
      <c r="M4842" s="311"/>
      <c r="N4842" s="311">
        <f>+SUMIF('Input Sheet'!$AE:$AE,P4842,'Input Sheet'!$X:$X)</f>
        <v>0</v>
      </c>
      <c r="O4842" s="311"/>
      <c r="P4842" t="str">
        <f t="shared" si="398"/>
        <v>410-4110R</v>
      </c>
      <c r="Q4842" s="315" t="str">
        <f t="shared" si="399"/>
        <v>Used Vehicle</v>
      </c>
      <c r="R4842" s="315" t="str">
        <f t="shared" si="400"/>
        <v>Used VehicleEx NV demonstrators gross profit p.u.</v>
      </c>
      <c r="S4842" s="199"/>
      <c r="T4842" s="199"/>
      <c r="U4842" s="199"/>
    </row>
    <row r="4843" spans="1:21" x14ac:dyDescent="0.25">
      <c r="A4843" t="s">
        <v>996</v>
      </c>
      <c r="B4843" t="s">
        <v>997</v>
      </c>
      <c r="C4843" t="s">
        <v>1013</v>
      </c>
      <c r="D4843" t="s">
        <v>1572</v>
      </c>
      <c r="E4843">
        <v>310</v>
      </c>
      <c r="F4843" t="s">
        <v>1287</v>
      </c>
      <c r="G4843" t="s">
        <v>1288</v>
      </c>
      <c r="H4843" s="315" t="s">
        <v>30</v>
      </c>
      <c r="I4843" s="315" t="s">
        <v>1016</v>
      </c>
      <c r="J4843" s="315" t="str">
        <f t="shared" si="396"/>
        <v>Used VehicleEx NV demonstrators gross profit p.u.</v>
      </c>
      <c r="K4843" s="315" t="str">
        <f t="shared" si="397"/>
        <v>310Ex-Toyota NV demonstrator Cost of Sales</v>
      </c>
      <c r="L4843" s="311">
        <f>+SUMIF('TUNZ Extracted TB'!M:M,$P4843,'TUNZ Extracted TB'!G:G)</f>
        <v>0</v>
      </c>
      <c r="M4843" s="311"/>
      <c r="N4843" s="311">
        <f>+SUMIF('Input Sheet'!$AE:$AE,P4843,'Input Sheet'!$X:$X)</f>
        <v>0</v>
      </c>
      <c r="O4843" s="311"/>
      <c r="P4843" t="str">
        <f t="shared" si="398"/>
        <v>310-4110R</v>
      </c>
      <c r="Q4843" s="315" t="str">
        <f t="shared" si="399"/>
        <v>Used Vehicle</v>
      </c>
      <c r="R4843" s="315" t="str">
        <f t="shared" si="400"/>
        <v>Used VehicleEx NV demonstrators gross profit p.u.</v>
      </c>
      <c r="S4843" s="199"/>
      <c r="T4843" s="199"/>
      <c r="U4843" s="199"/>
    </row>
    <row r="4844" spans="1:21" x14ac:dyDescent="0.25">
      <c r="A4844" t="s">
        <v>996</v>
      </c>
      <c r="B4844" t="s">
        <v>997</v>
      </c>
      <c r="C4844" t="s">
        <v>1005</v>
      </c>
      <c r="D4844" t="s">
        <v>1573</v>
      </c>
      <c r="E4844">
        <v>200</v>
      </c>
      <c r="F4844" t="s">
        <v>1024</v>
      </c>
      <c r="G4844" t="s">
        <v>1027</v>
      </c>
      <c r="H4844" s="315" t="s">
        <v>29</v>
      </c>
      <c r="I4844" s="315" t="s">
        <v>1026</v>
      </c>
      <c r="J4844" s="315" t="str">
        <f t="shared" si="396"/>
        <v>New VehicleOther Income per NV unit</v>
      </c>
      <c r="K4844" s="315" t="str">
        <f t="shared" si="397"/>
        <v>200New Vehicle Other Income - Toyota</v>
      </c>
      <c r="L4844" s="311">
        <f>+SUMIF('TUNZ Extracted TB'!M:M,$P4844,'TUNZ Extracted TB'!G:G)</f>
        <v>0</v>
      </c>
      <c r="M4844" s="311"/>
      <c r="N4844" s="311">
        <f>+SUMIF('Input Sheet'!$AE:$AE,P4844,'Input Sheet'!$X:$X)</f>
        <v>0</v>
      </c>
      <c r="O4844" s="311"/>
      <c r="P4844" t="str">
        <f t="shared" si="398"/>
        <v>200-4110RR</v>
      </c>
      <c r="Q4844" s="315" t="str">
        <f t="shared" si="399"/>
        <v>New Vehicle</v>
      </c>
      <c r="R4844" s="315" t="str">
        <f t="shared" si="400"/>
        <v>New VehicleOther Income per NV unit</v>
      </c>
      <c r="S4844" s="199"/>
      <c r="T4844" s="199"/>
      <c r="U4844" s="199"/>
    </row>
    <row r="4845" spans="1:21" x14ac:dyDescent="0.25">
      <c r="A4845" t="s">
        <v>996</v>
      </c>
      <c r="B4845" t="s">
        <v>997</v>
      </c>
      <c r="C4845" t="s">
        <v>1012</v>
      </c>
      <c r="D4845" t="s">
        <v>1573</v>
      </c>
      <c r="E4845">
        <v>400</v>
      </c>
      <c r="F4845" t="s">
        <v>1024</v>
      </c>
      <c r="G4845" t="s">
        <v>1027</v>
      </c>
      <c r="H4845" s="315" t="s">
        <v>29</v>
      </c>
      <c r="I4845" s="315" t="s">
        <v>1026</v>
      </c>
      <c r="J4845" s="315" t="str">
        <f t="shared" si="396"/>
        <v>New VehicleOther Income per NV unit</v>
      </c>
      <c r="K4845" s="315" t="str">
        <f t="shared" si="397"/>
        <v>400New Vehicle Other Income - Toyota</v>
      </c>
      <c r="L4845" s="311">
        <f>+SUMIF('TUNZ Extracted TB'!M:M,$P4845,'TUNZ Extracted TB'!G:G)</f>
        <v>0</v>
      </c>
      <c r="M4845" s="311"/>
      <c r="N4845" s="311">
        <f>+SUMIF('Input Sheet'!$AE:$AE,P4845,'Input Sheet'!$X:$X)</f>
        <v>0</v>
      </c>
      <c r="O4845" s="311"/>
      <c r="P4845" t="str">
        <f t="shared" si="398"/>
        <v>400-4110RR</v>
      </c>
      <c r="Q4845" s="315" t="str">
        <f t="shared" si="399"/>
        <v>New Vehicle</v>
      </c>
      <c r="R4845" s="315" t="str">
        <f t="shared" si="400"/>
        <v>New VehicleOther Income per NV unit</v>
      </c>
      <c r="S4845" s="199"/>
      <c r="T4845" s="199"/>
      <c r="U4845" s="199"/>
    </row>
    <row r="4846" spans="1:21" x14ac:dyDescent="0.25">
      <c r="A4846" t="s">
        <v>996</v>
      </c>
      <c r="B4846" t="s">
        <v>997</v>
      </c>
      <c r="C4846" t="s">
        <v>1013</v>
      </c>
      <c r="D4846" t="s">
        <v>1573</v>
      </c>
      <c r="E4846">
        <v>300</v>
      </c>
      <c r="F4846" t="s">
        <v>1024</v>
      </c>
      <c r="G4846" t="s">
        <v>1027</v>
      </c>
      <c r="H4846" s="315" t="s">
        <v>29</v>
      </c>
      <c r="I4846" s="315" t="s">
        <v>1026</v>
      </c>
      <c r="J4846" s="315" t="str">
        <f t="shared" si="396"/>
        <v>New VehicleOther Income per NV unit</v>
      </c>
      <c r="K4846" s="315" t="str">
        <f t="shared" si="397"/>
        <v>300New Vehicle Other Income - Toyota</v>
      </c>
      <c r="L4846" s="311">
        <f>+SUMIF('TUNZ Extracted TB'!M:M,$P4846,'TUNZ Extracted TB'!G:G)</f>
        <v>0</v>
      </c>
      <c r="M4846" s="311"/>
      <c r="N4846" s="311">
        <f>+SUMIF('Input Sheet'!$AE:$AE,P4846,'Input Sheet'!$X:$X)</f>
        <v>0</v>
      </c>
      <c r="O4846" s="311"/>
      <c r="P4846" t="str">
        <f t="shared" si="398"/>
        <v>300-4110RR</v>
      </c>
      <c r="Q4846" s="315" t="str">
        <f t="shared" si="399"/>
        <v>New Vehicle</v>
      </c>
      <c r="R4846" s="315" t="str">
        <f t="shared" si="400"/>
        <v>New VehicleOther Income per NV unit</v>
      </c>
      <c r="S4846" s="199"/>
      <c r="T4846" s="199"/>
      <c r="U4846" s="199"/>
    </row>
    <row r="4847" spans="1:21" x14ac:dyDescent="0.25">
      <c r="A4847" t="s">
        <v>996</v>
      </c>
      <c r="B4847" t="s">
        <v>997</v>
      </c>
      <c r="C4847" t="s">
        <v>997</v>
      </c>
      <c r="D4847" t="s">
        <v>1573</v>
      </c>
      <c r="E4847">
        <v>110</v>
      </c>
      <c r="F4847" t="s">
        <v>1287</v>
      </c>
      <c r="G4847" t="s">
        <v>1288</v>
      </c>
      <c r="H4847" s="315" t="s">
        <v>30</v>
      </c>
      <c r="I4847" s="315" t="s">
        <v>1016</v>
      </c>
      <c r="J4847" s="315" t="str">
        <f t="shared" si="396"/>
        <v>Used VehicleEx NV demonstrators gross profit p.u.</v>
      </c>
      <c r="K4847" s="315" t="str">
        <f t="shared" si="397"/>
        <v>110Ex-Toyota NV demonstrator Cost of Sales</v>
      </c>
      <c r="L4847" s="311">
        <f>+SUMIF('TUNZ Extracted TB'!M:M,$P4847,'TUNZ Extracted TB'!G:G)</f>
        <v>0</v>
      </c>
      <c r="M4847" s="311"/>
      <c r="N4847" s="311">
        <f>+SUMIF('Input Sheet'!$AE:$AE,P4847,'Input Sheet'!$X:$X)</f>
        <v>0</v>
      </c>
      <c r="O4847" s="311"/>
      <c r="P4847" t="str">
        <f t="shared" si="398"/>
        <v>110-4110RR</v>
      </c>
      <c r="Q4847" s="315" t="str">
        <f t="shared" si="399"/>
        <v>Used Vehicle</v>
      </c>
      <c r="R4847" s="315" t="str">
        <f t="shared" si="400"/>
        <v>Used VehicleEx NV demonstrators gross profit p.u.</v>
      </c>
      <c r="S4847" s="199"/>
      <c r="T4847" s="199"/>
      <c r="U4847" s="199"/>
    </row>
    <row r="4848" spans="1:21" x14ac:dyDescent="0.25">
      <c r="A4848" t="s">
        <v>996</v>
      </c>
      <c r="B4848" t="s">
        <v>997</v>
      </c>
      <c r="C4848" t="s">
        <v>997</v>
      </c>
      <c r="D4848" t="s">
        <v>1574</v>
      </c>
      <c r="E4848">
        <v>100</v>
      </c>
      <c r="F4848" t="s">
        <v>1024</v>
      </c>
      <c r="G4848" t="s">
        <v>1027</v>
      </c>
      <c r="H4848" s="315" t="s">
        <v>29</v>
      </c>
      <c r="I4848" s="315" t="s">
        <v>1026</v>
      </c>
      <c r="J4848" s="315" t="str">
        <f t="shared" si="396"/>
        <v>New VehicleOther Income per NV unit</v>
      </c>
      <c r="K4848" s="315" t="str">
        <f t="shared" si="397"/>
        <v>100New Vehicle Other Income - Toyota</v>
      </c>
      <c r="L4848" s="311">
        <f>+SUMIF('TUNZ Extracted TB'!M:M,$P4848,'TUNZ Extracted TB'!G:G)</f>
        <v>0</v>
      </c>
      <c r="M4848" s="311"/>
      <c r="N4848" s="311">
        <f>+SUMIF('Input Sheet'!$AE:$AE,P4848,'Input Sheet'!$X:$X)</f>
        <v>0</v>
      </c>
      <c r="O4848" s="311"/>
      <c r="P4848" t="str">
        <f t="shared" si="398"/>
        <v>100-4115R</v>
      </c>
      <c r="Q4848" s="315" t="str">
        <f t="shared" si="399"/>
        <v>New Vehicle</v>
      </c>
      <c r="R4848" s="315" t="str">
        <f t="shared" si="400"/>
        <v>New VehicleOther Income per NV unit</v>
      </c>
      <c r="S4848" s="199"/>
      <c r="T4848" s="199"/>
      <c r="U4848" s="199"/>
    </row>
    <row r="4849" spans="1:21" x14ac:dyDescent="0.25">
      <c r="A4849" t="s">
        <v>996</v>
      </c>
      <c r="B4849" t="s">
        <v>997</v>
      </c>
      <c r="C4849" t="s">
        <v>1005</v>
      </c>
      <c r="D4849" t="s">
        <v>1573</v>
      </c>
      <c r="E4849">
        <v>210</v>
      </c>
      <c r="F4849" t="s">
        <v>1287</v>
      </c>
      <c r="G4849" t="s">
        <v>1288</v>
      </c>
      <c r="H4849" s="315" t="s">
        <v>30</v>
      </c>
      <c r="I4849" s="315" t="s">
        <v>1016</v>
      </c>
      <c r="J4849" s="315" t="str">
        <f t="shared" si="396"/>
        <v>Used VehicleEx NV demonstrators gross profit p.u.</v>
      </c>
      <c r="K4849" s="315" t="str">
        <f t="shared" si="397"/>
        <v>210Ex-Toyota NV demonstrator Cost of Sales</v>
      </c>
      <c r="L4849" s="311">
        <f>+SUMIF('TUNZ Extracted TB'!M:M,$P4849,'TUNZ Extracted TB'!G:G)</f>
        <v>0</v>
      </c>
      <c r="M4849" s="311"/>
      <c r="N4849" s="311">
        <f>+SUMIF('Input Sheet'!$AE:$AE,P4849,'Input Sheet'!$X:$X)</f>
        <v>0</v>
      </c>
      <c r="O4849" s="311"/>
      <c r="P4849" t="str">
        <f t="shared" si="398"/>
        <v>210-4110RR</v>
      </c>
      <c r="Q4849" s="315" t="str">
        <f t="shared" si="399"/>
        <v>Used Vehicle</v>
      </c>
      <c r="R4849" s="315" t="str">
        <f t="shared" si="400"/>
        <v>Used VehicleEx NV demonstrators gross profit p.u.</v>
      </c>
      <c r="S4849" s="199"/>
      <c r="T4849" s="199"/>
      <c r="U4849" s="199"/>
    </row>
    <row r="4850" spans="1:21" x14ac:dyDescent="0.25">
      <c r="A4850" t="s">
        <v>996</v>
      </c>
      <c r="B4850" t="s">
        <v>997</v>
      </c>
      <c r="C4850" t="s">
        <v>1012</v>
      </c>
      <c r="D4850" t="s">
        <v>1573</v>
      </c>
      <c r="E4850">
        <v>410</v>
      </c>
      <c r="F4850" t="s">
        <v>1287</v>
      </c>
      <c r="G4850" t="s">
        <v>1288</v>
      </c>
      <c r="H4850" s="315" t="s">
        <v>30</v>
      </c>
      <c r="I4850" s="315" t="s">
        <v>1016</v>
      </c>
      <c r="J4850" s="315" t="str">
        <f t="shared" si="396"/>
        <v>Used VehicleEx NV demonstrators gross profit p.u.</v>
      </c>
      <c r="K4850" s="315" t="str">
        <f t="shared" si="397"/>
        <v>410Ex-Toyota NV demonstrator Cost of Sales</v>
      </c>
      <c r="L4850" s="311">
        <f>+SUMIF('TUNZ Extracted TB'!M:M,$P4850,'TUNZ Extracted TB'!G:G)</f>
        <v>0</v>
      </c>
      <c r="M4850" s="311"/>
      <c r="N4850" s="311">
        <f>+SUMIF('Input Sheet'!$AE:$AE,P4850,'Input Sheet'!$X:$X)</f>
        <v>0</v>
      </c>
      <c r="O4850" s="311"/>
      <c r="P4850" t="str">
        <f t="shared" si="398"/>
        <v>410-4110RR</v>
      </c>
      <c r="Q4850" s="315" t="str">
        <f t="shared" si="399"/>
        <v>Used Vehicle</v>
      </c>
      <c r="R4850" s="315" t="str">
        <f t="shared" si="400"/>
        <v>Used VehicleEx NV demonstrators gross profit p.u.</v>
      </c>
      <c r="S4850" s="199"/>
      <c r="T4850" s="199"/>
      <c r="U4850" s="199"/>
    </row>
    <row r="4851" spans="1:21" x14ac:dyDescent="0.25">
      <c r="A4851" t="s">
        <v>996</v>
      </c>
      <c r="B4851" t="s">
        <v>997</v>
      </c>
      <c r="C4851" t="s">
        <v>1013</v>
      </c>
      <c r="D4851" t="s">
        <v>1573</v>
      </c>
      <c r="E4851">
        <v>310</v>
      </c>
      <c r="F4851" t="s">
        <v>1287</v>
      </c>
      <c r="G4851" t="s">
        <v>1288</v>
      </c>
      <c r="H4851" s="315" t="s">
        <v>30</v>
      </c>
      <c r="I4851" s="315" t="s">
        <v>1016</v>
      </c>
      <c r="J4851" s="315" t="str">
        <f t="shared" si="396"/>
        <v>Used VehicleEx NV demonstrators gross profit p.u.</v>
      </c>
      <c r="K4851" s="315" t="str">
        <f t="shared" si="397"/>
        <v>310Ex-Toyota NV demonstrator Cost of Sales</v>
      </c>
      <c r="L4851" s="311">
        <f>+SUMIF('TUNZ Extracted TB'!M:M,$P4851,'TUNZ Extracted TB'!G:G)</f>
        <v>0</v>
      </c>
      <c r="M4851" s="311"/>
      <c r="N4851" s="311">
        <f>+SUMIF('Input Sheet'!$AE:$AE,P4851,'Input Sheet'!$X:$X)</f>
        <v>0</v>
      </c>
      <c r="O4851" s="311"/>
      <c r="P4851" t="str">
        <f t="shared" si="398"/>
        <v>310-4110RR</v>
      </c>
      <c r="Q4851" s="315" t="str">
        <f t="shared" si="399"/>
        <v>Used Vehicle</v>
      </c>
      <c r="R4851" s="315" t="str">
        <f t="shared" si="400"/>
        <v>Used VehicleEx NV demonstrators gross profit p.u.</v>
      </c>
      <c r="S4851" s="199"/>
      <c r="T4851" s="199"/>
      <c r="U4851" s="199"/>
    </row>
    <row r="4852" spans="1:21" x14ac:dyDescent="0.25">
      <c r="A4852" t="s">
        <v>996</v>
      </c>
      <c r="B4852" t="s">
        <v>997</v>
      </c>
      <c r="C4852" t="s">
        <v>1005</v>
      </c>
      <c r="D4852" t="s">
        <v>1574</v>
      </c>
      <c r="E4852">
        <v>200</v>
      </c>
      <c r="F4852" t="s">
        <v>1024</v>
      </c>
      <c r="G4852" t="s">
        <v>1027</v>
      </c>
      <c r="H4852" s="315" t="s">
        <v>29</v>
      </c>
      <c r="I4852" s="315" t="s">
        <v>1026</v>
      </c>
      <c r="J4852" s="315" t="str">
        <f t="shared" si="396"/>
        <v>New VehicleOther Income per NV unit</v>
      </c>
      <c r="K4852" s="315" t="str">
        <f t="shared" si="397"/>
        <v>200New Vehicle Other Income - Toyota</v>
      </c>
      <c r="L4852" s="311">
        <f>+SUMIF('TUNZ Extracted TB'!M:M,$P4852,'TUNZ Extracted TB'!G:G)</f>
        <v>0</v>
      </c>
      <c r="M4852" s="311"/>
      <c r="N4852" s="311">
        <f>+SUMIF('Input Sheet'!$AE:$AE,P4852,'Input Sheet'!$X:$X)</f>
        <v>0</v>
      </c>
      <c r="O4852" s="311"/>
      <c r="P4852" t="str">
        <f t="shared" si="398"/>
        <v>200-4115R</v>
      </c>
      <c r="Q4852" s="315" t="str">
        <f t="shared" si="399"/>
        <v>New Vehicle</v>
      </c>
      <c r="R4852" s="315" t="str">
        <f t="shared" si="400"/>
        <v>New VehicleOther Income per NV unit</v>
      </c>
      <c r="S4852" s="199"/>
      <c r="T4852" s="199"/>
      <c r="U4852" s="199"/>
    </row>
    <row r="4853" spans="1:21" x14ac:dyDescent="0.25">
      <c r="A4853" t="s">
        <v>996</v>
      </c>
      <c r="B4853" t="s">
        <v>997</v>
      </c>
      <c r="C4853" t="s">
        <v>1012</v>
      </c>
      <c r="D4853" t="s">
        <v>1574</v>
      </c>
      <c r="E4853">
        <v>400</v>
      </c>
      <c r="F4853" t="s">
        <v>1024</v>
      </c>
      <c r="G4853" t="s">
        <v>1027</v>
      </c>
      <c r="H4853" s="315" t="s">
        <v>29</v>
      </c>
      <c r="I4853" s="315" t="s">
        <v>1026</v>
      </c>
      <c r="J4853" s="315" t="str">
        <f t="shared" si="396"/>
        <v>New VehicleOther Income per NV unit</v>
      </c>
      <c r="K4853" s="315" t="str">
        <f t="shared" si="397"/>
        <v>400New Vehicle Other Income - Toyota</v>
      </c>
      <c r="L4853" s="311">
        <f>+SUMIF('TUNZ Extracted TB'!M:M,$P4853,'TUNZ Extracted TB'!G:G)</f>
        <v>0</v>
      </c>
      <c r="M4853" s="311"/>
      <c r="N4853" s="311">
        <f>+SUMIF('Input Sheet'!$AE:$AE,P4853,'Input Sheet'!$X:$X)</f>
        <v>0</v>
      </c>
      <c r="O4853" s="311"/>
      <c r="P4853" t="str">
        <f t="shared" si="398"/>
        <v>400-4115R</v>
      </c>
      <c r="Q4853" s="315" t="str">
        <f t="shared" si="399"/>
        <v>New Vehicle</v>
      </c>
      <c r="R4853" s="315" t="str">
        <f t="shared" si="400"/>
        <v>New VehicleOther Income per NV unit</v>
      </c>
      <c r="S4853" s="199"/>
      <c r="T4853" s="199"/>
      <c r="U4853" s="199"/>
    </row>
    <row r="4854" spans="1:21" x14ac:dyDescent="0.25">
      <c r="A4854" t="s">
        <v>996</v>
      </c>
      <c r="B4854" t="s">
        <v>997</v>
      </c>
      <c r="C4854" t="s">
        <v>1013</v>
      </c>
      <c r="D4854" t="s">
        <v>1574</v>
      </c>
      <c r="E4854">
        <v>300</v>
      </c>
      <c r="F4854" t="s">
        <v>1024</v>
      </c>
      <c r="G4854" t="s">
        <v>1027</v>
      </c>
      <c r="H4854" s="315" t="s">
        <v>29</v>
      </c>
      <c r="I4854" s="315" t="s">
        <v>1026</v>
      </c>
      <c r="J4854" s="315" t="str">
        <f t="shared" si="396"/>
        <v>New VehicleOther Income per NV unit</v>
      </c>
      <c r="K4854" s="315" t="str">
        <f t="shared" si="397"/>
        <v>300New Vehicle Other Income - Toyota</v>
      </c>
      <c r="L4854" s="311">
        <f>+SUMIF('TUNZ Extracted TB'!M:M,$P4854,'TUNZ Extracted TB'!G:G)</f>
        <v>0</v>
      </c>
      <c r="M4854" s="311"/>
      <c r="N4854" s="311">
        <f>+SUMIF('Input Sheet'!$AE:$AE,P4854,'Input Sheet'!$X:$X)</f>
        <v>0</v>
      </c>
      <c r="O4854" s="311"/>
      <c r="P4854" t="str">
        <f t="shared" si="398"/>
        <v>300-4115R</v>
      </c>
      <c r="Q4854" s="315" t="str">
        <f t="shared" si="399"/>
        <v>New Vehicle</v>
      </c>
      <c r="R4854" s="315" t="str">
        <f t="shared" si="400"/>
        <v>New VehicleOther Income per NV unit</v>
      </c>
      <c r="S4854" s="199"/>
      <c r="T4854" s="199"/>
      <c r="U4854" s="199"/>
    </row>
    <row r="4855" spans="1:21" x14ac:dyDescent="0.25">
      <c r="A4855" t="s">
        <v>996</v>
      </c>
      <c r="B4855" t="s">
        <v>997</v>
      </c>
      <c r="C4855" t="s">
        <v>997</v>
      </c>
      <c r="D4855" t="s">
        <v>1574</v>
      </c>
      <c r="E4855">
        <v>110</v>
      </c>
      <c r="F4855" t="s">
        <v>1287</v>
      </c>
      <c r="G4855" t="s">
        <v>1288</v>
      </c>
      <c r="H4855" s="315" t="s">
        <v>30</v>
      </c>
      <c r="I4855" s="315" t="s">
        <v>1016</v>
      </c>
      <c r="J4855" s="315" t="str">
        <f t="shared" si="396"/>
        <v>Used VehicleEx NV demonstrators gross profit p.u.</v>
      </c>
      <c r="K4855" s="315" t="str">
        <f t="shared" si="397"/>
        <v>110Ex-Toyota NV demonstrator Cost of Sales</v>
      </c>
      <c r="L4855" s="311">
        <f>+SUMIF('TUNZ Extracted TB'!M:M,$P4855,'TUNZ Extracted TB'!G:G)</f>
        <v>0</v>
      </c>
      <c r="M4855" s="311"/>
      <c r="N4855" s="311">
        <f>+SUMIF('Input Sheet'!$AE:$AE,P4855,'Input Sheet'!$X:$X)</f>
        <v>0</v>
      </c>
      <c r="O4855" s="311"/>
      <c r="P4855" t="str">
        <f t="shared" si="398"/>
        <v>110-4115R</v>
      </c>
      <c r="Q4855" s="315" t="str">
        <f t="shared" si="399"/>
        <v>Used Vehicle</v>
      </c>
      <c r="R4855" s="315" t="str">
        <f t="shared" si="400"/>
        <v>Used VehicleEx NV demonstrators gross profit p.u.</v>
      </c>
      <c r="S4855" s="199"/>
      <c r="T4855" s="199"/>
      <c r="U4855" s="199"/>
    </row>
    <row r="4856" spans="1:21" x14ac:dyDescent="0.25">
      <c r="A4856" t="s">
        <v>996</v>
      </c>
      <c r="B4856" t="s">
        <v>997</v>
      </c>
      <c r="C4856" t="s">
        <v>997</v>
      </c>
      <c r="D4856" t="s">
        <v>1575</v>
      </c>
      <c r="E4856">
        <v>100</v>
      </c>
      <c r="F4856" t="s">
        <v>1024</v>
      </c>
      <c r="G4856" t="s">
        <v>1027</v>
      </c>
      <c r="H4856" s="315" t="s">
        <v>29</v>
      </c>
      <c r="I4856" s="315" t="s">
        <v>1026</v>
      </c>
      <c r="J4856" s="315" t="str">
        <f t="shared" si="396"/>
        <v>New VehicleOther Income per NV unit</v>
      </c>
      <c r="K4856" s="315" t="str">
        <f t="shared" si="397"/>
        <v>100New Vehicle Other Income - Toyota</v>
      </c>
      <c r="L4856" s="311">
        <f>+SUMIF('TUNZ Extracted TB'!M:M,$P4856,'TUNZ Extracted TB'!G:G)</f>
        <v>0</v>
      </c>
      <c r="M4856" s="311"/>
      <c r="N4856" s="311">
        <f>+SUMIF('Input Sheet'!$AE:$AE,P4856,'Input Sheet'!$X:$X)</f>
        <v>0</v>
      </c>
      <c r="O4856" s="311"/>
      <c r="P4856" t="str">
        <f t="shared" si="398"/>
        <v>100-4115RR</v>
      </c>
      <c r="Q4856" s="315" t="str">
        <f t="shared" si="399"/>
        <v>New Vehicle</v>
      </c>
      <c r="R4856" s="315" t="str">
        <f t="shared" si="400"/>
        <v>New VehicleOther Income per NV unit</v>
      </c>
      <c r="S4856" s="199"/>
      <c r="T4856" s="199"/>
      <c r="U4856" s="199"/>
    </row>
    <row r="4857" spans="1:21" x14ac:dyDescent="0.25">
      <c r="A4857" t="s">
        <v>996</v>
      </c>
      <c r="B4857" t="s">
        <v>997</v>
      </c>
      <c r="C4857" t="s">
        <v>1005</v>
      </c>
      <c r="D4857" t="s">
        <v>1574</v>
      </c>
      <c r="E4857">
        <v>210</v>
      </c>
      <c r="F4857" t="s">
        <v>1287</v>
      </c>
      <c r="G4857" t="s">
        <v>1288</v>
      </c>
      <c r="H4857" s="315" t="s">
        <v>30</v>
      </c>
      <c r="I4857" s="315" t="s">
        <v>1016</v>
      </c>
      <c r="J4857" s="315" t="str">
        <f t="shared" si="396"/>
        <v>Used VehicleEx NV demonstrators gross profit p.u.</v>
      </c>
      <c r="K4857" s="315" t="str">
        <f t="shared" si="397"/>
        <v>210Ex-Toyota NV demonstrator Cost of Sales</v>
      </c>
      <c r="L4857" s="311">
        <f>+SUMIF('TUNZ Extracted TB'!M:M,$P4857,'TUNZ Extracted TB'!G:G)</f>
        <v>0</v>
      </c>
      <c r="M4857" s="311"/>
      <c r="N4857" s="311">
        <f>+SUMIF('Input Sheet'!$AE:$AE,P4857,'Input Sheet'!$X:$X)</f>
        <v>0</v>
      </c>
      <c r="O4857" s="311"/>
      <c r="P4857" t="str">
        <f t="shared" si="398"/>
        <v>210-4115R</v>
      </c>
      <c r="Q4857" s="315" t="str">
        <f t="shared" si="399"/>
        <v>Used Vehicle</v>
      </c>
      <c r="R4857" s="315" t="str">
        <f t="shared" si="400"/>
        <v>Used VehicleEx NV demonstrators gross profit p.u.</v>
      </c>
      <c r="S4857" s="199"/>
      <c r="T4857" s="199"/>
      <c r="U4857" s="199"/>
    </row>
    <row r="4858" spans="1:21" x14ac:dyDescent="0.25">
      <c r="A4858" t="s">
        <v>996</v>
      </c>
      <c r="B4858" t="s">
        <v>997</v>
      </c>
      <c r="C4858" t="s">
        <v>1012</v>
      </c>
      <c r="D4858" t="s">
        <v>1574</v>
      </c>
      <c r="E4858">
        <v>410</v>
      </c>
      <c r="F4858" t="s">
        <v>1287</v>
      </c>
      <c r="G4858" t="s">
        <v>1288</v>
      </c>
      <c r="H4858" s="315" t="s">
        <v>30</v>
      </c>
      <c r="I4858" s="315" t="s">
        <v>1016</v>
      </c>
      <c r="J4858" s="315" t="str">
        <f t="shared" si="396"/>
        <v>Used VehicleEx NV demonstrators gross profit p.u.</v>
      </c>
      <c r="K4858" s="315" t="str">
        <f t="shared" si="397"/>
        <v>410Ex-Toyota NV demonstrator Cost of Sales</v>
      </c>
      <c r="L4858" s="311">
        <f>+SUMIF('TUNZ Extracted TB'!M:M,$P4858,'TUNZ Extracted TB'!G:G)</f>
        <v>0</v>
      </c>
      <c r="M4858" s="311"/>
      <c r="N4858" s="311">
        <f>+SUMIF('Input Sheet'!$AE:$AE,P4858,'Input Sheet'!$X:$X)</f>
        <v>0</v>
      </c>
      <c r="O4858" s="311"/>
      <c r="P4858" t="str">
        <f t="shared" si="398"/>
        <v>410-4115R</v>
      </c>
      <c r="Q4858" s="315" t="str">
        <f t="shared" si="399"/>
        <v>Used Vehicle</v>
      </c>
      <c r="R4858" s="315" t="str">
        <f t="shared" si="400"/>
        <v>Used VehicleEx NV demonstrators gross profit p.u.</v>
      </c>
      <c r="S4858" s="199"/>
      <c r="T4858" s="199"/>
      <c r="U4858" s="199"/>
    </row>
    <row r="4859" spans="1:21" x14ac:dyDescent="0.25">
      <c r="A4859" t="s">
        <v>996</v>
      </c>
      <c r="B4859" t="s">
        <v>997</v>
      </c>
      <c r="C4859" t="s">
        <v>1013</v>
      </c>
      <c r="D4859" t="s">
        <v>1574</v>
      </c>
      <c r="E4859">
        <v>310</v>
      </c>
      <c r="F4859" t="s">
        <v>1287</v>
      </c>
      <c r="G4859" t="s">
        <v>1288</v>
      </c>
      <c r="H4859" s="315" t="s">
        <v>30</v>
      </c>
      <c r="I4859" s="315" t="s">
        <v>1016</v>
      </c>
      <c r="J4859" s="315" t="str">
        <f t="shared" si="396"/>
        <v>Used VehicleEx NV demonstrators gross profit p.u.</v>
      </c>
      <c r="K4859" s="315" t="str">
        <f t="shared" si="397"/>
        <v>310Ex-Toyota NV demonstrator Cost of Sales</v>
      </c>
      <c r="L4859" s="311">
        <f>+SUMIF('TUNZ Extracted TB'!M:M,$P4859,'TUNZ Extracted TB'!G:G)</f>
        <v>0</v>
      </c>
      <c r="M4859" s="311"/>
      <c r="N4859" s="311">
        <f>+SUMIF('Input Sheet'!$AE:$AE,P4859,'Input Sheet'!$X:$X)</f>
        <v>0</v>
      </c>
      <c r="O4859" s="311"/>
      <c r="P4859" t="str">
        <f t="shared" si="398"/>
        <v>310-4115R</v>
      </c>
      <c r="Q4859" s="315" t="str">
        <f t="shared" si="399"/>
        <v>Used Vehicle</v>
      </c>
      <c r="R4859" s="315" t="str">
        <f t="shared" si="400"/>
        <v>Used VehicleEx NV demonstrators gross profit p.u.</v>
      </c>
      <c r="S4859" s="199"/>
      <c r="T4859" s="199"/>
      <c r="U4859" s="199"/>
    </row>
    <row r="4860" spans="1:21" x14ac:dyDescent="0.25">
      <c r="A4860" t="s">
        <v>996</v>
      </c>
      <c r="B4860" t="s">
        <v>997</v>
      </c>
      <c r="C4860" t="s">
        <v>1005</v>
      </c>
      <c r="D4860" t="s">
        <v>1575</v>
      </c>
      <c r="E4860">
        <v>200</v>
      </c>
      <c r="F4860" t="s">
        <v>1024</v>
      </c>
      <c r="G4860" t="s">
        <v>1027</v>
      </c>
      <c r="H4860" s="315" t="s">
        <v>29</v>
      </c>
      <c r="I4860" s="315" t="s">
        <v>1026</v>
      </c>
      <c r="J4860" s="315" t="str">
        <f t="shared" si="396"/>
        <v>New VehicleOther Income per NV unit</v>
      </c>
      <c r="K4860" s="315" t="str">
        <f t="shared" si="397"/>
        <v>200New Vehicle Other Income - Toyota</v>
      </c>
      <c r="L4860" s="311">
        <f>+SUMIF('TUNZ Extracted TB'!M:M,$P4860,'TUNZ Extracted TB'!G:G)</f>
        <v>0</v>
      </c>
      <c r="M4860" s="311"/>
      <c r="N4860" s="311">
        <f>+SUMIF('Input Sheet'!$AE:$AE,P4860,'Input Sheet'!$X:$X)</f>
        <v>0</v>
      </c>
      <c r="O4860" s="311"/>
      <c r="P4860" t="str">
        <f t="shared" si="398"/>
        <v>200-4115RR</v>
      </c>
      <c r="Q4860" s="315" t="str">
        <f t="shared" si="399"/>
        <v>New Vehicle</v>
      </c>
      <c r="R4860" s="315" t="str">
        <f t="shared" si="400"/>
        <v>New VehicleOther Income per NV unit</v>
      </c>
      <c r="S4860" s="199"/>
      <c r="T4860" s="199"/>
      <c r="U4860" s="199"/>
    </row>
    <row r="4861" spans="1:21" x14ac:dyDescent="0.25">
      <c r="A4861" t="s">
        <v>996</v>
      </c>
      <c r="B4861" t="s">
        <v>997</v>
      </c>
      <c r="C4861" t="s">
        <v>1012</v>
      </c>
      <c r="D4861" t="s">
        <v>1575</v>
      </c>
      <c r="E4861">
        <v>400</v>
      </c>
      <c r="F4861" t="s">
        <v>1024</v>
      </c>
      <c r="G4861" t="s">
        <v>1027</v>
      </c>
      <c r="H4861" s="315" t="s">
        <v>29</v>
      </c>
      <c r="I4861" s="315" t="s">
        <v>1026</v>
      </c>
      <c r="J4861" s="315" t="str">
        <f t="shared" si="396"/>
        <v>New VehicleOther Income per NV unit</v>
      </c>
      <c r="K4861" s="315" t="str">
        <f t="shared" si="397"/>
        <v>400New Vehicle Other Income - Toyota</v>
      </c>
      <c r="L4861" s="311">
        <f>+SUMIF('TUNZ Extracted TB'!M:M,$P4861,'TUNZ Extracted TB'!G:G)</f>
        <v>0</v>
      </c>
      <c r="M4861" s="311"/>
      <c r="N4861" s="311">
        <f>+SUMIF('Input Sheet'!$AE:$AE,P4861,'Input Sheet'!$X:$X)</f>
        <v>0</v>
      </c>
      <c r="O4861" s="311"/>
      <c r="P4861" t="str">
        <f t="shared" si="398"/>
        <v>400-4115RR</v>
      </c>
      <c r="Q4861" s="315" t="str">
        <f t="shared" si="399"/>
        <v>New Vehicle</v>
      </c>
      <c r="R4861" s="315" t="str">
        <f t="shared" si="400"/>
        <v>New VehicleOther Income per NV unit</v>
      </c>
      <c r="S4861" s="199"/>
      <c r="T4861" s="199"/>
      <c r="U4861" s="199"/>
    </row>
    <row r="4862" spans="1:21" x14ac:dyDescent="0.25">
      <c r="A4862" t="s">
        <v>996</v>
      </c>
      <c r="B4862" t="s">
        <v>997</v>
      </c>
      <c r="C4862" t="s">
        <v>1013</v>
      </c>
      <c r="D4862" t="s">
        <v>1575</v>
      </c>
      <c r="E4862">
        <v>300</v>
      </c>
      <c r="F4862" t="s">
        <v>1024</v>
      </c>
      <c r="G4862" t="s">
        <v>1027</v>
      </c>
      <c r="H4862" s="315" t="s">
        <v>29</v>
      </c>
      <c r="I4862" s="315" t="s">
        <v>1026</v>
      </c>
      <c r="J4862" s="315" t="str">
        <f t="shared" si="396"/>
        <v>New VehicleOther Income per NV unit</v>
      </c>
      <c r="K4862" s="315" t="str">
        <f t="shared" si="397"/>
        <v>300New Vehicle Other Income - Toyota</v>
      </c>
      <c r="L4862" s="311">
        <f>+SUMIF('TUNZ Extracted TB'!M:M,$P4862,'TUNZ Extracted TB'!G:G)</f>
        <v>0</v>
      </c>
      <c r="M4862" s="311"/>
      <c r="N4862" s="311">
        <f>+SUMIF('Input Sheet'!$AE:$AE,P4862,'Input Sheet'!$X:$X)</f>
        <v>0</v>
      </c>
      <c r="O4862" s="311"/>
      <c r="P4862" t="str">
        <f t="shared" si="398"/>
        <v>300-4115RR</v>
      </c>
      <c r="Q4862" s="315" t="str">
        <f t="shared" si="399"/>
        <v>New Vehicle</v>
      </c>
      <c r="R4862" s="315" t="str">
        <f t="shared" si="400"/>
        <v>New VehicleOther Income per NV unit</v>
      </c>
      <c r="S4862" s="199"/>
      <c r="T4862" s="199"/>
      <c r="U4862" s="199"/>
    </row>
    <row r="4863" spans="1:21" x14ac:dyDescent="0.25">
      <c r="A4863" t="s">
        <v>996</v>
      </c>
      <c r="B4863" t="s">
        <v>997</v>
      </c>
      <c r="C4863" t="s">
        <v>997</v>
      </c>
      <c r="D4863" t="s">
        <v>1575</v>
      </c>
      <c r="E4863">
        <v>110</v>
      </c>
      <c r="F4863" t="s">
        <v>1287</v>
      </c>
      <c r="G4863" t="s">
        <v>1288</v>
      </c>
      <c r="H4863" s="315" t="s">
        <v>30</v>
      </c>
      <c r="I4863" s="315" t="s">
        <v>1016</v>
      </c>
      <c r="J4863" s="315" t="str">
        <f t="shared" si="396"/>
        <v>Used VehicleEx NV demonstrators gross profit p.u.</v>
      </c>
      <c r="K4863" s="315" t="str">
        <f t="shared" si="397"/>
        <v>110Ex-Toyota NV demonstrator Cost of Sales</v>
      </c>
      <c r="L4863" s="311">
        <f>+SUMIF('TUNZ Extracted TB'!M:M,$P4863,'TUNZ Extracted TB'!G:G)</f>
        <v>0</v>
      </c>
      <c r="M4863" s="311"/>
      <c r="N4863" s="311">
        <f>+SUMIF('Input Sheet'!$AE:$AE,P4863,'Input Sheet'!$X:$X)</f>
        <v>0</v>
      </c>
      <c r="O4863" s="311"/>
      <c r="P4863" t="str">
        <f t="shared" si="398"/>
        <v>110-4115RR</v>
      </c>
      <c r="Q4863" s="315" t="str">
        <f t="shared" si="399"/>
        <v>Used Vehicle</v>
      </c>
      <c r="R4863" s="315" t="str">
        <f t="shared" si="400"/>
        <v>Used VehicleEx NV demonstrators gross profit p.u.</v>
      </c>
      <c r="S4863" s="199"/>
      <c r="T4863" s="199"/>
      <c r="U4863" s="199"/>
    </row>
    <row r="4864" spans="1:21" x14ac:dyDescent="0.25">
      <c r="A4864" t="s">
        <v>996</v>
      </c>
      <c r="B4864" t="s">
        <v>997</v>
      </c>
      <c r="C4864" t="s">
        <v>997</v>
      </c>
      <c r="D4864" t="s">
        <v>881</v>
      </c>
      <c r="E4864">
        <v>100</v>
      </c>
      <c r="F4864" t="s">
        <v>1024</v>
      </c>
      <c r="G4864" t="s">
        <v>1027</v>
      </c>
      <c r="H4864" s="315" t="s">
        <v>29</v>
      </c>
      <c r="I4864" s="315" t="s">
        <v>1026</v>
      </c>
      <c r="J4864" s="315" t="str">
        <f t="shared" si="396"/>
        <v>New VehicleOther Income per NV unit</v>
      </c>
      <c r="K4864" s="315" t="str">
        <f t="shared" si="397"/>
        <v>100New Vehicle Other Income - Toyota</v>
      </c>
      <c r="L4864" s="311">
        <f>+SUMIF('TUNZ Extracted TB'!M:M,$P4864,'TUNZ Extracted TB'!G:G)</f>
        <v>0</v>
      </c>
      <c r="M4864" s="311"/>
      <c r="N4864" s="311">
        <f>+SUMIF('Input Sheet'!$AE:$AE,P4864,'Input Sheet'!$X:$X)</f>
        <v>0</v>
      </c>
      <c r="O4864" s="311"/>
      <c r="P4864" t="str">
        <f t="shared" si="398"/>
        <v>100-4125R</v>
      </c>
      <c r="Q4864" s="315" t="str">
        <f t="shared" si="399"/>
        <v>New Vehicle</v>
      </c>
      <c r="R4864" s="315" t="str">
        <f t="shared" si="400"/>
        <v>New VehicleOther Income per NV unit</v>
      </c>
      <c r="S4864" s="199"/>
      <c r="T4864" s="199"/>
      <c r="U4864" s="199"/>
    </row>
    <row r="4865" spans="1:21" x14ac:dyDescent="0.25">
      <c r="A4865" t="s">
        <v>996</v>
      </c>
      <c r="B4865" t="s">
        <v>997</v>
      </c>
      <c r="C4865" t="s">
        <v>1005</v>
      </c>
      <c r="D4865" t="s">
        <v>1575</v>
      </c>
      <c r="E4865">
        <v>210</v>
      </c>
      <c r="F4865" t="s">
        <v>1287</v>
      </c>
      <c r="G4865" t="s">
        <v>1288</v>
      </c>
      <c r="H4865" s="315" t="s">
        <v>30</v>
      </c>
      <c r="I4865" s="315" t="s">
        <v>1016</v>
      </c>
      <c r="J4865" s="315" t="str">
        <f t="shared" si="396"/>
        <v>Used VehicleEx NV demonstrators gross profit p.u.</v>
      </c>
      <c r="K4865" s="315" t="str">
        <f t="shared" si="397"/>
        <v>210Ex-Toyota NV demonstrator Cost of Sales</v>
      </c>
      <c r="L4865" s="311">
        <f>+SUMIF('TUNZ Extracted TB'!M:M,$P4865,'TUNZ Extracted TB'!G:G)</f>
        <v>0</v>
      </c>
      <c r="M4865" s="311"/>
      <c r="N4865" s="311">
        <f>+SUMIF('Input Sheet'!$AE:$AE,P4865,'Input Sheet'!$X:$X)</f>
        <v>0</v>
      </c>
      <c r="O4865" s="311"/>
      <c r="P4865" t="str">
        <f t="shared" si="398"/>
        <v>210-4115RR</v>
      </c>
      <c r="Q4865" s="315" t="str">
        <f t="shared" si="399"/>
        <v>Used Vehicle</v>
      </c>
      <c r="R4865" s="315" t="str">
        <f t="shared" si="400"/>
        <v>Used VehicleEx NV demonstrators gross profit p.u.</v>
      </c>
      <c r="S4865" s="199"/>
      <c r="T4865" s="199"/>
      <c r="U4865" s="199"/>
    </row>
    <row r="4866" spans="1:21" x14ac:dyDescent="0.25">
      <c r="A4866" t="s">
        <v>996</v>
      </c>
      <c r="B4866" t="s">
        <v>997</v>
      </c>
      <c r="C4866" t="s">
        <v>1012</v>
      </c>
      <c r="D4866" t="s">
        <v>1575</v>
      </c>
      <c r="E4866">
        <v>410</v>
      </c>
      <c r="F4866" t="s">
        <v>1287</v>
      </c>
      <c r="G4866" t="s">
        <v>1288</v>
      </c>
      <c r="H4866" s="315" t="s">
        <v>30</v>
      </c>
      <c r="I4866" s="315" t="s">
        <v>1016</v>
      </c>
      <c r="J4866" s="315" t="str">
        <f t="shared" si="396"/>
        <v>Used VehicleEx NV demonstrators gross profit p.u.</v>
      </c>
      <c r="K4866" s="315" t="str">
        <f t="shared" si="397"/>
        <v>410Ex-Toyota NV demonstrator Cost of Sales</v>
      </c>
      <c r="L4866" s="311">
        <f>+SUMIF('TUNZ Extracted TB'!M:M,$P4866,'TUNZ Extracted TB'!G:G)</f>
        <v>0</v>
      </c>
      <c r="M4866" s="311"/>
      <c r="N4866" s="311">
        <f>+SUMIF('Input Sheet'!$AE:$AE,P4866,'Input Sheet'!$X:$X)</f>
        <v>0</v>
      </c>
      <c r="O4866" s="311"/>
      <c r="P4866" t="str">
        <f t="shared" si="398"/>
        <v>410-4115RR</v>
      </c>
      <c r="Q4866" s="315" t="str">
        <f t="shared" si="399"/>
        <v>Used Vehicle</v>
      </c>
      <c r="R4866" s="315" t="str">
        <f t="shared" si="400"/>
        <v>Used VehicleEx NV demonstrators gross profit p.u.</v>
      </c>
      <c r="S4866" s="199"/>
      <c r="T4866" s="199"/>
      <c r="U4866" s="199"/>
    </row>
    <row r="4867" spans="1:21" x14ac:dyDescent="0.25">
      <c r="A4867" t="s">
        <v>996</v>
      </c>
      <c r="B4867" t="s">
        <v>997</v>
      </c>
      <c r="C4867" t="s">
        <v>1013</v>
      </c>
      <c r="D4867" t="s">
        <v>1575</v>
      </c>
      <c r="E4867">
        <v>310</v>
      </c>
      <c r="F4867" t="s">
        <v>1287</v>
      </c>
      <c r="G4867" t="s">
        <v>1288</v>
      </c>
      <c r="H4867" s="315" t="s">
        <v>30</v>
      </c>
      <c r="I4867" s="315" t="s">
        <v>1016</v>
      </c>
      <c r="J4867" s="315" t="str">
        <f t="shared" ref="J4867:J4930" si="401">+H4867&amp;I4867</f>
        <v>Used VehicleEx NV demonstrators gross profit p.u.</v>
      </c>
      <c r="K4867" s="315" t="str">
        <f t="shared" ref="K4867:K4930" si="402">+E4867&amp;G4867</f>
        <v>310Ex-Toyota NV demonstrator Cost of Sales</v>
      </c>
      <c r="L4867" s="311">
        <f>+SUMIF('TUNZ Extracted TB'!M:M,$P4867,'TUNZ Extracted TB'!G:G)</f>
        <v>0</v>
      </c>
      <c r="M4867" s="311"/>
      <c r="N4867" s="311">
        <f>+SUMIF('Input Sheet'!$AE:$AE,P4867,'Input Sheet'!$X:$X)</f>
        <v>0</v>
      </c>
      <c r="O4867" s="311"/>
      <c r="P4867" t="str">
        <f t="shared" ref="P4867:P4930" si="403">+E4867&amp;"-"&amp;D4867</f>
        <v>310-4115RR</v>
      </c>
      <c r="Q4867" s="315" t="str">
        <f t="shared" ref="Q4867:Q4930" si="404">H4867</f>
        <v>Used Vehicle</v>
      </c>
      <c r="R4867" s="315" t="str">
        <f t="shared" ref="R4867:R4930" si="405">J4867</f>
        <v>Used VehicleEx NV demonstrators gross profit p.u.</v>
      </c>
      <c r="S4867" s="199"/>
      <c r="T4867" s="199"/>
      <c r="U4867" s="199"/>
    </row>
    <row r="4868" spans="1:21" x14ac:dyDescent="0.25">
      <c r="A4868" t="s">
        <v>996</v>
      </c>
      <c r="B4868" t="s">
        <v>997</v>
      </c>
      <c r="C4868" t="s">
        <v>1005</v>
      </c>
      <c r="D4868" t="s">
        <v>881</v>
      </c>
      <c r="E4868">
        <v>200</v>
      </c>
      <c r="F4868" t="s">
        <v>1024</v>
      </c>
      <c r="G4868" t="s">
        <v>1027</v>
      </c>
      <c r="H4868" s="315" t="s">
        <v>29</v>
      </c>
      <c r="I4868" s="315" t="s">
        <v>1026</v>
      </c>
      <c r="J4868" s="315" t="str">
        <f t="shared" si="401"/>
        <v>New VehicleOther Income per NV unit</v>
      </c>
      <c r="K4868" s="315" t="str">
        <f t="shared" si="402"/>
        <v>200New Vehicle Other Income - Toyota</v>
      </c>
      <c r="L4868" s="311">
        <f>+SUMIF('TUNZ Extracted TB'!M:M,$P4868,'TUNZ Extracted TB'!G:G)</f>
        <v>0</v>
      </c>
      <c r="M4868" s="311"/>
      <c r="N4868" s="311">
        <f>+SUMIF('Input Sheet'!$AE:$AE,P4868,'Input Sheet'!$X:$X)</f>
        <v>0</v>
      </c>
      <c r="O4868" s="311"/>
      <c r="P4868" t="str">
        <f t="shared" si="403"/>
        <v>200-4125R</v>
      </c>
      <c r="Q4868" s="315" t="str">
        <f t="shared" si="404"/>
        <v>New Vehicle</v>
      </c>
      <c r="R4868" s="315" t="str">
        <f t="shared" si="405"/>
        <v>New VehicleOther Income per NV unit</v>
      </c>
      <c r="S4868" s="199"/>
      <c r="T4868" s="199"/>
      <c r="U4868" s="199"/>
    </row>
    <row r="4869" spans="1:21" x14ac:dyDescent="0.25">
      <c r="A4869" t="s">
        <v>996</v>
      </c>
      <c r="B4869" t="s">
        <v>997</v>
      </c>
      <c r="C4869" t="s">
        <v>1012</v>
      </c>
      <c r="D4869" t="s">
        <v>881</v>
      </c>
      <c r="E4869">
        <v>400</v>
      </c>
      <c r="F4869" t="s">
        <v>1024</v>
      </c>
      <c r="G4869" t="s">
        <v>1027</v>
      </c>
      <c r="H4869" s="315" t="s">
        <v>29</v>
      </c>
      <c r="I4869" s="315" t="s">
        <v>1026</v>
      </c>
      <c r="J4869" s="315" t="str">
        <f t="shared" si="401"/>
        <v>New VehicleOther Income per NV unit</v>
      </c>
      <c r="K4869" s="315" t="str">
        <f t="shared" si="402"/>
        <v>400New Vehicle Other Income - Toyota</v>
      </c>
      <c r="L4869" s="311">
        <f>+SUMIF('TUNZ Extracted TB'!M:M,$P4869,'TUNZ Extracted TB'!G:G)</f>
        <v>0</v>
      </c>
      <c r="M4869" s="311"/>
      <c r="N4869" s="311">
        <f>+SUMIF('Input Sheet'!$AE:$AE,P4869,'Input Sheet'!$X:$X)</f>
        <v>0</v>
      </c>
      <c r="O4869" s="311"/>
      <c r="P4869" t="str">
        <f t="shared" si="403"/>
        <v>400-4125R</v>
      </c>
      <c r="Q4869" s="315" t="str">
        <f t="shared" si="404"/>
        <v>New Vehicle</v>
      </c>
      <c r="R4869" s="315" t="str">
        <f t="shared" si="405"/>
        <v>New VehicleOther Income per NV unit</v>
      </c>
      <c r="S4869" s="199"/>
      <c r="T4869" s="199"/>
      <c r="U4869" s="199"/>
    </row>
    <row r="4870" spans="1:21" x14ac:dyDescent="0.25">
      <c r="A4870" t="s">
        <v>996</v>
      </c>
      <c r="B4870" t="s">
        <v>997</v>
      </c>
      <c r="C4870" t="s">
        <v>1013</v>
      </c>
      <c r="D4870" t="s">
        <v>881</v>
      </c>
      <c r="E4870">
        <v>300</v>
      </c>
      <c r="F4870" t="s">
        <v>1024</v>
      </c>
      <c r="G4870" t="s">
        <v>1027</v>
      </c>
      <c r="H4870" s="315" t="s">
        <v>29</v>
      </c>
      <c r="I4870" s="315" t="s">
        <v>1026</v>
      </c>
      <c r="J4870" s="315" t="str">
        <f t="shared" si="401"/>
        <v>New VehicleOther Income per NV unit</v>
      </c>
      <c r="K4870" s="315" t="str">
        <f t="shared" si="402"/>
        <v>300New Vehicle Other Income - Toyota</v>
      </c>
      <c r="L4870" s="311">
        <f>+SUMIF('TUNZ Extracted TB'!M:M,$P4870,'TUNZ Extracted TB'!G:G)</f>
        <v>0</v>
      </c>
      <c r="M4870" s="311"/>
      <c r="N4870" s="311">
        <f>+SUMIF('Input Sheet'!$AE:$AE,P4870,'Input Sheet'!$X:$X)</f>
        <v>0</v>
      </c>
      <c r="O4870" s="311"/>
      <c r="P4870" t="str">
        <f t="shared" si="403"/>
        <v>300-4125R</v>
      </c>
      <c r="Q4870" s="315" t="str">
        <f t="shared" si="404"/>
        <v>New Vehicle</v>
      </c>
      <c r="R4870" s="315" t="str">
        <f t="shared" si="405"/>
        <v>New VehicleOther Income per NV unit</v>
      </c>
      <c r="S4870" s="199"/>
      <c r="T4870" s="199"/>
      <c r="U4870" s="199"/>
    </row>
    <row r="4871" spans="1:21" x14ac:dyDescent="0.25">
      <c r="A4871" t="s">
        <v>996</v>
      </c>
      <c r="B4871" t="s">
        <v>997</v>
      </c>
      <c r="C4871" t="s">
        <v>997</v>
      </c>
      <c r="D4871" t="s">
        <v>881</v>
      </c>
      <c r="E4871">
        <v>110</v>
      </c>
      <c r="F4871" t="s">
        <v>1287</v>
      </c>
      <c r="G4871" t="s">
        <v>1288</v>
      </c>
      <c r="H4871" s="315" t="s">
        <v>30</v>
      </c>
      <c r="I4871" s="315" t="s">
        <v>1016</v>
      </c>
      <c r="J4871" s="315" t="str">
        <f t="shared" si="401"/>
        <v>Used VehicleEx NV demonstrators gross profit p.u.</v>
      </c>
      <c r="K4871" s="315" t="str">
        <f t="shared" si="402"/>
        <v>110Ex-Toyota NV demonstrator Cost of Sales</v>
      </c>
      <c r="L4871" s="311">
        <f>+SUMIF('TUNZ Extracted TB'!M:M,$P4871,'TUNZ Extracted TB'!G:G)</f>
        <v>0</v>
      </c>
      <c r="M4871" s="311"/>
      <c r="N4871" s="311">
        <f>+SUMIF('Input Sheet'!$AE:$AE,P4871,'Input Sheet'!$X:$X)</f>
        <v>0</v>
      </c>
      <c r="O4871" s="311"/>
      <c r="P4871" t="str">
        <f t="shared" si="403"/>
        <v>110-4125R</v>
      </c>
      <c r="Q4871" s="315" t="str">
        <f t="shared" si="404"/>
        <v>Used Vehicle</v>
      </c>
      <c r="R4871" s="315" t="str">
        <f t="shared" si="405"/>
        <v>Used VehicleEx NV demonstrators gross profit p.u.</v>
      </c>
      <c r="S4871" s="199"/>
      <c r="T4871" s="199"/>
      <c r="U4871" s="199"/>
    </row>
    <row r="4872" spans="1:21" x14ac:dyDescent="0.25">
      <c r="A4872" t="s">
        <v>996</v>
      </c>
      <c r="B4872" t="s">
        <v>997</v>
      </c>
      <c r="C4872" t="s">
        <v>997</v>
      </c>
      <c r="D4872" t="s">
        <v>1576</v>
      </c>
      <c r="E4872">
        <v>100</v>
      </c>
      <c r="F4872" t="s">
        <v>1024</v>
      </c>
      <c r="G4872" t="s">
        <v>1027</v>
      </c>
      <c r="H4872" s="315" t="s">
        <v>29</v>
      </c>
      <c r="I4872" s="315" t="s">
        <v>1026</v>
      </c>
      <c r="J4872" s="315" t="str">
        <f t="shared" si="401"/>
        <v>New VehicleOther Income per NV unit</v>
      </c>
      <c r="K4872" s="315" t="str">
        <f t="shared" si="402"/>
        <v>100New Vehicle Other Income - Toyota</v>
      </c>
      <c r="L4872" s="311">
        <f>+SUMIF('TUNZ Extracted TB'!M:M,$P4872,'TUNZ Extracted TB'!G:G)</f>
        <v>0</v>
      </c>
      <c r="M4872" s="311"/>
      <c r="N4872" s="311">
        <f>+SUMIF('Input Sheet'!$AE:$AE,P4872,'Input Sheet'!$X:$X)</f>
        <v>0</v>
      </c>
      <c r="O4872" s="311"/>
      <c r="P4872" t="str">
        <f t="shared" si="403"/>
        <v>100-4125T</v>
      </c>
      <c r="Q4872" s="315" t="str">
        <f t="shared" si="404"/>
        <v>New Vehicle</v>
      </c>
      <c r="R4872" s="315" t="str">
        <f t="shared" si="405"/>
        <v>New VehicleOther Income per NV unit</v>
      </c>
      <c r="S4872" s="199"/>
      <c r="T4872" s="199"/>
      <c r="U4872" s="199"/>
    </row>
    <row r="4873" spans="1:21" x14ac:dyDescent="0.25">
      <c r="A4873" t="s">
        <v>996</v>
      </c>
      <c r="B4873" t="s">
        <v>997</v>
      </c>
      <c r="C4873" t="s">
        <v>1005</v>
      </c>
      <c r="D4873" t="s">
        <v>881</v>
      </c>
      <c r="E4873">
        <v>210</v>
      </c>
      <c r="F4873" t="s">
        <v>1287</v>
      </c>
      <c r="G4873" t="s">
        <v>1288</v>
      </c>
      <c r="H4873" s="315" t="s">
        <v>30</v>
      </c>
      <c r="I4873" s="315" t="s">
        <v>1016</v>
      </c>
      <c r="J4873" s="315" t="str">
        <f t="shared" si="401"/>
        <v>Used VehicleEx NV demonstrators gross profit p.u.</v>
      </c>
      <c r="K4873" s="315" t="str">
        <f t="shared" si="402"/>
        <v>210Ex-Toyota NV demonstrator Cost of Sales</v>
      </c>
      <c r="L4873" s="311">
        <f>+SUMIF('TUNZ Extracted TB'!M:M,$P4873,'TUNZ Extracted TB'!G:G)</f>
        <v>0</v>
      </c>
      <c r="M4873" s="311"/>
      <c r="N4873" s="311">
        <f>+SUMIF('Input Sheet'!$AE:$AE,P4873,'Input Sheet'!$X:$X)</f>
        <v>0</v>
      </c>
      <c r="O4873" s="311"/>
      <c r="P4873" t="str">
        <f t="shared" si="403"/>
        <v>210-4125R</v>
      </c>
      <c r="Q4873" s="315" t="str">
        <f t="shared" si="404"/>
        <v>Used Vehicle</v>
      </c>
      <c r="R4873" s="315" t="str">
        <f t="shared" si="405"/>
        <v>Used VehicleEx NV demonstrators gross profit p.u.</v>
      </c>
      <c r="S4873" s="199"/>
      <c r="T4873" s="199"/>
      <c r="U4873" s="199"/>
    </row>
    <row r="4874" spans="1:21" x14ac:dyDescent="0.25">
      <c r="A4874" t="s">
        <v>996</v>
      </c>
      <c r="B4874" t="s">
        <v>997</v>
      </c>
      <c r="C4874" t="s">
        <v>1012</v>
      </c>
      <c r="D4874" t="s">
        <v>881</v>
      </c>
      <c r="E4874">
        <v>410</v>
      </c>
      <c r="F4874" t="s">
        <v>1287</v>
      </c>
      <c r="G4874" t="s">
        <v>1288</v>
      </c>
      <c r="H4874" s="315" t="s">
        <v>30</v>
      </c>
      <c r="I4874" s="315" t="s">
        <v>1016</v>
      </c>
      <c r="J4874" s="315" t="str">
        <f t="shared" si="401"/>
        <v>Used VehicleEx NV demonstrators gross profit p.u.</v>
      </c>
      <c r="K4874" s="315" t="str">
        <f t="shared" si="402"/>
        <v>410Ex-Toyota NV demonstrator Cost of Sales</v>
      </c>
      <c r="L4874" s="311">
        <f>+SUMIF('TUNZ Extracted TB'!M:M,$P4874,'TUNZ Extracted TB'!G:G)</f>
        <v>0</v>
      </c>
      <c r="M4874" s="311"/>
      <c r="N4874" s="311">
        <f>+SUMIF('Input Sheet'!$AE:$AE,P4874,'Input Sheet'!$X:$X)</f>
        <v>0</v>
      </c>
      <c r="O4874" s="311"/>
      <c r="P4874" t="str">
        <f t="shared" si="403"/>
        <v>410-4125R</v>
      </c>
      <c r="Q4874" s="315" t="str">
        <f t="shared" si="404"/>
        <v>Used Vehicle</v>
      </c>
      <c r="R4874" s="315" t="str">
        <f t="shared" si="405"/>
        <v>Used VehicleEx NV demonstrators gross profit p.u.</v>
      </c>
      <c r="S4874" s="199"/>
      <c r="T4874" s="199"/>
      <c r="U4874" s="199"/>
    </row>
    <row r="4875" spans="1:21" x14ac:dyDescent="0.25">
      <c r="A4875" t="s">
        <v>996</v>
      </c>
      <c r="B4875" t="s">
        <v>997</v>
      </c>
      <c r="C4875" t="s">
        <v>1013</v>
      </c>
      <c r="D4875" t="s">
        <v>881</v>
      </c>
      <c r="E4875">
        <v>310</v>
      </c>
      <c r="F4875" t="s">
        <v>1287</v>
      </c>
      <c r="G4875" t="s">
        <v>1288</v>
      </c>
      <c r="H4875" s="315" t="s">
        <v>30</v>
      </c>
      <c r="I4875" s="315" t="s">
        <v>1016</v>
      </c>
      <c r="J4875" s="315" t="str">
        <f t="shared" si="401"/>
        <v>Used VehicleEx NV demonstrators gross profit p.u.</v>
      </c>
      <c r="K4875" s="315" t="str">
        <f t="shared" si="402"/>
        <v>310Ex-Toyota NV demonstrator Cost of Sales</v>
      </c>
      <c r="L4875" s="311">
        <f>+SUMIF('TUNZ Extracted TB'!M:M,$P4875,'TUNZ Extracted TB'!G:G)</f>
        <v>0</v>
      </c>
      <c r="M4875" s="311"/>
      <c r="N4875" s="311">
        <f>+SUMIF('Input Sheet'!$AE:$AE,P4875,'Input Sheet'!$X:$X)</f>
        <v>0</v>
      </c>
      <c r="O4875" s="311"/>
      <c r="P4875" t="str">
        <f t="shared" si="403"/>
        <v>310-4125R</v>
      </c>
      <c r="Q4875" s="315" t="str">
        <f t="shared" si="404"/>
        <v>Used Vehicle</v>
      </c>
      <c r="R4875" s="315" t="str">
        <f t="shared" si="405"/>
        <v>Used VehicleEx NV demonstrators gross profit p.u.</v>
      </c>
      <c r="S4875" s="199"/>
      <c r="T4875" s="199"/>
      <c r="U4875" s="199"/>
    </row>
    <row r="4876" spans="1:21" x14ac:dyDescent="0.25">
      <c r="A4876" t="s">
        <v>996</v>
      </c>
      <c r="B4876" t="s">
        <v>997</v>
      </c>
      <c r="C4876" t="s">
        <v>1005</v>
      </c>
      <c r="D4876" t="s">
        <v>1576</v>
      </c>
      <c r="E4876">
        <v>200</v>
      </c>
      <c r="F4876" t="s">
        <v>1002</v>
      </c>
      <c r="G4876" t="s">
        <v>1003</v>
      </c>
      <c r="H4876" s="315" t="s">
        <v>29</v>
      </c>
      <c r="I4876" s="315" t="s">
        <v>1004</v>
      </c>
      <c r="J4876" s="315" t="str">
        <f t="shared" si="401"/>
        <v>New VehicleRetail Gross p.u.</v>
      </c>
      <c r="K4876" s="315" t="str">
        <f t="shared" si="402"/>
        <v>200New Vehicle Cost of Sales - Toyota</v>
      </c>
      <c r="L4876" s="311">
        <f>+SUMIF('TUNZ Extracted TB'!M:M,$P4876,'TUNZ Extracted TB'!G:G)</f>
        <v>0</v>
      </c>
      <c r="M4876" s="311"/>
      <c r="N4876" s="311">
        <f>+SUMIF('Input Sheet'!$AE:$AE,P4876,'Input Sheet'!$X:$X)</f>
        <v>0</v>
      </c>
      <c r="O4876" s="311"/>
      <c r="P4876" t="str">
        <f t="shared" si="403"/>
        <v>200-4125T</v>
      </c>
      <c r="Q4876" s="315" t="str">
        <f t="shared" si="404"/>
        <v>New Vehicle</v>
      </c>
      <c r="R4876" s="315" t="str">
        <f t="shared" si="405"/>
        <v>New VehicleRetail Gross p.u.</v>
      </c>
      <c r="S4876" s="199"/>
      <c r="T4876" s="199"/>
      <c r="U4876" s="199"/>
    </row>
    <row r="4877" spans="1:21" x14ac:dyDescent="0.25">
      <c r="A4877" t="s">
        <v>996</v>
      </c>
      <c r="B4877" t="s">
        <v>997</v>
      </c>
      <c r="C4877" t="s">
        <v>1012</v>
      </c>
      <c r="D4877" t="s">
        <v>1576</v>
      </c>
      <c r="E4877">
        <v>400</v>
      </c>
      <c r="F4877" t="s">
        <v>1002</v>
      </c>
      <c r="G4877" t="s">
        <v>1003</v>
      </c>
      <c r="H4877" s="315" t="s">
        <v>29</v>
      </c>
      <c r="I4877" s="315" t="s">
        <v>1004</v>
      </c>
      <c r="J4877" s="315" t="str">
        <f t="shared" si="401"/>
        <v>New VehicleRetail Gross p.u.</v>
      </c>
      <c r="K4877" s="315" t="str">
        <f t="shared" si="402"/>
        <v>400New Vehicle Cost of Sales - Toyota</v>
      </c>
      <c r="L4877" s="311">
        <f>+SUMIF('TUNZ Extracted TB'!M:M,$P4877,'TUNZ Extracted TB'!G:G)</f>
        <v>0</v>
      </c>
      <c r="M4877" s="311"/>
      <c r="N4877" s="311">
        <f>+SUMIF('Input Sheet'!$AE:$AE,P4877,'Input Sheet'!$X:$X)</f>
        <v>0</v>
      </c>
      <c r="O4877" s="311"/>
      <c r="P4877" t="str">
        <f t="shared" si="403"/>
        <v>400-4125T</v>
      </c>
      <c r="Q4877" s="315" t="str">
        <f t="shared" si="404"/>
        <v>New Vehicle</v>
      </c>
      <c r="R4877" s="315" t="str">
        <f t="shared" si="405"/>
        <v>New VehicleRetail Gross p.u.</v>
      </c>
      <c r="S4877" s="199"/>
      <c r="T4877" s="199"/>
      <c r="U4877" s="199"/>
    </row>
    <row r="4878" spans="1:21" x14ac:dyDescent="0.25">
      <c r="A4878" t="s">
        <v>996</v>
      </c>
      <c r="B4878" t="s">
        <v>997</v>
      </c>
      <c r="C4878" t="s">
        <v>1013</v>
      </c>
      <c r="D4878" t="s">
        <v>1576</v>
      </c>
      <c r="E4878">
        <v>300</v>
      </c>
      <c r="F4878" t="s">
        <v>1002</v>
      </c>
      <c r="G4878" t="s">
        <v>1003</v>
      </c>
      <c r="H4878" s="315" t="s">
        <v>29</v>
      </c>
      <c r="I4878" s="315" t="s">
        <v>1004</v>
      </c>
      <c r="J4878" s="315" t="str">
        <f t="shared" si="401"/>
        <v>New VehicleRetail Gross p.u.</v>
      </c>
      <c r="K4878" s="315" t="str">
        <f t="shared" si="402"/>
        <v>300New Vehicle Cost of Sales - Toyota</v>
      </c>
      <c r="L4878" s="311">
        <f>+SUMIF('TUNZ Extracted TB'!M:M,$P4878,'TUNZ Extracted TB'!G:G)</f>
        <v>0</v>
      </c>
      <c r="M4878" s="311"/>
      <c r="N4878" s="311">
        <f>+SUMIF('Input Sheet'!$AE:$AE,P4878,'Input Sheet'!$X:$X)</f>
        <v>0</v>
      </c>
      <c r="O4878" s="311"/>
      <c r="P4878" t="str">
        <f t="shared" si="403"/>
        <v>300-4125T</v>
      </c>
      <c r="Q4878" s="315" t="str">
        <f t="shared" si="404"/>
        <v>New Vehicle</v>
      </c>
      <c r="R4878" s="315" t="str">
        <f t="shared" si="405"/>
        <v>New VehicleRetail Gross p.u.</v>
      </c>
      <c r="S4878" s="199"/>
      <c r="T4878" s="199"/>
      <c r="U4878" s="199"/>
    </row>
    <row r="4879" spans="1:21" x14ac:dyDescent="0.25">
      <c r="A4879" t="s">
        <v>996</v>
      </c>
      <c r="B4879" t="s">
        <v>997</v>
      </c>
      <c r="C4879" t="s">
        <v>997</v>
      </c>
      <c r="D4879" t="s">
        <v>1577</v>
      </c>
      <c r="E4879">
        <v>110</v>
      </c>
      <c r="F4879" t="s">
        <v>1287</v>
      </c>
      <c r="G4879" t="s">
        <v>1288</v>
      </c>
      <c r="H4879" s="315" t="s">
        <v>30</v>
      </c>
      <c r="I4879" s="315" t="s">
        <v>1016</v>
      </c>
      <c r="J4879" s="315" t="str">
        <f t="shared" si="401"/>
        <v>Used VehicleEx NV demonstrators gross profit p.u.</v>
      </c>
      <c r="K4879" s="315" t="str">
        <f t="shared" si="402"/>
        <v>110Ex-Toyota NV demonstrator Cost of Sales</v>
      </c>
      <c r="L4879" s="311">
        <f>+SUMIF('TUNZ Extracted TB'!M:M,$P4879,'TUNZ Extracted TB'!G:G)</f>
        <v>0</v>
      </c>
      <c r="M4879" s="311"/>
      <c r="N4879" s="311">
        <f>+SUMIF('Input Sheet'!$AE:$AE,P4879,'Input Sheet'!$X:$X)</f>
        <v>0</v>
      </c>
      <c r="O4879" s="311"/>
      <c r="P4879" t="str">
        <f t="shared" si="403"/>
        <v>110-4125RR</v>
      </c>
      <c r="Q4879" s="315" t="str">
        <f t="shared" si="404"/>
        <v>Used Vehicle</v>
      </c>
      <c r="R4879" s="315" t="str">
        <f t="shared" si="405"/>
        <v>Used VehicleEx NV demonstrators gross profit p.u.</v>
      </c>
      <c r="S4879" s="199"/>
      <c r="T4879" s="199"/>
      <c r="U4879" s="199"/>
    </row>
    <row r="4880" spans="1:21" x14ac:dyDescent="0.25">
      <c r="A4880" t="s">
        <v>996</v>
      </c>
      <c r="B4880" t="s">
        <v>997</v>
      </c>
      <c r="C4880" t="s">
        <v>1005</v>
      </c>
      <c r="D4880" t="s">
        <v>1577</v>
      </c>
      <c r="E4880">
        <v>210</v>
      </c>
      <c r="F4880" t="s">
        <v>1287</v>
      </c>
      <c r="G4880" t="s">
        <v>1288</v>
      </c>
      <c r="H4880" s="315" t="s">
        <v>30</v>
      </c>
      <c r="I4880" s="315" t="s">
        <v>1016</v>
      </c>
      <c r="J4880" s="315" t="str">
        <f t="shared" si="401"/>
        <v>Used VehicleEx NV demonstrators gross profit p.u.</v>
      </c>
      <c r="K4880" s="315" t="str">
        <f t="shared" si="402"/>
        <v>210Ex-Toyota NV demonstrator Cost of Sales</v>
      </c>
      <c r="L4880" s="311">
        <f>+SUMIF('TUNZ Extracted TB'!M:M,$P4880,'TUNZ Extracted TB'!G:G)</f>
        <v>0</v>
      </c>
      <c r="M4880" s="311"/>
      <c r="N4880" s="311">
        <f>+SUMIF('Input Sheet'!$AE:$AE,P4880,'Input Sheet'!$X:$X)</f>
        <v>0</v>
      </c>
      <c r="O4880" s="311"/>
      <c r="P4880" t="str">
        <f t="shared" si="403"/>
        <v>210-4125RR</v>
      </c>
      <c r="Q4880" s="315" t="str">
        <f t="shared" si="404"/>
        <v>Used Vehicle</v>
      </c>
      <c r="R4880" s="315" t="str">
        <f t="shared" si="405"/>
        <v>Used VehicleEx NV demonstrators gross profit p.u.</v>
      </c>
      <c r="S4880" s="199"/>
      <c r="T4880" s="199"/>
      <c r="U4880" s="199"/>
    </row>
    <row r="4881" spans="1:21" x14ac:dyDescent="0.25">
      <c r="A4881" t="s">
        <v>996</v>
      </c>
      <c r="B4881" t="s">
        <v>997</v>
      </c>
      <c r="C4881" t="s">
        <v>1012</v>
      </c>
      <c r="D4881" t="s">
        <v>1577</v>
      </c>
      <c r="E4881">
        <v>410</v>
      </c>
      <c r="F4881" t="s">
        <v>1287</v>
      </c>
      <c r="G4881" t="s">
        <v>1288</v>
      </c>
      <c r="H4881" s="315" t="s">
        <v>30</v>
      </c>
      <c r="I4881" s="315" t="s">
        <v>1016</v>
      </c>
      <c r="J4881" s="315" t="str">
        <f t="shared" si="401"/>
        <v>Used VehicleEx NV demonstrators gross profit p.u.</v>
      </c>
      <c r="K4881" s="315" t="str">
        <f t="shared" si="402"/>
        <v>410Ex-Toyota NV demonstrator Cost of Sales</v>
      </c>
      <c r="L4881" s="311">
        <f>+SUMIF('TUNZ Extracted TB'!M:M,$P4881,'TUNZ Extracted TB'!G:G)</f>
        <v>0</v>
      </c>
      <c r="M4881" s="311"/>
      <c r="N4881" s="311">
        <f>+SUMIF('Input Sheet'!$AE:$AE,P4881,'Input Sheet'!$X:$X)</f>
        <v>0</v>
      </c>
      <c r="O4881" s="311"/>
      <c r="P4881" t="str">
        <f t="shared" si="403"/>
        <v>410-4125RR</v>
      </c>
      <c r="Q4881" s="315" t="str">
        <f t="shared" si="404"/>
        <v>Used Vehicle</v>
      </c>
      <c r="R4881" s="315" t="str">
        <f t="shared" si="405"/>
        <v>Used VehicleEx NV demonstrators gross profit p.u.</v>
      </c>
      <c r="S4881" s="199"/>
      <c r="T4881" s="199"/>
      <c r="U4881" s="199"/>
    </row>
    <row r="4882" spans="1:21" x14ac:dyDescent="0.25">
      <c r="A4882" t="s">
        <v>996</v>
      </c>
      <c r="B4882" t="s">
        <v>997</v>
      </c>
      <c r="C4882" t="s">
        <v>1013</v>
      </c>
      <c r="D4882" t="s">
        <v>1577</v>
      </c>
      <c r="E4882">
        <v>310</v>
      </c>
      <c r="F4882" t="s">
        <v>1287</v>
      </c>
      <c r="G4882" t="s">
        <v>1288</v>
      </c>
      <c r="H4882" s="315" t="s">
        <v>30</v>
      </c>
      <c r="I4882" s="315" t="s">
        <v>1016</v>
      </c>
      <c r="J4882" s="315" t="str">
        <f t="shared" si="401"/>
        <v>Used VehicleEx NV demonstrators gross profit p.u.</v>
      </c>
      <c r="K4882" s="315" t="str">
        <f t="shared" si="402"/>
        <v>310Ex-Toyota NV demonstrator Cost of Sales</v>
      </c>
      <c r="L4882" s="311">
        <f>+SUMIF('TUNZ Extracted TB'!M:M,$P4882,'TUNZ Extracted TB'!G:G)</f>
        <v>0</v>
      </c>
      <c r="M4882" s="311"/>
      <c r="N4882" s="311">
        <f>+SUMIF('Input Sheet'!$AE:$AE,P4882,'Input Sheet'!$X:$X)</f>
        <v>0</v>
      </c>
      <c r="O4882" s="311"/>
      <c r="P4882" t="str">
        <f t="shared" si="403"/>
        <v>310-4125RR</v>
      </c>
      <c r="Q4882" s="315" t="str">
        <f t="shared" si="404"/>
        <v>Used Vehicle</v>
      </c>
      <c r="R4882" s="315" t="str">
        <f t="shared" si="405"/>
        <v>Used VehicleEx NV demonstrators gross profit p.u.</v>
      </c>
      <c r="S4882" s="199"/>
      <c r="T4882" s="199"/>
      <c r="U4882" s="199"/>
    </row>
    <row r="4883" spans="1:21" x14ac:dyDescent="0.25">
      <c r="A4883" t="s">
        <v>996</v>
      </c>
      <c r="B4883" t="s">
        <v>997</v>
      </c>
      <c r="C4883" t="s">
        <v>997</v>
      </c>
      <c r="D4883" t="s">
        <v>1576</v>
      </c>
      <c r="E4883">
        <v>110</v>
      </c>
      <c r="F4883" t="s">
        <v>1287</v>
      </c>
      <c r="G4883" t="s">
        <v>1288</v>
      </c>
      <c r="H4883" s="315" t="s">
        <v>30</v>
      </c>
      <c r="I4883" s="315" t="s">
        <v>1016</v>
      </c>
      <c r="J4883" s="315" t="str">
        <f t="shared" si="401"/>
        <v>Used VehicleEx NV demonstrators gross profit p.u.</v>
      </c>
      <c r="K4883" s="315" t="str">
        <f t="shared" si="402"/>
        <v>110Ex-Toyota NV demonstrator Cost of Sales</v>
      </c>
      <c r="L4883" s="311">
        <f>+SUMIF('TUNZ Extracted TB'!M:M,$P4883,'TUNZ Extracted TB'!G:G)</f>
        <v>0</v>
      </c>
      <c r="M4883" s="311"/>
      <c r="N4883" s="311">
        <f>+SUMIF('Input Sheet'!$AE:$AE,P4883,'Input Sheet'!$X:$X)</f>
        <v>0</v>
      </c>
      <c r="O4883" s="311"/>
      <c r="P4883" t="str">
        <f t="shared" si="403"/>
        <v>110-4125T</v>
      </c>
      <c r="Q4883" s="315" t="str">
        <f t="shared" si="404"/>
        <v>Used Vehicle</v>
      </c>
      <c r="R4883" s="315" t="str">
        <f t="shared" si="405"/>
        <v>Used VehicleEx NV demonstrators gross profit p.u.</v>
      </c>
      <c r="S4883" s="199"/>
      <c r="T4883" s="199"/>
      <c r="U4883" s="199"/>
    </row>
    <row r="4884" spans="1:21" x14ac:dyDescent="0.25">
      <c r="A4884" s="316">
        <v>45170</v>
      </c>
      <c r="B4884" t="s">
        <v>997</v>
      </c>
      <c r="C4884" t="s">
        <v>997</v>
      </c>
      <c r="D4884" t="s">
        <v>884</v>
      </c>
      <c r="E4884">
        <v>112</v>
      </c>
      <c r="G4884" t="s">
        <v>885</v>
      </c>
      <c r="H4884" s="315" t="s">
        <v>1011</v>
      </c>
      <c r="I4884" s="315" t="s">
        <v>1004</v>
      </c>
      <c r="J4884" s="315" t="str">
        <f t="shared" si="401"/>
        <v>LEX New VehicleRetail Gross p.u.</v>
      </c>
      <c r="K4884" s="315" t="str">
        <f t="shared" si="402"/>
        <v>112COGS - RZ450e</v>
      </c>
      <c r="L4884" s="311">
        <f>+SUMIF('TUNZ Extracted TB'!M:M,$P4884,'TUNZ Extracted TB'!G:G)</f>
        <v>0</v>
      </c>
      <c r="M4884" s="311"/>
      <c r="N4884" s="311">
        <f>+SUMIF('Input Sheet'!$AE:$AE,P4884,'Input Sheet'!$X:$X)</f>
        <v>0</v>
      </c>
      <c r="O4884" s="311"/>
      <c r="P4884" t="str">
        <f t="shared" si="403"/>
        <v>112-4144R</v>
      </c>
      <c r="Q4884" s="315" t="str">
        <f t="shared" si="404"/>
        <v>LEX New Vehicle</v>
      </c>
      <c r="R4884" s="315" t="str">
        <f t="shared" si="405"/>
        <v>LEX New VehicleRetail Gross p.u.</v>
      </c>
      <c r="S4884" s="199"/>
      <c r="T4884" s="199"/>
      <c r="U4884" s="199"/>
    </row>
    <row r="4885" spans="1:21" x14ac:dyDescent="0.25">
      <c r="A4885" t="s">
        <v>996</v>
      </c>
      <c r="B4885" t="s">
        <v>997</v>
      </c>
      <c r="C4885" t="s">
        <v>1005</v>
      </c>
      <c r="D4885" t="s">
        <v>1576</v>
      </c>
      <c r="E4885">
        <v>210</v>
      </c>
      <c r="F4885" t="s">
        <v>1287</v>
      </c>
      <c r="G4885" t="s">
        <v>1288</v>
      </c>
      <c r="H4885" s="315" t="s">
        <v>30</v>
      </c>
      <c r="I4885" s="315" t="s">
        <v>1016</v>
      </c>
      <c r="J4885" s="315" t="str">
        <f t="shared" si="401"/>
        <v>Used VehicleEx NV demonstrators gross profit p.u.</v>
      </c>
      <c r="K4885" s="315" t="str">
        <f t="shared" si="402"/>
        <v>210Ex-Toyota NV demonstrator Cost of Sales</v>
      </c>
      <c r="L4885" s="311">
        <f>+SUMIF('TUNZ Extracted TB'!M:M,$P4885,'TUNZ Extracted TB'!G:G)</f>
        <v>0</v>
      </c>
      <c r="M4885" s="311"/>
      <c r="N4885" s="311">
        <f>+SUMIF('Input Sheet'!$AE:$AE,P4885,'Input Sheet'!$X:$X)</f>
        <v>0</v>
      </c>
      <c r="O4885" s="311"/>
      <c r="P4885" t="str">
        <f t="shared" si="403"/>
        <v>210-4125T</v>
      </c>
      <c r="Q4885" s="315" t="str">
        <f t="shared" si="404"/>
        <v>Used Vehicle</v>
      </c>
      <c r="R4885" s="315" t="str">
        <f t="shared" si="405"/>
        <v>Used VehicleEx NV demonstrators gross profit p.u.</v>
      </c>
      <c r="S4885" s="199"/>
      <c r="T4885" s="199"/>
      <c r="U4885" s="199"/>
    </row>
    <row r="4886" spans="1:21" x14ac:dyDescent="0.25">
      <c r="A4886" t="s">
        <v>996</v>
      </c>
      <c r="B4886" t="s">
        <v>997</v>
      </c>
      <c r="C4886" t="s">
        <v>1012</v>
      </c>
      <c r="D4886" t="s">
        <v>1576</v>
      </c>
      <c r="E4886">
        <v>410</v>
      </c>
      <c r="F4886" t="s">
        <v>1287</v>
      </c>
      <c r="G4886" t="s">
        <v>1288</v>
      </c>
      <c r="H4886" s="315" t="s">
        <v>30</v>
      </c>
      <c r="I4886" s="315" t="s">
        <v>1016</v>
      </c>
      <c r="J4886" s="315" t="str">
        <f t="shared" si="401"/>
        <v>Used VehicleEx NV demonstrators gross profit p.u.</v>
      </c>
      <c r="K4886" s="315" t="str">
        <f t="shared" si="402"/>
        <v>410Ex-Toyota NV demonstrator Cost of Sales</v>
      </c>
      <c r="L4886" s="311">
        <f>+SUMIF('TUNZ Extracted TB'!M:M,$P4886,'TUNZ Extracted TB'!G:G)</f>
        <v>0</v>
      </c>
      <c r="M4886" s="311"/>
      <c r="N4886" s="311">
        <f>+SUMIF('Input Sheet'!$AE:$AE,P4886,'Input Sheet'!$X:$X)</f>
        <v>0</v>
      </c>
      <c r="O4886" s="311"/>
      <c r="P4886" t="str">
        <f t="shared" si="403"/>
        <v>410-4125T</v>
      </c>
      <c r="Q4886" s="315" t="str">
        <f t="shared" si="404"/>
        <v>Used Vehicle</v>
      </c>
      <c r="R4886" s="315" t="str">
        <f t="shared" si="405"/>
        <v>Used VehicleEx NV demonstrators gross profit p.u.</v>
      </c>
      <c r="S4886" s="199"/>
      <c r="T4886" s="199"/>
      <c r="U4886" s="199"/>
    </row>
    <row r="4887" spans="1:21" x14ac:dyDescent="0.25">
      <c r="A4887" t="s">
        <v>996</v>
      </c>
      <c r="B4887" t="s">
        <v>997</v>
      </c>
      <c r="C4887" t="s">
        <v>1013</v>
      </c>
      <c r="D4887" t="s">
        <v>1576</v>
      </c>
      <c r="E4887">
        <v>310</v>
      </c>
      <c r="F4887" t="s">
        <v>1287</v>
      </c>
      <c r="G4887" t="s">
        <v>1288</v>
      </c>
      <c r="H4887" s="315" t="s">
        <v>30</v>
      </c>
      <c r="I4887" s="315" t="s">
        <v>1016</v>
      </c>
      <c r="J4887" s="315" t="str">
        <f t="shared" si="401"/>
        <v>Used VehicleEx NV demonstrators gross profit p.u.</v>
      </c>
      <c r="K4887" s="315" t="str">
        <f t="shared" si="402"/>
        <v>310Ex-Toyota NV demonstrator Cost of Sales</v>
      </c>
      <c r="L4887" s="311">
        <f>+SUMIF('TUNZ Extracted TB'!M:M,$P4887,'TUNZ Extracted TB'!G:G)</f>
        <v>0</v>
      </c>
      <c r="M4887" s="311"/>
      <c r="N4887" s="311">
        <f>+SUMIF('Input Sheet'!$AE:$AE,P4887,'Input Sheet'!$X:$X)</f>
        <v>0</v>
      </c>
      <c r="O4887" s="311"/>
      <c r="P4887" t="str">
        <f t="shared" si="403"/>
        <v>310-4125T</v>
      </c>
      <c r="Q4887" s="315" t="str">
        <f t="shared" si="404"/>
        <v>Used Vehicle</v>
      </c>
      <c r="R4887" s="315" t="str">
        <f t="shared" si="405"/>
        <v>Used VehicleEx NV demonstrators gross profit p.u.</v>
      </c>
      <c r="S4887" s="199"/>
      <c r="T4887" s="199"/>
      <c r="U4887" s="199"/>
    </row>
    <row r="4888" spans="1:21" x14ac:dyDescent="0.25">
      <c r="A4888" s="316">
        <v>45170</v>
      </c>
      <c r="B4888" t="s">
        <v>997</v>
      </c>
      <c r="C4888" t="s">
        <v>997</v>
      </c>
      <c r="D4888" t="s">
        <v>886</v>
      </c>
      <c r="E4888">
        <v>112</v>
      </c>
      <c r="G4888" t="s">
        <v>887</v>
      </c>
      <c r="H4888" s="315" t="s">
        <v>1011</v>
      </c>
      <c r="I4888" s="315" t="s">
        <v>1004</v>
      </c>
      <c r="J4888" s="315" t="str">
        <f t="shared" si="401"/>
        <v>LEX New VehicleRetail Gross p.u.</v>
      </c>
      <c r="K4888" s="315" t="str">
        <f t="shared" si="402"/>
        <v>112Rebate- Lexus RZ450e</v>
      </c>
      <c r="L4888" s="311">
        <f>+SUMIF('TUNZ Extracted TB'!M:M,$P4888,'TUNZ Extracted TB'!G:G)</f>
        <v>0</v>
      </c>
      <c r="M4888" s="311"/>
      <c r="N4888" s="311">
        <f>+SUMIF('Input Sheet'!$AE:$AE,P4888,'Input Sheet'!$X:$X)</f>
        <v>0</v>
      </c>
      <c r="O4888" s="311"/>
      <c r="P4888" t="str">
        <f t="shared" si="403"/>
        <v>112-4144RR</v>
      </c>
      <c r="Q4888" s="315" t="str">
        <f t="shared" si="404"/>
        <v>LEX New Vehicle</v>
      </c>
      <c r="R4888" s="315" t="str">
        <f t="shared" si="405"/>
        <v>LEX New VehicleRetail Gross p.u.</v>
      </c>
      <c r="S4888" s="199"/>
      <c r="T4888" s="199"/>
      <c r="U4888" s="199"/>
    </row>
    <row r="4889" spans="1:21" x14ac:dyDescent="0.25">
      <c r="A4889" t="s">
        <v>996</v>
      </c>
      <c r="B4889" t="s">
        <v>997</v>
      </c>
      <c r="C4889" t="s">
        <v>997</v>
      </c>
      <c r="D4889" t="s">
        <v>1578</v>
      </c>
      <c r="E4889">
        <v>112</v>
      </c>
      <c r="F4889" t="s">
        <v>1312</v>
      </c>
      <c r="G4889" t="s">
        <v>1313</v>
      </c>
      <c r="H4889" s="315" t="s">
        <v>1011</v>
      </c>
      <c r="I4889" s="315" t="s">
        <v>1314</v>
      </c>
      <c r="J4889" s="315" t="str">
        <f t="shared" si="401"/>
        <v>LEX New VehicleDemo Expenses (incl. interest) p.u.</v>
      </c>
      <c r="K4889" s="315" t="str">
        <f t="shared" si="402"/>
        <v>112NV Demo Expenses - Lexus</v>
      </c>
      <c r="L4889" s="311">
        <f>+SUMIF('TUNZ Extracted TB'!M:M,$P4889,'TUNZ Extracted TB'!G:G)</f>
        <v>0</v>
      </c>
      <c r="M4889" s="311"/>
      <c r="N4889" s="311">
        <f>+SUMIF('Input Sheet'!$AE:$AE,P4889,'Input Sheet'!$X:$X)</f>
        <v>0</v>
      </c>
      <c r="O4889" s="311"/>
      <c r="P4889" t="str">
        <f t="shared" si="403"/>
        <v>112-7100D</v>
      </c>
      <c r="Q4889" s="315" t="str">
        <f t="shared" si="404"/>
        <v>LEX New Vehicle</v>
      </c>
      <c r="R4889" s="315" t="str">
        <f t="shared" si="405"/>
        <v>LEX New VehicleDemo Expenses (incl. interest) p.u.</v>
      </c>
      <c r="S4889" s="199"/>
      <c r="T4889" s="199"/>
      <c r="U4889" s="199"/>
    </row>
    <row r="4890" spans="1:21" x14ac:dyDescent="0.25">
      <c r="A4890" t="s">
        <v>996</v>
      </c>
      <c r="B4890" t="s">
        <v>997</v>
      </c>
      <c r="C4890" t="s">
        <v>997</v>
      </c>
      <c r="D4890" t="s">
        <v>1578</v>
      </c>
      <c r="E4890">
        <v>100</v>
      </c>
      <c r="F4890" t="s">
        <v>1319</v>
      </c>
      <c r="G4890" t="s">
        <v>1320</v>
      </c>
      <c r="H4890" s="315" t="s">
        <v>29</v>
      </c>
      <c r="I4890" s="315" t="s">
        <v>1314</v>
      </c>
      <c r="J4890" s="315" t="str">
        <f t="shared" si="401"/>
        <v>New VehicleDemo Expenses (incl. interest) p.u.</v>
      </c>
      <c r="K4890" s="315" t="str">
        <f t="shared" si="402"/>
        <v>100NV Demo Expenses - Toyota</v>
      </c>
      <c r="L4890" s="311">
        <f>+SUMIF('TUNZ Extracted TB'!M:M,$P4890,'TUNZ Extracted TB'!G:G)</f>
        <v>0</v>
      </c>
      <c r="M4890" s="311"/>
      <c r="N4890" s="311">
        <f>+SUMIF('Input Sheet'!$AE:$AE,P4890,'Input Sheet'!$X:$X)</f>
        <v>0</v>
      </c>
      <c r="O4890" s="311"/>
      <c r="P4890" t="str">
        <f t="shared" si="403"/>
        <v>100-7100D</v>
      </c>
      <c r="Q4890" s="315" t="str">
        <f t="shared" si="404"/>
        <v>New Vehicle</v>
      </c>
      <c r="R4890" s="315" t="str">
        <f t="shared" si="405"/>
        <v>New VehicleDemo Expenses (incl. interest) p.u.</v>
      </c>
      <c r="S4890" s="199"/>
      <c r="T4890" s="199"/>
      <c r="U4890" s="199"/>
    </row>
    <row r="4891" spans="1:21" x14ac:dyDescent="0.25">
      <c r="A4891" t="s">
        <v>996</v>
      </c>
      <c r="B4891" t="s">
        <v>997</v>
      </c>
      <c r="C4891" t="s">
        <v>997</v>
      </c>
      <c r="D4891" t="s">
        <v>1578</v>
      </c>
      <c r="E4891">
        <v>110</v>
      </c>
      <c r="F4891" t="s">
        <v>1319</v>
      </c>
      <c r="G4891" t="s">
        <v>1320</v>
      </c>
      <c r="H4891" s="315" t="s">
        <v>29</v>
      </c>
      <c r="I4891" s="315" t="s">
        <v>1314</v>
      </c>
      <c r="J4891" s="315" t="str">
        <f t="shared" si="401"/>
        <v>New VehicleDemo Expenses (incl. interest) p.u.</v>
      </c>
      <c r="K4891" s="315" t="str">
        <f t="shared" si="402"/>
        <v>110NV Demo Expenses - Toyota</v>
      </c>
      <c r="L4891" s="311">
        <f>+SUMIF('TUNZ Extracted TB'!M:M,$P4891,'TUNZ Extracted TB'!G:G)</f>
        <v>0</v>
      </c>
      <c r="M4891" s="311"/>
      <c r="N4891" s="311">
        <f>+SUMIF('Input Sheet'!$AE:$AE,P4891,'Input Sheet'!$X:$X)</f>
        <v>0</v>
      </c>
      <c r="O4891" s="311"/>
      <c r="P4891" t="str">
        <f t="shared" si="403"/>
        <v>110-7100D</v>
      </c>
      <c r="Q4891" s="315" t="str">
        <f t="shared" si="404"/>
        <v>New Vehicle</v>
      </c>
      <c r="R4891" s="315" t="str">
        <f t="shared" si="405"/>
        <v>New VehicleDemo Expenses (incl. interest) p.u.</v>
      </c>
      <c r="S4891" s="199"/>
      <c r="T4891" s="199"/>
      <c r="U4891" s="199"/>
    </row>
    <row r="4892" spans="1:21" x14ac:dyDescent="0.25">
      <c r="A4892" t="s">
        <v>996</v>
      </c>
      <c r="B4892" t="s">
        <v>997</v>
      </c>
      <c r="C4892" t="s">
        <v>997</v>
      </c>
      <c r="D4892" t="s">
        <v>1578</v>
      </c>
      <c r="E4892">
        <v>170</v>
      </c>
      <c r="F4892" t="s">
        <v>1319</v>
      </c>
      <c r="G4892" t="s">
        <v>1320</v>
      </c>
      <c r="H4892" s="315" t="s">
        <v>29</v>
      </c>
      <c r="I4892" s="315" t="s">
        <v>1314</v>
      </c>
      <c r="J4892" s="315" t="str">
        <f t="shared" si="401"/>
        <v>New VehicleDemo Expenses (incl. interest) p.u.</v>
      </c>
      <c r="K4892" s="315" t="str">
        <f t="shared" si="402"/>
        <v>170NV Demo Expenses - Toyota</v>
      </c>
      <c r="L4892" s="311">
        <f>+SUMIF('TUNZ Extracted TB'!M:M,$P4892,'TUNZ Extracted TB'!G:G)</f>
        <v>0</v>
      </c>
      <c r="M4892" s="311"/>
      <c r="N4892" s="311">
        <f>+SUMIF('Input Sheet'!$AE:$AE,P4892,'Input Sheet'!$X:$X)</f>
        <v>0</v>
      </c>
      <c r="O4892" s="311"/>
      <c r="P4892" t="str">
        <f t="shared" si="403"/>
        <v>170-7100D</v>
      </c>
      <c r="Q4892" s="315" t="str">
        <f t="shared" si="404"/>
        <v>New Vehicle</v>
      </c>
      <c r="R4892" s="315" t="str">
        <f t="shared" si="405"/>
        <v>New VehicleDemo Expenses (incl. interest) p.u.</v>
      </c>
      <c r="S4892" s="199"/>
      <c r="T4892" s="199"/>
      <c r="U4892" s="199"/>
    </row>
    <row r="4893" spans="1:21" x14ac:dyDescent="0.25">
      <c r="A4893" t="s">
        <v>996</v>
      </c>
      <c r="B4893" t="s">
        <v>997</v>
      </c>
      <c r="C4893" t="s">
        <v>997</v>
      </c>
      <c r="D4893" t="s">
        <v>683</v>
      </c>
      <c r="E4893">
        <v>160</v>
      </c>
      <c r="F4893" t="s">
        <v>1168</v>
      </c>
      <c r="G4893" t="s">
        <v>1169</v>
      </c>
      <c r="H4893" s="315" t="s">
        <v>16</v>
      </c>
      <c r="I4893" s="315" t="s">
        <v>1090</v>
      </c>
      <c r="J4893" s="315" t="str">
        <f t="shared" si="401"/>
        <v>F&amp;IToyota Care Income per vehicle retailed</v>
      </c>
      <c r="K4893" s="315" t="str">
        <f t="shared" si="402"/>
        <v>160Toyota Care Cost of Sales - Toyota</v>
      </c>
      <c r="L4893" s="311">
        <f>+SUMIF('TUNZ Extracted TB'!M:M,$P4893,'TUNZ Extracted TB'!G:G)</f>
        <v>8614.24</v>
      </c>
      <c r="M4893" s="311"/>
      <c r="N4893" s="311">
        <f>+SUMIF('Input Sheet'!$AE:$AE,P4893,'Input Sheet'!$X:$X)</f>
        <v>0</v>
      </c>
      <c r="O4893" s="311"/>
      <c r="P4893" t="str">
        <f t="shared" si="403"/>
        <v>160-4180R</v>
      </c>
      <c r="Q4893" s="315" t="str">
        <f t="shared" si="404"/>
        <v>F&amp;I</v>
      </c>
      <c r="R4893" s="315" t="str">
        <f t="shared" si="405"/>
        <v>F&amp;IToyota Care Income per vehicle retailed</v>
      </c>
      <c r="S4893" s="199"/>
      <c r="T4893" s="199"/>
      <c r="U4893" s="199"/>
    </row>
    <row r="4894" spans="1:21" x14ac:dyDescent="0.25">
      <c r="A4894" t="s">
        <v>996</v>
      </c>
      <c r="B4894" t="s">
        <v>997</v>
      </c>
      <c r="C4894" t="s">
        <v>1005</v>
      </c>
      <c r="D4894" t="s">
        <v>683</v>
      </c>
      <c r="E4894">
        <v>260</v>
      </c>
      <c r="F4894" t="s">
        <v>1168</v>
      </c>
      <c r="G4894" t="s">
        <v>1169</v>
      </c>
      <c r="H4894" s="315" t="s">
        <v>16</v>
      </c>
      <c r="I4894" s="315" t="s">
        <v>1090</v>
      </c>
      <c r="J4894" s="315" t="str">
        <f t="shared" si="401"/>
        <v>F&amp;IToyota Care Income per vehicle retailed</v>
      </c>
      <c r="K4894" s="315" t="str">
        <f t="shared" si="402"/>
        <v>260Toyota Care Cost of Sales - Toyota</v>
      </c>
      <c r="L4894" s="311">
        <f>+SUMIF('TUNZ Extracted TB'!M:M,$P4894,'TUNZ Extracted TB'!G:G)</f>
        <v>0</v>
      </c>
      <c r="M4894" s="311"/>
      <c r="N4894" s="311">
        <f>+SUMIF('Input Sheet'!$AE:$AE,P4894,'Input Sheet'!$X:$X)</f>
        <v>0</v>
      </c>
      <c r="O4894" s="311"/>
      <c r="P4894" t="str">
        <f t="shared" si="403"/>
        <v>260-4180R</v>
      </c>
      <c r="Q4894" s="315" t="str">
        <f t="shared" si="404"/>
        <v>F&amp;I</v>
      </c>
      <c r="R4894" s="315" t="str">
        <f t="shared" si="405"/>
        <v>F&amp;IToyota Care Income per vehicle retailed</v>
      </c>
      <c r="S4894" s="199"/>
      <c r="T4894" s="199"/>
      <c r="U4894" s="199"/>
    </row>
    <row r="4895" spans="1:21" x14ac:dyDescent="0.25">
      <c r="A4895" t="s">
        <v>996</v>
      </c>
      <c r="B4895" t="s">
        <v>997</v>
      </c>
      <c r="C4895" t="s">
        <v>1012</v>
      </c>
      <c r="D4895" t="s">
        <v>1579</v>
      </c>
      <c r="E4895">
        <v>440</v>
      </c>
      <c r="F4895" t="s">
        <v>1194</v>
      </c>
      <c r="G4895" t="s">
        <v>1195</v>
      </c>
      <c r="H4895" s="315" t="s">
        <v>17</v>
      </c>
      <c r="I4895" s="315" t="s">
        <v>1196</v>
      </c>
      <c r="J4895" s="315" t="str">
        <f t="shared" si="401"/>
        <v>ServiceMiscellaneous Gross Profit % of Sales</v>
      </c>
      <c r="K4895" s="315" t="str">
        <f t="shared" si="402"/>
        <v>440Service Miscellaneous COS - Toyota</v>
      </c>
      <c r="L4895" s="311">
        <f>+SUMIF('TUNZ Extracted TB'!M:M,$P4895,'TUNZ Extracted TB'!G:G)</f>
        <v>0</v>
      </c>
      <c r="M4895" s="311"/>
      <c r="N4895" s="311">
        <f>+SUMIF('Input Sheet'!$AE:$AE,P4895,'Input Sheet'!$X:$X)</f>
        <v>0</v>
      </c>
      <c r="O4895" s="311"/>
      <c r="P4895" t="str">
        <f t="shared" si="403"/>
        <v>440-4400L</v>
      </c>
      <c r="Q4895" s="315" t="str">
        <f t="shared" si="404"/>
        <v>Service</v>
      </c>
      <c r="R4895" s="315" t="str">
        <f t="shared" si="405"/>
        <v>ServiceMiscellaneous Gross Profit % of Sales</v>
      </c>
      <c r="S4895" s="199"/>
      <c r="T4895" s="199"/>
      <c r="U4895" s="199"/>
    </row>
    <row r="4896" spans="1:21" x14ac:dyDescent="0.25">
      <c r="A4896" t="s">
        <v>996</v>
      </c>
      <c r="B4896" t="s">
        <v>997</v>
      </c>
      <c r="C4896" t="s">
        <v>997</v>
      </c>
      <c r="D4896" t="s">
        <v>1579</v>
      </c>
      <c r="E4896">
        <v>147</v>
      </c>
      <c r="F4896" t="s">
        <v>1194</v>
      </c>
      <c r="G4896" t="s">
        <v>1195</v>
      </c>
      <c r="H4896" s="315" t="s">
        <v>17</v>
      </c>
      <c r="I4896" s="315" t="s">
        <v>1196</v>
      </c>
      <c r="J4896" s="315" t="str">
        <f t="shared" si="401"/>
        <v>ServiceMiscellaneous Gross Profit % of Sales</v>
      </c>
      <c r="K4896" s="315" t="str">
        <f t="shared" si="402"/>
        <v>147Service Miscellaneous COS - Toyota</v>
      </c>
      <c r="L4896" s="311">
        <f>+SUMIF('TUNZ Extracted TB'!M:M,$P4896,'TUNZ Extracted TB'!G:G)</f>
        <v>0</v>
      </c>
      <c r="M4896" s="311"/>
      <c r="N4896" s="311">
        <f>+SUMIF('Input Sheet'!$AE:$AE,P4896,'Input Sheet'!$X:$X)</f>
        <v>0</v>
      </c>
      <c r="O4896" s="311"/>
      <c r="P4896" t="str">
        <f t="shared" si="403"/>
        <v>147-4400L</v>
      </c>
      <c r="Q4896" s="315" t="str">
        <f t="shared" si="404"/>
        <v>Service</v>
      </c>
      <c r="R4896" s="315" t="str">
        <f t="shared" si="405"/>
        <v>ServiceMiscellaneous Gross Profit % of Sales</v>
      </c>
      <c r="S4896" s="199"/>
      <c r="T4896" s="199"/>
      <c r="U4896" s="199"/>
    </row>
    <row r="4897" spans="1:21" x14ac:dyDescent="0.25">
      <c r="A4897" t="s">
        <v>996</v>
      </c>
      <c r="B4897" t="s">
        <v>997</v>
      </c>
      <c r="C4897" t="s">
        <v>1012</v>
      </c>
      <c r="D4897" t="s">
        <v>1580</v>
      </c>
      <c r="E4897">
        <v>440</v>
      </c>
      <c r="F4897" t="s">
        <v>1194</v>
      </c>
      <c r="G4897" t="s">
        <v>1195</v>
      </c>
      <c r="H4897" s="315" t="s">
        <v>17</v>
      </c>
      <c r="I4897" s="315" t="s">
        <v>1196</v>
      </c>
      <c r="J4897" s="315" t="str">
        <f t="shared" si="401"/>
        <v>ServiceMiscellaneous Gross Profit % of Sales</v>
      </c>
      <c r="K4897" s="315" t="str">
        <f t="shared" si="402"/>
        <v>440Service Miscellaneous COS - Toyota</v>
      </c>
      <c r="L4897" s="311">
        <f>+SUMIF('TUNZ Extracted TB'!M:M,$P4897,'TUNZ Extracted TB'!G:G)</f>
        <v>0</v>
      </c>
      <c r="M4897" s="311"/>
      <c r="N4897" s="311">
        <f>+SUMIF('Input Sheet'!$AE:$AE,P4897,'Input Sheet'!$X:$X)</f>
        <v>0</v>
      </c>
      <c r="O4897" s="311"/>
      <c r="P4897" t="str">
        <f t="shared" si="403"/>
        <v>440-4400P</v>
      </c>
      <c r="Q4897" s="315" t="str">
        <f t="shared" si="404"/>
        <v>Service</v>
      </c>
      <c r="R4897" s="315" t="str">
        <f t="shared" si="405"/>
        <v>ServiceMiscellaneous Gross Profit % of Sales</v>
      </c>
      <c r="S4897" s="199"/>
      <c r="T4897" s="199"/>
      <c r="U4897" s="199"/>
    </row>
    <row r="4898" spans="1:21" x14ac:dyDescent="0.25">
      <c r="A4898" t="s">
        <v>996</v>
      </c>
      <c r="B4898" t="s">
        <v>997</v>
      </c>
      <c r="C4898" t="s">
        <v>997</v>
      </c>
      <c r="D4898" t="s">
        <v>1580</v>
      </c>
      <c r="E4898">
        <v>147</v>
      </c>
      <c r="F4898" t="s">
        <v>1194</v>
      </c>
      <c r="G4898" t="s">
        <v>1195</v>
      </c>
      <c r="H4898" s="315" t="s">
        <v>17</v>
      </c>
      <c r="I4898" s="315" t="s">
        <v>1196</v>
      </c>
      <c r="J4898" s="315" t="str">
        <f t="shared" si="401"/>
        <v>ServiceMiscellaneous Gross Profit % of Sales</v>
      </c>
      <c r="K4898" s="315" t="str">
        <f t="shared" si="402"/>
        <v>147Service Miscellaneous COS - Toyota</v>
      </c>
      <c r="L4898" s="311">
        <f>+SUMIF('TUNZ Extracted TB'!M:M,$P4898,'TUNZ Extracted TB'!G:G)</f>
        <v>0</v>
      </c>
      <c r="M4898" s="311"/>
      <c r="N4898" s="311">
        <f>+SUMIF('Input Sheet'!$AE:$AE,P4898,'Input Sheet'!$X:$X)</f>
        <v>0</v>
      </c>
      <c r="O4898" s="311"/>
      <c r="P4898" t="str">
        <f t="shared" si="403"/>
        <v>147-4400P</v>
      </c>
      <c r="Q4898" s="315" t="str">
        <f t="shared" si="404"/>
        <v>Service</v>
      </c>
      <c r="R4898" s="315" t="str">
        <f t="shared" si="405"/>
        <v>ServiceMiscellaneous Gross Profit % of Sales</v>
      </c>
      <c r="S4898" s="199"/>
      <c r="T4898" s="199"/>
      <c r="U4898" s="199"/>
    </row>
    <row r="4899" spans="1:21" x14ac:dyDescent="0.25">
      <c r="A4899" t="s">
        <v>996</v>
      </c>
      <c r="B4899" t="s">
        <v>997</v>
      </c>
      <c r="C4899" t="s">
        <v>997</v>
      </c>
      <c r="D4899" t="s">
        <v>1581</v>
      </c>
      <c r="E4899">
        <v>112</v>
      </c>
      <c r="F4899" t="s">
        <v>1312</v>
      </c>
      <c r="G4899" t="s">
        <v>1313</v>
      </c>
      <c r="H4899" s="315" t="s">
        <v>1011</v>
      </c>
      <c r="I4899" s="315" t="s">
        <v>1314</v>
      </c>
      <c r="J4899" s="315" t="str">
        <f t="shared" si="401"/>
        <v>LEX New VehicleDemo Expenses (incl. interest) p.u.</v>
      </c>
      <c r="K4899" s="315" t="str">
        <f t="shared" si="402"/>
        <v>112NV Demo Expenses - Lexus</v>
      </c>
      <c r="L4899" s="311">
        <f>+SUMIF('TUNZ Extracted TB'!M:M,$P4899,'TUNZ Extracted TB'!G:G)</f>
        <v>0</v>
      </c>
      <c r="M4899" s="311"/>
      <c r="N4899" s="311">
        <f>+SUMIF('Input Sheet'!$AE:$AE,P4899,'Input Sheet'!$X:$X)</f>
        <v>0</v>
      </c>
      <c r="O4899" s="311"/>
      <c r="P4899" t="str">
        <f t="shared" si="403"/>
        <v>112-7100V</v>
      </c>
      <c r="Q4899" s="315" t="str">
        <f t="shared" si="404"/>
        <v>LEX New Vehicle</v>
      </c>
      <c r="R4899" s="315" t="str">
        <f t="shared" si="405"/>
        <v>LEX New VehicleDemo Expenses (incl. interest) p.u.</v>
      </c>
      <c r="S4899" s="199"/>
      <c r="T4899" s="199"/>
      <c r="U4899" s="199"/>
    </row>
    <row r="4900" spans="1:21" x14ac:dyDescent="0.25">
      <c r="A4900" t="s">
        <v>996</v>
      </c>
      <c r="B4900" t="s">
        <v>997</v>
      </c>
      <c r="C4900" t="s">
        <v>997</v>
      </c>
      <c r="D4900" t="s">
        <v>1581</v>
      </c>
      <c r="E4900">
        <v>100</v>
      </c>
      <c r="F4900" t="s">
        <v>1319</v>
      </c>
      <c r="G4900" t="s">
        <v>1320</v>
      </c>
      <c r="H4900" s="315" t="s">
        <v>29</v>
      </c>
      <c r="I4900" s="315" t="s">
        <v>1314</v>
      </c>
      <c r="J4900" s="315" t="str">
        <f t="shared" si="401"/>
        <v>New VehicleDemo Expenses (incl. interest) p.u.</v>
      </c>
      <c r="K4900" s="315" t="str">
        <f t="shared" si="402"/>
        <v>100NV Demo Expenses - Toyota</v>
      </c>
      <c r="L4900" s="311">
        <f>+SUMIF('TUNZ Extracted TB'!M:M,$P4900,'TUNZ Extracted TB'!G:G)</f>
        <v>0</v>
      </c>
      <c r="M4900" s="311"/>
      <c r="N4900" s="311">
        <f>+SUMIF('Input Sheet'!$AE:$AE,P4900,'Input Sheet'!$X:$X)</f>
        <v>0</v>
      </c>
      <c r="O4900" s="311"/>
      <c r="P4900" t="str">
        <f t="shared" si="403"/>
        <v>100-7100V</v>
      </c>
      <c r="Q4900" s="315" t="str">
        <f t="shared" si="404"/>
        <v>New Vehicle</v>
      </c>
      <c r="R4900" s="315" t="str">
        <f t="shared" si="405"/>
        <v>New VehicleDemo Expenses (incl. interest) p.u.</v>
      </c>
      <c r="S4900" s="199"/>
      <c r="T4900" s="199"/>
      <c r="U4900" s="199"/>
    </row>
    <row r="4901" spans="1:21" x14ac:dyDescent="0.25">
      <c r="A4901" t="s">
        <v>996</v>
      </c>
      <c r="B4901" t="s">
        <v>997</v>
      </c>
      <c r="C4901" t="s">
        <v>1005</v>
      </c>
      <c r="D4901">
        <v>7020</v>
      </c>
      <c r="E4901">
        <v>200</v>
      </c>
      <c r="F4901" t="s">
        <v>1265</v>
      </c>
      <c r="G4901" t="s">
        <v>1266</v>
      </c>
      <c r="H4901" s="315" t="s">
        <v>29</v>
      </c>
      <c r="I4901" s="315" t="s">
        <v>1267</v>
      </c>
      <c r="J4901" s="315" t="str">
        <f t="shared" si="401"/>
        <v>New VehicleCommission p.u.</v>
      </c>
      <c r="K4901" s="315" t="str">
        <f t="shared" si="402"/>
        <v>200NV Commission - Toyota</v>
      </c>
      <c r="L4901" s="311">
        <f>+SUMIF('TUNZ Extracted TB'!M:M,$P4901,'TUNZ Extracted TB'!G:G)</f>
        <v>0</v>
      </c>
      <c r="M4901" s="311"/>
      <c r="N4901" s="311">
        <f>+SUMIF('Input Sheet'!$AE:$AE,P4901,'Input Sheet'!$X:$X)</f>
        <v>25000</v>
      </c>
      <c r="O4901" s="311"/>
      <c r="P4901" t="str">
        <f t="shared" si="403"/>
        <v>200-7020</v>
      </c>
      <c r="Q4901" s="315" t="str">
        <f t="shared" si="404"/>
        <v>New Vehicle</v>
      </c>
      <c r="R4901" s="315" t="str">
        <f t="shared" si="405"/>
        <v>New VehicleCommission p.u.</v>
      </c>
      <c r="S4901" s="199"/>
      <c r="T4901" s="199"/>
      <c r="U4901" s="199"/>
    </row>
    <row r="4902" spans="1:21" x14ac:dyDescent="0.25">
      <c r="A4902" t="s">
        <v>996</v>
      </c>
      <c r="B4902" t="s">
        <v>997</v>
      </c>
      <c r="C4902" t="s">
        <v>997</v>
      </c>
      <c r="D4902" t="s">
        <v>1578</v>
      </c>
      <c r="E4902">
        <v>132</v>
      </c>
      <c r="F4902" t="s">
        <v>1321</v>
      </c>
      <c r="G4902" t="s">
        <v>1322</v>
      </c>
      <c r="H4902" s="315" t="s">
        <v>143</v>
      </c>
      <c r="I4902" s="315" t="s">
        <v>1222</v>
      </c>
      <c r="J4902" s="315" t="str">
        <f t="shared" si="401"/>
        <v>LEX PartsOther Sales Gross Profit % of Sales</v>
      </c>
      <c r="K4902" s="315" t="str">
        <f t="shared" si="402"/>
        <v>132Parts Other Expenses - Lexus</v>
      </c>
      <c r="L4902" s="311">
        <f>+SUMIF('TUNZ Extracted TB'!M:M,$P4902,'TUNZ Extracted TB'!G:G)</f>
        <v>0</v>
      </c>
      <c r="M4902" s="311"/>
      <c r="N4902" s="311">
        <f>+SUMIF('Input Sheet'!$AE:$AE,P4902,'Input Sheet'!$X:$X)</f>
        <v>0</v>
      </c>
      <c r="O4902" s="311"/>
      <c r="P4902" t="str">
        <f t="shared" si="403"/>
        <v>132-7100D</v>
      </c>
      <c r="Q4902" s="315" t="str">
        <f t="shared" si="404"/>
        <v>LEX Parts</v>
      </c>
      <c r="R4902" s="315" t="str">
        <f t="shared" si="405"/>
        <v>LEX PartsOther Sales Gross Profit % of Sales</v>
      </c>
      <c r="S4902" s="199"/>
      <c r="T4902" s="199"/>
      <c r="U4902" s="199"/>
    </row>
    <row r="4903" spans="1:21" x14ac:dyDescent="0.25">
      <c r="A4903" t="s">
        <v>996</v>
      </c>
      <c r="B4903" t="s">
        <v>997</v>
      </c>
      <c r="C4903" t="s">
        <v>997</v>
      </c>
      <c r="D4903" t="s">
        <v>1578</v>
      </c>
      <c r="E4903">
        <v>122</v>
      </c>
      <c r="F4903" t="s">
        <v>1282</v>
      </c>
      <c r="G4903" t="s">
        <v>1283</v>
      </c>
      <c r="H4903" s="315" t="s">
        <v>1041</v>
      </c>
      <c r="I4903" s="315" t="s">
        <v>1327</v>
      </c>
      <c r="J4903" s="315" t="str">
        <f t="shared" si="401"/>
        <v>LEX Used VehicleOther Semi-Fixed expenses per retail</v>
      </c>
      <c r="K4903" s="315" t="str">
        <f t="shared" si="402"/>
        <v>122Lexus UV Other Variable expense</v>
      </c>
      <c r="L4903" s="311">
        <f>+SUMIF('TUNZ Extracted TB'!M:M,$P4903,'TUNZ Extracted TB'!G:G)</f>
        <v>0</v>
      </c>
      <c r="M4903" s="311"/>
      <c r="N4903" s="311">
        <f>+SUMIF('Input Sheet'!$AE:$AE,P4903,'Input Sheet'!$X:$X)</f>
        <v>0</v>
      </c>
      <c r="O4903" s="311"/>
      <c r="P4903" t="str">
        <f t="shared" si="403"/>
        <v>122-7100D</v>
      </c>
      <c r="Q4903" s="315" t="str">
        <f t="shared" si="404"/>
        <v>LEX Used Vehicle</v>
      </c>
      <c r="R4903" s="315" t="str">
        <f t="shared" si="405"/>
        <v>LEX Used VehicleOther Semi-Fixed expenses per retail</v>
      </c>
      <c r="S4903" s="199"/>
      <c r="T4903" s="199"/>
      <c r="U4903" s="199"/>
    </row>
    <row r="4904" spans="1:21" x14ac:dyDescent="0.25">
      <c r="A4904" t="s">
        <v>996</v>
      </c>
      <c r="B4904" t="s">
        <v>997</v>
      </c>
      <c r="C4904" t="s">
        <v>1005</v>
      </c>
      <c r="D4904">
        <v>7080</v>
      </c>
      <c r="E4904">
        <v>200</v>
      </c>
      <c r="F4904" t="s">
        <v>1296</v>
      </c>
      <c r="G4904" t="s">
        <v>1297</v>
      </c>
      <c r="H4904" s="315" t="s">
        <v>29</v>
      </c>
      <c r="I4904" s="315" t="s">
        <v>1298</v>
      </c>
      <c r="J4904" s="315" t="str">
        <f t="shared" si="401"/>
        <v>New VehicleAdvertising p.u.</v>
      </c>
      <c r="K4904" s="315" t="str">
        <f t="shared" si="402"/>
        <v>200NV Advertising &amp; Promotion - Toyota</v>
      </c>
      <c r="L4904" s="311">
        <f>+SUMIF('TUNZ Extracted TB'!M:M,$P4904,'TUNZ Extracted TB'!G:G)</f>
        <v>0</v>
      </c>
      <c r="M4904" s="311"/>
      <c r="N4904" s="311">
        <f>+SUMIF('Input Sheet'!$AE:$AE,P4904,'Input Sheet'!$X:$X)</f>
        <v>45833.333333333336</v>
      </c>
      <c r="O4904" s="311"/>
      <c r="P4904" t="str">
        <f t="shared" si="403"/>
        <v>200-7080</v>
      </c>
      <c r="Q4904" s="315" t="str">
        <f t="shared" si="404"/>
        <v>New Vehicle</v>
      </c>
      <c r="R4904" s="315" t="str">
        <f t="shared" si="405"/>
        <v>New VehicleAdvertising p.u.</v>
      </c>
      <c r="S4904" s="199"/>
      <c r="T4904" s="199"/>
      <c r="U4904" s="199"/>
    </row>
    <row r="4905" spans="1:21" x14ac:dyDescent="0.25">
      <c r="A4905" t="s">
        <v>996</v>
      </c>
      <c r="B4905" t="s">
        <v>997</v>
      </c>
      <c r="C4905" t="s">
        <v>997</v>
      </c>
      <c r="D4905" t="s">
        <v>1578</v>
      </c>
      <c r="E4905">
        <v>147</v>
      </c>
      <c r="F4905" t="s">
        <v>1289</v>
      </c>
      <c r="G4905" t="s">
        <v>1290</v>
      </c>
      <c r="H4905" s="315" t="s">
        <v>17</v>
      </c>
      <c r="I4905" s="315" t="s">
        <v>1286</v>
      </c>
      <c r="J4905" s="315" t="str">
        <f t="shared" si="401"/>
        <v>ServiceOther Expenses as % of Sales</v>
      </c>
      <c r="K4905" s="315" t="str">
        <f t="shared" si="402"/>
        <v>147Service Other expenses - Toyota</v>
      </c>
      <c r="L4905" s="311">
        <f>+SUMIF('TUNZ Extracted TB'!M:M,$P4905,'TUNZ Extracted TB'!G:G)</f>
        <v>0</v>
      </c>
      <c r="M4905" s="311"/>
      <c r="N4905" s="311">
        <f>+SUMIF('Input Sheet'!$AE:$AE,P4905,'Input Sheet'!$X:$X)</f>
        <v>0</v>
      </c>
      <c r="O4905" s="311"/>
      <c r="P4905" t="str">
        <f t="shared" si="403"/>
        <v>147-7100D</v>
      </c>
      <c r="Q4905" s="315" t="str">
        <f t="shared" si="404"/>
        <v>Service</v>
      </c>
      <c r="R4905" s="315" t="str">
        <f t="shared" si="405"/>
        <v>ServiceOther Expenses as % of Sales</v>
      </c>
      <c r="S4905" s="199"/>
      <c r="T4905" s="199"/>
      <c r="U4905" s="199"/>
    </row>
    <row r="4906" spans="1:21" x14ac:dyDescent="0.25">
      <c r="A4906" t="s">
        <v>996</v>
      </c>
      <c r="B4906" t="s">
        <v>997</v>
      </c>
      <c r="C4906" t="s">
        <v>997</v>
      </c>
      <c r="D4906" t="s">
        <v>1578</v>
      </c>
      <c r="E4906">
        <v>120</v>
      </c>
      <c r="F4906" t="s">
        <v>1328</v>
      </c>
      <c r="G4906" t="s">
        <v>1329</v>
      </c>
      <c r="H4906" s="315" t="s">
        <v>30</v>
      </c>
      <c r="I4906" s="315" t="s">
        <v>1327</v>
      </c>
      <c r="J4906" s="315" t="str">
        <f t="shared" si="401"/>
        <v>Used VehicleOther Semi-Fixed expenses per retail</v>
      </c>
      <c r="K4906" s="315" t="str">
        <f t="shared" si="402"/>
        <v>120Toyota UV Other Semi-Fixed expenses</v>
      </c>
      <c r="L4906" s="311">
        <f>+SUMIF('TUNZ Extracted TB'!M:M,$P4906,'TUNZ Extracted TB'!G:G)</f>
        <v>0</v>
      </c>
      <c r="M4906" s="311"/>
      <c r="N4906" s="311">
        <f>+SUMIF('Input Sheet'!$AE:$AE,P4906,'Input Sheet'!$X:$X)</f>
        <v>0</v>
      </c>
      <c r="O4906" s="311"/>
      <c r="P4906" t="str">
        <f t="shared" si="403"/>
        <v>120-7100D</v>
      </c>
      <c r="Q4906" s="315" t="str">
        <f t="shared" si="404"/>
        <v>Used Vehicle</v>
      </c>
      <c r="R4906" s="315" t="str">
        <f t="shared" si="405"/>
        <v>Used VehicleOther Semi-Fixed expenses per retail</v>
      </c>
      <c r="S4906" s="199"/>
      <c r="T4906" s="199"/>
      <c r="U4906" s="199"/>
    </row>
    <row r="4907" spans="1:21" x14ac:dyDescent="0.25">
      <c r="A4907" t="s">
        <v>996</v>
      </c>
      <c r="B4907" t="s">
        <v>997</v>
      </c>
      <c r="C4907" t="s">
        <v>997</v>
      </c>
      <c r="D4907" t="s">
        <v>1578</v>
      </c>
      <c r="E4907">
        <v>121</v>
      </c>
      <c r="F4907" t="s">
        <v>1328</v>
      </c>
      <c r="G4907" t="s">
        <v>1329</v>
      </c>
      <c r="H4907" s="315" t="s">
        <v>30</v>
      </c>
      <c r="I4907" s="315" t="s">
        <v>1327</v>
      </c>
      <c r="J4907" s="315" t="str">
        <f t="shared" si="401"/>
        <v>Used VehicleOther Semi-Fixed expenses per retail</v>
      </c>
      <c r="K4907" s="315" t="str">
        <f t="shared" si="402"/>
        <v>121Toyota UV Other Semi-Fixed expenses</v>
      </c>
      <c r="L4907" s="311">
        <f>+SUMIF('TUNZ Extracted TB'!M:M,$P4907,'TUNZ Extracted TB'!G:G)</f>
        <v>0</v>
      </c>
      <c r="M4907" s="311"/>
      <c r="N4907" s="311">
        <f>+SUMIF('Input Sheet'!$AE:$AE,P4907,'Input Sheet'!$X:$X)</f>
        <v>0</v>
      </c>
      <c r="O4907" s="311"/>
      <c r="P4907" t="str">
        <f t="shared" si="403"/>
        <v>121-7100D</v>
      </c>
      <c r="Q4907" s="315" t="str">
        <f t="shared" si="404"/>
        <v>Used Vehicle</v>
      </c>
      <c r="R4907" s="315" t="str">
        <f t="shared" si="405"/>
        <v>Used VehicleOther Semi-Fixed expenses per retail</v>
      </c>
      <c r="S4907" s="199"/>
      <c r="T4907" s="199"/>
      <c r="U4907" s="199"/>
    </row>
    <row r="4908" spans="1:21" x14ac:dyDescent="0.25">
      <c r="A4908" t="s">
        <v>996</v>
      </c>
      <c r="B4908" t="s">
        <v>997</v>
      </c>
      <c r="C4908" t="s">
        <v>997</v>
      </c>
      <c r="D4908" t="s">
        <v>1578</v>
      </c>
      <c r="E4908">
        <v>140</v>
      </c>
      <c r="F4908" t="s">
        <v>1289</v>
      </c>
      <c r="G4908" t="s">
        <v>1290</v>
      </c>
      <c r="H4908" s="315" t="s">
        <v>17</v>
      </c>
      <c r="I4908" s="315" t="s">
        <v>1286</v>
      </c>
      <c r="J4908" s="315" t="str">
        <f t="shared" si="401"/>
        <v>ServiceOther Expenses as % of Sales</v>
      </c>
      <c r="K4908" s="315" t="str">
        <f t="shared" si="402"/>
        <v>140Service Other expenses - Toyota</v>
      </c>
      <c r="L4908" s="311">
        <f>+SUMIF('TUNZ Extracted TB'!M:M,$P4908,'TUNZ Extracted TB'!G:G)</f>
        <v>0</v>
      </c>
      <c r="M4908" s="311"/>
      <c r="N4908" s="311">
        <f>+SUMIF('Input Sheet'!$AE:$AE,P4908,'Input Sheet'!$X:$X)</f>
        <v>0</v>
      </c>
      <c r="O4908" s="311"/>
      <c r="P4908" t="str">
        <f t="shared" si="403"/>
        <v>140-7100D</v>
      </c>
      <c r="Q4908" s="315" t="str">
        <f t="shared" si="404"/>
        <v>Service</v>
      </c>
      <c r="R4908" s="315" t="str">
        <f t="shared" si="405"/>
        <v>ServiceOther Expenses as % of Sales</v>
      </c>
      <c r="S4908" s="199"/>
      <c r="T4908" s="199"/>
      <c r="U4908" s="199"/>
    </row>
    <row r="4909" spans="1:21" x14ac:dyDescent="0.25">
      <c r="A4909" t="s">
        <v>996</v>
      </c>
      <c r="B4909" t="s">
        <v>997</v>
      </c>
      <c r="C4909" t="s">
        <v>997</v>
      </c>
      <c r="D4909" t="s">
        <v>1578</v>
      </c>
      <c r="E4909">
        <v>142</v>
      </c>
      <c r="F4909" t="s">
        <v>1284</v>
      </c>
      <c r="G4909" t="s">
        <v>1285</v>
      </c>
      <c r="H4909" s="315" t="s">
        <v>1022</v>
      </c>
      <c r="I4909" s="315" t="s">
        <v>1286</v>
      </c>
      <c r="J4909" s="315" t="str">
        <f t="shared" si="401"/>
        <v>Lex ServiceOther Expenses as % of Sales</v>
      </c>
      <c r="K4909" s="315" t="str">
        <f t="shared" si="402"/>
        <v>142Service Other expenses - Lexus</v>
      </c>
      <c r="L4909" s="311">
        <f>+SUMIF('TUNZ Extracted TB'!M:M,$P4909,'TUNZ Extracted TB'!G:G)</f>
        <v>0</v>
      </c>
      <c r="M4909" s="311"/>
      <c r="N4909" s="311">
        <f>+SUMIF('Input Sheet'!$AE:$AE,P4909,'Input Sheet'!$X:$X)</f>
        <v>0</v>
      </c>
      <c r="O4909" s="311"/>
      <c r="P4909" t="str">
        <f t="shared" si="403"/>
        <v>142-7100D</v>
      </c>
      <c r="Q4909" s="315" t="str">
        <f t="shared" si="404"/>
        <v>Lex Service</v>
      </c>
      <c r="R4909" s="315" t="str">
        <f t="shared" si="405"/>
        <v>Lex ServiceOther Expenses as % of Sales</v>
      </c>
      <c r="S4909" s="199"/>
      <c r="T4909" s="199"/>
      <c r="U4909" s="199"/>
    </row>
    <row r="4910" spans="1:21" x14ac:dyDescent="0.25">
      <c r="A4910" t="s">
        <v>996</v>
      </c>
      <c r="B4910" t="s">
        <v>997</v>
      </c>
      <c r="C4910" t="s">
        <v>997</v>
      </c>
      <c r="D4910">
        <v>7020</v>
      </c>
      <c r="E4910">
        <v>100</v>
      </c>
      <c r="F4910" t="s">
        <v>1265</v>
      </c>
      <c r="G4910" t="s">
        <v>1266</v>
      </c>
      <c r="H4910" s="315" t="s">
        <v>29</v>
      </c>
      <c r="I4910" s="315" t="s">
        <v>1267</v>
      </c>
      <c r="J4910" s="315" t="str">
        <f t="shared" si="401"/>
        <v>New VehicleCommission p.u.</v>
      </c>
      <c r="K4910" s="315" t="str">
        <f t="shared" si="402"/>
        <v>100NV Commission - Toyota</v>
      </c>
      <c r="L4910" s="311">
        <f>+SUMIF('TUNZ Extracted TB'!M:M,$P4910,'TUNZ Extracted TB'!G:G)</f>
        <v>0</v>
      </c>
      <c r="M4910" s="311"/>
      <c r="N4910" s="311">
        <f>+SUMIF('Input Sheet'!$AE:$AE,P4910,'Input Sheet'!$X:$X)</f>
        <v>50000</v>
      </c>
      <c r="O4910" s="311"/>
      <c r="P4910" t="str">
        <f t="shared" si="403"/>
        <v>100-7020</v>
      </c>
      <c r="Q4910" s="315" t="str">
        <f t="shared" si="404"/>
        <v>New Vehicle</v>
      </c>
      <c r="R4910" s="315" t="str">
        <f t="shared" si="405"/>
        <v>New VehicleCommission p.u.</v>
      </c>
      <c r="S4910" s="199"/>
      <c r="T4910" s="199"/>
      <c r="U4910" s="199"/>
    </row>
    <row r="4911" spans="1:21" x14ac:dyDescent="0.25">
      <c r="A4911" t="s">
        <v>996</v>
      </c>
      <c r="B4911" t="s">
        <v>997</v>
      </c>
      <c r="C4911" t="s">
        <v>997</v>
      </c>
      <c r="D4911">
        <v>7080</v>
      </c>
      <c r="E4911">
        <v>100</v>
      </c>
      <c r="F4911" t="s">
        <v>1296</v>
      </c>
      <c r="G4911" t="s">
        <v>1297</v>
      </c>
      <c r="H4911" s="315" t="s">
        <v>29</v>
      </c>
      <c r="I4911" s="315" t="s">
        <v>1298</v>
      </c>
      <c r="J4911" s="315" t="str">
        <f t="shared" si="401"/>
        <v>New VehicleAdvertising p.u.</v>
      </c>
      <c r="K4911" s="315" t="str">
        <f t="shared" si="402"/>
        <v>100NV Advertising &amp; Promotion - Toyota</v>
      </c>
      <c r="L4911" s="311">
        <f>+SUMIF('TUNZ Extracted TB'!M:M,$P4911,'TUNZ Extracted TB'!G:G)</f>
        <v>0</v>
      </c>
      <c r="M4911" s="311"/>
      <c r="N4911" s="311">
        <f>+SUMIF('Input Sheet'!$AE:$AE,P4911,'Input Sheet'!$X:$X)</f>
        <v>91666.666666666672</v>
      </c>
      <c r="O4911" s="311"/>
      <c r="P4911" t="str">
        <f t="shared" si="403"/>
        <v>100-7080</v>
      </c>
      <c r="Q4911" s="315" t="str">
        <f t="shared" si="404"/>
        <v>New Vehicle</v>
      </c>
      <c r="R4911" s="315" t="str">
        <f t="shared" si="405"/>
        <v>New VehicleAdvertising p.u.</v>
      </c>
      <c r="S4911" s="199"/>
      <c r="T4911" s="199"/>
      <c r="U4911" s="199"/>
    </row>
    <row r="4912" spans="1:21" x14ac:dyDescent="0.25">
      <c r="A4912" t="s">
        <v>996</v>
      </c>
      <c r="B4912" t="s">
        <v>997</v>
      </c>
      <c r="C4912" t="s">
        <v>997</v>
      </c>
      <c r="D4912" t="s">
        <v>1581</v>
      </c>
      <c r="E4912">
        <v>110</v>
      </c>
      <c r="F4912" t="s">
        <v>1328</v>
      </c>
      <c r="G4912" t="s">
        <v>1329</v>
      </c>
      <c r="H4912" s="315" t="s">
        <v>30</v>
      </c>
      <c r="I4912" s="315" t="s">
        <v>1327</v>
      </c>
      <c r="J4912" s="315" t="str">
        <f t="shared" si="401"/>
        <v>Used VehicleOther Semi-Fixed expenses per retail</v>
      </c>
      <c r="K4912" s="315" t="str">
        <f t="shared" si="402"/>
        <v>110Toyota UV Other Semi-Fixed expenses</v>
      </c>
      <c r="L4912" s="311">
        <f>+SUMIF('TUNZ Extracted TB'!M:M,$P4912,'TUNZ Extracted TB'!G:G)</f>
        <v>0</v>
      </c>
      <c r="M4912" s="311"/>
      <c r="N4912" s="311">
        <f>+SUMIF('Input Sheet'!$AE:$AE,P4912,'Input Sheet'!$X:$X)</f>
        <v>0</v>
      </c>
      <c r="O4912" s="311"/>
      <c r="P4912" t="str">
        <f t="shared" si="403"/>
        <v>110-7100V</v>
      </c>
      <c r="Q4912" s="315" t="str">
        <f t="shared" si="404"/>
        <v>Used Vehicle</v>
      </c>
      <c r="R4912" s="315" t="str">
        <f t="shared" si="405"/>
        <v>Used VehicleOther Semi-Fixed expenses per retail</v>
      </c>
      <c r="S4912" s="199"/>
      <c r="T4912" s="199"/>
      <c r="U4912" s="199"/>
    </row>
    <row r="4913" spans="1:21" x14ac:dyDescent="0.25">
      <c r="A4913" t="s">
        <v>996</v>
      </c>
      <c r="B4913" t="s">
        <v>997</v>
      </c>
      <c r="C4913" t="s">
        <v>997</v>
      </c>
      <c r="D4913" t="s">
        <v>1581</v>
      </c>
      <c r="E4913">
        <v>132</v>
      </c>
      <c r="F4913" t="s">
        <v>1321</v>
      </c>
      <c r="G4913" t="s">
        <v>1322</v>
      </c>
      <c r="H4913" s="315" t="s">
        <v>143</v>
      </c>
      <c r="I4913" s="315" t="s">
        <v>1222</v>
      </c>
      <c r="J4913" s="315" t="str">
        <f t="shared" si="401"/>
        <v>LEX PartsOther Sales Gross Profit % of Sales</v>
      </c>
      <c r="K4913" s="315" t="str">
        <f t="shared" si="402"/>
        <v>132Parts Other Expenses - Lexus</v>
      </c>
      <c r="L4913" s="311">
        <f>+SUMIF('TUNZ Extracted TB'!M:M,$P4913,'TUNZ Extracted TB'!G:G)</f>
        <v>0</v>
      </c>
      <c r="M4913" s="311"/>
      <c r="N4913" s="311">
        <f>+SUMIF('Input Sheet'!$AE:$AE,P4913,'Input Sheet'!$X:$X)</f>
        <v>0</v>
      </c>
      <c r="O4913" s="311"/>
      <c r="P4913" t="str">
        <f t="shared" si="403"/>
        <v>132-7100V</v>
      </c>
      <c r="Q4913" s="315" t="str">
        <f t="shared" si="404"/>
        <v>LEX Parts</v>
      </c>
      <c r="R4913" s="315" t="str">
        <f t="shared" si="405"/>
        <v>LEX PartsOther Sales Gross Profit % of Sales</v>
      </c>
      <c r="S4913" s="199"/>
      <c r="T4913" s="199"/>
      <c r="U4913" s="199"/>
    </row>
    <row r="4914" spans="1:21" x14ac:dyDescent="0.25">
      <c r="A4914" t="s">
        <v>996</v>
      </c>
      <c r="B4914" t="s">
        <v>997</v>
      </c>
      <c r="C4914" t="s">
        <v>997</v>
      </c>
      <c r="D4914" t="s">
        <v>1581</v>
      </c>
      <c r="E4914">
        <v>122</v>
      </c>
      <c r="F4914" t="s">
        <v>1325</v>
      </c>
      <c r="G4914" t="s">
        <v>1326</v>
      </c>
      <c r="H4914" s="315" t="s">
        <v>1041</v>
      </c>
      <c r="I4914" s="315" t="s">
        <v>1327</v>
      </c>
      <c r="J4914" s="315" t="str">
        <f t="shared" si="401"/>
        <v>LEX Used VehicleOther Semi-Fixed expenses per retail</v>
      </c>
      <c r="K4914" s="315" t="str">
        <f t="shared" si="402"/>
        <v>122Lexus UV Other Semi-Fixed expenses</v>
      </c>
      <c r="L4914" s="311">
        <f>+SUMIF('TUNZ Extracted TB'!M:M,$P4914,'TUNZ Extracted TB'!G:G)</f>
        <v>0</v>
      </c>
      <c r="M4914" s="311"/>
      <c r="N4914" s="311">
        <f>+SUMIF('Input Sheet'!$AE:$AE,P4914,'Input Sheet'!$X:$X)</f>
        <v>0</v>
      </c>
      <c r="O4914" s="311"/>
      <c r="P4914" t="str">
        <f t="shared" si="403"/>
        <v>122-7100V</v>
      </c>
      <c r="Q4914" s="315" t="str">
        <f t="shared" si="404"/>
        <v>LEX Used Vehicle</v>
      </c>
      <c r="R4914" s="315" t="str">
        <f t="shared" si="405"/>
        <v>LEX Used VehicleOther Semi-Fixed expenses per retail</v>
      </c>
      <c r="S4914" s="199"/>
      <c r="T4914" s="199"/>
      <c r="U4914" s="199"/>
    </row>
    <row r="4915" spans="1:21" x14ac:dyDescent="0.25">
      <c r="A4915" t="s">
        <v>996</v>
      </c>
      <c r="B4915" t="s">
        <v>997</v>
      </c>
      <c r="C4915" t="s">
        <v>997</v>
      </c>
      <c r="D4915" t="s">
        <v>1581</v>
      </c>
      <c r="E4915">
        <v>170</v>
      </c>
      <c r="F4915" t="s">
        <v>998</v>
      </c>
      <c r="G4915" t="s">
        <v>999</v>
      </c>
      <c r="H4915" s="315" t="s">
        <v>1000</v>
      </c>
      <c r="I4915" s="315" t="s">
        <v>1001</v>
      </c>
      <c r="J4915" s="315" t="str">
        <f t="shared" si="401"/>
        <v>Admin &amp; OtherOther Overheads as % of Total Gross Profit</v>
      </c>
      <c r="K4915" s="315" t="str">
        <f t="shared" si="402"/>
        <v>170Miscellaneous expenses - Toyota</v>
      </c>
      <c r="L4915" s="311">
        <f>+SUMIF('TUNZ Extracted TB'!M:M,$P4915,'TUNZ Extracted TB'!G:G)</f>
        <v>0</v>
      </c>
      <c r="M4915" s="311"/>
      <c r="N4915" s="311">
        <f>+SUMIF('Input Sheet'!$AE:$AE,P4915,'Input Sheet'!$X:$X)</f>
        <v>0</v>
      </c>
      <c r="O4915" s="311"/>
      <c r="P4915" t="str">
        <f t="shared" si="403"/>
        <v>170-7100V</v>
      </c>
      <c r="Q4915" s="315" t="str">
        <f t="shared" si="404"/>
        <v>Admin &amp; Other</v>
      </c>
      <c r="R4915" s="315" t="str">
        <f t="shared" si="405"/>
        <v>Admin &amp; OtherOther Overheads as % of Total Gross Profit</v>
      </c>
      <c r="S4915" s="199"/>
      <c r="T4915" s="199"/>
      <c r="U4915" s="199"/>
    </row>
    <row r="4916" spans="1:21" x14ac:dyDescent="0.25">
      <c r="A4916" t="s">
        <v>996</v>
      </c>
      <c r="B4916" t="s">
        <v>997</v>
      </c>
      <c r="C4916" t="s">
        <v>997</v>
      </c>
      <c r="D4916" t="s">
        <v>1581</v>
      </c>
      <c r="E4916">
        <v>147</v>
      </c>
      <c r="F4916" t="s">
        <v>1289</v>
      </c>
      <c r="G4916" t="s">
        <v>1290</v>
      </c>
      <c r="H4916" s="315" t="s">
        <v>17</v>
      </c>
      <c r="I4916" s="315" t="s">
        <v>1286</v>
      </c>
      <c r="J4916" s="315" t="str">
        <f t="shared" si="401"/>
        <v>ServiceOther Expenses as % of Sales</v>
      </c>
      <c r="K4916" s="315" t="str">
        <f t="shared" si="402"/>
        <v>147Service Other expenses - Toyota</v>
      </c>
      <c r="L4916" s="311">
        <f>+SUMIF('TUNZ Extracted TB'!M:M,$P4916,'TUNZ Extracted TB'!G:G)</f>
        <v>0</v>
      </c>
      <c r="M4916" s="311"/>
      <c r="N4916" s="311">
        <f>+SUMIF('Input Sheet'!$AE:$AE,P4916,'Input Sheet'!$X:$X)</f>
        <v>0</v>
      </c>
      <c r="O4916" s="311"/>
      <c r="P4916" t="str">
        <f t="shared" si="403"/>
        <v>147-7100V</v>
      </c>
      <c r="Q4916" s="315" t="str">
        <f t="shared" si="404"/>
        <v>Service</v>
      </c>
      <c r="R4916" s="315" t="str">
        <f t="shared" si="405"/>
        <v>ServiceOther Expenses as % of Sales</v>
      </c>
      <c r="S4916" s="199"/>
      <c r="T4916" s="199"/>
      <c r="U4916" s="199"/>
    </row>
    <row r="4917" spans="1:21" x14ac:dyDescent="0.25">
      <c r="A4917" t="s">
        <v>996</v>
      </c>
      <c r="B4917" t="s">
        <v>997</v>
      </c>
      <c r="C4917" t="s">
        <v>997</v>
      </c>
      <c r="D4917" t="s">
        <v>1581</v>
      </c>
      <c r="E4917">
        <v>120</v>
      </c>
      <c r="F4917" t="s">
        <v>1328</v>
      </c>
      <c r="G4917" t="s">
        <v>1329</v>
      </c>
      <c r="H4917" s="315" t="s">
        <v>30</v>
      </c>
      <c r="I4917" s="315" t="s">
        <v>1327</v>
      </c>
      <c r="J4917" s="315" t="str">
        <f t="shared" si="401"/>
        <v>Used VehicleOther Semi-Fixed expenses per retail</v>
      </c>
      <c r="K4917" s="315" t="str">
        <f t="shared" si="402"/>
        <v>120Toyota UV Other Semi-Fixed expenses</v>
      </c>
      <c r="L4917" s="311">
        <f>+SUMIF('TUNZ Extracted TB'!M:M,$P4917,'TUNZ Extracted TB'!G:G)</f>
        <v>0</v>
      </c>
      <c r="M4917" s="311"/>
      <c r="N4917" s="311">
        <f>+SUMIF('Input Sheet'!$AE:$AE,P4917,'Input Sheet'!$X:$X)</f>
        <v>0</v>
      </c>
      <c r="O4917" s="311"/>
      <c r="P4917" t="str">
        <f t="shared" si="403"/>
        <v>120-7100V</v>
      </c>
      <c r="Q4917" s="315" t="str">
        <f t="shared" si="404"/>
        <v>Used Vehicle</v>
      </c>
      <c r="R4917" s="315" t="str">
        <f t="shared" si="405"/>
        <v>Used VehicleOther Semi-Fixed expenses per retail</v>
      </c>
      <c r="S4917" s="199"/>
      <c r="T4917" s="199"/>
      <c r="U4917" s="199"/>
    </row>
    <row r="4918" spans="1:21" x14ac:dyDescent="0.25">
      <c r="A4918" t="s">
        <v>996</v>
      </c>
      <c r="B4918" t="s">
        <v>997</v>
      </c>
      <c r="C4918" t="s">
        <v>997</v>
      </c>
      <c r="D4918" t="s">
        <v>1581</v>
      </c>
      <c r="E4918">
        <v>121</v>
      </c>
      <c r="F4918" t="s">
        <v>1328</v>
      </c>
      <c r="G4918" t="s">
        <v>1329</v>
      </c>
      <c r="H4918" s="315" t="s">
        <v>30</v>
      </c>
      <c r="I4918" s="315" t="s">
        <v>1327</v>
      </c>
      <c r="J4918" s="315" t="str">
        <f t="shared" si="401"/>
        <v>Used VehicleOther Semi-Fixed expenses per retail</v>
      </c>
      <c r="K4918" s="315" t="str">
        <f t="shared" si="402"/>
        <v>121Toyota UV Other Semi-Fixed expenses</v>
      </c>
      <c r="L4918" s="311">
        <f>+SUMIF('TUNZ Extracted TB'!M:M,$P4918,'TUNZ Extracted TB'!G:G)</f>
        <v>0</v>
      </c>
      <c r="M4918" s="311"/>
      <c r="N4918" s="311">
        <f>+SUMIF('Input Sheet'!$AE:$AE,P4918,'Input Sheet'!$X:$X)</f>
        <v>0</v>
      </c>
      <c r="O4918" s="311"/>
      <c r="P4918" t="str">
        <f t="shared" si="403"/>
        <v>121-7100V</v>
      </c>
      <c r="Q4918" s="315" t="str">
        <f t="shared" si="404"/>
        <v>Used Vehicle</v>
      </c>
      <c r="R4918" s="315" t="str">
        <f t="shared" si="405"/>
        <v>Used VehicleOther Semi-Fixed expenses per retail</v>
      </c>
      <c r="S4918" s="199"/>
      <c r="T4918" s="199"/>
      <c r="U4918" s="199"/>
    </row>
    <row r="4919" spans="1:21" x14ac:dyDescent="0.25">
      <c r="A4919" t="s">
        <v>996</v>
      </c>
      <c r="B4919" t="s">
        <v>997</v>
      </c>
      <c r="C4919" t="s">
        <v>997</v>
      </c>
      <c r="D4919" t="s">
        <v>1581</v>
      </c>
      <c r="E4919">
        <v>140</v>
      </c>
      <c r="F4919" t="s">
        <v>1289</v>
      </c>
      <c r="G4919" t="s">
        <v>1290</v>
      </c>
      <c r="H4919" s="315" t="s">
        <v>17</v>
      </c>
      <c r="I4919" s="315" t="s">
        <v>1286</v>
      </c>
      <c r="J4919" s="315" t="str">
        <f t="shared" si="401"/>
        <v>ServiceOther Expenses as % of Sales</v>
      </c>
      <c r="K4919" s="315" t="str">
        <f t="shared" si="402"/>
        <v>140Service Other expenses - Toyota</v>
      </c>
      <c r="L4919" s="311">
        <f>+SUMIF('TUNZ Extracted TB'!M:M,$P4919,'TUNZ Extracted TB'!G:G)</f>
        <v>0</v>
      </c>
      <c r="M4919" s="311"/>
      <c r="N4919" s="311">
        <f>+SUMIF('Input Sheet'!$AE:$AE,P4919,'Input Sheet'!$X:$X)</f>
        <v>0</v>
      </c>
      <c r="O4919" s="311"/>
      <c r="P4919" t="str">
        <f t="shared" si="403"/>
        <v>140-7100V</v>
      </c>
      <c r="Q4919" s="315" t="str">
        <f t="shared" si="404"/>
        <v>Service</v>
      </c>
      <c r="R4919" s="315" t="str">
        <f t="shared" si="405"/>
        <v>ServiceOther Expenses as % of Sales</v>
      </c>
      <c r="S4919" s="199"/>
      <c r="T4919" s="199"/>
      <c r="U4919" s="199"/>
    </row>
    <row r="4920" spans="1:21" x14ac:dyDescent="0.25">
      <c r="A4920" t="s">
        <v>996</v>
      </c>
      <c r="B4920" t="s">
        <v>997</v>
      </c>
      <c r="C4920" t="s">
        <v>997</v>
      </c>
      <c r="D4920" t="s">
        <v>1582</v>
      </c>
      <c r="E4920">
        <v>147</v>
      </c>
      <c r="F4920" t="s">
        <v>1404</v>
      </c>
      <c r="G4920" t="s">
        <v>1405</v>
      </c>
      <c r="H4920" s="315" t="s">
        <v>1000</v>
      </c>
      <c r="I4920" s="315" t="s">
        <v>1001</v>
      </c>
      <c r="J4920" s="315" t="str">
        <f t="shared" si="401"/>
        <v>Admin &amp; OtherOther Overheads as % of Total Gross Profit</v>
      </c>
      <c r="K4920" s="315" t="str">
        <f t="shared" si="402"/>
        <v>147Travel expenses - Toyota</v>
      </c>
      <c r="L4920" s="311">
        <f>+SUMIF('TUNZ Extracted TB'!M:M,$P4920,'TUNZ Extracted TB'!G:G)</f>
        <v>0</v>
      </c>
      <c r="M4920" s="311"/>
      <c r="N4920" s="311">
        <f>+SUMIF('Input Sheet'!$AE:$AE,P4920,'Input Sheet'!$X:$X)</f>
        <v>0</v>
      </c>
      <c r="O4920" s="311"/>
      <c r="P4920" t="str">
        <f t="shared" si="403"/>
        <v>147-7510E</v>
      </c>
      <c r="Q4920" s="315" t="str">
        <f t="shared" si="404"/>
        <v>Admin &amp; Other</v>
      </c>
      <c r="R4920" s="315" t="str">
        <f t="shared" si="405"/>
        <v>Admin &amp; OtherOther Overheads as % of Total Gross Profit</v>
      </c>
      <c r="S4920" s="199"/>
      <c r="T4920" s="199"/>
      <c r="U4920" s="199"/>
    </row>
    <row r="4921" spans="1:21" x14ac:dyDescent="0.25">
      <c r="A4921" t="s">
        <v>996</v>
      </c>
      <c r="B4921" t="s">
        <v>997</v>
      </c>
      <c r="C4921" t="s">
        <v>997</v>
      </c>
      <c r="D4921" t="s">
        <v>1582</v>
      </c>
      <c r="E4921">
        <v>170</v>
      </c>
      <c r="F4921" t="s">
        <v>1404</v>
      </c>
      <c r="G4921" t="s">
        <v>1405</v>
      </c>
      <c r="H4921" s="315" t="s">
        <v>1000</v>
      </c>
      <c r="I4921" s="315" t="s">
        <v>1001</v>
      </c>
      <c r="J4921" s="315" t="str">
        <f t="shared" si="401"/>
        <v>Admin &amp; OtherOther Overheads as % of Total Gross Profit</v>
      </c>
      <c r="K4921" s="315" t="str">
        <f t="shared" si="402"/>
        <v>170Travel expenses - Toyota</v>
      </c>
      <c r="L4921" s="311">
        <f>+SUMIF('TUNZ Extracted TB'!M:M,$P4921,'TUNZ Extracted TB'!G:G)</f>
        <v>0</v>
      </c>
      <c r="M4921" s="311"/>
      <c r="N4921" s="311">
        <f>+SUMIF('Input Sheet'!$AE:$AE,P4921,'Input Sheet'!$X:$X)</f>
        <v>0</v>
      </c>
      <c r="O4921" s="311"/>
      <c r="P4921" t="str">
        <f t="shared" si="403"/>
        <v>170-7510E</v>
      </c>
      <c r="Q4921" s="315" t="str">
        <f t="shared" si="404"/>
        <v>Admin &amp; Other</v>
      </c>
      <c r="R4921" s="315" t="str">
        <f t="shared" si="405"/>
        <v>Admin &amp; OtherOther Overheads as % of Total Gross Profit</v>
      </c>
      <c r="S4921" s="199"/>
      <c r="T4921" s="199"/>
      <c r="U4921" s="199"/>
    </row>
    <row r="4922" spans="1:21" x14ac:dyDescent="0.25">
      <c r="A4922" t="s">
        <v>996</v>
      </c>
      <c r="B4922" t="s">
        <v>997</v>
      </c>
      <c r="C4922" t="s">
        <v>997</v>
      </c>
      <c r="D4922" t="s">
        <v>1583</v>
      </c>
      <c r="E4922">
        <v>147</v>
      </c>
      <c r="F4922" t="s">
        <v>1404</v>
      </c>
      <c r="G4922" t="s">
        <v>1405</v>
      </c>
      <c r="H4922" s="315" t="s">
        <v>1000</v>
      </c>
      <c r="I4922" s="315" t="s">
        <v>1001</v>
      </c>
      <c r="J4922" s="315" t="str">
        <f t="shared" si="401"/>
        <v>Admin &amp; OtherOther Overheads as % of Total Gross Profit</v>
      </c>
      <c r="K4922" s="315" t="str">
        <f t="shared" si="402"/>
        <v>147Travel expenses - Toyota</v>
      </c>
      <c r="L4922" s="311">
        <f>+SUMIF('TUNZ Extracted TB'!M:M,$P4922,'TUNZ Extracted TB'!G:G)</f>
        <v>0</v>
      </c>
      <c r="M4922" s="311"/>
      <c r="N4922" s="311">
        <f>+SUMIF('Input Sheet'!$AE:$AE,P4922,'Input Sheet'!$X:$X)</f>
        <v>0</v>
      </c>
      <c r="O4922" s="311"/>
      <c r="P4922" t="str">
        <f t="shared" si="403"/>
        <v>147-7510T</v>
      </c>
      <c r="Q4922" s="315" t="str">
        <f t="shared" si="404"/>
        <v>Admin &amp; Other</v>
      </c>
      <c r="R4922" s="315" t="str">
        <f t="shared" si="405"/>
        <v>Admin &amp; OtherOther Overheads as % of Total Gross Profit</v>
      </c>
      <c r="S4922" s="199"/>
      <c r="T4922" s="199"/>
      <c r="U4922" s="199"/>
    </row>
    <row r="4923" spans="1:21" x14ac:dyDescent="0.25">
      <c r="A4923" t="s">
        <v>996</v>
      </c>
      <c r="B4923" t="s">
        <v>997</v>
      </c>
      <c r="C4923" t="s">
        <v>997</v>
      </c>
      <c r="D4923" t="s">
        <v>1583</v>
      </c>
      <c r="E4923">
        <v>170</v>
      </c>
      <c r="F4923" t="s">
        <v>1404</v>
      </c>
      <c r="G4923" t="s">
        <v>1405</v>
      </c>
      <c r="H4923" s="315" t="s">
        <v>1000</v>
      </c>
      <c r="I4923" s="315" t="s">
        <v>1001</v>
      </c>
      <c r="J4923" s="315" t="str">
        <f t="shared" si="401"/>
        <v>Admin &amp; OtherOther Overheads as % of Total Gross Profit</v>
      </c>
      <c r="K4923" s="315" t="str">
        <f t="shared" si="402"/>
        <v>170Travel expenses - Toyota</v>
      </c>
      <c r="L4923" s="311">
        <f>+SUMIF('TUNZ Extracted TB'!M:M,$P4923,'TUNZ Extracted TB'!G:G)</f>
        <v>0</v>
      </c>
      <c r="M4923" s="311"/>
      <c r="N4923" s="311">
        <f>+SUMIF('Input Sheet'!$AE:$AE,P4923,'Input Sheet'!$X:$X)</f>
        <v>0</v>
      </c>
      <c r="O4923" s="311"/>
      <c r="P4923" t="str">
        <f t="shared" si="403"/>
        <v>170-7510T</v>
      </c>
      <c r="Q4923" s="315" t="str">
        <f t="shared" si="404"/>
        <v>Admin &amp; Other</v>
      </c>
      <c r="R4923" s="315" t="str">
        <f t="shared" si="405"/>
        <v>Admin &amp; OtherOther Overheads as % of Total Gross Profit</v>
      </c>
      <c r="S4923" s="199"/>
      <c r="T4923" s="199"/>
      <c r="U4923" s="199"/>
    </row>
    <row r="4924" spans="1:21" x14ac:dyDescent="0.25">
      <c r="A4924" t="s">
        <v>996</v>
      </c>
      <c r="B4924" t="s">
        <v>997</v>
      </c>
      <c r="C4924" t="s">
        <v>997</v>
      </c>
      <c r="D4924" t="s">
        <v>1584</v>
      </c>
      <c r="E4924">
        <v>147</v>
      </c>
      <c r="F4924" t="s">
        <v>1404</v>
      </c>
      <c r="G4924" t="s">
        <v>1405</v>
      </c>
      <c r="H4924" s="315" t="s">
        <v>1000</v>
      </c>
      <c r="I4924" s="315" t="s">
        <v>1001</v>
      </c>
      <c r="J4924" s="315" t="str">
        <f t="shared" si="401"/>
        <v>Admin &amp; OtherOther Overheads as % of Total Gross Profit</v>
      </c>
      <c r="K4924" s="315" t="str">
        <f t="shared" si="402"/>
        <v>147Travel expenses - Toyota</v>
      </c>
      <c r="L4924" s="311">
        <f>+SUMIF('TUNZ Extracted TB'!M:M,$P4924,'TUNZ Extracted TB'!G:G)</f>
        <v>0</v>
      </c>
      <c r="M4924" s="311"/>
      <c r="N4924" s="311">
        <f>+SUMIF('Input Sheet'!$AE:$AE,P4924,'Input Sheet'!$X:$X)</f>
        <v>0</v>
      </c>
      <c r="O4924" s="311"/>
      <c r="P4924" t="str">
        <f t="shared" si="403"/>
        <v>147-7520E</v>
      </c>
      <c r="Q4924" s="315" t="str">
        <f t="shared" si="404"/>
        <v>Admin &amp; Other</v>
      </c>
      <c r="R4924" s="315" t="str">
        <f t="shared" si="405"/>
        <v>Admin &amp; OtherOther Overheads as % of Total Gross Profit</v>
      </c>
      <c r="S4924" s="199"/>
      <c r="T4924" s="199"/>
      <c r="U4924" s="199"/>
    </row>
    <row r="4925" spans="1:21" x14ac:dyDescent="0.25">
      <c r="A4925" t="s">
        <v>996</v>
      </c>
      <c r="B4925" t="s">
        <v>997</v>
      </c>
      <c r="C4925" t="s">
        <v>997</v>
      </c>
      <c r="D4925" t="s">
        <v>1584</v>
      </c>
      <c r="E4925">
        <v>170</v>
      </c>
      <c r="F4925" t="s">
        <v>1404</v>
      </c>
      <c r="G4925" t="s">
        <v>1405</v>
      </c>
      <c r="H4925" s="315" t="s">
        <v>1000</v>
      </c>
      <c r="I4925" s="315" t="s">
        <v>1001</v>
      </c>
      <c r="J4925" s="315" t="str">
        <f t="shared" si="401"/>
        <v>Admin &amp; OtherOther Overheads as % of Total Gross Profit</v>
      </c>
      <c r="K4925" s="315" t="str">
        <f t="shared" si="402"/>
        <v>170Travel expenses - Toyota</v>
      </c>
      <c r="L4925" s="311">
        <f>+SUMIF('TUNZ Extracted TB'!M:M,$P4925,'TUNZ Extracted TB'!G:G)</f>
        <v>0</v>
      </c>
      <c r="M4925" s="311"/>
      <c r="N4925" s="311">
        <f>+SUMIF('Input Sheet'!$AE:$AE,P4925,'Input Sheet'!$X:$X)</f>
        <v>0</v>
      </c>
      <c r="O4925" s="311"/>
      <c r="P4925" t="str">
        <f t="shared" si="403"/>
        <v>170-7520E</v>
      </c>
      <c r="Q4925" s="315" t="str">
        <f t="shared" si="404"/>
        <v>Admin &amp; Other</v>
      </c>
      <c r="R4925" s="315" t="str">
        <f t="shared" si="405"/>
        <v>Admin &amp; OtherOther Overheads as % of Total Gross Profit</v>
      </c>
      <c r="S4925" s="199"/>
      <c r="T4925" s="199"/>
      <c r="U4925" s="199"/>
    </row>
    <row r="4926" spans="1:21" x14ac:dyDescent="0.25">
      <c r="A4926" t="s">
        <v>996</v>
      </c>
      <c r="B4926" t="s">
        <v>997</v>
      </c>
      <c r="C4926" t="s">
        <v>997</v>
      </c>
      <c r="D4926" t="s">
        <v>1585</v>
      </c>
      <c r="E4926">
        <v>147</v>
      </c>
      <c r="F4926" t="s">
        <v>1404</v>
      </c>
      <c r="G4926" t="s">
        <v>1405</v>
      </c>
      <c r="H4926" s="315" t="s">
        <v>1000</v>
      </c>
      <c r="I4926" s="315" t="s">
        <v>1001</v>
      </c>
      <c r="J4926" s="315" t="str">
        <f t="shared" si="401"/>
        <v>Admin &amp; OtherOther Overheads as % of Total Gross Profit</v>
      </c>
      <c r="K4926" s="315" t="str">
        <f t="shared" si="402"/>
        <v>147Travel expenses - Toyota</v>
      </c>
      <c r="L4926" s="311">
        <f>+SUMIF('TUNZ Extracted TB'!M:M,$P4926,'TUNZ Extracted TB'!G:G)</f>
        <v>0</v>
      </c>
      <c r="M4926" s="311"/>
      <c r="N4926" s="311">
        <f>+SUMIF('Input Sheet'!$AE:$AE,P4926,'Input Sheet'!$X:$X)</f>
        <v>0</v>
      </c>
      <c r="O4926" s="311"/>
      <c r="P4926" t="str">
        <f t="shared" si="403"/>
        <v>147-7520T</v>
      </c>
      <c r="Q4926" s="315" t="str">
        <f t="shared" si="404"/>
        <v>Admin &amp; Other</v>
      </c>
      <c r="R4926" s="315" t="str">
        <f t="shared" si="405"/>
        <v>Admin &amp; OtherOther Overheads as % of Total Gross Profit</v>
      </c>
      <c r="S4926" s="199"/>
      <c r="T4926" s="199"/>
      <c r="U4926" s="199"/>
    </row>
    <row r="4927" spans="1:21" x14ac:dyDescent="0.25">
      <c r="A4927" t="s">
        <v>996</v>
      </c>
      <c r="B4927" t="s">
        <v>997</v>
      </c>
      <c r="C4927" t="s">
        <v>997</v>
      </c>
      <c r="D4927" t="s">
        <v>1585</v>
      </c>
      <c r="E4927">
        <v>170</v>
      </c>
      <c r="F4927" t="s">
        <v>1404</v>
      </c>
      <c r="G4927" t="s">
        <v>1405</v>
      </c>
      <c r="H4927" s="315" t="s">
        <v>1000</v>
      </c>
      <c r="I4927" s="315" t="s">
        <v>1001</v>
      </c>
      <c r="J4927" s="315" t="str">
        <f t="shared" si="401"/>
        <v>Admin &amp; OtherOther Overheads as % of Total Gross Profit</v>
      </c>
      <c r="K4927" s="315" t="str">
        <f t="shared" si="402"/>
        <v>170Travel expenses - Toyota</v>
      </c>
      <c r="L4927" s="311">
        <f>+SUMIF('TUNZ Extracted TB'!M:M,$P4927,'TUNZ Extracted TB'!G:G)</f>
        <v>0</v>
      </c>
      <c r="M4927" s="311"/>
      <c r="N4927" s="311">
        <f>+SUMIF('Input Sheet'!$AE:$AE,P4927,'Input Sheet'!$X:$X)</f>
        <v>0</v>
      </c>
      <c r="O4927" s="311"/>
      <c r="P4927" t="str">
        <f t="shared" si="403"/>
        <v>170-7520T</v>
      </c>
      <c r="Q4927" s="315" t="str">
        <f t="shared" si="404"/>
        <v>Admin &amp; Other</v>
      </c>
      <c r="R4927" s="315" t="str">
        <f t="shared" si="405"/>
        <v>Admin &amp; OtherOther Overheads as % of Total Gross Profit</v>
      </c>
      <c r="S4927" s="199"/>
      <c r="T4927" s="199"/>
      <c r="U4927" s="199"/>
    </row>
    <row r="4928" spans="1:21" x14ac:dyDescent="0.25">
      <c r="A4928" t="s">
        <v>996</v>
      </c>
      <c r="B4928" t="s">
        <v>997</v>
      </c>
      <c r="C4928" t="s">
        <v>997</v>
      </c>
      <c r="D4928" t="s">
        <v>1586</v>
      </c>
      <c r="E4928">
        <v>936</v>
      </c>
      <c r="F4928" t="s">
        <v>1175</v>
      </c>
      <c r="G4928" t="s">
        <v>1176</v>
      </c>
      <c r="H4928" s="315" t="s">
        <v>58</v>
      </c>
      <c r="I4928" s="315" t="s">
        <v>1286</v>
      </c>
      <c r="J4928" s="315" t="str">
        <f t="shared" si="401"/>
        <v>BridgestoneOther Expenses as % of Sales</v>
      </c>
      <c r="K4928" s="315" t="str">
        <f t="shared" si="402"/>
        <v>936Other franchise/business expense</v>
      </c>
      <c r="L4928" s="311">
        <f>+SUMIF('TUNZ Extracted TB'!M:M,$P4928,'TUNZ Extracted TB'!G:G)</f>
        <v>0</v>
      </c>
      <c r="M4928" s="311"/>
      <c r="N4928" s="311">
        <f>+SUMIF('Input Sheet'!$AE:$AE,P4928,'Input Sheet'!$X:$X)</f>
        <v>0</v>
      </c>
      <c r="O4928" s="311"/>
      <c r="P4928" t="str">
        <f t="shared" si="403"/>
        <v>936-7570M</v>
      </c>
      <c r="Q4928" s="315" t="str">
        <f t="shared" si="404"/>
        <v>Bridgestone</v>
      </c>
      <c r="R4928" s="315" t="str">
        <f t="shared" si="405"/>
        <v>BridgestoneOther Expenses as % of Sales</v>
      </c>
      <c r="S4928" s="199"/>
      <c r="T4928" s="199"/>
      <c r="U4928" s="199"/>
    </row>
    <row r="4929" spans="1:21" x14ac:dyDescent="0.25">
      <c r="A4929" t="s">
        <v>996</v>
      </c>
      <c r="B4929" t="s">
        <v>997</v>
      </c>
      <c r="C4929" t="s">
        <v>997</v>
      </c>
      <c r="D4929" t="s">
        <v>1586</v>
      </c>
      <c r="E4929">
        <v>935</v>
      </c>
      <c r="F4929" t="s">
        <v>1175</v>
      </c>
      <c r="G4929" t="s">
        <v>1176</v>
      </c>
      <c r="H4929" s="315" t="s">
        <v>58</v>
      </c>
      <c r="I4929" s="315" t="s">
        <v>1286</v>
      </c>
      <c r="J4929" s="315" t="str">
        <f t="shared" si="401"/>
        <v>BridgestoneOther Expenses as % of Sales</v>
      </c>
      <c r="K4929" s="315" t="str">
        <f t="shared" si="402"/>
        <v>935Other franchise/business expense</v>
      </c>
      <c r="L4929" s="311">
        <f>+SUMIF('TUNZ Extracted TB'!M:M,$P4929,'TUNZ Extracted TB'!G:G)</f>
        <v>0</v>
      </c>
      <c r="M4929" s="311"/>
      <c r="N4929" s="311">
        <f>+SUMIF('Input Sheet'!$AE:$AE,P4929,'Input Sheet'!$X:$X)</f>
        <v>0</v>
      </c>
      <c r="O4929" s="311"/>
      <c r="P4929" t="str">
        <f t="shared" si="403"/>
        <v>935-7570M</v>
      </c>
      <c r="Q4929" s="315" t="str">
        <f t="shared" si="404"/>
        <v>Bridgestone</v>
      </c>
      <c r="R4929" s="315" t="str">
        <f t="shared" si="405"/>
        <v>BridgestoneOther Expenses as % of Sales</v>
      </c>
      <c r="S4929" s="199"/>
      <c r="T4929" s="199"/>
      <c r="U4929" s="199"/>
    </row>
    <row r="4930" spans="1:21" x14ac:dyDescent="0.25">
      <c r="A4930" t="s">
        <v>996</v>
      </c>
      <c r="B4930" t="s">
        <v>997</v>
      </c>
      <c r="C4930" t="s">
        <v>997</v>
      </c>
      <c r="D4930" t="s">
        <v>1586</v>
      </c>
      <c r="E4930">
        <v>122</v>
      </c>
      <c r="F4930" t="s">
        <v>1430</v>
      </c>
      <c r="G4930" t="s">
        <v>1431</v>
      </c>
      <c r="H4930" s="315" t="s">
        <v>1023</v>
      </c>
      <c r="I4930" s="315" t="s">
        <v>1370</v>
      </c>
      <c r="J4930" s="315" t="str">
        <f t="shared" si="401"/>
        <v>LEX Admin &amp; OtherR&amp;M and Cleaning as % of Total Gross Profit</v>
      </c>
      <c r="K4930" s="315" t="str">
        <f t="shared" si="402"/>
        <v>122Repairs &amp; Maintenance - Lexus</v>
      </c>
      <c r="L4930" s="311">
        <f>+SUMIF('TUNZ Extracted TB'!M:M,$P4930,'TUNZ Extracted TB'!G:G)</f>
        <v>0</v>
      </c>
      <c r="M4930" s="311"/>
      <c r="N4930" s="311">
        <f>+SUMIF('Input Sheet'!$AE:$AE,P4930,'Input Sheet'!$X:$X)</f>
        <v>0</v>
      </c>
      <c r="O4930" s="311"/>
      <c r="P4930" t="str">
        <f t="shared" si="403"/>
        <v>122-7570M</v>
      </c>
      <c r="Q4930" s="315" t="str">
        <f t="shared" si="404"/>
        <v>LEX Admin &amp; Other</v>
      </c>
      <c r="R4930" s="315" t="str">
        <f t="shared" si="405"/>
        <v>LEX Admin &amp; OtherR&amp;M and Cleaning as % of Total Gross Profit</v>
      </c>
      <c r="S4930" s="199"/>
      <c r="T4930" s="199"/>
      <c r="U4930" s="199"/>
    </row>
    <row r="4931" spans="1:21" x14ac:dyDescent="0.25">
      <c r="A4931" t="s">
        <v>996</v>
      </c>
      <c r="B4931" t="s">
        <v>997</v>
      </c>
      <c r="C4931" t="s">
        <v>997</v>
      </c>
      <c r="D4931" t="s">
        <v>1586</v>
      </c>
      <c r="E4931">
        <v>162</v>
      </c>
      <c r="F4931" t="s">
        <v>1430</v>
      </c>
      <c r="G4931" t="s">
        <v>1431</v>
      </c>
      <c r="H4931" s="315" t="s">
        <v>1023</v>
      </c>
      <c r="I4931" s="315" t="s">
        <v>1370</v>
      </c>
      <c r="J4931" s="315" t="str">
        <f t="shared" ref="J4931:J4994" si="406">+H4931&amp;I4931</f>
        <v>LEX Admin &amp; OtherR&amp;M and Cleaning as % of Total Gross Profit</v>
      </c>
      <c r="K4931" s="315" t="str">
        <f t="shared" ref="K4931:K4998" si="407">+E4931&amp;G4931</f>
        <v>162Repairs &amp; Maintenance - Lexus</v>
      </c>
      <c r="L4931" s="311">
        <f>+SUMIF('TUNZ Extracted TB'!M:M,$P4931,'TUNZ Extracted TB'!G:G)</f>
        <v>0</v>
      </c>
      <c r="M4931" s="311"/>
      <c r="N4931" s="311">
        <f>+SUMIF('Input Sheet'!$AE:$AE,P4931,'Input Sheet'!$X:$X)</f>
        <v>0</v>
      </c>
      <c r="O4931" s="311"/>
      <c r="P4931" t="str">
        <f t="shared" ref="P4931:P4998" si="408">+E4931&amp;"-"&amp;D4931</f>
        <v>162-7570M</v>
      </c>
      <c r="Q4931" s="315" t="str">
        <f t="shared" ref="Q4931:Q4998" si="409">H4931</f>
        <v>LEX Admin &amp; Other</v>
      </c>
      <c r="R4931" s="315" t="str">
        <f t="shared" ref="R4931:R4998" si="410">J4931</f>
        <v>LEX Admin &amp; OtherR&amp;M and Cleaning as % of Total Gross Profit</v>
      </c>
      <c r="S4931" s="199"/>
      <c r="T4931" s="199"/>
      <c r="U4931" s="199"/>
    </row>
    <row r="4932" spans="1:21" x14ac:dyDescent="0.25">
      <c r="A4932" t="s">
        <v>996</v>
      </c>
      <c r="B4932" t="s">
        <v>997</v>
      </c>
      <c r="C4932" t="s">
        <v>1005</v>
      </c>
      <c r="D4932" t="s">
        <v>1586</v>
      </c>
      <c r="E4932">
        <v>200</v>
      </c>
      <c r="F4932" t="s">
        <v>1368</v>
      </c>
      <c r="G4932" t="s">
        <v>1369</v>
      </c>
      <c r="H4932" s="315" t="s">
        <v>1000</v>
      </c>
      <c r="I4932" s="315" t="s">
        <v>1370</v>
      </c>
      <c r="J4932" s="315" t="str">
        <f t="shared" si="406"/>
        <v>Admin &amp; OtherR&amp;M and Cleaning as % of Total Gross Profit</v>
      </c>
      <c r="K4932" s="315" t="str">
        <f t="shared" si="407"/>
        <v>200Repairs &amp; Maintenance - Toyota</v>
      </c>
      <c r="L4932" s="311">
        <f>+SUMIF('TUNZ Extracted TB'!M:M,$P4932,'TUNZ Extracted TB'!G:G)</f>
        <v>0</v>
      </c>
      <c r="M4932" s="311"/>
      <c r="N4932" s="311">
        <f>+SUMIF('Input Sheet'!$AE:$AE,P4932,'Input Sheet'!$X:$X)</f>
        <v>0</v>
      </c>
      <c r="O4932" s="311"/>
      <c r="P4932" t="str">
        <f t="shared" si="408"/>
        <v>200-7570M</v>
      </c>
      <c r="Q4932" s="315" t="str">
        <f t="shared" si="409"/>
        <v>Admin &amp; Other</v>
      </c>
      <c r="R4932" s="315" t="str">
        <f t="shared" si="410"/>
        <v>Admin &amp; OtherR&amp;M and Cleaning as % of Total Gross Profit</v>
      </c>
      <c r="S4932" s="199"/>
      <c r="T4932" s="199"/>
      <c r="U4932" s="199"/>
    </row>
    <row r="4933" spans="1:21" x14ac:dyDescent="0.25">
      <c r="A4933" t="s">
        <v>996</v>
      </c>
      <c r="B4933" t="s">
        <v>997</v>
      </c>
      <c r="C4933" t="s">
        <v>1005</v>
      </c>
      <c r="D4933" t="s">
        <v>1586</v>
      </c>
      <c r="E4933">
        <v>210</v>
      </c>
      <c r="F4933" t="s">
        <v>1368</v>
      </c>
      <c r="G4933" t="s">
        <v>1369</v>
      </c>
      <c r="H4933" s="315" t="s">
        <v>1000</v>
      </c>
      <c r="I4933" s="315" t="s">
        <v>1370</v>
      </c>
      <c r="J4933" s="315" t="str">
        <f t="shared" si="406"/>
        <v>Admin &amp; OtherR&amp;M and Cleaning as % of Total Gross Profit</v>
      </c>
      <c r="K4933" s="315" t="str">
        <f t="shared" si="407"/>
        <v>210Repairs &amp; Maintenance - Toyota</v>
      </c>
      <c r="L4933" s="311">
        <f>+SUMIF('TUNZ Extracted TB'!M:M,$P4933,'TUNZ Extracted TB'!G:G)</f>
        <v>0</v>
      </c>
      <c r="M4933" s="311"/>
      <c r="N4933" s="311">
        <f>+SUMIF('Input Sheet'!$AE:$AE,P4933,'Input Sheet'!$X:$X)</f>
        <v>0</v>
      </c>
      <c r="O4933" s="311"/>
      <c r="P4933" t="str">
        <f t="shared" si="408"/>
        <v>210-7570M</v>
      </c>
      <c r="Q4933" s="315" t="str">
        <f t="shared" si="409"/>
        <v>Admin &amp; Other</v>
      </c>
      <c r="R4933" s="315" t="str">
        <f t="shared" si="410"/>
        <v>Admin &amp; OtherR&amp;M and Cleaning as % of Total Gross Profit</v>
      </c>
      <c r="S4933" s="199"/>
      <c r="T4933" s="199"/>
      <c r="U4933" s="199"/>
    </row>
    <row r="4934" spans="1:21" x14ac:dyDescent="0.25">
      <c r="A4934" t="s">
        <v>996</v>
      </c>
      <c r="B4934" t="s">
        <v>997</v>
      </c>
      <c r="C4934" t="s">
        <v>1005</v>
      </c>
      <c r="D4934" t="s">
        <v>1586</v>
      </c>
      <c r="E4934">
        <v>220</v>
      </c>
      <c r="F4934" t="s">
        <v>1368</v>
      </c>
      <c r="G4934" t="s">
        <v>1369</v>
      </c>
      <c r="H4934" s="315" t="s">
        <v>1000</v>
      </c>
      <c r="I4934" s="315" t="s">
        <v>1370</v>
      </c>
      <c r="J4934" s="315" t="str">
        <f t="shared" si="406"/>
        <v>Admin &amp; OtherR&amp;M and Cleaning as % of Total Gross Profit</v>
      </c>
      <c r="K4934" s="315" t="str">
        <f t="shared" si="407"/>
        <v>220Repairs &amp; Maintenance - Toyota</v>
      </c>
      <c r="L4934" s="311">
        <f>+SUMIF('TUNZ Extracted TB'!M:M,$P4934,'TUNZ Extracted TB'!G:G)</f>
        <v>0</v>
      </c>
      <c r="M4934" s="311"/>
      <c r="N4934" s="311">
        <f>+SUMIF('Input Sheet'!$AE:$AE,P4934,'Input Sheet'!$X:$X)</f>
        <v>0</v>
      </c>
      <c r="O4934" s="311"/>
      <c r="P4934" t="str">
        <f t="shared" si="408"/>
        <v>220-7570M</v>
      </c>
      <c r="Q4934" s="315" t="str">
        <f t="shared" si="409"/>
        <v>Admin &amp; Other</v>
      </c>
      <c r="R4934" s="315" t="str">
        <f t="shared" si="410"/>
        <v>Admin &amp; OtherR&amp;M and Cleaning as % of Total Gross Profit</v>
      </c>
      <c r="S4934" s="199"/>
      <c r="T4934" s="199"/>
      <c r="U4934" s="199"/>
    </row>
    <row r="4935" spans="1:21" x14ac:dyDescent="0.25">
      <c r="A4935" t="s">
        <v>996</v>
      </c>
      <c r="B4935" t="s">
        <v>997</v>
      </c>
      <c r="C4935" t="s">
        <v>1005</v>
      </c>
      <c r="D4935" t="s">
        <v>1586</v>
      </c>
      <c r="E4935">
        <v>221</v>
      </c>
      <c r="F4935" t="s">
        <v>1368</v>
      </c>
      <c r="G4935" t="s">
        <v>1369</v>
      </c>
      <c r="H4935" s="315" t="s">
        <v>1000</v>
      </c>
      <c r="I4935" s="315" t="s">
        <v>1370</v>
      </c>
      <c r="J4935" s="315" t="str">
        <f t="shared" si="406"/>
        <v>Admin &amp; OtherR&amp;M and Cleaning as % of Total Gross Profit</v>
      </c>
      <c r="K4935" s="315" t="str">
        <f t="shared" si="407"/>
        <v>221Repairs &amp; Maintenance - Toyota</v>
      </c>
      <c r="L4935" s="311">
        <f>+SUMIF('TUNZ Extracted TB'!M:M,$P4935,'TUNZ Extracted TB'!G:G)</f>
        <v>0</v>
      </c>
      <c r="M4935" s="311"/>
      <c r="N4935" s="311">
        <f>+SUMIF('Input Sheet'!$AE:$AE,P4935,'Input Sheet'!$X:$X)</f>
        <v>0</v>
      </c>
      <c r="O4935" s="311"/>
      <c r="P4935" t="str">
        <f t="shared" si="408"/>
        <v>221-7570M</v>
      </c>
      <c r="Q4935" s="315" t="str">
        <f t="shared" si="409"/>
        <v>Admin &amp; Other</v>
      </c>
      <c r="R4935" s="315" t="str">
        <f t="shared" si="410"/>
        <v>Admin &amp; OtherR&amp;M and Cleaning as % of Total Gross Profit</v>
      </c>
      <c r="S4935" s="199"/>
      <c r="T4935" s="199"/>
      <c r="U4935" s="199"/>
    </row>
    <row r="4936" spans="1:21" x14ac:dyDescent="0.25">
      <c r="A4936" t="s">
        <v>996</v>
      </c>
      <c r="B4936" t="s">
        <v>997</v>
      </c>
      <c r="C4936" t="s">
        <v>1005</v>
      </c>
      <c r="D4936" t="s">
        <v>1586</v>
      </c>
      <c r="E4936">
        <v>230</v>
      </c>
      <c r="F4936" t="s">
        <v>1368</v>
      </c>
      <c r="G4936" t="s">
        <v>1369</v>
      </c>
      <c r="H4936" s="315" t="s">
        <v>1000</v>
      </c>
      <c r="I4936" s="315" t="s">
        <v>1370</v>
      </c>
      <c r="J4936" s="315" t="str">
        <f t="shared" si="406"/>
        <v>Admin &amp; OtherR&amp;M and Cleaning as % of Total Gross Profit</v>
      </c>
      <c r="K4936" s="315" t="str">
        <f t="shared" si="407"/>
        <v>230Repairs &amp; Maintenance - Toyota</v>
      </c>
      <c r="L4936" s="311">
        <f>+SUMIF('TUNZ Extracted TB'!M:M,$P4936,'TUNZ Extracted TB'!G:G)</f>
        <v>0</v>
      </c>
      <c r="M4936" s="311"/>
      <c r="N4936" s="311">
        <f>+SUMIF('Input Sheet'!$AE:$AE,P4936,'Input Sheet'!$X:$X)</f>
        <v>0</v>
      </c>
      <c r="O4936" s="311"/>
      <c r="P4936" t="str">
        <f t="shared" si="408"/>
        <v>230-7570M</v>
      </c>
      <c r="Q4936" s="315" t="str">
        <f t="shared" si="409"/>
        <v>Admin &amp; Other</v>
      </c>
      <c r="R4936" s="315" t="str">
        <f t="shared" si="410"/>
        <v>Admin &amp; OtherR&amp;M and Cleaning as % of Total Gross Profit</v>
      </c>
      <c r="S4936" s="199"/>
      <c r="T4936" s="199"/>
      <c r="U4936" s="199"/>
    </row>
    <row r="4937" spans="1:21" x14ac:dyDescent="0.25">
      <c r="A4937" t="s">
        <v>996</v>
      </c>
      <c r="B4937" t="s">
        <v>997</v>
      </c>
      <c r="C4937" t="s">
        <v>1005</v>
      </c>
      <c r="D4937" t="s">
        <v>1586</v>
      </c>
      <c r="E4937">
        <v>260</v>
      </c>
      <c r="F4937" t="s">
        <v>1368</v>
      </c>
      <c r="G4937" t="s">
        <v>1369</v>
      </c>
      <c r="H4937" s="315" t="s">
        <v>1000</v>
      </c>
      <c r="I4937" s="315" t="s">
        <v>1370</v>
      </c>
      <c r="J4937" s="315" t="str">
        <f t="shared" si="406"/>
        <v>Admin &amp; OtherR&amp;M and Cleaning as % of Total Gross Profit</v>
      </c>
      <c r="K4937" s="315" t="str">
        <f t="shared" si="407"/>
        <v>260Repairs &amp; Maintenance - Toyota</v>
      </c>
      <c r="L4937" s="311">
        <f>+SUMIF('TUNZ Extracted TB'!M:M,$P4937,'TUNZ Extracted TB'!G:G)</f>
        <v>0</v>
      </c>
      <c r="M4937" s="311"/>
      <c r="N4937" s="311">
        <f>+SUMIF('Input Sheet'!$AE:$AE,P4937,'Input Sheet'!$X:$X)</f>
        <v>0</v>
      </c>
      <c r="O4937" s="311"/>
      <c r="P4937" t="str">
        <f t="shared" si="408"/>
        <v>260-7570M</v>
      </c>
      <c r="Q4937" s="315" t="str">
        <f t="shared" si="409"/>
        <v>Admin &amp; Other</v>
      </c>
      <c r="R4937" s="315" t="str">
        <f t="shared" si="410"/>
        <v>Admin &amp; OtherR&amp;M and Cleaning as % of Total Gross Profit</v>
      </c>
      <c r="S4937" s="199"/>
      <c r="T4937" s="199"/>
      <c r="U4937" s="199"/>
    </row>
    <row r="4938" spans="1:21" x14ac:dyDescent="0.25">
      <c r="A4938" t="s">
        <v>996</v>
      </c>
      <c r="B4938" t="s">
        <v>997</v>
      </c>
      <c r="C4938" t="s">
        <v>1012</v>
      </c>
      <c r="D4938" t="s">
        <v>1586</v>
      </c>
      <c r="E4938">
        <v>400</v>
      </c>
      <c r="F4938" t="s">
        <v>1368</v>
      </c>
      <c r="G4938" t="s">
        <v>1369</v>
      </c>
      <c r="H4938" s="315" t="s">
        <v>1000</v>
      </c>
      <c r="I4938" s="315" t="s">
        <v>1370</v>
      </c>
      <c r="J4938" s="315" t="str">
        <f t="shared" si="406"/>
        <v>Admin &amp; OtherR&amp;M and Cleaning as % of Total Gross Profit</v>
      </c>
      <c r="K4938" s="315" t="str">
        <f t="shared" si="407"/>
        <v>400Repairs &amp; Maintenance - Toyota</v>
      </c>
      <c r="L4938" s="311">
        <f>+SUMIF('TUNZ Extracted TB'!M:M,$P4938,'TUNZ Extracted TB'!G:G)</f>
        <v>0</v>
      </c>
      <c r="M4938" s="311"/>
      <c r="N4938" s="311">
        <f>+SUMIF('Input Sheet'!$AE:$AE,P4938,'Input Sheet'!$X:$X)</f>
        <v>0</v>
      </c>
      <c r="O4938" s="311"/>
      <c r="P4938" t="str">
        <f t="shared" si="408"/>
        <v>400-7570M</v>
      </c>
      <c r="Q4938" s="315" t="str">
        <f t="shared" si="409"/>
        <v>Admin &amp; Other</v>
      </c>
      <c r="R4938" s="315" t="str">
        <f t="shared" si="410"/>
        <v>Admin &amp; OtherR&amp;M and Cleaning as % of Total Gross Profit</v>
      </c>
      <c r="S4938" s="199"/>
      <c r="T4938" s="199"/>
      <c r="U4938" s="199"/>
    </row>
    <row r="4939" spans="1:21" x14ac:dyDescent="0.25">
      <c r="A4939" t="s">
        <v>996</v>
      </c>
      <c r="B4939" t="s">
        <v>997</v>
      </c>
      <c r="C4939" t="s">
        <v>1012</v>
      </c>
      <c r="D4939" t="s">
        <v>1586</v>
      </c>
      <c r="E4939">
        <v>410</v>
      </c>
      <c r="F4939" t="s">
        <v>1368</v>
      </c>
      <c r="G4939" t="s">
        <v>1369</v>
      </c>
      <c r="H4939" s="315" t="s">
        <v>1000</v>
      </c>
      <c r="I4939" s="315" t="s">
        <v>1370</v>
      </c>
      <c r="J4939" s="315" t="str">
        <f t="shared" si="406"/>
        <v>Admin &amp; OtherR&amp;M and Cleaning as % of Total Gross Profit</v>
      </c>
      <c r="K4939" s="315" t="str">
        <f t="shared" si="407"/>
        <v>410Repairs &amp; Maintenance - Toyota</v>
      </c>
      <c r="L4939" s="311">
        <f>+SUMIF('TUNZ Extracted TB'!M:M,$P4939,'TUNZ Extracted TB'!G:G)</f>
        <v>0</v>
      </c>
      <c r="M4939" s="311"/>
      <c r="N4939" s="311">
        <f>+SUMIF('Input Sheet'!$AE:$AE,P4939,'Input Sheet'!$X:$X)</f>
        <v>0</v>
      </c>
      <c r="O4939" s="311"/>
      <c r="P4939" t="str">
        <f t="shared" si="408"/>
        <v>410-7570M</v>
      </c>
      <c r="Q4939" s="315" t="str">
        <f t="shared" si="409"/>
        <v>Admin &amp; Other</v>
      </c>
      <c r="R4939" s="315" t="str">
        <f t="shared" si="410"/>
        <v>Admin &amp; OtherR&amp;M and Cleaning as % of Total Gross Profit</v>
      </c>
      <c r="S4939" s="199"/>
      <c r="T4939" s="199"/>
      <c r="U4939" s="199"/>
    </row>
    <row r="4940" spans="1:21" x14ac:dyDescent="0.25">
      <c r="A4940" t="s">
        <v>996</v>
      </c>
      <c r="B4940" t="s">
        <v>997</v>
      </c>
      <c r="C4940" t="s">
        <v>1012</v>
      </c>
      <c r="D4940" t="s">
        <v>1586</v>
      </c>
      <c r="E4940">
        <v>420</v>
      </c>
      <c r="F4940" t="s">
        <v>1368</v>
      </c>
      <c r="G4940" t="s">
        <v>1369</v>
      </c>
      <c r="H4940" s="315" t="s">
        <v>1000</v>
      </c>
      <c r="I4940" s="315" t="s">
        <v>1370</v>
      </c>
      <c r="J4940" s="315" t="str">
        <f t="shared" si="406"/>
        <v>Admin &amp; OtherR&amp;M and Cleaning as % of Total Gross Profit</v>
      </c>
      <c r="K4940" s="315" t="str">
        <f t="shared" si="407"/>
        <v>420Repairs &amp; Maintenance - Toyota</v>
      </c>
      <c r="L4940" s="311">
        <f>+SUMIF('TUNZ Extracted TB'!M:M,$P4940,'TUNZ Extracted TB'!G:G)</f>
        <v>0</v>
      </c>
      <c r="M4940" s="311"/>
      <c r="N4940" s="311">
        <f>+SUMIF('Input Sheet'!$AE:$AE,P4940,'Input Sheet'!$X:$X)</f>
        <v>0</v>
      </c>
      <c r="O4940" s="311"/>
      <c r="P4940" t="str">
        <f t="shared" si="408"/>
        <v>420-7570M</v>
      </c>
      <c r="Q4940" s="315" t="str">
        <f t="shared" si="409"/>
        <v>Admin &amp; Other</v>
      </c>
      <c r="R4940" s="315" t="str">
        <f t="shared" si="410"/>
        <v>Admin &amp; OtherR&amp;M and Cleaning as % of Total Gross Profit</v>
      </c>
      <c r="S4940" s="199"/>
      <c r="T4940" s="199"/>
      <c r="U4940" s="199"/>
    </row>
    <row r="4941" spans="1:21" x14ac:dyDescent="0.25">
      <c r="A4941" t="s">
        <v>996</v>
      </c>
      <c r="B4941" t="s">
        <v>997</v>
      </c>
      <c r="C4941" t="s">
        <v>1012</v>
      </c>
      <c r="D4941" t="s">
        <v>1586</v>
      </c>
      <c r="E4941">
        <v>421</v>
      </c>
      <c r="F4941" t="s">
        <v>1368</v>
      </c>
      <c r="G4941" t="s">
        <v>1369</v>
      </c>
      <c r="H4941" s="315" t="s">
        <v>1000</v>
      </c>
      <c r="I4941" s="315" t="s">
        <v>1370</v>
      </c>
      <c r="J4941" s="315" t="str">
        <f t="shared" si="406"/>
        <v>Admin &amp; OtherR&amp;M and Cleaning as % of Total Gross Profit</v>
      </c>
      <c r="K4941" s="315" t="str">
        <f t="shared" si="407"/>
        <v>421Repairs &amp; Maintenance - Toyota</v>
      </c>
      <c r="L4941" s="311">
        <f>+SUMIF('TUNZ Extracted TB'!M:M,$P4941,'TUNZ Extracted TB'!G:G)</f>
        <v>0</v>
      </c>
      <c r="M4941" s="311"/>
      <c r="N4941" s="311">
        <f>+SUMIF('Input Sheet'!$AE:$AE,P4941,'Input Sheet'!$X:$X)</f>
        <v>0</v>
      </c>
      <c r="O4941" s="311"/>
      <c r="P4941" t="str">
        <f t="shared" si="408"/>
        <v>421-7570M</v>
      </c>
      <c r="Q4941" s="315" t="str">
        <f t="shared" si="409"/>
        <v>Admin &amp; Other</v>
      </c>
      <c r="R4941" s="315" t="str">
        <f t="shared" si="410"/>
        <v>Admin &amp; OtherR&amp;M and Cleaning as % of Total Gross Profit</v>
      </c>
      <c r="S4941" s="199"/>
      <c r="T4941" s="199"/>
      <c r="U4941" s="199"/>
    </row>
    <row r="4942" spans="1:21" x14ac:dyDescent="0.25">
      <c r="A4942" t="s">
        <v>996</v>
      </c>
      <c r="B4942" t="s">
        <v>997</v>
      </c>
      <c r="C4942" t="s">
        <v>1012</v>
      </c>
      <c r="D4942" t="s">
        <v>1586</v>
      </c>
      <c r="E4942">
        <v>430</v>
      </c>
      <c r="F4942" t="s">
        <v>1368</v>
      </c>
      <c r="G4942" t="s">
        <v>1369</v>
      </c>
      <c r="H4942" s="315" t="s">
        <v>1000</v>
      </c>
      <c r="I4942" s="315" t="s">
        <v>1370</v>
      </c>
      <c r="J4942" s="315" t="str">
        <f t="shared" si="406"/>
        <v>Admin &amp; OtherR&amp;M and Cleaning as % of Total Gross Profit</v>
      </c>
      <c r="K4942" s="315" t="str">
        <f t="shared" si="407"/>
        <v>430Repairs &amp; Maintenance - Toyota</v>
      </c>
      <c r="L4942" s="311">
        <f>+SUMIF('TUNZ Extracted TB'!M:M,$P4942,'TUNZ Extracted TB'!G:G)</f>
        <v>0</v>
      </c>
      <c r="M4942" s="311"/>
      <c r="N4942" s="311">
        <f>+SUMIF('Input Sheet'!$AE:$AE,P4942,'Input Sheet'!$X:$X)</f>
        <v>0</v>
      </c>
      <c r="O4942" s="311"/>
      <c r="P4942" t="str">
        <f t="shared" si="408"/>
        <v>430-7570M</v>
      </c>
      <c r="Q4942" s="315" t="str">
        <f t="shared" si="409"/>
        <v>Admin &amp; Other</v>
      </c>
      <c r="R4942" s="315" t="str">
        <f t="shared" si="410"/>
        <v>Admin &amp; OtherR&amp;M and Cleaning as % of Total Gross Profit</v>
      </c>
      <c r="S4942" s="199"/>
      <c r="T4942" s="199"/>
      <c r="U4942" s="199"/>
    </row>
    <row r="4943" spans="1:21" x14ac:dyDescent="0.25">
      <c r="A4943" t="s">
        <v>996</v>
      </c>
      <c r="B4943" t="s">
        <v>997</v>
      </c>
      <c r="C4943" t="s">
        <v>1012</v>
      </c>
      <c r="D4943" t="s">
        <v>1586</v>
      </c>
      <c r="E4943">
        <v>460</v>
      </c>
      <c r="F4943" t="s">
        <v>1368</v>
      </c>
      <c r="G4943" t="s">
        <v>1369</v>
      </c>
      <c r="H4943" s="315" t="s">
        <v>1000</v>
      </c>
      <c r="I4943" s="315" t="s">
        <v>1370</v>
      </c>
      <c r="J4943" s="315" t="str">
        <f t="shared" si="406"/>
        <v>Admin &amp; OtherR&amp;M and Cleaning as % of Total Gross Profit</v>
      </c>
      <c r="K4943" s="315" t="str">
        <f t="shared" si="407"/>
        <v>460Repairs &amp; Maintenance - Toyota</v>
      </c>
      <c r="L4943" s="311">
        <f>+SUMIF('TUNZ Extracted TB'!M:M,$P4943,'TUNZ Extracted TB'!G:G)</f>
        <v>0</v>
      </c>
      <c r="M4943" s="311"/>
      <c r="N4943" s="311">
        <f>+SUMIF('Input Sheet'!$AE:$AE,P4943,'Input Sheet'!$X:$X)</f>
        <v>0</v>
      </c>
      <c r="O4943" s="311"/>
      <c r="P4943" t="str">
        <f t="shared" si="408"/>
        <v>460-7570M</v>
      </c>
      <c r="Q4943" s="315" t="str">
        <f t="shared" si="409"/>
        <v>Admin &amp; Other</v>
      </c>
      <c r="R4943" s="315" t="str">
        <f t="shared" si="410"/>
        <v>Admin &amp; OtherR&amp;M and Cleaning as % of Total Gross Profit</v>
      </c>
      <c r="S4943" s="199"/>
      <c r="T4943" s="199"/>
      <c r="U4943" s="199"/>
    </row>
    <row r="4944" spans="1:21" x14ac:dyDescent="0.25">
      <c r="A4944" t="s">
        <v>996</v>
      </c>
      <c r="B4944" t="s">
        <v>997</v>
      </c>
      <c r="C4944" t="s">
        <v>1013</v>
      </c>
      <c r="D4944" t="s">
        <v>1586</v>
      </c>
      <c r="E4944">
        <v>300</v>
      </c>
      <c r="F4944" t="s">
        <v>1368</v>
      </c>
      <c r="G4944" t="s">
        <v>1369</v>
      </c>
      <c r="H4944" s="315" t="s">
        <v>1000</v>
      </c>
      <c r="I4944" s="315" t="s">
        <v>1370</v>
      </c>
      <c r="J4944" s="315" t="str">
        <f t="shared" si="406"/>
        <v>Admin &amp; OtherR&amp;M and Cleaning as % of Total Gross Profit</v>
      </c>
      <c r="K4944" s="315" t="str">
        <f t="shared" si="407"/>
        <v>300Repairs &amp; Maintenance - Toyota</v>
      </c>
      <c r="L4944" s="311">
        <f>+SUMIF('TUNZ Extracted TB'!M:M,$P4944,'TUNZ Extracted TB'!G:G)</f>
        <v>0</v>
      </c>
      <c r="M4944" s="311"/>
      <c r="N4944" s="311">
        <f>+SUMIF('Input Sheet'!$AE:$AE,P4944,'Input Sheet'!$X:$X)</f>
        <v>0</v>
      </c>
      <c r="O4944" s="311"/>
      <c r="P4944" t="str">
        <f t="shared" si="408"/>
        <v>300-7570M</v>
      </c>
      <c r="Q4944" s="315" t="str">
        <f t="shared" si="409"/>
        <v>Admin &amp; Other</v>
      </c>
      <c r="R4944" s="315" t="str">
        <f t="shared" si="410"/>
        <v>Admin &amp; OtherR&amp;M and Cleaning as % of Total Gross Profit</v>
      </c>
      <c r="S4944" s="199"/>
      <c r="T4944" s="199"/>
      <c r="U4944" s="199"/>
    </row>
    <row r="4945" spans="1:21" x14ac:dyDescent="0.25">
      <c r="A4945" t="s">
        <v>996</v>
      </c>
      <c r="B4945" t="s">
        <v>997</v>
      </c>
      <c r="C4945" t="s">
        <v>1013</v>
      </c>
      <c r="D4945" t="s">
        <v>1586</v>
      </c>
      <c r="E4945">
        <v>310</v>
      </c>
      <c r="F4945" t="s">
        <v>1368</v>
      </c>
      <c r="G4945" t="s">
        <v>1369</v>
      </c>
      <c r="H4945" s="315" t="s">
        <v>1000</v>
      </c>
      <c r="I4945" s="315" t="s">
        <v>1370</v>
      </c>
      <c r="J4945" s="315" t="str">
        <f t="shared" si="406"/>
        <v>Admin &amp; OtherR&amp;M and Cleaning as % of Total Gross Profit</v>
      </c>
      <c r="K4945" s="315" t="str">
        <f t="shared" si="407"/>
        <v>310Repairs &amp; Maintenance - Toyota</v>
      </c>
      <c r="L4945" s="311">
        <f>+SUMIF('TUNZ Extracted TB'!M:M,$P4945,'TUNZ Extracted TB'!G:G)</f>
        <v>0</v>
      </c>
      <c r="M4945" s="311"/>
      <c r="N4945" s="311">
        <f>+SUMIF('Input Sheet'!$AE:$AE,P4945,'Input Sheet'!$X:$X)</f>
        <v>0</v>
      </c>
      <c r="O4945" s="311"/>
      <c r="P4945" t="str">
        <f t="shared" si="408"/>
        <v>310-7570M</v>
      </c>
      <c r="Q4945" s="315" t="str">
        <f t="shared" si="409"/>
        <v>Admin &amp; Other</v>
      </c>
      <c r="R4945" s="315" t="str">
        <f t="shared" si="410"/>
        <v>Admin &amp; OtherR&amp;M and Cleaning as % of Total Gross Profit</v>
      </c>
      <c r="S4945" s="199"/>
      <c r="T4945" s="199"/>
      <c r="U4945" s="199"/>
    </row>
    <row r="4946" spans="1:21" x14ac:dyDescent="0.25">
      <c r="A4946" t="s">
        <v>996</v>
      </c>
      <c r="B4946" t="s">
        <v>997</v>
      </c>
      <c r="C4946" t="s">
        <v>1013</v>
      </c>
      <c r="D4946" t="s">
        <v>1586</v>
      </c>
      <c r="E4946">
        <v>321</v>
      </c>
      <c r="F4946" t="s">
        <v>1368</v>
      </c>
      <c r="G4946" t="s">
        <v>1369</v>
      </c>
      <c r="H4946" s="315" t="s">
        <v>1000</v>
      </c>
      <c r="I4946" s="315" t="s">
        <v>1370</v>
      </c>
      <c r="J4946" s="315" t="str">
        <f t="shared" si="406"/>
        <v>Admin &amp; OtherR&amp;M and Cleaning as % of Total Gross Profit</v>
      </c>
      <c r="K4946" s="315" t="str">
        <f t="shared" si="407"/>
        <v>321Repairs &amp; Maintenance - Toyota</v>
      </c>
      <c r="L4946" s="311">
        <f>+SUMIF('TUNZ Extracted TB'!M:M,$P4946,'TUNZ Extracted TB'!G:G)</f>
        <v>0</v>
      </c>
      <c r="M4946" s="311"/>
      <c r="N4946" s="311">
        <f>+SUMIF('Input Sheet'!$AE:$AE,P4946,'Input Sheet'!$X:$X)</f>
        <v>0</v>
      </c>
      <c r="O4946" s="311"/>
      <c r="P4946" t="str">
        <f t="shared" si="408"/>
        <v>321-7570M</v>
      </c>
      <c r="Q4946" s="315" t="str">
        <f t="shared" si="409"/>
        <v>Admin &amp; Other</v>
      </c>
      <c r="R4946" s="315" t="str">
        <f t="shared" si="410"/>
        <v>Admin &amp; OtherR&amp;M and Cleaning as % of Total Gross Profit</v>
      </c>
      <c r="S4946" s="199"/>
      <c r="T4946" s="199"/>
      <c r="U4946" s="199"/>
    </row>
    <row r="4947" spans="1:21" x14ac:dyDescent="0.25">
      <c r="A4947" t="s">
        <v>996</v>
      </c>
      <c r="B4947" t="s">
        <v>997</v>
      </c>
      <c r="C4947" t="s">
        <v>1013</v>
      </c>
      <c r="D4947" t="s">
        <v>1586</v>
      </c>
      <c r="E4947">
        <v>330</v>
      </c>
      <c r="F4947" t="s">
        <v>1368</v>
      </c>
      <c r="G4947" t="s">
        <v>1369</v>
      </c>
      <c r="H4947" s="315" t="s">
        <v>1000</v>
      </c>
      <c r="I4947" s="315" t="s">
        <v>1370</v>
      </c>
      <c r="J4947" s="315" t="str">
        <f t="shared" si="406"/>
        <v>Admin &amp; OtherR&amp;M and Cleaning as % of Total Gross Profit</v>
      </c>
      <c r="K4947" s="315" t="str">
        <f t="shared" si="407"/>
        <v>330Repairs &amp; Maintenance - Toyota</v>
      </c>
      <c r="L4947" s="311">
        <f>+SUMIF('TUNZ Extracted TB'!M:M,$P4947,'TUNZ Extracted TB'!G:G)</f>
        <v>0</v>
      </c>
      <c r="M4947" s="311"/>
      <c r="N4947" s="311">
        <f>+SUMIF('Input Sheet'!$AE:$AE,P4947,'Input Sheet'!$X:$X)</f>
        <v>0</v>
      </c>
      <c r="O4947" s="311"/>
      <c r="P4947" t="str">
        <f t="shared" si="408"/>
        <v>330-7570M</v>
      </c>
      <c r="Q4947" s="315" t="str">
        <f t="shared" si="409"/>
        <v>Admin &amp; Other</v>
      </c>
      <c r="R4947" s="315" t="str">
        <f t="shared" si="410"/>
        <v>Admin &amp; OtherR&amp;M and Cleaning as % of Total Gross Profit</v>
      </c>
      <c r="S4947" s="199"/>
      <c r="T4947" s="199"/>
      <c r="U4947" s="199"/>
    </row>
    <row r="4948" spans="1:21" x14ac:dyDescent="0.25">
      <c r="A4948" t="s">
        <v>996</v>
      </c>
      <c r="B4948" t="s">
        <v>997</v>
      </c>
      <c r="C4948" t="s">
        <v>1013</v>
      </c>
      <c r="D4948" t="s">
        <v>1586</v>
      </c>
      <c r="E4948">
        <v>360</v>
      </c>
      <c r="F4948" t="s">
        <v>1368</v>
      </c>
      <c r="G4948" t="s">
        <v>1369</v>
      </c>
      <c r="H4948" s="315" t="s">
        <v>1000</v>
      </c>
      <c r="I4948" s="315" t="s">
        <v>1370</v>
      </c>
      <c r="J4948" s="315" t="str">
        <f t="shared" si="406"/>
        <v>Admin &amp; OtherR&amp;M and Cleaning as % of Total Gross Profit</v>
      </c>
      <c r="K4948" s="315" t="str">
        <f t="shared" si="407"/>
        <v>360Repairs &amp; Maintenance - Toyota</v>
      </c>
      <c r="L4948" s="311">
        <f>+SUMIF('TUNZ Extracted TB'!M:M,$P4948,'TUNZ Extracted TB'!G:G)</f>
        <v>0</v>
      </c>
      <c r="M4948" s="311"/>
      <c r="N4948" s="311">
        <f>+SUMIF('Input Sheet'!$AE:$AE,P4948,'Input Sheet'!$X:$X)</f>
        <v>0</v>
      </c>
      <c r="O4948" s="311"/>
      <c r="P4948" t="str">
        <f t="shared" si="408"/>
        <v>360-7570M</v>
      </c>
      <c r="Q4948" s="315" t="str">
        <f t="shared" si="409"/>
        <v>Admin &amp; Other</v>
      </c>
      <c r="R4948" s="315" t="str">
        <f t="shared" si="410"/>
        <v>Admin &amp; OtherR&amp;M and Cleaning as % of Total Gross Profit</v>
      </c>
      <c r="S4948" s="199"/>
      <c r="T4948" s="199"/>
      <c r="U4948" s="199"/>
    </row>
    <row r="4949" spans="1:21" x14ac:dyDescent="0.25">
      <c r="A4949" t="s">
        <v>996</v>
      </c>
      <c r="B4949" t="s">
        <v>997</v>
      </c>
      <c r="C4949" t="s">
        <v>997</v>
      </c>
      <c r="D4949" t="s">
        <v>1586</v>
      </c>
      <c r="E4949">
        <v>120</v>
      </c>
      <c r="F4949" t="s">
        <v>1368</v>
      </c>
      <c r="G4949" t="s">
        <v>1369</v>
      </c>
      <c r="H4949" s="315" t="s">
        <v>1000</v>
      </c>
      <c r="I4949" s="315" t="s">
        <v>1370</v>
      </c>
      <c r="J4949" s="315" t="str">
        <f t="shared" si="406"/>
        <v>Admin &amp; OtherR&amp;M and Cleaning as % of Total Gross Profit</v>
      </c>
      <c r="K4949" s="315" t="str">
        <f t="shared" si="407"/>
        <v>120Repairs &amp; Maintenance - Toyota</v>
      </c>
      <c r="L4949" s="311">
        <f>+SUMIF('TUNZ Extracted TB'!M:M,$P4949,'TUNZ Extracted TB'!G:G)</f>
        <v>0</v>
      </c>
      <c r="M4949" s="311"/>
      <c r="N4949" s="311">
        <f>+SUMIF('Input Sheet'!$AE:$AE,P4949,'Input Sheet'!$X:$X)</f>
        <v>0</v>
      </c>
      <c r="O4949" s="311"/>
      <c r="P4949" t="str">
        <f t="shared" si="408"/>
        <v>120-7570M</v>
      </c>
      <c r="Q4949" s="315" t="str">
        <f t="shared" si="409"/>
        <v>Admin &amp; Other</v>
      </c>
      <c r="R4949" s="315" t="str">
        <f t="shared" si="410"/>
        <v>Admin &amp; OtherR&amp;M and Cleaning as % of Total Gross Profit</v>
      </c>
      <c r="S4949" s="199"/>
      <c r="T4949" s="199"/>
      <c r="U4949" s="199"/>
    </row>
    <row r="4950" spans="1:21" x14ac:dyDescent="0.25">
      <c r="A4950" t="s">
        <v>996</v>
      </c>
      <c r="B4950" t="s">
        <v>997</v>
      </c>
      <c r="C4950" t="s">
        <v>997</v>
      </c>
      <c r="D4950" t="s">
        <v>1586</v>
      </c>
      <c r="E4950">
        <v>121</v>
      </c>
      <c r="F4950" t="s">
        <v>1368</v>
      </c>
      <c r="G4950" t="s">
        <v>1369</v>
      </c>
      <c r="H4950" s="315" t="s">
        <v>1000</v>
      </c>
      <c r="I4950" s="315" t="s">
        <v>1370</v>
      </c>
      <c r="J4950" s="315" t="str">
        <f t="shared" si="406"/>
        <v>Admin &amp; OtherR&amp;M and Cleaning as % of Total Gross Profit</v>
      </c>
      <c r="K4950" s="315" t="str">
        <f t="shared" si="407"/>
        <v>121Repairs &amp; Maintenance - Toyota</v>
      </c>
      <c r="L4950" s="311">
        <f>+SUMIF('TUNZ Extracted TB'!M:M,$P4950,'TUNZ Extracted TB'!G:G)</f>
        <v>0</v>
      </c>
      <c r="M4950" s="311"/>
      <c r="N4950" s="311">
        <f>+SUMIF('Input Sheet'!$AE:$AE,P4950,'Input Sheet'!$X:$X)</f>
        <v>0</v>
      </c>
      <c r="O4950" s="311"/>
      <c r="P4950" t="str">
        <f t="shared" si="408"/>
        <v>121-7570M</v>
      </c>
      <c r="Q4950" s="315" t="str">
        <f t="shared" si="409"/>
        <v>Admin &amp; Other</v>
      </c>
      <c r="R4950" s="315" t="str">
        <f t="shared" si="410"/>
        <v>Admin &amp; OtherR&amp;M and Cleaning as % of Total Gross Profit</v>
      </c>
      <c r="S4950" s="199"/>
      <c r="T4950" s="199"/>
      <c r="U4950" s="199"/>
    </row>
    <row r="4951" spans="1:21" x14ac:dyDescent="0.25">
      <c r="A4951" t="s">
        <v>996</v>
      </c>
      <c r="B4951" t="s">
        <v>997</v>
      </c>
      <c r="C4951" t="s">
        <v>997</v>
      </c>
      <c r="D4951" t="s">
        <v>1586</v>
      </c>
      <c r="E4951">
        <v>160</v>
      </c>
      <c r="F4951" t="s">
        <v>1368</v>
      </c>
      <c r="G4951" t="s">
        <v>1369</v>
      </c>
      <c r="H4951" s="315" t="s">
        <v>1000</v>
      </c>
      <c r="I4951" s="315" t="s">
        <v>1370</v>
      </c>
      <c r="J4951" s="315" t="str">
        <f t="shared" si="406"/>
        <v>Admin &amp; OtherR&amp;M and Cleaning as % of Total Gross Profit</v>
      </c>
      <c r="K4951" s="315" t="str">
        <f t="shared" si="407"/>
        <v>160Repairs &amp; Maintenance - Toyota</v>
      </c>
      <c r="L4951" s="311">
        <f>+SUMIF('TUNZ Extracted TB'!M:M,$P4951,'TUNZ Extracted TB'!G:G)</f>
        <v>0</v>
      </c>
      <c r="M4951" s="311"/>
      <c r="N4951" s="311">
        <f>+SUMIF('Input Sheet'!$AE:$AE,P4951,'Input Sheet'!$X:$X)</f>
        <v>0</v>
      </c>
      <c r="O4951" s="311"/>
      <c r="P4951" t="str">
        <f t="shared" si="408"/>
        <v>160-7570M</v>
      </c>
      <c r="Q4951" s="315" t="str">
        <f t="shared" si="409"/>
        <v>Admin &amp; Other</v>
      </c>
      <c r="R4951" s="315" t="str">
        <f t="shared" si="410"/>
        <v>Admin &amp; OtherR&amp;M and Cleaning as % of Total Gross Profit</v>
      </c>
      <c r="S4951" s="199"/>
      <c r="T4951" s="199"/>
      <c r="U4951" s="199"/>
    </row>
    <row r="4952" spans="1:21" x14ac:dyDescent="0.25">
      <c r="A4952" t="s">
        <v>996</v>
      </c>
      <c r="B4952" t="s">
        <v>997</v>
      </c>
      <c r="C4952" t="s">
        <v>997</v>
      </c>
      <c r="D4952" t="s">
        <v>1586</v>
      </c>
      <c r="E4952">
        <v>170</v>
      </c>
      <c r="F4952" t="s">
        <v>1368</v>
      </c>
      <c r="G4952" t="s">
        <v>1369</v>
      </c>
      <c r="H4952" s="315" t="s">
        <v>1000</v>
      </c>
      <c r="I4952" s="315" t="s">
        <v>1370</v>
      </c>
      <c r="J4952" s="315" t="str">
        <f t="shared" si="406"/>
        <v>Admin &amp; OtherR&amp;M and Cleaning as % of Total Gross Profit</v>
      </c>
      <c r="K4952" s="315" t="str">
        <f t="shared" si="407"/>
        <v>170Repairs &amp; Maintenance - Toyota</v>
      </c>
      <c r="L4952" s="311">
        <f>+SUMIF('TUNZ Extracted TB'!M:M,$P4952,'TUNZ Extracted TB'!G:G)</f>
        <v>0</v>
      </c>
      <c r="M4952" s="311"/>
      <c r="N4952" s="311">
        <f>+SUMIF('Input Sheet'!$AE:$AE,P4952,'Input Sheet'!$X:$X)</f>
        <v>0</v>
      </c>
      <c r="O4952" s="311"/>
      <c r="P4952" t="str">
        <f t="shared" si="408"/>
        <v>170-7570M</v>
      </c>
      <c r="Q4952" s="315" t="str">
        <f t="shared" si="409"/>
        <v>Admin &amp; Other</v>
      </c>
      <c r="R4952" s="315" t="str">
        <f t="shared" si="410"/>
        <v>Admin &amp; OtherR&amp;M and Cleaning as % of Total Gross Profit</v>
      </c>
      <c r="S4952" s="199"/>
      <c r="T4952" s="199"/>
      <c r="U4952" s="199"/>
    </row>
    <row r="4953" spans="1:21" x14ac:dyDescent="0.25">
      <c r="A4953" t="s">
        <v>996</v>
      </c>
      <c r="B4953" t="s">
        <v>997</v>
      </c>
      <c r="C4953" t="s">
        <v>1005</v>
      </c>
      <c r="D4953" t="s">
        <v>1586</v>
      </c>
      <c r="E4953">
        <v>240</v>
      </c>
      <c r="F4953" t="s">
        <v>1289</v>
      </c>
      <c r="G4953" t="s">
        <v>1290</v>
      </c>
      <c r="H4953" s="315" t="s">
        <v>17</v>
      </c>
      <c r="I4953" s="315" t="s">
        <v>1286</v>
      </c>
      <c r="J4953" s="315" t="str">
        <f t="shared" si="406"/>
        <v>ServiceOther Expenses as % of Sales</v>
      </c>
      <c r="K4953" s="315" t="str">
        <f t="shared" si="407"/>
        <v>240Service Other expenses - Toyota</v>
      </c>
      <c r="L4953" s="311">
        <f>+SUMIF('TUNZ Extracted TB'!M:M,$P4953,'TUNZ Extracted TB'!G:G)</f>
        <v>0</v>
      </c>
      <c r="M4953" s="311"/>
      <c r="N4953" s="311">
        <f>+SUMIF('Input Sheet'!$AE:$AE,P4953,'Input Sheet'!$X:$X)</f>
        <v>0</v>
      </c>
      <c r="O4953" s="311"/>
      <c r="P4953" t="str">
        <f t="shared" si="408"/>
        <v>240-7570M</v>
      </c>
      <c r="Q4953" s="315" t="str">
        <f t="shared" si="409"/>
        <v>Service</v>
      </c>
      <c r="R4953" s="315" t="str">
        <f t="shared" si="410"/>
        <v>ServiceOther Expenses as % of Sales</v>
      </c>
      <c r="S4953" s="199"/>
      <c r="T4953" s="199"/>
      <c r="U4953" s="199"/>
    </row>
    <row r="4954" spans="1:21" x14ac:dyDescent="0.25">
      <c r="A4954" t="s">
        <v>996</v>
      </c>
      <c r="B4954" t="s">
        <v>997</v>
      </c>
      <c r="C4954" t="s">
        <v>1012</v>
      </c>
      <c r="D4954" t="s">
        <v>1586</v>
      </c>
      <c r="E4954">
        <v>440</v>
      </c>
      <c r="F4954" t="s">
        <v>1289</v>
      </c>
      <c r="G4954" t="s">
        <v>1290</v>
      </c>
      <c r="H4954" s="315" t="s">
        <v>17</v>
      </c>
      <c r="I4954" s="315" t="s">
        <v>1286</v>
      </c>
      <c r="J4954" s="315" t="str">
        <f t="shared" si="406"/>
        <v>ServiceOther Expenses as % of Sales</v>
      </c>
      <c r="K4954" s="315" t="str">
        <f t="shared" si="407"/>
        <v>440Service Other expenses - Toyota</v>
      </c>
      <c r="L4954" s="311">
        <f>+SUMIF('TUNZ Extracted TB'!M:M,$P4954,'TUNZ Extracted TB'!G:G)</f>
        <v>0</v>
      </c>
      <c r="M4954" s="311"/>
      <c r="N4954" s="311">
        <f>+SUMIF('Input Sheet'!$AE:$AE,P4954,'Input Sheet'!$X:$X)</f>
        <v>0</v>
      </c>
      <c r="O4954" s="311"/>
      <c r="P4954" t="str">
        <f t="shared" si="408"/>
        <v>440-7570M</v>
      </c>
      <c r="Q4954" s="315" t="str">
        <f t="shared" si="409"/>
        <v>Service</v>
      </c>
      <c r="R4954" s="315" t="str">
        <f t="shared" si="410"/>
        <v>ServiceOther Expenses as % of Sales</v>
      </c>
      <c r="S4954" s="199"/>
      <c r="T4954" s="199"/>
      <c r="U4954" s="199"/>
    </row>
    <row r="4955" spans="1:21" x14ac:dyDescent="0.25">
      <c r="A4955" t="s">
        <v>996</v>
      </c>
      <c r="B4955" t="s">
        <v>997</v>
      </c>
      <c r="C4955" t="s">
        <v>1013</v>
      </c>
      <c r="D4955" t="s">
        <v>1586</v>
      </c>
      <c r="E4955">
        <v>340</v>
      </c>
      <c r="F4955" t="s">
        <v>1289</v>
      </c>
      <c r="G4955" t="s">
        <v>1290</v>
      </c>
      <c r="H4955" s="315" t="s">
        <v>17</v>
      </c>
      <c r="I4955" s="315" t="s">
        <v>1286</v>
      </c>
      <c r="J4955" s="315" t="str">
        <f t="shared" si="406"/>
        <v>ServiceOther Expenses as % of Sales</v>
      </c>
      <c r="K4955" s="315" t="str">
        <f t="shared" si="407"/>
        <v>340Service Other expenses - Toyota</v>
      </c>
      <c r="L4955" s="311">
        <f>+SUMIF('TUNZ Extracted TB'!M:M,$P4955,'TUNZ Extracted TB'!G:G)</f>
        <v>0</v>
      </c>
      <c r="M4955" s="311"/>
      <c r="N4955" s="311">
        <f>+SUMIF('Input Sheet'!$AE:$AE,P4955,'Input Sheet'!$X:$X)</f>
        <v>0</v>
      </c>
      <c r="O4955" s="311"/>
      <c r="P4955" t="str">
        <f t="shared" si="408"/>
        <v>340-7570M</v>
      </c>
      <c r="Q4955" s="315" t="str">
        <f t="shared" si="409"/>
        <v>Service</v>
      </c>
      <c r="R4955" s="315" t="str">
        <f t="shared" si="410"/>
        <v>ServiceOther Expenses as % of Sales</v>
      </c>
      <c r="S4955" s="199"/>
      <c r="T4955" s="199"/>
      <c r="U4955" s="199"/>
    </row>
    <row r="4956" spans="1:21" x14ac:dyDescent="0.25">
      <c r="A4956" t="s">
        <v>996</v>
      </c>
      <c r="B4956" t="s">
        <v>997</v>
      </c>
      <c r="C4956" t="s">
        <v>997</v>
      </c>
      <c r="D4956" t="s">
        <v>1586</v>
      </c>
      <c r="E4956">
        <v>147</v>
      </c>
      <c r="F4956" t="s">
        <v>1289</v>
      </c>
      <c r="G4956" t="s">
        <v>1290</v>
      </c>
      <c r="H4956" s="315" t="s">
        <v>17</v>
      </c>
      <c r="I4956" s="315" t="s">
        <v>1286</v>
      </c>
      <c r="J4956" s="315" t="str">
        <f t="shared" si="406"/>
        <v>ServiceOther Expenses as % of Sales</v>
      </c>
      <c r="K4956" s="315" t="str">
        <f t="shared" si="407"/>
        <v>147Service Other expenses - Toyota</v>
      </c>
      <c r="L4956" s="311">
        <f>+SUMIF('TUNZ Extracted TB'!M:M,$P4956,'TUNZ Extracted TB'!G:G)</f>
        <v>0</v>
      </c>
      <c r="M4956" s="311"/>
      <c r="N4956" s="311">
        <f>+SUMIF('Input Sheet'!$AE:$AE,P4956,'Input Sheet'!$X:$X)</f>
        <v>0</v>
      </c>
      <c r="O4956" s="311"/>
      <c r="P4956" t="str">
        <f t="shared" si="408"/>
        <v>147-7570M</v>
      </c>
      <c r="Q4956" s="315" t="str">
        <f t="shared" si="409"/>
        <v>Service</v>
      </c>
      <c r="R4956" s="315" t="str">
        <f t="shared" si="410"/>
        <v>ServiceOther Expenses as % of Sales</v>
      </c>
      <c r="S4956" s="199"/>
      <c r="T4956" s="199"/>
      <c r="U4956" s="199"/>
    </row>
    <row r="4957" spans="1:21" x14ac:dyDescent="0.25">
      <c r="A4957" t="s">
        <v>996</v>
      </c>
      <c r="B4957" t="s">
        <v>997</v>
      </c>
      <c r="C4957" t="s">
        <v>997</v>
      </c>
      <c r="D4957" t="s">
        <v>1586</v>
      </c>
      <c r="E4957">
        <v>132</v>
      </c>
      <c r="F4957" t="s">
        <v>1430</v>
      </c>
      <c r="G4957" t="s">
        <v>1431</v>
      </c>
      <c r="H4957" s="315" t="s">
        <v>1023</v>
      </c>
      <c r="I4957" s="315" t="s">
        <v>1370</v>
      </c>
      <c r="J4957" s="315" t="str">
        <f t="shared" si="406"/>
        <v>LEX Admin &amp; OtherR&amp;M and Cleaning as % of Total Gross Profit</v>
      </c>
      <c r="K4957" s="315" t="str">
        <f t="shared" si="407"/>
        <v>132Repairs &amp; Maintenance - Lexus</v>
      </c>
      <c r="L4957" s="311">
        <f>+SUMIF('TUNZ Extracted TB'!M:M,$P4957,'TUNZ Extracted TB'!G:G)</f>
        <v>0</v>
      </c>
      <c r="M4957" s="311"/>
      <c r="N4957" s="311">
        <f>+SUMIF('Input Sheet'!$AE:$AE,P4957,'Input Sheet'!$X:$X)</f>
        <v>0</v>
      </c>
      <c r="O4957" s="311"/>
      <c r="P4957" t="str">
        <f t="shared" si="408"/>
        <v>132-7570M</v>
      </c>
      <c r="Q4957" s="315" t="str">
        <f t="shared" si="409"/>
        <v>LEX Admin &amp; Other</v>
      </c>
      <c r="R4957" s="315" t="str">
        <f t="shared" si="410"/>
        <v>LEX Admin &amp; OtherR&amp;M and Cleaning as % of Total Gross Profit</v>
      </c>
      <c r="S4957" s="199"/>
      <c r="T4957" s="199"/>
      <c r="U4957" s="199"/>
    </row>
    <row r="4958" spans="1:21" x14ac:dyDescent="0.25">
      <c r="A4958" t="s">
        <v>996</v>
      </c>
      <c r="B4958" t="s">
        <v>997</v>
      </c>
      <c r="C4958" t="s">
        <v>997</v>
      </c>
      <c r="D4958" t="s">
        <v>1586</v>
      </c>
      <c r="E4958">
        <v>130</v>
      </c>
      <c r="F4958" t="s">
        <v>1368</v>
      </c>
      <c r="G4958" t="s">
        <v>1369</v>
      </c>
      <c r="H4958" s="315" t="s">
        <v>1000</v>
      </c>
      <c r="I4958" s="315" t="s">
        <v>1370</v>
      </c>
      <c r="J4958" s="315" t="str">
        <f t="shared" si="406"/>
        <v>Admin &amp; OtherR&amp;M and Cleaning as % of Total Gross Profit</v>
      </c>
      <c r="K4958" s="315" t="str">
        <f t="shared" si="407"/>
        <v>130Repairs &amp; Maintenance - Toyota</v>
      </c>
      <c r="L4958" s="311">
        <f>+SUMIF('TUNZ Extracted TB'!M:M,$P4958,'TUNZ Extracted TB'!G:G)</f>
        <v>0</v>
      </c>
      <c r="M4958" s="311"/>
      <c r="N4958" s="311">
        <f>+SUMIF('Input Sheet'!$AE:$AE,P4958,'Input Sheet'!$X:$X)</f>
        <v>0</v>
      </c>
      <c r="O4958" s="311"/>
      <c r="P4958" t="str">
        <f t="shared" si="408"/>
        <v>130-7570M</v>
      </c>
      <c r="Q4958" s="315" t="str">
        <f t="shared" si="409"/>
        <v>Admin &amp; Other</v>
      </c>
      <c r="R4958" s="315" t="str">
        <f t="shared" si="410"/>
        <v>Admin &amp; OtherR&amp;M and Cleaning as % of Total Gross Profit</v>
      </c>
      <c r="S4958" s="199"/>
      <c r="T4958" s="199"/>
      <c r="U4958" s="199"/>
    </row>
    <row r="4959" spans="1:21" x14ac:dyDescent="0.25">
      <c r="A4959" t="s">
        <v>996</v>
      </c>
      <c r="B4959" t="s">
        <v>997</v>
      </c>
      <c r="C4959" t="s">
        <v>997</v>
      </c>
      <c r="D4959" t="s">
        <v>1586</v>
      </c>
      <c r="E4959">
        <v>112</v>
      </c>
      <c r="F4959" t="s">
        <v>1430</v>
      </c>
      <c r="G4959" t="s">
        <v>1431</v>
      </c>
      <c r="H4959" s="315" t="s">
        <v>1023</v>
      </c>
      <c r="I4959" s="315" t="s">
        <v>1370</v>
      </c>
      <c r="J4959" s="315" t="str">
        <f t="shared" si="406"/>
        <v>LEX Admin &amp; OtherR&amp;M and Cleaning as % of Total Gross Profit</v>
      </c>
      <c r="K4959" s="315" t="str">
        <f t="shared" si="407"/>
        <v>112Repairs &amp; Maintenance - Lexus</v>
      </c>
      <c r="L4959" s="311">
        <f>+SUMIF('TUNZ Extracted TB'!M:M,$P4959,'TUNZ Extracted TB'!G:G)</f>
        <v>0</v>
      </c>
      <c r="M4959" s="311"/>
      <c r="N4959" s="311">
        <f>+SUMIF('Input Sheet'!$AE:$AE,P4959,'Input Sheet'!$X:$X)</f>
        <v>0</v>
      </c>
      <c r="O4959" s="311"/>
      <c r="P4959" t="str">
        <f t="shared" si="408"/>
        <v>112-7570M</v>
      </c>
      <c r="Q4959" s="315" t="str">
        <f t="shared" si="409"/>
        <v>LEX Admin &amp; Other</v>
      </c>
      <c r="R4959" s="315" t="str">
        <f t="shared" si="410"/>
        <v>LEX Admin &amp; OtherR&amp;M and Cleaning as % of Total Gross Profit</v>
      </c>
      <c r="S4959" s="199"/>
      <c r="T4959" s="199"/>
      <c r="U4959" s="199"/>
    </row>
    <row r="4960" spans="1:21" x14ac:dyDescent="0.25">
      <c r="A4960" t="s">
        <v>996</v>
      </c>
      <c r="B4960" t="s">
        <v>997</v>
      </c>
      <c r="C4960" t="s">
        <v>997</v>
      </c>
      <c r="D4960" t="s">
        <v>1586</v>
      </c>
      <c r="E4960">
        <v>100</v>
      </c>
      <c r="F4960" t="s">
        <v>1368</v>
      </c>
      <c r="G4960" t="s">
        <v>1369</v>
      </c>
      <c r="H4960" s="315" t="s">
        <v>1000</v>
      </c>
      <c r="I4960" s="315" t="s">
        <v>1370</v>
      </c>
      <c r="J4960" s="315" t="str">
        <f t="shared" si="406"/>
        <v>Admin &amp; OtherR&amp;M and Cleaning as % of Total Gross Profit</v>
      </c>
      <c r="K4960" s="315" t="str">
        <f t="shared" si="407"/>
        <v>100Repairs &amp; Maintenance - Toyota</v>
      </c>
      <c r="L4960" s="311">
        <f>+SUMIF('TUNZ Extracted TB'!M:M,$P4960,'TUNZ Extracted TB'!G:G)</f>
        <v>0</v>
      </c>
      <c r="M4960" s="311"/>
      <c r="N4960" s="311">
        <f>+SUMIF('Input Sheet'!$AE:$AE,P4960,'Input Sheet'!$X:$X)</f>
        <v>0</v>
      </c>
      <c r="O4960" s="311"/>
      <c r="P4960" t="str">
        <f t="shared" si="408"/>
        <v>100-7570M</v>
      </c>
      <c r="Q4960" s="315" t="str">
        <f t="shared" si="409"/>
        <v>Admin &amp; Other</v>
      </c>
      <c r="R4960" s="315" t="str">
        <f t="shared" si="410"/>
        <v>Admin &amp; OtherR&amp;M and Cleaning as % of Total Gross Profit</v>
      </c>
      <c r="S4960" s="199"/>
      <c r="T4960" s="199"/>
      <c r="U4960" s="199"/>
    </row>
    <row r="4961" spans="1:21" x14ac:dyDescent="0.25">
      <c r="A4961" t="s">
        <v>996</v>
      </c>
      <c r="B4961" t="s">
        <v>997</v>
      </c>
      <c r="C4961" t="s">
        <v>997</v>
      </c>
      <c r="D4961" t="s">
        <v>1586</v>
      </c>
      <c r="E4961">
        <v>110</v>
      </c>
      <c r="F4961" t="s">
        <v>1368</v>
      </c>
      <c r="G4961" t="s">
        <v>1369</v>
      </c>
      <c r="H4961" s="315" t="s">
        <v>1000</v>
      </c>
      <c r="I4961" s="315" t="s">
        <v>1370</v>
      </c>
      <c r="J4961" s="315" t="str">
        <f t="shared" si="406"/>
        <v>Admin &amp; OtherR&amp;M and Cleaning as % of Total Gross Profit</v>
      </c>
      <c r="K4961" s="315" t="str">
        <f t="shared" si="407"/>
        <v>110Repairs &amp; Maintenance - Toyota</v>
      </c>
      <c r="L4961" s="311">
        <f>+SUMIF('TUNZ Extracted TB'!M:M,$P4961,'TUNZ Extracted TB'!G:G)</f>
        <v>0</v>
      </c>
      <c r="M4961" s="311"/>
      <c r="N4961" s="311">
        <f>+SUMIF('Input Sheet'!$AE:$AE,P4961,'Input Sheet'!$X:$X)</f>
        <v>0</v>
      </c>
      <c r="O4961" s="311"/>
      <c r="P4961" t="str">
        <f t="shared" si="408"/>
        <v>110-7570M</v>
      </c>
      <c r="Q4961" s="315" t="str">
        <f t="shared" si="409"/>
        <v>Admin &amp; Other</v>
      </c>
      <c r="R4961" s="315" t="str">
        <f t="shared" si="410"/>
        <v>Admin &amp; OtherR&amp;M and Cleaning as % of Total Gross Profit</v>
      </c>
      <c r="S4961" s="199"/>
      <c r="T4961" s="199"/>
      <c r="U4961" s="199"/>
    </row>
    <row r="4962" spans="1:21" x14ac:dyDescent="0.25">
      <c r="A4962" t="s">
        <v>996</v>
      </c>
      <c r="B4962" t="s">
        <v>997</v>
      </c>
      <c r="C4962" t="s">
        <v>997</v>
      </c>
      <c r="D4962" t="s">
        <v>1586</v>
      </c>
      <c r="E4962">
        <v>140</v>
      </c>
      <c r="F4962" t="s">
        <v>1289</v>
      </c>
      <c r="G4962" t="s">
        <v>1290</v>
      </c>
      <c r="H4962" s="315" t="s">
        <v>17</v>
      </c>
      <c r="I4962" s="315" t="s">
        <v>1286</v>
      </c>
      <c r="J4962" s="315" t="str">
        <f t="shared" si="406"/>
        <v>ServiceOther Expenses as % of Sales</v>
      </c>
      <c r="K4962" s="315" t="str">
        <f t="shared" si="407"/>
        <v>140Service Other expenses - Toyota</v>
      </c>
      <c r="L4962" s="311">
        <f>+SUMIF('TUNZ Extracted TB'!M:M,$P4962,'TUNZ Extracted TB'!G:G)</f>
        <v>0</v>
      </c>
      <c r="M4962" s="311"/>
      <c r="N4962" s="311">
        <f>+SUMIF('Input Sheet'!$AE:$AE,P4962,'Input Sheet'!$X:$X)</f>
        <v>0</v>
      </c>
      <c r="O4962" s="311"/>
      <c r="P4962" t="str">
        <f t="shared" si="408"/>
        <v>140-7570M</v>
      </c>
      <c r="Q4962" s="315" t="str">
        <f t="shared" si="409"/>
        <v>Service</v>
      </c>
      <c r="R4962" s="315" t="str">
        <f t="shared" si="410"/>
        <v>ServiceOther Expenses as % of Sales</v>
      </c>
      <c r="S4962" s="199"/>
      <c r="T4962" s="199"/>
      <c r="U4962" s="199"/>
    </row>
    <row r="4963" spans="1:21" x14ac:dyDescent="0.25">
      <c r="A4963" t="s">
        <v>996</v>
      </c>
      <c r="B4963" t="s">
        <v>997</v>
      </c>
      <c r="C4963" t="s">
        <v>997</v>
      </c>
      <c r="D4963" t="s">
        <v>1586</v>
      </c>
      <c r="E4963">
        <v>142</v>
      </c>
      <c r="F4963" t="s">
        <v>1430</v>
      </c>
      <c r="G4963" t="s">
        <v>1431</v>
      </c>
      <c r="H4963" s="315" t="s">
        <v>1022</v>
      </c>
      <c r="I4963" s="315" t="s">
        <v>1286</v>
      </c>
      <c r="J4963" s="315" t="str">
        <f t="shared" si="406"/>
        <v>Lex ServiceOther Expenses as % of Sales</v>
      </c>
      <c r="K4963" s="315" t="str">
        <f t="shared" si="407"/>
        <v>142Repairs &amp; Maintenance - Lexus</v>
      </c>
      <c r="L4963" s="311">
        <f>+SUMIF('TUNZ Extracted TB'!M:M,$P4963,'TUNZ Extracted TB'!G:G)</f>
        <v>0</v>
      </c>
      <c r="M4963" s="311"/>
      <c r="N4963" s="311">
        <f>+SUMIF('Input Sheet'!$AE:$AE,P4963,'Input Sheet'!$X:$X)</f>
        <v>0</v>
      </c>
      <c r="O4963" s="311"/>
      <c r="P4963" t="str">
        <f t="shared" si="408"/>
        <v>142-7570M</v>
      </c>
      <c r="Q4963" s="315" t="str">
        <f t="shared" si="409"/>
        <v>Lex Service</v>
      </c>
      <c r="R4963" s="315" t="str">
        <f t="shared" si="410"/>
        <v>Lex ServiceOther Expenses as % of Sales</v>
      </c>
      <c r="S4963" s="199"/>
      <c r="T4963" s="199"/>
      <c r="U4963" s="199"/>
    </row>
    <row r="4964" spans="1:21" x14ac:dyDescent="0.25">
      <c r="A4964" t="s">
        <v>996</v>
      </c>
      <c r="B4964" t="s">
        <v>997</v>
      </c>
      <c r="C4964" t="s">
        <v>1012</v>
      </c>
      <c r="D4964" t="s">
        <v>952</v>
      </c>
      <c r="E4964">
        <v>440</v>
      </c>
      <c r="F4964" t="s">
        <v>1289</v>
      </c>
      <c r="G4964" t="s">
        <v>1290</v>
      </c>
      <c r="H4964" s="315" t="s">
        <v>17</v>
      </c>
      <c r="I4964" s="315" t="s">
        <v>1286</v>
      </c>
      <c r="J4964" s="315" t="str">
        <f t="shared" si="406"/>
        <v>ServiceOther Expenses as % of Sales</v>
      </c>
      <c r="K4964" s="315" t="str">
        <f t="shared" si="407"/>
        <v>440Service Other expenses - Toyota</v>
      </c>
      <c r="L4964" s="311">
        <f>+SUMIF('TUNZ Extracted TB'!M:M,$P4964,'TUNZ Extracted TB'!G:G)</f>
        <v>225.65</v>
      </c>
      <c r="M4964" s="311"/>
      <c r="N4964" s="311">
        <f>+SUMIF('Input Sheet'!$AE:$AE,P4964,'Input Sheet'!$X:$X)</f>
        <v>0</v>
      </c>
      <c r="O4964" s="311"/>
      <c r="P4964" t="str">
        <f t="shared" si="408"/>
        <v>440-7570R</v>
      </c>
      <c r="Q4964" s="315" t="str">
        <f t="shared" si="409"/>
        <v>Service</v>
      </c>
      <c r="R4964" s="315" t="str">
        <f t="shared" si="410"/>
        <v>ServiceOther Expenses as % of Sales</v>
      </c>
      <c r="S4964" s="199"/>
      <c r="T4964" s="199"/>
      <c r="U4964" s="199"/>
    </row>
    <row r="4965" spans="1:21" x14ac:dyDescent="0.25">
      <c r="A4965" t="s">
        <v>996</v>
      </c>
      <c r="B4965" t="s">
        <v>997</v>
      </c>
      <c r="C4965" t="s">
        <v>1012</v>
      </c>
      <c r="D4965" t="s">
        <v>952</v>
      </c>
      <c r="E4965">
        <v>430</v>
      </c>
      <c r="F4965" t="s">
        <v>998</v>
      </c>
      <c r="G4965" t="s">
        <v>999</v>
      </c>
      <c r="H4965" s="315" t="s">
        <v>1000</v>
      </c>
      <c r="I4965" s="315" t="s">
        <v>1001</v>
      </c>
      <c r="J4965" s="315" t="str">
        <f t="shared" si="406"/>
        <v>Admin &amp; OtherOther Overheads as % of Total Gross Profit</v>
      </c>
      <c r="K4965" s="315" t="str">
        <f t="shared" si="407"/>
        <v>430Miscellaneous expenses - Toyota</v>
      </c>
      <c r="L4965" s="311">
        <f>+SUMIF('TUNZ Extracted TB'!M:M,$P4965,'TUNZ Extracted TB'!G:G)</f>
        <v>197.29</v>
      </c>
      <c r="M4965" s="311"/>
      <c r="N4965" s="311">
        <f>+SUMIF('Input Sheet'!$AE:$AE,P4965,'Input Sheet'!$X:$X)</f>
        <v>0</v>
      </c>
      <c r="O4965" s="311"/>
      <c r="P4965" t="str">
        <f t="shared" si="408"/>
        <v>430-7570R</v>
      </c>
      <c r="Q4965" s="315" t="str">
        <f t="shared" si="409"/>
        <v>Admin &amp; Other</v>
      </c>
      <c r="R4965" s="315" t="str">
        <f t="shared" si="410"/>
        <v>Admin &amp; OtherOther Overheads as % of Total Gross Profit</v>
      </c>
      <c r="S4965" s="199"/>
      <c r="T4965" s="199"/>
      <c r="U4965" s="199"/>
    </row>
    <row r="4966" spans="1:21" x14ac:dyDescent="0.25">
      <c r="A4966" t="s">
        <v>996</v>
      </c>
      <c r="B4966" t="s">
        <v>997</v>
      </c>
      <c r="C4966" t="s">
        <v>1013</v>
      </c>
      <c r="D4966" t="s">
        <v>952</v>
      </c>
      <c r="E4966">
        <v>340</v>
      </c>
      <c r="F4966" t="s">
        <v>1289</v>
      </c>
      <c r="G4966" t="s">
        <v>1290</v>
      </c>
      <c r="H4966" s="315" t="s">
        <v>17</v>
      </c>
      <c r="I4966" s="315" t="s">
        <v>1286</v>
      </c>
      <c r="J4966" s="315" t="str">
        <f t="shared" si="406"/>
        <v>ServiceOther Expenses as % of Sales</v>
      </c>
      <c r="K4966" s="315" t="str">
        <f t="shared" si="407"/>
        <v>340Service Other expenses - Toyota</v>
      </c>
      <c r="L4966" s="311">
        <f>+SUMIF('TUNZ Extracted TB'!M:M,$P4966,'TUNZ Extracted TB'!G:G)</f>
        <v>138.65</v>
      </c>
      <c r="M4966" s="311"/>
      <c r="N4966" s="311">
        <f>+SUMIF('Input Sheet'!$AE:$AE,P4966,'Input Sheet'!$X:$X)</f>
        <v>0</v>
      </c>
      <c r="O4966" s="311"/>
      <c r="P4966" t="str">
        <f t="shared" si="408"/>
        <v>340-7570R</v>
      </c>
      <c r="Q4966" s="315" t="str">
        <f t="shared" si="409"/>
        <v>Service</v>
      </c>
      <c r="R4966" s="315" t="str">
        <f t="shared" si="410"/>
        <v>ServiceOther Expenses as % of Sales</v>
      </c>
      <c r="S4966" s="199"/>
      <c r="T4966" s="199"/>
      <c r="U4966" s="199"/>
    </row>
    <row r="4967" spans="1:21" x14ac:dyDescent="0.25">
      <c r="A4967" t="s">
        <v>996</v>
      </c>
      <c r="B4967" t="s">
        <v>997</v>
      </c>
      <c r="C4967" t="s">
        <v>1005</v>
      </c>
      <c r="D4967" t="s">
        <v>952</v>
      </c>
      <c r="E4967">
        <v>240</v>
      </c>
      <c r="F4967" t="s">
        <v>1289</v>
      </c>
      <c r="G4967" t="s">
        <v>1290</v>
      </c>
      <c r="H4967" s="315" t="s">
        <v>17</v>
      </c>
      <c r="I4967" s="315" t="s">
        <v>1286</v>
      </c>
      <c r="J4967" s="315" t="str">
        <f t="shared" si="406"/>
        <v>ServiceOther Expenses as % of Sales</v>
      </c>
      <c r="K4967" s="315" t="str">
        <f t="shared" si="407"/>
        <v>240Service Other expenses - Toyota</v>
      </c>
      <c r="L4967" s="311">
        <f>+SUMIF('TUNZ Extracted TB'!M:M,$P4967,'TUNZ Extracted TB'!G:G)</f>
        <v>203.8</v>
      </c>
      <c r="M4967" s="311"/>
      <c r="N4967" s="311">
        <f>+SUMIF('Input Sheet'!$AE:$AE,P4967,'Input Sheet'!$X:$X)</f>
        <v>0</v>
      </c>
      <c r="O4967" s="311"/>
      <c r="P4967" t="str">
        <f t="shared" si="408"/>
        <v>240-7570R</v>
      </c>
      <c r="Q4967" s="315" t="str">
        <f t="shared" si="409"/>
        <v>Service</v>
      </c>
      <c r="R4967" s="315" t="str">
        <f t="shared" si="410"/>
        <v>ServiceOther Expenses as % of Sales</v>
      </c>
      <c r="S4967" s="199"/>
      <c r="T4967" s="199"/>
      <c r="U4967" s="199"/>
    </row>
    <row r="4968" spans="1:21" x14ac:dyDescent="0.25">
      <c r="A4968" t="s">
        <v>996</v>
      </c>
      <c r="B4968" t="s">
        <v>997</v>
      </c>
      <c r="C4968" t="s">
        <v>997</v>
      </c>
      <c r="D4968" t="s">
        <v>952</v>
      </c>
      <c r="E4968">
        <v>935</v>
      </c>
      <c r="F4968" t="s">
        <v>1175</v>
      </c>
      <c r="G4968" t="s">
        <v>1176</v>
      </c>
      <c r="H4968" s="315" t="s">
        <v>58</v>
      </c>
      <c r="I4968" s="315" t="s">
        <v>1286</v>
      </c>
      <c r="J4968" s="315" t="str">
        <f t="shared" si="406"/>
        <v>BridgestoneOther Expenses as % of Sales</v>
      </c>
      <c r="K4968" s="315" t="str">
        <f t="shared" si="407"/>
        <v>935Other franchise/business expense</v>
      </c>
      <c r="L4968" s="311">
        <f>+SUMIF('TUNZ Extracted TB'!M:M,$P4968,'TUNZ Extracted TB'!G:G)</f>
        <v>82.78</v>
      </c>
      <c r="M4968" s="311"/>
      <c r="N4968" s="311">
        <f>+SUMIF('Input Sheet'!$AE:$AE,P4968,'Input Sheet'!$X:$X)</f>
        <v>0</v>
      </c>
      <c r="O4968" s="311"/>
      <c r="P4968" t="str">
        <f t="shared" si="408"/>
        <v>935-7570R</v>
      </c>
      <c r="Q4968" s="315" t="str">
        <f t="shared" si="409"/>
        <v>Bridgestone</v>
      </c>
      <c r="R4968" s="315" t="str">
        <f t="shared" si="410"/>
        <v>BridgestoneOther Expenses as % of Sales</v>
      </c>
      <c r="S4968" s="199"/>
      <c r="T4968" s="199"/>
      <c r="U4968" s="199"/>
    </row>
    <row r="4969" spans="1:21" x14ac:dyDescent="0.25">
      <c r="A4969" t="s">
        <v>996</v>
      </c>
      <c r="B4969" t="s">
        <v>997</v>
      </c>
      <c r="C4969" t="s">
        <v>997</v>
      </c>
      <c r="D4969" t="s">
        <v>952</v>
      </c>
      <c r="E4969">
        <v>120</v>
      </c>
      <c r="F4969" t="s">
        <v>998</v>
      </c>
      <c r="G4969" t="s">
        <v>999</v>
      </c>
      <c r="H4969" s="315" t="s">
        <v>1000</v>
      </c>
      <c r="I4969" s="315" t="s">
        <v>1001</v>
      </c>
      <c r="J4969" s="315" t="str">
        <f t="shared" si="406"/>
        <v>Admin &amp; OtherOther Overheads as % of Total Gross Profit</v>
      </c>
      <c r="K4969" s="315" t="str">
        <f t="shared" si="407"/>
        <v>120Miscellaneous expenses - Toyota</v>
      </c>
      <c r="L4969" s="311">
        <f>+SUMIF('TUNZ Extracted TB'!M:M,$P4969,'TUNZ Extracted TB'!G:G)</f>
        <v>42</v>
      </c>
      <c r="M4969" s="311"/>
      <c r="N4969" s="311">
        <f>+SUMIF('Input Sheet'!$AE:$AE,P4969,'Input Sheet'!$X:$X)</f>
        <v>0</v>
      </c>
      <c r="O4969" s="311"/>
      <c r="P4969" t="str">
        <f t="shared" si="408"/>
        <v>120-7570R</v>
      </c>
      <c r="Q4969" s="315" t="str">
        <f t="shared" si="409"/>
        <v>Admin &amp; Other</v>
      </c>
      <c r="R4969" s="315" t="str">
        <f t="shared" si="410"/>
        <v>Admin &amp; OtherOther Overheads as % of Total Gross Profit</v>
      </c>
      <c r="S4969" s="199"/>
      <c r="T4969" s="199"/>
      <c r="U4969" s="199"/>
    </row>
    <row r="4970" spans="1:21" x14ac:dyDescent="0.25">
      <c r="A4970" t="s">
        <v>996</v>
      </c>
      <c r="B4970" t="s">
        <v>997</v>
      </c>
      <c r="C4970" t="s">
        <v>1005</v>
      </c>
      <c r="D4970" t="s">
        <v>952</v>
      </c>
      <c r="E4970">
        <v>210</v>
      </c>
      <c r="F4970" t="s">
        <v>998</v>
      </c>
      <c r="G4970" t="s">
        <v>999</v>
      </c>
      <c r="H4970" s="315" t="s">
        <v>1000</v>
      </c>
      <c r="I4970" s="315" t="s">
        <v>1001</v>
      </c>
      <c r="J4970" s="315" t="str">
        <f t="shared" si="406"/>
        <v>Admin &amp; OtherOther Overheads as % of Total Gross Profit</v>
      </c>
      <c r="K4970" s="315" t="str">
        <f t="shared" si="407"/>
        <v>210Miscellaneous expenses - Toyota</v>
      </c>
      <c r="L4970" s="311">
        <f>+SUMIF('TUNZ Extracted TB'!M:M,$P4970,'TUNZ Extracted TB'!G:G)</f>
        <v>45</v>
      </c>
      <c r="M4970" s="311"/>
      <c r="N4970" s="311">
        <f>+SUMIF('Input Sheet'!$AE:$AE,P4970,'Input Sheet'!$X:$X)</f>
        <v>0</v>
      </c>
      <c r="O4970" s="311"/>
      <c r="P4970" t="str">
        <f t="shared" si="408"/>
        <v>210-7570R</v>
      </c>
      <c r="Q4970" s="315" t="str">
        <f t="shared" si="409"/>
        <v>Admin &amp; Other</v>
      </c>
      <c r="R4970" s="315" t="str">
        <f t="shared" si="410"/>
        <v>Admin &amp; OtherOther Overheads as % of Total Gross Profit</v>
      </c>
      <c r="S4970" s="199"/>
      <c r="T4970" s="199"/>
      <c r="U4970" s="199"/>
    </row>
    <row r="4971" spans="1:21" x14ac:dyDescent="0.25">
      <c r="A4971" t="s">
        <v>996</v>
      </c>
      <c r="B4971" t="s">
        <v>997</v>
      </c>
      <c r="C4971" t="s">
        <v>1005</v>
      </c>
      <c r="D4971" t="s">
        <v>952</v>
      </c>
      <c r="E4971">
        <v>230</v>
      </c>
      <c r="F4971" t="s">
        <v>998</v>
      </c>
      <c r="G4971" t="s">
        <v>999</v>
      </c>
      <c r="H4971" s="315" t="s">
        <v>1000</v>
      </c>
      <c r="I4971" s="315" t="s">
        <v>1001</v>
      </c>
      <c r="J4971" s="315" t="str">
        <f t="shared" si="406"/>
        <v>Admin &amp; OtherOther Overheads as % of Total Gross Profit</v>
      </c>
      <c r="K4971" s="315" t="str">
        <f t="shared" si="407"/>
        <v>230Miscellaneous expenses - Toyota</v>
      </c>
      <c r="L4971" s="311">
        <f>+SUMIF('TUNZ Extracted TB'!M:M,$P4971,'TUNZ Extracted TB'!G:G)</f>
        <v>0</v>
      </c>
      <c r="M4971" s="311"/>
      <c r="N4971" s="311">
        <f>+SUMIF('Input Sheet'!$AE:$AE,P4971,'Input Sheet'!$X:$X)</f>
        <v>0</v>
      </c>
      <c r="O4971" s="311"/>
      <c r="P4971" t="str">
        <f t="shared" si="408"/>
        <v>230-7570R</v>
      </c>
      <c r="Q4971" s="315" t="str">
        <f t="shared" si="409"/>
        <v>Admin &amp; Other</v>
      </c>
      <c r="R4971" s="315" t="str">
        <f t="shared" si="410"/>
        <v>Admin &amp; OtherOther Overheads as % of Total Gross Profit</v>
      </c>
      <c r="S4971" s="199"/>
      <c r="T4971" s="199"/>
      <c r="U4971" s="199"/>
    </row>
    <row r="4972" spans="1:21" x14ac:dyDescent="0.25">
      <c r="A4972" t="s">
        <v>996</v>
      </c>
      <c r="B4972" t="s">
        <v>997</v>
      </c>
      <c r="C4972" t="s">
        <v>1005</v>
      </c>
      <c r="D4972" t="s">
        <v>952</v>
      </c>
      <c r="E4972">
        <v>220</v>
      </c>
      <c r="F4972" t="s">
        <v>998</v>
      </c>
      <c r="G4972" t="s">
        <v>999</v>
      </c>
      <c r="H4972" s="315" t="s">
        <v>1000</v>
      </c>
      <c r="I4972" s="315" t="s">
        <v>1001</v>
      </c>
      <c r="J4972" s="315" t="str">
        <f t="shared" si="406"/>
        <v>Admin &amp; OtherOther Overheads as % of Total Gross Profit</v>
      </c>
      <c r="K4972" s="315" t="str">
        <f t="shared" si="407"/>
        <v>220Miscellaneous expenses - Toyota</v>
      </c>
      <c r="L4972" s="311">
        <f>+SUMIF('TUNZ Extracted TB'!M:M,$P4972,'TUNZ Extracted TB'!G:G)</f>
        <v>0</v>
      </c>
      <c r="M4972" s="311"/>
      <c r="N4972" s="311">
        <f>+SUMIF('Input Sheet'!$AE:$AE,P4972,'Input Sheet'!$X:$X)</f>
        <v>0</v>
      </c>
      <c r="O4972" s="311"/>
      <c r="P4972" t="str">
        <f t="shared" si="408"/>
        <v>220-7570R</v>
      </c>
      <c r="Q4972" s="315" t="str">
        <f t="shared" si="409"/>
        <v>Admin &amp; Other</v>
      </c>
      <c r="R4972" s="315" t="str">
        <f t="shared" si="410"/>
        <v>Admin &amp; OtherOther Overheads as % of Total Gross Profit</v>
      </c>
      <c r="S4972" s="199"/>
      <c r="T4972" s="199"/>
      <c r="U4972" s="199"/>
    </row>
    <row r="4973" spans="1:21" x14ac:dyDescent="0.25">
      <c r="A4973" s="316">
        <v>44866</v>
      </c>
      <c r="B4973" t="s">
        <v>997</v>
      </c>
      <c r="C4973" t="s">
        <v>997</v>
      </c>
      <c r="D4973" t="s">
        <v>952</v>
      </c>
      <c r="E4973">
        <v>190</v>
      </c>
      <c r="G4973" t="s">
        <v>953</v>
      </c>
      <c r="H4973" s="315" t="s">
        <v>1000</v>
      </c>
      <c r="I4973" s="315" t="s">
        <v>1001</v>
      </c>
      <c r="J4973" s="315" t="str">
        <f t="shared" si="406"/>
        <v>Admin &amp; OtherOther Overheads as % of Total Gross Profit</v>
      </c>
      <c r="K4973" s="315" t="str">
        <f t="shared" si="407"/>
        <v>190Equipment Rental</v>
      </c>
      <c r="L4973" s="311">
        <f>+SUMIF('TUNZ Extracted TB'!M:M,$P4973,'TUNZ Extracted TB'!G:G)</f>
        <v>0</v>
      </c>
      <c r="M4973" s="311"/>
      <c r="N4973" s="311">
        <f>+SUMIF('Input Sheet'!$AE:$AE,P4973,'Input Sheet'!$X:$X)</f>
        <v>0</v>
      </c>
      <c r="O4973" s="311"/>
      <c r="P4973" t="str">
        <f t="shared" si="408"/>
        <v>190-7570R</v>
      </c>
      <c r="Q4973" s="315" t="str">
        <f t="shared" si="409"/>
        <v>Admin &amp; Other</v>
      </c>
      <c r="R4973" s="315" t="str">
        <f t="shared" si="410"/>
        <v>Admin &amp; OtherOther Overheads as % of Total Gross Profit</v>
      </c>
      <c r="S4973" s="199"/>
      <c r="T4973" s="199"/>
      <c r="U4973" s="199"/>
    </row>
    <row r="4974" spans="1:21" x14ac:dyDescent="0.25">
      <c r="A4974" t="s">
        <v>996</v>
      </c>
      <c r="B4974" t="s">
        <v>997</v>
      </c>
      <c r="C4974" t="s">
        <v>997</v>
      </c>
      <c r="D4974" t="s">
        <v>952</v>
      </c>
      <c r="E4974">
        <v>122</v>
      </c>
      <c r="F4974" t="s">
        <v>1362</v>
      </c>
      <c r="G4974" t="s">
        <v>1363</v>
      </c>
      <c r="H4974" s="315" t="s">
        <v>1023</v>
      </c>
      <c r="I4974" s="315" t="s">
        <v>1001</v>
      </c>
      <c r="J4974" s="315" t="str">
        <f t="shared" si="406"/>
        <v>LEX Admin &amp; OtherOther Overheads as % of Total Gross Profit</v>
      </c>
      <c r="K4974" s="315" t="str">
        <f t="shared" si="407"/>
        <v>122Miscellaneous expenses - Lexus</v>
      </c>
      <c r="L4974" s="311">
        <f>+SUMIF('TUNZ Extracted TB'!M:M,$P4974,'TUNZ Extracted TB'!G:G)</f>
        <v>0</v>
      </c>
      <c r="M4974" s="311"/>
      <c r="N4974" s="311">
        <f>+SUMIF('Input Sheet'!$AE:$AE,P4974,'Input Sheet'!$X:$X)</f>
        <v>0</v>
      </c>
      <c r="O4974" s="311"/>
      <c r="P4974" t="str">
        <f t="shared" si="408"/>
        <v>122-7570R</v>
      </c>
      <c r="Q4974" s="315" t="str">
        <f t="shared" si="409"/>
        <v>LEX Admin &amp; Other</v>
      </c>
      <c r="R4974" s="315" t="str">
        <f t="shared" si="410"/>
        <v>LEX Admin &amp; OtherOther Overheads as % of Total Gross Profit</v>
      </c>
      <c r="S4974" s="199"/>
      <c r="T4974" s="199"/>
      <c r="U4974" s="199"/>
    </row>
    <row r="4975" spans="1:21" x14ac:dyDescent="0.25">
      <c r="A4975" t="s">
        <v>996</v>
      </c>
      <c r="B4975" t="s">
        <v>997</v>
      </c>
      <c r="C4975" t="s">
        <v>997</v>
      </c>
      <c r="D4975" t="s">
        <v>952</v>
      </c>
      <c r="E4975">
        <v>162</v>
      </c>
      <c r="F4975" t="s">
        <v>1362</v>
      </c>
      <c r="G4975" t="s">
        <v>1363</v>
      </c>
      <c r="H4975" s="315" t="s">
        <v>1023</v>
      </c>
      <c r="I4975" s="315" t="s">
        <v>1001</v>
      </c>
      <c r="J4975" s="315" t="str">
        <f t="shared" si="406"/>
        <v>LEX Admin &amp; OtherOther Overheads as % of Total Gross Profit</v>
      </c>
      <c r="K4975" s="315" t="str">
        <f t="shared" si="407"/>
        <v>162Miscellaneous expenses - Lexus</v>
      </c>
      <c r="L4975" s="311">
        <f>+SUMIF('TUNZ Extracted TB'!M:M,$P4975,'TUNZ Extracted TB'!G:G)</f>
        <v>0</v>
      </c>
      <c r="M4975" s="311"/>
      <c r="N4975" s="311">
        <f>+SUMIF('Input Sheet'!$AE:$AE,P4975,'Input Sheet'!$X:$X)</f>
        <v>0</v>
      </c>
      <c r="O4975" s="311"/>
      <c r="P4975" t="str">
        <f t="shared" si="408"/>
        <v>162-7570R</v>
      </c>
      <c r="Q4975" s="315" t="str">
        <f t="shared" si="409"/>
        <v>LEX Admin &amp; Other</v>
      </c>
      <c r="R4975" s="315" t="str">
        <f t="shared" si="410"/>
        <v>LEX Admin &amp; OtherOther Overheads as % of Total Gross Profit</v>
      </c>
      <c r="S4975" s="199"/>
      <c r="T4975" s="199"/>
      <c r="U4975" s="199"/>
    </row>
    <row r="4976" spans="1:21" x14ac:dyDescent="0.25">
      <c r="A4976" t="s">
        <v>996</v>
      </c>
      <c r="B4976" t="s">
        <v>997</v>
      </c>
      <c r="C4976" t="s">
        <v>1013</v>
      </c>
      <c r="D4976" t="s">
        <v>952</v>
      </c>
      <c r="E4976">
        <v>330</v>
      </c>
      <c r="F4976" t="s">
        <v>998</v>
      </c>
      <c r="G4976" t="s">
        <v>999</v>
      </c>
      <c r="H4976" s="315" t="s">
        <v>1000</v>
      </c>
      <c r="I4976" s="315" t="s">
        <v>1001</v>
      </c>
      <c r="J4976" s="315" t="str">
        <f t="shared" si="406"/>
        <v>Admin &amp; OtherOther Overheads as % of Total Gross Profit</v>
      </c>
      <c r="K4976" s="315" t="str">
        <f t="shared" si="407"/>
        <v>330Miscellaneous expenses - Toyota</v>
      </c>
      <c r="L4976" s="311">
        <f>+SUMIF('TUNZ Extracted TB'!M:M,$P4976,'TUNZ Extracted TB'!G:G)</f>
        <v>0</v>
      </c>
      <c r="M4976" s="311"/>
      <c r="N4976" s="311">
        <f>+SUMIF('Input Sheet'!$AE:$AE,P4976,'Input Sheet'!$X:$X)</f>
        <v>0</v>
      </c>
      <c r="O4976" s="311"/>
      <c r="P4976" t="str">
        <f t="shared" si="408"/>
        <v>330-7570R</v>
      </c>
      <c r="Q4976" s="315" t="str">
        <f t="shared" si="409"/>
        <v>Admin &amp; Other</v>
      </c>
      <c r="R4976" s="315" t="str">
        <f t="shared" si="410"/>
        <v>Admin &amp; OtherOther Overheads as % of Total Gross Profit</v>
      </c>
      <c r="S4976" s="199"/>
      <c r="T4976" s="199"/>
      <c r="U4976" s="199"/>
    </row>
    <row r="4977" spans="1:21" x14ac:dyDescent="0.25">
      <c r="A4977" t="s">
        <v>996</v>
      </c>
      <c r="B4977" t="s">
        <v>997</v>
      </c>
      <c r="C4977" t="s">
        <v>997</v>
      </c>
      <c r="D4977" t="s">
        <v>952</v>
      </c>
      <c r="E4977">
        <v>121</v>
      </c>
      <c r="F4977" t="s">
        <v>998</v>
      </c>
      <c r="G4977" t="s">
        <v>999</v>
      </c>
      <c r="H4977" s="315" t="s">
        <v>1000</v>
      </c>
      <c r="I4977" s="315" t="s">
        <v>1001</v>
      </c>
      <c r="J4977" s="315" t="str">
        <f t="shared" si="406"/>
        <v>Admin &amp; OtherOther Overheads as % of Total Gross Profit</v>
      </c>
      <c r="K4977" s="315" t="str">
        <f t="shared" si="407"/>
        <v>121Miscellaneous expenses - Toyota</v>
      </c>
      <c r="L4977" s="311">
        <f>+SUMIF('TUNZ Extracted TB'!M:M,$P4977,'TUNZ Extracted TB'!G:G)</f>
        <v>0</v>
      </c>
      <c r="M4977" s="311"/>
      <c r="N4977" s="311">
        <f>+SUMIF('Input Sheet'!$AE:$AE,P4977,'Input Sheet'!$X:$X)</f>
        <v>0</v>
      </c>
      <c r="O4977" s="311"/>
      <c r="P4977" t="str">
        <f t="shared" si="408"/>
        <v>121-7570R</v>
      </c>
      <c r="Q4977" s="315" t="str">
        <f t="shared" si="409"/>
        <v>Admin &amp; Other</v>
      </c>
      <c r="R4977" s="315" t="str">
        <f t="shared" si="410"/>
        <v>Admin &amp; OtherOther Overheads as % of Total Gross Profit</v>
      </c>
      <c r="S4977" s="199"/>
      <c r="T4977" s="199"/>
      <c r="U4977" s="199"/>
    </row>
    <row r="4978" spans="1:21" x14ac:dyDescent="0.25">
      <c r="A4978" t="s">
        <v>996</v>
      </c>
      <c r="B4978" t="s">
        <v>997</v>
      </c>
      <c r="C4978" t="s">
        <v>997</v>
      </c>
      <c r="D4978" t="s">
        <v>952</v>
      </c>
      <c r="E4978">
        <v>160</v>
      </c>
      <c r="F4978" t="s">
        <v>998</v>
      </c>
      <c r="G4978" t="s">
        <v>999</v>
      </c>
      <c r="H4978" s="315" t="s">
        <v>1000</v>
      </c>
      <c r="I4978" s="315" t="s">
        <v>1001</v>
      </c>
      <c r="J4978" s="315" t="str">
        <f t="shared" si="406"/>
        <v>Admin &amp; OtherOther Overheads as % of Total Gross Profit</v>
      </c>
      <c r="K4978" s="315" t="str">
        <f t="shared" si="407"/>
        <v>160Miscellaneous expenses - Toyota</v>
      </c>
      <c r="L4978" s="311">
        <f>+SUMIF('TUNZ Extracted TB'!M:M,$P4978,'TUNZ Extracted TB'!G:G)</f>
        <v>0</v>
      </c>
      <c r="M4978" s="311"/>
      <c r="N4978" s="311">
        <f>+SUMIF('Input Sheet'!$AE:$AE,P4978,'Input Sheet'!$X:$X)</f>
        <v>0</v>
      </c>
      <c r="O4978" s="311"/>
      <c r="P4978" t="str">
        <f t="shared" si="408"/>
        <v>160-7570R</v>
      </c>
      <c r="Q4978" s="315" t="str">
        <f t="shared" si="409"/>
        <v>Admin &amp; Other</v>
      </c>
      <c r="R4978" s="315" t="str">
        <f t="shared" si="410"/>
        <v>Admin &amp; OtherOther Overheads as % of Total Gross Profit</v>
      </c>
      <c r="S4978" s="199"/>
      <c r="T4978" s="199"/>
      <c r="U4978" s="199"/>
    </row>
    <row r="4979" spans="1:21" x14ac:dyDescent="0.25">
      <c r="A4979" t="s">
        <v>996</v>
      </c>
      <c r="B4979" t="s">
        <v>997</v>
      </c>
      <c r="C4979" t="s">
        <v>1005</v>
      </c>
      <c r="D4979" t="s">
        <v>952</v>
      </c>
      <c r="E4979">
        <v>200</v>
      </c>
      <c r="F4979" t="s">
        <v>998</v>
      </c>
      <c r="G4979" t="s">
        <v>999</v>
      </c>
      <c r="H4979" s="315" t="s">
        <v>1000</v>
      </c>
      <c r="I4979" s="315" t="s">
        <v>1001</v>
      </c>
      <c r="J4979" s="315" t="str">
        <f t="shared" si="406"/>
        <v>Admin &amp; OtherOther Overheads as % of Total Gross Profit</v>
      </c>
      <c r="K4979" s="315" t="str">
        <f t="shared" si="407"/>
        <v>200Miscellaneous expenses - Toyota</v>
      </c>
      <c r="L4979" s="311">
        <f>+SUMIF('TUNZ Extracted TB'!M:M,$P4979,'TUNZ Extracted TB'!G:G)</f>
        <v>0</v>
      </c>
      <c r="M4979" s="311"/>
      <c r="N4979" s="311">
        <f>+SUMIF('Input Sheet'!$AE:$AE,P4979,'Input Sheet'!$X:$X)</f>
        <v>0</v>
      </c>
      <c r="O4979" s="311"/>
      <c r="P4979" t="str">
        <f t="shared" si="408"/>
        <v>200-7570R</v>
      </c>
      <c r="Q4979" s="315" t="str">
        <f t="shared" si="409"/>
        <v>Admin &amp; Other</v>
      </c>
      <c r="R4979" s="315" t="str">
        <f t="shared" si="410"/>
        <v>Admin &amp; OtherOther Overheads as % of Total Gross Profit</v>
      </c>
      <c r="S4979" s="199"/>
      <c r="T4979" s="199"/>
      <c r="U4979" s="199"/>
    </row>
    <row r="4980" spans="1:21" x14ac:dyDescent="0.25">
      <c r="A4980" t="s">
        <v>996</v>
      </c>
      <c r="B4980" t="s">
        <v>997</v>
      </c>
      <c r="C4980" t="s">
        <v>1005</v>
      </c>
      <c r="D4980" t="s">
        <v>952</v>
      </c>
      <c r="E4980">
        <v>221</v>
      </c>
      <c r="F4980" t="s">
        <v>998</v>
      </c>
      <c r="G4980" t="s">
        <v>999</v>
      </c>
      <c r="H4980" s="315" t="s">
        <v>1000</v>
      </c>
      <c r="I4980" s="315" t="s">
        <v>1001</v>
      </c>
      <c r="J4980" s="315" t="str">
        <f t="shared" si="406"/>
        <v>Admin &amp; OtherOther Overheads as % of Total Gross Profit</v>
      </c>
      <c r="K4980" s="315" t="str">
        <f t="shared" si="407"/>
        <v>221Miscellaneous expenses - Toyota</v>
      </c>
      <c r="L4980" s="311">
        <f>+SUMIF('TUNZ Extracted TB'!M:M,$P4980,'TUNZ Extracted TB'!G:G)</f>
        <v>0</v>
      </c>
      <c r="M4980" s="311"/>
      <c r="N4980" s="311">
        <f>+SUMIF('Input Sheet'!$AE:$AE,P4980,'Input Sheet'!$X:$X)</f>
        <v>0</v>
      </c>
      <c r="O4980" s="311"/>
      <c r="P4980" t="str">
        <f t="shared" si="408"/>
        <v>221-7570R</v>
      </c>
      <c r="Q4980" s="315" t="str">
        <f t="shared" si="409"/>
        <v>Admin &amp; Other</v>
      </c>
      <c r="R4980" s="315" t="str">
        <f t="shared" si="410"/>
        <v>Admin &amp; OtherOther Overheads as % of Total Gross Profit</v>
      </c>
      <c r="S4980" s="199"/>
      <c r="T4980" s="199"/>
      <c r="U4980" s="199"/>
    </row>
    <row r="4981" spans="1:21" x14ac:dyDescent="0.25">
      <c r="A4981" t="s">
        <v>996</v>
      </c>
      <c r="B4981" t="s">
        <v>997</v>
      </c>
      <c r="C4981" t="s">
        <v>1005</v>
      </c>
      <c r="D4981" t="s">
        <v>952</v>
      </c>
      <c r="E4981">
        <v>260</v>
      </c>
      <c r="F4981" t="s">
        <v>998</v>
      </c>
      <c r="G4981" t="s">
        <v>999</v>
      </c>
      <c r="H4981" s="315" t="s">
        <v>1000</v>
      </c>
      <c r="I4981" s="315" t="s">
        <v>1001</v>
      </c>
      <c r="J4981" s="315" t="str">
        <f t="shared" si="406"/>
        <v>Admin &amp; OtherOther Overheads as % of Total Gross Profit</v>
      </c>
      <c r="K4981" s="315" t="str">
        <f t="shared" si="407"/>
        <v>260Miscellaneous expenses - Toyota</v>
      </c>
      <c r="L4981" s="311">
        <f>+SUMIF('TUNZ Extracted TB'!M:M,$P4981,'TUNZ Extracted TB'!G:G)</f>
        <v>0</v>
      </c>
      <c r="M4981" s="311"/>
      <c r="N4981" s="311">
        <f>+SUMIF('Input Sheet'!$AE:$AE,P4981,'Input Sheet'!$X:$X)</f>
        <v>0</v>
      </c>
      <c r="O4981" s="311"/>
      <c r="P4981" t="str">
        <f t="shared" si="408"/>
        <v>260-7570R</v>
      </c>
      <c r="Q4981" s="315" t="str">
        <f t="shared" si="409"/>
        <v>Admin &amp; Other</v>
      </c>
      <c r="R4981" s="315" t="str">
        <f t="shared" si="410"/>
        <v>Admin &amp; OtherOther Overheads as % of Total Gross Profit</v>
      </c>
      <c r="S4981" s="199"/>
      <c r="T4981" s="199"/>
      <c r="U4981" s="199"/>
    </row>
    <row r="4982" spans="1:21" x14ac:dyDescent="0.25">
      <c r="A4982" t="s">
        <v>996</v>
      </c>
      <c r="B4982" t="s">
        <v>997</v>
      </c>
      <c r="C4982" t="s">
        <v>1012</v>
      </c>
      <c r="D4982" t="s">
        <v>952</v>
      </c>
      <c r="E4982">
        <v>400</v>
      </c>
      <c r="F4982" t="s">
        <v>998</v>
      </c>
      <c r="G4982" t="s">
        <v>999</v>
      </c>
      <c r="H4982" s="315" t="s">
        <v>1000</v>
      </c>
      <c r="I4982" s="315" t="s">
        <v>1001</v>
      </c>
      <c r="J4982" s="315" t="str">
        <f t="shared" si="406"/>
        <v>Admin &amp; OtherOther Overheads as % of Total Gross Profit</v>
      </c>
      <c r="K4982" s="315" t="str">
        <f t="shared" si="407"/>
        <v>400Miscellaneous expenses - Toyota</v>
      </c>
      <c r="L4982" s="311">
        <f>+SUMIF('TUNZ Extracted TB'!M:M,$P4982,'TUNZ Extracted TB'!G:G)</f>
        <v>0</v>
      </c>
      <c r="M4982" s="311"/>
      <c r="N4982" s="311">
        <f>+SUMIF('Input Sheet'!$AE:$AE,P4982,'Input Sheet'!$X:$X)</f>
        <v>0</v>
      </c>
      <c r="O4982" s="311"/>
      <c r="P4982" t="str">
        <f t="shared" si="408"/>
        <v>400-7570R</v>
      </c>
      <c r="Q4982" s="315" t="str">
        <f t="shared" si="409"/>
        <v>Admin &amp; Other</v>
      </c>
      <c r="R4982" s="315" t="str">
        <f t="shared" si="410"/>
        <v>Admin &amp; OtherOther Overheads as % of Total Gross Profit</v>
      </c>
      <c r="S4982" s="199"/>
      <c r="T4982" s="199"/>
      <c r="U4982" s="199"/>
    </row>
    <row r="4983" spans="1:21" x14ac:dyDescent="0.25">
      <c r="A4983" t="s">
        <v>996</v>
      </c>
      <c r="B4983" t="s">
        <v>997</v>
      </c>
      <c r="C4983" t="s">
        <v>1012</v>
      </c>
      <c r="D4983" t="s">
        <v>952</v>
      </c>
      <c r="E4983">
        <v>410</v>
      </c>
      <c r="F4983" t="s">
        <v>998</v>
      </c>
      <c r="G4983" t="s">
        <v>999</v>
      </c>
      <c r="H4983" s="315" t="s">
        <v>1000</v>
      </c>
      <c r="I4983" s="315" t="s">
        <v>1001</v>
      </c>
      <c r="J4983" s="315" t="str">
        <f t="shared" si="406"/>
        <v>Admin &amp; OtherOther Overheads as % of Total Gross Profit</v>
      </c>
      <c r="K4983" s="315" t="str">
        <f t="shared" si="407"/>
        <v>410Miscellaneous expenses - Toyota</v>
      </c>
      <c r="L4983" s="311">
        <f>+SUMIF('TUNZ Extracted TB'!M:M,$P4983,'TUNZ Extracted TB'!G:G)</f>
        <v>0</v>
      </c>
      <c r="M4983" s="311"/>
      <c r="N4983" s="311">
        <f>+SUMIF('Input Sheet'!$AE:$AE,P4983,'Input Sheet'!$X:$X)</f>
        <v>0</v>
      </c>
      <c r="O4983" s="311"/>
      <c r="P4983" t="str">
        <f t="shared" si="408"/>
        <v>410-7570R</v>
      </c>
      <c r="Q4983" s="315" t="str">
        <f t="shared" si="409"/>
        <v>Admin &amp; Other</v>
      </c>
      <c r="R4983" s="315" t="str">
        <f t="shared" si="410"/>
        <v>Admin &amp; OtherOther Overheads as % of Total Gross Profit</v>
      </c>
      <c r="S4983" s="199"/>
      <c r="T4983" s="199"/>
      <c r="U4983" s="199"/>
    </row>
    <row r="4984" spans="1:21" x14ac:dyDescent="0.25">
      <c r="A4984" t="s">
        <v>996</v>
      </c>
      <c r="B4984" t="s">
        <v>997</v>
      </c>
      <c r="C4984" t="s">
        <v>1012</v>
      </c>
      <c r="D4984" t="s">
        <v>952</v>
      </c>
      <c r="E4984">
        <v>420</v>
      </c>
      <c r="F4984" t="s">
        <v>998</v>
      </c>
      <c r="G4984" t="s">
        <v>999</v>
      </c>
      <c r="H4984" s="315" t="s">
        <v>1000</v>
      </c>
      <c r="I4984" s="315" t="s">
        <v>1001</v>
      </c>
      <c r="J4984" s="315" t="str">
        <f t="shared" si="406"/>
        <v>Admin &amp; OtherOther Overheads as % of Total Gross Profit</v>
      </c>
      <c r="K4984" s="315" t="str">
        <f t="shared" si="407"/>
        <v>420Miscellaneous expenses - Toyota</v>
      </c>
      <c r="L4984" s="311">
        <f>+SUMIF('TUNZ Extracted TB'!M:M,$P4984,'TUNZ Extracted TB'!G:G)</f>
        <v>0</v>
      </c>
      <c r="M4984" s="311"/>
      <c r="N4984" s="311">
        <f>+SUMIF('Input Sheet'!$AE:$AE,P4984,'Input Sheet'!$X:$X)</f>
        <v>0</v>
      </c>
      <c r="O4984" s="311"/>
      <c r="P4984" t="str">
        <f t="shared" si="408"/>
        <v>420-7570R</v>
      </c>
      <c r="Q4984" s="315" t="str">
        <f t="shared" si="409"/>
        <v>Admin &amp; Other</v>
      </c>
      <c r="R4984" s="315" t="str">
        <f t="shared" si="410"/>
        <v>Admin &amp; OtherOther Overheads as % of Total Gross Profit</v>
      </c>
      <c r="S4984" s="199"/>
      <c r="T4984" s="199"/>
      <c r="U4984" s="199"/>
    </row>
    <row r="4985" spans="1:21" x14ac:dyDescent="0.25">
      <c r="A4985" t="s">
        <v>996</v>
      </c>
      <c r="B4985" t="s">
        <v>997</v>
      </c>
      <c r="C4985" t="s">
        <v>1012</v>
      </c>
      <c r="D4985" t="s">
        <v>952</v>
      </c>
      <c r="E4985">
        <v>421</v>
      </c>
      <c r="F4985" t="s">
        <v>998</v>
      </c>
      <c r="G4985" t="s">
        <v>999</v>
      </c>
      <c r="H4985" s="315" t="s">
        <v>1000</v>
      </c>
      <c r="I4985" s="315" t="s">
        <v>1001</v>
      </c>
      <c r="J4985" s="315" t="str">
        <f t="shared" si="406"/>
        <v>Admin &amp; OtherOther Overheads as % of Total Gross Profit</v>
      </c>
      <c r="K4985" s="315" t="str">
        <f t="shared" si="407"/>
        <v>421Miscellaneous expenses - Toyota</v>
      </c>
      <c r="L4985" s="311">
        <f>+SUMIF('TUNZ Extracted TB'!M:M,$P4985,'TUNZ Extracted TB'!G:G)</f>
        <v>0</v>
      </c>
      <c r="M4985" s="311"/>
      <c r="N4985" s="311">
        <f>+SUMIF('Input Sheet'!$AE:$AE,P4985,'Input Sheet'!$X:$X)</f>
        <v>0</v>
      </c>
      <c r="O4985" s="311"/>
      <c r="P4985" t="str">
        <f t="shared" si="408"/>
        <v>421-7570R</v>
      </c>
      <c r="Q4985" s="315" t="str">
        <f t="shared" si="409"/>
        <v>Admin &amp; Other</v>
      </c>
      <c r="R4985" s="315" t="str">
        <f t="shared" si="410"/>
        <v>Admin &amp; OtherOther Overheads as % of Total Gross Profit</v>
      </c>
      <c r="S4985" s="199"/>
      <c r="T4985" s="199"/>
      <c r="U4985" s="199"/>
    </row>
    <row r="4986" spans="1:21" x14ac:dyDescent="0.25">
      <c r="A4986" t="s">
        <v>996</v>
      </c>
      <c r="B4986" t="s">
        <v>997</v>
      </c>
      <c r="C4986" t="s">
        <v>1012</v>
      </c>
      <c r="D4986" t="s">
        <v>952</v>
      </c>
      <c r="E4986">
        <v>460</v>
      </c>
      <c r="F4986" t="s">
        <v>998</v>
      </c>
      <c r="G4986" t="s">
        <v>999</v>
      </c>
      <c r="H4986" s="315" t="s">
        <v>1000</v>
      </c>
      <c r="I4986" s="315" t="s">
        <v>1001</v>
      </c>
      <c r="J4986" s="315" t="str">
        <f t="shared" si="406"/>
        <v>Admin &amp; OtherOther Overheads as % of Total Gross Profit</v>
      </c>
      <c r="K4986" s="315" t="str">
        <f t="shared" si="407"/>
        <v>460Miscellaneous expenses - Toyota</v>
      </c>
      <c r="L4986" s="311">
        <f>+SUMIF('TUNZ Extracted TB'!M:M,$P4986,'TUNZ Extracted TB'!G:G)</f>
        <v>0</v>
      </c>
      <c r="M4986" s="311"/>
      <c r="N4986" s="311">
        <f>+SUMIF('Input Sheet'!$AE:$AE,P4986,'Input Sheet'!$X:$X)</f>
        <v>0</v>
      </c>
      <c r="O4986" s="311"/>
      <c r="P4986" t="str">
        <f t="shared" si="408"/>
        <v>460-7570R</v>
      </c>
      <c r="Q4986" s="315" t="str">
        <f t="shared" si="409"/>
        <v>Admin &amp; Other</v>
      </c>
      <c r="R4986" s="315" t="str">
        <f t="shared" si="410"/>
        <v>Admin &amp; OtherOther Overheads as % of Total Gross Profit</v>
      </c>
      <c r="S4986" s="199"/>
      <c r="T4986" s="199"/>
      <c r="U4986" s="199"/>
    </row>
    <row r="4987" spans="1:21" x14ac:dyDescent="0.25">
      <c r="A4987" t="s">
        <v>996</v>
      </c>
      <c r="B4987" t="s">
        <v>997</v>
      </c>
      <c r="C4987" t="s">
        <v>1013</v>
      </c>
      <c r="D4987" t="s">
        <v>952</v>
      </c>
      <c r="E4987">
        <v>300</v>
      </c>
      <c r="F4987" t="s">
        <v>998</v>
      </c>
      <c r="G4987" t="s">
        <v>999</v>
      </c>
      <c r="H4987" s="315" t="s">
        <v>1000</v>
      </c>
      <c r="I4987" s="315" t="s">
        <v>1001</v>
      </c>
      <c r="J4987" s="315" t="str">
        <f t="shared" si="406"/>
        <v>Admin &amp; OtherOther Overheads as % of Total Gross Profit</v>
      </c>
      <c r="K4987" s="315" t="str">
        <f t="shared" si="407"/>
        <v>300Miscellaneous expenses - Toyota</v>
      </c>
      <c r="L4987" s="311">
        <f>+SUMIF('TUNZ Extracted TB'!M:M,$P4987,'TUNZ Extracted TB'!G:G)</f>
        <v>0</v>
      </c>
      <c r="M4987" s="311"/>
      <c r="N4987" s="311">
        <f>+SUMIF('Input Sheet'!$AE:$AE,P4987,'Input Sheet'!$X:$X)</f>
        <v>0</v>
      </c>
      <c r="O4987" s="311"/>
      <c r="P4987" t="str">
        <f t="shared" si="408"/>
        <v>300-7570R</v>
      </c>
      <c r="Q4987" s="315" t="str">
        <f t="shared" si="409"/>
        <v>Admin &amp; Other</v>
      </c>
      <c r="R4987" s="315" t="str">
        <f t="shared" si="410"/>
        <v>Admin &amp; OtherOther Overheads as % of Total Gross Profit</v>
      </c>
      <c r="S4987" s="199"/>
      <c r="T4987" s="199"/>
      <c r="U4987" s="199"/>
    </row>
    <row r="4988" spans="1:21" x14ac:dyDescent="0.25">
      <c r="A4988" t="s">
        <v>996</v>
      </c>
      <c r="B4988" t="s">
        <v>997</v>
      </c>
      <c r="C4988" t="s">
        <v>1013</v>
      </c>
      <c r="D4988" t="s">
        <v>952</v>
      </c>
      <c r="E4988">
        <v>310</v>
      </c>
      <c r="F4988" t="s">
        <v>998</v>
      </c>
      <c r="G4988" t="s">
        <v>999</v>
      </c>
      <c r="H4988" s="315" t="s">
        <v>1000</v>
      </c>
      <c r="I4988" s="315" t="s">
        <v>1001</v>
      </c>
      <c r="J4988" s="315" t="str">
        <f t="shared" si="406"/>
        <v>Admin &amp; OtherOther Overheads as % of Total Gross Profit</v>
      </c>
      <c r="K4988" s="315" t="str">
        <f t="shared" si="407"/>
        <v>310Miscellaneous expenses - Toyota</v>
      </c>
      <c r="L4988" s="311">
        <f>+SUMIF('TUNZ Extracted TB'!M:M,$P4988,'TUNZ Extracted TB'!G:G)</f>
        <v>0</v>
      </c>
      <c r="M4988" s="311"/>
      <c r="N4988" s="311">
        <f>+SUMIF('Input Sheet'!$AE:$AE,P4988,'Input Sheet'!$X:$X)</f>
        <v>0</v>
      </c>
      <c r="O4988" s="311"/>
      <c r="P4988" t="str">
        <f t="shared" si="408"/>
        <v>310-7570R</v>
      </c>
      <c r="Q4988" s="315" t="str">
        <f t="shared" si="409"/>
        <v>Admin &amp; Other</v>
      </c>
      <c r="R4988" s="315" t="str">
        <f t="shared" si="410"/>
        <v>Admin &amp; OtherOther Overheads as % of Total Gross Profit</v>
      </c>
      <c r="S4988" s="199"/>
      <c r="T4988" s="199"/>
      <c r="U4988" s="199"/>
    </row>
    <row r="4989" spans="1:21" x14ac:dyDescent="0.25">
      <c r="A4989" t="s">
        <v>996</v>
      </c>
      <c r="B4989" t="s">
        <v>997</v>
      </c>
      <c r="C4989" t="s">
        <v>1013</v>
      </c>
      <c r="D4989" t="s">
        <v>952</v>
      </c>
      <c r="E4989">
        <v>321</v>
      </c>
      <c r="F4989" t="s">
        <v>998</v>
      </c>
      <c r="G4989" t="s">
        <v>999</v>
      </c>
      <c r="H4989" s="315" t="s">
        <v>1000</v>
      </c>
      <c r="I4989" s="315" t="s">
        <v>1001</v>
      </c>
      <c r="J4989" s="315" t="str">
        <f t="shared" si="406"/>
        <v>Admin &amp; OtherOther Overheads as % of Total Gross Profit</v>
      </c>
      <c r="K4989" s="315" t="str">
        <f t="shared" si="407"/>
        <v>321Miscellaneous expenses - Toyota</v>
      </c>
      <c r="L4989" s="311">
        <f>+SUMIF('TUNZ Extracted TB'!M:M,$P4989,'TUNZ Extracted TB'!G:G)</f>
        <v>0</v>
      </c>
      <c r="M4989" s="311"/>
      <c r="N4989" s="311">
        <f>+SUMIF('Input Sheet'!$AE:$AE,P4989,'Input Sheet'!$X:$X)</f>
        <v>0</v>
      </c>
      <c r="O4989" s="311"/>
      <c r="P4989" t="str">
        <f t="shared" si="408"/>
        <v>321-7570R</v>
      </c>
      <c r="Q4989" s="315" t="str">
        <f t="shared" si="409"/>
        <v>Admin &amp; Other</v>
      </c>
      <c r="R4989" s="315" t="str">
        <f t="shared" si="410"/>
        <v>Admin &amp; OtherOther Overheads as % of Total Gross Profit</v>
      </c>
      <c r="S4989" s="199"/>
      <c r="T4989" s="199"/>
      <c r="U4989" s="199"/>
    </row>
    <row r="4990" spans="1:21" x14ac:dyDescent="0.25">
      <c r="A4990" t="s">
        <v>996</v>
      </c>
      <c r="B4990" t="s">
        <v>997</v>
      </c>
      <c r="C4990" t="s">
        <v>997</v>
      </c>
      <c r="D4990" t="s">
        <v>952</v>
      </c>
      <c r="E4990">
        <v>936</v>
      </c>
      <c r="F4990" t="s">
        <v>1175</v>
      </c>
      <c r="G4990" t="s">
        <v>1176</v>
      </c>
      <c r="H4990" s="315" t="s">
        <v>58</v>
      </c>
      <c r="I4990" s="315" t="s">
        <v>1286</v>
      </c>
      <c r="J4990" s="315" t="str">
        <f t="shared" si="406"/>
        <v>BridgestoneOther Expenses as % of Sales</v>
      </c>
      <c r="K4990" s="315" t="str">
        <f t="shared" si="407"/>
        <v>936Other franchise/business expense</v>
      </c>
      <c r="L4990" s="311">
        <f>+SUMIF('TUNZ Extracted TB'!M:M,$P4990,'TUNZ Extracted TB'!G:G)</f>
        <v>0</v>
      </c>
      <c r="M4990" s="311"/>
      <c r="N4990" s="311">
        <f>+SUMIF('Input Sheet'!$AE:$AE,P4990,'Input Sheet'!$X:$X)</f>
        <v>0</v>
      </c>
      <c r="O4990" s="311"/>
      <c r="P4990" t="str">
        <f t="shared" si="408"/>
        <v>936-7570R</v>
      </c>
      <c r="Q4990" s="315" t="str">
        <f t="shared" si="409"/>
        <v>Bridgestone</v>
      </c>
      <c r="R4990" s="315" t="str">
        <f t="shared" si="410"/>
        <v>BridgestoneOther Expenses as % of Sales</v>
      </c>
      <c r="S4990" s="199"/>
      <c r="T4990" s="199"/>
      <c r="U4990" s="199"/>
    </row>
    <row r="4991" spans="1:21" x14ac:dyDescent="0.25">
      <c r="A4991" t="s">
        <v>996</v>
      </c>
      <c r="B4991" t="s">
        <v>997</v>
      </c>
      <c r="C4991" t="s">
        <v>997</v>
      </c>
      <c r="D4991" t="s">
        <v>952</v>
      </c>
      <c r="E4991">
        <v>147</v>
      </c>
      <c r="F4991" t="s">
        <v>1289</v>
      </c>
      <c r="G4991" t="s">
        <v>1290</v>
      </c>
      <c r="H4991" s="315" t="s">
        <v>17</v>
      </c>
      <c r="I4991" s="315" t="s">
        <v>1286</v>
      </c>
      <c r="J4991" s="315" t="str">
        <f t="shared" si="406"/>
        <v>ServiceOther Expenses as % of Sales</v>
      </c>
      <c r="K4991" s="315" t="str">
        <f t="shared" si="407"/>
        <v>147Service Other expenses - Toyota</v>
      </c>
      <c r="L4991" s="311">
        <f>+SUMIF('TUNZ Extracted TB'!M:M,$P4991,'TUNZ Extracted TB'!G:G)</f>
        <v>0</v>
      </c>
      <c r="M4991" s="311"/>
      <c r="N4991" s="311">
        <f>+SUMIF('Input Sheet'!$AE:$AE,P4991,'Input Sheet'!$X:$X)</f>
        <v>0</v>
      </c>
      <c r="O4991" s="311"/>
      <c r="P4991" t="str">
        <f t="shared" si="408"/>
        <v>147-7570R</v>
      </c>
      <c r="Q4991" s="315" t="str">
        <f t="shared" si="409"/>
        <v>Service</v>
      </c>
      <c r="R4991" s="315" t="str">
        <f t="shared" si="410"/>
        <v>ServiceOther Expenses as % of Sales</v>
      </c>
      <c r="S4991" s="199"/>
      <c r="T4991" s="199"/>
      <c r="U4991" s="199"/>
    </row>
    <row r="4992" spans="1:21" x14ac:dyDescent="0.25">
      <c r="A4992" t="s">
        <v>996</v>
      </c>
      <c r="B4992" t="s">
        <v>997</v>
      </c>
      <c r="C4992" t="s">
        <v>997</v>
      </c>
      <c r="D4992" t="s">
        <v>952</v>
      </c>
      <c r="E4992">
        <v>132</v>
      </c>
      <c r="F4992" t="s">
        <v>1362</v>
      </c>
      <c r="G4992" t="s">
        <v>1363</v>
      </c>
      <c r="H4992" s="315" t="s">
        <v>1023</v>
      </c>
      <c r="I4992" s="315" t="s">
        <v>1370</v>
      </c>
      <c r="J4992" s="315" t="str">
        <f t="shared" si="406"/>
        <v>LEX Admin &amp; OtherR&amp;M and Cleaning as % of Total Gross Profit</v>
      </c>
      <c r="K4992" s="315" t="str">
        <f t="shared" si="407"/>
        <v>132Miscellaneous expenses - Lexus</v>
      </c>
      <c r="L4992" s="311">
        <f>+SUMIF('TUNZ Extracted TB'!M:M,$P4992,'TUNZ Extracted TB'!G:G)</f>
        <v>0</v>
      </c>
      <c r="M4992" s="311"/>
      <c r="N4992" s="311">
        <f>+SUMIF('Input Sheet'!$AE:$AE,P4992,'Input Sheet'!$X:$X)</f>
        <v>0</v>
      </c>
      <c r="O4992" s="311"/>
      <c r="P4992" t="str">
        <f t="shared" si="408"/>
        <v>132-7570R</v>
      </c>
      <c r="Q4992" s="315" t="str">
        <f t="shared" si="409"/>
        <v>LEX Admin &amp; Other</v>
      </c>
      <c r="R4992" s="315" t="str">
        <f t="shared" si="410"/>
        <v>LEX Admin &amp; OtherR&amp;M and Cleaning as % of Total Gross Profit</v>
      </c>
      <c r="S4992" s="199"/>
      <c r="T4992" s="199"/>
      <c r="U4992" s="199"/>
    </row>
    <row r="4993" spans="1:21" x14ac:dyDescent="0.25">
      <c r="A4993" t="s">
        <v>996</v>
      </c>
      <c r="B4993" t="s">
        <v>997</v>
      </c>
      <c r="C4993" t="s">
        <v>997</v>
      </c>
      <c r="D4993" t="s">
        <v>952</v>
      </c>
      <c r="E4993">
        <v>130</v>
      </c>
      <c r="F4993" t="s">
        <v>998</v>
      </c>
      <c r="G4993" t="s">
        <v>999</v>
      </c>
      <c r="H4993" s="315" t="s">
        <v>1000</v>
      </c>
      <c r="I4993" s="315" t="s">
        <v>1001</v>
      </c>
      <c r="J4993" s="315" t="str">
        <f t="shared" si="406"/>
        <v>Admin &amp; OtherOther Overheads as % of Total Gross Profit</v>
      </c>
      <c r="K4993" s="315" t="str">
        <f t="shared" si="407"/>
        <v>130Miscellaneous expenses - Toyota</v>
      </c>
      <c r="L4993" s="311">
        <f>+SUMIF('TUNZ Extracted TB'!M:M,$P4993,'TUNZ Extracted TB'!G:G)</f>
        <v>46</v>
      </c>
      <c r="M4993" s="311"/>
      <c r="N4993" s="311">
        <f>+SUMIF('Input Sheet'!$AE:$AE,P4993,'Input Sheet'!$X:$X)</f>
        <v>0</v>
      </c>
      <c r="O4993" s="311"/>
      <c r="P4993" t="str">
        <f t="shared" si="408"/>
        <v>130-7570R</v>
      </c>
      <c r="Q4993" s="315" t="str">
        <f t="shared" si="409"/>
        <v>Admin &amp; Other</v>
      </c>
      <c r="R4993" s="315" t="str">
        <f t="shared" si="410"/>
        <v>Admin &amp; OtherOther Overheads as % of Total Gross Profit</v>
      </c>
      <c r="S4993" s="199"/>
      <c r="T4993" s="199"/>
      <c r="U4993" s="199"/>
    </row>
    <row r="4994" spans="1:21" x14ac:dyDescent="0.25">
      <c r="A4994" t="s">
        <v>996</v>
      </c>
      <c r="B4994" t="s">
        <v>997</v>
      </c>
      <c r="C4994" t="s">
        <v>997</v>
      </c>
      <c r="D4994" t="s">
        <v>952</v>
      </c>
      <c r="E4994">
        <v>112</v>
      </c>
      <c r="F4994" t="s">
        <v>1362</v>
      </c>
      <c r="G4994" t="s">
        <v>1363</v>
      </c>
      <c r="H4994" s="315" t="s">
        <v>1023</v>
      </c>
      <c r="I4994" s="315" t="s">
        <v>1001</v>
      </c>
      <c r="J4994" s="315" t="str">
        <f t="shared" si="406"/>
        <v>LEX Admin &amp; OtherOther Overheads as % of Total Gross Profit</v>
      </c>
      <c r="K4994" s="315" t="str">
        <f t="shared" si="407"/>
        <v>112Miscellaneous expenses - Lexus</v>
      </c>
      <c r="L4994" s="311">
        <f>+SUMIF('TUNZ Extracted TB'!M:M,$P4994,'TUNZ Extracted TB'!G:G)</f>
        <v>932.58</v>
      </c>
      <c r="M4994" s="311"/>
      <c r="N4994" s="311">
        <f>+SUMIF('Input Sheet'!$AE:$AE,P4994,'Input Sheet'!$X:$X)</f>
        <v>0</v>
      </c>
      <c r="O4994" s="311"/>
      <c r="P4994" t="str">
        <f t="shared" si="408"/>
        <v>112-7570R</v>
      </c>
      <c r="Q4994" s="315" t="str">
        <f t="shared" si="409"/>
        <v>LEX Admin &amp; Other</v>
      </c>
      <c r="R4994" s="315" t="str">
        <f t="shared" si="410"/>
        <v>LEX Admin &amp; OtherOther Overheads as % of Total Gross Profit</v>
      </c>
      <c r="S4994" s="199"/>
      <c r="T4994" s="199"/>
      <c r="U4994" s="199"/>
    </row>
    <row r="4995" spans="1:21" x14ac:dyDescent="0.25">
      <c r="A4995" t="s">
        <v>996</v>
      </c>
      <c r="B4995" t="s">
        <v>997</v>
      </c>
      <c r="C4995" t="s">
        <v>997</v>
      </c>
      <c r="D4995" t="s">
        <v>952</v>
      </c>
      <c r="E4995">
        <v>110</v>
      </c>
      <c r="F4995" t="s">
        <v>998</v>
      </c>
      <c r="G4995" t="s">
        <v>999</v>
      </c>
      <c r="H4995" s="315" t="s">
        <v>1000</v>
      </c>
      <c r="I4995" s="315" t="s">
        <v>1001</v>
      </c>
      <c r="J4995" s="315" t="str">
        <f t="shared" ref="J4995:J5000" si="411">+H4995&amp;I4995</f>
        <v>Admin &amp; OtherOther Overheads as % of Total Gross Profit</v>
      </c>
      <c r="K4995" s="315" t="str">
        <f t="shared" si="407"/>
        <v>110Miscellaneous expenses - Toyota</v>
      </c>
      <c r="L4995" s="311">
        <f>+SUMIF('TUNZ Extracted TB'!M:M,$P4995,'TUNZ Extracted TB'!G:G)</f>
        <v>324</v>
      </c>
      <c r="M4995" s="311"/>
      <c r="N4995" s="311">
        <f>+SUMIF('Input Sheet'!$AE:$AE,P4995,'Input Sheet'!$X:$X)</f>
        <v>0</v>
      </c>
      <c r="O4995" s="311"/>
      <c r="P4995" t="str">
        <f t="shared" si="408"/>
        <v>110-7570R</v>
      </c>
      <c r="Q4995" s="315" t="str">
        <f t="shared" si="409"/>
        <v>Admin &amp; Other</v>
      </c>
      <c r="R4995" s="315" t="str">
        <f t="shared" si="410"/>
        <v>Admin &amp; OtherOther Overheads as % of Total Gross Profit</v>
      </c>
      <c r="S4995" s="199"/>
      <c r="T4995" s="199"/>
      <c r="U4995" s="199"/>
    </row>
    <row r="4996" spans="1:21" x14ac:dyDescent="0.25">
      <c r="A4996" t="s">
        <v>996</v>
      </c>
      <c r="B4996" t="s">
        <v>997</v>
      </c>
      <c r="C4996" t="s">
        <v>997</v>
      </c>
      <c r="D4996" t="s">
        <v>952</v>
      </c>
      <c r="E4996">
        <v>100</v>
      </c>
      <c r="F4996" t="s">
        <v>998</v>
      </c>
      <c r="G4996" t="s">
        <v>999</v>
      </c>
      <c r="H4996" s="315" t="s">
        <v>1000</v>
      </c>
      <c r="I4996" s="315" t="s">
        <v>1001</v>
      </c>
      <c r="J4996" s="315" t="str">
        <f t="shared" si="411"/>
        <v>Admin &amp; OtherOther Overheads as % of Total Gross Profit</v>
      </c>
      <c r="K4996" s="315" t="str">
        <f t="shared" si="407"/>
        <v>100Miscellaneous expenses - Toyota</v>
      </c>
      <c r="L4996" s="311">
        <f>+SUMIF('TUNZ Extracted TB'!M:M,$P4996,'TUNZ Extracted TB'!G:G)</f>
        <v>0</v>
      </c>
      <c r="M4996" s="311"/>
      <c r="N4996" s="311">
        <f>+SUMIF('Input Sheet'!$AE:$AE,P4996,'Input Sheet'!$X:$X)</f>
        <v>0</v>
      </c>
      <c r="O4996" s="311"/>
      <c r="P4996" t="str">
        <f t="shared" si="408"/>
        <v>100-7570R</v>
      </c>
      <c r="Q4996" s="315" t="str">
        <f t="shared" si="409"/>
        <v>Admin &amp; Other</v>
      </c>
      <c r="R4996" s="315" t="str">
        <f t="shared" si="410"/>
        <v>Admin &amp; OtherOther Overheads as % of Total Gross Profit</v>
      </c>
      <c r="S4996" s="199"/>
      <c r="T4996" s="199"/>
      <c r="U4996" s="199"/>
    </row>
    <row r="4997" spans="1:21" x14ac:dyDescent="0.25">
      <c r="A4997" t="s">
        <v>996</v>
      </c>
      <c r="B4997" t="s">
        <v>997</v>
      </c>
      <c r="C4997" t="s">
        <v>997</v>
      </c>
      <c r="D4997" t="s">
        <v>952</v>
      </c>
      <c r="E4997">
        <v>140</v>
      </c>
      <c r="F4997" t="s">
        <v>1289</v>
      </c>
      <c r="G4997" t="s">
        <v>1290</v>
      </c>
      <c r="H4997" s="315" t="s">
        <v>17</v>
      </c>
      <c r="I4997" s="315" t="s">
        <v>1286</v>
      </c>
      <c r="J4997" s="315" t="str">
        <f t="shared" si="411"/>
        <v>ServiceOther Expenses as % of Sales</v>
      </c>
      <c r="K4997" s="315" t="str">
        <f t="shared" si="407"/>
        <v>140Service Other expenses - Toyota</v>
      </c>
      <c r="L4997" s="311">
        <f>+SUMIF('TUNZ Extracted TB'!M:M,$P4997,'TUNZ Extracted TB'!G:G)</f>
        <v>29.75</v>
      </c>
      <c r="M4997" s="311"/>
      <c r="N4997" s="311">
        <f>+SUMIF('Input Sheet'!$AE:$AE,P4997,'Input Sheet'!$X:$X)</f>
        <v>0</v>
      </c>
      <c r="O4997" s="311"/>
      <c r="P4997" t="str">
        <f t="shared" si="408"/>
        <v>140-7570R</v>
      </c>
      <c r="Q4997" s="315" t="str">
        <f t="shared" si="409"/>
        <v>Service</v>
      </c>
      <c r="R4997" s="315" t="str">
        <f t="shared" si="410"/>
        <v>ServiceOther Expenses as % of Sales</v>
      </c>
      <c r="S4997" s="199"/>
      <c r="T4997" s="199"/>
      <c r="U4997" s="199"/>
    </row>
    <row r="4998" spans="1:21" x14ac:dyDescent="0.25">
      <c r="A4998" t="s">
        <v>996</v>
      </c>
      <c r="B4998" t="s">
        <v>997</v>
      </c>
      <c r="C4998" t="s">
        <v>997</v>
      </c>
      <c r="D4998" t="s">
        <v>952</v>
      </c>
      <c r="E4998">
        <v>142</v>
      </c>
      <c r="F4998" t="s">
        <v>1284</v>
      </c>
      <c r="G4998" t="s">
        <v>1285</v>
      </c>
      <c r="H4998" s="315" t="s">
        <v>1022</v>
      </c>
      <c r="I4998" s="315" t="s">
        <v>1286</v>
      </c>
      <c r="J4998" s="315" t="str">
        <f t="shared" si="411"/>
        <v>Lex ServiceOther Expenses as % of Sales</v>
      </c>
      <c r="K4998" s="315" t="str">
        <f t="shared" si="407"/>
        <v>142Service Other expenses - Lexus</v>
      </c>
      <c r="L4998" s="311">
        <f>+SUMIF('TUNZ Extracted TB'!M:M,$P4998,'TUNZ Extracted TB'!G:G)</f>
        <v>0</v>
      </c>
      <c r="M4998" s="311"/>
      <c r="N4998" s="311">
        <f>+SUMIF('Input Sheet'!$AE:$AE,P4998,'Input Sheet'!$X:$X)</f>
        <v>0</v>
      </c>
      <c r="O4998" s="311"/>
      <c r="P4998" t="str">
        <f t="shared" si="408"/>
        <v>142-7570R</v>
      </c>
      <c r="Q4998" s="315" t="str">
        <f t="shared" si="409"/>
        <v>Lex Service</v>
      </c>
      <c r="R4998" s="315" t="str">
        <f t="shared" si="410"/>
        <v>Lex ServiceOther Expenses as % of Sales</v>
      </c>
      <c r="S4998" s="199"/>
      <c r="T4998" s="199"/>
      <c r="U4998" s="199"/>
    </row>
    <row r="4999" spans="1:21" x14ac:dyDescent="0.25">
      <c r="A4999" s="267" t="s">
        <v>1587</v>
      </c>
      <c r="B4999" t="s">
        <v>997</v>
      </c>
      <c r="C4999" t="s">
        <v>997</v>
      </c>
      <c r="D4999">
        <v>7332</v>
      </c>
      <c r="E4999">
        <v>190</v>
      </c>
      <c r="F4999" t="s">
        <v>1284</v>
      </c>
      <c r="G4999" t="s">
        <v>435</v>
      </c>
      <c r="H4999" s="315" t="s">
        <v>1000</v>
      </c>
      <c r="I4999" s="315" t="s">
        <v>1001</v>
      </c>
      <c r="J4999" s="315" t="str">
        <f t="shared" si="411"/>
        <v>Admin &amp; OtherOther Overheads as % of Total Gross Profit</v>
      </c>
      <c r="K4999" s="315" t="str">
        <f t="shared" ref="K4999" si="412">+E4999&amp;G4999</f>
        <v>190Overhead Expenses</v>
      </c>
      <c r="L4999" s="311">
        <f>+SUMIF('TUNZ Extracted TB'!M:M,$P4999,'TUNZ Extracted TB'!G:G)</f>
        <v>164.22</v>
      </c>
      <c r="M4999" s="311"/>
      <c r="N4999" s="311">
        <f>+SUMIF('Input Sheet'!$AE:$AE,P4999,'Input Sheet'!$X:$X)</f>
        <v>0</v>
      </c>
      <c r="O4999" s="311"/>
      <c r="P4999" t="str">
        <f t="shared" ref="P4999" si="413">+E4999&amp;"-"&amp;D4999</f>
        <v>190-7332</v>
      </c>
      <c r="Q4999" s="315" t="str">
        <f t="shared" ref="Q4999" si="414">H4999</f>
        <v>Admin &amp; Other</v>
      </c>
      <c r="R4999" s="315" t="str">
        <f t="shared" ref="R4999" si="415">J4999</f>
        <v>Admin &amp; OtherOther Overheads as % of Total Gross Profit</v>
      </c>
      <c r="S4999" s="199"/>
    </row>
    <row r="5000" spans="1:21" x14ac:dyDescent="0.25">
      <c r="A5000" s="267" t="s">
        <v>1588</v>
      </c>
      <c r="B5000" t="s">
        <v>997</v>
      </c>
      <c r="C5000" t="s">
        <v>997</v>
      </c>
      <c r="D5000" t="s">
        <v>1589</v>
      </c>
      <c r="E5000">
        <v>110</v>
      </c>
      <c r="G5000" t="s">
        <v>1590</v>
      </c>
      <c r="H5000" s="315" t="s">
        <v>30</v>
      </c>
      <c r="I5000" s="315" t="s">
        <v>1016</v>
      </c>
      <c r="J5000" s="315" t="str">
        <f t="shared" si="411"/>
        <v>Used VehicleEx NV demonstrators gross profit p.u.</v>
      </c>
      <c r="K5000" s="315" t="str">
        <f t="shared" ref="K5000" si="416">+E5000&amp;G5000</f>
        <v>110COGS - bZ4X</v>
      </c>
      <c r="L5000" s="311">
        <f>+SUMIF('TUNZ Extracted TB'!M:M,$P5000,'TUNZ Extracted TB'!G:G)</f>
        <v>0</v>
      </c>
      <c r="M5000" s="311"/>
      <c r="N5000" s="311">
        <f>+SUMIF('Input Sheet'!$AE:$AE,P5000,'Input Sheet'!$X:$X)</f>
        <v>0</v>
      </c>
      <c r="O5000" s="311"/>
      <c r="P5000" t="str">
        <f t="shared" ref="P5000" si="417">+E5000&amp;"-"&amp;D5000</f>
        <v>110-4020R</v>
      </c>
      <c r="Q5000" s="315" t="str">
        <f t="shared" ref="Q5000" si="418">H5000</f>
        <v>Used Vehicle</v>
      </c>
      <c r="R5000" s="315" t="str">
        <f t="shared" ref="R5000" si="419">J5000</f>
        <v>Used VehicleEx NV demonstrators gross profit p.u.</v>
      </c>
    </row>
  </sheetData>
  <phoneticPr fontId="33" type="noConversion"/>
  <conditionalFormatting sqref="P1:P1048576">
    <cfRule type="duplicateValues" dxfId="4" priority="8"/>
  </conditionalFormatting>
  <conditionalFormatting sqref="P3:P4987 P4999:P5000">
    <cfRule type="duplicateValues" dxfId="3" priority="25"/>
  </conditionalFormatting>
  <conditionalFormatting sqref="P4988:P4990">
    <cfRule type="duplicateValues" dxfId="2" priority="7"/>
  </conditionalFormatting>
  <conditionalFormatting sqref="P4991:P4997">
    <cfRule type="duplicateValues" dxfId="1" priority="6"/>
  </conditionalFormatting>
  <conditionalFormatting sqref="P4998">
    <cfRule type="duplicateValues" dxfId="0" priority="1"/>
  </conditionalFormatting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ADF3F-A0A8-4E98-88B8-0229582B8233}">
  <sheetPr>
    <tabColor theme="9" tint="0.79998168889431442"/>
  </sheetPr>
  <dimension ref="A1:AI34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8" width="9.7109375" style="16" customWidth="1"/>
    <col min="9" max="9" width="9.140625" style="16" customWidth="1"/>
    <col min="10" max="10" width="9.140625" style="16"/>
    <col min="11" max="11" width="11.7109375" style="3" hidden="1" customWidth="1" outlineLevel="1"/>
    <col min="12" max="33" width="9.140625" style="16" hidden="1" customWidth="1" outlineLevel="1"/>
    <col min="34" max="34" width="9.140625" style="16" collapsed="1"/>
    <col min="35" max="35" width="9.140625" style="201"/>
    <col min="36" max="16384" width="9.140625" style="16"/>
  </cols>
  <sheetData>
    <row r="1" spans="1:35" x14ac:dyDescent="0.25">
      <c r="A1" s="326"/>
      <c r="B1" s="327"/>
      <c r="C1" s="327"/>
      <c r="D1" s="327"/>
      <c r="E1" s="14"/>
      <c r="F1" s="15"/>
      <c r="G1" s="31"/>
      <c r="H1" s="237"/>
      <c r="AH1" s="201"/>
    </row>
    <row r="2" spans="1:35" ht="6.6" customHeight="1" thickBot="1" x14ac:dyDescent="0.3"/>
    <row r="3" spans="1:35" ht="15.75" thickTop="1" x14ac:dyDescent="0.25">
      <c r="A3" s="62" t="s">
        <v>1591</v>
      </c>
      <c r="B3" s="328" t="s">
        <v>12</v>
      </c>
      <c r="C3" s="329"/>
      <c r="D3" s="329"/>
      <c r="E3" s="329"/>
      <c r="F3" s="328" t="s">
        <v>1592</v>
      </c>
      <c r="G3" s="329"/>
      <c r="H3" s="329"/>
    </row>
    <row r="4" spans="1:35" x14ac:dyDescent="0.25">
      <c r="A4" s="63" t="s">
        <v>1591</v>
      </c>
      <c r="B4" s="64"/>
      <c r="C4" s="64"/>
      <c r="D4" s="330"/>
      <c r="E4" s="331"/>
      <c r="F4" s="64"/>
      <c r="G4" s="64"/>
      <c r="H4" s="64"/>
    </row>
    <row r="5" spans="1:35" x14ac:dyDescent="0.25">
      <c r="A5" s="63" t="s">
        <v>1</v>
      </c>
      <c r="B5" s="257">
        <v>44927</v>
      </c>
      <c r="C5" s="257">
        <v>44958</v>
      </c>
      <c r="D5" s="257">
        <v>44986</v>
      </c>
      <c r="E5" s="65" t="s">
        <v>1593</v>
      </c>
      <c r="F5" s="65" t="s">
        <v>1593</v>
      </c>
      <c r="G5" s="66"/>
      <c r="H5" s="66"/>
      <c r="AH5" s="201"/>
    </row>
    <row r="6" spans="1:35" x14ac:dyDescent="0.25">
      <c r="A6" s="24" t="s">
        <v>2</v>
      </c>
      <c r="B6" s="140"/>
      <c r="C6" s="140"/>
      <c r="D6" s="140"/>
      <c r="E6" s="140"/>
      <c r="F6" s="90"/>
      <c r="G6" s="26"/>
      <c r="H6" s="118"/>
      <c r="K6" s="160"/>
      <c r="AI6" s="202"/>
    </row>
    <row r="7" spans="1:35" x14ac:dyDescent="0.25">
      <c r="A7" s="24" t="s">
        <v>3</v>
      </c>
      <c r="B7" s="140"/>
      <c r="C7" s="140"/>
      <c r="D7" s="140"/>
      <c r="E7" s="140"/>
      <c r="F7" s="90"/>
      <c r="G7" s="26"/>
      <c r="H7" s="118"/>
      <c r="AI7" s="202"/>
    </row>
    <row r="8" spans="1:35" x14ac:dyDescent="0.25">
      <c r="A8" s="68" t="s">
        <v>1594</v>
      </c>
      <c r="B8" s="89"/>
      <c r="C8" s="89"/>
      <c r="D8" s="89"/>
      <c r="E8" s="89"/>
      <c r="F8" s="90"/>
      <c r="G8" s="26"/>
      <c r="H8" s="118"/>
      <c r="AI8" s="202"/>
    </row>
    <row r="9" spans="1:35" x14ac:dyDescent="0.25">
      <c r="A9" s="24" t="s">
        <v>14</v>
      </c>
      <c r="B9" s="89"/>
      <c r="C9" s="89"/>
      <c r="D9" s="89"/>
      <c r="E9" s="89"/>
      <c r="F9" s="90"/>
      <c r="G9" s="100"/>
      <c r="H9" s="118"/>
      <c r="I9" s="195"/>
      <c r="AH9" s="202"/>
      <c r="AI9" s="202"/>
    </row>
    <row r="10" spans="1:35" x14ac:dyDescent="0.25">
      <c r="A10" s="24" t="s">
        <v>15</v>
      </c>
      <c r="B10" s="89"/>
      <c r="C10" s="89"/>
      <c r="D10" s="89"/>
      <c r="E10" s="89"/>
      <c r="F10" s="90"/>
      <c r="G10" s="100"/>
      <c r="H10" s="118"/>
      <c r="I10" s="195"/>
      <c r="AH10" s="202"/>
      <c r="AI10" s="202"/>
    </row>
    <row r="11" spans="1:35" x14ac:dyDescent="0.25">
      <c r="A11" s="24" t="s">
        <v>16</v>
      </c>
      <c r="B11" s="89"/>
      <c r="C11" s="89"/>
      <c r="D11" s="89"/>
      <c r="E11" s="89"/>
      <c r="F11" s="90"/>
      <c r="G11" s="100"/>
      <c r="H11" s="118"/>
      <c r="I11" s="195"/>
      <c r="AH11" s="202"/>
      <c r="AI11" s="202"/>
    </row>
    <row r="12" spans="1:35" x14ac:dyDescent="0.25">
      <c r="A12" s="24" t="s">
        <v>5</v>
      </c>
      <c r="B12" s="89"/>
      <c r="C12" s="89"/>
      <c r="D12" s="89"/>
      <c r="E12" s="89"/>
      <c r="F12" s="90"/>
      <c r="G12" s="100"/>
      <c r="H12" s="118"/>
      <c r="I12" s="195"/>
      <c r="AH12" s="202"/>
      <c r="AI12" s="202"/>
    </row>
    <row r="13" spans="1:35" x14ac:dyDescent="0.25">
      <c r="A13" s="24" t="s">
        <v>17</v>
      </c>
      <c r="B13" s="89"/>
      <c r="C13" s="89"/>
      <c r="D13" s="89"/>
      <c r="E13" s="89"/>
      <c r="F13" s="90"/>
      <c r="G13" s="100"/>
      <c r="H13" s="118"/>
      <c r="I13" s="195"/>
      <c r="AH13" s="202"/>
      <c r="AI13" s="202"/>
    </row>
    <row r="14" spans="1:35" s="28" customFormat="1" x14ac:dyDescent="0.25">
      <c r="A14" s="27" t="s">
        <v>1595</v>
      </c>
      <c r="B14" s="91"/>
      <c r="C14" s="91"/>
      <c r="D14" s="91"/>
      <c r="E14" s="91"/>
      <c r="F14" s="92"/>
      <c r="G14" s="100"/>
      <c r="H14" s="119"/>
      <c r="I14" s="195"/>
      <c r="K14" s="50"/>
      <c r="AH14" s="203"/>
      <c r="AI14" s="203"/>
    </row>
    <row r="15" spans="1:35" x14ac:dyDescent="0.25">
      <c r="A15" s="24" t="s">
        <v>460</v>
      </c>
      <c r="B15" s="89"/>
      <c r="C15" s="89"/>
      <c r="D15" s="89"/>
      <c r="E15" s="89"/>
      <c r="F15" s="90"/>
      <c r="G15" s="100"/>
      <c r="H15" s="118"/>
      <c r="I15" s="195"/>
      <c r="K15" s="3" t="s">
        <v>1596</v>
      </c>
      <c r="AH15" s="202"/>
      <c r="AI15" s="202"/>
    </row>
    <row r="16" spans="1:35" x14ac:dyDescent="0.25">
      <c r="A16" s="24" t="s">
        <v>435</v>
      </c>
      <c r="B16" s="89"/>
      <c r="C16" s="89"/>
      <c r="D16" s="89"/>
      <c r="E16" s="89"/>
      <c r="F16" s="90"/>
      <c r="G16" s="100"/>
      <c r="H16" s="118"/>
      <c r="I16" s="195"/>
      <c r="AH16" s="202"/>
      <c r="AI16" s="202"/>
    </row>
    <row r="17" spans="1:35" s="28" customFormat="1" x14ac:dyDescent="0.25">
      <c r="A17" s="27" t="s">
        <v>22</v>
      </c>
      <c r="B17" s="91"/>
      <c r="C17" s="91"/>
      <c r="D17" s="91"/>
      <c r="E17" s="91"/>
      <c r="F17" s="92"/>
      <c r="G17" s="100"/>
      <c r="H17" s="119"/>
      <c r="I17" s="195"/>
      <c r="J17" s="111"/>
      <c r="K17" s="3"/>
      <c r="AH17" s="203"/>
      <c r="AI17" s="203"/>
    </row>
    <row r="18" spans="1:35" x14ac:dyDescent="0.25">
      <c r="A18" s="24" t="s">
        <v>1597</v>
      </c>
      <c r="B18" s="89"/>
      <c r="C18" s="89"/>
      <c r="D18" s="89"/>
      <c r="E18" s="89"/>
      <c r="F18" s="90"/>
      <c r="G18" s="100"/>
      <c r="H18" s="118"/>
      <c r="I18" s="195"/>
      <c r="AI18" s="202"/>
    </row>
    <row r="19" spans="1:35" x14ac:dyDescent="0.25">
      <c r="A19" s="24" t="s">
        <v>1598</v>
      </c>
      <c r="B19" s="51"/>
      <c r="C19" s="51"/>
      <c r="D19" s="51"/>
      <c r="E19" s="51"/>
      <c r="F19" s="137"/>
      <c r="G19" s="118"/>
      <c r="H19" s="118"/>
      <c r="I19" s="195"/>
      <c r="AI19" s="202"/>
    </row>
    <row r="20" spans="1:35" ht="14.45" customHeight="1" x14ac:dyDescent="0.25">
      <c r="A20" s="24" t="s">
        <v>1599</v>
      </c>
      <c r="B20" s="139"/>
      <c r="C20" s="139"/>
      <c r="D20" s="139"/>
      <c r="E20" s="139"/>
      <c r="F20" s="137"/>
      <c r="G20" s="118"/>
      <c r="H20" s="118"/>
      <c r="I20" s="195"/>
      <c r="AI20" s="202"/>
    </row>
    <row r="21" spans="1:35" x14ac:dyDescent="0.25">
      <c r="A21" s="24" t="s">
        <v>1600</v>
      </c>
      <c r="B21" s="51"/>
      <c r="C21" s="51"/>
      <c r="D21" s="51"/>
      <c r="E21" s="51"/>
      <c r="F21" s="137"/>
      <c r="G21" s="118"/>
      <c r="H21" s="118"/>
      <c r="I21" s="195"/>
      <c r="AI21" s="202"/>
    </row>
    <row r="22" spans="1:35" ht="14.1" customHeight="1" x14ac:dyDescent="0.25">
      <c r="A22" s="24" t="s">
        <v>1601</v>
      </c>
      <c r="B22" s="51"/>
      <c r="C22" s="51"/>
      <c r="D22" s="51"/>
      <c r="E22" s="51"/>
      <c r="F22" s="137"/>
      <c r="G22" s="118"/>
      <c r="H22" s="118"/>
      <c r="I22" s="195"/>
      <c r="AI22" s="202"/>
    </row>
    <row r="23" spans="1:35" s="28" customFormat="1" ht="15.75" thickBot="1" x14ac:dyDescent="0.3">
      <c r="A23" s="29" t="s">
        <v>1602</v>
      </c>
      <c r="B23" s="136"/>
      <c r="C23" s="136"/>
      <c r="D23" s="136"/>
      <c r="E23" s="136"/>
      <c r="F23" s="138"/>
      <c r="G23" s="120"/>
      <c r="H23" s="120"/>
      <c r="I23" s="195"/>
      <c r="K23" s="3"/>
      <c r="AI23" s="203"/>
    </row>
    <row r="24" spans="1:35" ht="0" hidden="1" customHeight="1" x14ac:dyDescent="0.25">
      <c r="F24" s="16">
        <v>0</v>
      </c>
      <c r="I24" s="195"/>
    </row>
    <row r="25" spans="1:35" ht="15.75" thickTop="1" x14ac:dyDescent="0.25">
      <c r="I25" s="195"/>
      <c r="K25" s="50"/>
    </row>
    <row r="26" spans="1:35" x14ac:dyDescent="0.25">
      <c r="A26" s="24" t="s">
        <v>1603</v>
      </c>
      <c r="B26" s="30"/>
      <c r="C26" s="30">
        <v>97</v>
      </c>
      <c r="D26" s="30">
        <v>98</v>
      </c>
      <c r="E26" s="30">
        <v>97.5</v>
      </c>
      <c r="F26" s="12">
        <v>98</v>
      </c>
      <c r="G26" s="195"/>
      <c r="H26" s="195"/>
      <c r="I26" s="195"/>
    </row>
    <row r="27" spans="1:35" x14ac:dyDescent="0.25">
      <c r="E27" s="121"/>
    </row>
    <row r="28" spans="1:35" x14ac:dyDescent="0.25">
      <c r="B28" s="180"/>
      <c r="C28" s="56"/>
      <c r="E28" s="121"/>
      <c r="F28" s="56"/>
      <c r="G28" s="56"/>
    </row>
    <row r="29" spans="1:35" x14ac:dyDescent="0.25">
      <c r="B29" s="235"/>
      <c r="E29" s="121"/>
      <c r="F29" s="56"/>
      <c r="G29" s="56"/>
    </row>
    <row r="30" spans="1:35" x14ac:dyDescent="0.25">
      <c r="E30" s="121"/>
    </row>
    <row r="31" spans="1:35" x14ac:dyDescent="0.25">
      <c r="B31" s="195"/>
      <c r="E31" s="121"/>
    </row>
    <row r="32" spans="1:35" x14ac:dyDescent="0.25">
      <c r="E32" s="121"/>
    </row>
    <row r="33" spans="5:5" x14ac:dyDescent="0.25">
      <c r="E33" s="121"/>
    </row>
    <row r="34" spans="5:5" x14ac:dyDescent="0.25">
      <c r="E34" s="121"/>
    </row>
  </sheetData>
  <mergeCells count="4">
    <mergeCell ref="A1:D1"/>
    <mergeCell ref="B3:E3"/>
    <mergeCell ref="F3:H3"/>
    <mergeCell ref="D4:E4"/>
  </mergeCells>
  <pageMargins left="0.118110236220472" right="0.118110236220472" top="0.31496062992126" bottom="0.31496062992126" header="0.31496062992126" footer="0.31496062992126"/>
  <pageSetup paperSize="9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CA3A6-D66E-428D-B1F7-35DD948C5E4D}">
  <sheetPr>
    <tabColor theme="9" tint="0.79998168889431442"/>
  </sheetPr>
  <dimension ref="A1:AN34"/>
  <sheetViews>
    <sheetView workbookViewId="0">
      <selection activeCell="F21" sqref="F21"/>
    </sheetView>
  </sheetViews>
  <sheetFormatPr defaultColWidth="9.140625" defaultRowHeight="15" outlineLevelCol="1" x14ac:dyDescent="0.25"/>
  <cols>
    <col min="1" max="1" width="35.7109375" style="16" customWidth="1"/>
    <col min="2" max="2" width="12.5703125" style="16" bestFit="1" customWidth="1"/>
    <col min="3" max="3" width="11.7109375" style="16" bestFit="1" customWidth="1"/>
    <col min="4" max="9" width="9.7109375" style="16" customWidth="1"/>
    <col min="10" max="11" width="9.7109375" style="16" hidden="1" customWidth="1"/>
    <col min="12" max="12" width="9.140625" style="16" customWidth="1"/>
    <col min="13" max="13" width="9.140625" style="16"/>
    <col min="14" max="14" width="11.7109375" style="3" hidden="1" customWidth="1" outlineLevel="1"/>
    <col min="15" max="36" width="9.140625" style="16" hidden="1" customWidth="1" outlineLevel="1"/>
    <col min="37" max="37" width="9.140625" style="16" collapsed="1"/>
    <col min="38" max="38" width="10.140625" style="201" bestFit="1" customWidth="1"/>
    <col min="39" max="16384" width="9.140625" style="16"/>
  </cols>
  <sheetData>
    <row r="1" spans="1:40" x14ac:dyDescent="0.25">
      <c r="A1" s="326" t="s">
        <v>1604</v>
      </c>
      <c r="B1" s="327"/>
      <c r="C1" s="327"/>
      <c r="D1" s="327"/>
      <c r="E1" s="14"/>
      <c r="F1" s="15" t="s">
        <v>1605</v>
      </c>
      <c r="G1" s="15"/>
      <c r="H1" s="31"/>
      <c r="I1" s="237">
        <f>'Manual Page'!A14</f>
        <v>45292</v>
      </c>
      <c r="J1" s="281"/>
      <c r="K1" s="281"/>
      <c r="AK1" s="201" t="s">
        <v>1606</v>
      </c>
    </row>
    <row r="2" spans="1:40" ht="6.6" customHeight="1" thickBot="1" x14ac:dyDescent="0.3"/>
    <row r="3" spans="1:40" ht="15.75" thickTop="1" x14ac:dyDescent="0.25">
      <c r="A3" s="62" t="s">
        <v>1591</v>
      </c>
      <c r="B3" s="328" t="s">
        <v>155</v>
      </c>
      <c r="C3" s="329"/>
      <c r="D3" s="329"/>
      <c r="E3" s="329"/>
      <c r="F3" s="328" t="s">
        <v>155</v>
      </c>
      <c r="G3" s="328"/>
      <c r="H3" s="328"/>
      <c r="I3" s="328"/>
      <c r="J3" s="328"/>
      <c r="K3" s="333"/>
    </row>
    <row r="4" spans="1:40" x14ac:dyDescent="0.25">
      <c r="A4" s="63" t="s">
        <v>1591</v>
      </c>
      <c r="B4" s="330" t="s">
        <v>1607</v>
      </c>
      <c r="C4" s="330"/>
      <c r="D4" s="330"/>
      <c r="E4" s="330"/>
      <c r="F4" s="64" t="s">
        <v>1591</v>
      </c>
      <c r="G4" s="64"/>
      <c r="H4" s="64"/>
      <c r="I4" s="64"/>
      <c r="J4" s="330" t="s">
        <v>1608</v>
      </c>
      <c r="K4" s="332"/>
    </row>
    <row r="5" spans="1:40" x14ac:dyDescent="0.25">
      <c r="A5" s="63" t="s">
        <v>1</v>
      </c>
      <c r="B5" s="65" t="s">
        <v>12</v>
      </c>
      <c r="C5" s="65" t="s">
        <v>1592</v>
      </c>
      <c r="D5" s="66" t="s">
        <v>1609</v>
      </c>
      <c r="E5" s="66" t="s">
        <v>1610</v>
      </c>
      <c r="F5" s="258" t="s">
        <v>1611</v>
      </c>
      <c r="G5" s="258" t="s">
        <v>1612</v>
      </c>
      <c r="H5" s="258" t="s">
        <v>1613</v>
      </c>
      <c r="I5" s="258" t="s">
        <v>1614</v>
      </c>
      <c r="J5" s="65"/>
      <c r="K5" s="67" t="s">
        <v>1610</v>
      </c>
      <c r="AK5" s="201" t="s">
        <v>12</v>
      </c>
      <c r="AL5" s="201" t="s">
        <v>1592</v>
      </c>
    </row>
    <row r="6" spans="1:40" x14ac:dyDescent="0.25">
      <c r="A6" s="24" t="s">
        <v>2</v>
      </c>
      <c r="B6" s="140">
        <f>10077927.41*(1-13%)</f>
        <v>8767796.8466999996</v>
      </c>
      <c r="C6" s="90">
        <f>11362860*(1-13%)</f>
        <v>9885688.1999999993</v>
      </c>
      <c r="D6" s="26"/>
      <c r="E6" s="118"/>
      <c r="F6" s="89">
        <f t="shared" ref="F6:G23" si="0">B6</f>
        <v>8767796.8466999996</v>
      </c>
      <c r="G6" s="89">
        <f t="shared" si="0"/>
        <v>9885688.1999999993</v>
      </c>
      <c r="H6" s="89"/>
      <c r="I6" s="90">
        <f>F6+G6+H6</f>
        <v>18653485.046700001</v>
      </c>
      <c r="J6" s="26"/>
      <c r="K6" s="122"/>
      <c r="N6" s="160"/>
      <c r="AL6" s="202"/>
    </row>
    <row r="7" spans="1:40" x14ac:dyDescent="0.25">
      <c r="A7" s="24" t="s">
        <v>3</v>
      </c>
      <c r="B7" s="140">
        <f>2954375*(1-13%)</f>
        <v>2570306.25</v>
      </c>
      <c r="C7" s="90">
        <f>2954375*(1-13%)</f>
        <v>2570306.25</v>
      </c>
      <c r="D7" s="26"/>
      <c r="E7" s="118"/>
      <c r="F7" s="89">
        <f t="shared" si="0"/>
        <v>2570306.25</v>
      </c>
      <c r="G7" s="89">
        <f t="shared" si="0"/>
        <v>2570306.25</v>
      </c>
      <c r="H7" s="89"/>
      <c r="I7" s="90">
        <f t="shared" ref="I7:I17" si="1">F7+G7+H7</f>
        <v>5140612.5</v>
      </c>
      <c r="J7" s="26"/>
      <c r="K7" s="122"/>
      <c r="AL7" s="202"/>
    </row>
    <row r="8" spans="1:40" x14ac:dyDescent="0.25">
      <c r="A8" s="68" t="s">
        <v>1594</v>
      </c>
      <c r="B8" s="89" t="s">
        <v>1591</v>
      </c>
      <c r="C8" s="90"/>
      <c r="D8" s="26"/>
      <c r="E8" s="118"/>
      <c r="F8" s="89" t="str">
        <f t="shared" si="0"/>
        <v/>
      </c>
      <c r="G8" s="89">
        <f t="shared" si="0"/>
        <v>0</v>
      </c>
      <c r="H8" s="89"/>
      <c r="I8" s="90"/>
      <c r="J8" s="26"/>
      <c r="K8" s="122"/>
      <c r="AL8" s="202"/>
    </row>
    <row r="9" spans="1:40" x14ac:dyDescent="0.25">
      <c r="A9" s="24" t="s">
        <v>14</v>
      </c>
      <c r="B9" s="89">
        <f>'NEW VEHICLE GROUP'!B25</f>
        <v>58116.879999999976</v>
      </c>
      <c r="C9" s="90">
        <f>'NEW VEHICLE GROUP'!C25</f>
        <v>35250</v>
      </c>
      <c r="D9" s="100">
        <f>+B9-C9</f>
        <v>22866.879999999976</v>
      </c>
      <c r="E9" s="118">
        <f t="shared" ref="E9:E17" si="2">IFERROR(+D9/C9,0)</f>
        <v>0.64870581560283613</v>
      </c>
      <c r="F9" s="89">
        <f t="shared" si="0"/>
        <v>58116.879999999976</v>
      </c>
      <c r="G9" s="89">
        <f t="shared" si="0"/>
        <v>35250</v>
      </c>
      <c r="H9" s="89"/>
      <c r="I9" s="90">
        <f t="shared" si="1"/>
        <v>93366.879999999976</v>
      </c>
      <c r="J9" s="100">
        <f>+F9-H9</f>
        <v>58116.879999999976</v>
      </c>
      <c r="K9" s="122">
        <f t="shared" ref="K9:K19" si="3">IFERROR(+J9/H9,0)</f>
        <v>0</v>
      </c>
      <c r="AK9" s="202">
        <f>B9-'NEW VEHICLE GROUP'!B25</f>
        <v>0</v>
      </c>
      <c r="AL9" s="202">
        <f>HLOOKUP($I$1,'TNZ Submitted Budget'!$1:$1048576,4,FALSE)-C9</f>
        <v>0</v>
      </c>
    </row>
    <row r="10" spans="1:40" x14ac:dyDescent="0.25">
      <c r="A10" s="24" t="s">
        <v>15</v>
      </c>
      <c r="B10" s="89">
        <f>+'USED VEHICLE GROUP'!B35</f>
        <v>32585.010000000089</v>
      </c>
      <c r="C10" s="90">
        <f>+'USED VEHICLE GROUP'!C35</f>
        <v>95935.971732323305</v>
      </c>
      <c r="D10" s="100">
        <f t="shared" ref="D10:D13" si="4">+B10-C10</f>
        <v>-63350.961732323216</v>
      </c>
      <c r="E10" s="118">
        <f t="shared" si="2"/>
        <v>-0.66034627667172152</v>
      </c>
      <c r="F10" s="89">
        <f t="shared" si="0"/>
        <v>32585.010000000089</v>
      </c>
      <c r="G10" s="89">
        <f t="shared" si="0"/>
        <v>95935.971732323305</v>
      </c>
      <c r="H10" s="89"/>
      <c r="I10" s="90">
        <f t="shared" si="1"/>
        <v>128520.98173232339</v>
      </c>
      <c r="J10" s="100">
        <f>+F10-H10</f>
        <v>32585.010000000089</v>
      </c>
      <c r="K10" s="122">
        <f t="shared" si="3"/>
        <v>0</v>
      </c>
      <c r="AK10" s="202">
        <f>B10-'USED VEHICLE GROUP'!B35</f>
        <v>0</v>
      </c>
      <c r="AL10" s="202">
        <f>HLOOKUP($I$1,'TNZ Submitted Budget'!$1:$1048576,5,FALSE)-C10</f>
        <v>0</v>
      </c>
    </row>
    <row r="11" spans="1:40" x14ac:dyDescent="0.25">
      <c r="A11" s="24" t="s">
        <v>16</v>
      </c>
      <c r="B11" s="89">
        <f>+'F&amp;I GROUP'!B19</f>
        <v>82487.529999999984</v>
      </c>
      <c r="C11" s="90">
        <f>+'F&amp;I GROUP'!C19</f>
        <v>83167.533333333355</v>
      </c>
      <c r="D11" s="100">
        <f t="shared" si="4"/>
        <v>-680.00333333337039</v>
      </c>
      <c r="E11" s="118">
        <f t="shared" si="2"/>
        <v>-8.1763075815647242E-3</v>
      </c>
      <c r="F11" s="89">
        <f t="shared" si="0"/>
        <v>82487.529999999984</v>
      </c>
      <c r="G11" s="89">
        <f t="shared" si="0"/>
        <v>83167.533333333355</v>
      </c>
      <c r="H11" s="89"/>
      <c r="I11" s="90">
        <f t="shared" si="1"/>
        <v>165655.06333333335</v>
      </c>
      <c r="J11" s="100">
        <f>+F11-H11</f>
        <v>82487.529999999984</v>
      </c>
      <c r="K11" s="122">
        <f t="shared" si="3"/>
        <v>0</v>
      </c>
      <c r="AK11" s="202">
        <f>B11-'F&amp;I GROUP'!B19</f>
        <v>0</v>
      </c>
      <c r="AL11" s="202">
        <f>HLOOKUP($I$1,'TNZ Submitted Budget'!$1:$1048576,6,FALSE)-C11</f>
        <v>0</v>
      </c>
    </row>
    <row r="12" spans="1:40" x14ac:dyDescent="0.25">
      <c r="A12" s="24" t="s">
        <v>5</v>
      </c>
      <c r="B12" s="89">
        <f>+'PARTS GROUP'!B30</f>
        <v>56685.569999999876</v>
      </c>
      <c r="C12" s="90">
        <f>+'PARTS GROUP'!C30</f>
        <v>114986.33433333333</v>
      </c>
      <c r="D12" s="100">
        <f t="shared" si="4"/>
        <v>-58300.764333333456</v>
      </c>
      <c r="E12" s="118">
        <f t="shared" si="2"/>
        <v>-0.50702341866404443</v>
      </c>
      <c r="F12" s="89">
        <f t="shared" si="0"/>
        <v>56685.569999999876</v>
      </c>
      <c r="G12" s="89">
        <f t="shared" si="0"/>
        <v>114986.33433333333</v>
      </c>
      <c r="H12" s="89"/>
      <c r="I12" s="90">
        <f t="shared" si="1"/>
        <v>171671.90433333319</v>
      </c>
      <c r="J12" s="100">
        <f>+F12-H12</f>
        <v>56685.569999999876</v>
      </c>
      <c r="K12" s="122">
        <f t="shared" si="3"/>
        <v>0</v>
      </c>
      <c r="AK12" s="202">
        <f>B12-'PARTS GROUP'!B30</f>
        <v>0</v>
      </c>
      <c r="AL12" s="202">
        <f>HLOOKUP($I$1,'TNZ Submitted Budget'!$1:$1048576,7,FALSE)-C12</f>
        <v>0</v>
      </c>
    </row>
    <row r="13" spans="1:40" x14ac:dyDescent="0.25">
      <c r="A13" s="24" t="s">
        <v>17</v>
      </c>
      <c r="B13" s="89">
        <f>+'SERVICE GROUP'!B26</f>
        <v>203774.84999999998</v>
      </c>
      <c r="C13" s="90">
        <f>+'SERVICE GROUP'!C26</f>
        <v>177349.68666666656</v>
      </c>
      <c r="D13" s="100">
        <f t="shared" si="4"/>
        <v>26425.163333333418</v>
      </c>
      <c r="E13" s="118">
        <f t="shared" si="2"/>
        <v>0.14900033842743807</v>
      </c>
      <c r="F13" s="89">
        <f t="shared" si="0"/>
        <v>203774.84999999998</v>
      </c>
      <c r="G13" s="89">
        <f t="shared" si="0"/>
        <v>177349.68666666656</v>
      </c>
      <c r="H13" s="89"/>
      <c r="I13" s="90">
        <f t="shared" si="1"/>
        <v>381124.53666666651</v>
      </c>
      <c r="J13" s="100">
        <f>+F13-H13</f>
        <v>203774.84999999998</v>
      </c>
      <c r="K13" s="122">
        <f t="shared" si="3"/>
        <v>0</v>
      </c>
      <c r="AK13" s="202">
        <f>B13-'SERVICE GROUP'!B26</f>
        <v>0</v>
      </c>
      <c r="AL13" s="202">
        <f>HLOOKUP($I$1,'TNZ Submitted Budget'!$1:$1048576,8,FALSE)-C13</f>
        <v>0</v>
      </c>
    </row>
    <row r="14" spans="1:40" s="28" customFormat="1" x14ac:dyDescent="0.25">
      <c r="A14" s="27" t="s">
        <v>1595</v>
      </c>
      <c r="B14" s="91">
        <f>+SUM(B9:B13)</f>
        <v>433649.83999999991</v>
      </c>
      <c r="C14" s="92">
        <f>+SUM(C9:C13)</f>
        <v>506689.52606565657</v>
      </c>
      <c r="D14" s="101">
        <f>B14-C14</f>
        <v>-73039.686065656657</v>
      </c>
      <c r="E14" s="119">
        <f t="shared" si="2"/>
        <v>-0.14415077144537661</v>
      </c>
      <c r="F14" s="89">
        <f t="shared" si="0"/>
        <v>433649.83999999991</v>
      </c>
      <c r="G14" s="89">
        <f t="shared" si="0"/>
        <v>506689.52606565657</v>
      </c>
      <c r="H14" s="89"/>
      <c r="I14" s="92">
        <f t="shared" si="1"/>
        <v>940339.36606565653</v>
      </c>
      <c r="J14" s="101">
        <f>F14-H14</f>
        <v>433649.83999999991</v>
      </c>
      <c r="K14" s="123">
        <f t="shared" si="3"/>
        <v>0</v>
      </c>
      <c r="N14" s="50"/>
      <c r="AK14" s="203">
        <f>SUM(AK9:AK13)</f>
        <v>0</v>
      </c>
      <c r="AL14" s="203">
        <f>SUM(AL9:AL13)</f>
        <v>0</v>
      </c>
      <c r="AN14" s="307"/>
    </row>
    <row r="15" spans="1:40" x14ac:dyDescent="0.25">
      <c r="A15" s="24" t="s">
        <v>460</v>
      </c>
      <c r="B15" s="89">
        <f>'Other Income'!B18</f>
        <v>10318.439999999799</v>
      </c>
      <c r="C15" s="90">
        <f>'Other Income'!C18</f>
        <v>80550.854892891017</v>
      </c>
      <c r="D15" s="100">
        <f>B15-C15</f>
        <v>-70232.414892891218</v>
      </c>
      <c r="E15" s="118">
        <f t="shared" si="2"/>
        <v>-0.87190154575366963</v>
      </c>
      <c r="F15" s="89">
        <f t="shared" si="0"/>
        <v>10318.439999999799</v>
      </c>
      <c r="G15" s="89">
        <f t="shared" si="0"/>
        <v>80550.854892891017</v>
      </c>
      <c r="H15" s="89"/>
      <c r="I15" s="90">
        <f t="shared" si="1"/>
        <v>90869.294892890815</v>
      </c>
      <c r="J15" s="100">
        <f>F15-H15</f>
        <v>10318.439999999799</v>
      </c>
      <c r="K15" s="122">
        <f t="shared" si="3"/>
        <v>0</v>
      </c>
      <c r="N15" s="3" t="s">
        <v>1596</v>
      </c>
      <c r="AK15" s="202"/>
      <c r="AL15" s="202">
        <f>HLOOKUP($I$1,'TNZ Submitted Budget'!$1:$1048576,9,FALSE)-C15</f>
        <v>-7330.6600000000035</v>
      </c>
    </row>
    <row r="16" spans="1:40" x14ac:dyDescent="0.25">
      <c r="A16" s="24" t="s">
        <v>435</v>
      </c>
      <c r="B16" s="89">
        <f>+'ADMIN &amp; OTHER'!B6</f>
        <v>571135.65999999992</v>
      </c>
      <c r="C16" s="90">
        <f>+'ADMIN &amp; OTHER'!C6</f>
        <v>540000.00000000012</v>
      </c>
      <c r="D16" s="100">
        <f>C16-B16</f>
        <v>-31135.6599999998</v>
      </c>
      <c r="E16" s="118">
        <f t="shared" si="2"/>
        <v>-5.7658629629629247E-2</v>
      </c>
      <c r="F16" s="89">
        <f t="shared" si="0"/>
        <v>571135.65999999992</v>
      </c>
      <c r="G16" s="89">
        <f t="shared" si="0"/>
        <v>540000.00000000012</v>
      </c>
      <c r="H16" s="89"/>
      <c r="I16" s="90">
        <f t="shared" si="1"/>
        <v>1111135.6600000001</v>
      </c>
      <c r="J16" s="100">
        <f>H16-F16</f>
        <v>-571135.65999999992</v>
      </c>
      <c r="K16" s="122">
        <f t="shared" si="3"/>
        <v>0</v>
      </c>
      <c r="AK16" s="202">
        <f>B16-'ADMIN &amp; OTHER'!B6</f>
        <v>0</v>
      </c>
      <c r="AL16" s="202">
        <f>HLOOKUP($I$1,'TNZ Submitted Budget'!$1:$1048576,12,FALSE)-C16</f>
        <v>0</v>
      </c>
    </row>
    <row r="17" spans="1:38" s="28" customFormat="1" x14ac:dyDescent="0.25">
      <c r="A17" s="27" t="s">
        <v>22</v>
      </c>
      <c r="B17" s="91">
        <f>+B14+B15-B16</f>
        <v>-127167.38000000024</v>
      </c>
      <c r="C17" s="92">
        <f>+C14+C15-C16</f>
        <v>47240.380958547466</v>
      </c>
      <c r="D17" s="101">
        <f>+B17-C17</f>
        <v>-174407.7609585477</v>
      </c>
      <c r="E17" s="119">
        <f t="shared" si="2"/>
        <v>-3.6919211365290892</v>
      </c>
      <c r="F17" s="89">
        <f t="shared" si="0"/>
        <v>-127167.38000000024</v>
      </c>
      <c r="G17" s="89">
        <f t="shared" si="0"/>
        <v>47240.380958547466</v>
      </c>
      <c r="H17" s="89"/>
      <c r="I17" s="92">
        <f t="shared" si="1"/>
        <v>-79926.999041452771</v>
      </c>
      <c r="J17" s="101">
        <f>+F17-H17</f>
        <v>-127167.38000000024</v>
      </c>
      <c r="K17" s="123">
        <f t="shared" si="3"/>
        <v>0</v>
      </c>
      <c r="L17" s="272"/>
      <c r="M17" s="111"/>
      <c r="N17" s="3"/>
      <c r="AK17" s="203">
        <f>SUM(AK9:AK16)</f>
        <v>0</v>
      </c>
      <c r="AL17" s="203">
        <f>SUM(AL9:AL16)</f>
        <v>-7330.6600000000035</v>
      </c>
    </row>
    <row r="18" spans="1:38" x14ac:dyDescent="0.25">
      <c r="A18" s="24" t="s">
        <v>1597</v>
      </c>
      <c r="B18" s="89">
        <f>+B17/B26</f>
        <v>-1345.6865608465635</v>
      </c>
      <c r="C18" s="90">
        <f>+C17/C26</f>
        <v>499.89821120156051</v>
      </c>
      <c r="D18" s="100">
        <f>+B18-C18</f>
        <v>-1845.584772048124</v>
      </c>
      <c r="E18" s="118">
        <f t="shared" ref="E18" si="5">IFERROR(+D18/C18,0)</f>
        <v>-3.6919211365290892</v>
      </c>
      <c r="F18" s="89">
        <f t="shared" si="0"/>
        <v>-1345.6865608465635</v>
      </c>
      <c r="G18" s="89">
        <f t="shared" si="0"/>
        <v>499.89821120156051</v>
      </c>
      <c r="H18" s="89"/>
      <c r="I18" s="90">
        <f>+I17/I26</f>
        <v>-845.78834964500288</v>
      </c>
      <c r="J18" s="100">
        <f>+F18-H18</f>
        <v>-1345.6865608465635</v>
      </c>
      <c r="K18" s="122">
        <f t="shared" si="3"/>
        <v>0</v>
      </c>
      <c r="AL18" s="202"/>
    </row>
    <row r="19" spans="1:38" x14ac:dyDescent="0.25">
      <c r="A19" s="24" t="s">
        <v>1598</v>
      </c>
      <c r="B19" s="51">
        <f>IFERROR(+'ADMIN &amp; OTHER'!U11/B$6,0)</f>
        <v>0.15216084990634002</v>
      </c>
      <c r="C19" s="137">
        <f>IFERROR(+'ADMIN &amp; OTHER'!V11/C$6,0)</f>
        <v>0.1429007216490783</v>
      </c>
      <c r="D19" s="118">
        <f>+B19-C19</f>
        <v>9.2601282572617183E-3</v>
      </c>
      <c r="E19" s="118">
        <f>IFERROR(+D19/C19,0)</f>
        <v>6.480113011606646E-2</v>
      </c>
      <c r="F19" s="89">
        <f t="shared" si="0"/>
        <v>0.15216084990634002</v>
      </c>
      <c r="G19" s="89">
        <f t="shared" si="0"/>
        <v>0.1429007216490783</v>
      </c>
      <c r="H19" s="53"/>
      <c r="I19" s="137">
        <f>AVERAGE(F19:H19)</f>
        <v>0.14753078577770917</v>
      </c>
      <c r="J19" s="118">
        <f>+F19-H19</f>
        <v>0.15216084990634002</v>
      </c>
      <c r="K19" s="118">
        <f t="shared" si="3"/>
        <v>0</v>
      </c>
      <c r="AL19" s="202"/>
    </row>
    <row r="20" spans="1:38" ht="14.45" customHeight="1" x14ac:dyDescent="0.25">
      <c r="A20" s="24" t="s">
        <v>1599</v>
      </c>
      <c r="B20" s="139"/>
      <c r="C20" s="137"/>
      <c r="D20" s="118"/>
      <c r="E20" s="118"/>
      <c r="F20" s="89">
        <f t="shared" si="0"/>
        <v>0</v>
      </c>
      <c r="G20" s="89">
        <f t="shared" si="0"/>
        <v>0</v>
      </c>
      <c r="H20" s="53"/>
      <c r="I20" s="137"/>
      <c r="J20" s="118"/>
      <c r="K20" s="118"/>
      <c r="AL20" s="202"/>
    </row>
    <row r="21" spans="1:38" x14ac:dyDescent="0.25">
      <c r="A21" s="24" t="s">
        <v>1600</v>
      </c>
      <c r="B21" s="51">
        <f>IFERROR(+B14/B6,0)</f>
        <v>4.9459385017938215E-2</v>
      </c>
      <c r="C21" s="137">
        <f>IFERROR(+C14/C6,0)</f>
        <v>5.1254856092432348E-2</v>
      </c>
      <c r="D21" s="118">
        <f>+B21-C21</f>
        <v>-1.795471074494133E-3</v>
      </c>
      <c r="E21" s="118">
        <f t="shared" ref="E21:E23" si="6">IFERROR(+D21/C21,0)</f>
        <v>-3.5030262718057453E-2</v>
      </c>
      <c r="F21" s="89">
        <f t="shared" si="0"/>
        <v>4.9459385017938215E-2</v>
      </c>
      <c r="G21" s="89">
        <f t="shared" si="0"/>
        <v>5.1254856092432348E-2</v>
      </c>
      <c r="H21" s="53"/>
      <c r="I21" s="137">
        <f>IFERROR(+I14/I6,0)</f>
        <v>5.041092126814193E-2</v>
      </c>
      <c r="J21" s="118">
        <f>+F21-H21</f>
        <v>4.9459385017938215E-2</v>
      </c>
      <c r="K21" s="118">
        <f>IFERROR(+J21/H21,0)</f>
        <v>0</v>
      </c>
      <c r="AL21" s="202"/>
    </row>
    <row r="22" spans="1:38" ht="14.1" customHeight="1" x14ac:dyDescent="0.25">
      <c r="A22" s="24" t="s">
        <v>1601</v>
      </c>
      <c r="B22" s="51">
        <f>IFERROR(+B16/SUM(B6:B7),0)</f>
        <v>5.0373122834474073E-2</v>
      </c>
      <c r="C22" s="137">
        <f>IFERROR(+C16/SUM(C6:C7),0)</f>
        <v>4.3352620472627147E-2</v>
      </c>
      <c r="D22" s="118">
        <f>+B22-C22</f>
        <v>7.0205023618469253E-3</v>
      </c>
      <c r="E22" s="118">
        <f t="shared" si="6"/>
        <v>0.16193951565810588</v>
      </c>
      <c r="F22" s="89">
        <f t="shared" si="0"/>
        <v>5.0373122834474073E-2</v>
      </c>
      <c r="G22" s="89">
        <f t="shared" si="0"/>
        <v>4.3352620472627147E-2</v>
      </c>
      <c r="H22" s="53"/>
      <c r="I22" s="137">
        <f>IFERROR(+I16/SUM(I6:I7),0)</f>
        <v>4.6697953465946997E-2</v>
      </c>
      <c r="J22" s="118">
        <f>+F22-H22</f>
        <v>5.0373122834474073E-2</v>
      </c>
      <c r="K22" s="118">
        <f>IFERROR(+J22/H22,0)</f>
        <v>0</v>
      </c>
      <c r="AL22" s="202"/>
    </row>
    <row r="23" spans="1:38" s="28" customFormat="1" ht="15.75" thickBot="1" x14ac:dyDescent="0.3">
      <c r="A23" s="29" t="s">
        <v>1602</v>
      </c>
      <c r="B23" s="136">
        <f>IFERROR(B17/SUM(B6:B7),0)</f>
        <v>-1.1215930823297313E-2</v>
      </c>
      <c r="C23" s="138">
        <f>IFERROR(C17/C6,0)</f>
        <v>4.778663862627942E-3</v>
      </c>
      <c r="D23" s="120">
        <f>+B23-C23</f>
        <v>-1.5994594685925255E-2</v>
      </c>
      <c r="E23" s="120">
        <f t="shared" si="6"/>
        <v>-3.3470851153630439</v>
      </c>
      <c r="F23" s="136">
        <f t="shared" si="0"/>
        <v>-1.1215930823297313E-2</v>
      </c>
      <c r="G23" s="136">
        <f t="shared" si="0"/>
        <v>4.778663862627942E-3</v>
      </c>
      <c r="H23" s="136"/>
      <c r="I23" s="138">
        <f>IFERROR(I17/SUM(I6:I7),0)</f>
        <v>-3.3591103375356984E-3</v>
      </c>
      <c r="J23" s="120">
        <f>+F23-H23</f>
        <v>-1.1215930823297313E-2</v>
      </c>
      <c r="K23" s="120">
        <f>IFERROR(+J23/H23,0)</f>
        <v>0</v>
      </c>
      <c r="N23" s="3"/>
      <c r="AL23" s="203"/>
    </row>
    <row r="24" spans="1:38" ht="0" hidden="1" customHeight="1" x14ac:dyDescent="0.25">
      <c r="E24" s="121"/>
      <c r="K24" s="121"/>
    </row>
    <row r="25" spans="1:38" ht="15.75" thickTop="1" x14ac:dyDescent="0.25">
      <c r="E25" s="121"/>
      <c r="K25" s="121"/>
      <c r="N25" s="50"/>
    </row>
    <row r="26" spans="1:38" x14ac:dyDescent="0.25">
      <c r="A26" s="24" t="s">
        <v>1603</v>
      </c>
      <c r="B26" s="30">
        <f>+SUMIF('TUNZ Extracted TB'!M:M,"900-9510M#",'TUNZ Extracted TB'!H:H)</f>
        <v>94.5</v>
      </c>
      <c r="C26" s="12">
        <f>+B26</f>
        <v>94.5</v>
      </c>
      <c r="D26" s="149"/>
      <c r="E26" s="149"/>
      <c r="F26" s="12">
        <f>B26</f>
        <v>94.5</v>
      </c>
      <c r="G26" s="12"/>
      <c r="H26" s="12"/>
      <c r="I26" s="12">
        <f>AVERAGE(F26:H26)</f>
        <v>94.5</v>
      </c>
      <c r="K26" s="121"/>
    </row>
    <row r="27" spans="1:38" x14ac:dyDescent="0.25">
      <c r="E27" s="121"/>
      <c r="K27" s="121"/>
    </row>
    <row r="28" spans="1:38" x14ac:dyDescent="0.25">
      <c r="B28" s="180"/>
      <c r="C28" s="56"/>
      <c r="E28" s="121"/>
      <c r="F28" s="56"/>
      <c r="G28" s="56"/>
      <c r="H28" s="56"/>
      <c r="I28" s="56"/>
      <c r="K28" s="121"/>
    </row>
    <row r="29" spans="1:38" x14ac:dyDescent="0.25">
      <c r="B29" s="195"/>
      <c r="C29" s="195"/>
      <c r="E29" s="121"/>
      <c r="F29" s="56"/>
      <c r="G29" s="56"/>
      <c r="H29" s="56"/>
      <c r="I29" s="56"/>
      <c r="K29" s="121"/>
    </row>
    <row r="30" spans="1:38" x14ac:dyDescent="0.25">
      <c r="B30" s="195"/>
      <c r="C30" s="195"/>
      <c r="E30" s="121"/>
      <c r="K30" s="121"/>
    </row>
    <row r="31" spans="1:38" x14ac:dyDescent="0.25">
      <c r="B31" s="195"/>
      <c r="E31" s="121"/>
      <c r="K31" s="121"/>
    </row>
    <row r="32" spans="1:38" x14ac:dyDescent="0.25">
      <c r="E32" s="121"/>
      <c r="K32" s="121"/>
    </row>
    <row r="33" spans="2:5" x14ac:dyDescent="0.25">
      <c r="B33" s="195"/>
      <c r="E33" s="121"/>
    </row>
    <row r="34" spans="2:5" x14ac:dyDescent="0.25">
      <c r="E34" s="121"/>
    </row>
  </sheetData>
  <mergeCells count="5">
    <mergeCell ref="J4:K4"/>
    <mergeCell ref="A1:D1"/>
    <mergeCell ref="B3:E3"/>
    <mergeCell ref="F3:K3"/>
    <mergeCell ref="B4:E4"/>
  </mergeCells>
  <hyperlinks>
    <hyperlink ref="A15" location="'Other Income'!A1" display="Other Income" xr:uid="{26875DAA-5345-42AD-B841-B5BB5D4A7E3A}"/>
  </hyperlinks>
  <pageMargins left="0.118110236220472" right="0.118110236220472" top="0.31496062992126" bottom="0.31496062992126" header="0.31496062992126" footer="0.31496062992126"/>
  <pageSetup paperSize="9" orientation="landscape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8C892-8696-4BF5-B244-93F762466601}">
  <sheetPr>
    <tabColor theme="9" tint="0.79998168889431442"/>
  </sheetPr>
  <dimension ref="A1:AM35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1" customWidth="1"/>
    <col min="2" max="2" width="11.85546875" style="161" bestFit="1" customWidth="1"/>
    <col min="3" max="3" width="10.85546875" style="161" bestFit="1" customWidth="1"/>
    <col min="4" max="4" width="9.7109375" style="161" customWidth="1"/>
    <col min="5" max="5" width="9.28515625" style="161" bestFit="1" customWidth="1"/>
    <col min="6" max="6" width="9.140625" style="161" bestFit="1" customWidth="1"/>
    <col min="7" max="7" width="9.140625" style="161" customWidth="1"/>
    <col min="8" max="8" width="10.5703125" style="161" customWidth="1"/>
    <col min="9" max="9" width="10.28515625" style="161" bestFit="1" customWidth="1"/>
    <col min="10" max="10" width="9" style="161" hidden="1" customWidth="1"/>
    <col min="11" max="11" width="9.28515625" style="161" hidden="1" customWidth="1"/>
    <col min="12" max="13" width="9.140625" style="161"/>
    <col min="14" max="14" width="21.5703125" style="162" hidden="1" customWidth="1" outlineLevel="1"/>
    <col min="15" max="15" width="8.5703125" style="162" hidden="1" customWidth="1" outlineLevel="1"/>
    <col min="16" max="16" width="10.7109375" style="162" hidden="1" customWidth="1" outlineLevel="1"/>
    <col min="17" max="18" width="11.7109375" style="162" hidden="1" customWidth="1" outlineLevel="1"/>
    <col min="19" max="36" width="9.140625" style="161" hidden="1" customWidth="1" outlineLevel="1"/>
    <col min="37" max="37" width="9.140625" style="161" collapsed="1"/>
    <col min="38" max="38" width="17.28515625" style="16" bestFit="1" customWidth="1"/>
    <col min="39" max="39" width="9.28515625" style="201" bestFit="1" customWidth="1"/>
    <col min="40" max="16384" width="9.140625" style="161"/>
  </cols>
  <sheetData>
    <row r="1" spans="1:39" ht="15" customHeight="1" x14ac:dyDescent="0.25">
      <c r="A1" s="334" t="s">
        <v>1604</v>
      </c>
      <c r="B1" s="335"/>
      <c r="C1" s="335"/>
      <c r="D1" s="335"/>
      <c r="E1" s="1"/>
      <c r="F1" s="2" t="s">
        <v>1605</v>
      </c>
      <c r="G1" s="2"/>
      <c r="H1" s="13"/>
      <c r="I1" s="237">
        <f>'Manual Page'!A14</f>
        <v>45292</v>
      </c>
      <c r="J1" s="336">
        <f>OVERALL!I1</f>
        <v>45292</v>
      </c>
      <c r="K1" s="337"/>
      <c r="AL1" s="201" t="s">
        <v>1606</v>
      </c>
    </row>
    <row r="2" spans="1:39" ht="15.75" thickBot="1" x14ac:dyDescent="0.3"/>
    <row r="3" spans="1:39" ht="15.75" thickTop="1" x14ac:dyDescent="0.25">
      <c r="A3" s="4" t="s">
        <v>1591</v>
      </c>
      <c r="B3" s="338" t="s">
        <v>155</v>
      </c>
      <c r="C3" s="339"/>
      <c r="D3" s="339"/>
      <c r="E3" s="339"/>
      <c r="F3" s="338" t="s">
        <v>155</v>
      </c>
      <c r="G3" s="338"/>
      <c r="H3" s="339"/>
      <c r="I3" s="339"/>
      <c r="J3" s="339"/>
      <c r="K3" s="340"/>
    </row>
    <row r="4" spans="1:39" x14ac:dyDescent="0.25">
      <c r="A4" s="5" t="s">
        <v>1591</v>
      </c>
      <c r="B4" s="6" t="s">
        <v>1591</v>
      </c>
      <c r="C4" s="6"/>
      <c r="D4" s="341"/>
      <c r="E4" s="342"/>
      <c r="F4" s="6" t="s">
        <v>1591</v>
      </c>
      <c r="G4" s="6"/>
      <c r="H4" s="6"/>
      <c r="I4" s="6"/>
      <c r="J4" s="341" t="s">
        <v>1608</v>
      </c>
      <c r="K4" s="343"/>
    </row>
    <row r="5" spans="1:39" x14ac:dyDescent="0.25">
      <c r="A5" s="5" t="s">
        <v>1615</v>
      </c>
      <c r="B5" s="7" t="s">
        <v>12</v>
      </c>
      <c r="C5" s="7" t="s">
        <v>1592</v>
      </c>
      <c r="D5" s="8" t="s">
        <v>1609</v>
      </c>
      <c r="E5" s="8" t="s">
        <v>1610</v>
      </c>
      <c r="F5" s="259" t="str">
        <f>OVERALL!F5</f>
        <v>0124</v>
      </c>
      <c r="G5" s="259" t="str">
        <f>OVERALL!G5</f>
        <v>0224</v>
      </c>
      <c r="H5" s="259" t="str">
        <f>OVERALL!H5</f>
        <v>0324</v>
      </c>
      <c r="I5" s="7" t="str">
        <f>OVERALL!I5</f>
        <v>Q124</v>
      </c>
      <c r="J5" s="8" t="s">
        <v>1609</v>
      </c>
      <c r="K5" s="9" t="s">
        <v>1610</v>
      </c>
      <c r="AK5" s="196"/>
      <c r="AL5" s="201" t="s">
        <v>12</v>
      </c>
      <c r="AM5" s="201" t="s">
        <v>1592</v>
      </c>
    </row>
    <row r="6" spans="1:39" s="163" customFormat="1" x14ac:dyDescent="0.25">
      <c r="A6" s="55" t="s">
        <v>1616</v>
      </c>
      <c r="B6" s="152">
        <f>'NS NEW VEHICLE'!B6+'NW NEW VEHICLE'!B6</f>
        <v>124</v>
      </c>
      <c r="C6" s="153">
        <f>HLOOKUP(J1,'Input Sheet'!1:1048576,2,FALSE)+HLOOKUP(J1,'Input Sheet'!1:1048576,3,FALSE)</f>
        <v>125</v>
      </c>
      <c r="D6" s="154">
        <f>+B6-C6</f>
        <v>-1</v>
      </c>
      <c r="E6" s="113">
        <f>IFERROR(+D6/C6,0)</f>
        <v>-8.0000000000000002E-3</v>
      </c>
      <c r="F6" s="152">
        <v>124</v>
      </c>
      <c r="G6" s="152"/>
      <c r="H6" s="152"/>
      <c r="I6" s="153">
        <f>SUM(F6:H6)</f>
        <v>124</v>
      </c>
      <c r="J6" s="154">
        <f>+F6-H6</f>
        <v>124</v>
      </c>
      <c r="K6" s="116">
        <f>IFERROR(+J6/H6,0)</f>
        <v>0</v>
      </c>
      <c r="N6" s="164"/>
      <c r="O6" s="164"/>
      <c r="P6" s="164"/>
      <c r="Q6" s="164"/>
      <c r="R6" s="164"/>
      <c r="AK6" s="196"/>
      <c r="AL6" s="16"/>
      <c r="AM6" s="202"/>
    </row>
    <row r="7" spans="1:39" x14ac:dyDescent="0.25">
      <c r="A7" s="10" t="s">
        <v>1617</v>
      </c>
      <c r="B7" s="141">
        <f>+B6/B27</f>
        <v>17.714285714285715</v>
      </c>
      <c r="C7" s="142">
        <f>+C6/C27</f>
        <v>20.833333333333332</v>
      </c>
      <c r="D7" s="143">
        <f>+B7-C7</f>
        <v>-3.1190476190476168</v>
      </c>
      <c r="E7" s="112">
        <f t="shared" ref="E7:E25" si="0">IFERROR(+D7/C7,0)</f>
        <v>-0.14971428571428561</v>
      </c>
      <c r="F7" s="141">
        <v>17.714285714285715</v>
      </c>
      <c r="G7" s="141"/>
      <c r="H7" s="141"/>
      <c r="I7" s="142">
        <f>+I6/I27</f>
        <v>17.714285714285715</v>
      </c>
      <c r="J7" s="143">
        <f>+F7-H7</f>
        <v>17.714285714285715</v>
      </c>
      <c r="K7" s="115">
        <f t="shared" ref="K7:K25" si="1">IFERROR(+J7/H7,0)</f>
        <v>0</v>
      </c>
      <c r="AK7" s="196"/>
      <c r="AM7" s="202"/>
    </row>
    <row r="8" spans="1:39" x14ac:dyDescent="0.25">
      <c r="A8" s="10" t="s">
        <v>1004</v>
      </c>
      <c r="B8" s="86">
        <f>('NS NEW VEHICLE'!B8*'NS NEW VEHICLE'!$B$6+'NW NEW VEHICLE'!B8*'NW NEW VEHICLE'!$B$6)/('NS NEW VEHICLE'!$B$6+'NW NEW VEHICLE'!$B$6)</f>
        <v>1978.0699193548385</v>
      </c>
      <c r="C8" s="83">
        <f>('NS NEW VEHICLE'!C8*'NS NEW VEHICLE'!$C$6+'NW NEW VEHICLE'!C8*'NW NEW VEHICLE'!$C$6)/('NS NEW VEHICLE'!$C$6+'NW NEW VEHICLE'!$C$6)</f>
        <v>1950</v>
      </c>
      <c r="D8" s="102">
        <f>++B8-C8</f>
        <v>28.069919354838476</v>
      </c>
      <c r="E8" s="112">
        <f t="shared" si="0"/>
        <v>1.4394830438378706E-2</v>
      </c>
      <c r="F8" s="86">
        <v>1978.0699193548385</v>
      </c>
      <c r="G8" s="86"/>
      <c r="H8" s="86"/>
      <c r="I8" s="83">
        <f>AVERAGE(F8:H8)</f>
        <v>1978.0699193548385</v>
      </c>
      <c r="J8" s="102">
        <f>++F8-H8</f>
        <v>1978.0699193548385</v>
      </c>
      <c r="K8" s="115">
        <f t="shared" si="1"/>
        <v>0</v>
      </c>
      <c r="N8" s="162" t="s">
        <v>1004</v>
      </c>
      <c r="AK8" s="196"/>
      <c r="AM8" s="202"/>
    </row>
    <row r="9" spans="1:39" x14ac:dyDescent="0.25">
      <c r="A9" s="10" t="s">
        <v>1036</v>
      </c>
      <c r="B9" s="86">
        <f>('NS NEW VEHICLE'!B9*'NS NEW VEHICLE'!$B$6+'NW NEW VEHICLE'!B9*'NW NEW VEHICLE'!$B$6)/('NS NEW VEHICLE'!$B$6+'NW NEW VEHICLE'!$B$6)</f>
        <v>0</v>
      </c>
      <c r="C9" s="83">
        <f>('NS NEW VEHICLE'!C9*'NS NEW VEHICLE'!$C$6+'NW NEW VEHICLE'!C9*'NW NEW VEHICLE'!$C$6)/('NS NEW VEHICLE'!$C$6+'NW NEW VEHICLE'!$C$6)</f>
        <v>0</v>
      </c>
      <c r="D9" s="102">
        <f>++B9-C9</f>
        <v>0</v>
      </c>
      <c r="E9" s="112">
        <f t="shared" si="0"/>
        <v>0</v>
      </c>
      <c r="F9" s="86">
        <v>0</v>
      </c>
      <c r="G9" s="86"/>
      <c r="H9" s="86"/>
      <c r="I9" s="83">
        <f>F9</f>
        <v>0</v>
      </c>
      <c r="J9" s="102">
        <f>++F9-H9</f>
        <v>0</v>
      </c>
      <c r="K9" s="115">
        <f t="shared" si="1"/>
        <v>0</v>
      </c>
      <c r="N9" s="162" t="s">
        <v>1036</v>
      </c>
      <c r="AK9" s="196"/>
      <c r="AL9" s="202"/>
      <c r="AM9" s="202"/>
    </row>
    <row r="10" spans="1:39" x14ac:dyDescent="0.25">
      <c r="A10" s="10" t="s">
        <v>1026</v>
      </c>
      <c r="B10" s="86">
        <f>('NS NEW VEHICLE'!B10*'NS NEW VEHICLE'!$B$6+'NW NEW VEHICLE'!B10*'NW NEW VEHICLE'!$B$6)/('NS NEW VEHICLE'!$B$6+'NW NEW VEHICLE'!$B$6)</f>
        <v>10.43846774193552</v>
      </c>
      <c r="C10" s="83">
        <f>('NS NEW VEHICLE'!C10*'NS NEW VEHICLE'!$C$6+'NW NEW VEHICLE'!C10*'NW NEW VEHICLE'!$C$6)/('NS NEW VEHICLE'!$C$6+'NW NEW VEHICLE'!$C$6)</f>
        <v>0</v>
      </c>
      <c r="D10" s="102">
        <f>++B10-C10</f>
        <v>10.43846774193552</v>
      </c>
      <c r="E10" s="112">
        <f t="shared" si="0"/>
        <v>0</v>
      </c>
      <c r="F10" s="86">
        <v>10.43846774193552</v>
      </c>
      <c r="G10" s="86"/>
      <c r="H10" s="86"/>
      <c r="I10" s="83">
        <f>AVERAGE(F10:H10)</f>
        <v>10.43846774193552</v>
      </c>
      <c r="J10" s="102">
        <f>++F10-H10</f>
        <v>10.43846774193552</v>
      </c>
      <c r="K10" s="115">
        <f t="shared" si="1"/>
        <v>0</v>
      </c>
      <c r="N10" s="162" t="s">
        <v>1026</v>
      </c>
      <c r="AK10" s="196"/>
      <c r="AL10" s="202"/>
      <c r="AM10" s="202"/>
    </row>
    <row r="11" spans="1:39" x14ac:dyDescent="0.25">
      <c r="A11" s="10" t="s">
        <v>1618</v>
      </c>
      <c r="B11" s="86">
        <f>+SUM(B8:B10)</f>
        <v>1988.508387096774</v>
      </c>
      <c r="C11" s="83">
        <f>+SUM(C8:C10)</f>
        <v>1950</v>
      </c>
      <c r="D11" s="102">
        <f>++B11-C11</f>
        <v>38.508387096773959</v>
      </c>
      <c r="E11" s="112">
        <f t="shared" si="0"/>
        <v>1.974789081885844E-2</v>
      </c>
      <c r="F11" s="86">
        <v>1988.508387096774</v>
      </c>
      <c r="G11" s="86"/>
      <c r="H11" s="86"/>
      <c r="I11" s="83">
        <f>AVERAGE(F11:H11)</f>
        <v>1988.508387096774</v>
      </c>
      <c r="J11" s="102">
        <f>++F11-H11</f>
        <v>1988.508387096774</v>
      </c>
      <c r="K11" s="115">
        <f t="shared" si="1"/>
        <v>0</v>
      </c>
      <c r="AK11" s="196"/>
      <c r="AL11" s="202"/>
      <c r="AM11" s="202"/>
    </row>
    <row r="12" spans="1:39" x14ac:dyDescent="0.25">
      <c r="A12" s="55" t="s">
        <v>1619</v>
      </c>
      <c r="B12" s="87">
        <f>B11*B6</f>
        <v>246575.03999999998</v>
      </c>
      <c r="C12" s="84">
        <f>C11*C6</f>
        <v>243750</v>
      </c>
      <c r="D12" s="103">
        <f>++B12-C12</f>
        <v>2825.039999999979</v>
      </c>
      <c r="E12" s="113">
        <f t="shared" si="0"/>
        <v>1.1589907692307607E-2</v>
      </c>
      <c r="F12" s="87">
        <v>246575.03999999998</v>
      </c>
      <c r="G12" s="87"/>
      <c r="H12" s="87"/>
      <c r="I12" s="84">
        <f>SUM(F12:H12)</f>
        <v>246575.03999999998</v>
      </c>
      <c r="J12" s="103">
        <f>++F12-H12</f>
        <v>246575.03999999998</v>
      </c>
      <c r="K12" s="116">
        <f t="shared" si="1"/>
        <v>0</v>
      </c>
      <c r="N12" s="162" t="s">
        <v>1026</v>
      </c>
      <c r="O12" s="162" t="s">
        <v>1036</v>
      </c>
      <c r="P12" s="162" t="s">
        <v>1004</v>
      </c>
      <c r="AK12" s="196"/>
      <c r="AL12" s="202"/>
      <c r="AM12" s="202"/>
    </row>
    <row r="13" spans="1:39" x14ac:dyDescent="0.25">
      <c r="A13" s="10" t="s">
        <v>1267</v>
      </c>
      <c r="B13" s="86">
        <f>('NS NEW VEHICLE'!B13*'NS NEW VEHICLE'!$B$6+'NW NEW VEHICLE'!B13*'NW NEW VEHICLE'!$B$6)/('NS NEW VEHICLE'!$B$6+'NW NEW VEHICLE'!$B$6)</f>
        <v>416.29701612903227</v>
      </c>
      <c r="C13" s="83">
        <f>('NS NEW VEHICLE'!C13*'NS NEW VEHICLE'!$C$6+'NW NEW VEHICLE'!C13*'NW NEW VEHICLE'!$C$6)/('NS NEW VEHICLE'!$C$6+'NW NEW VEHICLE'!$C$6)</f>
        <v>600</v>
      </c>
      <c r="D13" s="102">
        <f>+C13-B13</f>
        <v>183.70298387096773</v>
      </c>
      <c r="E13" s="112">
        <f t="shared" si="0"/>
        <v>0.30617163978494621</v>
      </c>
      <c r="F13" s="86">
        <v>416.29701612903227</v>
      </c>
      <c r="G13" s="86"/>
      <c r="H13" s="86"/>
      <c r="I13" s="83">
        <f>AVERAGE(F13:H13)</f>
        <v>416.29701612903227</v>
      </c>
      <c r="J13" s="102">
        <f t="shared" ref="J13:J21" si="2">+H13-F13</f>
        <v>-416.29701612903227</v>
      </c>
      <c r="K13" s="115">
        <f t="shared" si="1"/>
        <v>0</v>
      </c>
      <c r="M13" s="179"/>
      <c r="N13" s="162" t="s">
        <v>1267</v>
      </c>
      <c r="AK13" s="196"/>
      <c r="AL13" s="202"/>
      <c r="AM13" s="202"/>
    </row>
    <row r="14" spans="1:39" x14ac:dyDescent="0.25">
      <c r="A14" s="10" t="s">
        <v>1279</v>
      </c>
      <c r="B14" s="86">
        <f>('NS NEW VEHICLE'!B14*'NS NEW VEHICLE'!$B$6+'NW NEW VEHICLE'!B14*'NW NEW VEHICLE'!$B$6)/('NS NEW VEHICLE'!$B$6+'NW NEW VEHICLE'!$B$6)</f>
        <v>29.493306451612902</v>
      </c>
      <c r="C14" s="83">
        <f>('NS NEW VEHICLE'!C14*'NS NEW VEHICLE'!$C$6+'NW NEW VEHICLE'!C14*'NW NEW VEHICLE'!$C$6)/('NS NEW VEHICLE'!$C$6+'NW NEW VEHICLE'!$C$6)</f>
        <v>0</v>
      </c>
      <c r="D14" s="102">
        <f t="shared" ref="D14:D21" si="3">+C14-B14</f>
        <v>-29.493306451612902</v>
      </c>
      <c r="E14" s="112">
        <f>IFERROR(+D14/C14,0)</f>
        <v>0</v>
      </c>
      <c r="F14" s="86">
        <v>29.493306451612902</v>
      </c>
      <c r="G14" s="86"/>
      <c r="H14" s="86"/>
      <c r="I14" s="83">
        <f>AVERAGE(F14:H14)</f>
        <v>29.493306451612902</v>
      </c>
      <c r="J14" s="102">
        <f t="shared" si="2"/>
        <v>-29.493306451612902</v>
      </c>
      <c r="K14" s="115">
        <f t="shared" si="1"/>
        <v>0</v>
      </c>
      <c r="M14" s="179"/>
      <c r="N14" s="162" t="s">
        <v>1279</v>
      </c>
      <c r="AK14" s="196"/>
      <c r="AL14" s="203"/>
      <c r="AM14" s="203"/>
    </row>
    <row r="15" spans="1:39" x14ac:dyDescent="0.25">
      <c r="A15" s="55" t="s">
        <v>1620</v>
      </c>
      <c r="B15" s="87">
        <f>+SUM(B13:B14)</f>
        <v>445.79032258064518</v>
      </c>
      <c r="C15" s="84">
        <f>+SUM(C13:C14)</f>
        <v>600</v>
      </c>
      <c r="D15" s="103">
        <f t="shared" si="3"/>
        <v>154.20967741935482</v>
      </c>
      <c r="E15" s="113">
        <f t="shared" si="0"/>
        <v>0.25701612903225801</v>
      </c>
      <c r="F15" s="87">
        <v>445.79032258064518</v>
      </c>
      <c r="G15" s="87"/>
      <c r="H15" s="87"/>
      <c r="I15" s="84">
        <f>+SUM(I13:I14)</f>
        <v>445.79032258064518</v>
      </c>
      <c r="J15" s="103">
        <f t="shared" si="2"/>
        <v>-445.79032258064518</v>
      </c>
      <c r="K15" s="116">
        <f t="shared" si="1"/>
        <v>0</v>
      </c>
      <c r="M15" s="179"/>
      <c r="AK15" s="196"/>
      <c r="AL15" s="202"/>
      <c r="AM15" s="202"/>
    </row>
    <row r="16" spans="1:39" x14ac:dyDescent="0.25">
      <c r="A16" s="10" t="s">
        <v>1244</v>
      </c>
      <c r="B16" s="86">
        <f>('NS NEW VEHICLE'!B16*'NS NEW VEHICLE'!$B$6+'NW NEW VEHICLE'!B16*'NW NEW VEHICLE'!$B$6)/('NS NEW VEHICLE'!$B$6+'NW NEW VEHICLE'!$B$6)</f>
        <v>584.15040322580637</v>
      </c>
      <c r="C16" s="83">
        <f>('NS NEW VEHICLE'!C16*'NS NEW VEHICLE'!$C$6+'NW NEW VEHICLE'!C16*'NW NEW VEHICLE'!$C$6)/('NS NEW VEHICLE'!$C$6+'NW NEW VEHICLE'!$C$6)</f>
        <v>0</v>
      </c>
      <c r="D16" s="102">
        <f t="shared" si="3"/>
        <v>-584.15040322580637</v>
      </c>
      <c r="E16" s="112">
        <f t="shared" si="0"/>
        <v>0</v>
      </c>
      <c r="F16" s="86">
        <v>584.15040322580637</v>
      </c>
      <c r="G16" s="86"/>
      <c r="H16" s="86"/>
      <c r="I16" s="83">
        <f>AVERAGE(F16:H16)</f>
        <v>584.15040322580637</v>
      </c>
      <c r="J16" s="102">
        <f t="shared" si="2"/>
        <v>-584.15040322580637</v>
      </c>
      <c r="K16" s="115">
        <f t="shared" si="1"/>
        <v>0</v>
      </c>
      <c r="M16" s="179"/>
      <c r="N16" s="162" t="s">
        <v>1244</v>
      </c>
      <c r="AK16" s="196"/>
      <c r="AL16" s="202"/>
      <c r="AM16" s="202"/>
    </row>
    <row r="17" spans="1:39" x14ac:dyDescent="0.25">
      <c r="A17" s="10" t="s">
        <v>1298</v>
      </c>
      <c r="B17" s="86">
        <f>('NS NEW VEHICLE'!B17*'NS NEW VEHICLE'!$B$6+'NW NEW VEHICLE'!B17*'NW NEW VEHICLE'!$B$6)/('NS NEW VEHICLE'!$B$6+'NW NEW VEHICLE'!$B$6)</f>
        <v>154.66225806451615</v>
      </c>
      <c r="C17" s="83">
        <f>('NS NEW VEHICLE'!C17*'NS NEW VEHICLE'!$C$6+'NW NEW VEHICLE'!C17*'NW NEW VEHICLE'!$C$6)/('NS NEW VEHICLE'!$C$6+'NW NEW VEHICLE'!$C$6)</f>
        <v>1100</v>
      </c>
      <c r="D17" s="102">
        <f t="shared" si="3"/>
        <v>945.33774193548379</v>
      </c>
      <c r="E17" s="112">
        <f t="shared" si="0"/>
        <v>0.85939794721407614</v>
      </c>
      <c r="F17" s="86">
        <v>152.21838709677419</v>
      </c>
      <c r="G17" s="86"/>
      <c r="H17" s="86"/>
      <c r="I17" s="83">
        <f>AVERAGE(F17:H17)</f>
        <v>152.21838709677419</v>
      </c>
      <c r="J17" s="102">
        <f t="shared" si="2"/>
        <v>-152.21838709677419</v>
      </c>
      <c r="K17" s="115">
        <f t="shared" si="1"/>
        <v>0</v>
      </c>
      <c r="M17" s="179"/>
      <c r="N17" s="162" t="s">
        <v>1298</v>
      </c>
      <c r="AK17" s="196"/>
      <c r="AL17" s="203"/>
      <c r="AM17" s="203"/>
    </row>
    <row r="18" spans="1:39" x14ac:dyDescent="0.25">
      <c r="A18" s="10" t="s">
        <v>1314</v>
      </c>
      <c r="B18" s="86">
        <f>('NS NEW VEHICLE'!B18*'NS NEW VEHICLE'!$B$6+'NW NEW VEHICLE'!B18*'NW NEW VEHICLE'!$B$6)/('NS NEW VEHICLE'!$B$6+'NW NEW VEHICLE'!$B$6)</f>
        <v>322.7070161290323</v>
      </c>
      <c r="C18" s="83">
        <f>('NS NEW VEHICLE'!C18*'NS NEW VEHICLE'!$C$6+'NW NEW VEHICLE'!C18*'NW NEW VEHICLE'!$C$6)/('NS NEW VEHICLE'!$C$6+'NW NEW VEHICLE'!$C$6)</f>
        <v>0</v>
      </c>
      <c r="D18" s="102">
        <f t="shared" si="3"/>
        <v>-322.7070161290323</v>
      </c>
      <c r="E18" s="112">
        <f t="shared" si="0"/>
        <v>0</v>
      </c>
      <c r="F18" s="86">
        <v>322.7070161290323</v>
      </c>
      <c r="G18" s="86"/>
      <c r="H18" s="86"/>
      <c r="I18" s="83">
        <f>AVERAGE(F18:H18)</f>
        <v>322.7070161290323</v>
      </c>
      <c r="J18" s="102">
        <f t="shared" si="2"/>
        <v>-322.7070161290323</v>
      </c>
      <c r="K18" s="115">
        <f t="shared" si="1"/>
        <v>0</v>
      </c>
      <c r="M18" s="179"/>
      <c r="N18" s="162" t="s">
        <v>1314</v>
      </c>
      <c r="AK18" s="196"/>
      <c r="AM18" s="202"/>
    </row>
    <row r="19" spans="1:39" x14ac:dyDescent="0.25">
      <c r="A19" s="10" t="s">
        <v>1359</v>
      </c>
      <c r="B19" s="86">
        <f>('NS NEW VEHICLE'!B19*'NS NEW VEHICLE'!$B$6+'NW NEW VEHICLE'!B19*'NW NEW VEHICLE'!$B$6)/('NS NEW VEHICLE'!$B$6+'NW NEW VEHICLE'!$B$6)</f>
        <v>22.140725806451613</v>
      </c>
      <c r="C19" s="83">
        <f>('NS NEW VEHICLE'!C19*'NS NEW VEHICLE'!$C$6+'NW NEW VEHICLE'!C19*'NW NEW VEHICLE'!$C$6)/('NS NEW VEHICLE'!$C$6+'NW NEW VEHICLE'!$C$6)</f>
        <v>0</v>
      </c>
      <c r="D19" s="102">
        <f t="shared" si="3"/>
        <v>-22.140725806451613</v>
      </c>
      <c r="E19" s="112">
        <f t="shared" si="0"/>
        <v>0</v>
      </c>
      <c r="F19" s="86">
        <v>22.140725806451613</v>
      </c>
      <c r="G19" s="86"/>
      <c r="H19" s="86"/>
      <c r="I19" s="83">
        <f>AVERAGE(F19:H19)</f>
        <v>22.140725806451613</v>
      </c>
      <c r="J19" s="102">
        <f t="shared" si="2"/>
        <v>-22.140725806451613</v>
      </c>
      <c r="K19" s="115">
        <f t="shared" si="1"/>
        <v>0</v>
      </c>
      <c r="M19" s="179"/>
      <c r="N19" s="162" t="s">
        <v>1359</v>
      </c>
      <c r="AK19" s="196"/>
      <c r="AM19" s="202"/>
    </row>
    <row r="20" spans="1:39" x14ac:dyDescent="0.25">
      <c r="A20" s="55" t="s">
        <v>1621</v>
      </c>
      <c r="B20" s="87">
        <f>+SUM(B16:B19)</f>
        <v>1083.6604032258065</v>
      </c>
      <c r="C20" s="84">
        <f>+SUM(C16:C19)</f>
        <v>1100</v>
      </c>
      <c r="D20" s="103">
        <f t="shared" si="3"/>
        <v>16.339596774193524</v>
      </c>
      <c r="E20" s="113">
        <f t="shared" si="0"/>
        <v>1.4854178885630476E-2</v>
      </c>
      <c r="F20" s="87">
        <v>1081.2165322580645</v>
      </c>
      <c r="G20" s="87"/>
      <c r="H20" s="87"/>
      <c r="I20" s="84">
        <f>+SUM(I16:I19)</f>
        <v>1081.2165322580645</v>
      </c>
      <c r="J20" s="103">
        <f t="shared" si="2"/>
        <v>-1081.2165322580645</v>
      </c>
      <c r="K20" s="116">
        <f t="shared" si="1"/>
        <v>0</v>
      </c>
      <c r="M20" s="179"/>
      <c r="AK20" s="196"/>
      <c r="AM20" s="202"/>
    </row>
    <row r="21" spans="1:39" x14ac:dyDescent="0.25">
      <c r="A21" s="55" t="s">
        <v>1622</v>
      </c>
      <c r="B21" s="87">
        <f>++B20+B15</f>
        <v>1529.4507258064516</v>
      </c>
      <c r="C21" s="84">
        <f>++C20+C15</f>
        <v>1700</v>
      </c>
      <c r="D21" s="103">
        <f t="shared" si="3"/>
        <v>170.5492741935484</v>
      </c>
      <c r="E21" s="113">
        <f t="shared" si="0"/>
        <v>0.10032310246679317</v>
      </c>
      <c r="F21" s="87">
        <v>1527.0068548387096</v>
      </c>
      <c r="G21" s="87"/>
      <c r="H21" s="87"/>
      <c r="I21" s="84">
        <f>++I20+I15</f>
        <v>1527.0068548387096</v>
      </c>
      <c r="J21" s="103">
        <f t="shared" si="2"/>
        <v>-1527.0068548387096</v>
      </c>
      <c r="K21" s="116">
        <f t="shared" si="1"/>
        <v>0</v>
      </c>
      <c r="M21" s="179"/>
      <c r="AK21" s="196"/>
      <c r="AM21" s="202"/>
    </row>
    <row r="22" spans="1:39" x14ac:dyDescent="0.25">
      <c r="A22" s="10" t="s">
        <v>1623</v>
      </c>
      <c r="B22" s="86">
        <f>+B11-B21</f>
        <v>459.05766129032236</v>
      </c>
      <c r="C22" s="83">
        <f>+C11-C21</f>
        <v>250</v>
      </c>
      <c r="D22" s="102">
        <f>+D11-D21</f>
        <v>-132.04088709677444</v>
      </c>
      <c r="E22" s="112">
        <f t="shared" si="0"/>
        <v>-0.52816354838709778</v>
      </c>
      <c r="F22" s="86">
        <v>461.50153225806434</v>
      </c>
      <c r="G22" s="86"/>
      <c r="H22" s="86"/>
      <c r="I22" s="83">
        <f>+I11-I21</f>
        <v>461.50153225806434</v>
      </c>
      <c r="J22" s="102">
        <f>+J11-J21</f>
        <v>3515.5152419354836</v>
      </c>
      <c r="K22" s="115">
        <f t="shared" si="1"/>
        <v>0</v>
      </c>
      <c r="AK22" s="196"/>
      <c r="AM22" s="202"/>
    </row>
    <row r="23" spans="1:39" x14ac:dyDescent="0.25">
      <c r="A23" s="10" t="s">
        <v>1624</v>
      </c>
      <c r="B23" s="86">
        <f>+B22*B6</f>
        <v>56923.149999999972</v>
      </c>
      <c r="C23" s="83">
        <f>+C22*C6</f>
        <v>31250</v>
      </c>
      <c r="D23" s="102">
        <f>+B23-C23</f>
        <v>25673.149999999972</v>
      </c>
      <c r="E23" s="112">
        <f t="shared" si="0"/>
        <v>0.82154079999999907</v>
      </c>
      <c r="F23" s="86">
        <v>57226.189999999981</v>
      </c>
      <c r="G23" s="86"/>
      <c r="H23" s="86"/>
      <c r="I23" s="83">
        <f>SUM(F23:H23)</f>
        <v>57226.189999999981</v>
      </c>
      <c r="J23" s="102">
        <f>+F23-H23</f>
        <v>57226.189999999981</v>
      </c>
      <c r="K23" s="115">
        <f t="shared" si="1"/>
        <v>0</v>
      </c>
      <c r="AK23" s="196"/>
      <c r="AL23" s="28"/>
      <c r="AM23" s="203"/>
    </row>
    <row r="24" spans="1:39" x14ac:dyDescent="0.25">
      <c r="A24" s="10" t="s">
        <v>1008</v>
      </c>
      <c r="B24" s="86">
        <f>'NS NEW VEHICLE'!B24+'NW NEW VEHICLE'!B24</f>
        <v>1193.7300000000005</v>
      </c>
      <c r="C24" s="83">
        <f>'NS NEW VEHICLE'!C24+'NW NEW VEHICLE'!C24</f>
        <v>4000</v>
      </c>
      <c r="D24" s="102">
        <f>+B24-C24</f>
        <v>-2806.2699999999995</v>
      </c>
      <c r="E24" s="112">
        <f t="shared" si="0"/>
        <v>-0.7015674999999999</v>
      </c>
      <c r="F24" s="86">
        <v>1193.7300000000005</v>
      </c>
      <c r="G24" s="86"/>
      <c r="H24" s="86"/>
      <c r="I24" s="83">
        <f>SUM(F24:H24)</f>
        <v>1193.7300000000005</v>
      </c>
      <c r="J24" s="102">
        <f>+F24-H24</f>
        <v>1193.7300000000005</v>
      </c>
      <c r="K24" s="115">
        <f t="shared" si="1"/>
        <v>0</v>
      </c>
      <c r="N24" s="162" t="s">
        <v>1008</v>
      </c>
      <c r="AK24" s="196"/>
    </row>
    <row r="25" spans="1:39" s="163" customFormat="1" ht="15.75" thickBot="1" x14ac:dyDescent="0.3">
      <c r="A25" s="11" t="s">
        <v>1625</v>
      </c>
      <c r="B25" s="88">
        <f>+B23+B24</f>
        <v>58116.879999999976</v>
      </c>
      <c r="C25" s="85">
        <f>+C23+C24</f>
        <v>35250</v>
      </c>
      <c r="D25" s="104">
        <f>+D23+D24</f>
        <v>22866.879999999972</v>
      </c>
      <c r="E25" s="114">
        <f t="shared" si="0"/>
        <v>0.64870581560283613</v>
      </c>
      <c r="F25" s="88">
        <v>58419.919999999984</v>
      </c>
      <c r="G25" s="88"/>
      <c r="H25" s="88"/>
      <c r="I25" s="85">
        <f>SUM(F25:H25)</f>
        <v>58419.919999999984</v>
      </c>
      <c r="J25" s="104">
        <f>+J23+J24</f>
        <v>58419.919999999984</v>
      </c>
      <c r="K25" s="117">
        <f t="shared" si="1"/>
        <v>0</v>
      </c>
      <c r="N25" s="164"/>
      <c r="O25" s="164"/>
      <c r="P25" s="164"/>
      <c r="Q25" s="164"/>
      <c r="R25" s="164"/>
      <c r="AK25" s="196"/>
      <c r="AL25" s="201">
        <f>B25-'NS NEW VEHICLE'!B25-'NW NEW VEHICLE'!B25</f>
        <v>0</v>
      </c>
      <c r="AM25" s="201">
        <f>C25-'NS NEW VEHICLE'!C25-'NW NEW VEHICLE'!C25</f>
        <v>0</v>
      </c>
    </row>
    <row r="26" spans="1:39" ht="15.75" thickTop="1" x14ac:dyDescent="0.25">
      <c r="G26" s="303"/>
      <c r="AK26" s="196"/>
    </row>
    <row r="27" spans="1:39" x14ac:dyDescent="0.25">
      <c r="A27" s="10" t="s">
        <v>1626</v>
      </c>
      <c r="B27" s="12">
        <f>'NS NEW VEHICLE'!B27+'NW NEW VEHICLE'!B27</f>
        <v>7</v>
      </c>
      <c r="C27" s="12">
        <f>'NS NEW VEHICLE'!C27+'NW NEW VEHICLE'!C27</f>
        <v>6</v>
      </c>
      <c r="F27" s="12">
        <f>B27</f>
        <v>7</v>
      </c>
      <c r="G27" s="12"/>
      <c r="H27" s="12"/>
      <c r="I27" s="282">
        <f>AVERAGE(F27:H27)</f>
        <v>7</v>
      </c>
      <c r="N27" s="162" t="s">
        <v>1627</v>
      </c>
      <c r="O27" s="162" t="s">
        <v>1628</v>
      </c>
      <c r="AK27" s="196"/>
    </row>
    <row r="30" spans="1:39" x14ac:dyDescent="0.25">
      <c r="B30" s="296"/>
      <c r="C30" s="296"/>
    </row>
    <row r="31" spans="1:39" x14ac:dyDescent="0.25">
      <c r="B31" s="179"/>
      <c r="C31" s="284"/>
      <c r="F31" s="179"/>
      <c r="G31" s="179"/>
    </row>
    <row r="32" spans="1:39" x14ac:dyDescent="0.25">
      <c r="B32" s="284"/>
      <c r="C32" s="179"/>
    </row>
    <row r="33" spans="2:3" x14ac:dyDescent="0.25">
      <c r="B33" s="284"/>
    </row>
    <row r="34" spans="2:3" x14ac:dyDescent="0.25">
      <c r="B34" s="284"/>
      <c r="C34" s="284"/>
    </row>
    <row r="35" spans="2:3" x14ac:dyDescent="0.25">
      <c r="B35" s="284"/>
      <c r="C35" s="284"/>
    </row>
  </sheetData>
  <mergeCells count="6">
    <mergeCell ref="A1:D1"/>
    <mergeCell ref="J1:K1"/>
    <mergeCell ref="B3:E3"/>
    <mergeCell ref="F3:K3"/>
    <mergeCell ref="D4:E4"/>
    <mergeCell ref="J4:K4"/>
  </mergeCells>
  <pageMargins left="0.7" right="0.7" top="0.75" bottom="0.75" header="0.3" footer="0.3"/>
  <pageSetup paperSize="9" orientation="landscape" verticalDpi="7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3986D-CFAF-4E90-A9A6-28B118903376}">
  <sheetPr>
    <tabColor theme="9" tint="0.79998168889431442"/>
  </sheetPr>
  <dimension ref="A1:AL32"/>
  <sheetViews>
    <sheetView workbookViewId="0">
      <selection activeCell="B6" sqref="B6"/>
    </sheetView>
  </sheetViews>
  <sheetFormatPr defaultColWidth="9.140625" defaultRowHeight="15" outlineLevelCol="1" x14ac:dyDescent="0.25"/>
  <cols>
    <col min="1" max="1" width="35.7109375" style="161" customWidth="1"/>
    <col min="2" max="2" width="11.140625" style="161" customWidth="1" outlineLevel="1"/>
    <col min="3" max="3" width="10.85546875" style="161" customWidth="1" outlineLevel="1"/>
    <col min="4" max="4" width="7.85546875" style="161" customWidth="1" outlineLevel="1"/>
    <col min="5" max="5" width="9.140625" style="161" customWidth="1" outlineLevel="1"/>
    <col min="6" max="6" width="8.140625" style="161" customWidth="1"/>
    <col min="7" max="7" width="8" style="161" customWidth="1"/>
    <col min="8" max="9" width="7.85546875" style="161" customWidth="1"/>
    <col min="10" max="10" width="7.5703125" style="161" bestFit="1" customWidth="1"/>
    <col min="11" max="11" width="8.5703125" style="161" bestFit="1" customWidth="1"/>
    <col min="12" max="13" width="3.140625" style="161" bestFit="1" customWidth="1" outlineLevel="1"/>
    <col min="14" max="14" width="21.5703125" style="162" bestFit="1" customWidth="1" outlineLevel="1"/>
    <col min="15" max="15" width="8.5703125" style="162" bestFit="1" customWidth="1" outlineLevel="1"/>
    <col min="16" max="16" width="10.7109375" style="162" bestFit="1" customWidth="1" outlineLevel="1"/>
    <col min="17" max="18" width="11.7109375" style="162" hidden="1" customWidth="1" outlineLevel="1"/>
    <col min="19" max="38" width="9.140625" style="161" hidden="1" customWidth="1" outlineLevel="1"/>
    <col min="39" max="16384" width="9.140625" style="161"/>
  </cols>
  <sheetData>
    <row r="1" spans="1:18" ht="15" customHeight="1" x14ac:dyDescent="0.25">
      <c r="A1" s="334" t="s">
        <v>1604</v>
      </c>
      <c r="B1" s="335"/>
      <c r="C1" s="335"/>
      <c r="D1" s="335"/>
      <c r="E1" s="1"/>
      <c r="F1" s="2" t="s">
        <v>1605</v>
      </c>
      <c r="G1" s="2"/>
      <c r="H1" s="13"/>
      <c r="I1" s="13"/>
      <c r="J1" s="336">
        <f>OVERALL!I1</f>
        <v>45292</v>
      </c>
      <c r="K1" s="337"/>
    </row>
    <row r="2" spans="1:18" ht="15.75" thickBot="1" x14ac:dyDescent="0.3"/>
    <row r="3" spans="1:18" ht="15.75" thickTop="1" x14ac:dyDescent="0.25">
      <c r="A3" s="4" t="s">
        <v>1591</v>
      </c>
      <c r="B3" s="338" t="s">
        <v>155</v>
      </c>
      <c r="C3" s="339"/>
      <c r="D3" s="339"/>
      <c r="E3" s="339"/>
      <c r="F3" s="338" t="s">
        <v>1629</v>
      </c>
      <c r="G3" s="338"/>
      <c r="H3" s="339"/>
      <c r="I3" s="339"/>
      <c r="J3" s="339"/>
      <c r="K3" s="340"/>
    </row>
    <row r="4" spans="1:18" x14ac:dyDescent="0.25">
      <c r="A4" s="5" t="s">
        <v>1591</v>
      </c>
      <c r="B4" s="6" t="s">
        <v>1591</v>
      </c>
      <c r="C4" s="6"/>
      <c r="D4" s="341"/>
      <c r="E4" s="342"/>
      <c r="F4" s="6" t="s">
        <v>1591</v>
      </c>
      <c r="G4" s="6"/>
      <c r="H4" s="6"/>
      <c r="I4" s="6"/>
      <c r="J4" s="341"/>
      <c r="K4" s="343"/>
    </row>
    <row r="5" spans="1:18" x14ac:dyDescent="0.25">
      <c r="A5" s="5" t="s">
        <v>1615</v>
      </c>
      <c r="B5" s="7" t="s">
        <v>12</v>
      </c>
      <c r="C5" s="7" t="s">
        <v>1592</v>
      </c>
      <c r="D5" s="8" t="s">
        <v>1609</v>
      </c>
      <c r="E5" s="8" t="s">
        <v>1610</v>
      </c>
      <c r="F5" s="259" t="str">
        <f>OVERALL!F5</f>
        <v>0124</v>
      </c>
      <c r="G5" s="259" t="str">
        <f>OVERALL!G5</f>
        <v>0224</v>
      </c>
      <c r="H5" s="259" t="str">
        <f>OVERALL!H5</f>
        <v>0324</v>
      </c>
      <c r="I5" s="7" t="str">
        <f>OVERALL!I5</f>
        <v>Q124</v>
      </c>
      <c r="J5" s="8" t="s">
        <v>1609</v>
      </c>
      <c r="K5" s="9" t="s">
        <v>1610</v>
      </c>
    </row>
    <row r="6" spans="1:18" s="163" customFormat="1" x14ac:dyDescent="0.25">
      <c r="A6" s="55" t="s">
        <v>1616</v>
      </c>
      <c r="B6" s="152">
        <f>+SUMIFS('TUNZ Extracted TB'!G:G,'TUNZ Extracted TB'!A:A,"6142#",'TUNZ Extracted TB'!C:C,"100")</f>
        <v>64</v>
      </c>
      <c r="C6" s="153">
        <f>HLOOKUP(J1,'Input Sheet'!1:1048576,2,FALSE)</f>
        <v>62.5</v>
      </c>
      <c r="D6" s="154">
        <f>+B6-C6</f>
        <v>1.5</v>
      </c>
      <c r="E6" s="113">
        <f>IFERROR(+D6/C6,0)</f>
        <v>2.4E-2</v>
      </c>
      <c r="F6" s="152">
        <v>64</v>
      </c>
      <c r="G6" s="152"/>
      <c r="H6" s="152"/>
      <c r="I6" s="153">
        <f>SUM(F6:H6)</f>
        <v>64</v>
      </c>
      <c r="J6" s="154">
        <f>+F6-H6</f>
        <v>64</v>
      </c>
      <c r="K6" s="116">
        <f>IFERROR(+J6/H6,0)</f>
        <v>0</v>
      </c>
      <c r="N6" s="164"/>
      <c r="O6" s="164"/>
      <c r="P6" s="164"/>
      <c r="Q6" s="164"/>
      <c r="R6" s="164"/>
    </row>
    <row r="7" spans="1:18" x14ac:dyDescent="0.25">
      <c r="A7" s="10" t="s">
        <v>1617</v>
      </c>
      <c r="B7" s="141">
        <f>+B6/B27</f>
        <v>12.8</v>
      </c>
      <c r="C7" s="142">
        <f>+C6/C27</f>
        <v>15.625</v>
      </c>
      <c r="D7" s="143">
        <f>+B7-C7</f>
        <v>-2.8249999999999993</v>
      </c>
      <c r="E7" s="112">
        <f t="shared" ref="E7:E25" si="0">IFERROR(+D7/C7,0)</f>
        <v>-0.18079999999999996</v>
      </c>
      <c r="F7" s="141">
        <v>12.8</v>
      </c>
      <c r="G7" s="141"/>
      <c r="H7" s="141"/>
      <c r="I7" s="142">
        <f>+I6/I27</f>
        <v>12.8</v>
      </c>
      <c r="J7" s="143">
        <f>+F7-H7</f>
        <v>12.8</v>
      </c>
      <c r="K7" s="115">
        <f t="shared" ref="K7:K25" si="1">IFERROR(+J7/H7,0)</f>
        <v>0</v>
      </c>
    </row>
    <row r="8" spans="1:18" x14ac:dyDescent="0.25">
      <c r="A8" s="10" t="s">
        <v>1004</v>
      </c>
      <c r="B8" s="86">
        <f>-SUMIFS(Export!L:L,Export!I:I,N8,Export!E:E,L8)/$B$6-SUMIFS(Export!L:L,Export!I:I,N8,Export!E:E,M8)/$B$6</f>
        <v>1983.0278124999998</v>
      </c>
      <c r="C8" s="83">
        <f>-SUMIFS(Export!N:N,Export!I:I,N8,Export!E:E,M8)/C$6</f>
        <v>1950</v>
      </c>
      <c r="D8" s="102">
        <f>++B8-C8</f>
        <v>33.027812499999754</v>
      </c>
      <c r="E8" s="112">
        <f t="shared" si="0"/>
        <v>1.6937339743589616E-2</v>
      </c>
      <c r="F8" s="86">
        <v>1983.0278124999998</v>
      </c>
      <c r="G8" s="86"/>
      <c r="H8" s="86"/>
      <c r="I8" s="83">
        <f>AVERAGE(F8:H8)</f>
        <v>1983.0278124999998</v>
      </c>
      <c r="J8" s="102">
        <f>++F8-H8</f>
        <v>1983.0278124999998</v>
      </c>
      <c r="K8" s="115">
        <f t="shared" si="1"/>
        <v>0</v>
      </c>
      <c r="L8" s="162">
        <v>110</v>
      </c>
      <c r="M8" s="162">
        <v>100</v>
      </c>
      <c r="N8" s="162" t="s">
        <v>1004</v>
      </c>
    </row>
    <row r="9" spans="1:18" x14ac:dyDescent="0.25">
      <c r="A9" s="10" t="s">
        <v>1036</v>
      </c>
      <c r="B9" s="86">
        <f>-SUMIFS(Export!L:L,Export!I:I,N9,Export!E:E,L9)/$B$6-SUMIFS(Export!L:L,Export!I:I,N9,Export!E:E,M9)/$B$6</f>
        <v>0</v>
      </c>
      <c r="C9" s="83">
        <f>-SUMIFS(Export!N:N,Export!I:I,N9,Export!E:E,L9)/C$6</f>
        <v>0</v>
      </c>
      <c r="D9" s="102">
        <f>++B9-C9</f>
        <v>0</v>
      </c>
      <c r="E9" s="112">
        <f t="shared" si="0"/>
        <v>0</v>
      </c>
      <c r="F9" s="86">
        <v>0</v>
      </c>
      <c r="G9" s="86"/>
      <c r="H9" s="86"/>
      <c r="I9" s="83">
        <f>F9</f>
        <v>0</v>
      </c>
      <c r="J9" s="102">
        <f>++F9-H9</f>
        <v>0</v>
      </c>
      <c r="K9" s="115">
        <f t="shared" si="1"/>
        <v>0</v>
      </c>
      <c r="L9" s="162">
        <v>110</v>
      </c>
      <c r="M9" s="162">
        <v>100</v>
      </c>
      <c r="N9" s="162" t="s">
        <v>1036</v>
      </c>
    </row>
    <row r="10" spans="1:18" x14ac:dyDescent="0.25">
      <c r="A10" s="10" t="s">
        <v>1026</v>
      </c>
      <c r="B10" s="86">
        <f>-SUMIFS(Export!L:L,Export!I:I,N10,Export!E:E,L10)/$B$6-SUMIFS(Export!L:L,Export!I:I,N10,Export!E:E,M10)/$B$6</f>
        <v>-33.095937499999962</v>
      </c>
      <c r="C10" s="83">
        <f>-SUMIFS(Export!N:N,Export!I:I,N10,Export!E:E,M10)/C$6</f>
        <v>0</v>
      </c>
      <c r="D10" s="102">
        <f>++B10-C10</f>
        <v>-33.095937499999962</v>
      </c>
      <c r="E10" s="112">
        <f t="shared" si="0"/>
        <v>0</v>
      </c>
      <c r="F10" s="86">
        <v>-33.095937499999962</v>
      </c>
      <c r="G10" s="86"/>
      <c r="H10" s="86"/>
      <c r="I10" s="83">
        <f>AVERAGE(F10:H10)</f>
        <v>-33.095937499999962</v>
      </c>
      <c r="J10" s="102">
        <f>++F10-H10</f>
        <v>-33.095937499999962</v>
      </c>
      <c r="K10" s="115">
        <f t="shared" si="1"/>
        <v>0</v>
      </c>
      <c r="L10" s="162">
        <v>110</v>
      </c>
      <c r="M10" s="162">
        <v>100</v>
      </c>
      <c r="N10" s="162" t="s">
        <v>1026</v>
      </c>
    </row>
    <row r="11" spans="1:18" x14ac:dyDescent="0.25">
      <c r="A11" s="10" t="s">
        <v>1618</v>
      </c>
      <c r="B11" s="86">
        <f>+SUM(B8:B10)</f>
        <v>1949.9318749999998</v>
      </c>
      <c r="C11" s="83">
        <f>+SUM(C8:C10)</f>
        <v>1950</v>
      </c>
      <c r="D11" s="102">
        <f>++B11-C11</f>
        <v>-6.8125000000236469E-2</v>
      </c>
      <c r="E11" s="112">
        <f t="shared" si="0"/>
        <v>-3.4935897436018704E-5</v>
      </c>
      <c r="F11" s="86">
        <v>1949.9318749999998</v>
      </c>
      <c r="G11" s="86"/>
      <c r="H11" s="86"/>
      <c r="I11" s="83">
        <f>AVERAGE(F11:H11)</f>
        <v>1949.9318749999998</v>
      </c>
      <c r="J11" s="102">
        <f>++F11-H11</f>
        <v>1949.9318749999998</v>
      </c>
      <c r="K11" s="115">
        <f t="shared" si="1"/>
        <v>0</v>
      </c>
      <c r="L11" s="162"/>
      <c r="M11" s="162"/>
    </row>
    <row r="12" spans="1:18" x14ac:dyDescent="0.25">
      <c r="A12" s="55" t="s">
        <v>1619</v>
      </c>
      <c r="B12" s="87">
        <f>B11*B6</f>
        <v>124795.63999999998</v>
      </c>
      <c r="C12" s="84">
        <f>C11*C6</f>
        <v>121875</v>
      </c>
      <c r="D12" s="103">
        <f>++B12-C12</f>
        <v>2920.6399999999849</v>
      </c>
      <c r="E12" s="113">
        <f t="shared" si="0"/>
        <v>2.3964225641025516E-2</v>
      </c>
      <c r="F12" s="87">
        <v>124795.63999999998</v>
      </c>
      <c r="G12" s="87"/>
      <c r="H12" s="87"/>
      <c r="I12" s="84">
        <f>SUM(F12:H12)</f>
        <v>124795.63999999998</v>
      </c>
      <c r="J12" s="103">
        <f>++F12-H12</f>
        <v>124795.63999999998</v>
      </c>
      <c r="K12" s="116">
        <f t="shared" si="1"/>
        <v>0</v>
      </c>
      <c r="L12" s="162">
        <v>110</v>
      </c>
      <c r="M12" s="162">
        <v>100</v>
      </c>
      <c r="N12" s="162" t="s">
        <v>1026</v>
      </c>
      <c r="O12" s="162" t="s">
        <v>1036</v>
      </c>
      <c r="P12" s="162" t="s">
        <v>1004</v>
      </c>
    </row>
    <row r="13" spans="1:18" x14ac:dyDescent="0.25">
      <c r="A13" s="10" t="s">
        <v>1267</v>
      </c>
      <c r="B13" s="86">
        <f>+SUMIFS(Export!L:L,Export!I:I,N13,Export!E:E,L13)/$B$6+SUMIFS(Export!L:L,Export!I:I,N13,Export!E:E,M13)/$B$6</f>
        <v>365.16921875000003</v>
      </c>
      <c r="C13" s="83">
        <f>SUMIFS(Export!N:N,Export!I:I,N13,Export!E:E,M13)/C$6</f>
        <v>800</v>
      </c>
      <c r="D13" s="102">
        <f>+C13-B13</f>
        <v>434.83078124999997</v>
      </c>
      <c r="E13" s="112">
        <f t="shared" si="0"/>
        <v>0.54353847656249998</v>
      </c>
      <c r="F13" s="86">
        <v>365.16921875000003</v>
      </c>
      <c r="G13" s="86"/>
      <c r="H13" s="86"/>
      <c r="I13" s="83">
        <f>AVERAGE(F13:H13)</f>
        <v>365.16921875000003</v>
      </c>
      <c r="J13" s="102">
        <f>+H13-F13</f>
        <v>-365.16921875000003</v>
      </c>
      <c r="K13" s="115">
        <f t="shared" si="1"/>
        <v>0</v>
      </c>
      <c r="L13" s="162">
        <v>110</v>
      </c>
      <c r="M13" s="162">
        <v>100</v>
      </c>
      <c r="N13" s="162" t="s">
        <v>1267</v>
      </c>
    </row>
    <row r="14" spans="1:18" x14ac:dyDescent="0.25">
      <c r="A14" s="10" t="s">
        <v>1279</v>
      </c>
      <c r="B14" s="86">
        <f>+SUMIFS(Export!L:L,Export!I:I,N14,Export!E:E,L14)/$B$6+SUMIFS(Export!L:L,Export!I:I,N14,Export!E:E,M14)/$B$6</f>
        <v>32.753437499999997</v>
      </c>
      <c r="C14" s="83">
        <f>SUMIFS(Export!N:N,Export!I:I,N14,Export!E:E,M14)/C$6</f>
        <v>0</v>
      </c>
      <c r="D14" s="102">
        <f t="shared" ref="D14:D21" si="2">+C14-B14</f>
        <v>-32.753437499999997</v>
      </c>
      <c r="E14" s="112">
        <f t="shared" si="0"/>
        <v>0</v>
      </c>
      <c r="F14" s="86">
        <v>32.753437499999997</v>
      </c>
      <c r="G14" s="86"/>
      <c r="H14" s="86"/>
      <c r="I14" s="83">
        <f>AVERAGE(F14:H14)</f>
        <v>32.753437499999997</v>
      </c>
      <c r="J14" s="102">
        <f t="shared" ref="J14:J21" si="3">+H14-F14</f>
        <v>-32.753437499999997</v>
      </c>
      <c r="K14" s="115">
        <f t="shared" si="1"/>
        <v>0</v>
      </c>
      <c r="L14" s="162">
        <v>110</v>
      </c>
      <c r="M14" s="162">
        <v>100</v>
      </c>
      <c r="N14" s="162" t="s">
        <v>1279</v>
      </c>
    </row>
    <row r="15" spans="1:18" x14ac:dyDescent="0.25">
      <c r="A15" s="55" t="s">
        <v>1620</v>
      </c>
      <c r="B15" s="87">
        <f>+SUM(B13:B14)</f>
        <v>397.92265625000005</v>
      </c>
      <c r="C15" s="84">
        <f>+SUM(C13:C14)</f>
        <v>800</v>
      </c>
      <c r="D15" s="103">
        <f t="shared" si="2"/>
        <v>402.07734374999995</v>
      </c>
      <c r="E15" s="113">
        <f t="shared" si="0"/>
        <v>0.50259667968749999</v>
      </c>
      <c r="F15" s="87">
        <v>397.92265625000005</v>
      </c>
      <c r="G15" s="87"/>
      <c r="H15" s="87"/>
      <c r="I15" s="84">
        <f>+SUM(I13:I14)</f>
        <v>397.92265625000005</v>
      </c>
      <c r="J15" s="103">
        <f t="shared" si="3"/>
        <v>-397.92265625000005</v>
      </c>
      <c r="K15" s="116">
        <f t="shared" si="1"/>
        <v>0</v>
      </c>
      <c r="L15" s="162"/>
      <c r="M15" s="162"/>
    </row>
    <row r="16" spans="1:18" x14ac:dyDescent="0.25">
      <c r="A16" s="10" t="s">
        <v>1244</v>
      </c>
      <c r="B16" s="86">
        <f>+SUMIFS(Export!L:L,Export!I:I,N16,Export!E:E,L16)/$B$6+SUMIFS(Export!L:L,Export!I:I,N16,Export!E:E,M16)/$B$6</f>
        <v>697.3878125</v>
      </c>
      <c r="C16" s="83">
        <f>SUMIFS(Export!N:N,Export!I:I,N16,Export!E:E,M16)/C$6</f>
        <v>0</v>
      </c>
      <c r="D16" s="102">
        <f t="shared" si="2"/>
        <v>-697.3878125</v>
      </c>
      <c r="E16" s="112">
        <f t="shared" si="0"/>
        <v>0</v>
      </c>
      <c r="F16" s="86">
        <v>697.3878125</v>
      </c>
      <c r="G16" s="86"/>
      <c r="H16" s="86"/>
      <c r="I16" s="83">
        <f>AVERAGE(F16:H16)</f>
        <v>697.3878125</v>
      </c>
      <c r="J16" s="102">
        <f t="shared" si="3"/>
        <v>-697.3878125</v>
      </c>
      <c r="K16" s="115">
        <f t="shared" si="1"/>
        <v>0</v>
      </c>
      <c r="L16" s="162">
        <v>110</v>
      </c>
      <c r="M16" s="162">
        <v>100</v>
      </c>
      <c r="N16" s="162" t="s">
        <v>1244</v>
      </c>
    </row>
    <row r="17" spans="1:18" x14ac:dyDescent="0.25">
      <c r="A17" s="10" t="s">
        <v>1298</v>
      </c>
      <c r="B17" s="86">
        <f>+SUMIFS(Export!L:L,Export!I:I,N17,Export!E:E,L17)/$B$6+SUMIFS(Export!L:L,Export!I:I,N17,Export!E:E,M17)/$B$6</f>
        <v>180.68125000000001</v>
      </c>
      <c r="C17" s="83">
        <f>SUMIFS(Export!N:N,Export!I:I,N17,Export!E:E,M17)/C$6</f>
        <v>1466.6666666666667</v>
      </c>
      <c r="D17" s="102">
        <f t="shared" si="2"/>
        <v>1285.9854166666667</v>
      </c>
      <c r="E17" s="112">
        <f t="shared" si="0"/>
        <v>0.87680823863636359</v>
      </c>
      <c r="F17" s="86">
        <v>177.20953125</v>
      </c>
      <c r="G17" s="86"/>
      <c r="H17" s="86"/>
      <c r="I17" s="83">
        <f>AVERAGE(F17:H17)</f>
        <v>177.20953125</v>
      </c>
      <c r="J17" s="102">
        <f t="shared" si="3"/>
        <v>-177.20953125</v>
      </c>
      <c r="K17" s="115">
        <f t="shared" si="1"/>
        <v>0</v>
      </c>
      <c r="L17" s="162">
        <v>110</v>
      </c>
      <c r="M17" s="162">
        <v>100</v>
      </c>
      <c r="N17" s="162" t="s">
        <v>1298</v>
      </c>
    </row>
    <row r="18" spans="1:18" x14ac:dyDescent="0.25">
      <c r="A18" s="10" t="s">
        <v>1314</v>
      </c>
      <c r="B18" s="86">
        <f>+SUMIFS(Export!L:L,Export!I:I,N18,Export!E:E,L18)/$B$6+SUMIFS(Export!L:L,Export!I:I,N18,Export!E:E,M18)/$B$6</f>
        <v>506.39109375000004</v>
      </c>
      <c r="C18" s="83">
        <f>SUMIFS(Export!N:N,Export!I:I,N18,Export!E:E,M18)/C$6</f>
        <v>0</v>
      </c>
      <c r="D18" s="102">
        <f t="shared" si="2"/>
        <v>-506.39109375000004</v>
      </c>
      <c r="E18" s="112">
        <f t="shared" si="0"/>
        <v>0</v>
      </c>
      <c r="F18" s="86">
        <v>506.39109375000004</v>
      </c>
      <c r="G18" s="86"/>
      <c r="H18" s="86"/>
      <c r="I18" s="83">
        <f>AVERAGE(F18:H18)</f>
        <v>506.39109375000004</v>
      </c>
      <c r="J18" s="102">
        <f t="shared" si="3"/>
        <v>-506.39109375000004</v>
      </c>
      <c r="K18" s="115">
        <f t="shared" si="1"/>
        <v>0</v>
      </c>
      <c r="L18" s="162">
        <v>110</v>
      </c>
      <c r="M18" s="162">
        <v>100</v>
      </c>
      <c r="N18" s="162" t="s">
        <v>1314</v>
      </c>
    </row>
    <row r="19" spans="1:18" x14ac:dyDescent="0.25">
      <c r="A19" s="10" t="s">
        <v>1359</v>
      </c>
      <c r="B19" s="86">
        <f>+SUMIFS(Export!L:L,Export!I:I,N19,Export!E:E,L19)/$B$6+SUMIFS(Export!L:L,Export!I:I,N19,Export!E:E,M19)/$B$6</f>
        <v>42.897656249999997</v>
      </c>
      <c r="C19" s="83">
        <f>SUMIFS(Export!N:N,Export!I:I,N19,Export!E:E,M19)/C$6</f>
        <v>0</v>
      </c>
      <c r="D19" s="102">
        <f t="shared" si="2"/>
        <v>-42.897656249999997</v>
      </c>
      <c r="E19" s="112">
        <f t="shared" si="0"/>
        <v>0</v>
      </c>
      <c r="F19" s="86">
        <v>42.897656249999997</v>
      </c>
      <c r="G19" s="86"/>
      <c r="H19" s="86"/>
      <c r="I19" s="83">
        <f>AVERAGE(F19:H19)</f>
        <v>42.897656249999997</v>
      </c>
      <c r="J19" s="102">
        <f t="shared" si="3"/>
        <v>-42.897656249999997</v>
      </c>
      <c r="K19" s="115">
        <f t="shared" si="1"/>
        <v>0</v>
      </c>
      <c r="L19" s="162">
        <v>110</v>
      </c>
      <c r="M19" s="162">
        <v>100</v>
      </c>
      <c r="N19" s="162" t="s">
        <v>1359</v>
      </c>
    </row>
    <row r="20" spans="1:18" x14ac:dyDescent="0.25">
      <c r="A20" s="55" t="s">
        <v>1621</v>
      </c>
      <c r="B20" s="87">
        <f>+SUM(B16:B19)</f>
        <v>1427.3578124999999</v>
      </c>
      <c r="C20" s="84">
        <f>+SUM(C16:C19)</f>
        <v>1466.6666666666667</v>
      </c>
      <c r="D20" s="103">
        <f t="shared" si="2"/>
        <v>39.308854166666833</v>
      </c>
      <c r="E20" s="113">
        <f t="shared" si="0"/>
        <v>2.680149147727284E-2</v>
      </c>
      <c r="F20" s="87">
        <v>1423.8860937499999</v>
      </c>
      <c r="G20" s="87"/>
      <c r="H20" s="87"/>
      <c r="I20" s="84">
        <f>+SUM(I16:I19)</f>
        <v>1423.8860937499999</v>
      </c>
      <c r="J20" s="103">
        <f t="shared" si="3"/>
        <v>-1423.8860937499999</v>
      </c>
      <c r="K20" s="116">
        <f t="shared" si="1"/>
        <v>0</v>
      </c>
      <c r="L20" s="162"/>
      <c r="M20" s="162"/>
    </row>
    <row r="21" spans="1:18" x14ac:dyDescent="0.25">
      <c r="A21" s="55" t="s">
        <v>1622</v>
      </c>
      <c r="B21" s="87">
        <f>++B20+B15</f>
        <v>1825.28046875</v>
      </c>
      <c r="C21" s="84">
        <f>++C20+C15</f>
        <v>2266.666666666667</v>
      </c>
      <c r="D21" s="103">
        <f t="shared" si="2"/>
        <v>441.38619791666702</v>
      </c>
      <c r="E21" s="113">
        <f t="shared" si="0"/>
        <v>0.19472920496323542</v>
      </c>
      <c r="F21" s="87">
        <v>1821.8087499999999</v>
      </c>
      <c r="G21" s="87"/>
      <c r="H21" s="87"/>
      <c r="I21" s="84">
        <f>++I20+I15</f>
        <v>1821.8087499999999</v>
      </c>
      <c r="J21" s="103">
        <f t="shared" si="3"/>
        <v>-1821.8087499999999</v>
      </c>
      <c r="K21" s="116">
        <f t="shared" si="1"/>
        <v>0</v>
      </c>
      <c r="L21" s="162"/>
      <c r="M21" s="162"/>
    </row>
    <row r="22" spans="1:18" x14ac:dyDescent="0.25">
      <c r="A22" s="10" t="s">
        <v>1623</v>
      </c>
      <c r="B22" s="86">
        <f>+B11-B21</f>
        <v>124.65140624999981</v>
      </c>
      <c r="C22" s="83">
        <f>+C11-C21</f>
        <v>-316.66666666666697</v>
      </c>
      <c r="D22" s="102">
        <f>+D11-D21</f>
        <v>-441.45432291666725</v>
      </c>
      <c r="E22" s="112">
        <f t="shared" si="0"/>
        <v>1.3940662828947374</v>
      </c>
      <c r="F22" s="86">
        <v>128.12312499999985</v>
      </c>
      <c r="G22" s="86"/>
      <c r="H22" s="86"/>
      <c r="I22" s="83">
        <f>+I11-I21</f>
        <v>128.12312499999985</v>
      </c>
      <c r="J22" s="102">
        <f>+J11-J21</f>
        <v>3771.7406249999995</v>
      </c>
      <c r="K22" s="115">
        <f t="shared" si="1"/>
        <v>0</v>
      </c>
      <c r="L22" s="162"/>
      <c r="M22" s="162"/>
    </row>
    <row r="23" spans="1:18" x14ac:dyDescent="0.25">
      <c r="A23" s="10" t="s">
        <v>1624</v>
      </c>
      <c r="B23" s="86">
        <f>+B22*B6</f>
        <v>7977.6899999999878</v>
      </c>
      <c r="C23" s="83">
        <f>+C22*C6</f>
        <v>-19791.666666666686</v>
      </c>
      <c r="D23" s="102">
        <f>+B23-C23</f>
        <v>27769.356666666674</v>
      </c>
      <c r="E23" s="112">
        <f t="shared" si="0"/>
        <v>-1.4030832842105252</v>
      </c>
      <c r="F23" s="86">
        <v>8199.8799999999901</v>
      </c>
      <c r="G23" s="86"/>
      <c r="H23" s="86"/>
      <c r="I23" s="83">
        <f>SUM(F23:H23)</f>
        <v>8199.8799999999901</v>
      </c>
      <c r="J23" s="102">
        <f>+F23-H23</f>
        <v>8199.8799999999901</v>
      </c>
      <c r="K23" s="115">
        <f t="shared" si="1"/>
        <v>0</v>
      </c>
      <c r="L23" s="162"/>
      <c r="M23" s="162"/>
    </row>
    <row r="24" spans="1:18" x14ac:dyDescent="0.25">
      <c r="A24" s="10" t="s">
        <v>1008</v>
      </c>
      <c r="B24" s="86">
        <f>-SUMIFS(Export!L:L,Export!I:I,N24,Export!E:E,L24)-SUMIFS(Export!L:L,Export!I:I,N24,Export!E:E,M24)</f>
        <v>804.40999999999985</v>
      </c>
      <c r="C24" s="83">
        <f>-HLOOKUP(J1,'Input Sheet'!1:1048576,12,FALSE)</f>
        <v>2666.6666666666665</v>
      </c>
      <c r="D24" s="102">
        <f>+B24-C24</f>
        <v>-1862.2566666666667</v>
      </c>
      <c r="E24" s="112">
        <f t="shared" si="0"/>
        <v>-0.69834625000000006</v>
      </c>
      <c r="F24" s="86">
        <v>804.40999999999985</v>
      </c>
      <c r="G24" s="86"/>
      <c r="H24" s="86"/>
      <c r="I24" s="83">
        <f>SUM(F24:H24)</f>
        <v>804.40999999999985</v>
      </c>
      <c r="J24" s="102">
        <f>+F24-H24</f>
        <v>804.40999999999985</v>
      </c>
      <c r="K24" s="115">
        <f t="shared" si="1"/>
        <v>0</v>
      </c>
      <c r="L24" s="162">
        <v>110</v>
      </c>
      <c r="M24" s="162">
        <v>100</v>
      </c>
      <c r="N24" s="162" t="s">
        <v>1008</v>
      </c>
    </row>
    <row r="25" spans="1:18" s="163" customFormat="1" ht="15.75" thickBot="1" x14ac:dyDescent="0.3">
      <c r="A25" s="11" t="s">
        <v>1625</v>
      </c>
      <c r="B25" s="88">
        <f>+B23+B24</f>
        <v>8782.0999999999876</v>
      </c>
      <c r="C25" s="85">
        <f>+C23+C24</f>
        <v>-17125.000000000018</v>
      </c>
      <c r="D25" s="104">
        <f>+D23+D24</f>
        <v>25907.100000000006</v>
      </c>
      <c r="E25" s="114">
        <f t="shared" si="0"/>
        <v>-1.5128233576642323</v>
      </c>
      <c r="F25" s="88">
        <v>9004.28999999999</v>
      </c>
      <c r="G25" s="88"/>
      <c r="H25" s="88"/>
      <c r="I25" s="85">
        <f>SUM(F25:H25)</f>
        <v>9004.28999999999</v>
      </c>
      <c r="J25" s="104">
        <f>+J23+J24</f>
        <v>9004.28999999999</v>
      </c>
      <c r="K25" s="117">
        <f t="shared" si="1"/>
        <v>0</v>
      </c>
      <c r="L25" s="164"/>
      <c r="M25" s="164"/>
      <c r="N25" s="164"/>
      <c r="O25" s="164"/>
      <c r="P25" s="164"/>
      <c r="Q25" s="164"/>
      <c r="R25" s="164"/>
    </row>
    <row r="26" spans="1:18" ht="15.75" thickTop="1" x14ac:dyDescent="0.25">
      <c r="L26" s="162"/>
      <c r="M26" s="162"/>
    </row>
    <row r="27" spans="1:18" x14ac:dyDescent="0.25">
      <c r="A27" s="10" t="s">
        <v>1626</v>
      </c>
      <c r="B27" s="12">
        <f>SUMIF('TUNZ Extracted TB'!$M:$M,N27,'TUNZ Extracted TB'!$H:$H)</f>
        <v>5</v>
      </c>
      <c r="C27" s="12">
        <f>HLOOKUP(J1,'Input Sheet'!$I:$Z,4,FALSE)</f>
        <v>4</v>
      </c>
      <c r="F27" s="12">
        <f>B27</f>
        <v>5</v>
      </c>
      <c r="G27" s="12"/>
      <c r="H27" s="12"/>
      <c r="I27" s="12">
        <f>AVERAGE(F27:H27)</f>
        <v>5</v>
      </c>
      <c r="L27" s="162"/>
      <c r="M27" s="162"/>
      <c r="N27" s="162" t="s">
        <v>1627</v>
      </c>
      <c r="O27" s="162" t="s">
        <v>1628</v>
      </c>
    </row>
    <row r="29" spans="1:18" x14ac:dyDescent="0.25">
      <c r="B29" s="284">
        <f>B21*B6</f>
        <v>116817.95</v>
      </c>
    </row>
    <row r="30" spans="1:18" x14ac:dyDescent="0.25">
      <c r="B30" s="284"/>
      <c r="C30" s="179"/>
      <c r="D30" s="179"/>
      <c r="F30" s="179"/>
      <c r="G30" s="179"/>
    </row>
    <row r="31" spans="1:18" x14ac:dyDescent="0.25">
      <c r="C31" s="284"/>
    </row>
    <row r="32" spans="1:18" x14ac:dyDescent="0.25">
      <c r="C32" s="179"/>
    </row>
  </sheetData>
  <mergeCells count="6">
    <mergeCell ref="A1:D1"/>
    <mergeCell ref="J1:K1"/>
    <mergeCell ref="B3:E3"/>
    <mergeCell ref="F3:K3"/>
    <mergeCell ref="D4:E4"/>
    <mergeCell ref="J4:K4"/>
  </mergeCells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D0E4-C524-4AA6-AB29-175133FFAB22}">
  <sheetPr>
    <tabColor theme="9" tint="0.79998168889431442"/>
  </sheetPr>
  <dimension ref="A1:AL31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1" customWidth="1"/>
    <col min="2" max="2" width="10.140625" style="161" bestFit="1" customWidth="1" outlineLevel="1"/>
    <col min="3" max="3" width="10.85546875" style="161" bestFit="1" customWidth="1" outlineLevel="1"/>
    <col min="4" max="4" width="7.28515625" style="161" bestFit="1" customWidth="1" outlineLevel="1"/>
    <col min="5" max="5" width="9.140625" style="161" customWidth="1" outlineLevel="1"/>
    <col min="6" max="6" width="7.5703125" style="161" bestFit="1" customWidth="1"/>
    <col min="7" max="7" width="7.5703125" style="161" customWidth="1"/>
    <col min="8" max="9" width="7.7109375" style="161" customWidth="1"/>
    <col min="10" max="10" width="7.85546875" style="161" hidden="1" customWidth="1"/>
    <col min="11" max="11" width="9.28515625" style="161" hidden="1" customWidth="1"/>
    <col min="12" max="12" width="3.140625" style="161" customWidth="1" outlineLevel="1"/>
    <col min="13" max="13" width="9.140625" style="161" customWidth="1" outlineLevel="1"/>
    <col min="14" max="18" width="11.7109375" style="162" customWidth="1" outlineLevel="1"/>
    <col min="19" max="38" width="9.140625" style="161" customWidth="1" outlineLevel="1"/>
    <col min="39" max="16384" width="9.140625" style="161"/>
  </cols>
  <sheetData>
    <row r="1" spans="1:18" ht="15" customHeight="1" x14ac:dyDescent="0.25">
      <c r="A1" s="334" t="s">
        <v>1604</v>
      </c>
      <c r="B1" s="335"/>
      <c r="C1" s="335"/>
      <c r="D1" s="335"/>
      <c r="E1" s="1"/>
      <c r="F1" s="2" t="s">
        <v>1605</v>
      </c>
      <c r="G1" s="2"/>
      <c r="H1" s="13"/>
      <c r="I1" s="285">
        <f>OVERALL!I1</f>
        <v>45292</v>
      </c>
      <c r="J1" s="336">
        <f>OVERALL!I1</f>
        <v>45292</v>
      </c>
      <c r="K1" s="337"/>
    </row>
    <row r="2" spans="1:18" ht="15.75" thickBot="1" x14ac:dyDescent="0.3"/>
    <row r="3" spans="1:18" ht="15.75" thickTop="1" x14ac:dyDescent="0.25">
      <c r="A3" s="4" t="s">
        <v>1591</v>
      </c>
      <c r="B3" s="338" t="s">
        <v>155</v>
      </c>
      <c r="C3" s="339"/>
      <c r="D3" s="339"/>
      <c r="E3" s="339"/>
      <c r="F3" s="338" t="s">
        <v>1629</v>
      </c>
      <c r="G3" s="338"/>
      <c r="H3" s="339"/>
      <c r="I3" s="339"/>
      <c r="J3" s="339"/>
      <c r="K3" s="340"/>
    </row>
    <row r="4" spans="1:18" x14ac:dyDescent="0.25">
      <c r="A4" s="5" t="s">
        <v>1591</v>
      </c>
      <c r="B4" s="6" t="s">
        <v>1591</v>
      </c>
      <c r="C4" s="6"/>
      <c r="D4" s="341"/>
      <c r="E4" s="342"/>
      <c r="F4" s="6" t="s">
        <v>1591</v>
      </c>
      <c r="G4" s="6"/>
      <c r="H4" s="6"/>
      <c r="I4" s="6"/>
      <c r="J4" s="341"/>
      <c r="K4" s="343"/>
    </row>
    <row r="5" spans="1:18" x14ac:dyDescent="0.25">
      <c r="A5" s="5" t="s">
        <v>1615</v>
      </c>
      <c r="B5" s="7" t="s">
        <v>12</v>
      </c>
      <c r="C5" s="7" t="s">
        <v>1592</v>
      </c>
      <c r="D5" s="8" t="s">
        <v>1609</v>
      </c>
      <c r="E5" s="8" t="s">
        <v>1610</v>
      </c>
      <c r="F5" s="259" t="str">
        <f>OVERALL!F5</f>
        <v>0124</v>
      </c>
      <c r="G5" s="259" t="str">
        <f>OVERALL!G5</f>
        <v>0224</v>
      </c>
      <c r="H5" s="259" t="str">
        <f>OVERALL!H5</f>
        <v>0324</v>
      </c>
      <c r="I5" s="7" t="str">
        <f>OVERALL!I5</f>
        <v>Q124</v>
      </c>
      <c r="J5" s="8" t="s">
        <v>1609</v>
      </c>
      <c r="K5" s="9" t="s">
        <v>1610</v>
      </c>
    </row>
    <row r="6" spans="1:18" s="163" customFormat="1" x14ac:dyDescent="0.25">
      <c r="A6" s="55" t="s">
        <v>1616</v>
      </c>
      <c r="B6" s="152">
        <f>+SUMIFS('TUNZ Extracted TB'!G:G,'TUNZ Extracted TB'!A:A,"6142#",'TUNZ Extracted TB'!C:C,"200")</f>
        <v>60</v>
      </c>
      <c r="C6" s="153">
        <f>HLOOKUP(J1,'Input Sheet'!1:1048576,3,FALSE)</f>
        <v>62.5</v>
      </c>
      <c r="D6" s="154">
        <f>+B6-C6</f>
        <v>-2.5</v>
      </c>
      <c r="E6" s="113">
        <f>IFERROR(+D6/C6,0)</f>
        <v>-0.04</v>
      </c>
      <c r="F6" s="152"/>
      <c r="G6" s="152"/>
      <c r="H6" s="152"/>
      <c r="I6" s="153">
        <f>SUM(F6:H6)</f>
        <v>0</v>
      </c>
      <c r="J6" s="154">
        <f>+F6-H6</f>
        <v>0</v>
      </c>
      <c r="K6" s="116">
        <f>IFERROR(+J6/H6,0)</f>
        <v>0</v>
      </c>
      <c r="N6" s="164"/>
      <c r="O6" s="164"/>
      <c r="P6" s="164"/>
      <c r="Q6" s="164"/>
      <c r="R6" s="164"/>
    </row>
    <row r="7" spans="1:18" x14ac:dyDescent="0.25">
      <c r="A7" s="10" t="s">
        <v>1617</v>
      </c>
      <c r="B7" s="141">
        <f>+B6/B27</f>
        <v>30</v>
      </c>
      <c r="C7" s="142">
        <f>+C6/C27</f>
        <v>31.25</v>
      </c>
      <c r="D7" s="143">
        <f>+B7-C7</f>
        <v>-1.25</v>
      </c>
      <c r="E7" s="112">
        <f t="shared" ref="E7:E25" si="0">IFERROR(+D7/C7,0)</f>
        <v>-0.04</v>
      </c>
      <c r="F7" s="141"/>
      <c r="G7" s="141"/>
      <c r="H7" s="141"/>
      <c r="I7" s="142" t="e">
        <f>+I6/I27</f>
        <v>#DIV/0!</v>
      </c>
      <c r="J7" s="143">
        <f>+F7-H7</f>
        <v>0</v>
      </c>
      <c r="K7" s="115">
        <f t="shared" ref="K7:K25" si="1">IFERROR(+J7/H7,0)</f>
        <v>0</v>
      </c>
    </row>
    <row r="8" spans="1:18" x14ac:dyDescent="0.25">
      <c r="A8" s="10" t="s">
        <v>1004</v>
      </c>
      <c r="B8" s="86">
        <f>-SUMIFS(Export!L:L,Export!I:I,N8,Export!E:E,L8)/$B$6-SUMIFS(Export!L:L,Export!I:I,N8,Export!E:E,M8)/$B$6</f>
        <v>1972.7814999999998</v>
      </c>
      <c r="C8" s="83">
        <f>-SUMIFS(Export!N:N,Export!I:I,N8,Export!E:E,M8)/C$6</f>
        <v>1950</v>
      </c>
      <c r="D8" s="102">
        <f>++B8-C8</f>
        <v>22.781499999999824</v>
      </c>
      <c r="E8" s="112">
        <f t="shared" si="0"/>
        <v>1.1682820512820422E-2</v>
      </c>
      <c r="F8" s="86"/>
      <c r="G8" s="86"/>
      <c r="H8" s="86"/>
      <c r="I8" s="83" t="e">
        <f>AVERAGE(F8:H8)</f>
        <v>#DIV/0!</v>
      </c>
      <c r="J8" s="102">
        <f>++F8-H8</f>
        <v>0</v>
      </c>
      <c r="K8" s="115">
        <f t="shared" si="1"/>
        <v>0</v>
      </c>
      <c r="L8" s="162">
        <v>210</v>
      </c>
      <c r="M8" s="162">
        <v>200</v>
      </c>
      <c r="N8" s="162" t="s">
        <v>1004</v>
      </c>
    </row>
    <row r="9" spans="1:18" x14ac:dyDescent="0.25">
      <c r="A9" s="10" t="s">
        <v>1036</v>
      </c>
      <c r="B9" s="86">
        <f>-SUMIFS(Export!L:L,Export!I:I,N9,Export!E:E,L9)/$B$6-SUMIFS(Export!L:L,Export!I:I,N9,Export!E:E,M9)/$B$6</f>
        <v>0</v>
      </c>
      <c r="C9" s="83">
        <f>-SUMIFS(Export!N:N,Export!I:I,N9,Export!E:E,L9)/C$6</f>
        <v>0</v>
      </c>
      <c r="D9" s="102">
        <f>++B9-C9</f>
        <v>0</v>
      </c>
      <c r="E9" s="112">
        <f t="shared" si="0"/>
        <v>0</v>
      </c>
      <c r="F9" s="86"/>
      <c r="G9" s="86"/>
      <c r="H9" s="86"/>
      <c r="I9" s="83">
        <f>F9</f>
        <v>0</v>
      </c>
      <c r="J9" s="102">
        <f>++F9-H9</f>
        <v>0</v>
      </c>
      <c r="K9" s="115">
        <f t="shared" si="1"/>
        <v>0</v>
      </c>
      <c r="L9" s="162">
        <v>210</v>
      </c>
      <c r="M9" s="162">
        <v>200</v>
      </c>
      <c r="N9" s="162" t="s">
        <v>1036</v>
      </c>
    </row>
    <row r="10" spans="1:18" x14ac:dyDescent="0.25">
      <c r="A10" s="10" t="s">
        <v>1026</v>
      </c>
      <c r="B10" s="86">
        <f>-SUMIFS(Export!L:L,Export!I:I,N10,Export!E:E,L10)/$B$6-SUMIFS(Export!L:L,Export!I:I,N10,Export!E:E,M10)/$B$6</f>
        <v>56.875166666666701</v>
      </c>
      <c r="C10" s="83">
        <f>-SUMIFS(Export!N:N,Export!I:I,N10,Export!E:E,M10)/C$6</f>
        <v>0</v>
      </c>
      <c r="D10" s="102">
        <f>++B10-C10</f>
        <v>56.875166666666701</v>
      </c>
      <c r="E10" s="112">
        <f t="shared" si="0"/>
        <v>0</v>
      </c>
      <c r="F10" s="86"/>
      <c r="G10" s="86"/>
      <c r="H10" s="86"/>
      <c r="I10" s="83" t="e">
        <f>AVERAGE(F10:H10)</f>
        <v>#DIV/0!</v>
      </c>
      <c r="J10" s="102">
        <f>++F10-H10</f>
        <v>0</v>
      </c>
      <c r="K10" s="115">
        <f t="shared" si="1"/>
        <v>0</v>
      </c>
      <c r="L10" s="162">
        <v>210</v>
      </c>
      <c r="M10" s="162">
        <v>200</v>
      </c>
      <c r="N10" s="162" t="s">
        <v>1026</v>
      </c>
    </row>
    <row r="11" spans="1:18" x14ac:dyDescent="0.25">
      <c r="A11" s="10" t="s">
        <v>1618</v>
      </c>
      <c r="B11" s="86">
        <f>+SUM(B8:B10)</f>
        <v>2029.6566666666665</v>
      </c>
      <c r="C11" s="83">
        <f>+SUM(C8:C10)</f>
        <v>1950</v>
      </c>
      <c r="D11" s="102">
        <f>++B11-C11</f>
        <v>79.656666666666524</v>
      </c>
      <c r="E11" s="112">
        <f t="shared" si="0"/>
        <v>4.0849572649572577E-2</v>
      </c>
      <c r="F11" s="86"/>
      <c r="G11" s="86"/>
      <c r="H11" s="86"/>
      <c r="I11" s="83" t="e">
        <f>AVERAGE(F11:H11)</f>
        <v>#DIV/0!</v>
      </c>
      <c r="J11" s="102">
        <f>++F11-H11</f>
        <v>0</v>
      </c>
      <c r="K11" s="115">
        <f t="shared" si="1"/>
        <v>0</v>
      </c>
      <c r="L11" s="162"/>
      <c r="M11" s="162"/>
    </row>
    <row r="12" spans="1:18" x14ac:dyDescent="0.25">
      <c r="A12" s="55" t="s">
        <v>1619</v>
      </c>
      <c r="B12" s="87">
        <f>B11*B6</f>
        <v>121779.4</v>
      </c>
      <c r="C12" s="84">
        <f>C11*C6</f>
        <v>121875</v>
      </c>
      <c r="D12" s="103">
        <f>++B12-C12</f>
        <v>-95.600000000005821</v>
      </c>
      <c r="E12" s="113">
        <f t="shared" si="0"/>
        <v>-7.8441025641030416E-4</v>
      </c>
      <c r="F12" s="87"/>
      <c r="G12" s="87"/>
      <c r="H12" s="87"/>
      <c r="I12" s="84">
        <f>SUM(F12:H12)</f>
        <v>0</v>
      </c>
      <c r="J12" s="103">
        <f>++F12-H12</f>
        <v>0</v>
      </c>
      <c r="K12" s="116">
        <f t="shared" si="1"/>
        <v>0</v>
      </c>
      <c r="L12" s="162">
        <v>210</v>
      </c>
      <c r="M12" s="162">
        <v>200</v>
      </c>
      <c r="N12" s="162" t="s">
        <v>1026</v>
      </c>
      <c r="O12" s="162" t="s">
        <v>1036</v>
      </c>
      <c r="P12" s="162" t="s">
        <v>1004</v>
      </c>
    </row>
    <row r="13" spans="1:18" x14ac:dyDescent="0.25">
      <c r="A13" s="10" t="s">
        <v>1267</v>
      </c>
      <c r="B13" s="86">
        <f>+SUMIFS(Export!L:L,Export!I:I,N13,Export!E:E,L13)/$B$6+SUMIFS(Export!L:L,Export!I:I,N13,Export!E:E,M13)/$B$6</f>
        <v>470.83333333333331</v>
      </c>
      <c r="C13" s="83">
        <f>SUMIFS(Export!N:N,Export!I:I,N13,Export!E:E,M13)/C$6</f>
        <v>400</v>
      </c>
      <c r="D13" s="102">
        <f>+C13-B13</f>
        <v>-70.833333333333314</v>
      </c>
      <c r="E13" s="112">
        <f t="shared" si="0"/>
        <v>-0.17708333333333329</v>
      </c>
      <c r="F13" s="86"/>
      <c r="G13" s="86"/>
      <c r="H13" s="86"/>
      <c r="I13" s="83" t="e">
        <f>AVERAGE(F13:H13)</f>
        <v>#DIV/0!</v>
      </c>
      <c r="J13" s="102">
        <f>+H13-F13</f>
        <v>0</v>
      </c>
      <c r="K13" s="115">
        <f t="shared" si="1"/>
        <v>0</v>
      </c>
      <c r="L13" s="162">
        <v>210</v>
      </c>
      <c r="M13" s="162">
        <v>200</v>
      </c>
      <c r="N13" s="162" t="s">
        <v>1267</v>
      </c>
    </row>
    <row r="14" spans="1:18" x14ac:dyDescent="0.25">
      <c r="A14" s="10" t="s">
        <v>1279</v>
      </c>
      <c r="B14" s="86">
        <f>+SUMIFS(Export!L:L,Export!I:I,N14,Export!E:E,L14)/$B$6+SUMIFS(Export!L:L,Export!I:I,N14,Export!E:E,M14)/$B$6</f>
        <v>26.015833333333333</v>
      </c>
      <c r="C14" s="83">
        <f>SUMIFS(Export!N:N,Export!I:I,N14,Export!E:E,M14)/C$6</f>
        <v>0</v>
      </c>
      <c r="D14" s="102">
        <f t="shared" ref="D14:D21" si="2">+C14-B14</f>
        <v>-26.015833333333333</v>
      </c>
      <c r="E14" s="112">
        <f t="shared" si="0"/>
        <v>0</v>
      </c>
      <c r="F14" s="86"/>
      <c r="G14" s="86"/>
      <c r="H14" s="86"/>
      <c r="I14" s="83" t="e">
        <f>AVERAGE(F14:H14)</f>
        <v>#DIV/0!</v>
      </c>
      <c r="J14" s="102">
        <f t="shared" ref="J14:J21" si="3">+H14-F14</f>
        <v>0</v>
      </c>
      <c r="K14" s="115">
        <f t="shared" si="1"/>
        <v>0</v>
      </c>
      <c r="L14" s="162">
        <v>210</v>
      </c>
      <c r="M14" s="162">
        <v>200</v>
      </c>
      <c r="N14" s="162" t="s">
        <v>1279</v>
      </c>
    </row>
    <row r="15" spans="1:18" x14ac:dyDescent="0.25">
      <c r="A15" s="55" t="s">
        <v>1620</v>
      </c>
      <c r="B15" s="87">
        <f>+SUM(B13:B14)</f>
        <v>496.84916666666663</v>
      </c>
      <c r="C15" s="84">
        <f>+SUM(C13:C14)</f>
        <v>400</v>
      </c>
      <c r="D15" s="103">
        <f t="shared" si="2"/>
        <v>-96.849166666666633</v>
      </c>
      <c r="E15" s="113">
        <f t="shared" si="0"/>
        <v>-0.24212291666666658</v>
      </c>
      <c r="F15" s="87"/>
      <c r="G15" s="87"/>
      <c r="H15" s="87"/>
      <c r="I15" s="84" t="e">
        <f>+SUM(I13:I14)</f>
        <v>#DIV/0!</v>
      </c>
      <c r="J15" s="103">
        <f t="shared" si="3"/>
        <v>0</v>
      </c>
      <c r="K15" s="116">
        <f t="shared" si="1"/>
        <v>0</v>
      </c>
      <c r="L15" s="162"/>
      <c r="M15" s="162"/>
    </row>
    <row r="16" spans="1:18" x14ac:dyDescent="0.25">
      <c r="A16" s="10" t="s">
        <v>1244</v>
      </c>
      <c r="B16" s="86">
        <f>+SUMIFS(Export!L:L,Export!I:I,N16,Export!E:E,L16)/$B$6+SUMIFS(Export!L:L,Export!I:I,N16,Export!E:E,M16)/$B$6</f>
        <v>463.36383333333339</v>
      </c>
      <c r="C16" s="83">
        <f>SUMIFS(Export!N:N,Export!I:I,N16,Export!E:E,M16)/C$6</f>
        <v>0</v>
      </c>
      <c r="D16" s="102">
        <f t="shared" si="2"/>
        <v>-463.36383333333339</v>
      </c>
      <c r="E16" s="112">
        <f t="shared" si="0"/>
        <v>0</v>
      </c>
      <c r="F16" s="86"/>
      <c r="G16" s="86"/>
      <c r="H16" s="86"/>
      <c r="I16" s="83" t="e">
        <f>AVERAGE(F16:H16)</f>
        <v>#DIV/0!</v>
      </c>
      <c r="J16" s="102">
        <f t="shared" si="3"/>
        <v>0</v>
      </c>
      <c r="K16" s="115">
        <f t="shared" si="1"/>
        <v>0</v>
      </c>
      <c r="L16" s="162">
        <v>210</v>
      </c>
      <c r="M16" s="162">
        <v>200</v>
      </c>
      <c r="N16" s="162" t="s">
        <v>1244</v>
      </c>
    </row>
    <row r="17" spans="1:18" x14ac:dyDescent="0.25">
      <c r="A17" s="10" t="s">
        <v>1298</v>
      </c>
      <c r="B17" s="86">
        <f>+SUMIFS(Export!L:L,Export!I:I,N17,Export!E:E,L17)/$B$6+SUMIFS(Export!L:L,Export!I:I,N17,Export!E:E,M17)/$B$6</f>
        <v>126.90866666666668</v>
      </c>
      <c r="C17" s="83">
        <f>SUMIFS(Export!N:N,Export!I:I,N17,Export!E:E,M17)/C$6</f>
        <v>733.33333333333337</v>
      </c>
      <c r="D17" s="102">
        <f t="shared" si="2"/>
        <v>606.42466666666667</v>
      </c>
      <c r="E17" s="112">
        <f t="shared" si="0"/>
        <v>0.82694272727272722</v>
      </c>
      <c r="F17" s="86"/>
      <c r="G17" s="86"/>
      <c r="H17" s="86"/>
      <c r="I17" s="83" t="e">
        <f>AVERAGE(F17:H17)</f>
        <v>#DIV/0!</v>
      </c>
      <c r="J17" s="102">
        <f t="shared" si="3"/>
        <v>0</v>
      </c>
      <c r="K17" s="115">
        <f t="shared" si="1"/>
        <v>0</v>
      </c>
      <c r="L17" s="162">
        <v>210</v>
      </c>
      <c r="M17" s="162">
        <v>200</v>
      </c>
      <c r="N17" s="162" t="s">
        <v>1298</v>
      </c>
    </row>
    <row r="18" spans="1:18" x14ac:dyDescent="0.25">
      <c r="A18" s="10" t="s">
        <v>1314</v>
      </c>
      <c r="B18" s="86">
        <f>+SUMIFS(Export!L:L,Export!I:I,N18,Export!E:E,L18)/$B$6+SUMIFS(Export!L:L,Export!I:I,N18,Export!E:E,M18)/$B$6</f>
        <v>126.77733333333335</v>
      </c>
      <c r="C18" s="83">
        <f>SUMIFS(Export!N:N,Export!I:I,N18,Export!E:E,M18)/C$6</f>
        <v>0</v>
      </c>
      <c r="D18" s="102">
        <f t="shared" si="2"/>
        <v>-126.77733333333335</v>
      </c>
      <c r="E18" s="112">
        <f t="shared" si="0"/>
        <v>0</v>
      </c>
      <c r="F18" s="86"/>
      <c r="G18" s="86"/>
      <c r="H18" s="86"/>
      <c r="I18" s="83" t="e">
        <f>AVERAGE(F18:H18)</f>
        <v>#DIV/0!</v>
      </c>
      <c r="J18" s="102">
        <f t="shared" si="3"/>
        <v>0</v>
      </c>
      <c r="K18" s="115">
        <f t="shared" si="1"/>
        <v>0</v>
      </c>
      <c r="L18" s="162">
        <v>210</v>
      </c>
      <c r="M18" s="162">
        <v>200</v>
      </c>
      <c r="N18" s="162" t="s">
        <v>1314</v>
      </c>
    </row>
    <row r="19" spans="1:18" x14ac:dyDescent="0.25">
      <c r="A19" s="10" t="s">
        <v>1359</v>
      </c>
      <c r="B19" s="86">
        <f>+SUMIFS(Export!L:L,Export!I:I,N19,Export!E:E,L19)/$B$6+SUMIFS(Export!L:L,Export!I:I,N19,Export!E:E,M19)/$B$6</f>
        <v>0</v>
      </c>
      <c r="C19" s="83">
        <f>SUMIFS(Export!N:N,Export!I:I,N19,Export!E:E,M19)/C$6</f>
        <v>0</v>
      </c>
      <c r="D19" s="102">
        <f t="shared" si="2"/>
        <v>0</v>
      </c>
      <c r="E19" s="112">
        <f t="shared" si="0"/>
        <v>0</v>
      </c>
      <c r="F19" s="86"/>
      <c r="G19" s="86"/>
      <c r="H19" s="86"/>
      <c r="I19" s="83" t="e">
        <f>AVERAGE(F19:H19)</f>
        <v>#DIV/0!</v>
      </c>
      <c r="J19" s="102">
        <f t="shared" si="3"/>
        <v>0</v>
      </c>
      <c r="K19" s="115">
        <f t="shared" si="1"/>
        <v>0</v>
      </c>
      <c r="L19" s="162">
        <v>210</v>
      </c>
      <c r="M19" s="162">
        <v>200</v>
      </c>
      <c r="N19" s="162" t="s">
        <v>1359</v>
      </c>
    </row>
    <row r="20" spans="1:18" x14ac:dyDescent="0.25">
      <c r="A20" s="55" t="s">
        <v>1621</v>
      </c>
      <c r="B20" s="87">
        <f>+SUM(B16:B19)</f>
        <v>717.04983333333337</v>
      </c>
      <c r="C20" s="84">
        <f>+SUM(C16:C19)</f>
        <v>733.33333333333337</v>
      </c>
      <c r="D20" s="103">
        <f t="shared" si="2"/>
        <v>16.283500000000004</v>
      </c>
      <c r="E20" s="113">
        <f t="shared" si="0"/>
        <v>2.2204772727272733E-2</v>
      </c>
      <c r="F20" s="87"/>
      <c r="G20" s="87"/>
      <c r="H20" s="87"/>
      <c r="I20" s="84" t="e">
        <f>+SUM(I16:I19)</f>
        <v>#DIV/0!</v>
      </c>
      <c r="J20" s="103">
        <f t="shared" si="3"/>
        <v>0</v>
      </c>
      <c r="K20" s="116">
        <f t="shared" si="1"/>
        <v>0</v>
      </c>
      <c r="L20" s="162"/>
      <c r="M20" s="162"/>
    </row>
    <row r="21" spans="1:18" x14ac:dyDescent="0.25">
      <c r="A21" s="55" t="s">
        <v>1622</v>
      </c>
      <c r="B21" s="87">
        <f>++B20+B15</f>
        <v>1213.8989999999999</v>
      </c>
      <c r="C21" s="84">
        <f>++C20+C15</f>
        <v>1133.3333333333335</v>
      </c>
      <c r="D21" s="103">
        <f t="shared" si="2"/>
        <v>-80.565666666666402</v>
      </c>
      <c r="E21" s="113">
        <f t="shared" si="0"/>
        <v>-7.1087352941176227E-2</v>
      </c>
      <c r="F21" s="87"/>
      <c r="G21" s="87"/>
      <c r="H21" s="87"/>
      <c r="I21" s="84" t="e">
        <f>++I20+I15</f>
        <v>#DIV/0!</v>
      </c>
      <c r="J21" s="103">
        <f t="shared" si="3"/>
        <v>0</v>
      </c>
      <c r="K21" s="116">
        <f t="shared" si="1"/>
        <v>0</v>
      </c>
      <c r="L21" s="162"/>
      <c r="M21" s="162"/>
    </row>
    <row r="22" spans="1:18" x14ac:dyDescent="0.25">
      <c r="A22" s="10" t="s">
        <v>1623</v>
      </c>
      <c r="B22" s="86">
        <f>+B11-B21</f>
        <v>815.75766666666664</v>
      </c>
      <c r="C22" s="83">
        <f>+C11-C21</f>
        <v>816.66666666666652</v>
      </c>
      <c r="D22" s="102">
        <f>+D11-D21</f>
        <v>160.22233333333293</v>
      </c>
      <c r="E22" s="112">
        <f t="shared" si="0"/>
        <v>0.19619061224489751</v>
      </c>
      <c r="F22" s="86"/>
      <c r="G22" s="86"/>
      <c r="H22" s="86"/>
      <c r="I22" s="83" t="e">
        <f>+I11-I21</f>
        <v>#DIV/0!</v>
      </c>
      <c r="J22" s="102">
        <f>+J11-J21</f>
        <v>0</v>
      </c>
      <c r="K22" s="115">
        <f t="shared" si="1"/>
        <v>0</v>
      </c>
      <c r="L22" s="162"/>
      <c r="M22" s="162"/>
    </row>
    <row r="23" spans="1:18" x14ac:dyDescent="0.25">
      <c r="A23" s="10" t="s">
        <v>1624</v>
      </c>
      <c r="B23" s="86">
        <f>+B22*B6</f>
        <v>48945.46</v>
      </c>
      <c r="C23" s="83">
        <f>+C22*C6</f>
        <v>51041.666666666657</v>
      </c>
      <c r="D23" s="102">
        <f>+B23-C23</f>
        <v>-2096.2066666666578</v>
      </c>
      <c r="E23" s="112">
        <f t="shared" si="0"/>
        <v>-4.106853877551004E-2</v>
      </c>
      <c r="F23" s="86"/>
      <c r="G23" s="86"/>
      <c r="H23" s="86"/>
      <c r="I23" s="83">
        <f>SUM(F23:H23)</f>
        <v>0</v>
      </c>
      <c r="J23" s="102">
        <f>+F23-H23</f>
        <v>0</v>
      </c>
      <c r="K23" s="115">
        <f t="shared" si="1"/>
        <v>0</v>
      </c>
      <c r="L23" s="162"/>
      <c r="M23" s="162"/>
    </row>
    <row r="24" spans="1:18" x14ac:dyDescent="0.25">
      <c r="A24" s="10" t="s">
        <v>1008</v>
      </c>
      <c r="B24" s="86">
        <f>-SUMIFS(Export!L:L,Export!I:I,N24,Export!E:E,L24)-SUMIFS(Export!L:L,Export!I:I,N24,Export!E:E,M24)</f>
        <v>389.32000000000062</v>
      </c>
      <c r="C24" s="83">
        <f>-HLOOKUP(J1,'Input Sheet'!1:1048576,13,FALSE)</f>
        <v>1333.3333333333333</v>
      </c>
      <c r="D24" s="102">
        <f>+B24-C24</f>
        <v>-944.01333333333264</v>
      </c>
      <c r="E24" s="112">
        <f t="shared" si="0"/>
        <v>-0.70800999999999947</v>
      </c>
      <c r="F24" s="86"/>
      <c r="G24" s="86"/>
      <c r="H24" s="86"/>
      <c r="I24" s="83">
        <f>SUM(F24:H24)</f>
        <v>0</v>
      </c>
      <c r="J24" s="102">
        <f>+F24-H24</f>
        <v>0</v>
      </c>
      <c r="K24" s="115">
        <f t="shared" si="1"/>
        <v>0</v>
      </c>
      <c r="L24" s="162">
        <v>210</v>
      </c>
      <c r="M24" s="162">
        <v>200</v>
      </c>
      <c r="N24" s="162" t="s">
        <v>1008</v>
      </c>
    </row>
    <row r="25" spans="1:18" s="163" customFormat="1" ht="15.75" thickBot="1" x14ac:dyDescent="0.3">
      <c r="A25" s="11" t="s">
        <v>1625</v>
      </c>
      <c r="B25" s="88">
        <f>+B23+B24</f>
        <v>49334.78</v>
      </c>
      <c r="C25" s="85">
        <f>+C23+C24</f>
        <v>52374.999999999993</v>
      </c>
      <c r="D25" s="104">
        <f>+D23+D24</f>
        <v>-3040.2199999999903</v>
      </c>
      <c r="E25" s="114">
        <f t="shared" si="0"/>
        <v>-5.8047159904534427E-2</v>
      </c>
      <c r="F25" s="88"/>
      <c r="G25" s="88"/>
      <c r="H25" s="88"/>
      <c r="I25" s="85">
        <f>SUM(F25:H25)</f>
        <v>0</v>
      </c>
      <c r="J25" s="104">
        <f>+J23+J24</f>
        <v>0</v>
      </c>
      <c r="K25" s="117">
        <f t="shared" si="1"/>
        <v>0</v>
      </c>
      <c r="L25" s="164"/>
      <c r="M25" s="164"/>
      <c r="N25" s="164"/>
      <c r="O25" s="164"/>
      <c r="P25" s="164"/>
      <c r="Q25" s="164"/>
      <c r="R25" s="164"/>
    </row>
    <row r="26" spans="1:18" ht="15.75" thickTop="1" x14ac:dyDescent="0.25">
      <c r="L26" s="162"/>
      <c r="M26" s="162"/>
    </row>
    <row r="27" spans="1:18" x14ac:dyDescent="0.25">
      <c r="A27" s="10" t="s">
        <v>1626</v>
      </c>
      <c r="B27" s="12">
        <f>SUMIF('TUNZ Extracted TB'!$M:$M,O27,'TUNZ Extracted TB'!$H:$H)</f>
        <v>2</v>
      </c>
      <c r="C27" s="12">
        <f>HLOOKUP(J1,'Input Sheet'!$I:$Z,5,FALSE)</f>
        <v>2</v>
      </c>
      <c r="F27" s="12"/>
      <c r="G27" s="12"/>
      <c r="H27" s="12"/>
      <c r="I27" s="12" t="e">
        <f>AVERAGE(F27:H27)</f>
        <v>#DIV/0!</v>
      </c>
      <c r="L27" s="162"/>
      <c r="M27" s="162"/>
      <c r="N27" s="162" t="s">
        <v>1627</v>
      </c>
      <c r="O27" s="162" t="s">
        <v>1628</v>
      </c>
    </row>
    <row r="30" spans="1:18" x14ac:dyDescent="0.25">
      <c r="B30" s="284"/>
      <c r="C30" s="179"/>
      <c r="D30" s="179"/>
    </row>
    <row r="31" spans="1:18" x14ac:dyDescent="0.25">
      <c r="C31" s="284"/>
    </row>
  </sheetData>
  <mergeCells count="6">
    <mergeCell ref="A1:D1"/>
    <mergeCell ref="J1:K1"/>
    <mergeCell ref="B3:E3"/>
    <mergeCell ref="F3:K3"/>
    <mergeCell ref="D4:E4"/>
    <mergeCell ref="J4:K4"/>
  </mergeCells>
  <pageMargins left="0.7" right="0.7" top="0.75" bottom="0.75" header="0.3" footer="0.3"/>
  <pageSetup paperSize="9" orientation="landscape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DEEED-5FA3-42F7-B4C5-76A4D02CB9FB}">
  <sheetPr>
    <tabColor theme="9" tint="0.79998168889431442"/>
  </sheetPr>
  <dimension ref="A1:AS49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2" width="12.28515625" style="16" bestFit="1" customWidth="1"/>
    <col min="3" max="3" width="11.5703125" style="16" bestFit="1" customWidth="1"/>
    <col min="4" max="4" width="10.85546875" style="16" bestFit="1" customWidth="1"/>
    <col min="5" max="9" width="9.7109375" style="16" customWidth="1"/>
    <col min="10" max="11" width="9.7109375" style="16" hidden="1" customWidth="1"/>
    <col min="12" max="12" width="3.28515625" style="16" customWidth="1"/>
    <col min="13" max="13" width="2.85546875" style="16" customWidth="1"/>
    <col min="14" max="20" width="11.7109375" style="3" customWidth="1" outlineLevel="1"/>
    <col min="21" max="36" width="9.140625" style="16" customWidth="1" outlineLevel="1"/>
    <col min="37" max="37" width="9.140625" style="16"/>
    <col min="38" max="38" width="14.7109375" style="16" bestFit="1" customWidth="1"/>
    <col min="39" max="39" width="9.28515625" style="201" bestFit="1" customWidth="1"/>
    <col min="40" max="16384" width="9.140625" style="16"/>
  </cols>
  <sheetData>
    <row r="1" spans="1:45" ht="15" customHeight="1" x14ac:dyDescent="0.25">
      <c r="A1" s="326" t="s">
        <v>1604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  <c r="AL1" s="201" t="s">
        <v>1606</v>
      </c>
    </row>
    <row r="2" spans="1:45" ht="6.6" customHeight="1" thickBot="1" x14ac:dyDescent="0.3"/>
    <row r="3" spans="1:45" ht="15.75" thickTop="1" x14ac:dyDescent="0.25">
      <c r="A3" s="18" t="s">
        <v>1591</v>
      </c>
      <c r="B3" s="344" t="s">
        <v>155</v>
      </c>
      <c r="C3" s="329"/>
      <c r="D3" s="329"/>
      <c r="E3" s="329"/>
      <c r="F3" s="344" t="s">
        <v>155</v>
      </c>
      <c r="G3" s="344"/>
      <c r="H3" s="329"/>
      <c r="I3" s="329"/>
      <c r="J3" s="329"/>
      <c r="K3" s="345"/>
    </row>
    <row r="4" spans="1:45" x14ac:dyDescent="0.25">
      <c r="A4" s="19" t="s">
        <v>1591</v>
      </c>
      <c r="B4" s="20" t="s">
        <v>1591</v>
      </c>
      <c r="C4" s="20"/>
      <c r="D4" s="346"/>
      <c r="E4" s="331"/>
      <c r="F4" s="20" t="s">
        <v>1591</v>
      </c>
      <c r="G4" s="20"/>
      <c r="H4" s="20"/>
      <c r="I4" s="20"/>
      <c r="J4" s="346" t="s">
        <v>1608</v>
      </c>
      <c r="K4" s="347"/>
    </row>
    <row r="5" spans="1:45" x14ac:dyDescent="0.25">
      <c r="A5" s="19" t="s">
        <v>1630</v>
      </c>
      <c r="B5" s="21" t="s">
        <v>12</v>
      </c>
      <c r="C5" s="21" t="s">
        <v>1592</v>
      </c>
      <c r="D5" s="22" t="s">
        <v>1609</v>
      </c>
      <c r="E5" s="22" t="s">
        <v>1610</v>
      </c>
      <c r="F5" s="21" t="str">
        <f>OVERALL!F5</f>
        <v>0124</v>
      </c>
      <c r="G5" s="21" t="str">
        <f>OVERALL!G5</f>
        <v>0224</v>
      </c>
      <c r="H5" s="21" t="str">
        <f>OVERALL!H5</f>
        <v>0324</v>
      </c>
      <c r="I5" s="21" t="str">
        <f>OVERALL!I5</f>
        <v>Q124</v>
      </c>
      <c r="J5" s="22" t="s">
        <v>1609</v>
      </c>
      <c r="K5" s="23" t="s">
        <v>1610</v>
      </c>
      <c r="AL5" s="201" t="s">
        <v>12</v>
      </c>
      <c r="AM5" s="201" t="s">
        <v>1592</v>
      </c>
    </row>
    <row r="6" spans="1:45" x14ac:dyDescent="0.25">
      <c r="A6" s="24" t="s">
        <v>1631</v>
      </c>
      <c r="B6" s="25">
        <f>+SUMIF('TUNZ Extracted TB'!$A:$A,"6205#",'TUNZ Extracted TB'!G:G)</f>
        <v>17</v>
      </c>
      <c r="C6" s="144">
        <f>HLOOKUP(J1,'Input Sheet'!1:1048576,18,FALSE)+HLOOKUP(J1,'Input Sheet'!1:1048576,19,FALSE)</f>
        <v>49</v>
      </c>
      <c r="D6" s="166">
        <f>+B6-C6</f>
        <v>-32</v>
      </c>
      <c r="E6" s="118">
        <f>IFERROR(+D6/C6,0)</f>
        <v>-0.65306122448979587</v>
      </c>
      <c r="F6" s="25">
        <v>17</v>
      </c>
      <c r="G6" s="25"/>
      <c r="H6" s="25"/>
      <c r="I6" s="144">
        <f>SUM(F6:H6)</f>
        <v>17</v>
      </c>
      <c r="J6" s="166">
        <f>+F6-H6</f>
        <v>17</v>
      </c>
      <c r="K6" s="122">
        <f>IFERROR(+J6/H6,0)</f>
        <v>0</v>
      </c>
      <c r="M6" s="238"/>
      <c r="AM6" s="202"/>
    </row>
    <row r="7" spans="1:45" x14ac:dyDescent="0.25">
      <c r="A7" s="24" t="s">
        <v>1632</v>
      </c>
      <c r="B7" s="25">
        <f>+SUMIF('TUNZ Extracted TB'!$A:$A,"6206#",'TUNZ Extracted TB'!G:G)</f>
        <v>32</v>
      </c>
      <c r="C7" s="144">
        <v>0.1</v>
      </c>
      <c r="D7" s="166">
        <f>+B7-C7</f>
        <v>31.9</v>
      </c>
      <c r="E7" s="118">
        <f>IFERROR(+D7/C7,0)</f>
        <v>318.99999999999994</v>
      </c>
      <c r="F7" s="25">
        <v>32</v>
      </c>
      <c r="G7" s="25"/>
      <c r="H7" s="25"/>
      <c r="I7" s="144">
        <f t="shared" ref="I7:I9" si="0">SUM(F7:H7)</f>
        <v>32</v>
      </c>
      <c r="J7" s="166">
        <f>+F7-H7</f>
        <v>32</v>
      </c>
      <c r="K7" s="122">
        <f>IFERROR(+J7/H7,0)</f>
        <v>0</v>
      </c>
      <c r="M7" s="238"/>
      <c r="AM7" s="202"/>
    </row>
    <row r="8" spans="1:45" x14ac:dyDescent="0.25">
      <c r="A8" s="24" t="s">
        <v>1633</v>
      </c>
      <c r="B8" s="145">
        <f>+SUMIF('TUNZ Extracted TB'!O:O,"110#",'TUNZ Extracted TB'!G:G)+SUMIF('TUNZ Extracted TB'!O:O,"210#",'TUNZ Extracted TB'!G:G)-SUMIF('TUNZ Extracted TB'!A:A,"6060#",'TUNZ Extracted TB'!G:G)</f>
        <v>8</v>
      </c>
      <c r="C8" s="144">
        <f>HLOOKUP(J1,'Input Sheet'!1:1048576,16,FALSE)+HLOOKUP(J1,'Input Sheet'!1:1048576,17,FALSE)</f>
        <v>5.0888888888888886</v>
      </c>
      <c r="D8" s="166">
        <f t="shared" ref="D8:D12" si="1">+B8-C8</f>
        <v>2.9111111111111114</v>
      </c>
      <c r="E8" s="118">
        <f>IFERROR(+D8/C8,0)</f>
        <v>0.572052401746725</v>
      </c>
      <c r="F8" s="145">
        <v>8</v>
      </c>
      <c r="G8" s="145"/>
      <c r="H8" s="145"/>
      <c r="I8" s="144">
        <f t="shared" si="0"/>
        <v>8</v>
      </c>
      <c r="J8" s="166">
        <f t="shared" ref="J8:J12" si="2">+F8-H8</f>
        <v>8</v>
      </c>
      <c r="K8" s="122">
        <f t="shared" ref="K8:K35" si="3">IFERROR(+J8/H8,0)</f>
        <v>0</v>
      </c>
      <c r="M8" s="238"/>
      <c r="AM8" s="202"/>
    </row>
    <row r="9" spans="1:45" x14ac:dyDescent="0.25">
      <c r="A9" s="24" t="s">
        <v>1634</v>
      </c>
      <c r="B9" s="25">
        <f>+SUMIF('TUNZ Extracted TB'!$A:$A,+N9,'TUNZ Extracted TB'!$G:$G)+SUMIF('TUNZ Extracted TB'!$A:$A,+O9,'TUNZ Extracted TB'!$G:$G)-SUMIF('TUNZ Extracted TB'!$M:$M,+P9,'TUNZ Extracted TB'!$G:$G)-SUMIF('TUNZ Extracted TB'!$M:$M,+Q9,'TUNZ Extracted TB'!$G:$G)</f>
        <v>62</v>
      </c>
      <c r="C9" s="144">
        <f>HLOOKUP(J1,'Input Sheet'!1:1048576,20,FALSE)+HLOOKUP(J1,'Input Sheet'!1:1048576,21,FALSE)</f>
        <v>80</v>
      </c>
      <c r="D9" s="166">
        <f>+B9-C9</f>
        <v>-18</v>
      </c>
      <c r="E9" s="118">
        <f>IFERROR(+D9/C9,0)</f>
        <v>-0.22500000000000001</v>
      </c>
      <c r="F9" s="25">
        <v>62</v>
      </c>
      <c r="G9" s="25"/>
      <c r="H9" s="25"/>
      <c r="I9" s="144">
        <f t="shared" si="0"/>
        <v>62</v>
      </c>
      <c r="J9" s="166">
        <f>+F9-H9</f>
        <v>62</v>
      </c>
      <c r="K9" s="122">
        <f>IFERROR(+J9/H9,0)</f>
        <v>0</v>
      </c>
      <c r="L9" s="268"/>
      <c r="M9" s="238"/>
      <c r="N9" s="3" t="s">
        <v>85</v>
      </c>
      <c r="O9" s="3" t="s">
        <v>692</v>
      </c>
      <c r="P9" s="3" t="s">
        <v>1635</v>
      </c>
      <c r="Q9" s="3" t="s">
        <v>1636</v>
      </c>
      <c r="AK9" s="268"/>
      <c r="AL9" s="202"/>
      <c r="AM9" s="202"/>
    </row>
    <row r="10" spans="1:45" s="28" customFormat="1" x14ac:dyDescent="0.25">
      <c r="A10" s="27" t="s">
        <v>1637</v>
      </c>
      <c r="B10" s="150">
        <f>+SUM(B6:B9)</f>
        <v>119</v>
      </c>
      <c r="C10" s="151">
        <f>+SUM(C6:C9)</f>
        <v>134.1888888888889</v>
      </c>
      <c r="D10" s="167">
        <f t="shared" si="1"/>
        <v>-15.188888888888897</v>
      </c>
      <c r="E10" s="119">
        <f t="shared" ref="E10:E35" si="4">IFERROR(+D10/C10,0)</f>
        <v>-0.11319036184482907</v>
      </c>
      <c r="F10" s="150">
        <v>119</v>
      </c>
      <c r="G10" s="150"/>
      <c r="H10" s="150"/>
      <c r="I10" s="151">
        <f>+SUM(I6:I9)</f>
        <v>119</v>
      </c>
      <c r="J10" s="167">
        <f t="shared" si="2"/>
        <v>119</v>
      </c>
      <c r="K10" s="123">
        <f t="shared" si="3"/>
        <v>0</v>
      </c>
      <c r="M10" s="273"/>
      <c r="N10" s="50"/>
      <c r="O10" s="50"/>
      <c r="P10" s="50"/>
      <c r="Q10" s="50"/>
      <c r="R10" s="50"/>
      <c r="S10" s="50"/>
      <c r="T10" s="50"/>
      <c r="AK10" s="272"/>
      <c r="AL10" s="202"/>
      <c r="AM10" s="202"/>
      <c r="AP10" s="16"/>
      <c r="AQ10" s="16"/>
      <c r="AR10" s="16"/>
      <c r="AS10" s="16"/>
    </row>
    <row r="11" spans="1:45" x14ac:dyDescent="0.25">
      <c r="A11" s="24" t="s">
        <v>1638</v>
      </c>
      <c r="B11" s="145">
        <f>+SUMIF('TUNZ Extracted TB'!$A:$A,"6230#",'TUNZ Extracted TB'!G:G)+SUMIF('TUNZ Extracted TB'!$A:$A,"6232#",'TUNZ Extracted TB'!G:G)</f>
        <v>32</v>
      </c>
      <c r="C11" s="144">
        <v>0</v>
      </c>
      <c r="D11" s="166">
        <f>+B11-C11</f>
        <v>32</v>
      </c>
      <c r="E11" s="118">
        <f>IFERROR(+D11/C11,0)</f>
        <v>0</v>
      </c>
      <c r="F11" s="145">
        <v>31</v>
      </c>
      <c r="G11" s="145"/>
      <c r="H11" s="145"/>
      <c r="I11" s="144">
        <f>SUM(F11:H11)</f>
        <v>31</v>
      </c>
      <c r="J11" s="166">
        <f>+F11-H11</f>
        <v>31</v>
      </c>
      <c r="K11" s="122">
        <f>IFERROR(+J11/H11,0)</f>
        <v>0</v>
      </c>
      <c r="M11" s="274"/>
      <c r="AL11" s="202"/>
      <c r="AM11" s="202"/>
    </row>
    <row r="12" spans="1:45" x14ac:dyDescent="0.25">
      <c r="A12" s="24" t="s">
        <v>1639</v>
      </c>
      <c r="B12" s="146">
        <f>+B10/B37</f>
        <v>11.9</v>
      </c>
      <c r="C12" s="147">
        <f>+C10/C37</f>
        <v>14.909876543209878</v>
      </c>
      <c r="D12" s="166">
        <f t="shared" si="1"/>
        <v>-3.0098765432098773</v>
      </c>
      <c r="E12" s="118">
        <f t="shared" si="4"/>
        <v>-0.20187132566034616</v>
      </c>
      <c r="F12" s="146">
        <v>11.9</v>
      </c>
      <c r="G12" s="146"/>
      <c r="H12" s="146"/>
      <c r="I12" s="147">
        <f>+I10/I37</f>
        <v>11.9</v>
      </c>
      <c r="J12" s="166">
        <f t="shared" si="2"/>
        <v>11.9</v>
      </c>
      <c r="K12" s="122">
        <f t="shared" si="3"/>
        <v>0</v>
      </c>
      <c r="O12" s="194"/>
      <c r="AL12" s="202"/>
      <c r="AM12" s="202"/>
    </row>
    <row r="13" spans="1:45" x14ac:dyDescent="0.25">
      <c r="A13" s="24" t="s">
        <v>1640</v>
      </c>
      <c r="B13" s="146">
        <f>-$B$39/T17*30</f>
        <v>39.696571457176312</v>
      </c>
      <c r="C13" s="147">
        <f>-$B$39/U17*30</f>
        <v>33.082348671472708</v>
      </c>
      <c r="D13" s="166">
        <f>+C13-B13</f>
        <v>-6.6142227857036033</v>
      </c>
      <c r="E13" s="118">
        <f>IFERROR(+D13/C13,0)</f>
        <v>-0.19993208013695607</v>
      </c>
      <c r="F13" s="146">
        <v>39.761046440030881</v>
      </c>
      <c r="G13" s="146"/>
      <c r="H13" s="146"/>
      <c r="I13" s="147">
        <f>-$B$39/T17*30</f>
        <v>39.696571457176312</v>
      </c>
      <c r="J13" s="166">
        <f>+H13-F13</f>
        <v>-39.761046440030881</v>
      </c>
      <c r="K13" s="122">
        <f>IFERROR(+J13/H13,0)</f>
        <v>0</v>
      </c>
      <c r="AL13" s="202"/>
      <c r="AM13" s="202"/>
    </row>
    <row r="14" spans="1:45" x14ac:dyDescent="0.25">
      <c r="A14" s="24" t="s">
        <v>1055</v>
      </c>
      <c r="B14" s="86">
        <f>('NS USED VEHICLE'!B14*'NS USED VEHICLE'!$B6+'NW USED VEHICLE'!B14*'NW USED VEHICLE'!$B6)/$B6</f>
        <v>1740.1611764705867</v>
      </c>
      <c r="C14" s="90">
        <f>('NS USED VEHICLE'!C14*'NS USED VEHICLE'!$C6+'NW USED VEHICLE'!C14*'NW USED VEHICLE'!$C6)/$C6</f>
        <v>1100</v>
      </c>
      <c r="D14" s="105">
        <f>+B14-C14</f>
        <v>640.16117647058672</v>
      </c>
      <c r="E14" s="118">
        <f t="shared" si="4"/>
        <v>0.58196470588235161</v>
      </c>
      <c r="F14" s="86">
        <v>1740.1611764705867</v>
      </c>
      <c r="G14" s="86"/>
      <c r="H14" s="86"/>
      <c r="I14" s="90">
        <f>AVERAGE(F14:H14)</f>
        <v>1740.1611764705867</v>
      </c>
      <c r="J14" s="105">
        <f>+F14-H14</f>
        <v>1740.1611764705867</v>
      </c>
      <c r="K14" s="122">
        <f t="shared" si="3"/>
        <v>0</v>
      </c>
      <c r="L14" s="193"/>
      <c r="M14" s="193"/>
      <c r="N14" s="3" t="s">
        <v>1055</v>
      </c>
      <c r="T14" s="95" t="s">
        <v>1641</v>
      </c>
      <c r="U14" s="95" t="s">
        <v>1641</v>
      </c>
      <c r="V14" s="95" t="s">
        <v>156</v>
      </c>
      <c r="W14" s="95" t="s">
        <v>156</v>
      </c>
      <c r="AL14" s="203"/>
      <c r="AM14" s="203"/>
    </row>
    <row r="15" spans="1:45" x14ac:dyDescent="0.25">
      <c r="A15" s="24" t="s">
        <v>1058</v>
      </c>
      <c r="B15" s="86">
        <f>('NS USED VEHICLE'!B15*'NS USED VEHICLE'!$B7+'NW USED VEHICLE'!B15*'NW USED VEHICLE'!$B7)/$B7</f>
        <v>1145.2265625000007</v>
      </c>
      <c r="C15" s="90">
        <f>('NS USED VEHICLE'!C15*'NS USED VEHICLE'!$C7+'NW USED VEHICLE'!C15*'NW USED VEHICLE'!$C7)/$C7</f>
        <v>0</v>
      </c>
      <c r="D15" s="105">
        <f t="shared" ref="D15:D19" si="5">+B15-C15</f>
        <v>1145.2265625000007</v>
      </c>
      <c r="E15" s="118">
        <f t="shared" si="4"/>
        <v>0</v>
      </c>
      <c r="F15" s="86">
        <v>1173.1481250000002</v>
      </c>
      <c r="G15" s="86"/>
      <c r="H15" s="86"/>
      <c r="I15" s="90">
        <f t="shared" ref="I15:I31" si="6">AVERAGE(F15:H15)</f>
        <v>1173.1481250000002</v>
      </c>
      <c r="J15" s="105">
        <f t="shared" ref="J15:J19" si="7">+F15-H15</f>
        <v>1173.1481250000002</v>
      </c>
      <c r="K15" s="122">
        <f t="shared" si="3"/>
        <v>0</v>
      </c>
      <c r="L15" s="193"/>
      <c r="N15" s="3" t="s">
        <v>1058</v>
      </c>
      <c r="T15" s="95" t="s">
        <v>12</v>
      </c>
      <c r="U15" s="95" t="s">
        <v>1592</v>
      </c>
      <c r="V15" s="95" t="s">
        <v>12</v>
      </c>
      <c r="W15" s="95" t="s">
        <v>1592</v>
      </c>
      <c r="AL15" s="202"/>
      <c r="AM15" s="202"/>
    </row>
    <row r="16" spans="1:45" x14ac:dyDescent="0.25">
      <c r="A16" s="24" t="s">
        <v>1016</v>
      </c>
      <c r="B16" s="86">
        <f>('NS USED VEHICLE'!B16*'NS USED VEHICLE'!$B8+'NW USED VEHICLE'!B16*'NW USED VEHICLE'!$B8)/$B8</f>
        <v>2514.5600000000022</v>
      </c>
      <c r="C16" s="90">
        <f>('NS USED VEHICLE'!C16*'NS USED VEHICLE'!$C8+'NW USED VEHICLE'!C16*'NW USED VEHICLE'!$C8)/$C8</f>
        <v>3500</v>
      </c>
      <c r="D16" s="105">
        <f t="shared" si="5"/>
        <v>-985.43999999999778</v>
      </c>
      <c r="E16" s="118">
        <f t="shared" si="4"/>
        <v>-0.28155428571428509</v>
      </c>
      <c r="F16" s="86">
        <v>2514.5600000000022</v>
      </c>
      <c r="G16" s="86"/>
      <c r="H16" s="86"/>
      <c r="I16" s="90">
        <f t="shared" si="6"/>
        <v>2514.5600000000022</v>
      </c>
      <c r="J16" s="105">
        <f t="shared" si="7"/>
        <v>2514.5600000000022</v>
      </c>
      <c r="K16" s="122">
        <f t="shared" si="3"/>
        <v>0</v>
      </c>
      <c r="N16" s="3" t="s">
        <v>1016</v>
      </c>
      <c r="T16" s="159" t="s">
        <v>1642</v>
      </c>
      <c r="U16" s="159" t="s">
        <v>1642</v>
      </c>
      <c r="V16" s="159" t="s">
        <v>1642</v>
      </c>
      <c r="W16" s="159" t="s">
        <v>1642</v>
      </c>
      <c r="AL16" s="202"/>
      <c r="AM16" s="202"/>
    </row>
    <row r="17" spans="1:39" x14ac:dyDescent="0.25">
      <c r="A17" s="24" t="s">
        <v>1073</v>
      </c>
      <c r="B17" s="86">
        <f>('NS USED VEHICLE'!B17*'NS USED VEHICLE'!$B9+'NW USED VEHICLE'!B17*'NW USED VEHICLE'!$B9)/$B9</f>
        <v>2229.3022580645179</v>
      </c>
      <c r="C17" s="90">
        <f>('NS USED VEHICLE'!C17*'NS USED VEHICLE'!$C9+'NW USED VEHICLE'!C17*'NW USED VEHICLE'!$C9)/$C9</f>
        <v>2611.25</v>
      </c>
      <c r="D17" s="105">
        <f t="shared" si="5"/>
        <v>-381.9477419354821</v>
      </c>
      <c r="E17" s="118">
        <f t="shared" si="4"/>
        <v>-0.14627007829027558</v>
      </c>
      <c r="F17" s="86">
        <v>2300.1824193548405</v>
      </c>
      <c r="G17" s="86"/>
      <c r="H17" s="86"/>
      <c r="I17" s="90">
        <f t="shared" si="6"/>
        <v>2300.1824193548405</v>
      </c>
      <c r="J17" s="105">
        <f t="shared" si="7"/>
        <v>2300.1824193548405</v>
      </c>
      <c r="K17" s="122">
        <f t="shared" si="3"/>
        <v>0</v>
      </c>
      <c r="N17" s="3" t="s">
        <v>1052</v>
      </c>
      <c r="O17" s="3" t="s">
        <v>1073</v>
      </c>
      <c r="T17" s="52">
        <f>+SUMIF(Export!$I:$I,'USED VEHICLE GROUP'!$N$17,Export!L:L)</f>
        <v>-2023031.17</v>
      </c>
      <c r="U17" s="52">
        <f>+SUMIF(Export!$I:$I,'USED VEHICLE GROUP'!$N$17,Export!N:N)</f>
        <v>-2427500</v>
      </c>
      <c r="V17" s="52">
        <f>+SUMIF(Export!$I:$I,'USED VEHICLE GROUP'!$N$17,Export!O:O)</f>
        <v>0</v>
      </c>
      <c r="W17" s="52">
        <f>+SUMIF(Export!$I:$I,'USED VEHICLE GROUP'!$N$17,Export!M:M)</f>
        <v>0</v>
      </c>
      <c r="AL17" s="203"/>
      <c r="AM17" s="203"/>
    </row>
    <row r="18" spans="1:39" x14ac:dyDescent="0.25">
      <c r="A18" s="27" t="s">
        <v>1052</v>
      </c>
      <c r="B18" s="87">
        <f>(B14*B6+B15*B7+B16*B8+B17*B9)/B10</f>
        <v>1887.0857983193287</v>
      </c>
      <c r="C18" s="92">
        <f>(C14*C6+C15*C7+C16*C8+C17*C9)/C10</f>
        <v>2091.1650244265961</v>
      </c>
      <c r="D18" s="106">
        <f t="shared" si="5"/>
        <v>-204.07922610726746</v>
      </c>
      <c r="E18" s="119">
        <f t="shared" si="4"/>
        <v>-9.7591162688476299E-2</v>
      </c>
      <c r="F18" s="87">
        <v>1931.5232773109253</v>
      </c>
      <c r="G18" s="87"/>
      <c r="H18" s="87"/>
      <c r="I18" s="92">
        <f>AVERAGE(F18:H18)</f>
        <v>1931.5232773109253</v>
      </c>
      <c r="J18" s="106">
        <f t="shared" si="7"/>
        <v>1931.5232773109253</v>
      </c>
      <c r="K18" s="123">
        <f t="shared" si="3"/>
        <v>0</v>
      </c>
      <c r="N18" s="3" t="s">
        <v>1055</v>
      </c>
      <c r="O18" s="3" t="s">
        <v>1058</v>
      </c>
      <c r="P18" s="3" t="s">
        <v>1016</v>
      </c>
      <c r="Q18" s="3" t="s">
        <v>1052</v>
      </c>
      <c r="R18" s="3" t="s">
        <v>1073</v>
      </c>
      <c r="AM18" s="202"/>
    </row>
    <row r="19" spans="1:39" x14ac:dyDescent="0.25">
      <c r="A19" s="24" t="s">
        <v>1063</v>
      </c>
      <c r="B19" s="86">
        <f>('NS USED VEHICLE'!B19*'NS USED VEHICLE'!$B11+'NW USED VEHICLE'!B19*'NW USED VEHICLE'!$B11)/$B11</f>
        <v>609.92499999999995</v>
      </c>
      <c r="C19" s="90">
        <f>IFERROR(('NS USED VEHICLE'!C19*'NS USED VEHICLE'!$C11+'NW USED VEHICLE'!C19*'NW USED VEHICLE'!$C11)/$C11,0)</f>
        <v>0</v>
      </c>
      <c r="D19" s="105">
        <f t="shared" si="5"/>
        <v>609.92499999999995</v>
      </c>
      <c r="E19" s="118">
        <f t="shared" si="4"/>
        <v>0</v>
      </c>
      <c r="F19" s="86">
        <v>622.5874193548384</v>
      </c>
      <c r="G19" s="86"/>
      <c r="H19" s="86"/>
      <c r="I19" s="90">
        <f t="shared" si="6"/>
        <v>622.5874193548384</v>
      </c>
      <c r="J19" s="105">
        <f t="shared" si="7"/>
        <v>622.5874193548384</v>
      </c>
      <c r="K19" s="122">
        <f t="shared" si="3"/>
        <v>0</v>
      </c>
      <c r="M19" s="302"/>
      <c r="N19" s="3" t="s">
        <v>1063</v>
      </c>
      <c r="AM19" s="202"/>
    </row>
    <row r="20" spans="1:39" x14ac:dyDescent="0.25">
      <c r="A20" s="24" t="s">
        <v>1643</v>
      </c>
      <c r="B20" s="86">
        <f>('NS USED VEHICLE'!B20*'NS USED VEHICLE'!$B6+'NW USED VEHICLE'!B20*'NW USED VEHICLE'!$B6)/$B6</f>
        <v>1740.1611764705867</v>
      </c>
      <c r="C20" s="90">
        <f>('NS USED VEHICLE'!C20*'NS USED VEHICLE'!$C6+'NW USED VEHICLE'!C20*'NW USED VEHICLE'!$C6)/$C6</f>
        <v>1100</v>
      </c>
      <c r="D20" s="105">
        <f>+B20-C20</f>
        <v>640.16117647058672</v>
      </c>
      <c r="E20" s="118">
        <f>IFERROR(+D20/C20,0)</f>
        <v>0.58196470588235161</v>
      </c>
      <c r="F20" s="86">
        <v>1740.1611764705867</v>
      </c>
      <c r="G20" s="86"/>
      <c r="H20" s="86"/>
      <c r="I20" s="90">
        <f t="shared" si="6"/>
        <v>1740.1611764705867</v>
      </c>
      <c r="J20" s="105">
        <f>+F20-H20</f>
        <v>1740.1611764705867</v>
      </c>
      <c r="K20" s="122">
        <f>IFERROR(+J20/H20,0)</f>
        <v>0</v>
      </c>
      <c r="M20" s="195"/>
      <c r="N20" s="3" t="s">
        <v>1070</v>
      </c>
      <c r="AM20" s="202"/>
    </row>
    <row r="21" spans="1:39" x14ac:dyDescent="0.25">
      <c r="A21" s="24" t="s">
        <v>1644</v>
      </c>
      <c r="B21" s="86">
        <f>('NS USED VEHICLE'!B21*'NS USED VEHICLE'!$B7+'NW USED VEHICLE'!B21*'NW USED VEHICLE'!$B7)/$B7</f>
        <v>1145.2265625000007</v>
      </c>
      <c r="C21" s="90">
        <f>('NS USED VEHICLE'!C21*'NS USED VEHICLE'!$C7+'NW USED VEHICLE'!C21*'NW USED VEHICLE'!$C7)/$C7</f>
        <v>0</v>
      </c>
      <c r="D21" s="105">
        <f>+B21-C21</f>
        <v>1145.2265625000007</v>
      </c>
      <c r="E21" s="118">
        <f>IFERROR(+D21/C21,0)</f>
        <v>0</v>
      </c>
      <c r="F21" s="86">
        <v>1173.1481250000002</v>
      </c>
      <c r="G21" s="89"/>
      <c r="H21" s="89"/>
      <c r="I21" s="90">
        <f t="shared" si="6"/>
        <v>1173.1481250000002</v>
      </c>
      <c r="J21" s="105">
        <f>+F21-H21</f>
        <v>1173.1481250000002</v>
      </c>
      <c r="K21" s="122">
        <f>IFERROR(+J21/H21,0)</f>
        <v>0</v>
      </c>
      <c r="AM21" s="202"/>
    </row>
    <row r="22" spans="1:39" x14ac:dyDescent="0.25">
      <c r="A22" s="24" t="s">
        <v>1164</v>
      </c>
      <c r="B22" s="89">
        <f>'NS USED VEHICLE'!B22+'NW USED VEHICLE'!B22</f>
        <v>0</v>
      </c>
      <c r="C22" s="90">
        <f>'NS USED VEHICLE'!C22+'NW USED VEHICLE'!C22</f>
        <v>0</v>
      </c>
      <c r="D22" s="105">
        <f>+B22-C22</f>
        <v>0</v>
      </c>
      <c r="E22" s="118">
        <f t="shared" si="4"/>
        <v>0</v>
      </c>
      <c r="F22" s="89">
        <v>0</v>
      </c>
      <c r="G22" s="89"/>
      <c r="H22" s="89"/>
      <c r="I22" s="90">
        <f t="shared" si="6"/>
        <v>0</v>
      </c>
      <c r="J22" s="105">
        <f>+F22-H22</f>
        <v>0</v>
      </c>
      <c r="K22" s="122">
        <f t="shared" ref="K22" si="8">IFERROR(+J22/H22,0)</f>
        <v>0</v>
      </c>
      <c r="N22" s="3" t="s">
        <v>1164</v>
      </c>
      <c r="AM22" s="202"/>
    </row>
    <row r="23" spans="1:39" x14ac:dyDescent="0.25">
      <c r="A23" s="24" t="s">
        <v>1042</v>
      </c>
      <c r="B23" s="86">
        <f>+B24/B10</f>
        <v>2051.0992436974798</v>
      </c>
      <c r="C23" s="90">
        <f>+C24/C10</f>
        <v>2091.1650244265961</v>
      </c>
      <c r="D23" s="105">
        <f>+B23-C23</f>
        <v>-40.065780729116341</v>
      </c>
      <c r="E23" s="118">
        <f t="shared" si="4"/>
        <v>-1.9159549945180678E-2</v>
      </c>
      <c r="F23" s="86">
        <v>2093.7099159663876</v>
      </c>
      <c r="G23" s="86"/>
      <c r="H23" s="86"/>
      <c r="I23" s="90">
        <f t="shared" si="6"/>
        <v>2093.7099159663876</v>
      </c>
      <c r="J23" s="105">
        <f>+F23-H23</f>
        <v>2093.7099159663876</v>
      </c>
      <c r="K23" s="122">
        <f t="shared" si="3"/>
        <v>0</v>
      </c>
      <c r="AL23" s="28"/>
      <c r="AM23" s="203"/>
    </row>
    <row r="24" spans="1:39" x14ac:dyDescent="0.25">
      <c r="A24" s="27" t="s">
        <v>1645</v>
      </c>
      <c r="B24" s="87">
        <f>'NS USED VEHICLE'!B24+'NW USED VEHICLE'!B24</f>
        <v>244080.81000000011</v>
      </c>
      <c r="C24" s="92">
        <f>'NS USED VEHICLE'!C24+'NW USED VEHICLE'!C24</f>
        <v>280611.11111111112</v>
      </c>
      <c r="D24" s="106">
        <f>+B24-C24</f>
        <v>-36530.30111111101</v>
      </c>
      <c r="E24" s="119">
        <f t="shared" si="4"/>
        <v>-0.13018123539893053</v>
      </c>
      <c r="F24" s="87">
        <v>249151.4800000001</v>
      </c>
      <c r="G24" s="87"/>
      <c r="H24" s="87"/>
      <c r="I24" s="92">
        <f>SUM(F24:H24)</f>
        <v>249151.4800000001</v>
      </c>
      <c r="J24" s="106">
        <f>+F24-H24</f>
        <v>249151.4800000001</v>
      </c>
      <c r="K24" s="123">
        <f t="shared" si="3"/>
        <v>0</v>
      </c>
      <c r="N24" s="3" t="s">
        <v>1055</v>
      </c>
      <c r="O24" s="3" t="s">
        <v>1058</v>
      </c>
      <c r="P24" s="3" t="s">
        <v>1016</v>
      </c>
      <c r="Q24" s="3" t="s">
        <v>1052</v>
      </c>
      <c r="R24" s="3" t="s">
        <v>1073</v>
      </c>
      <c r="S24" s="3" t="s">
        <v>1070</v>
      </c>
      <c r="T24" s="3" t="s">
        <v>1063</v>
      </c>
      <c r="U24" s="3" t="s">
        <v>1164</v>
      </c>
    </row>
    <row r="25" spans="1:39" x14ac:dyDescent="0.25">
      <c r="A25" s="24" t="s">
        <v>1264</v>
      </c>
      <c r="B25" s="86">
        <f>('NS USED VEHICLE'!B25*'NS USED VEHICLE'!$B$10+'NW USED VEHICLE'!B25*'NW USED VEHICLE'!$B$10)/'USED VEHICLE GROUP'!$B$10</f>
        <v>499.33470588235292</v>
      </c>
      <c r="C25" s="90">
        <f>('NS USED VEHICLE'!C25*'NS USED VEHICLE'!$C$10+'NW USED VEHICLE'!C25*'NW USED VEHICLE'!$C$10)/'USED VEHICLE GROUP'!$C$10</f>
        <v>486.59959792091644</v>
      </c>
      <c r="D25" s="105">
        <f>+C25-B25</f>
        <v>-12.735107961436483</v>
      </c>
      <c r="E25" s="118">
        <f t="shared" si="4"/>
        <v>-2.6171636836219148E-2</v>
      </c>
      <c r="F25" s="86">
        <v>499.33470588235292</v>
      </c>
      <c r="G25" s="86"/>
      <c r="H25" s="86"/>
      <c r="I25" s="90">
        <f t="shared" si="6"/>
        <v>499.33470588235292</v>
      </c>
      <c r="J25" s="105">
        <f>+H25-F25</f>
        <v>-499.33470588235292</v>
      </c>
      <c r="K25" s="122">
        <f t="shared" si="3"/>
        <v>0</v>
      </c>
      <c r="N25" s="3" t="s">
        <v>1264</v>
      </c>
      <c r="AL25" s="201"/>
    </row>
    <row r="26" spans="1:39" x14ac:dyDescent="0.25">
      <c r="A26" s="24" t="s">
        <v>1167</v>
      </c>
      <c r="B26" s="86">
        <f>('NS USED VEHICLE'!B26*'NS USED VEHICLE'!$B$10+'NW USED VEHICLE'!B26*'NW USED VEHICLE'!$B$10)/'USED VEHICLE GROUP'!$B$10</f>
        <v>107.31109243697477</v>
      </c>
      <c r="C26" s="90">
        <f>('NS USED VEHICLE'!C26*'NS USED VEHICLE'!$C$10+'NW USED VEHICLE'!C26*'NW USED VEHICLE'!$C$10)/'USED VEHICLE GROUP'!$C$10</f>
        <v>0</v>
      </c>
      <c r="D26" s="105">
        <f t="shared" ref="D26:D33" si="9">+C26-B26</f>
        <v>-107.31109243697477</v>
      </c>
      <c r="E26" s="118">
        <f t="shared" si="4"/>
        <v>0</v>
      </c>
      <c r="F26" s="86">
        <v>107.31109243697477</v>
      </c>
      <c r="G26" s="86"/>
      <c r="H26" s="86"/>
      <c r="I26" s="90">
        <f t="shared" si="6"/>
        <v>107.31109243697477</v>
      </c>
      <c r="J26" s="105">
        <f t="shared" ref="J26:J33" si="10">+H26-F26</f>
        <v>-107.31109243697477</v>
      </c>
      <c r="K26" s="122">
        <f t="shared" si="3"/>
        <v>0</v>
      </c>
      <c r="N26" s="3" t="s">
        <v>1167</v>
      </c>
    </row>
    <row r="27" spans="1:39" x14ac:dyDescent="0.25">
      <c r="A27" s="24" t="s">
        <v>1646</v>
      </c>
      <c r="B27" s="86">
        <f>+SUM(B25:B26)</f>
        <v>606.6457983193277</v>
      </c>
      <c r="C27" s="90">
        <f>+SUM(C25:C26)</f>
        <v>486.59959792091644</v>
      </c>
      <c r="D27" s="105">
        <f t="shared" si="9"/>
        <v>-120.04620039841126</v>
      </c>
      <c r="E27" s="118">
        <f t="shared" si="4"/>
        <v>-0.24670427372182399</v>
      </c>
      <c r="F27" s="86">
        <v>606.6457983193277</v>
      </c>
      <c r="G27" s="86"/>
      <c r="H27" s="86"/>
      <c r="I27" s="90">
        <f>+SUM(I25:I26)</f>
        <v>606.6457983193277</v>
      </c>
      <c r="J27" s="105">
        <f t="shared" si="10"/>
        <v>-606.6457983193277</v>
      </c>
      <c r="K27" s="122">
        <f t="shared" si="3"/>
        <v>0</v>
      </c>
    </row>
    <row r="28" spans="1:39" x14ac:dyDescent="0.25">
      <c r="A28" s="24" t="s">
        <v>1241</v>
      </c>
      <c r="B28" s="86">
        <f>('NS USED VEHICLE'!B28*'NS USED VEHICLE'!$B$10+'NW USED VEHICLE'!B28*'NW USED VEHICLE'!$B$10)/'USED VEHICLE GROUP'!$B$10</f>
        <v>717.49201680672275</v>
      </c>
      <c r="C28" s="90">
        <f>('NS USED VEHICLE'!C28*'NS USED VEHICLE'!$C$10+'NW USED VEHICLE'!C28*'NW USED VEHICLE'!$C$10)/'USED VEHICLE GROUP'!$C$10</f>
        <v>0</v>
      </c>
      <c r="D28" s="105">
        <f t="shared" si="9"/>
        <v>-717.49201680672275</v>
      </c>
      <c r="E28" s="118">
        <f t="shared" si="4"/>
        <v>0</v>
      </c>
      <c r="F28" s="86">
        <v>717.49201680672275</v>
      </c>
      <c r="G28" s="86"/>
      <c r="H28" s="86"/>
      <c r="I28" s="90">
        <f t="shared" si="6"/>
        <v>717.49201680672275</v>
      </c>
      <c r="J28" s="105">
        <f t="shared" si="10"/>
        <v>-717.49201680672275</v>
      </c>
      <c r="K28" s="122">
        <f t="shared" si="3"/>
        <v>0</v>
      </c>
      <c r="N28" s="3" t="s">
        <v>1241</v>
      </c>
    </row>
    <row r="29" spans="1:39" x14ac:dyDescent="0.25">
      <c r="A29" s="24" t="s">
        <v>1301</v>
      </c>
      <c r="B29" s="86">
        <f>('NS USED VEHICLE'!B29*'NS USED VEHICLE'!$B$10+'NW USED VEHICLE'!B29*'NW USED VEHICLE'!$B$10)/'USED VEHICLE GROUP'!$B$10</f>
        <v>177.28756302521009</v>
      </c>
      <c r="C29" s="90">
        <f>('NS USED VEHICLE'!C29*'NS USED VEHICLE'!$C$10+'NW USED VEHICLE'!C29*'NW USED VEHICLE'!$C$10)/'USED VEHICLE GROUP'!$C$10</f>
        <v>889.63312080814751</v>
      </c>
      <c r="D29" s="105">
        <f t="shared" si="9"/>
        <v>712.34555778293748</v>
      </c>
      <c r="E29" s="118">
        <f t="shared" si="4"/>
        <v>0.80071834233851247</v>
      </c>
      <c r="F29" s="86">
        <v>174.29050420168068</v>
      </c>
      <c r="G29" s="86"/>
      <c r="H29" s="86"/>
      <c r="I29" s="90">
        <f t="shared" si="6"/>
        <v>174.29050420168068</v>
      </c>
      <c r="J29" s="105">
        <f t="shared" si="10"/>
        <v>-174.29050420168068</v>
      </c>
      <c r="K29" s="122">
        <f t="shared" si="3"/>
        <v>0</v>
      </c>
      <c r="N29" s="3" t="s">
        <v>1301</v>
      </c>
    </row>
    <row r="30" spans="1:39" x14ac:dyDescent="0.25">
      <c r="A30" s="24" t="s">
        <v>1341</v>
      </c>
      <c r="B30" s="86">
        <f>('NS USED VEHICLE'!B30*'NS USED VEHICLE'!$B$10+'NW USED VEHICLE'!B30*'NW USED VEHICLE'!$B$10)/'USED VEHICLE GROUP'!$B$10</f>
        <v>171.62655462184875</v>
      </c>
      <c r="C30" s="90">
        <f>('NS USED VEHICLE'!C30*'NS USED VEHICLE'!$C$10+'NW USED VEHICLE'!C30*'NW USED VEHICLE'!$C$10)/'USED VEHICLE GROUP'!$C$10</f>
        <v>0</v>
      </c>
      <c r="D30" s="105">
        <f t="shared" si="9"/>
        <v>-171.62655462184875</v>
      </c>
      <c r="E30" s="118">
        <f t="shared" si="4"/>
        <v>0</v>
      </c>
      <c r="F30" s="86">
        <v>171.62655462184875</v>
      </c>
      <c r="G30" s="86"/>
      <c r="H30" s="86"/>
      <c r="I30" s="90">
        <f t="shared" si="6"/>
        <v>171.62655462184875</v>
      </c>
      <c r="J30" s="105">
        <f t="shared" si="10"/>
        <v>-171.62655462184875</v>
      </c>
      <c r="K30" s="122">
        <f t="shared" si="3"/>
        <v>0</v>
      </c>
      <c r="N30" s="3" t="s">
        <v>1341</v>
      </c>
    </row>
    <row r="31" spans="1:39" x14ac:dyDescent="0.25">
      <c r="A31" s="24" t="s">
        <v>1327</v>
      </c>
      <c r="B31" s="86">
        <f>('NS USED VEHICLE'!B31*'NS USED VEHICLE'!$B$10+'NW USED VEHICLE'!B31*'NW USED VEHICLE'!$B$10)/'USED VEHICLE GROUP'!$B$10</f>
        <v>104.22369747899158</v>
      </c>
      <c r="C31" s="90">
        <f>('NS USED VEHICLE'!C31*'NS USED VEHICLE'!$C$10+'NW USED VEHICLE'!C31*'NW USED VEHICLE'!$C$10)/'USED VEHICLE GROUP'!$C$10</f>
        <v>0</v>
      </c>
      <c r="D31" s="105">
        <f t="shared" si="9"/>
        <v>-104.22369747899158</v>
      </c>
      <c r="E31" s="118">
        <f t="shared" si="4"/>
        <v>0</v>
      </c>
      <c r="F31" s="86">
        <v>104.22369747899158</v>
      </c>
      <c r="G31" s="86"/>
      <c r="H31" s="86"/>
      <c r="I31" s="90">
        <f t="shared" si="6"/>
        <v>104.22369747899158</v>
      </c>
      <c r="J31" s="105">
        <f t="shared" si="10"/>
        <v>-104.22369747899158</v>
      </c>
      <c r="K31" s="122">
        <f t="shared" si="3"/>
        <v>0</v>
      </c>
      <c r="N31" s="3" t="s">
        <v>1327</v>
      </c>
    </row>
    <row r="32" spans="1:39" x14ac:dyDescent="0.25">
      <c r="A32" s="24" t="s">
        <v>1647</v>
      </c>
      <c r="B32" s="86">
        <f>+SUM(B28:B31)</f>
        <v>1170.6298319327732</v>
      </c>
      <c r="C32" s="90">
        <f>+SUM(C28:C31)</f>
        <v>889.63312080814751</v>
      </c>
      <c r="D32" s="105">
        <f t="shared" si="9"/>
        <v>-280.99671112462568</v>
      </c>
      <c r="E32" s="118">
        <f t="shared" si="4"/>
        <v>-0.31585684542563652</v>
      </c>
      <c r="F32" s="86">
        <v>1167.6327731092438</v>
      </c>
      <c r="G32" s="86"/>
      <c r="H32" s="86"/>
      <c r="I32" s="90">
        <f>+SUM(I28:I31)</f>
        <v>1167.6327731092438</v>
      </c>
      <c r="J32" s="105">
        <f t="shared" si="10"/>
        <v>-1167.6327731092438</v>
      </c>
      <c r="K32" s="122">
        <f t="shared" si="3"/>
        <v>0</v>
      </c>
    </row>
    <row r="33" spans="1:39" x14ac:dyDescent="0.25">
      <c r="A33" s="24" t="s">
        <v>1648</v>
      </c>
      <c r="B33" s="86">
        <f>+B32+B27</f>
        <v>1777.2756302521009</v>
      </c>
      <c r="C33" s="90">
        <f>+C32+C27</f>
        <v>1376.2327187290639</v>
      </c>
      <c r="D33" s="105">
        <f t="shared" si="9"/>
        <v>-401.04291152303699</v>
      </c>
      <c r="E33" s="118">
        <f t="shared" si="4"/>
        <v>-0.29140631963276953</v>
      </c>
      <c r="F33" s="86">
        <v>1774.2785714285715</v>
      </c>
      <c r="G33" s="86"/>
      <c r="H33" s="86"/>
      <c r="I33" s="90">
        <f>+I32+I27</f>
        <v>1774.2785714285715</v>
      </c>
      <c r="J33" s="105">
        <f t="shared" si="10"/>
        <v>-1774.2785714285715</v>
      </c>
      <c r="K33" s="122">
        <f t="shared" si="3"/>
        <v>0</v>
      </c>
    </row>
    <row r="34" spans="1:39" x14ac:dyDescent="0.25">
      <c r="A34" s="24" t="s">
        <v>1649</v>
      </c>
      <c r="B34" s="86">
        <f>+B23-B33</f>
        <v>273.8236134453789</v>
      </c>
      <c r="C34" s="90">
        <f>+C23-C33</f>
        <v>714.93230569753223</v>
      </c>
      <c r="D34" s="105">
        <f>+B34-C34</f>
        <v>-441.10869225215333</v>
      </c>
      <c r="E34" s="118">
        <f t="shared" si="4"/>
        <v>-0.61699364924037159</v>
      </c>
      <c r="F34" s="86">
        <v>319.43134453781613</v>
      </c>
      <c r="G34" s="86"/>
      <c r="H34" s="86"/>
      <c r="I34" s="90">
        <f>+I23-I33</f>
        <v>319.43134453781613</v>
      </c>
      <c r="J34" s="105">
        <f>+F34-H34</f>
        <v>319.43134453781613</v>
      </c>
      <c r="K34" s="122">
        <f t="shared" si="3"/>
        <v>0</v>
      </c>
    </row>
    <row r="35" spans="1:39" s="28" customFormat="1" ht="15.75" thickBot="1" x14ac:dyDescent="0.3">
      <c r="A35" s="29" t="s">
        <v>1650</v>
      </c>
      <c r="B35" s="88">
        <f>+B34*B10</f>
        <v>32585.010000000089</v>
      </c>
      <c r="C35" s="93">
        <f>+C34*C10</f>
        <v>95935.971732323305</v>
      </c>
      <c r="D35" s="107">
        <f>+B35-C35</f>
        <v>-63350.961732323216</v>
      </c>
      <c r="E35" s="120">
        <f t="shared" si="4"/>
        <v>-0.66034627667172152</v>
      </c>
      <c r="F35" s="88">
        <v>38012.330000000118</v>
      </c>
      <c r="G35" s="88"/>
      <c r="H35" s="88"/>
      <c r="I35" s="93">
        <f>SUM(F35:H35)</f>
        <v>38012.330000000118</v>
      </c>
      <c r="J35" s="107">
        <f>+F35-H35</f>
        <v>38012.330000000118</v>
      </c>
      <c r="K35" s="124">
        <f t="shared" si="3"/>
        <v>0</v>
      </c>
      <c r="N35" s="3"/>
      <c r="O35" s="3"/>
      <c r="P35" s="3"/>
      <c r="Q35" s="3"/>
      <c r="R35" s="3"/>
      <c r="S35" s="3"/>
      <c r="T35" s="3"/>
      <c r="AK35" s="111"/>
      <c r="AL35" s="201">
        <f>B35-'NS USED VEHICLE'!B35-'NW USED VEHICLE'!B35</f>
        <v>-1.2732925824820995E-11</v>
      </c>
      <c r="AM35" s="201">
        <f>C35-'NS USED VEHICLE'!C35-'NW USED VEHICLE'!C35</f>
        <v>6.9121597334742546E-11</v>
      </c>
    </row>
    <row r="36" spans="1:39" ht="15.75" thickTop="1" x14ac:dyDescent="0.25">
      <c r="E36" s="121"/>
      <c r="AK36" s="195"/>
    </row>
    <row r="37" spans="1:39" s="149" customFormat="1" x14ac:dyDescent="0.25">
      <c r="A37" s="10" t="s">
        <v>1626</v>
      </c>
      <c r="B37" s="12">
        <f>'NS USED VEHICLE'!B37+'NW USED VEHICLE'!B37</f>
        <v>10</v>
      </c>
      <c r="C37" s="12">
        <f>'NS USED VEHICLE'!C37+'NW USED VEHICLE'!C37</f>
        <v>9</v>
      </c>
      <c r="F37" s="12">
        <f>B37</f>
        <v>10</v>
      </c>
      <c r="G37" s="12"/>
      <c r="H37" s="12"/>
      <c r="I37" s="12">
        <f>AVERAGE(F37:H37)</f>
        <v>10</v>
      </c>
      <c r="N37" s="3" t="s">
        <v>1651</v>
      </c>
      <c r="O37" s="3" t="s">
        <v>1652</v>
      </c>
      <c r="P37" s="3" t="s">
        <v>1653</v>
      </c>
      <c r="Q37" s="3"/>
      <c r="R37" s="3"/>
      <c r="AL37" s="16"/>
      <c r="AM37" s="201"/>
    </row>
    <row r="38" spans="1:39" hidden="1" x14ac:dyDescent="0.25">
      <c r="I38" s="16" t="e">
        <f t="shared" ref="I38:I39" si="11">AVERAGE(F38:H38)</f>
        <v>#DIV/0!</v>
      </c>
    </row>
    <row r="39" spans="1:39" x14ac:dyDescent="0.25">
      <c r="A39" s="3" t="s">
        <v>1654</v>
      </c>
      <c r="B39" s="89">
        <f>+SUMIF('TUNZ Extracted TB'!M:M,N39,'TUNZ Extracted TB'!H:H)</f>
        <v>2676913.38</v>
      </c>
      <c r="F39" s="89">
        <f>B39</f>
        <v>2676913.38</v>
      </c>
      <c r="G39" s="89"/>
      <c r="H39" s="89"/>
      <c r="I39" s="89">
        <f t="shared" si="11"/>
        <v>2676913.38</v>
      </c>
      <c r="N39" s="3" t="s">
        <v>1655</v>
      </c>
    </row>
    <row r="41" spans="1:39" x14ac:dyDescent="0.25">
      <c r="B41" s="270">
        <f>B9/B10</f>
        <v>0.52100840336134457</v>
      </c>
      <c r="C41" s="270"/>
      <c r="F41" s="270"/>
      <c r="G41" s="270"/>
      <c r="H41" s="270"/>
      <c r="I41" s="270"/>
      <c r="J41" s="270"/>
    </row>
    <row r="42" spans="1:39" x14ac:dyDescent="0.25">
      <c r="B42" s="193"/>
      <c r="C42" s="193"/>
    </row>
    <row r="43" spans="1:39" x14ac:dyDescent="0.25">
      <c r="B43" s="193"/>
      <c r="C43" s="193"/>
      <c r="D43" s="193"/>
    </row>
    <row r="44" spans="1:39" x14ac:dyDescent="0.25">
      <c r="B44" s="193"/>
      <c r="C44" s="302"/>
    </row>
    <row r="45" spans="1:39" x14ac:dyDescent="0.25">
      <c r="B45" s="193"/>
      <c r="C45" s="193"/>
    </row>
    <row r="46" spans="1:39" x14ac:dyDescent="0.25">
      <c r="B46" s="193"/>
      <c r="C46" s="193"/>
      <c r="D46" s="193"/>
    </row>
    <row r="48" spans="1:39" x14ac:dyDescent="0.25">
      <c r="B48" s="277"/>
      <c r="C48" s="277"/>
      <c r="D48" s="235"/>
    </row>
    <row r="49" spans="2:4" x14ac:dyDescent="0.25">
      <c r="B49" s="193"/>
      <c r="C49" s="193"/>
      <c r="D49" s="193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scale="95" orientation="landscape" horizontalDpi="300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F8B1C-082E-4976-A668-D3352B0293CF}">
  <sheetPr>
    <tabColor theme="9" tint="0.79998168889431442"/>
  </sheetPr>
  <dimension ref="A1:AK45"/>
  <sheetViews>
    <sheetView workbookViewId="0">
      <selection activeCell="B8" sqref="B8"/>
    </sheetView>
  </sheetViews>
  <sheetFormatPr defaultColWidth="9.140625" defaultRowHeight="15" outlineLevelCol="1" x14ac:dyDescent="0.25"/>
  <cols>
    <col min="1" max="1" width="35.7109375" style="16" customWidth="1"/>
    <col min="2" max="2" width="8" style="16" bestFit="1" customWidth="1" outlineLevel="1"/>
    <col min="3" max="3" width="8.140625" style="16" bestFit="1" customWidth="1" outlineLevel="1"/>
    <col min="4" max="4" width="9.28515625" style="16" bestFit="1" customWidth="1" outlineLevel="1"/>
    <col min="5" max="5" width="9.140625" style="16" customWidth="1" outlineLevel="1"/>
    <col min="6" max="6" width="8.85546875" style="16" bestFit="1" customWidth="1"/>
    <col min="7" max="7" width="9" style="16" customWidth="1"/>
    <col min="8" max="9" width="8.28515625" style="16" customWidth="1"/>
    <col min="10" max="10" width="7.85546875" style="16" hidden="1" customWidth="1"/>
    <col min="11" max="11" width="8.7109375" style="16" hidden="1" customWidth="1"/>
    <col min="12" max="12" width="3.28515625" style="16" bestFit="1" customWidth="1"/>
    <col min="13" max="13" width="4.140625" style="16" customWidth="1"/>
    <col min="14" max="14" width="9.28515625" style="16" bestFit="1" customWidth="1"/>
    <col min="15" max="21" width="11.7109375" style="3" customWidth="1" outlineLevel="1"/>
    <col min="22" max="37" width="9.140625" style="16" customWidth="1" outlineLevel="1"/>
    <col min="38" max="16384" width="9.140625" style="16"/>
  </cols>
  <sheetData>
    <row r="1" spans="1:26" ht="15" customHeight="1" x14ac:dyDescent="0.25">
      <c r="A1" s="326" t="s">
        <v>1604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26" ht="6.6" customHeight="1" thickBot="1" x14ac:dyDescent="0.3"/>
    <row r="3" spans="1:26" ht="15.75" thickTop="1" x14ac:dyDescent="0.25">
      <c r="A3" s="18" t="s">
        <v>1591</v>
      </c>
      <c r="B3" s="344" t="s">
        <v>155</v>
      </c>
      <c r="C3" s="329"/>
      <c r="D3" s="329"/>
      <c r="E3" s="329"/>
      <c r="F3" s="344" t="s">
        <v>1629</v>
      </c>
      <c r="G3" s="344"/>
      <c r="H3" s="329"/>
      <c r="I3" s="329"/>
      <c r="J3" s="329"/>
      <c r="K3" s="345"/>
    </row>
    <row r="4" spans="1:26" x14ac:dyDescent="0.25">
      <c r="A4" s="19" t="s">
        <v>1591</v>
      </c>
      <c r="B4" s="20" t="s">
        <v>1591</v>
      </c>
      <c r="C4" s="20"/>
      <c r="D4" s="346"/>
      <c r="E4" s="331"/>
      <c r="F4" s="20" t="s">
        <v>1591</v>
      </c>
      <c r="G4" s="20"/>
      <c r="H4" s="20"/>
      <c r="I4" s="20"/>
      <c r="J4" s="346"/>
      <c r="K4" s="347"/>
    </row>
    <row r="5" spans="1:26" x14ac:dyDescent="0.25">
      <c r="A5" s="19" t="s">
        <v>1630</v>
      </c>
      <c r="B5" s="21" t="s">
        <v>12</v>
      </c>
      <c r="C5" s="21" t="s">
        <v>1592</v>
      </c>
      <c r="D5" s="22" t="s">
        <v>1609</v>
      </c>
      <c r="E5" s="22" t="s">
        <v>1610</v>
      </c>
      <c r="F5" s="260" t="str">
        <f>OVERALL!F5</f>
        <v>0124</v>
      </c>
      <c r="G5" s="260" t="str">
        <f>OVERALL!G5</f>
        <v>0224</v>
      </c>
      <c r="H5" s="260" t="str">
        <f>OVERALL!H5</f>
        <v>0324</v>
      </c>
      <c r="I5" s="21" t="str">
        <f>OVERALL!I5</f>
        <v>Q124</v>
      </c>
      <c r="J5" s="22" t="s">
        <v>1609</v>
      </c>
      <c r="K5" s="23" t="s">
        <v>1610</v>
      </c>
    </row>
    <row r="6" spans="1:26" x14ac:dyDescent="0.25">
      <c r="A6" s="24" t="s">
        <v>1631</v>
      </c>
      <c r="B6" s="25">
        <f>+SUMIF('TUNZ Extracted TB'!$M:$M,"121-6205#",'TUNZ Extracted TB'!G:G)</f>
        <v>14</v>
      </c>
      <c r="C6" s="144">
        <f>HLOOKUP(J1,'Input Sheet'!1:1048576,18,FALSE)</f>
        <v>29</v>
      </c>
      <c r="D6" s="166">
        <f>+B6-C6</f>
        <v>-15</v>
      </c>
      <c r="E6" s="118">
        <f>IFERROR(+D6/C6,0)</f>
        <v>-0.51724137931034486</v>
      </c>
      <c r="F6" s="25"/>
      <c r="G6" s="25"/>
      <c r="H6" s="25"/>
      <c r="I6" s="144">
        <f>SUM(F6:H6)</f>
        <v>0</v>
      </c>
      <c r="J6" s="166">
        <f>+F6-H6</f>
        <v>0</v>
      </c>
      <c r="K6" s="122">
        <f>IFERROR(+J6/H6,0)</f>
        <v>0</v>
      </c>
    </row>
    <row r="7" spans="1:26" x14ac:dyDescent="0.25">
      <c r="A7" s="24" t="s">
        <v>1632</v>
      </c>
      <c r="B7" s="25">
        <f>+SUMIF('TUNZ Extracted TB'!$M:$M,"121-6206#",'TUNZ Extracted TB'!G:G)</f>
        <v>20</v>
      </c>
      <c r="C7" s="144">
        <v>0.1</v>
      </c>
      <c r="D7" s="166">
        <f>+B7-C7</f>
        <v>19.899999999999999</v>
      </c>
      <c r="E7" s="118">
        <f>IFERROR(+D7/C7,0)</f>
        <v>198.99999999999997</v>
      </c>
      <c r="F7" s="25"/>
      <c r="G7" s="25"/>
      <c r="H7" s="25"/>
      <c r="I7" s="144">
        <f t="shared" ref="I7:I9" si="0">SUM(F7:H7)</f>
        <v>0</v>
      </c>
      <c r="J7" s="166">
        <f>+F7-H7</f>
        <v>0</v>
      </c>
      <c r="K7" s="122">
        <f>IFERROR(+J7/H7,0)</f>
        <v>0</v>
      </c>
    </row>
    <row r="8" spans="1:26" x14ac:dyDescent="0.25">
      <c r="A8" s="24" t="s">
        <v>1633</v>
      </c>
      <c r="B8" s="25">
        <f>+SUMIF('TUNZ Extracted TB'!O:O,"110#",'TUNZ Extracted TB'!G:G)-SUMIF('TUNZ Extracted TB'!M:M,"110-6060#",'TUNZ Extracted TB'!G:G)</f>
        <v>1</v>
      </c>
      <c r="C8" s="144">
        <f>HLOOKUP(J1,'Input Sheet'!1:1048576,16,FALSE)</f>
        <v>3</v>
      </c>
      <c r="D8" s="166">
        <f t="shared" ref="D8:D12" si="1">+B8-C8</f>
        <v>-2</v>
      </c>
      <c r="E8" s="118">
        <f>IFERROR(+D8/C8,0)</f>
        <v>-0.66666666666666663</v>
      </c>
      <c r="F8" s="145"/>
      <c r="G8" s="145"/>
      <c r="H8" s="145"/>
      <c r="I8" s="144">
        <f t="shared" si="0"/>
        <v>0</v>
      </c>
      <c r="J8" s="166">
        <f t="shared" ref="J8:J12" si="2">+F8-H8</f>
        <v>0</v>
      </c>
      <c r="K8" s="122">
        <f t="shared" ref="K8:K35" si="3">IFERROR(+J8/H8,0)</f>
        <v>0</v>
      </c>
    </row>
    <row r="9" spans="1:26" x14ac:dyDescent="0.25">
      <c r="A9" s="24" t="s">
        <v>1634</v>
      </c>
      <c r="B9" s="25">
        <f>+SUMIF('TUNZ Extracted TB'!$M:$M,+O9,'TUNZ Extracted TB'!$G:$G)+SUMIF('TUNZ Extracted TB'!$M:$M,+P9,'TUNZ Extracted TB'!$G:$G)</f>
        <v>42</v>
      </c>
      <c r="C9" s="144">
        <f>HLOOKUP(J1,'Input Sheet'!1:1048576,20,FALSE)</f>
        <v>53</v>
      </c>
      <c r="D9" s="166">
        <f>+B9-C9</f>
        <v>-11</v>
      </c>
      <c r="E9" s="118">
        <f>IFERROR(+D9/C9,0)</f>
        <v>-0.20754716981132076</v>
      </c>
      <c r="F9" s="25"/>
      <c r="G9" s="25"/>
      <c r="H9" s="25"/>
      <c r="I9" s="144">
        <f t="shared" si="0"/>
        <v>0</v>
      </c>
      <c r="J9" s="166">
        <f>+F9-H9</f>
        <v>0</v>
      </c>
      <c r="K9" s="122">
        <f>IFERROR(+J9/H9,0)</f>
        <v>0</v>
      </c>
      <c r="O9" s="3" t="s">
        <v>1656</v>
      </c>
      <c r="P9" s="3" t="s">
        <v>1657</v>
      </c>
      <c r="Z9" s="16" t="e">
        <f>I9/I10</f>
        <v>#DIV/0!</v>
      </c>
    </row>
    <row r="10" spans="1:26" s="28" customFormat="1" x14ac:dyDescent="0.25">
      <c r="A10" s="27" t="s">
        <v>1637</v>
      </c>
      <c r="B10" s="150">
        <f>+SUM(B6:B9)</f>
        <v>77</v>
      </c>
      <c r="C10" s="151">
        <f>+SUM(C6:C9)</f>
        <v>85.1</v>
      </c>
      <c r="D10" s="167">
        <f t="shared" si="1"/>
        <v>-8.0999999999999943</v>
      </c>
      <c r="E10" s="119">
        <f t="shared" ref="E10:E35" si="4">IFERROR(+D10/C10,0)</f>
        <v>-9.5182138660399471E-2</v>
      </c>
      <c r="F10" s="150"/>
      <c r="G10" s="150"/>
      <c r="H10" s="150"/>
      <c r="I10" s="151">
        <f>+SUM(I6:I9)</f>
        <v>0</v>
      </c>
      <c r="J10" s="167">
        <f t="shared" si="2"/>
        <v>0</v>
      </c>
      <c r="K10" s="123">
        <f t="shared" si="3"/>
        <v>0</v>
      </c>
      <c r="O10" s="50"/>
      <c r="P10" s="50"/>
      <c r="Q10" s="50"/>
      <c r="R10" s="50"/>
      <c r="S10" s="50"/>
      <c r="T10" s="50"/>
      <c r="U10" s="50"/>
      <c r="Z10" s="28">
        <f>C9/C10</f>
        <v>0.62279670975323154</v>
      </c>
    </row>
    <row r="11" spans="1:26" x14ac:dyDescent="0.25">
      <c r="A11" s="24" t="s">
        <v>1638</v>
      </c>
      <c r="B11" s="25">
        <f>+SUMIF('TUNZ Extracted TB'!$A:$A,"6230#",'TUNZ Extracted TB'!G:G)+SUMIF('TUNZ Extracted TB'!$A:$A,"6232#",'TUNZ Extracted TB'!G:G)-SUMIF('TUNZ Extracted TB'!$M:$M,"220-6230#",'TUNZ Extracted TB'!G:G)-SUMIF('TUNZ Extracted TB'!$M:$M,"220-6232#",'TUNZ Extracted TB'!G:G)</f>
        <v>14</v>
      </c>
      <c r="C11" s="144">
        <v>0</v>
      </c>
      <c r="D11" s="166">
        <f>+B11-C11</f>
        <v>14</v>
      </c>
      <c r="E11" s="118">
        <f>IFERROR(+D11/C11,0)</f>
        <v>0</v>
      </c>
      <c r="F11" s="145"/>
      <c r="G11" s="145"/>
      <c r="H11" s="145"/>
      <c r="I11" s="144">
        <f>SUM(F11:H11)</f>
        <v>0</v>
      </c>
      <c r="J11" s="166">
        <f>+F11-H11</f>
        <v>0</v>
      </c>
      <c r="K11" s="122">
        <f>IFERROR(+J11/H11,0)</f>
        <v>0</v>
      </c>
    </row>
    <row r="12" spans="1:26" x14ac:dyDescent="0.25">
      <c r="A12" s="24" t="s">
        <v>1639</v>
      </c>
      <c r="B12" s="146">
        <f>+B10/B37</f>
        <v>12.833333333333334</v>
      </c>
      <c r="C12" s="147">
        <f>+C10/C37</f>
        <v>17.02</v>
      </c>
      <c r="D12" s="166">
        <f t="shared" si="1"/>
        <v>-4.1866666666666656</v>
      </c>
      <c r="E12" s="118">
        <f t="shared" si="4"/>
        <v>-0.24598511555033289</v>
      </c>
      <c r="F12" s="146"/>
      <c r="G12" s="146"/>
      <c r="H12" s="146"/>
      <c r="I12" s="147" t="e">
        <f>+I10/I37</f>
        <v>#DIV/0!</v>
      </c>
      <c r="J12" s="166">
        <f t="shared" si="2"/>
        <v>0</v>
      </c>
      <c r="K12" s="122">
        <f t="shared" si="3"/>
        <v>0</v>
      </c>
    </row>
    <row r="13" spans="1:26" x14ac:dyDescent="0.25">
      <c r="A13" s="24" t="s">
        <v>1640</v>
      </c>
      <c r="B13" s="146">
        <f>-$B$39/U17*30</f>
        <v>33.884826511542755</v>
      </c>
      <c r="C13" s="147">
        <f>'USED VEHICLE GROUP'!C13</f>
        <v>33.082348671472708</v>
      </c>
      <c r="D13" s="166">
        <f>+C13-B13</f>
        <v>-0.80247784007004697</v>
      </c>
      <c r="E13" s="118">
        <f>IFERROR(+D13/C13,0)</f>
        <v>-2.4256979092963642E-2</v>
      </c>
      <c r="F13" s="146"/>
      <c r="G13" s="146"/>
      <c r="H13" s="146"/>
      <c r="I13" s="147">
        <f>-$B$39/U17*30</f>
        <v>33.884826511542755</v>
      </c>
      <c r="J13" s="166">
        <f>+H13-F13</f>
        <v>0</v>
      </c>
      <c r="K13" s="122">
        <f>IFERROR(+J13/H13,0)</f>
        <v>0</v>
      </c>
    </row>
    <row r="14" spans="1:26" x14ac:dyDescent="0.25">
      <c r="A14" s="24" t="s">
        <v>1055</v>
      </c>
      <c r="B14" s="86">
        <f>(-SUMIFS(Export!L:L,Export!I:I,O14,Export!E:E,N14)-SUMIFS(Export!L:L,Export!I:I,O14,Export!E:E,M14))/B6</f>
        <v>1825.6014285714275</v>
      </c>
      <c r="C14" s="90">
        <f>-(HLOOKUP(J1,'Input Sheet'!1:1048576,26,FALSE)+HLOOKUP(J1,'Input Sheet'!1:1048576,28,FALSE))/C6</f>
        <v>1100</v>
      </c>
      <c r="D14" s="105">
        <f>+B14-C14</f>
        <v>725.6014285714275</v>
      </c>
      <c r="E14" s="118">
        <f t="shared" si="4"/>
        <v>0.65963766233766141</v>
      </c>
      <c r="F14" s="86"/>
      <c r="G14" s="86"/>
      <c r="H14" s="86"/>
      <c r="I14" s="90" t="e">
        <f>AVERAGE(F14:H14)</f>
        <v>#DIV/0!</v>
      </c>
      <c r="J14" s="105">
        <f>+F14-H14</f>
        <v>0</v>
      </c>
      <c r="K14" s="122">
        <f t="shared" si="3"/>
        <v>0</v>
      </c>
      <c r="L14" s="162"/>
      <c r="M14" s="162">
        <v>120</v>
      </c>
      <c r="N14" s="162">
        <v>121</v>
      </c>
      <c r="O14" s="3" t="s">
        <v>1055</v>
      </c>
      <c r="U14" s="95" t="s">
        <v>1641</v>
      </c>
      <c r="V14" s="95" t="s">
        <v>1641</v>
      </c>
      <c r="W14" s="95" t="s">
        <v>156</v>
      </c>
      <c r="X14" s="95" t="s">
        <v>156</v>
      </c>
    </row>
    <row r="15" spans="1:26" x14ac:dyDescent="0.25">
      <c r="A15" s="24" t="s">
        <v>1058</v>
      </c>
      <c r="B15" s="86">
        <f>(-SUMIFS(Export!L:L,Export!I:I,O15,Export!E:E,N15)-SUMIFS(Export!L:L,Export!I:I,O15,Export!E:E,M15))/B7</f>
        <v>1112.4135000000019</v>
      </c>
      <c r="C15" s="90">
        <v>0</v>
      </c>
      <c r="D15" s="105">
        <f t="shared" ref="D15:D19" si="5">+B15-C15</f>
        <v>1112.4135000000019</v>
      </c>
      <c r="E15" s="118">
        <f t="shared" si="4"/>
        <v>0</v>
      </c>
      <c r="F15" s="86"/>
      <c r="G15" s="86"/>
      <c r="H15" s="86"/>
      <c r="I15" s="90" t="e">
        <f t="shared" ref="I15:I31" si="6">AVERAGE(F15:H15)</f>
        <v>#DIV/0!</v>
      </c>
      <c r="J15" s="105">
        <f t="shared" ref="J15:J19" si="7">+F15-H15</f>
        <v>0</v>
      </c>
      <c r="K15" s="122">
        <f t="shared" si="3"/>
        <v>0</v>
      </c>
      <c r="L15" s="162"/>
      <c r="M15" s="162">
        <v>120</v>
      </c>
      <c r="N15" s="162">
        <v>121</v>
      </c>
      <c r="O15" s="3" t="s">
        <v>1058</v>
      </c>
      <c r="U15" s="95" t="s">
        <v>12</v>
      </c>
      <c r="V15" s="95" t="s">
        <v>1592</v>
      </c>
      <c r="W15" s="95" t="s">
        <v>12</v>
      </c>
      <c r="X15" s="95" t="s">
        <v>1592</v>
      </c>
    </row>
    <row r="16" spans="1:26" x14ac:dyDescent="0.25">
      <c r="A16" s="24" t="s">
        <v>1016</v>
      </c>
      <c r="B16" s="86">
        <f>(-SUMIFS(Export!L:L,Export!I:I,O16,Export!E:E,N16)-SUMIFS(Export!L:L,Export!I:I,O16,Export!E:E,M16))/B8</f>
        <v>3346.819999999997</v>
      </c>
      <c r="C16" s="90">
        <f>IFERROR(-(HLOOKUP(J1,'Input Sheet'!1:1048576,22,FALSE)+HLOOKUP(J1,'Input Sheet'!1:1048576,24,FALSE))/C8,0)</f>
        <v>3500</v>
      </c>
      <c r="D16" s="105">
        <f t="shared" si="5"/>
        <v>-153.18000000000302</v>
      </c>
      <c r="E16" s="118">
        <f t="shared" si="4"/>
        <v>-4.376571428571515E-2</v>
      </c>
      <c r="F16" s="86"/>
      <c r="G16" s="86"/>
      <c r="H16" s="86"/>
      <c r="I16" s="90" t="e">
        <f t="shared" si="6"/>
        <v>#DIV/0!</v>
      </c>
      <c r="J16" s="105">
        <f t="shared" si="7"/>
        <v>0</v>
      </c>
      <c r="K16" s="122">
        <f t="shared" si="3"/>
        <v>0</v>
      </c>
      <c r="L16" s="162"/>
      <c r="M16" s="162">
        <v>110</v>
      </c>
      <c r="N16" s="162">
        <v>100</v>
      </c>
      <c r="O16" s="3" t="s">
        <v>1016</v>
      </c>
      <c r="U16" s="159" t="s">
        <v>1642</v>
      </c>
      <c r="V16" s="159" t="s">
        <v>1642</v>
      </c>
      <c r="W16" s="159" t="s">
        <v>1642</v>
      </c>
      <c r="X16" s="159" t="s">
        <v>1642</v>
      </c>
    </row>
    <row r="17" spans="1:26" x14ac:dyDescent="0.25">
      <c r="A17" s="24" t="s">
        <v>1073</v>
      </c>
      <c r="B17" s="86">
        <f>((-SUMIFS(Export!L:L,Export!I:I,O17,Export!E:E,N17)-SUMIFS(Export!L:L,Export!I:I,O17,Export!E:E,M17))+(-SUMIFS(Export!L:L,Export!I:I,P17,Export!E:E,N17)-SUMIFS(Export!L:L,Export!I:I,P17,Export!E:E,M17)))/B9</f>
        <v>2065.936904761907</v>
      </c>
      <c r="C17" s="90">
        <f>-(HLOOKUP(J1,'Input Sheet'!1:1048576,30,FALSE)+HLOOKUP(J1,'Input Sheet'!1:1048576,32,FALSE))/C9</f>
        <v>2677.3584905660377</v>
      </c>
      <c r="D17" s="105">
        <f t="shared" si="5"/>
        <v>-611.4215858041307</v>
      </c>
      <c r="E17" s="118">
        <f t="shared" si="4"/>
        <v>-0.2283674703849114</v>
      </c>
      <c r="F17" s="86"/>
      <c r="G17" s="86"/>
      <c r="H17" s="86"/>
      <c r="I17" s="90" t="e">
        <f t="shared" si="6"/>
        <v>#DIV/0!</v>
      </c>
      <c r="J17" s="105">
        <f t="shared" si="7"/>
        <v>0</v>
      </c>
      <c r="K17" s="122">
        <f t="shared" si="3"/>
        <v>0</v>
      </c>
      <c r="L17" s="162"/>
      <c r="M17" s="162">
        <v>120</v>
      </c>
      <c r="N17" s="162">
        <v>121</v>
      </c>
      <c r="O17" s="3" t="s">
        <v>1052</v>
      </c>
      <c r="P17" s="3" t="s">
        <v>1073</v>
      </c>
      <c r="U17" s="52">
        <f>SUMIFS(Export!L:L,Export!I:I,O17,Export!E:E,N17)+SUMIFS(Export!L:L,Export!I:I,O17,Export!E:E,M17)</f>
        <v>-1422006.4200000002</v>
      </c>
      <c r="V17" s="52">
        <f>SUMIFS(Export!N:N,Export!I:I,O17,Export!E:E,N17)+SUMIFS(Export!N:N,Export!I:I,O17,Export!E:E,M17)</f>
        <v>-1590000</v>
      </c>
      <c r="W17" s="52">
        <f>+SUMIF(Export!$I:$I,'NS USED VEHICLE'!$O$17,Export!O:O)</f>
        <v>0</v>
      </c>
      <c r="X17" s="52">
        <f>+SUMIF(Export!$I:$I,'NS USED VEHICLE'!$O$17,Export!M:M)</f>
        <v>0</v>
      </c>
      <c r="Z17" s="195"/>
    </row>
    <row r="18" spans="1:26" x14ac:dyDescent="0.25">
      <c r="A18" s="27" t="s">
        <v>1052</v>
      </c>
      <c r="B18" s="87">
        <f>(B14*B6+B7*B15+B8*B16+B9*B17)/B10</f>
        <v>1791.2059740259754</v>
      </c>
      <c r="C18" s="92">
        <f>(C14*C6+C7*C15+C8*C16+C9*C17)/C10</f>
        <v>2165.6874265569918</v>
      </c>
      <c r="D18" s="106">
        <f t="shared" si="5"/>
        <v>-374.48145253101643</v>
      </c>
      <c r="E18" s="119">
        <f t="shared" si="4"/>
        <v>-0.17291574395219478</v>
      </c>
      <c r="F18" s="87"/>
      <c r="G18" s="87"/>
      <c r="H18" s="87"/>
      <c r="I18" s="92" t="e">
        <f>AVERAGE(F18:H18)</f>
        <v>#DIV/0!</v>
      </c>
      <c r="J18" s="106">
        <f t="shared" si="7"/>
        <v>0</v>
      </c>
      <c r="K18" s="123">
        <f t="shared" si="3"/>
        <v>0</v>
      </c>
      <c r="L18" s="162"/>
      <c r="M18" s="162"/>
      <c r="N18" s="162"/>
      <c r="O18" s="3" t="s">
        <v>1055</v>
      </c>
      <c r="P18" s="3" t="s">
        <v>1058</v>
      </c>
      <c r="Q18" s="3" t="s">
        <v>1016</v>
      </c>
      <c r="R18" s="3" t="s">
        <v>1052</v>
      </c>
      <c r="S18" s="3" t="s">
        <v>1073</v>
      </c>
      <c r="Z18" s="193"/>
    </row>
    <row r="19" spans="1:26" x14ac:dyDescent="0.25">
      <c r="A19" s="24" t="s">
        <v>1063</v>
      </c>
      <c r="B19" s="86">
        <f>(-SUMIFS(Export!L:L,Export!I:I,O19,Export!E:E,N19)-SUMIFS(Export!L:L,Export!I:I,O19,Export!E:E,M19))/B11</f>
        <v>938.52499999999986</v>
      </c>
      <c r="C19" s="90">
        <v>0</v>
      </c>
      <c r="D19" s="105">
        <f t="shared" si="5"/>
        <v>938.52499999999986</v>
      </c>
      <c r="E19" s="118">
        <f t="shared" si="4"/>
        <v>0</v>
      </c>
      <c r="F19" s="86"/>
      <c r="G19" s="86"/>
      <c r="H19" s="86"/>
      <c r="I19" s="90" t="e">
        <f t="shared" si="6"/>
        <v>#DIV/0!</v>
      </c>
      <c r="J19" s="105">
        <f t="shared" si="7"/>
        <v>0</v>
      </c>
      <c r="K19" s="122">
        <f t="shared" si="3"/>
        <v>0</v>
      </c>
      <c r="L19" s="162"/>
      <c r="M19" s="162">
        <v>120</v>
      </c>
      <c r="N19" s="162">
        <v>121</v>
      </c>
      <c r="O19" s="3" t="s">
        <v>1063</v>
      </c>
      <c r="Z19" s="193"/>
    </row>
    <row r="20" spans="1:26" x14ac:dyDescent="0.25">
      <c r="A20" s="24" t="s">
        <v>1643</v>
      </c>
      <c r="B20" s="86">
        <f>(((-SUMIFS(Export!L:L,Export!I:I,O20,Export!E:E,N20)-SUMIFS(Export!L:L,Export!I:I,O20,Export!E:E,M20))/SUM($B$6:$B$7)*$B$6+$B$14*$B$6))/$B$6</f>
        <v>1825.6014285714275</v>
      </c>
      <c r="C20" s="90">
        <f>(((-SUMIFS(Export!N:N,Export!I:I,O20,Export!E:E,N20)-SUMIFS(Export!N:N,Export!I:I,O20,Export!E:E,M20))/SUM($C$6:$C$7)*$C$6+$C$14*$C$6))/$C$6</f>
        <v>1100</v>
      </c>
      <c r="D20" s="105">
        <f>+B20-C20</f>
        <v>725.6014285714275</v>
      </c>
      <c r="E20" s="118">
        <f>IFERROR(+D20/C20,0)</f>
        <v>0.65963766233766141</v>
      </c>
      <c r="F20" s="86"/>
      <c r="G20" s="86"/>
      <c r="H20" s="86"/>
      <c r="I20" s="90" t="e">
        <f t="shared" si="6"/>
        <v>#DIV/0!</v>
      </c>
      <c r="J20" s="105">
        <f>+F20-H20</f>
        <v>0</v>
      </c>
      <c r="K20" s="122">
        <f>IFERROR(+J20/H20,0)</f>
        <v>0</v>
      </c>
      <c r="L20" s="162"/>
      <c r="M20" s="162">
        <v>120</v>
      </c>
      <c r="N20" s="162">
        <v>121</v>
      </c>
      <c r="O20" s="3" t="s">
        <v>1070</v>
      </c>
    </row>
    <row r="21" spans="1:26" x14ac:dyDescent="0.25">
      <c r="A21" s="24" t="s">
        <v>1644</v>
      </c>
      <c r="B21" s="86">
        <f>(((-SUMIFS(Export!L:L,Export!I:I,O21,Export!E:E,N21)-SUMIFS(Export!L:L,Export!I:I,O21,Export!E:E,M21))/SUM($B$6:$B$7)*$B$7)+($B$15*$B$7))/$B$7</f>
        <v>1112.4135000000019</v>
      </c>
      <c r="C21" s="90">
        <f>(((-SUMIFS(Export!N:N,Export!I:I,O21,Export!E:E,N21)-SUMIFS(Export!N:N,Export!I:I,O21,Export!E:E,M21))/SUM($C$6:$C$7)*$C$7)+($C$15*$C$7))/$C$7</f>
        <v>0</v>
      </c>
      <c r="D21" s="105">
        <f>+B21-C21</f>
        <v>1112.4135000000019</v>
      </c>
      <c r="E21" s="118">
        <f>IFERROR(+D21/C21,0)</f>
        <v>0</v>
      </c>
      <c r="F21" s="89"/>
      <c r="G21" s="89"/>
      <c r="H21" s="89"/>
      <c r="I21" s="90" t="e">
        <f t="shared" si="6"/>
        <v>#DIV/0!</v>
      </c>
      <c r="J21" s="105">
        <f>+F21-H21</f>
        <v>0</v>
      </c>
      <c r="K21" s="122">
        <f>IFERROR(+J21/H21,0)</f>
        <v>0</v>
      </c>
      <c r="L21" s="162"/>
      <c r="M21" s="162">
        <v>120</v>
      </c>
      <c r="N21" s="162">
        <v>121</v>
      </c>
      <c r="O21" s="3" t="s">
        <v>1070</v>
      </c>
    </row>
    <row r="22" spans="1:26" x14ac:dyDescent="0.25">
      <c r="A22" s="24" t="s">
        <v>1164</v>
      </c>
      <c r="B22" s="86">
        <f>(-SUMIFS(Export!L:L,Export!I:I,O22,Export!E:E,N22)-SUMIFS(Export!L:L,Export!I:I,O22,Export!E:E,M22)-SUMIFS(Export!L:L,Export!I:I,O22,Export!E:E,L22))</f>
        <v>0</v>
      </c>
      <c r="C22" s="90">
        <v>0</v>
      </c>
      <c r="D22" s="105">
        <f>+B22-C22</f>
        <v>0</v>
      </c>
      <c r="E22" s="118">
        <f t="shared" si="4"/>
        <v>0</v>
      </c>
      <c r="F22" s="89"/>
      <c r="G22" s="89"/>
      <c r="H22" s="89"/>
      <c r="I22" s="90" t="e">
        <f t="shared" si="6"/>
        <v>#DIV/0!</v>
      </c>
      <c r="J22" s="105">
        <f>+F22-H22</f>
        <v>0</v>
      </c>
      <c r="K22" s="122">
        <f t="shared" ref="K22" si="8">IFERROR(+J22/H22,0)</f>
        <v>0</v>
      </c>
      <c r="L22" s="162">
        <v>110</v>
      </c>
      <c r="M22" s="162">
        <v>120</v>
      </c>
      <c r="N22" s="162">
        <v>121</v>
      </c>
      <c r="O22" s="3" t="s">
        <v>1164</v>
      </c>
    </row>
    <row r="23" spans="1:26" x14ac:dyDescent="0.25">
      <c r="A23" s="24" t="s">
        <v>1042</v>
      </c>
      <c r="B23" s="86">
        <f>(B20*B6+B21*B7+B16*B8+B17*B9)/B10</f>
        <v>1791.2059740259754</v>
      </c>
      <c r="C23" s="90">
        <f>(C20*C6+C21*C7+C16*C8+C17*C9)/C10</f>
        <v>2165.6874265569918</v>
      </c>
      <c r="D23" s="105">
        <f>+B23-C23</f>
        <v>-374.48145253101643</v>
      </c>
      <c r="E23" s="118">
        <f t="shared" si="4"/>
        <v>-0.17291574395219478</v>
      </c>
      <c r="F23" s="86"/>
      <c r="G23" s="86"/>
      <c r="H23" s="86"/>
      <c r="I23" s="90" t="e">
        <f t="shared" si="6"/>
        <v>#DIV/0!</v>
      </c>
      <c r="J23" s="105">
        <f>+F23-H23</f>
        <v>0</v>
      </c>
      <c r="K23" s="122">
        <f t="shared" si="3"/>
        <v>0</v>
      </c>
      <c r="L23" s="162"/>
      <c r="M23" s="162"/>
      <c r="N23" s="162"/>
    </row>
    <row r="24" spans="1:26" x14ac:dyDescent="0.25">
      <c r="A24" s="27" t="s">
        <v>1645</v>
      </c>
      <c r="B24" s="87">
        <f>B19*B11+B23*B10+B22</f>
        <v>151062.21000000011</v>
      </c>
      <c r="C24" s="92">
        <f>C23*C10</f>
        <v>184300</v>
      </c>
      <c r="D24" s="106">
        <f>+B24-C24</f>
        <v>-33237.789999999892</v>
      </c>
      <c r="E24" s="119">
        <f t="shared" si="4"/>
        <v>-0.18034612045577803</v>
      </c>
      <c r="F24" s="87"/>
      <c r="G24" s="87"/>
      <c r="H24" s="87"/>
      <c r="I24" s="92">
        <f>SUM(F24:H24)</f>
        <v>0</v>
      </c>
      <c r="J24" s="106">
        <f>+F24-H24</f>
        <v>0</v>
      </c>
      <c r="K24" s="123">
        <f t="shared" si="3"/>
        <v>0</v>
      </c>
      <c r="L24" s="162"/>
      <c r="M24" s="162"/>
      <c r="N24" s="162"/>
      <c r="V24" s="3"/>
    </row>
    <row r="25" spans="1:26" x14ac:dyDescent="0.25">
      <c r="A25" s="24" t="s">
        <v>1264</v>
      </c>
      <c r="B25" s="86">
        <f>(+SUMIFS(Export!L:L,Export!I:I,O25,Export!E:E,N25)+SUMIFS(Export!L:L,Export!I:I,O25,Export!E:E,M25))/$B$10</f>
        <v>547.15363636363634</v>
      </c>
      <c r="C25" s="90">
        <f>HLOOKUP(J1,'Input Sheet'!1:1048576,34,FALSE)/C10</f>
        <v>509.66384645515075</v>
      </c>
      <c r="D25" s="105">
        <f>+C25-B25</f>
        <v>-37.489789908485591</v>
      </c>
      <c r="E25" s="118">
        <f t="shared" si="4"/>
        <v>-7.3557875782708879E-2</v>
      </c>
      <c r="F25" s="86"/>
      <c r="G25" s="86"/>
      <c r="H25" s="86"/>
      <c r="I25" s="90" t="e">
        <f t="shared" si="6"/>
        <v>#DIV/0!</v>
      </c>
      <c r="J25" s="105">
        <f>+H25-F25</f>
        <v>0</v>
      </c>
      <c r="K25" s="122">
        <f t="shared" si="3"/>
        <v>0</v>
      </c>
      <c r="L25" s="162"/>
      <c r="M25" s="162">
        <v>120</v>
      </c>
      <c r="N25" s="162">
        <v>121</v>
      </c>
      <c r="O25" s="3" t="s">
        <v>1264</v>
      </c>
    </row>
    <row r="26" spans="1:26" x14ac:dyDescent="0.25">
      <c r="A26" s="24" t="s">
        <v>1167</v>
      </c>
      <c r="B26" s="86">
        <f>(+SUMIFS(Export!L:L,Export!I:I,O26,Export!E:E,N26)+SUMIFS(Export!L:L,Export!I:I,O26,Export!E:E,M26)+SUMIFS(Export!L:L,Export!I:I,O26,Export!E:E,L26))/$B$10</f>
        <v>75.461948051948042</v>
      </c>
      <c r="C26" s="90">
        <v>0</v>
      </c>
      <c r="D26" s="105">
        <f t="shared" ref="D26:D33" si="9">+C26-B26</f>
        <v>-75.461948051948042</v>
      </c>
      <c r="E26" s="118">
        <f t="shared" si="4"/>
        <v>0</v>
      </c>
      <c r="F26" s="86"/>
      <c r="G26" s="86"/>
      <c r="H26" s="86"/>
      <c r="I26" s="90" t="e">
        <f t="shared" si="6"/>
        <v>#DIV/0!</v>
      </c>
      <c r="J26" s="105">
        <f t="shared" ref="J26:J33" si="10">+H26-F26</f>
        <v>0</v>
      </c>
      <c r="K26" s="122">
        <f t="shared" si="3"/>
        <v>0</v>
      </c>
      <c r="L26" s="162">
        <v>110</v>
      </c>
      <c r="M26" s="162">
        <v>120</v>
      </c>
      <c r="N26" s="162">
        <v>121</v>
      </c>
      <c r="O26" s="3" t="s">
        <v>1167</v>
      </c>
    </row>
    <row r="27" spans="1:26" x14ac:dyDescent="0.25">
      <c r="A27" s="24" t="s">
        <v>1646</v>
      </c>
      <c r="B27" s="86">
        <f>+SUM(B25:B26)</f>
        <v>622.61558441558441</v>
      </c>
      <c r="C27" s="90">
        <f>+SUM(C25:C26)</f>
        <v>509.66384645515075</v>
      </c>
      <c r="D27" s="105">
        <f t="shared" si="9"/>
        <v>-112.95173796043366</v>
      </c>
      <c r="E27" s="118">
        <f t="shared" si="4"/>
        <v>-0.22162007124115907</v>
      </c>
      <c r="F27" s="86"/>
      <c r="G27" s="86"/>
      <c r="H27" s="86"/>
      <c r="I27" s="90" t="e">
        <f>+SUM(I25:I26)</f>
        <v>#DIV/0!</v>
      </c>
      <c r="J27" s="105">
        <f t="shared" si="10"/>
        <v>0</v>
      </c>
      <c r="K27" s="122">
        <f t="shared" si="3"/>
        <v>0</v>
      </c>
      <c r="L27" s="162"/>
      <c r="M27" s="162"/>
      <c r="N27" s="162"/>
    </row>
    <row r="28" spans="1:26" x14ac:dyDescent="0.25">
      <c r="A28" s="24" t="s">
        <v>1241</v>
      </c>
      <c r="B28" s="86">
        <f>(+SUMIFS(Export!L:L,Export!I:I,O28,Export!E:E,N28)+SUMIFS(Export!L:L,Export!I:I,O28,Export!E:E,M28)+SUMIFS(Export!L:L,Export!I:I,O28,Export!E:E,L28))/$B$10</f>
        <v>540.11012987012987</v>
      </c>
      <c r="C28" s="90">
        <v>0</v>
      </c>
      <c r="D28" s="105">
        <f t="shared" si="9"/>
        <v>-540.11012987012987</v>
      </c>
      <c r="E28" s="118">
        <f t="shared" si="4"/>
        <v>0</v>
      </c>
      <c r="F28" s="86"/>
      <c r="G28" s="86"/>
      <c r="H28" s="86"/>
      <c r="I28" s="90" t="e">
        <f t="shared" si="6"/>
        <v>#DIV/0!</v>
      </c>
      <c r="J28" s="105">
        <f t="shared" si="10"/>
        <v>0</v>
      </c>
      <c r="K28" s="122">
        <f t="shared" si="3"/>
        <v>0</v>
      </c>
      <c r="L28" s="162">
        <v>110</v>
      </c>
      <c r="M28" s="162">
        <v>120</v>
      </c>
      <c r="N28" s="162">
        <v>121</v>
      </c>
      <c r="O28" s="3" t="s">
        <v>1241</v>
      </c>
    </row>
    <row r="29" spans="1:26" x14ac:dyDescent="0.25">
      <c r="A29" s="24" t="s">
        <v>1301</v>
      </c>
      <c r="B29" s="86">
        <f>(+SUMIFS(Export!L:L,Export!I:I,O29,Export!E:E,N29)+SUMIFS(Export!L:L,Export!I:I,O29,Export!E:E,M29)+SUMIFS(Export!L:L,Export!I:I,O29,Export!E:E,L29))/$B$10</f>
        <v>176.25532467532469</v>
      </c>
      <c r="C29" s="90">
        <f>HLOOKUP(J1,'Input Sheet'!1:1048576,36,FALSE)/C10</f>
        <v>770.10755973364678</v>
      </c>
      <c r="D29" s="105">
        <f t="shared" si="9"/>
        <v>593.85223505832209</v>
      </c>
      <c r="E29" s="118">
        <f t="shared" si="4"/>
        <v>0.7711289514723304</v>
      </c>
      <c r="F29" s="86"/>
      <c r="G29" s="86"/>
      <c r="H29" s="86"/>
      <c r="I29" s="90" t="e">
        <f t="shared" si="6"/>
        <v>#DIV/0!</v>
      </c>
      <c r="J29" s="105">
        <f t="shared" si="10"/>
        <v>0</v>
      </c>
      <c r="K29" s="122">
        <f t="shared" si="3"/>
        <v>0</v>
      </c>
      <c r="L29" s="162">
        <v>110</v>
      </c>
      <c r="M29" s="162">
        <v>120</v>
      </c>
      <c r="N29" s="162">
        <v>121</v>
      </c>
      <c r="O29" s="3" t="s">
        <v>1301</v>
      </c>
    </row>
    <row r="30" spans="1:26" x14ac:dyDescent="0.25">
      <c r="A30" s="24" t="s">
        <v>1341</v>
      </c>
      <c r="B30" s="86">
        <f>(+SUMIFS(Export!L:L,Export!I:I,O30,Export!E:E,N30)+SUMIFS(Export!L:L,Export!I:I,O30,Export!E:E,M30))/$B$10</f>
        <v>187.87909090909091</v>
      </c>
      <c r="C30" s="90">
        <v>0</v>
      </c>
      <c r="D30" s="105">
        <f t="shared" si="9"/>
        <v>-187.87909090909091</v>
      </c>
      <c r="E30" s="118">
        <f t="shared" si="4"/>
        <v>0</v>
      </c>
      <c r="F30" s="86"/>
      <c r="G30" s="86"/>
      <c r="H30" s="86"/>
      <c r="I30" s="90" t="e">
        <f t="shared" si="6"/>
        <v>#DIV/0!</v>
      </c>
      <c r="J30" s="105">
        <f t="shared" si="10"/>
        <v>0</v>
      </c>
      <c r="K30" s="122">
        <f t="shared" si="3"/>
        <v>0</v>
      </c>
      <c r="L30" s="162"/>
      <c r="M30" s="162">
        <v>120</v>
      </c>
      <c r="N30" s="162">
        <v>121</v>
      </c>
      <c r="O30" s="3" t="s">
        <v>1341</v>
      </c>
    </row>
    <row r="31" spans="1:26" x14ac:dyDescent="0.25">
      <c r="A31" s="24" t="s">
        <v>1327</v>
      </c>
      <c r="B31" s="86">
        <f>(+SUMIFS(Export!L:L,Export!I:I,O31,Export!E:E,N31)+SUMIFS(Export!L:L,Export!I:I,O31,Export!E:E,M31)+SUMIFS(Export!L:L,Export!I:I,O31,Export!E:E,L31))/$B$10</f>
        <v>104.39714285714285</v>
      </c>
      <c r="C31" s="90">
        <v>0</v>
      </c>
      <c r="D31" s="105">
        <f t="shared" si="9"/>
        <v>-104.39714285714285</v>
      </c>
      <c r="E31" s="118">
        <f t="shared" si="4"/>
        <v>0</v>
      </c>
      <c r="F31" s="86"/>
      <c r="G31" s="86"/>
      <c r="H31" s="86"/>
      <c r="I31" s="90" t="e">
        <f t="shared" si="6"/>
        <v>#DIV/0!</v>
      </c>
      <c r="J31" s="105">
        <f t="shared" si="10"/>
        <v>0</v>
      </c>
      <c r="K31" s="122">
        <f t="shared" si="3"/>
        <v>0</v>
      </c>
      <c r="L31" s="162">
        <v>110</v>
      </c>
      <c r="M31" s="162">
        <v>120</v>
      </c>
      <c r="N31" s="162">
        <v>121</v>
      </c>
      <c r="O31" s="3" t="s">
        <v>1327</v>
      </c>
    </row>
    <row r="32" spans="1:26" x14ac:dyDescent="0.25">
      <c r="A32" s="24" t="s">
        <v>1647</v>
      </c>
      <c r="B32" s="86">
        <f>+SUM(B28:B31)</f>
        <v>1008.6416883116883</v>
      </c>
      <c r="C32" s="90">
        <f>+SUM(C28:C31)</f>
        <v>770.10755973364678</v>
      </c>
      <c r="D32" s="105">
        <f t="shared" si="9"/>
        <v>-238.53412857804153</v>
      </c>
      <c r="E32" s="118">
        <f t="shared" si="4"/>
        <v>-0.30974131543461558</v>
      </c>
      <c r="F32" s="86"/>
      <c r="G32" s="86"/>
      <c r="H32" s="86"/>
      <c r="I32" s="90" t="e">
        <f>+SUM(I28:I31)</f>
        <v>#DIV/0!</v>
      </c>
      <c r="J32" s="105">
        <f t="shared" si="10"/>
        <v>0</v>
      </c>
      <c r="K32" s="122">
        <f t="shared" si="3"/>
        <v>0</v>
      </c>
      <c r="L32" s="162"/>
      <c r="M32" s="162"/>
      <c r="N32" s="162"/>
    </row>
    <row r="33" spans="1:21" x14ac:dyDescent="0.25">
      <c r="A33" s="24" t="s">
        <v>1648</v>
      </c>
      <c r="B33" s="86">
        <f>+B32+B27</f>
        <v>1631.2572727272727</v>
      </c>
      <c r="C33" s="90">
        <f>+C32+C27</f>
        <v>1279.7714061887975</v>
      </c>
      <c r="D33" s="105">
        <f t="shared" si="9"/>
        <v>-351.48586653847519</v>
      </c>
      <c r="E33" s="118">
        <f t="shared" si="4"/>
        <v>-0.27464738221118096</v>
      </c>
      <c r="F33" s="86"/>
      <c r="G33" s="86"/>
      <c r="H33" s="86"/>
      <c r="I33" s="90" t="e">
        <f>+I32+I27</f>
        <v>#DIV/0!</v>
      </c>
      <c r="J33" s="105">
        <f t="shared" si="10"/>
        <v>0</v>
      </c>
      <c r="K33" s="122">
        <f t="shared" si="3"/>
        <v>0</v>
      </c>
      <c r="L33" s="162"/>
      <c r="M33" s="162"/>
      <c r="N33" s="162"/>
    </row>
    <row r="34" spans="1:21" x14ac:dyDescent="0.25">
      <c r="A34" s="24" t="s">
        <v>1649</v>
      </c>
      <c r="B34" s="86">
        <f>+B23-B33</f>
        <v>159.94870129870264</v>
      </c>
      <c r="C34" s="90">
        <f>+C23-C33</f>
        <v>885.91602036819427</v>
      </c>
      <c r="D34" s="105">
        <f>+B34-C34</f>
        <v>-725.96731906949162</v>
      </c>
      <c r="E34" s="118">
        <f t="shared" si="4"/>
        <v>-0.81945387867325548</v>
      </c>
      <c r="F34" s="86"/>
      <c r="G34" s="86"/>
      <c r="H34" s="86"/>
      <c r="I34" s="90" t="e">
        <f>+I23-I33</f>
        <v>#DIV/0!</v>
      </c>
      <c r="J34" s="105">
        <f>+F34-H34</f>
        <v>0</v>
      </c>
      <c r="K34" s="122">
        <f t="shared" si="3"/>
        <v>0</v>
      </c>
      <c r="L34" s="162"/>
      <c r="M34" s="162"/>
      <c r="N34" s="162"/>
    </row>
    <row r="35" spans="1:21" s="28" customFormat="1" ht="15.75" thickBot="1" x14ac:dyDescent="0.3">
      <c r="A35" s="29" t="s">
        <v>1650</v>
      </c>
      <c r="B35" s="88">
        <f>+B34*B10+B19*B11</f>
        <v>25455.400000000103</v>
      </c>
      <c r="C35" s="93">
        <f>+C34*C10</f>
        <v>75391.453333333324</v>
      </c>
      <c r="D35" s="107">
        <f>+B35-C35</f>
        <v>-49936.053333333221</v>
      </c>
      <c r="E35" s="120">
        <f t="shared" si="4"/>
        <v>-0.66235695328152877</v>
      </c>
      <c r="F35" s="88"/>
      <c r="G35" s="88"/>
      <c r="H35" s="88"/>
      <c r="I35" s="93">
        <f>SUM(F35:H35)</f>
        <v>0</v>
      </c>
      <c r="J35" s="107">
        <f>+F35-H35</f>
        <v>0</v>
      </c>
      <c r="K35" s="124">
        <f t="shared" si="3"/>
        <v>0</v>
      </c>
      <c r="L35" s="162"/>
      <c r="M35" s="162"/>
      <c r="N35" s="162"/>
      <c r="O35" s="3"/>
      <c r="P35" s="3"/>
      <c r="Q35" s="3"/>
      <c r="R35" s="3"/>
      <c r="S35" s="3"/>
      <c r="T35" s="3"/>
      <c r="U35" s="3"/>
    </row>
    <row r="36" spans="1:21" ht="15.75" thickTop="1" x14ac:dyDescent="0.25">
      <c r="E36" s="121"/>
    </row>
    <row r="37" spans="1:21" s="149" customFormat="1" x14ac:dyDescent="0.25">
      <c r="A37" s="10" t="s">
        <v>1626</v>
      </c>
      <c r="B37" s="12">
        <f>+SUMIF('TUNZ Extracted TB'!M:M,'NS USED VEHICLE'!O37,'TUNZ Extracted TB'!H:H)+SUMIF('TUNZ Extracted TB'!M:M,'NS USED VEHICLE'!Q37,'TUNZ Extracted TB'!H:H)</f>
        <v>6</v>
      </c>
      <c r="C37" s="12">
        <f>HLOOKUP($J$1,'Input Sheet'!1:1048576,14,FALSE)</f>
        <v>5</v>
      </c>
      <c r="F37" s="12"/>
      <c r="G37" s="12"/>
      <c r="H37" s="12"/>
      <c r="I37" s="12" t="e">
        <f>AVERAGE(F37:H37)</f>
        <v>#DIV/0!</v>
      </c>
      <c r="O37" s="3" t="s">
        <v>1651</v>
      </c>
      <c r="P37" s="3" t="s">
        <v>1652</v>
      </c>
      <c r="Q37" s="3" t="s">
        <v>1653</v>
      </c>
      <c r="R37" s="3"/>
      <c r="S37" s="3"/>
    </row>
    <row r="38" spans="1:21" hidden="1" x14ac:dyDescent="0.25">
      <c r="I38" s="16" t="e">
        <f t="shared" ref="I38:I39" si="11">AVERAGE(F38:H38)</f>
        <v>#DIV/0!</v>
      </c>
    </row>
    <row r="39" spans="1:21" x14ac:dyDescent="0.25">
      <c r="A39" s="3" t="s">
        <v>1654</v>
      </c>
      <c r="B39" s="89">
        <f>+SUMIF('TUNZ Extracted TB'!M:M,O39,'TUNZ Extracted TB'!H:H)/'USED VEHICLE GROUP'!B37*'NS USED VEHICLE'!B37</f>
        <v>1606148.0279999999</v>
      </c>
      <c r="F39" s="89"/>
      <c r="G39" s="89"/>
      <c r="H39" s="89"/>
      <c r="I39" s="89" t="e">
        <f t="shared" si="11"/>
        <v>#DIV/0!</v>
      </c>
      <c r="O39" s="3" t="s">
        <v>1655</v>
      </c>
    </row>
    <row r="40" spans="1:21" x14ac:dyDescent="0.25">
      <c r="D40" s="280"/>
    </row>
    <row r="41" spans="1:21" x14ac:dyDescent="0.25">
      <c r="B41" s="193"/>
      <c r="C41" s="195"/>
    </row>
    <row r="42" spans="1:21" x14ac:dyDescent="0.25">
      <c r="B42" s="193"/>
      <c r="D42" s="270"/>
      <c r="F42" s="195"/>
      <c r="G42" s="195"/>
    </row>
    <row r="43" spans="1:21" x14ac:dyDescent="0.25">
      <c r="B43" s="270"/>
      <c r="C43" s="270"/>
    </row>
    <row r="44" spans="1:21" x14ac:dyDescent="0.25">
      <c r="B44" s="193"/>
    </row>
    <row r="45" spans="1:21" x14ac:dyDescent="0.25">
      <c r="B45" s="193"/>
      <c r="C45" s="193"/>
      <c r="F45" s="193"/>
      <c r="G45" s="193"/>
      <c r="I45" s="193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9EE0E-F796-4536-A840-32835DF3843A}">
  <sheetPr>
    <tabColor theme="9" tint="0.79998168889431442"/>
  </sheetPr>
  <dimension ref="A1:AL45"/>
  <sheetViews>
    <sheetView topLeftCell="A4" workbookViewId="0">
      <selection activeCell="D17" sqref="D17"/>
    </sheetView>
  </sheetViews>
  <sheetFormatPr defaultColWidth="9.140625" defaultRowHeight="15" outlineLevelCol="1" x14ac:dyDescent="0.25"/>
  <cols>
    <col min="1" max="1" width="35.7109375" style="16" customWidth="1"/>
    <col min="2" max="2" width="12" style="16" customWidth="1" outlineLevel="1"/>
    <col min="3" max="4" width="9.7109375" style="16" customWidth="1" outlineLevel="1"/>
    <col min="5" max="5" width="8.5703125" style="16" customWidth="1" outlineLevel="1"/>
    <col min="6" max="6" width="7.85546875" style="16" bestFit="1" customWidth="1"/>
    <col min="7" max="9" width="7.85546875" style="16" customWidth="1"/>
    <col min="10" max="10" width="7.85546875" style="16" hidden="1" customWidth="1"/>
    <col min="11" max="11" width="8.85546875" style="16" hidden="1" customWidth="1"/>
    <col min="12" max="12" width="3.42578125" style="16" bestFit="1" customWidth="1"/>
    <col min="13" max="13" width="3.42578125" style="16" customWidth="1"/>
    <col min="14" max="14" width="9.42578125" style="16" bestFit="1" customWidth="1"/>
    <col min="15" max="21" width="11.7109375" style="3" hidden="1" customWidth="1" outlineLevel="1"/>
    <col min="22" max="37" width="9.140625" style="16" hidden="1" customWidth="1" outlineLevel="1"/>
    <col min="38" max="38" width="9.140625" style="16" collapsed="1"/>
    <col min="39" max="16384" width="9.140625" style="16"/>
  </cols>
  <sheetData>
    <row r="1" spans="1:38" ht="15" customHeight="1" x14ac:dyDescent="0.25">
      <c r="A1" s="326" t="s">
        <v>1604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38" ht="6.6" customHeight="1" thickBot="1" x14ac:dyDescent="0.3"/>
    <row r="3" spans="1:38" ht="15.75" thickTop="1" x14ac:dyDescent="0.25">
      <c r="A3" s="18" t="s">
        <v>1591</v>
      </c>
      <c r="B3" s="344" t="s">
        <v>155</v>
      </c>
      <c r="C3" s="329"/>
      <c r="D3" s="329"/>
      <c r="E3" s="329"/>
      <c r="F3" s="344" t="s">
        <v>1629</v>
      </c>
      <c r="G3" s="344"/>
      <c r="H3" s="329"/>
      <c r="I3" s="329"/>
      <c r="J3" s="329"/>
      <c r="K3" s="345"/>
    </row>
    <row r="4" spans="1:38" x14ac:dyDescent="0.25">
      <c r="A4" s="19" t="s">
        <v>1591</v>
      </c>
      <c r="B4" s="20" t="s">
        <v>1591</v>
      </c>
      <c r="C4" s="20"/>
      <c r="D4" s="346"/>
      <c r="E4" s="331"/>
      <c r="F4" s="20" t="s">
        <v>1591</v>
      </c>
      <c r="G4" s="20"/>
      <c r="H4" s="20"/>
      <c r="I4" s="20"/>
      <c r="J4" s="346"/>
      <c r="K4" s="347"/>
    </row>
    <row r="5" spans="1:38" x14ac:dyDescent="0.25">
      <c r="A5" s="19" t="s">
        <v>1630</v>
      </c>
      <c r="B5" s="21" t="s">
        <v>12</v>
      </c>
      <c r="C5" s="21" t="s">
        <v>1592</v>
      </c>
      <c r="D5" s="22" t="s">
        <v>1609</v>
      </c>
      <c r="E5" s="22" t="s">
        <v>1610</v>
      </c>
      <c r="F5" s="260" t="str">
        <f>OVERALL!F5</f>
        <v>0124</v>
      </c>
      <c r="G5" s="260" t="str">
        <f>OVERALL!G5</f>
        <v>0224</v>
      </c>
      <c r="H5" s="260" t="str">
        <f>OVERALL!H5</f>
        <v>0324</v>
      </c>
      <c r="I5" s="21" t="str">
        <f>OVERALL!I5</f>
        <v>Q124</v>
      </c>
      <c r="J5" s="22" t="s">
        <v>1609</v>
      </c>
      <c r="K5" s="23" t="s">
        <v>1610</v>
      </c>
    </row>
    <row r="6" spans="1:38" x14ac:dyDescent="0.25">
      <c r="A6" s="24" t="s">
        <v>1631</v>
      </c>
      <c r="B6" s="25">
        <f>+SUMIF('TUNZ Extracted TB'!$M:$M,"220-6205#",'TUNZ Extracted TB'!G:G)</f>
        <v>3</v>
      </c>
      <c r="C6" s="144">
        <f>HLOOKUP(J1,'Input Sheet'!1:1048576,19,FALSE)</f>
        <v>20</v>
      </c>
      <c r="D6" s="166">
        <f>+B6-C6</f>
        <v>-17</v>
      </c>
      <c r="E6" s="118">
        <f>IFERROR(+D6/C6,0)</f>
        <v>-0.85</v>
      </c>
      <c r="F6" s="25"/>
      <c r="G6" s="25"/>
      <c r="H6" s="25"/>
      <c r="I6" s="144">
        <f>SUM(F6:H6)</f>
        <v>0</v>
      </c>
      <c r="J6" s="166">
        <f>+F6-H6</f>
        <v>0</v>
      </c>
      <c r="K6" s="122">
        <f>IFERROR(+J6/H6,0)</f>
        <v>0</v>
      </c>
    </row>
    <row r="7" spans="1:38" x14ac:dyDescent="0.25">
      <c r="A7" s="24" t="s">
        <v>1632</v>
      </c>
      <c r="B7" s="25">
        <f>+SUMIF('TUNZ Extracted TB'!$M:$M,"220-6206#",'TUNZ Extracted TB'!G:G)</f>
        <v>12</v>
      </c>
      <c r="C7" s="144">
        <v>0.1</v>
      </c>
      <c r="D7" s="166">
        <f>+B7-C7</f>
        <v>11.9</v>
      </c>
      <c r="E7" s="118">
        <f>IFERROR(+D7/C7,0)</f>
        <v>119</v>
      </c>
      <c r="F7" s="25"/>
      <c r="G7" s="25"/>
      <c r="H7" s="25"/>
      <c r="I7" s="144">
        <f t="shared" ref="I7:I9" si="0">SUM(F7:H7)</f>
        <v>0</v>
      </c>
      <c r="J7" s="166">
        <f>+F7-H7</f>
        <v>0</v>
      </c>
      <c r="K7" s="122">
        <f>IFERROR(+J7/H7,0)</f>
        <v>0</v>
      </c>
    </row>
    <row r="8" spans="1:38" x14ac:dyDescent="0.25">
      <c r="A8" s="24" t="s">
        <v>1633</v>
      </c>
      <c r="B8" s="25">
        <f>+SUMIF('TUNZ Extracted TB'!O:O,"210#",'TUNZ Extracted TB'!G:G)-SUMIF('TUNZ Extracted TB'!M:M,"210-6060#",'TUNZ Extracted TB'!G:G)</f>
        <v>7</v>
      </c>
      <c r="C8" s="144">
        <f>HLOOKUP(J1,'Input Sheet'!1:1048576,17,FALSE)</f>
        <v>2.0888888888888886</v>
      </c>
      <c r="D8" s="166">
        <f t="shared" ref="D8:D12" si="1">+B8-C8</f>
        <v>4.9111111111111114</v>
      </c>
      <c r="E8" s="118">
        <f>IFERROR(+D8/C8,0)</f>
        <v>2.3510638297872344</v>
      </c>
      <c r="F8" s="145"/>
      <c r="G8" s="145"/>
      <c r="H8" s="145"/>
      <c r="I8" s="144">
        <f t="shared" si="0"/>
        <v>0</v>
      </c>
      <c r="J8" s="166">
        <f t="shared" ref="J8:J12" si="2">+F8-H8</f>
        <v>0</v>
      </c>
      <c r="K8" s="122">
        <f t="shared" ref="K8:K35" si="3">IFERROR(+J8/H8,0)</f>
        <v>0</v>
      </c>
    </row>
    <row r="9" spans="1:38" x14ac:dyDescent="0.25">
      <c r="A9" s="24" t="s">
        <v>1634</v>
      </c>
      <c r="B9" s="25">
        <f>+SUMIF('TUNZ Extracted TB'!$M:$M,+O9,'TUNZ Extracted TB'!$G:$G)+SUMIF('TUNZ Extracted TB'!$M:$M,+P9,'TUNZ Extracted TB'!$G:$G)</f>
        <v>20</v>
      </c>
      <c r="C9" s="144">
        <f>HLOOKUP(J1,'Input Sheet'!1:1048576,21,FALSE)</f>
        <v>27</v>
      </c>
      <c r="D9" s="166">
        <f>+B9-C9</f>
        <v>-7</v>
      </c>
      <c r="E9" s="118">
        <f>IFERROR(+D9/C9,0)</f>
        <v>-0.25925925925925924</v>
      </c>
      <c r="F9" s="25"/>
      <c r="G9" s="25"/>
      <c r="H9" s="25"/>
      <c r="I9" s="144">
        <f t="shared" si="0"/>
        <v>0</v>
      </c>
      <c r="J9" s="166">
        <f>+F9-H9</f>
        <v>0</v>
      </c>
      <c r="K9" s="122">
        <f>IFERROR(+J9/H9,0)</f>
        <v>0</v>
      </c>
      <c r="O9" s="3" t="s">
        <v>1658</v>
      </c>
      <c r="P9" s="3" t="s">
        <v>1659</v>
      </c>
      <c r="AL9" s="16" t="e">
        <f>I9/I10</f>
        <v>#DIV/0!</v>
      </c>
    </row>
    <row r="10" spans="1:38" s="28" customFormat="1" x14ac:dyDescent="0.25">
      <c r="A10" s="27" t="s">
        <v>1637</v>
      </c>
      <c r="B10" s="150">
        <f>+SUM(B6:B9)</f>
        <v>42</v>
      </c>
      <c r="C10" s="151">
        <f>+SUM(C6:C9)</f>
        <v>49.18888888888889</v>
      </c>
      <c r="D10" s="167">
        <f t="shared" si="1"/>
        <v>-7.18888888888889</v>
      </c>
      <c r="E10" s="119">
        <f t="shared" ref="E10:E35" si="4">IFERROR(+D10/C10,0)</f>
        <v>-0.14614863338604023</v>
      </c>
      <c r="F10" s="150"/>
      <c r="G10" s="150"/>
      <c r="H10" s="150"/>
      <c r="I10" s="151">
        <f>+SUM(I6:I9)</f>
        <v>0</v>
      </c>
      <c r="J10" s="167">
        <f t="shared" si="2"/>
        <v>0</v>
      </c>
      <c r="K10" s="123">
        <f t="shared" si="3"/>
        <v>0</v>
      </c>
      <c r="O10" s="50"/>
      <c r="P10" s="50"/>
      <c r="Q10" s="50"/>
      <c r="R10" s="50"/>
      <c r="S10" s="50"/>
      <c r="T10" s="50"/>
      <c r="U10" s="50"/>
    </row>
    <row r="11" spans="1:38" x14ac:dyDescent="0.25">
      <c r="A11" s="24" t="s">
        <v>1638</v>
      </c>
      <c r="B11" s="145">
        <f>+SUMIF('TUNZ Extracted TB'!$A:$A,"6230#",'TUNZ Extracted TB'!G:G)+SUMIF('TUNZ Extracted TB'!$A:$A,"6232#",'TUNZ Extracted TB'!G:G)-SUMIF('TUNZ Extracted TB'!$M:$M,"120-6230#",'TUNZ Extracted TB'!G:G)-SUMIF('TUNZ Extracted TB'!$M:$M,"120-6232#",'TUNZ Extracted TB'!G:G)-SUMIF('TUNZ Extracted TB'!$M:$M,"121-6230#",'TUNZ Extracted TB'!G:G)-SUMIF('TUNZ Extracted TB'!$M:$M,"122-6230#",'TUNZ Extracted TB'!G:G)</f>
        <v>18</v>
      </c>
      <c r="C11" s="144">
        <v>0</v>
      </c>
      <c r="D11" s="166">
        <f>+B11-C11</f>
        <v>18</v>
      </c>
      <c r="E11" s="118">
        <f>IFERROR(+D11/C11,0)</f>
        <v>0</v>
      </c>
      <c r="F11" s="145"/>
      <c r="G11" s="145"/>
      <c r="H11" s="145"/>
      <c r="I11" s="144">
        <f>SUM(F11:H11)</f>
        <v>0</v>
      </c>
      <c r="J11" s="166">
        <f>+F11-H11</f>
        <v>0</v>
      </c>
      <c r="K11" s="122">
        <f>IFERROR(+J11/H11,0)</f>
        <v>0</v>
      </c>
    </row>
    <row r="12" spans="1:38" x14ac:dyDescent="0.25">
      <c r="A12" s="24" t="s">
        <v>1639</v>
      </c>
      <c r="B12" s="146">
        <f>+B10/B37</f>
        <v>10.5</v>
      </c>
      <c r="C12" s="147">
        <f>+C10/C37</f>
        <v>12.297222222222222</v>
      </c>
      <c r="D12" s="166">
        <f t="shared" si="1"/>
        <v>-1.7972222222222225</v>
      </c>
      <c r="E12" s="118">
        <f t="shared" si="4"/>
        <v>-0.14614863338604023</v>
      </c>
      <c r="F12" s="146"/>
      <c r="G12" s="146"/>
      <c r="H12" s="146"/>
      <c r="I12" s="147" t="e">
        <f>+I10/I37</f>
        <v>#DIV/0!</v>
      </c>
      <c r="J12" s="166">
        <f t="shared" si="2"/>
        <v>0</v>
      </c>
      <c r="K12" s="122">
        <f t="shared" si="3"/>
        <v>0</v>
      </c>
    </row>
    <row r="13" spans="1:38" x14ac:dyDescent="0.25">
      <c r="A13" s="24" t="s">
        <v>1640</v>
      </c>
      <c r="B13" s="146">
        <f>-$B$39/U17*30</f>
        <v>55.897974508139676</v>
      </c>
      <c r="C13" s="147">
        <f>'USED VEHICLE GROUP'!C13</f>
        <v>33.082348671472708</v>
      </c>
      <c r="D13" s="166">
        <f>+C13-B13</f>
        <v>-22.815625836666968</v>
      </c>
      <c r="E13" s="118">
        <f>IFERROR(+D13/C13,0)</f>
        <v>-0.68966160967710088</v>
      </c>
      <c r="F13" s="146"/>
      <c r="G13" s="146"/>
      <c r="H13" s="146"/>
      <c r="I13" s="147">
        <f>-$B$39/U17*30</f>
        <v>55.897974508139676</v>
      </c>
      <c r="J13" s="166">
        <f>+H13-F13</f>
        <v>0</v>
      </c>
      <c r="K13" s="122">
        <f>IFERROR(+J13/H13,0)</f>
        <v>0</v>
      </c>
    </row>
    <row r="14" spans="1:38" x14ac:dyDescent="0.25">
      <c r="A14" s="24" t="s">
        <v>1055</v>
      </c>
      <c r="B14" s="86">
        <f>IFERROR(-SUMIFS(Export!L:L,Export!I:I,O14,Export!E:E,N14)-SUMIFS(Export!L:L,Export!I:I,O14,Export!E:E,M14)/B6,0)</f>
        <v>1341.4399999999976</v>
      </c>
      <c r="C14" s="90">
        <f>-(HLOOKUP(J1,'Input Sheet'!1:1048576,27,FALSE)+HLOOKUP(J1,'Input Sheet'!1:1048576,29,FALSE))/C6</f>
        <v>1100</v>
      </c>
      <c r="D14" s="105">
        <f>+B14-C14</f>
        <v>241.43999999999755</v>
      </c>
      <c r="E14" s="118">
        <f t="shared" si="4"/>
        <v>0.21949090909090688</v>
      </c>
      <c r="F14" s="86"/>
      <c r="G14" s="86"/>
      <c r="H14" s="86"/>
      <c r="I14" s="90" t="e">
        <f>AVERAGE(F14:H14)</f>
        <v>#DIV/0!</v>
      </c>
      <c r="J14" s="105">
        <f>+F14-H14</f>
        <v>0</v>
      </c>
      <c r="K14" s="122">
        <f t="shared" si="3"/>
        <v>0</v>
      </c>
      <c r="L14" s="162"/>
      <c r="M14" s="162">
        <v>220</v>
      </c>
      <c r="N14" s="162">
        <v>221</v>
      </c>
      <c r="O14" s="3" t="s">
        <v>1055</v>
      </c>
      <c r="U14" s="95" t="s">
        <v>1641</v>
      </c>
      <c r="V14" s="95" t="s">
        <v>1641</v>
      </c>
      <c r="W14" s="95" t="s">
        <v>156</v>
      </c>
      <c r="X14" s="95" t="s">
        <v>156</v>
      </c>
    </row>
    <row r="15" spans="1:38" x14ac:dyDescent="0.25">
      <c r="A15" s="24" t="s">
        <v>1058</v>
      </c>
      <c r="B15" s="86">
        <f>(-SUMIFS(Export!L:L,Export!I:I,O15,Export!E:E,N15)-SUMIFS(Export!L:L,Export!I:I,O15,Export!E:E,M15))/B7</f>
        <v>1199.9149999999984</v>
      </c>
      <c r="C15" s="90">
        <v>0</v>
      </c>
      <c r="D15" s="105">
        <f t="shared" ref="D15:D19" si="5">+B15-C15</f>
        <v>1199.9149999999984</v>
      </c>
      <c r="E15" s="118">
        <f t="shared" si="4"/>
        <v>0</v>
      </c>
      <c r="F15" s="86"/>
      <c r="G15" s="86"/>
      <c r="H15" s="86"/>
      <c r="I15" s="90" t="e">
        <f t="shared" ref="I15:I31" si="6">AVERAGE(F15:H15)</f>
        <v>#DIV/0!</v>
      </c>
      <c r="J15" s="105">
        <f t="shared" ref="J15:J19" si="7">+F15-H15</f>
        <v>0</v>
      </c>
      <c r="K15" s="122">
        <f t="shared" si="3"/>
        <v>0</v>
      </c>
      <c r="L15" s="162"/>
      <c r="M15" s="162">
        <v>220</v>
      </c>
      <c r="N15" s="162">
        <v>221</v>
      </c>
      <c r="O15" s="3" t="s">
        <v>1058</v>
      </c>
      <c r="U15" s="95" t="s">
        <v>12</v>
      </c>
      <c r="V15" s="95" t="s">
        <v>1592</v>
      </c>
      <c r="W15" s="95" t="s">
        <v>12</v>
      </c>
      <c r="X15" s="95" t="s">
        <v>1592</v>
      </c>
    </row>
    <row r="16" spans="1:38" x14ac:dyDescent="0.25">
      <c r="A16" s="24" t="s">
        <v>1016</v>
      </c>
      <c r="B16" s="86">
        <f>(-SUMIFS(Export!L:L,Export!I:I,O16,Export!E:E,N16)-SUMIFS(Export!L:L,Export!I:I,O16,Export!E:E,M16))/B8</f>
        <v>2395.6657142857175</v>
      </c>
      <c r="C16" s="90">
        <f>-(HLOOKUP(J1,'Input Sheet'!1:1048576,23,FALSE)+HLOOKUP(J1,'Input Sheet'!1:1048576,25,FALSE))/C8</f>
        <v>3499.9999999999995</v>
      </c>
      <c r="D16" s="105">
        <f t="shared" si="5"/>
        <v>-1104.334285714282</v>
      </c>
      <c r="E16" s="118">
        <f t="shared" si="4"/>
        <v>-0.31552408163265205</v>
      </c>
      <c r="F16" s="86"/>
      <c r="G16" s="86"/>
      <c r="H16" s="86"/>
      <c r="I16" s="90" t="e">
        <f t="shared" si="6"/>
        <v>#DIV/0!</v>
      </c>
      <c r="J16" s="105">
        <f t="shared" si="7"/>
        <v>0</v>
      </c>
      <c r="K16" s="122">
        <f t="shared" si="3"/>
        <v>0</v>
      </c>
      <c r="L16" s="162"/>
      <c r="M16" s="162">
        <v>210</v>
      </c>
      <c r="N16" s="162">
        <v>200</v>
      </c>
      <c r="O16" s="3" t="s">
        <v>1016</v>
      </c>
      <c r="U16" s="159" t="s">
        <v>1642</v>
      </c>
      <c r="V16" s="159" t="s">
        <v>1642</v>
      </c>
      <c r="W16" s="159" t="s">
        <v>1642</v>
      </c>
      <c r="X16" s="159" t="s">
        <v>1642</v>
      </c>
    </row>
    <row r="17" spans="1:26" x14ac:dyDescent="0.25">
      <c r="A17" s="24" t="s">
        <v>1073</v>
      </c>
      <c r="B17" s="86">
        <f>((-SUMIFS(Export!L:L,Export!I:I,O17,Export!E:E,N17)-SUMIFS(Export!L:L,Export!I:I,O17,Export!E:E,M17))+(-SUMIFS(Export!L:L,Export!I:I,P17,Export!E:E,N17)-SUMIFS(Export!L:L,Export!I:I,P17,Export!E:E,M17)))/B9</f>
        <v>2572.3695000000007</v>
      </c>
      <c r="C17" s="90">
        <f>-(HLOOKUP(J1,'Input Sheet'!1:1048576,31,FALSE)+HLOOKUP(J1,'Input Sheet'!1:1048576,33,FALSE))/C9</f>
        <v>2481.4814814814813</v>
      </c>
      <c r="D17" s="105">
        <f t="shared" si="5"/>
        <v>90.888018518519402</v>
      </c>
      <c r="E17" s="118">
        <f t="shared" si="4"/>
        <v>3.6626514925373492E-2</v>
      </c>
      <c r="F17" s="86"/>
      <c r="G17" s="86"/>
      <c r="H17" s="86"/>
      <c r="I17" s="90" t="e">
        <f t="shared" si="6"/>
        <v>#DIV/0!</v>
      </c>
      <c r="J17" s="105">
        <f t="shared" si="7"/>
        <v>0</v>
      </c>
      <c r="K17" s="122">
        <f t="shared" si="3"/>
        <v>0</v>
      </c>
      <c r="L17" s="162"/>
      <c r="M17" s="162">
        <v>220</v>
      </c>
      <c r="N17" s="162">
        <v>221</v>
      </c>
      <c r="O17" s="3" t="s">
        <v>1052</v>
      </c>
      <c r="P17" s="3" t="s">
        <v>1073</v>
      </c>
      <c r="U17" s="52">
        <f>SUMIFS(Export!L:L,Export!I:I,O17,Export!E:E,N17)+SUMIFS(Export!L:L,Export!I:I,O17,Export!E:E,M17)</f>
        <v>-574671.28</v>
      </c>
      <c r="V17" s="52">
        <f>SUMIFS(Export!N:N,Export!I:I,O17,Export!E:E,N17)+SUMIFS(Export!N:N,Export!I:I,O17,Export!E:E,M17)</f>
        <v>-810000</v>
      </c>
      <c r="W17" s="52">
        <f>+SUMIF(Export!$I:$I,'NW USED VEHICLE'!$O$17,Export!O:O)</f>
        <v>0</v>
      </c>
      <c r="X17" s="52">
        <f>+SUMIF(Export!$I:$I,'NW USED VEHICLE'!$O$17,Export!M:M)</f>
        <v>0</v>
      </c>
      <c r="Z17" s="195"/>
    </row>
    <row r="18" spans="1:26" x14ac:dyDescent="0.25">
      <c r="A18" s="27" t="s">
        <v>1052</v>
      </c>
      <c r="B18" s="87">
        <f>(B14*B6+B7*B15+B8*B16+B9*B17)/B10</f>
        <v>2062.8654761904763</v>
      </c>
      <c r="C18" s="92">
        <f>(C14*C6+C7*C15+C8*C16+C9*C17)/C10</f>
        <v>1957.9850914840749</v>
      </c>
      <c r="D18" s="106">
        <f t="shared" si="5"/>
        <v>104.8803847064014</v>
      </c>
      <c r="E18" s="119">
        <f t="shared" si="4"/>
        <v>5.3565466439229235E-2</v>
      </c>
      <c r="F18" s="87"/>
      <c r="G18" s="87"/>
      <c r="H18" s="87"/>
      <c r="I18" s="92" t="e">
        <f>AVERAGE(F18:H18)</f>
        <v>#DIV/0!</v>
      </c>
      <c r="J18" s="106">
        <f t="shared" si="7"/>
        <v>0</v>
      </c>
      <c r="K18" s="123">
        <f t="shared" si="3"/>
        <v>0</v>
      </c>
      <c r="L18" s="162"/>
      <c r="M18" s="162"/>
      <c r="N18" s="162"/>
      <c r="O18" s="3" t="s">
        <v>1055</v>
      </c>
      <c r="P18" s="3" t="s">
        <v>1058</v>
      </c>
      <c r="Q18" s="3" t="s">
        <v>1016</v>
      </c>
      <c r="R18" s="3" t="s">
        <v>1052</v>
      </c>
      <c r="S18" s="3" t="s">
        <v>1073</v>
      </c>
      <c r="Z18" s="193"/>
    </row>
    <row r="19" spans="1:26" x14ac:dyDescent="0.25">
      <c r="A19" s="24" t="s">
        <v>1063</v>
      </c>
      <c r="B19" s="86">
        <f>(-SUMIFS(Export!L:L,Export!I:I,O19,Export!E:E,N19)-SUMIFS(Export!L:L,Export!I:I,O19,Export!E:E,M19))/B11</f>
        <v>354.34722222222223</v>
      </c>
      <c r="C19" s="90">
        <v>0</v>
      </c>
      <c r="D19" s="105">
        <f t="shared" si="5"/>
        <v>354.34722222222223</v>
      </c>
      <c r="E19" s="118">
        <f t="shared" si="4"/>
        <v>0</v>
      </c>
      <c r="F19" s="86"/>
      <c r="G19" s="86"/>
      <c r="H19" s="86"/>
      <c r="I19" s="90" t="e">
        <f t="shared" si="6"/>
        <v>#DIV/0!</v>
      </c>
      <c r="J19" s="105">
        <f t="shared" si="7"/>
        <v>0</v>
      </c>
      <c r="K19" s="122">
        <f t="shared" si="3"/>
        <v>0</v>
      </c>
      <c r="L19" s="162"/>
      <c r="M19" s="162">
        <v>220</v>
      </c>
      <c r="N19" s="162">
        <v>221</v>
      </c>
      <c r="O19" s="3" t="s">
        <v>1063</v>
      </c>
      <c r="Z19" s="193"/>
    </row>
    <row r="20" spans="1:26" x14ac:dyDescent="0.25">
      <c r="A20" s="24" t="s">
        <v>1643</v>
      </c>
      <c r="B20" s="86">
        <f>IFERROR(((-SUMIFS(Export!L:L,Export!I:I,O20,Export!E:E,N20)-SUMIFS(Export!L:L,Export!I:I,O20,Export!E:E,M20))/SUM($B$6:$B$7)*$B$6+$B$14*$B$6)/$B$6,0)</f>
        <v>1341.4399999999976</v>
      </c>
      <c r="C20" s="90">
        <f>(((-SUMIFS(Export!N:N,Export!I:I,O20,Export!E:E,N20)-SUMIFS(Export!N:N,Export!I:I,O20,Export!E:E,M20))/SUM($C$6:$C$7)*$C$6+$C$14*$C$6))/$C$6</f>
        <v>1100</v>
      </c>
      <c r="D20" s="105">
        <f>+B20-C20</f>
        <v>241.43999999999755</v>
      </c>
      <c r="E20" s="118">
        <f>IFERROR(+D20/C20,0)</f>
        <v>0.21949090909090688</v>
      </c>
      <c r="F20" s="86"/>
      <c r="G20" s="86"/>
      <c r="H20" s="86"/>
      <c r="I20" s="90" t="e">
        <f t="shared" si="6"/>
        <v>#DIV/0!</v>
      </c>
      <c r="J20" s="105">
        <f>+F20-H20</f>
        <v>0</v>
      </c>
      <c r="K20" s="122">
        <f>IFERROR(+J20/H20,0)</f>
        <v>0</v>
      </c>
      <c r="L20" s="162"/>
      <c r="M20" s="162">
        <v>220</v>
      </c>
      <c r="N20" s="162">
        <v>221</v>
      </c>
      <c r="O20" s="3" t="s">
        <v>1070</v>
      </c>
    </row>
    <row r="21" spans="1:26" x14ac:dyDescent="0.25">
      <c r="A21" s="24" t="s">
        <v>1644</v>
      </c>
      <c r="B21" s="86">
        <f>(((-SUMIFS(Export!L:L,Export!I:I,O21,Export!E:E,N21)-SUMIFS(Export!L:L,Export!I:I,O21,Export!E:E,M21))/SUM($B$6:$B$7)*$B$7)+($B$15*$B$7))/$B$7</f>
        <v>1199.9149999999984</v>
      </c>
      <c r="C21" s="90">
        <f>(((-SUMIFS(Export!N:N,Export!I:I,O21,Export!E:E,N21)-SUMIFS(Export!N:N,Export!I:I,O21,Export!E:E,M21))/SUM($C$6:$C$7)*$C$7)+($C$15*$C$7))/$C$7</f>
        <v>0</v>
      </c>
      <c r="D21" s="105">
        <f>+B21-C21</f>
        <v>1199.9149999999984</v>
      </c>
      <c r="E21" s="118">
        <f>IFERROR(+D21/C21,0)</f>
        <v>0</v>
      </c>
      <c r="F21" s="89"/>
      <c r="G21" s="89"/>
      <c r="H21" s="89"/>
      <c r="I21" s="90" t="e">
        <f t="shared" si="6"/>
        <v>#DIV/0!</v>
      </c>
      <c r="J21" s="105">
        <f>+F21-H21</f>
        <v>0</v>
      </c>
      <c r="K21" s="122">
        <f>IFERROR(+J21/H21,0)</f>
        <v>0</v>
      </c>
      <c r="L21" s="162"/>
      <c r="M21" s="162">
        <v>220</v>
      </c>
      <c r="N21" s="162">
        <v>221</v>
      </c>
      <c r="O21" s="3" t="s">
        <v>1070</v>
      </c>
    </row>
    <row r="22" spans="1:26" x14ac:dyDescent="0.25">
      <c r="A22" s="24" t="s">
        <v>1164</v>
      </c>
      <c r="B22" s="86">
        <f>(-SUMIFS(Export!L:L,Export!I:I,O22,Export!E:E,N22)-SUMIFS(Export!L:L,Export!I:I,O22,Export!E:E,M22)-SUMIFS(Export!L:L,Export!I:I,O22,Export!E:E,L22))</f>
        <v>0</v>
      </c>
      <c r="C22" s="90">
        <v>0</v>
      </c>
      <c r="D22" s="105">
        <f>+B22-C22</f>
        <v>0</v>
      </c>
      <c r="E22" s="118">
        <f t="shared" si="4"/>
        <v>0</v>
      </c>
      <c r="F22" s="89"/>
      <c r="G22" s="89"/>
      <c r="H22" s="89"/>
      <c r="I22" s="90" t="e">
        <f t="shared" si="6"/>
        <v>#DIV/0!</v>
      </c>
      <c r="J22" s="105">
        <f>+F22-H22</f>
        <v>0</v>
      </c>
      <c r="K22" s="122">
        <f t="shared" ref="K22" si="8">IFERROR(+J22/H22,0)</f>
        <v>0</v>
      </c>
      <c r="L22" s="162">
        <v>210</v>
      </c>
      <c r="M22" s="162">
        <v>220</v>
      </c>
      <c r="N22" s="162">
        <v>221</v>
      </c>
      <c r="O22" s="3" t="s">
        <v>1164</v>
      </c>
    </row>
    <row r="23" spans="1:26" x14ac:dyDescent="0.25">
      <c r="A23" s="24" t="s">
        <v>1042</v>
      </c>
      <c r="B23" s="86">
        <f>(B20*B6+B21*B7+B16*B8+B17*B9)/B10</f>
        <v>2062.8654761904763</v>
      </c>
      <c r="C23" s="90">
        <f>(C20*C6+C21*C7+C16*C8+C17*C9)/C10</f>
        <v>1957.9850914840749</v>
      </c>
      <c r="D23" s="105">
        <f>+B23-C23</f>
        <v>104.8803847064014</v>
      </c>
      <c r="E23" s="118">
        <f t="shared" si="4"/>
        <v>5.3565466439229235E-2</v>
      </c>
      <c r="F23" s="86"/>
      <c r="G23" s="86"/>
      <c r="H23" s="86"/>
      <c r="I23" s="90" t="e">
        <f t="shared" si="6"/>
        <v>#DIV/0!</v>
      </c>
      <c r="J23" s="105">
        <f>+F23-H23</f>
        <v>0</v>
      </c>
      <c r="K23" s="122">
        <f t="shared" si="3"/>
        <v>0</v>
      </c>
      <c r="L23" s="162"/>
      <c r="M23" s="162"/>
      <c r="N23" s="162"/>
    </row>
    <row r="24" spans="1:26" x14ac:dyDescent="0.25">
      <c r="A24" s="27" t="s">
        <v>1645</v>
      </c>
      <c r="B24" s="87">
        <f>B19*B11+B23*B10+B22</f>
        <v>93018.6</v>
      </c>
      <c r="C24" s="92">
        <f>C23*C10</f>
        <v>96311.111111111109</v>
      </c>
      <c r="D24" s="106">
        <f>+B24-C24</f>
        <v>-3292.5111111111037</v>
      </c>
      <c r="E24" s="119">
        <f t="shared" si="4"/>
        <v>-3.4186202122750267E-2</v>
      </c>
      <c r="F24" s="87"/>
      <c r="G24" s="87"/>
      <c r="H24" s="87"/>
      <c r="I24" s="92">
        <f>SUM(F24:H24)</f>
        <v>0</v>
      </c>
      <c r="J24" s="106">
        <f>+F24-H24</f>
        <v>0</v>
      </c>
      <c r="K24" s="123">
        <f t="shared" si="3"/>
        <v>0</v>
      </c>
      <c r="L24" s="162"/>
      <c r="M24" s="162"/>
      <c r="N24" s="162"/>
      <c r="V24" s="3"/>
    </row>
    <row r="25" spans="1:26" x14ac:dyDescent="0.25">
      <c r="A25" s="24" t="s">
        <v>1264</v>
      </c>
      <c r="B25" s="86">
        <f>(+SUMIFS(Export!L:L,Export!I:I,O25,Export!E:E,N25)+SUMIFS(Export!L:L,Export!I:I,O25,Export!E:E,M25))/$B$10</f>
        <v>411.66666666666669</v>
      </c>
      <c r="C25" s="90">
        <f>HLOOKUP(J1,'Input Sheet'!1:1048576,35,FALSE)/C10</f>
        <v>445.70769010411317</v>
      </c>
      <c r="D25" s="105">
        <f>+C25-B25</f>
        <v>34.041023437446484</v>
      </c>
      <c r="E25" s="118">
        <f t="shared" si="4"/>
        <v>7.637522123411157E-2</v>
      </c>
      <c r="F25" s="86"/>
      <c r="G25" s="86"/>
      <c r="H25" s="86"/>
      <c r="I25" s="90" t="e">
        <f t="shared" si="6"/>
        <v>#DIV/0!</v>
      </c>
      <c r="J25" s="105">
        <f>+H25-F25</f>
        <v>0</v>
      </c>
      <c r="K25" s="122">
        <f t="shared" si="3"/>
        <v>0</v>
      </c>
      <c r="L25" s="162"/>
      <c r="M25" s="162">
        <v>220</v>
      </c>
      <c r="N25" s="162">
        <v>221</v>
      </c>
      <c r="O25" s="3" t="s">
        <v>1264</v>
      </c>
    </row>
    <row r="26" spans="1:26" x14ac:dyDescent="0.25">
      <c r="A26" s="24" t="s">
        <v>1167</v>
      </c>
      <c r="B26" s="86">
        <f>(+SUMIFS(Export!L:L,Export!I:I,O26,Export!E:E,N26)+SUMIFS(Export!L:L,Export!I:I,O26,Export!E:E,M26)+SUMIFS(Export!L:L,Export!I:I,O26,Export!E:E,L26))/$B$10</f>
        <v>165.70119047619048</v>
      </c>
      <c r="C26" s="90">
        <v>0</v>
      </c>
      <c r="D26" s="105">
        <f t="shared" ref="D26:D33" si="9">+C26-B26</f>
        <v>-165.70119047619048</v>
      </c>
      <c r="E26" s="118">
        <f t="shared" si="4"/>
        <v>0</v>
      </c>
      <c r="F26" s="86"/>
      <c r="G26" s="86"/>
      <c r="H26" s="86"/>
      <c r="I26" s="90" t="e">
        <f t="shared" si="6"/>
        <v>#DIV/0!</v>
      </c>
      <c r="J26" s="105">
        <f t="shared" ref="J26:J33" si="10">+H26-F26</f>
        <v>0</v>
      </c>
      <c r="K26" s="122">
        <f t="shared" si="3"/>
        <v>0</v>
      </c>
      <c r="L26" s="162">
        <v>210</v>
      </c>
      <c r="M26" s="162">
        <v>220</v>
      </c>
      <c r="N26" s="162">
        <v>221</v>
      </c>
      <c r="O26" s="3" t="s">
        <v>1167</v>
      </c>
    </row>
    <row r="27" spans="1:26" x14ac:dyDescent="0.25">
      <c r="A27" s="24" t="s">
        <v>1646</v>
      </c>
      <c r="B27" s="86">
        <f>+SUM(B25:B26)</f>
        <v>577.36785714285713</v>
      </c>
      <c r="C27" s="90">
        <f>+SUM(C25:C26)</f>
        <v>445.70769010411317</v>
      </c>
      <c r="D27" s="105">
        <f t="shared" si="9"/>
        <v>-131.66016703874396</v>
      </c>
      <c r="E27" s="118">
        <f t="shared" si="4"/>
        <v>-0.29539577162778902</v>
      </c>
      <c r="F27" s="86"/>
      <c r="G27" s="86"/>
      <c r="H27" s="86"/>
      <c r="I27" s="90" t="e">
        <f>+SUM(I25:I26)</f>
        <v>#DIV/0!</v>
      </c>
      <c r="J27" s="105">
        <f t="shared" si="10"/>
        <v>0</v>
      </c>
      <c r="K27" s="122">
        <f t="shared" si="3"/>
        <v>0</v>
      </c>
      <c r="L27" s="162"/>
      <c r="M27" s="162"/>
      <c r="N27" s="162"/>
    </row>
    <row r="28" spans="1:26" x14ac:dyDescent="0.25">
      <c r="A28" s="24" t="s">
        <v>1241</v>
      </c>
      <c r="B28" s="86">
        <f>(+SUMIFS(Export!L:L,Export!I:I,O28,Export!E:E,N28)+SUMIFS(Export!L:L,Export!I:I,O28,Export!E:E,M28)+SUMIFS(Export!L:L,Export!I:I,O28,Export!E:E,L28))/$B$10</f>
        <v>1042.6921428571429</v>
      </c>
      <c r="C28" s="90">
        <v>0</v>
      </c>
      <c r="D28" s="105">
        <f t="shared" si="9"/>
        <v>-1042.6921428571429</v>
      </c>
      <c r="E28" s="118">
        <f t="shared" si="4"/>
        <v>0</v>
      </c>
      <c r="F28" s="86"/>
      <c r="G28" s="86"/>
      <c r="H28" s="86"/>
      <c r="I28" s="90" t="e">
        <f t="shared" si="6"/>
        <v>#DIV/0!</v>
      </c>
      <c r="J28" s="105">
        <f t="shared" si="10"/>
        <v>0</v>
      </c>
      <c r="K28" s="122">
        <f t="shared" si="3"/>
        <v>0</v>
      </c>
      <c r="L28" s="162">
        <v>210</v>
      </c>
      <c r="M28" s="162">
        <v>220</v>
      </c>
      <c r="N28" s="162">
        <v>221</v>
      </c>
      <c r="O28" s="3" t="s">
        <v>1241</v>
      </c>
    </row>
    <row r="29" spans="1:26" x14ac:dyDescent="0.25">
      <c r="A29" s="24" t="s">
        <v>1301</v>
      </c>
      <c r="B29" s="86">
        <f>(+SUMIFS(Export!L:L,Export!I:I,O29,Export!E:E,N29)+SUMIFS(Export!L:L,Export!I:I,O29,Export!E:E,M29)+SUMIFS(Export!L:L,Export!I:I,O29,Export!E:E,L29))/$B$10</f>
        <v>179.17999999999998</v>
      </c>
      <c r="C29" s="90">
        <f>HLOOKUP(J1,'Input Sheet'!1:1048576,37,FALSE)/C10</f>
        <v>1094.6115653941717</v>
      </c>
      <c r="D29" s="105">
        <f t="shared" si="9"/>
        <v>915.4315653941718</v>
      </c>
      <c r="E29" s="118">
        <f t="shared" si="4"/>
        <v>0.83630722928139634</v>
      </c>
      <c r="F29" s="86"/>
      <c r="G29" s="86"/>
      <c r="H29" s="86"/>
      <c r="I29" s="90" t="e">
        <f t="shared" si="6"/>
        <v>#DIV/0!</v>
      </c>
      <c r="J29" s="105">
        <f t="shared" si="10"/>
        <v>0</v>
      </c>
      <c r="K29" s="122">
        <f t="shared" si="3"/>
        <v>0</v>
      </c>
      <c r="L29" s="162">
        <v>210</v>
      </c>
      <c r="M29" s="162">
        <v>220</v>
      </c>
      <c r="N29" s="162">
        <v>221</v>
      </c>
      <c r="O29" s="3" t="s">
        <v>1301</v>
      </c>
    </row>
    <row r="30" spans="1:26" x14ac:dyDescent="0.25">
      <c r="A30" s="24" t="s">
        <v>1341</v>
      </c>
      <c r="B30" s="86">
        <f>(+SUMIFS(Export!L:L,Export!I:I,O30,Export!E:E,N30)+SUMIFS(Export!L:L,Export!I:I,O30,Export!E:E,M30))/$B$10</f>
        <v>141.83023809523809</v>
      </c>
      <c r="C30" s="90">
        <v>0</v>
      </c>
      <c r="D30" s="105">
        <f t="shared" si="9"/>
        <v>-141.83023809523809</v>
      </c>
      <c r="E30" s="118">
        <f t="shared" si="4"/>
        <v>0</v>
      </c>
      <c r="F30" s="86"/>
      <c r="G30" s="86"/>
      <c r="H30" s="86"/>
      <c r="I30" s="90" t="e">
        <f t="shared" si="6"/>
        <v>#DIV/0!</v>
      </c>
      <c r="J30" s="105">
        <f t="shared" si="10"/>
        <v>0</v>
      </c>
      <c r="K30" s="122">
        <f t="shared" si="3"/>
        <v>0</v>
      </c>
      <c r="L30" s="162"/>
      <c r="M30" s="162">
        <v>220</v>
      </c>
      <c r="N30" s="162">
        <v>221</v>
      </c>
      <c r="O30" s="3" t="s">
        <v>1341</v>
      </c>
    </row>
    <row r="31" spans="1:26" x14ac:dyDescent="0.25">
      <c r="A31" s="24" t="s">
        <v>1327</v>
      </c>
      <c r="B31" s="86">
        <f>(+SUMIFS(Export!L:L,Export!I:I,O31,Export!E:E,N31)+SUMIFS(Export!L:L,Export!I:I,O31,Export!E:E,M31)+SUMIFS(Export!L:L,Export!I:I,O31,Export!E:E,L31))/$B$10</f>
        <v>103.90571428571428</v>
      </c>
      <c r="C31" s="90">
        <v>0</v>
      </c>
      <c r="D31" s="105">
        <f t="shared" si="9"/>
        <v>-103.90571428571428</v>
      </c>
      <c r="E31" s="118">
        <f t="shared" si="4"/>
        <v>0</v>
      </c>
      <c r="F31" s="86"/>
      <c r="G31" s="86"/>
      <c r="H31" s="86"/>
      <c r="I31" s="90" t="e">
        <f t="shared" si="6"/>
        <v>#DIV/0!</v>
      </c>
      <c r="J31" s="105">
        <f t="shared" si="10"/>
        <v>0</v>
      </c>
      <c r="K31" s="122">
        <f t="shared" si="3"/>
        <v>0</v>
      </c>
      <c r="L31" s="162">
        <v>210</v>
      </c>
      <c r="M31" s="162">
        <v>220</v>
      </c>
      <c r="N31" s="162">
        <v>221</v>
      </c>
      <c r="O31" s="3" t="s">
        <v>1327</v>
      </c>
    </row>
    <row r="32" spans="1:26" x14ac:dyDescent="0.25">
      <c r="A32" s="24" t="s">
        <v>1647</v>
      </c>
      <c r="B32" s="86">
        <f>+SUM(B28:B31)</f>
        <v>1467.6080952380955</v>
      </c>
      <c r="C32" s="90">
        <f>+SUM(C28:C31)</f>
        <v>1094.6115653941717</v>
      </c>
      <c r="D32" s="105">
        <f t="shared" si="9"/>
        <v>-372.99652984392378</v>
      </c>
      <c r="E32" s="118">
        <f t="shared" si="4"/>
        <v>-0.34075697867271026</v>
      </c>
      <c r="F32" s="86"/>
      <c r="G32" s="86"/>
      <c r="H32" s="86"/>
      <c r="I32" s="90" t="e">
        <f>+SUM(I28:I31)</f>
        <v>#DIV/0!</v>
      </c>
      <c r="J32" s="105">
        <f t="shared" si="10"/>
        <v>0</v>
      </c>
      <c r="K32" s="122">
        <f t="shared" si="3"/>
        <v>0</v>
      </c>
      <c r="L32" s="162"/>
      <c r="M32" s="162"/>
      <c r="N32" s="162"/>
    </row>
    <row r="33" spans="1:21" x14ac:dyDescent="0.25">
      <c r="A33" s="24" t="s">
        <v>1648</v>
      </c>
      <c r="B33" s="86">
        <f>+B32+B27</f>
        <v>2044.9759523809525</v>
      </c>
      <c r="C33" s="90">
        <f>+C32+C27</f>
        <v>1540.319255498285</v>
      </c>
      <c r="D33" s="105">
        <f t="shared" si="9"/>
        <v>-504.65669688266757</v>
      </c>
      <c r="E33" s="118">
        <f t="shared" si="4"/>
        <v>-0.32763123299358732</v>
      </c>
      <c r="F33" s="86"/>
      <c r="G33" s="86"/>
      <c r="H33" s="86"/>
      <c r="I33" s="90" t="e">
        <f>+I32+I27</f>
        <v>#DIV/0!</v>
      </c>
      <c r="J33" s="105">
        <f t="shared" si="10"/>
        <v>0</v>
      </c>
      <c r="K33" s="122">
        <f t="shared" si="3"/>
        <v>0</v>
      </c>
      <c r="L33" s="162"/>
      <c r="M33" s="162"/>
      <c r="N33" s="162"/>
    </row>
    <row r="34" spans="1:21" x14ac:dyDescent="0.25">
      <c r="A34" s="24" t="s">
        <v>1649</v>
      </c>
      <c r="B34" s="86">
        <f>+B23-B33</f>
        <v>17.88952380952378</v>
      </c>
      <c r="C34" s="90">
        <f>+C23-C33</f>
        <v>417.66583598578995</v>
      </c>
      <c r="D34" s="105">
        <f>+B34-C34</f>
        <v>-399.77631217626617</v>
      </c>
      <c r="E34" s="118">
        <f t="shared" si="4"/>
        <v>-0.95716785461444243</v>
      </c>
      <c r="F34" s="86"/>
      <c r="G34" s="86"/>
      <c r="H34" s="86"/>
      <c r="I34" s="90" t="e">
        <f>+I23-I33</f>
        <v>#DIV/0!</v>
      </c>
      <c r="J34" s="105">
        <f>+F34-H34</f>
        <v>0</v>
      </c>
      <c r="K34" s="122">
        <f t="shared" si="3"/>
        <v>0</v>
      </c>
      <c r="L34" s="162"/>
      <c r="M34" s="162"/>
      <c r="N34" s="162"/>
    </row>
    <row r="35" spans="1:21" s="28" customFormat="1" ht="15.75" thickBot="1" x14ac:dyDescent="0.3">
      <c r="A35" s="29" t="s">
        <v>1650</v>
      </c>
      <c r="B35" s="88">
        <f>+B34*B10+B11*B19</f>
        <v>7129.6099999999988</v>
      </c>
      <c r="C35" s="93">
        <f>+C34*C10</f>
        <v>20544.518398989912</v>
      </c>
      <c r="D35" s="107">
        <f>+B35-C35</f>
        <v>-13414.908398989914</v>
      </c>
      <c r="E35" s="120">
        <f t="shared" si="4"/>
        <v>-0.65296777166844988</v>
      </c>
      <c r="F35" s="88"/>
      <c r="G35" s="88"/>
      <c r="H35" s="88"/>
      <c r="I35" s="93">
        <f>SUM(F35:H35)</f>
        <v>0</v>
      </c>
      <c r="J35" s="107">
        <f>+F35-H35</f>
        <v>0</v>
      </c>
      <c r="K35" s="124">
        <f t="shared" si="3"/>
        <v>0</v>
      </c>
      <c r="L35" s="162"/>
      <c r="M35" s="162"/>
      <c r="N35" s="162"/>
      <c r="O35" s="3"/>
      <c r="P35" s="3"/>
      <c r="Q35" s="3"/>
      <c r="R35" s="3"/>
      <c r="S35" s="3"/>
      <c r="T35" s="3"/>
      <c r="U35" s="3"/>
    </row>
    <row r="36" spans="1:21" ht="15.75" thickTop="1" x14ac:dyDescent="0.25">
      <c r="E36" s="121"/>
    </row>
    <row r="37" spans="1:21" s="149" customFormat="1" x14ac:dyDescent="0.25">
      <c r="A37" s="10" t="s">
        <v>1626</v>
      </c>
      <c r="B37" s="12">
        <f>+SUMIF('TUNZ Extracted TB'!M:M,'NW USED VEHICLE'!P37,'TUNZ Extracted TB'!H:H)</f>
        <v>4</v>
      </c>
      <c r="C37" s="12">
        <f>HLOOKUP($J$1,'Input Sheet'!1:1048576,15,FALSE)</f>
        <v>4</v>
      </c>
      <c r="F37" s="12"/>
      <c r="G37" s="12"/>
      <c r="H37" s="12"/>
      <c r="I37" s="12" t="e">
        <f>AVERAGE(F37:H37)</f>
        <v>#DIV/0!</v>
      </c>
      <c r="O37" s="3" t="s">
        <v>1651</v>
      </c>
      <c r="P37" s="3" t="s">
        <v>1652</v>
      </c>
      <c r="Q37" s="3"/>
      <c r="R37" s="3"/>
      <c r="S37" s="3"/>
    </row>
    <row r="38" spans="1:21" hidden="1" x14ac:dyDescent="0.25">
      <c r="I38" s="16" t="e">
        <f t="shared" ref="I38:I39" si="11">AVERAGE(F38:H38)</f>
        <v>#DIV/0!</v>
      </c>
    </row>
    <row r="39" spans="1:21" x14ac:dyDescent="0.25">
      <c r="A39" s="3" t="s">
        <v>1654</v>
      </c>
      <c r="B39" s="89">
        <f>+SUMIF('TUNZ Extracted TB'!M:M,O39,'TUNZ Extracted TB'!H:H)/'USED VEHICLE GROUP'!B37*'NW USED VEHICLE'!B37</f>
        <v>1070765.352</v>
      </c>
      <c r="F39" s="89"/>
      <c r="G39" s="89"/>
      <c r="H39" s="89"/>
      <c r="I39" s="89" t="e">
        <f t="shared" si="11"/>
        <v>#DIV/0!</v>
      </c>
      <c r="O39" s="3" t="s">
        <v>1655</v>
      </c>
    </row>
    <row r="40" spans="1:21" x14ac:dyDescent="0.25">
      <c r="D40" s="280"/>
    </row>
    <row r="42" spans="1:21" x14ac:dyDescent="0.25">
      <c r="B42" s="193"/>
    </row>
    <row r="44" spans="1:21" x14ac:dyDescent="0.25">
      <c r="B44" s="193"/>
    </row>
    <row r="45" spans="1:21" x14ac:dyDescent="0.25">
      <c r="B45" s="193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scale="95" orientation="landscape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9CF19-F4A3-4D8D-A0B9-16B76DCEF81C}">
  <sheetPr>
    <tabColor theme="9" tint="0.79998168889431442"/>
  </sheetPr>
  <dimension ref="A1:AM25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3" width="11.140625" style="16" bestFit="1" customWidth="1"/>
    <col min="4" max="4" width="10.140625" style="16" bestFit="1" customWidth="1"/>
    <col min="5" max="9" width="9.7109375" style="16" customWidth="1"/>
    <col min="10" max="11" width="9.7109375" style="16" hidden="1" customWidth="1"/>
    <col min="12" max="12" width="9.140625" style="16" customWidth="1"/>
    <col min="13" max="13" width="9.140625" style="16"/>
    <col min="14" max="14" width="26.5703125" style="3" bestFit="1" customWidth="1" outlineLevel="1"/>
    <col min="15" max="36" width="9.140625" style="16" hidden="1" customWidth="1" outlineLevel="1"/>
    <col min="37" max="38" width="9.140625" style="16"/>
    <col min="39" max="39" width="9.140625" style="201"/>
    <col min="40" max="16384" width="9.140625" style="16"/>
  </cols>
  <sheetData>
    <row r="1" spans="1:39" ht="15" customHeight="1" x14ac:dyDescent="0.25">
      <c r="A1" s="326" t="s">
        <v>1604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  <c r="AL1" s="201" t="s">
        <v>1606</v>
      </c>
    </row>
    <row r="2" spans="1:39" ht="6.6" customHeight="1" thickBot="1" x14ac:dyDescent="0.3"/>
    <row r="3" spans="1:39" ht="15.75" thickTop="1" x14ac:dyDescent="0.25">
      <c r="A3" s="32" t="s">
        <v>1591</v>
      </c>
      <c r="B3" s="348" t="s">
        <v>155</v>
      </c>
      <c r="C3" s="329"/>
      <c r="D3" s="329"/>
      <c r="E3" s="329"/>
      <c r="F3" s="348" t="s">
        <v>155</v>
      </c>
      <c r="G3" s="348"/>
      <c r="H3" s="329"/>
      <c r="I3" s="329"/>
      <c r="J3" s="329"/>
      <c r="K3" s="345"/>
    </row>
    <row r="4" spans="1:39" x14ac:dyDescent="0.25">
      <c r="A4" s="33" t="s">
        <v>1591</v>
      </c>
      <c r="B4" s="34" t="s">
        <v>1591</v>
      </c>
      <c r="C4" s="34"/>
      <c r="D4" s="349"/>
      <c r="E4" s="331"/>
      <c r="F4" s="34" t="s">
        <v>1591</v>
      </c>
      <c r="G4" s="34"/>
      <c r="H4" s="34"/>
      <c r="I4" s="34"/>
      <c r="J4" s="349" t="s">
        <v>1608</v>
      </c>
      <c r="K4" s="347"/>
    </row>
    <row r="5" spans="1:39" x14ac:dyDescent="0.25">
      <c r="A5" s="33" t="s">
        <v>16</v>
      </c>
      <c r="B5" s="35" t="s">
        <v>12</v>
      </c>
      <c r="C5" s="35" t="s">
        <v>1592</v>
      </c>
      <c r="D5" s="36" t="s">
        <v>1609</v>
      </c>
      <c r="E5" s="36" t="s">
        <v>1610</v>
      </c>
      <c r="F5" s="261" t="str">
        <f>OVERALL!F5</f>
        <v>0124</v>
      </c>
      <c r="G5" s="261" t="str">
        <f>OVERALL!G5</f>
        <v>0224</v>
      </c>
      <c r="H5" s="261" t="str">
        <f>OVERALL!H5</f>
        <v>0324</v>
      </c>
      <c r="I5" s="261" t="str">
        <f>OVERALL!I5</f>
        <v>Q124</v>
      </c>
      <c r="J5" s="36" t="s">
        <v>1609</v>
      </c>
      <c r="K5" s="37" t="s">
        <v>1610</v>
      </c>
      <c r="AL5" s="201" t="s">
        <v>12</v>
      </c>
      <c r="AM5" s="201" t="s">
        <v>1592</v>
      </c>
    </row>
    <row r="6" spans="1:39" x14ac:dyDescent="0.25">
      <c r="A6" s="24" t="s">
        <v>1076</v>
      </c>
      <c r="B6" s="86">
        <f>('NS F&amp;I'!B6*('NS USED VEHICLE'!$B$10+'NS NEW VEHICLE'!$B$6)+'NW F&amp;I'!B6*('NW USED VEHICLE'!$B$10+'NW NEW VEHICLE'!$B$6))/('USED VEHICLE GROUP'!$B$10+'NEW VEHICLE GROUP'!$B$6)</f>
        <v>408.29843621399175</v>
      </c>
      <c r="C6" s="90">
        <f>('NS F&amp;I'!C6*('NS USED VEHICLE'!$C$10+'NS NEW VEHICLE'!$C$6)+'NW F&amp;I'!C6*('NW USED VEHICLE'!$C$10+'NW NEW VEHICLE'!$C$6))/('USED VEHICLE GROUP'!$C$10+'NEW VEHICLE GROUP'!$C$6)</f>
        <v>560.78355553650283</v>
      </c>
      <c r="D6" s="105">
        <f>+B6-C6</f>
        <v>-152.48511932251108</v>
      </c>
      <c r="E6" s="118">
        <f>+IFERROR(D6/C6,0)</f>
        <v>-0.27191439159914066</v>
      </c>
      <c r="F6" s="86">
        <v>408.29843621399175</v>
      </c>
      <c r="G6" s="89"/>
      <c r="H6" s="89"/>
      <c r="I6" s="90">
        <f>AVERAGE(F6,G6,H6)</f>
        <v>408.29843621399175</v>
      </c>
      <c r="J6" s="105">
        <f>+F6-H6</f>
        <v>408.29843621399175</v>
      </c>
      <c r="K6" s="122">
        <f>+IFERROR(J6/H6,0)</f>
        <v>0</v>
      </c>
      <c r="N6" s="3" t="s">
        <v>1076</v>
      </c>
      <c r="AM6" s="202"/>
    </row>
    <row r="7" spans="1:39" x14ac:dyDescent="0.25">
      <c r="A7" s="24" t="s">
        <v>1083</v>
      </c>
      <c r="B7" s="86">
        <f>('NS F&amp;I'!B7*('NS USED VEHICLE'!$B$10+'NS NEW VEHICLE'!$B$6)+'NW F&amp;I'!B7*('NW USED VEHICLE'!$B$10+'NW NEW VEHICLE'!$B$6))/('USED VEHICLE GROUP'!$B$10+'NEW VEHICLE GROUP'!$B$6)</f>
        <v>43.372386831275719</v>
      </c>
      <c r="C7" s="90">
        <f>('NS F&amp;I'!C7*('NS USED VEHICLE'!$C$10+'NS NEW VEHICLE'!$C$6)+'NW F&amp;I'!C7*('NW USED VEHICLE'!$C$10+'NW NEW VEHICLE'!$C$6))/('USED VEHICLE GROUP'!$C$10+'NEW VEHICLE GROUP'!$C$6)</f>
        <v>0</v>
      </c>
      <c r="D7" s="105">
        <f t="shared" ref="D7:D13" si="0">+B7-C7</f>
        <v>43.372386831275719</v>
      </c>
      <c r="E7" s="118">
        <f t="shared" ref="E7:E19" si="1">+IFERROR(D7/C7,0)</f>
        <v>0</v>
      </c>
      <c r="F7" s="86">
        <v>43.372386831275719</v>
      </c>
      <c r="G7" s="89"/>
      <c r="H7" s="89"/>
      <c r="I7" s="90">
        <f t="shared" ref="I7:I16" si="2">AVERAGE(F7,G7,H7)</f>
        <v>43.372386831275719</v>
      </c>
      <c r="J7" s="105">
        <f t="shared" ref="J7:J13" si="3">+F7-H7</f>
        <v>43.372386831275719</v>
      </c>
      <c r="K7" s="122">
        <f t="shared" ref="K7:K19" si="4">+IFERROR(J7/H7,0)</f>
        <v>0</v>
      </c>
      <c r="N7" s="3" t="s">
        <v>1083</v>
      </c>
      <c r="AM7" s="202"/>
    </row>
    <row r="8" spans="1:39" ht="15.95" customHeight="1" x14ac:dyDescent="0.25">
      <c r="A8" s="24" t="s">
        <v>1090</v>
      </c>
      <c r="B8" s="86">
        <f>('NS F&amp;I'!B8*('NS USED VEHICLE'!$B$10+'NS NEW VEHICLE'!$B$6)+'NW F&amp;I'!B8*('NW USED VEHICLE'!$B$10+'NW NEW VEHICLE'!$B$6))/('USED VEHICLE GROUP'!$B$10+'NEW VEHICLE GROUP'!$B$6)</f>
        <v>17.675349794238684</v>
      </c>
      <c r="C8" s="90">
        <f>('NS F&amp;I'!C8*('NS USED VEHICLE'!$C$10+'NS NEW VEHICLE'!$C$6)+'NW F&amp;I'!C8*('NW USED VEHICLE'!$C$10+'NW NEW VEHICLE'!$C$6))/('USED VEHICLE GROUP'!$C$10+'NEW VEHICLE GROUP'!$C$6)</f>
        <v>0</v>
      </c>
      <c r="D8" s="105">
        <f t="shared" si="0"/>
        <v>17.675349794238684</v>
      </c>
      <c r="E8" s="118">
        <f t="shared" si="1"/>
        <v>0</v>
      </c>
      <c r="F8" s="86">
        <v>41.600288065843614</v>
      </c>
      <c r="G8" s="89"/>
      <c r="H8" s="89"/>
      <c r="I8" s="90">
        <f t="shared" si="2"/>
        <v>41.600288065843614</v>
      </c>
      <c r="J8" s="105">
        <f t="shared" si="3"/>
        <v>41.600288065843614</v>
      </c>
      <c r="K8" s="122">
        <f t="shared" si="4"/>
        <v>0</v>
      </c>
      <c r="N8" s="3" t="s">
        <v>1090</v>
      </c>
      <c r="AM8" s="202"/>
    </row>
    <row r="9" spans="1:39" ht="15.6" customHeight="1" x14ac:dyDescent="0.25">
      <c r="A9" s="24" t="s">
        <v>1047</v>
      </c>
      <c r="B9" s="86">
        <f>('NS F&amp;I'!B9*('NS USED VEHICLE'!$B$10+'NS NEW VEHICLE'!$B$6)+'NW F&amp;I'!B9*('NW USED VEHICLE'!$B$10+'NW NEW VEHICLE'!$B$6))/('USED VEHICLE GROUP'!$B$10+'NEW VEHICLE GROUP'!$B$6)</f>
        <v>154.49691358024691</v>
      </c>
      <c r="C9" s="90">
        <f>('NS F&amp;I'!C9*('NS USED VEHICLE'!$C$10+'NS NEW VEHICLE'!$C$6)+'NW F&amp;I'!C9*('NW USED VEHICLE'!$C$10+'NW NEW VEHICLE'!$C$6))/('USED VEHICLE GROUP'!$C$10+'NEW VEHICLE GROUP'!$C$6)</f>
        <v>0</v>
      </c>
      <c r="D9" s="105">
        <f t="shared" si="0"/>
        <v>154.49691358024691</v>
      </c>
      <c r="E9" s="118">
        <f t="shared" si="1"/>
        <v>0</v>
      </c>
      <c r="F9" s="86">
        <v>154.49691358024691</v>
      </c>
      <c r="G9" s="89"/>
      <c r="H9" s="89"/>
      <c r="I9" s="90">
        <f t="shared" si="2"/>
        <v>154.49691358024691</v>
      </c>
      <c r="J9" s="105">
        <f t="shared" si="3"/>
        <v>154.49691358024691</v>
      </c>
      <c r="K9" s="122">
        <f t="shared" si="4"/>
        <v>0</v>
      </c>
      <c r="N9" s="3" t="s">
        <v>1047</v>
      </c>
      <c r="AL9" s="202"/>
      <c r="AM9" s="202"/>
    </row>
    <row r="10" spans="1:39" x14ac:dyDescent="0.25">
      <c r="A10" s="24" t="s">
        <v>1457</v>
      </c>
      <c r="B10" s="86">
        <f>('NS F&amp;I'!B10*('NS USED VEHICLE'!$B$10+'NS NEW VEHICLE'!$B$6)+'NW F&amp;I'!B10*('NW USED VEHICLE'!$B$10+'NW NEW VEHICLE'!$B$6))/('USED VEHICLE GROUP'!$B$10+'NEW VEHICLE GROUP'!$B$6)</f>
        <v>0</v>
      </c>
      <c r="C10" s="90">
        <f>('NS F&amp;I'!C10*('NS USED VEHICLE'!$C$10+'NS NEW VEHICLE'!$C$6)+'NW F&amp;I'!C10*('NW USED VEHICLE'!$C$10+'NW NEW VEHICLE'!$C$6))/('USED VEHICLE GROUP'!$C$10+'NEW VEHICLE GROUP'!$C$6)</f>
        <v>0</v>
      </c>
      <c r="D10" s="105">
        <f t="shared" si="0"/>
        <v>0</v>
      </c>
      <c r="E10" s="118">
        <f t="shared" si="1"/>
        <v>0</v>
      </c>
      <c r="F10" s="86">
        <v>0</v>
      </c>
      <c r="G10" s="89"/>
      <c r="H10" s="89"/>
      <c r="I10" s="90">
        <f t="shared" si="2"/>
        <v>0</v>
      </c>
      <c r="J10" s="105">
        <f t="shared" si="3"/>
        <v>0</v>
      </c>
      <c r="K10" s="122">
        <f t="shared" si="4"/>
        <v>0</v>
      </c>
      <c r="N10" s="3" t="s">
        <v>1457</v>
      </c>
      <c r="AL10" s="202"/>
      <c r="AM10" s="202"/>
    </row>
    <row r="11" spans="1:39" x14ac:dyDescent="0.25">
      <c r="A11" s="24" t="s">
        <v>1031</v>
      </c>
      <c r="B11" s="86">
        <f>('NS F&amp;I'!B11*('NS USED VEHICLE'!$B$10+'NS NEW VEHICLE'!$B$6)+'NW F&amp;I'!B11*('NW USED VEHICLE'!$B$10+'NW NEW VEHICLE'!$B$6))/('USED VEHICLE GROUP'!$B$10+'NEW VEHICLE GROUP'!$B$6)</f>
        <v>0</v>
      </c>
      <c r="C11" s="90">
        <f>('NS F&amp;I'!C11*('NS USED VEHICLE'!$C$10+'NS NEW VEHICLE'!$C$6)+'NW F&amp;I'!C11*('NW USED VEHICLE'!$C$10+'NW NEW VEHICLE'!$C$6))/('USED VEHICLE GROUP'!$C$10+'NEW VEHICLE GROUP'!$C$6)</f>
        <v>0</v>
      </c>
      <c r="D11" s="105">
        <f t="shared" si="0"/>
        <v>0</v>
      </c>
      <c r="E11" s="118">
        <f t="shared" si="1"/>
        <v>0</v>
      </c>
      <c r="F11" s="86">
        <v>0</v>
      </c>
      <c r="G11" s="89"/>
      <c r="H11" s="89"/>
      <c r="I11" s="90">
        <f t="shared" si="2"/>
        <v>0</v>
      </c>
      <c r="J11" s="105">
        <f t="shared" si="3"/>
        <v>0</v>
      </c>
      <c r="K11" s="122">
        <f t="shared" si="4"/>
        <v>0</v>
      </c>
      <c r="N11" s="3" t="s">
        <v>1031</v>
      </c>
      <c r="AL11" s="202"/>
      <c r="AM11" s="202"/>
    </row>
    <row r="12" spans="1:39" ht="15.6" customHeight="1" x14ac:dyDescent="0.25">
      <c r="A12" s="24" t="s">
        <v>1660</v>
      </c>
      <c r="B12" s="86">
        <f>('NS F&amp;I'!B12*('NS USED VEHICLE'!$B$10+'NS NEW VEHICLE'!$B$6)+'NW F&amp;I'!B12*('NW USED VEHICLE'!$B$10+'NW NEW VEHICLE'!$B$6))/('USED VEHICLE GROUP'!$B$10+'NEW VEHICLE GROUP'!$B$6)</f>
        <v>0</v>
      </c>
      <c r="C12" s="90">
        <f>('NS F&amp;I'!C12*('NS USED VEHICLE'!$C$10+'NS NEW VEHICLE'!$C$6)+'NW F&amp;I'!C12*('NW USED VEHICLE'!$C$10+'NW NEW VEHICLE'!$C$6))/('USED VEHICLE GROUP'!$C$10+'NEW VEHICLE GROUP'!$C$6)</f>
        <v>0</v>
      </c>
      <c r="D12" s="105">
        <f t="shared" si="0"/>
        <v>0</v>
      </c>
      <c r="E12" s="118">
        <f t="shared" si="1"/>
        <v>0</v>
      </c>
      <c r="F12" s="86">
        <v>0</v>
      </c>
      <c r="G12" s="89"/>
      <c r="H12" s="89"/>
      <c r="I12" s="90">
        <f t="shared" si="2"/>
        <v>0</v>
      </c>
      <c r="J12" s="105">
        <f t="shared" si="3"/>
        <v>0</v>
      </c>
      <c r="K12" s="122">
        <f t="shared" si="4"/>
        <v>0</v>
      </c>
      <c r="AL12" s="202"/>
      <c r="AM12" s="202"/>
    </row>
    <row r="13" spans="1:39" x14ac:dyDescent="0.25">
      <c r="A13" s="24" t="s">
        <v>1661</v>
      </c>
      <c r="B13" s="89">
        <f>+SUM(B6:B12)</f>
        <v>623.84308641975304</v>
      </c>
      <c r="C13" s="90">
        <f>+SUM(C6:C12)</f>
        <v>560.78355553650283</v>
      </c>
      <c r="D13" s="105">
        <f t="shared" si="0"/>
        <v>63.059530883250204</v>
      </c>
      <c r="E13" s="118">
        <f t="shared" si="1"/>
        <v>0.11244896584551417</v>
      </c>
      <c r="F13" s="89">
        <v>647.76802469135794</v>
      </c>
      <c r="G13" s="89"/>
      <c r="H13" s="89"/>
      <c r="I13" s="90">
        <f t="shared" si="2"/>
        <v>647.76802469135794</v>
      </c>
      <c r="J13" s="105">
        <f t="shared" si="3"/>
        <v>647.76802469135794</v>
      </c>
      <c r="K13" s="122">
        <f t="shared" si="4"/>
        <v>0</v>
      </c>
      <c r="AL13" s="202"/>
      <c r="AM13" s="202"/>
    </row>
    <row r="14" spans="1:39" x14ac:dyDescent="0.25">
      <c r="A14" s="27" t="s">
        <v>1662</v>
      </c>
      <c r="B14" s="91">
        <f>'NS F&amp;I'!B14+'NW F&amp;I'!B14</f>
        <v>151593.87</v>
      </c>
      <c r="C14" s="92">
        <f>+C13*SUM('USED VEHICLE GROUP'!$C$10,'NEW VEHICLE GROUP'!$C$6)</f>
        <v>145348.86666666667</v>
      </c>
      <c r="D14" s="106">
        <f>+B14-C14</f>
        <v>6245.0033333333267</v>
      </c>
      <c r="E14" s="119">
        <f t="shared" si="1"/>
        <v>4.2965614225635468E-2</v>
      </c>
      <c r="F14" s="91">
        <v>157407.63</v>
      </c>
      <c r="G14" s="91"/>
      <c r="H14" s="91"/>
      <c r="I14" s="92">
        <f>SUM(F14:H14)</f>
        <v>157407.63</v>
      </c>
      <c r="J14" s="106">
        <f>+F14-H14</f>
        <v>157407.63</v>
      </c>
      <c r="K14" s="123">
        <f t="shared" si="4"/>
        <v>0</v>
      </c>
      <c r="AK14" s="195"/>
      <c r="AL14" s="203"/>
      <c r="AM14" s="203"/>
    </row>
    <row r="15" spans="1:39" ht="16.5" customHeight="1" x14ac:dyDescent="0.25">
      <c r="A15" s="24" t="s">
        <v>1249</v>
      </c>
      <c r="B15" s="86">
        <f>('NS F&amp;I'!B15*('NS USED VEHICLE'!$B$10+'NS NEW VEHICLE'!$B$6)+'NW F&amp;I'!B15*('NW USED VEHICLE'!$B$10+'NW NEW VEHICLE'!$B$6))/('USED VEHICLE GROUP'!$B$10+'NEW VEHICLE GROUP'!$B$6)</f>
        <v>278.83333333333331</v>
      </c>
      <c r="C15" s="90">
        <f>('NS F&amp;I'!C15*('NS USED VEHICLE'!$C$10+'NS NEW VEHICLE'!$C$6)+'NW F&amp;I'!C15*('NW USED VEHICLE'!$C$10+'NW NEW VEHICLE'!$C$6))/('USED VEHICLE GROUP'!$C$10+'NEW VEHICLE GROUP'!$C$6)</f>
        <v>239.90740343807605</v>
      </c>
      <c r="D15" s="105">
        <f>+C15-B15</f>
        <v>-38.925929895257269</v>
      </c>
      <c r="E15" s="118">
        <f t="shared" si="1"/>
        <v>-0.16225397523134244</v>
      </c>
      <c r="F15" s="86">
        <v>278.83333333333331</v>
      </c>
      <c r="G15" s="89"/>
      <c r="H15" s="89"/>
      <c r="I15" s="90">
        <f t="shared" si="2"/>
        <v>278.83333333333331</v>
      </c>
      <c r="J15" s="105">
        <f>+H15-F15</f>
        <v>-278.83333333333331</v>
      </c>
      <c r="K15" s="122">
        <f t="shared" si="4"/>
        <v>0</v>
      </c>
      <c r="N15" s="3" t="s">
        <v>1249</v>
      </c>
      <c r="AL15" s="202"/>
      <c r="AM15" s="202"/>
    </row>
    <row r="16" spans="1:39" x14ac:dyDescent="0.25">
      <c r="A16" s="24" t="s">
        <v>1295</v>
      </c>
      <c r="B16" s="86">
        <f>('NS F&amp;I'!B16*('NS USED VEHICLE'!$B$10+'NS NEW VEHICLE'!$B$6)+'NW F&amp;I'!B16*('NW USED VEHICLE'!$B$10+'NW NEW VEHICLE'!$B$6))/('USED VEHICLE GROUP'!$B$10+'NEW VEHICLE GROUP'!$B$6)</f>
        <v>5.5548971193415637</v>
      </c>
      <c r="C16" s="90">
        <f>('NS F&amp;I'!C16*('NS USED VEHICLE'!$C$10+'NS NEW VEHICLE'!$C$6)+'NW F&amp;I'!C16*('NW USED VEHICLE'!$C$10+'NW NEW VEHICLE'!$C$6))/('USED VEHICLE GROUP'!$C$10+'NEW VEHICLE GROUP'!$C$6)</f>
        <v>0</v>
      </c>
      <c r="D16" s="105">
        <f t="shared" ref="D16:D17" si="5">+C16-B16</f>
        <v>-5.5548971193415637</v>
      </c>
      <c r="E16" s="118">
        <f t="shared" si="1"/>
        <v>0</v>
      </c>
      <c r="F16" s="86">
        <v>5.2026748971193415</v>
      </c>
      <c r="G16" s="89"/>
      <c r="H16" s="89"/>
      <c r="I16" s="90">
        <f t="shared" si="2"/>
        <v>5.2026748971193415</v>
      </c>
      <c r="J16" s="105">
        <f t="shared" ref="J16:J17" si="6">+H16-F16</f>
        <v>-5.2026748971193415</v>
      </c>
      <c r="K16" s="122">
        <f t="shared" si="4"/>
        <v>0</v>
      </c>
      <c r="N16" s="3" t="s">
        <v>1295</v>
      </c>
      <c r="AL16" s="202"/>
      <c r="AM16" s="202"/>
    </row>
    <row r="17" spans="1:39" x14ac:dyDescent="0.25">
      <c r="A17" s="24" t="s">
        <v>1663</v>
      </c>
      <c r="B17" s="89">
        <f>+SUM(B15:B16)</f>
        <v>284.38823045267486</v>
      </c>
      <c r="C17" s="90">
        <f>+SUM(C15:C16)</f>
        <v>239.90740343807605</v>
      </c>
      <c r="D17" s="105">
        <f t="shared" si="5"/>
        <v>-44.480827014598816</v>
      </c>
      <c r="E17" s="118">
        <f t="shared" si="1"/>
        <v>-0.18540831327900237</v>
      </c>
      <c r="F17" s="89">
        <v>284.03600823045264</v>
      </c>
      <c r="G17" s="89"/>
      <c r="H17" s="89"/>
      <c r="I17" s="90">
        <f>+SUM(I15:I16)</f>
        <v>284.03600823045264</v>
      </c>
      <c r="J17" s="105">
        <f t="shared" si="6"/>
        <v>-284.03600823045264</v>
      </c>
      <c r="K17" s="122">
        <f t="shared" si="4"/>
        <v>0</v>
      </c>
      <c r="AL17" s="203"/>
      <c r="AM17" s="203"/>
    </row>
    <row r="18" spans="1:39" x14ac:dyDescent="0.25">
      <c r="A18" s="24" t="s">
        <v>1664</v>
      </c>
      <c r="B18" s="89">
        <f>+B13-B17</f>
        <v>339.45485596707817</v>
      </c>
      <c r="C18" s="90">
        <f>+C13-C17</f>
        <v>320.87615209842681</v>
      </c>
      <c r="D18" s="105">
        <f>+B18-C18</f>
        <v>18.57870386865136</v>
      </c>
      <c r="E18" s="118">
        <f t="shared" si="1"/>
        <v>5.7899921035429444E-2</v>
      </c>
      <c r="F18" s="89">
        <v>363.7320164609053</v>
      </c>
      <c r="G18" s="89"/>
      <c r="H18" s="89"/>
      <c r="I18" s="90">
        <f>+I13-I17</f>
        <v>363.7320164609053</v>
      </c>
      <c r="J18" s="105">
        <f>+F18-H18</f>
        <v>363.7320164609053</v>
      </c>
      <c r="K18" s="122">
        <f t="shared" si="4"/>
        <v>0</v>
      </c>
      <c r="AM18" s="202"/>
    </row>
    <row r="19" spans="1:39" s="28" customFormat="1" ht="15.75" thickBot="1" x14ac:dyDescent="0.3">
      <c r="A19" s="29" t="s">
        <v>1665</v>
      </c>
      <c r="B19" s="88">
        <f>'NS F&amp;I'!B19+'NW F&amp;I'!B19</f>
        <v>82487.529999999984</v>
      </c>
      <c r="C19" s="93">
        <f>+C18*SUM('NEW VEHICLE GROUP'!C6,'USED VEHICLE GROUP'!C10)</f>
        <v>83167.533333333355</v>
      </c>
      <c r="D19" s="108">
        <f>+B19-C19</f>
        <v>-680.00333333337039</v>
      </c>
      <c r="E19" s="120">
        <f t="shared" si="1"/>
        <v>-8.1763075815647242E-3</v>
      </c>
      <c r="F19" s="88">
        <v>88386.87999999999</v>
      </c>
      <c r="G19" s="94"/>
      <c r="H19" s="94"/>
      <c r="I19" s="93">
        <f>SUM(F19:H19)</f>
        <v>88386.87999999999</v>
      </c>
      <c r="J19" s="108">
        <f>+F19-H19</f>
        <v>88386.87999999999</v>
      </c>
      <c r="K19" s="124">
        <f t="shared" si="4"/>
        <v>0</v>
      </c>
      <c r="N19" s="3"/>
      <c r="AK19" s="111"/>
      <c r="AL19" s="202">
        <f>B19-'NS F&amp;I'!B19-'NW F&amp;I'!B19</f>
        <v>0</v>
      </c>
      <c r="AM19" s="202">
        <f>C19-'NS F&amp;I'!C19-'NW F&amp;I'!C19</f>
        <v>0</v>
      </c>
    </row>
    <row r="20" spans="1:39" ht="0" hidden="1" customHeight="1" x14ac:dyDescent="0.25">
      <c r="E20" s="121"/>
      <c r="K20" s="121"/>
      <c r="AM20" s="202"/>
    </row>
    <row r="21" spans="1:39" ht="15.75" thickTop="1" x14ac:dyDescent="0.25">
      <c r="E21" s="121"/>
      <c r="K21" s="121"/>
      <c r="AM21" s="202"/>
    </row>
    <row r="22" spans="1:39" x14ac:dyDescent="0.25">
      <c r="E22" s="121"/>
      <c r="F22" s="255"/>
      <c r="G22" s="255"/>
      <c r="H22" s="255"/>
      <c r="I22" s="255"/>
      <c r="K22" s="121"/>
      <c r="AM22" s="202"/>
    </row>
    <row r="23" spans="1:39" x14ac:dyDescent="0.25">
      <c r="B23" s="195"/>
      <c r="C23" s="195"/>
      <c r="E23" s="121"/>
      <c r="AL23" s="28"/>
      <c r="AM23" s="203"/>
    </row>
    <row r="24" spans="1:39" x14ac:dyDescent="0.25">
      <c r="B24" s="193"/>
      <c r="C24" s="193"/>
      <c r="D24" s="270"/>
      <c r="E24" s="121"/>
      <c r="F24" s="195"/>
      <c r="G24" s="195"/>
    </row>
    <row r="25" spans="1:39" x14ac:dyDescent="0.25">
      <c r="C25" s="193"/>
      <c r="E25" s="121"/>
      <c r="F25" s="168"/>
      <c r="G25" s="168"/>
      <c r="AL25" s="201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2DB40-F99B-42A9-964E-1BA803D9EF61}">
  <sheetPr>
    <tabColor theme="9" tint="0.79998168889431442"/>
  </sheetPr>
  <dimension ref="A1:AJ25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5" width="9.7109375" style="16" customWidth="1" outlineLevel="1"/>
    <col min="6" max="9" width="9.7109375" style="16" customWidth="1"/>
    <col min="10" max="11" width="9.7109375" style="16" hidden="1" customWidth="1"/>
    <col min="12" max="12" width="9.140625" style="16" customWidth="1"/>
    <col min="13" max="13" width="3.140625" style="16" bestFit="1" customWidth="1"/>
    <col min="14" max="14" width="26.5703125" style="3" customWidth="1" outlineLevel="1"/>
    <col min="15" max="36" width="9.140625" style="16" customWidth="1" outlineLevel="1"/>
    <col min="37" max="16384" width="9.140625" style="16"/>
  </cols>
  <sheetData>
    <row r="1" spans="1:14" ht="15" customHeight="1" x14ac:dyDescent="0.25">
      <c r="A1" s="326" t="s">
        <v>1604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14" ht="6.6" customHeight="1" thickBot="1" x14ac:dyDescent="0.3"/>
    <row r="3" spans="1:14" ht="15.75" thickTop="1" x14ac:dyDescent="0.25">
      <c r="A3" s="32" t="s">
        <v>1591</v>
      </c>
      <c r="B3" s="348" t="s">
        <v>155</v>
      </c>
      <c r="C3" s="329"/>
      <c r="D3" s="329"/>
      <c r="E3" s="329"/>
      <c r="F3" s="348" t="s">
        <v>1629</v>
      </c>
      <c r="G3" s="348"/>
      <c r="H3" s="329"/>
      <c r="I3" s="329"/>
      <c r="J3" s="329"/>
      <c r="K3" s="345"/>
    </row>
    <row r="4" spans="1:14" x14ac:dyDescent="0.25">
      <c r="A4" s="33" t="s">
        <v>1591</v>
      </c>
      <c r="B4" s="34" t="s">
        <v>1591</v>
      </c>
      <c r="C4" s="34"/>
      <c r="D4" s="349"/>
      <c r="E4" s="331"/>
      <c r="F4" s="34" t="s">
        <v>1591</v>
      </c>
      <c r="G4" s="34"/>
      <c r="H4" s="34"/>
      <c r="I4" s="34"/>
      <c r="J4" s="349"/>
      <c r="K4" s="347"/>
    </row>
    <row r="5" spans="1:14" x14ac:dyDescent="0.25">
      <c r="A5" s="33" t="s">
        <v>16</v>
      </c>
      <c r="B5" s="35" t="s">
        <v>12</v>
      </c>
      <c r="C5" s="35" t="s">
        <v>1592</v>
      </c>
      <c r="D5" s="36" t="s">
        <v>1609</v>
      </c>
      <c r="E5" s="36" t="s">
        <v>1610</v>
      </c>
      <c r="F5" s="261" t="str">
        <f>OVERALL!F5</f>
        <v>0124</v>
      </c>
      <c r="G5" s="261" t="str">
        <f>OVERALL!G5</f>
        <v>0224</v>
      </c>
      <c r="H5" s="261" t="str">
        <f>OVERALL!H5</f>
        <v>0324</v>
      </c>
      <c r="I5" s="261" t="str">
        <f>OVERALL!I5</f>
        <v>Q124</v>
      </c>
      <c r="J5" s="36" t="s">
        <v>1609</v>
      </c>
      <c r="K5" s="37" t="s">
        <v>1610</v>
      </c>
    </row>
    <row r="6" spans="1:14" x14ac:dyDescent="0.25">
      <c r="A6" s="24" t="s">
        <v>1076</v>
      </c>
      <c r="B6" s="86">
        <f>-SUMIFS(Export!L:L,Export!I:I,N6,Export!E:E,M6)/SUM('NS USED VEHICLE'!$B$10,'NS NEW VEHICLE'!$B$6)</f>
        <v>397.92581560283685</v>
      </c>
      <c r="C6" s="90">
        <f>-SUMIFS(Export!N:N,Export!I:I,N6,Export!E:E,M6)/('NS USED VEHICLE'!$C$10+'NS NEW VEHICLE'!$C$6)</f>
        <v>560.619918699187</v>
      </c>
      <c r="D6" s="105">
        <f>+B6-C6</f>
        <v>-162.69410309635015</v>
      </c>
      <c r="E6" s="118">
        <f>+IFERROR(D6/C6,0)</f>
        <v>-0.29020392902530329</v>
      </c>
      <c r="F6" s="89"/>
      <c r="G6" s="89"/>
      <c r="H6" s="89"/>
      <c r="I6" s="90" t="e">
        <f>AVERAGE(F6,G6,H6)</f>
        <v>#DIV/0!</v>
      </c>
      <c r="J6" s="105">
        <f>+F6-H6</f>
        <v>0</v>
      </c>
      <c r="K6" s="122">
        <f>+IFERROR(J6/H6,0)</f>
        <v>0</v>
      </c>
      <c r="M6" s="162">
        <v>160</v>
      </c>
      <c r="N6" s="3" t="s">
        <v>1076</v>
      </c>
    </row>
    <row r="7" spans="1:14" x14ac:dyDescent="0.25">
      <c r="A7" s="24" t="s">
        <v>1083</v>
      </c>
      <c r="B7" s="86">
        <f>-SUMIFS(Export!L:L,Export!I:I,N7,Export!E:E,M7)/SUM('NS USED VEHICLE'!$B$10,'NS NEW VEHICLE'!$B$6)</f>
        <v>51.693333333333335</v>
      </c>
      <c r="C7" s="90">
        <f>-SUMIFS(Export!N:N,Export!I:I,N7,Export!E:E,M7)/('NS USED VEHICLE'!$C$10+'NS NEW VEHICLE'!$C$6)</f>
        <v>0</v>
      </c>
      <c r="D7" s="105">
        <f t="shared" ref="D7:D13" si="0">+B7-C7</f>
        <v>51.693333333333335</v>
      </c>
      <c r="E7" s="118">
        <f t="shared" ref="E7:E19" si="1">+IFERROR(D7/C7,0)</f>
        <v>0</v>
      </c>
      <c r="F7" s="89"/>
      <c r="G7" s="89"/>
      <c r="H7" s="89"/>
      <c r="I7" s="90" t="e">
        <f t="shared" ref="I7:I16" si="2">AVERAGE(F7,G7,H7)</f>
        <v>#DIV/0!</v>
      </c>
      <c r="J7" s="105">
        <f t="shared" ref="J7:J13" si="3">+F7-H7</f>
        <v>0</v>
      </c>
      <c r="K7" s="122">
        <f t="shared" ref="K7:K19" si="4">+IFERROR(J7/H7,0)</f>
        <v>0</v>
      </c>
      <c r="M7" s="162">
        <v>160</v>
      </c>
      <c r="N7" s="3" t="s">
        <v>1083</v>
      </c>
    </row>
    <row r="8" spans="1:14" ht="15.95" customHeight="1" x14ac:dyDescent="0.25">
      <c r="A8" s="24" t="s">
        <v>1090</v>
      </c>
      <c r="B8" s="86">
        <f>(-SUMIFS(Export!L:L,Export!I:I,N8,Export!E:E,M8)-SUMIFS(Export!L:L,Export!I:I,N8,Export!E:E,L8))/SUM('NS USED VEHICLE'!$B$10,'NS NEW VEHICLE'!$B$6)</f>
        <v>37.909574468085104</v>
      </c>
      <c r="C8" s="90">
        <f>-SUMIFS(Export!N:N,Export!I:I,N8,Export!E:E,M8)/('NS USED VEHICLE'!$C$10+'NS NEW VEHICLE'!$C$6)</f>
        <v>0</v>
      </c>
      <c r="D8" s="105">
        <f t="shared" si="0"/>
        <v>37.909574468085104</v>
      </c>
      <c r="E8" s="118">
        <f t="shared" si="1"/>
        <v>0</v>
      </c>
      <c r="F8" s="89"/>
      <c r="G8" s="89"/>
      <c r="H8" s="89"/>
      <c r="I8" s="90" t="e">
        <f t="shared" si="2"/>
        <v>#DIV/0!</v>
      </c>
      <c r="J8" s="105">
        <f t="shared" si="3"/>
        <v>0</v>
      </c>
      <c r="K8" s="122">
        <f t="shared" si="4"/>
        <v>0</v>
      </c>
      <c r="L8" s="162">
        <v>190</v>
      </c>
      <c r="M8" s="162">
        <v>160</v>
      </c>
      <c r="N8" s="3" t="s">
        <v>1090</v>
      </c>
    </row>
    <row r="9" spans="1:14" ht="15.6" customHeight="1" x14ac:dyDescent="0.25">
      <c r="A9" s="24" t="s">
        <v>1047</v>
      </c>
      <c r="B9" s="86">
        <f>-SUMIFS(Export!L:L,Export!I:I,N9,Export!E:E,M9)/SUM('NS USED VEHICLE'!$B$10,'NS NEW VEHICLE'!$B$6)</f>
        <v>216.15113475177304</v>
      </c>
      <c r="C9" s="90">
        <f>-SUMIFS(Export!N:N,Export!I:I,N9,Export!E:E,M9)/('NS USED VEHICLE'!$C$10+'NS NEW VEHICLE'!$C$6)</f>
        <v>0</v>
      </c>
      <c r="D9" s="105">
        <f t="shared" si="0"/>
        <v>216.15113475177304</v>
      </c>
      <c r="E9" s="118">
        <f t="shared" si="1"/>
        <v>0</v>
      </c>
      <c r="F9" s="89"/>
      <c r="G9" s="89"/>
      <c r="H9" s="89"/>
      <c r="I9" s="90" t="e">
        <f t="shared" si="2"/>
        <v>#DIV/0!</v>
      </c>
      <c r="J9" s="105">
        <f t="shared" si="3"/>
        <v>0</v>
      </c>
      <c r="K9" s="122">
        <f t="shared" si="4"/>
        <v>0</v>
      </c>
      <c r="M9" s="162">
        <v>160</v>
      </c>
      <c r="N9" s="3" t="s">
        <v>1047</v>
      </c>
    </row>
    <row r="10" spans="1:14" x14ac:dyDescent="0.25">
      <c r="A10" s="24" t="s">
        <v>1457</v>
      </c>
      <c r="B10" s="86">
        <f>-SUMIFS(Export!L:L,Export!I:I,N10,Export!E:E,M10)/SUM('NS USED VEHICLE'!$B$10,'NS NEW VEHICLE'!$B$6)</f>
        <v>0</v>
      </c>
      <c r="C10" s="90">
        <f>-SUMIFS(Export!N:N,Export!I:I,N10,Export!E:E,M10)/('NS USED VEHICLE'!$C$10+'NS NEW VEHICLE'!$C$6)</f>
        <v>0</v>
      </c>
      <c r="D10" s="105">
        <f t="shared" si="0"/>
        <v>0</v>
      </c>
      <c r="E10" s="118">
        <f t="shared" si="1"/>
        <v>0</v>
      </c>
      <c r="F10" s="89"/>
      <c r="G10" s="89"/>
      <c r="H10" s="89"/>
      <c r="I10" s="90" t="e">
        <f t="shared" si="2"/>
        <v>#DIV/0!</v>
      </c>
      <c r="J10" s="105">
        <f t="shared" si="3"/>
        <v>0</v>
      </c>
      <c r="K10" s="122">
        <f t="shared" si="4"/>
        <v>0</v>
      </c>
      <c r="L10" s="162"/>
      <c r="M10" s="162">
        <v>160</v>
      </c>
      <c r="N10" s="3" t="s">
        <v>1457</v>
      </c>
    </row>
    <row r="11" spans="1:14" x14ac:dyDescent="0.25">
      <c r="A11" s="24" t="s">
        <v>1031</v>
      </c>
      <c r="B11" s="86">
        <f>(-SUMIFS(Export!L:L,Export!I:I,N11,Export!E:E,L11)-SUMIFS(Export!L:L,Export!I:I,N11,Export!E:E,M11))/SUM('NS USED VEHICLE'!$B$10,'NS NEW VEHICLE'!$B$6)</f>
        <v>0</v>
      </c>
      <c r="C11" s="90">
        <f>-SUMIFS(Export!N:N,Export!I:I,N11,Export!E:E,M11)/('NS USED VEHICLE'!$C$10+'NS NEW VEHICLE'!$C$6)</f>
        <v>0</v>
      </c>
      <c r="D11" s="105">
        <f t="shared" si="0"/>
        <v>0</v>
      </c>
      <c r="E11" s="118">
        <f t="shared" si="1"/>
        <v>0</v>
      </c>
      <c r="F11" s="89"/>
      <c r="G11" s="89"/>
      <c r="H11" s="89"/>
      <c r="I11" s="90" t="e">
        <f t="shared" si="2"/>
        <v>#DIV/0!</v>
      </c>
      <c r="J11" s="105">
        <f t="shared" si="3"/>
        <v>0</v>
      </c>
      <c r="K11" s="122">
        <f t="shared" si="4"/>
        <v>0</v>
      </c>
      <c r="L11" s="162">
        <v>190</v>
      </c>
      <c r="M11" s="162">
        <v>160</v>
      </c>
      <c r="N11" s="3" t="s">
        <v>1031</v>
      </c>
    </row>
    <row r="12" spans="1:14" ht="15.6" customHeight="1" x14ac:dyDescent="0.25">
      <c r="A12" s="24" t="s">
        <v>1660</v>
      </c>
      <c r="B12" s="86">
        <f>-SUMIFS(Export!L:L,Export!I:I,N12,Export!E:E,M12)/SUM('NS USED VEHICLE'!$B$10,'NS NEW VEHICLE'!$B$6)</f>
        <v>0</v>
      </c>
      <c r="C12" s="90">
        <f>-SUMIFS(Export!N:N,Export!I:I,N12,Export!E:E,M12)/('NS USED VEHICLE'!$C$10+'NS NEW VEHICLE'!$C$6)</f>
        <v>0</v>
      </c>
      <c r="D12" s="105">
        <f t="shared" si="0"/>
        <v>0</v>
      </c>
      <c r="E12" s="118">
        <f t="shared" si="1"/>
        <v>0</v>
      </c>
      <c r="F12" s="89"/>
      <c r="G12" s="89"/>
      <c r="H12" s="89"/>
      <c r="I12" s="90" t="e">
        <f t="shared" si="2"/>
        <v>#DIV/0!</v>
      </c>
      <c r="J12" s="105">
        <f t="shared" si="3"/>
        <v>0</v>
      </c>
      <c r="K12" s="122">
        <f t="shared" si="4"/>
        <v>0</v>
      </c>
      <c r="M12" s="162">
        <v>190</v>
      </c>
      <c r="N12" s="3" t="s">
        <v>1028</v>
      </c>
    </row>
    <row r="13" spans="1:14" x14ac:dyDescent="0.25">
      <c r="A13" s="24" t="s">
        <v>1661</v>
      </c>
      <c r="B13" s="89">
        <f>+SUM(B6:B12)</f>
        <v>703.67985815602833</v>
      </c>
      <c r="C13" s="90">
        <f>+SUM(C6:C12)</f>
        <v>560.619918699187</v>
      </c>
      <c r="D13" s="105">
        <f t="shared" si="0"/>
        <v>143.05993945684133</v>
      </c>
      <c r="E13" s="118">
        <f t="shared" si="1"/>
        <v>0.25518169206114721</v>
      </c>
      <c r="F13" s="89"/>
      <c r="G13" s="89"/>
      <c r="H13" s="89"/>
      <c r="I13" s="90" t="e">
        <f t="shared" si="2"/>
        <v>#DIV/0!</v>
      </c>
      <c r="J13" s="105">
        <f t="shared" si="3"/>
        <v>0</v>
      </c>
      <c r="K13" s="122">
        <f t="shared" si="4"/>
        <v>0</v>
      </c>
      <c r="M13" s="162"/>
    </row>
    <row r="14" spans="1:14" x14ac:dyDescent="0.25">
      <c r="A14" s="27" t="s">
        <v>1662</v>
      </c>
      <c r="B14" s="91">
        <f>+B13*SUM('NS USED VEHICLE'!$B$10,'NS NEW VEHICLE'!$B$6)</f>
        <v>99218.86</v>
      </c>
      <c r="C14" s="92">
        <f>+C13*SUM('NS USED VEHICLE'!$C$10,'NS NEW VEHICLE'!$C$6)</f>
        <v>82747.5</v>
      </c>
      <c r="D14" s="106">
        <f>+B14-C14</f>
        <v>16471.36</v>
      </c>
      <c r="E14" s="119">
        <f t="shared" si="1"/>
        <v>0.1990556814405269</v>
      </c>
      <c r="F14" s="91"/>
      <c r="G14" s="91"/>
      <c r="H14" s="91"/>
      <c r="I14" s="92">
        <f>SUM(F14:H14)</f>
        <v>0</v>
      </c>
      <c r="J14" s="106">
        <f>+F14-H14</f>
        <v>0</v>
      </c>
      <c r="K14" s="123">
        <f t="shared" si="4"/>
        <v>0</v>
      </c>
      <c r="M14" s="162"/>
    </row>
    <row r="15" spans="1:14" ht="16.5" customHeight="1" x14ac:dyDescent="0.25">
      <c r="A15" s="24" t="s">
        <v>1249</v>
      </c>
      <c r="B15" s="86">
        <f>SUMIFS(Export!L:L,Export!I:I,N15,Export!E:E,M15)/SUM('NS USED VEHICLE'!$B$10,'NS NEW VEHICLE'!$B$6)</f>
        <v>280.51567375886532</v>
      </c>
      <c r="C15" s="90">
        <f>SUMIFS(Export!N:N,Export!I:I,N15,Export!E:E,M15)/('NS USED VEHICLE'!$C$10+'NS NEW VEHICLE'!$C$6)</f>
        <v>239.83739837398375</v>
      </c>
      <c r="D15" s="105">
        <f>+C15-B15</f>
        <v>-40.678275384881573</v>
      </c>
      <c r="E15" s="118">
        <f t="shared" si="1"/>
        <v>-0.16960772448611638</v>
      </c>
      <c r="F15" s="89"/>
      <c r="G15" s="89"/>
      <c r="H15" s="89"/>
      <c r="I15" s="90" t="e">
        <f t="shared" si="2"/>
        <v>#DIV/0!</v>
      </c>
      <c r="J15" s="105">
        <f>+H15-F15</f>
        <v>0</v>
      </c>
      <c r="K15" s="122">
        <f t="shared" si="4"/>
        <v>0</v>
      </c>
      <c r="M15" s="162">
        <v>160</v>
      </c>
      <c r="N15" s="3" t="s">
        <v>1249</v>
      </c>
    </row>
    <row r="16" spans="1:14" x14ac:dyDescent="0.25">
      <c r="A16" s="24" t="s">
        <v>1295</v>
      </c>
      <c r="B16" s="86">
        <f>SUMIFS(Export!L:L,Export!I:I,N16,Export!E:E,M16)/SUM('NS USED VEHICLE'!$B$10,'NS NEW VEHICLE'!$B$6)</f>
        <v>6.7156737588652478</v>
      </c>
      <c r="C16" s="90">
        <f>SUMIFS(Export!N:N,Export!I:I,N16,Export!E:E,M16)/('NS USED VEHICLE'!$C$10+'NS NEW VEHICLE'!$C$6)</f>
        <v>0</v>
      </c>
      <c r="D16" s="105">
        <f t="shared" ref="D16:D17" si="5">+C16-B16</f>
        <v>-6.7156737588652478</v>
      </c>
      <c r="E16" s="118">
        <f t="shared" si="1"/>
        <v>0</v>
      </c>
      <c r="F16" s="89"/>
      <c r="G16" s="89"/>
      <c r="H16" s="89"/>
      <c r="I16" s="90" t="e">
        <f t="shared" si="2"/>
        <v>#DIV/0!</v>
      </c>
      <c r="J16" s="105">
        <f t="shared" ref="J16:J17" si="6">+H16-F16</f>
        <v>0</v>
      </c>
      <c r="K16" s="122">
        <f t="shared" si="4"/>
        <v>0</v>
      </c>
      <c r="M16" s="162">
        <v>160</v>
      </c>
      <c r="N16" s="3" t="s">
        <v>1295</v>
      </c>
    </row>
    <row r="17" spans="1:14" x14ac:dyDescent="0.25">
      <c r="A17" s="24" t="s">
        <v>1663</v>
      </c>
      <c r="B17" s="89">
        <f>+SUM(B15:B16)</f>
        <v>287.23134751773057</v>
      </c>
      <c r="C17" s="90">
        <f>+SUM(C15:C16)</f>
        <v>239.83739837398375</v>
      </c>
      <c r="D17" s="105">
        <f t="shared" si="5"/>
        <v>-47.393949143746823</v>
      </c>
      <c r="E17" s="118">
        <f t="shared" si="1"/>
        <v>-0.19760866931121557</v>
      </c>
      <c r="F17" s="89"/>
      <c r="G17" s="89"/>
      <c r="H17" s="89"/>
      <c r="I17" s="90" t="e">
        <f>+SUM(I15:I16)</f>
        <v>#DIV/0!</v>
      </c>
      <c r="J17" s="105">
        <f t="shared" si="6"/>
        <v>0</v>
      </c>
      <c r="K17" s="122">
        <f t="shared" si="4"/>
        <v>0</v>
      </c>
    </row>
    <row r="18" spans="1:14" x14ac:dyDescent="0.25">
      <c r="A18" s="24" t="s">
        <v>1664</v>
      </c>
      <c r="B18" s="89">
        <f>+B13-B17</f>
        <v>416.44851063829776</v>
      </c>
      <c r="C18" s="90">
        <f>+C13-C17</f>
        <v>320.78252032520322</v>
      </c>
      <c r="D18" s="105">
        <f>+B18-C18</f>
        <v>95.665990313094539</v>
      </c>
      <c r="E18" s="118">
        <f t="shared" si="1"/>
        <v>0.29822694271530187</v>
      </c>
      <c r="F18" s="89"/>
      <c r="G18" s="89"/>
      <c r="H18" s="89"/>
      <c r="I18" s="90" t="e">
        <f>+I13-I17</f>
        <v>#DIV/0!</v>
      </c>
      <c r="J18" s="105">
        <f>+F18-H18</f>
        <v>0</v>
      </c>
      <c r="K18" s="122">
        <f t="shared" si="4"/>
        <v>0</v>
      </c>
    </row>
    <row r="19" spans="1:14" s="28" customFormat="1" ht="15.75" thickBot="1" x14ac:dyDescent="0.3">
      <c r="A19" s="29" t="s">
        <v>1665</v>
      </c>
      <c r="B19" s="88">
        <f>+B18*SUM('NS NEW VEHICLE'!B6,'NS USED VEHICLE'!B10)</f>
        <v>58719.239999999983</v>
      </c>
      <c r="C19" s="93">
        <f>+C18*SUM('NS NEW VEHICLE'!C6,'NS USED VEHICLE'!C10)</f>
        <v>47347.499999999993</v>
      </c>
      <c r="D19" s="108">
        <f>+B19-C19</f>
        <v>11371.739999999991</v>
      </c>
      <c r="E19" s="120">
        <f t="shared" si="1"/>
        <v>0.2401761444638047</v>
      </c>
      <c r="F19" s="94"/>
      <c r="G19" s="94"/>
      <c r="H19" s="94"/>
      <c r="I19" s="93">
        <f>SUM(F19:H19)</f>
        <v>0</v>
      </c>
      <c r="J19" s="108">
        <f>+F19-H19</f>
        <v>0</v>
      </c>
      <c r="K19" s="124">
        <f t="shared" si="4"/>
        <v>0</v>
      </c>
      <c r="N19" s="3"/>
    </row>
    <row r="20" spans="1:14" ht="0" hidden="1" customHeight="1" x14ac:dyDescent="0.25">
      <c r="E20" s="121"/>
      <c r="K20" s="121"/>
    </row>
    <row r="21" spans="1:14" ht="15.75" thickTop="1" x14ac:dyDescent="0.25">
      <c r="E21" s="121"/>
      <c r="K21" s="121"/>
    </row>
    <row r="22" spans="1:14" x14ac:dyDescent="0.25">
      <c r="E22" s="121"/>
      <c r="K22" s="121"/>
    </row>
    <row r="23" spans="1:14" x14ac:dyDescent="0.25">
      <c r="C23" s="195"/>
      <c r="E23" s="121"/>
    </row>
    <row r="24" spans="1:14" x14ac:dyDescent="0.25">
      <c r="E24" s="121"/>
    </row>
    <row r="25" spans="1:14" x14ac:dyDescent="0.25">
      <c r="E25" s="121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AF60B-C19B-4A64-B664-4A4F28CE258A}">
  <sheetPr>
    <tabColor theme="9" tint="0.79998168889431442"/>
  </sheetPr>
  <dimension ref="A1:AK25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5" width="9.7109375" style="16" customWidth="1" outlineLevel="1"/>
    <col min="6" max="9" width="9.7109375" style="16" customWidth="1"/>
    <col min="10" max="11" width="9.7109375" style="16" hidden="1" customWidth="1"/>
    <col min="12" max="12" width="9.140625" style="16" customWidth="1"/>
    <col min="13" max="13" width="3.140625" style="16" bestFit="1" customWidth="1"/>
    <col min="14" max="14" width="26.5703125" style="3" customWidth="1" outlineLevel="1"/>
    <col min="15" max="36" width="9.140625" style="16" customWidth="1" outlineLevel="1"/>
    <col min="38" max="16384" width="9.140625" style="16"/>
  </cols>
  <sheetData>
    <row r="1" spans="1:14" ht="15" customHeight="1" x14ac:dyDescent="0.25">
      <c r="A1" s="326" t="s">
        <v>1604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14" ht="6.6" customHeight="1" thickBot="1" x14ac:dyDescent="0.3"/>
    <row r="3" spans="1:14" ht="15.75" thickTop="1" x14ac:dyDescent="0.25">
      <c r="A3" s="32" t="s">
        <v>1591</v>
      </c>
      <c r="B3" s="348" t="s">
        <v>155</v>
      </c>
      <c r="C3" s="329"/>
      <c r="D3" s="329"/>
      <c r="E3" s="329"/>
      <c r="F3" s="348" t="s">
        <v>1629</v>
      </c>
      <c r="G3" s="348"/>
      <c r="H3" s="329"/>
      <c r="I3" s="329"/>
      <c r="J3" s="329"/>
      <c r="K3" s="345"/>
    </row>
    <row r="4" spans="1:14" x14ac:dyDescent="0.25">
      <c r="A4" s="33" t="s">
        <v>1591</v>
      </c>
      <c r="B4" s="34" t="s">
        <v>1591</v>
      </c>
      <c r="C4" s="34"/>
      <c r="D4" s="349"/>
      <c r="E4" s="331"/>
      <c r="F4" s="34" t="s">
        <v>1591</v>
      </c>
      <c r="G4" s="34"/>
      <c r="H4" s="34"/>
      <c r="I4" s="34"/>
      <c r="J4" s="349"/>
      <c r="K4" s="347"/>
    </row>
    <row r="5" spans="1:14" x14ac:dyDescent="0.25">
      <c r="A5" s="33" t="s">
        <v>16</v>
      </c>
      <c r="B5" s="35" t="s">
        <v>12</v>
      </c>
      <c r="C5" s="35" t="s">
        <v>1592</v>
      </c>
      <c r="D5" s="36" t="s">
        <v>1609</v>
      </c>
      <c r="E5" s="36" t="s">
        <v>1610</v>
      </c>
      <c r="F5" s="261" t="str">
        <f>OVERALL!F5</f>
        <v>0124</v>
      </c>
      <c r="G5" s="261" t="str">
        <f>OVERALL!G5</f>
        <v>0224</v>
      </c>
      <c r="H5" s="261" t="str">
        <f>OVERALL!H5</f>
        <v>0324</v>
      </c>
      <c r="I5" s="261" t="str">
        <f>OVERALL!I5</f>
        <v>Q124</v>
      </c>
      <c r="J5" s="36" t="s">
        <v>1609</v>
      </c>
      <c r="K5" s="37" t="s">
        <v>1610</v>
      </c>
    </row>
    <row r="6" spans="1:14" x14ac:dyDescent="0.25">
      <c r="A6" s="24" t="s">
        <v>1076</v>
      </c>
      <c r="B6" s="86">
        <f>-SUMIFS(Export!L:L,Export!I:I,N6,Export!E:E,M6)/SUM('NW USED VEHICLE'!$B$10,'NW NEW VEHICLE'!$B$6)</f>
        <v>422.63705882352946</v>
      </c>
      <c r="C6" s="90">
        <f>-SUMIFS(Export!N:N,Export!I:I,N6,Export!E:E,M6)/('NW USED VEHICLE'!$C$10+'NW NEW VEHICLE'!$C$6)</f>
        <v>560.49771189812975</v>
      </c>
      <c r="D6" s="105">
        <f>+B6-C6</f>
        <v>-137.86065307460029</v>
      </c>
      <c r="E6" s="118">
        <f>+IFERROR(D6/C6,0)</f>
        <v>-0.24596113444912049</v>
      </c>
      <c r="F6" s="89"/>
      <c r="G6" s="89"/>
      <c r="H6" s="89"/>
      <c r="I6" s="90" t="e">
        <f>AVERAGE(F6,G6,H6)</f>
        <v>#DIV/0!</v>
      </c>
      <c r="J6" s="105">
        <f>+F6-H6</f>
        <v>0</v>
      </c>
      <c r="K6" s="122">
        <f>+IFERROR(J6/H6,0)</f>
        <v>0</v>
      </c>
      <c r="M6" s="162">
        <v>260</v>
      </c>
      <c r="N6" s="3" t="s">
        <v>1076</v>
      </c>
    </row>
    <row r="7" spans="1:14" x14ac:dyDescent="0.25">
      <c r="A7" s="24" t="s">
        <v>1083</v>
      </c>
      <c r="B7" s="86">
        <f>-SUMIFS(Export!L:L,Export!I:I,N7,Export!E:E,M7)/SUM('NW USED VEHICLE'!$B$10,'NW NEW VEHICLE'!$B$6)</f>
        <v>31.869901960784308</v>
      </c>
      <c r="C7" s="90">
        <f>-SUMIFS(Export!N:N,Export!I:I,N7,Export!E:E,M7)/('NW USED VEHICLE'!$C$10+'NW NEW VEHICLE'!$C$6)</f>
        <v>0</v>
      </c>
      <c r="D7" s="105">
        <f t="shared" ref="D7:D13" si="0">+B7-C7</f>
        <v>31.869901960784308</v>
      </c>
      <c r="E7" s="118">
        <f t="shared" ref="E7:E19" si="1">+IFERROR(D7/C7,0)</f>
        <v>0</v>
      </c>
      <c r="F7" s="89"/>
      <c r="G7" s="89"/>
      <c r="H7" s="89"/>
      <c r="I7" s="90" t="e">
        <f t="shared" ref="I7:I16" si="2">AVERAGE(F7,G7,H7)</f>
        <v>#DIV/0!</v>
      </c>
      <c r="J7" s="105">
        <f t="shared" ref="J7:J13" si="3">+F7-H7</f>
        <v>0</v>
      </c>
      <c r="K7" s="122">
        <f t="shared" ref="K7:K19" si="4">+IFERROR(J7/H7,0)</f>
        <v>0</v>
      </c>
      <c r="M7" s="162">
        <v>260</v>
      </c>
      <c r="N7" s="3" t="s">
        <v>1083</v>
      </c>
    </row>
    <row r="8" spans="1:14" ht="15.95" customHeight="1" x14ac:dyDescent="0.25">
      <c r="A8" s="24" t="s">
        <v>1090</v>
      </c>
      <c r="B8" s="86">
        <f>-SUMIFS(Export!L:L,Export!I:I,N8,Export!E:E,M8)/SUM('NW USED VEHICLE'!$B$10,'NW NEW VEHICLE'!$B$6)</f>
        <v>-10.295490196078431</v>
      </c>
      <c r="C8" s="90">
        <f>-SUMIFS(Export!N:N,Export!I:I,N8,Export!E:E,M8)/('NW USED VEHICLE'!$C$10+'NW NEW VEHICLE'!$C$6)</f>
        <v>0</v>
      </c>
      <c r="D8" s="105">
        <f t="shared" si="0"/>
        <v>-10.295490196078431</v>
      </c>
      <c r="E8" s="118">
        <f t="shared" si="1"/>
        <v>0</v>
      </c>
      <c r="F8" s="89"/>
      <c r="G8" s="89"/>
      <c r="H8" s="89"/>
      <c r="I8" s="90" t="e">
        <f t="shared" si="2"/>
        <v>#DIV/0!</v>
      </c>
      <c r="J8" s="105">
        <f t="shared" si="3"/>
        <v>0</v>
      </c>
      <c r="K8" s="122">
        <f t="shared" si="4"/>
        <v>0</v>
      </c>
      <c r="M8" s="162">
        <v>260</v>
      </c>
      <c r="N8" s="3" t="s">
        <v>1090</v>
      </c>
    </row>
    <row r="9" spans="1:14" ht="15.6" customHeight="1" x14ac:dyDescent="0.25">
      <c r="A9" s="24" t="s">
        <v>1047</v>
      </c>
      <c r="B9" s="86">
        <f>-SUMIFS(Export!L:L,Export!I:I,N9,Export!E:E,M9)/SUM('NW USED VEHICLE'!$B$10,'NW NEW VEHICLE'!$B$6)</f>
        <v>69.269019607843148</v>
      </c>
      <c r="C9" s="90">
        <f>-SUMIFS(Export!N:N,Export!I:I,N9,Export!E:E,M9)/('NW USED VEHICLE'!$C$10+'NW NEW VEHICLE'!$C$6)</f>
        <v>0</v>
      </c>
      <c r="D9" s="105">
        <f t="shared" si="0"/>
        <v>69.269019607843148</v>
      </c>
      <c r="E9" s="118">
        <f t="shared" si="1"/>
        <v>0</v>
      </c>
      <c r="F9" s="89"/>
      <c r="G9" s="89"/>
      <c r="H9" s="89"/>
      <c r="I9" s="90" t="e">
        <f>AVERAGE(F9,G9,H9)</f>
        <v>#DIV/0!</v>
      </c>
      <c r="J9" s="105">
        <f t="shared" si="3"/>
        <v>0</v>
      </c>
      <c r="K9" s="122">
        <f t="shared" si="4"/>
        <v>0</v>
      </c>
      <c r="M9" s="162">
        <v>260</v>
      </c>
      <c r="N9" s="3" t="s">
        <v>1047</v>
      </c>
    </row>
    <row r="10" spans="1:14" x14ac:dyDescent="0.25">
      <c r="A10" s="24" t="s">
        <v>1457</v>
      </c>
      <c r="B10" s="86">
        <f>-SUMIFS(Export!L:L,Export!I:I,N10,Export!E:E,M10)/SUM('NW USED VEHICLE'!$B$10,'NW NEW VEHICLE'!$B$6)</f>
        <v>0</v>
      </c>
      <c r="C10" s="90">
        <f>-SUMIFS(Export!N:N,Export!I:I,N10,Export!E:E,M10)/('NW USED VEHICLE'!$C$10+'NW NEW VEHICLE'!$C$6)</f>
        <v>0</v>
      </c>
      <c r="D10" s="105">
        <f t="shared" si="0"/>
        <v>0</v>
      </c>
      <c r="E10" s="118">
        <f t="shared" si="1"/>
        <v>0</v>
      </c>
      <c r="F10" s="89"/>
      <c r="G10" s="89"/>
      <c r="H10" s="89"/>
      <c r="I10" s="90" t="e">
        <f t="shared" si="2"/>
        <v>#DIV/0!</v>
      </c>
      <c r="J10" s="105">
        <f t="shared" si="3"/>
        <v>0</v>
      </c>
      <c r="K10" s="122">
        <f t="shared" si="4"/>
        <v>0</v>
      </c>
      <c r="M10" s="162">
        <v>260</v>
      </c>
      <c r="N10" s="3" t="s">
        <v>1457</v>
      </c>
    </row>
    <row r="11" spans="1:14" x14ac:dyDescent="0.25">
      <c r="A11" s="24" t="s">
        <v>1031</v>
      </c>
      <c r="B11" s="86">
        <f>-SUMIFS(Export!L:L,Export!I:I,N11,Export!E:E,M11)/SUM('NW USED VEHICLE'!$B$10,'NW NEW VEHICLE'!$B$6)</f>
        <v>0</v>
      </c>
      <c r="C11" s="90">
        <f>-SUMIFS(Export!N:N,Export!I:I,N11,Export!E:E,M11)/('NW USED VEHICLE'!$C$10+'NW NEW VEHICLE'!$C$6)</f>
        <v>0</v>
      </c>
      <c r="D11" s="105">
        <f t="shared" si="0"/>
        <v>0</v>
      </c>
      <c r="E11" s="118">
        <f t="shared" si="1"/>
        <v>0</v>
      </c>
      <c r="F11" s="89"/>
      <c r="G11" s="89"/>
      <c r="H11" s="89"/>
      <c r="I11" s="90" t="e">
        <f t="shared" si="2"/>
        <v>#DIV/0!</v>
      </c>
      <c r="J11" s="105">
        <f t="shared" si="3"/>
        <v>0</v>
      </c>
      <c r="K11" s="122">
        <f t="shared" si="4"/>
        <v>0</v>
      </c>
      <c r="M11" s="162">
        <v>260</v>
      </c>
      <c r="N11" s="3" t="s">
        <v>1031</v>
      </c>
    </row>
    <row r="12" spans="1:14" ht="15.6" customHeight="1" x14ac:dyDescent="0.25">
      <c r="A12" s="24" t="s">
        <v>1660</v>
      </c>
      <c r="B12" s="86">
        <f>-SUMIFS(Export!L:L,Export!I:I,N12,Export!E:E,M12)/SUM('NW USED VEHICLE'!$B$10,'NW NEW VEHICLE'!$B$6)</f>
        <v>0</v>
      </c>
      <c r="C12" s="90">
        <f>-SUMIFS(Export!N:N,Export!I:I,N12,Export!E:E,M12)/('NW USED VEHICLE'!$C$10+'NW NEW VEHICLE'!$C$6)</f>
        <v>0</v>
      </c>
      <c r="D12" s="105">
        <f t="shared" si="0"/>
        <v>0</v>
      </c>
      <c r="E12" s="118">
        <f t="shared" si="1"/>
        <v>0</v>
      </c>
      <c r="F12" s="89"/>
      <c r="G12" s="89"/>
      <c r="H12" s="89"/>
      <c r="I12" s="90" t="e">
        <f t="shared" si="2"/>
        <v>#DIV/0!</v>
      </c>
      <c r="J12" s="105">
        <f t="shared" si="3"/>
        <v>0</v>
      </c>
      <c r="K12" s="122">
        <f t="shared" si="4"/>
        <v>0</v>
      </c>
      <c r="M12" s="162"/>
    </row>
    <row r="13" spans="1:14" x14ac:dyDescent="0.25">
      <c r="A13" s="24" t="s">
        <v>1661</v>
      </c>
      <c r="B13" s="89">
        <f>+SUM(B6:B12)</f>
        <v>513.48049019607845</v>
      </c>
      <c r="C13" s="90">
        <f>+SUM(C6:C12)</f>
        <v>560.49771189812975</v>
      </c>
      <c r="D13" s="105">
        <f t="shared" si="0"/>
        <v>-47.017221702051302</v>
      </c>
      <c r="E13" s="118">
        <f t="shared" si="1"/>
        <v>-8.3884770096254502E-2</v>
      </c>
      <c r="F13" s="89"/>
      <c r="G13" s="89"/>
      <c r="H13" s="89"/>
      <c r="I13" s="90" t="e">
        <f t="shared" si="2"/>
        <v>#DIV/0!</v>
      </c>
      <c r="J13" s="105">
        <f t="shared" si="3"/>
        <v>0</v>
      </c>
      <c r="K13" s="122">
        <f t="shared" si="4"/>
        <v>0</v>
      </c>
      <c r="M13" s="162"/>
    </row>
    <row r="14" spans="1:14" x14ac:dyDescent="0.25">
      <c r="A14" s="27" t="s">
        <v>1662</v>
      </c>
      <c r="B14" s="91">
        <f>+B13*SUM('NW USED VEHICLE'!$B$10,'NW NEW VEHICLE'!$B$6)</f>
        <v>52375.01</v>
      </c>
      <c r="C14" s="92">
        <f>+C13*SUM('NW USED VEHICLE'!$C$10,'NW NEW VEHICLE'!$C$6)</f>
        <v>62601.366666666676</v>
      </c>
      <c r="D14" s="106">
        <f>+B14-C14</f>
        <v>-10226.356666666674</v>
      </c>
      <c r="E14" s="119">
        <f t="shared" si="1"/>
        <v>-0.16335676377672276</v>
      </c>
      <c r="F14" s="91"/>
      <c r="G14" s="91"/>
      <c r="H14" s="91"/>
      <c r="I14" s="92">
        <f>SUM(F14:H14)</f>
        <v>0</v>
      </c>
      <c r="J14" s="106">
        <f>+F14-H14</f>
        <v>0</v>
      </c>
      <c r="K14" s="123">
        <f t="shared" si="4"/>
        <v>0</v>
      </c>
      <c r="M14" s="162"/>
    </row>
    <row r="15" spans="1:14" ht="16.5" customHeight="1" x14ac:dyDescent="0.25">
      <c r="A15" s="24" t="s">
        <v>1249</v>
      </c>
      <c r="B15" s="86">
        <f>SUMIFS(Export!L:L,Export!I:I,N15,Export!E:E,M15)/SUM('NW USED VEHICLE'!$B$10,'NW NEW VEHICLE'!$B$6)</f>
        <v>276.50774509803921</v>
      </c>
      <c r="C15" s="90">
        <f>SUMIFS(Export!N:N,Export!I:I,N15,Export!E:E,M15)/('NW USED VEHICLE'!$C$10+'NW NEW VEHICLE'!$C$6)</f>
        <v>239.7851173895742</v>
      </c>
      <c r="D15" s="105">
        <f>+C15-B15</f>
        <v>-36.722627708465012</v>
      </c>
      <c r="E15" s="118">
        <f t="shared" si="1"/>
        <v>-0.15314806902215902</v>
      </c>
      <c r="F15" s="89"/>
      <c r="G15" s="89"/>
      <c r="H15" s="89"/>
      <c r="I15" s="90" t="e">
        <f t="shared" si="2"/>
        <v>#DIV/0!</v>
      </c>
      <c r="J15" s="105">
        <f>+H15-F15</f>
        <v>0</v>
      </c>
      <c r="K15" s="122">
        <f t="shared" si="4"/>
        <v>0</v>
      </c>
      <c r="M15" s="162">
        <v>260</v>
      </c>
      <c r="N15" s="3" t="s">
        <v>1249</v>
      </c>
    </row>
    <row r="16" spans="1:14" x14ac:dyDescent="0.25">
      <c r="A16" s="24" t="s">
        <v>1295</v>
      </c>
      <c r="B16" s="86">
        <f>SUMIFS(Export!L:L,Export!I:I,N16,Export!E:E,M16)/SUM('NW USED VEHICLE'!$B$10,'NW NEW VEHICLE'!$B$6)</f>
        <v>3.9502941176470587</v>
      </c>
      <c r="C16" s="90">
        <f>SUMIFS(Export!N:N,Export!I:I,N16,Export!E:E,M16)/('NW USED VEHICLE'!$C$10+'NW NEW VEHICLE'!$C$6)</f>
        <v>0</v>
      </c>
      <c r="D16" s="105">
        <f t="shared" ref="D16:D17" si="5">+C16-B16</f>
        <v>-3.9502941176470587</v>
      </c>
      <c r="E16" s="118">
        <f t="shared" si="1"/>
        <v>0</v>
      </c>
      <c r="F16" s="89"/>
      <c r="G16" s="89"/>
      <c r="H16" s="89"/>
      <c r="I16" s="90" t="e">
        <f t="shared" si="2"/>
        <v>#DIV/0!</v>
      </c>
      <c r="J16" s="105">
        <f t="shared" ref="J16:J17" si="6">+H16-F16</f>
        <v>0</v>
      </c>
      <c r="K16" s="122">
        <f t="shared" si="4"/>
        <v>0</v>
      </c>
      <c r="M16" s="162">
        <v>260</v>
      </c>
      <c r="N16" s="3" t="s">
        <v>1295</v>
      </c>
    </row>
    <row r="17" spans="1:14" x14ac:dyDescent="0.25">
      <c r="A17" s="24" t="s">
        <v>1663</v>
      </c>
      <c r="B17" s="89">
        <f>+SUM(B15:B16)</f>
        <v>280.45803921568626</v>
      </c>
      <c r="C17" s="90">
        <f>+SUM(C15:C16)</f>
        <v>239.7851173895742</v>
      </c>
      <c r="D17" s="105">
        <f t="shared" si="5"/>
        <v>-40.672921826112059</v>
      </c>
      <c r="E17" s="118">
        <f t="shared" si="1"/>
        <v>-0.1696223780228677</v>
      </c>
      <c r="F17" s="89"/>
      <c r="G17" s="89"/>
      <c r="H17" s="89"/>
      <c r="I17" s="90" t="e">
        <f>+SUM(I15:I16)</f>
        <v>#DIV/0!</v>
      </c>
      <c r="J17" s="105">
        <f t="shared" si="6"/>
        <v>0</v>
      </c>
      <c r="K17" s="122">
        <f t="shared" si="4"/>
        <v>0</v>
      </c>
    </row>
    <row r="18" spans="1:14" x14ac:dyDescent="0.25">
      <c r="A18" s="24" t="s">
        <v>1664</v>
      </c>
      <c r="B18" s="89">
        <f>+B13-B17</f>
        <v>233.02245098039219</v>
      </c>
      <c r="C18" s="90">
        <f>+C13-C17</f>
        <v>320.71259450855553</v>
      </c>
      <c r="D18" s="105">
        <f>+B18-C18</f>
        <v>-87.690143528163333</v>
      </c>
      <c r="E18" s="118">
        <f t="shared" si="1"/>
        <v>-0.27342282476475693</v>
      </c>
      <c r="F18" s="89"/>
      <c r="G18" s="89"/>
      <c r="H18" s="89"/>
      <c r="I18" s="90" t="e">
        <f>+I13-I17</f>
        <v>#DIV/0!</v>
      </c>
      <c r="J18" s="105">
        <f>+F18-H18</f>
        <v>0</v>
      </c>
      <c r="K18" s="122">
        <f t="shared" si="4"/>
        <v>0</v>
      </c>
    </row>
    <row r="19" spans="1:14" s="28" customFormat="1" ht="15.75" thickBot="1" x14ac:dyDescent="0.3">
      <c r="A19" s="29" t="s">
        <v>1665</v>
      </c>
      <c r="B19" s="88">
        <f>+B18*SUM('NW NEW VEHICLE'!B6,'NW USED VEHICLE'!B10)</f>
        <v>23768.290000000005</v>
      </c>
      <c r="C19" s="93">
        <f>+C18*SUM('NW NEW VEHICLE'!C6,'NW USED VEHICLE'!C10)</f>
        <v>35820.03333333334</v>
      </c>
      <c r="D19" s="108">
        <f>+B19-C19</f>
        <v>-12051.743333333336</v>
      </c>
      <c r="E19" s="120">
        <f t="shared" si="1"/>
        <v>-0.33645259961604351</v>
      </c>
      <c r="F19" s="94"/>
      <c r="G19" s="94"/>
      <c r="H19" s="94"/>
      <c r="I19" s="93">
        <f>SUM(F19:H19)</f>
        <v>0</v>
      </c>
      <c r="J19" s="108">
        <f>+F19-H19</f>
        <v>0</v>
      </c>
      <c r="K19" s="124">
        <f t="shared" si="4"/>
        <v>0</v>
      </c>
      <c r="N19" s="3"/>
    </row>
    <row r="20" spans="1:14" ht="0" hidden="1" customHeight="1" x14ac:dyDescent="0.25">
      <c r="E20" s="121"/>
      <c r="K20" s="121"/>
    </row>
    <row r="21" spans="1:14" ht="15.75" thickTop="1" x14ac:dyDescent="0.25">
      <c r="E21" s="121"/>
      <c r="K21" s="121"/>
    </row>
    <row r="22" spans="1:14" x14ac:dyDescent="0.25">
      <c r="E22" s="121"/>
      <c r="K22" s="121"/>
    </row>
    <row r="23" spans="1:14" x14ac:dyDescent="0.25">
      <c r="C23" s="195"/>
      <c r="E23" s="121"/>
    </row>
    <row r="24" spans="1:14" x14ac:dyDescent="0.25">
      <c r="E24" s="121"/>
    </row>
    <row r="25" spans="1:14" x14ac:dyDescent="0.25">
      <c r="E25" s="121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DCBBB-C912-48F8-80C1-54E4544BC076}">
  <sheetPr>
    <tabColor theme="9" tint="0.79998168889431442"/>
  </sheetPr>
  <dimension ref="A1:AL44"/>
  <sheetViews>
    <sheetView workbookViewId="0">
      <selection activeCell="M30" sqref="M30"/>
    </sheetView>
  </sheetViews>
  <sheetFormatPr defaultColWidth="9.140625" defaultRowHeight="15" outlineLevelCol="1" x14ac:dyDescent="0.25"/>
  <cols>
    <col min="1" max="1" width="35.7109375" style="16" customWidth="1"/>
    <col min="2" max="2" width="14.85546875" style="16" bestFit="1" customWidth="1"/>
    <col min="3" max="3" width="12.5703125" style="16" bestFit="1" customWidth="1"/>
    <col min="4" max="4" width="11.5703125" style="16" bestFit="1" customWidth="1"/>
    <col min="5" max="9" width="9.7109375" style="16" customWidth="1"/>
    <col min="10" max="11" width="9.7109375" style="16" hidden="1" customWidth="1"/>
    <col min="12" max="12" width="9.140625" style="16" customWidth="1"/>
    <col min="13" max="13" width="11.42578125" style="16" customWidth="1"/>
    <col min="14" max="17" width="11.7109375" style="3" customWidth="1" outlineLevel="1"/>
    <col min="18" max="20" width="9.140625" style="52" customWidth="1" outlineLevel="1"/>
    <col min="21" max="25" width="9.140625" style="16" customWidth="1" outlineLevel="1"/>
    <col min="26" max="28" width="9.140625" style="52" customWidth="1" outlineLevel="1"/>
    <col min="29" max="36" width="9.140625" style="16" customWidth="1" outlineLevel="1"/>
    <col min="37" max="16384" width="9.140625" style="16"/>
  </cols>
  <sheetData>
    <row r="1" spans="1:38" ht="15" customHeight="1" x14ac:dyDescent="0.25">
      <c r="A1" s="326" t="s">
        <v>1604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  <c r="AK1" s="201" t="s">
        <v>1606</v>
      </c>
      <c r="AL1" s="201"/>
    </row>
    <row r="2" spans="1:38" ht="6.6" customHeight="1" thickBot="1" x14ac:dyDescent="0.3">
      <c r="AL2" s="201"/>
    </row>
    <row r="3" spans="1:38" ht="15.75" thickTop="1" x14ac:dyDescent="0.25">
      <c r="A3" s="38" t="s">
        <v>1591</v>
      </c>
      <c r="B3" s="350" t="s">
        <v>155</v>
      </c>
      <c r="C3" s="329"/>
      <c r="D3" s="329"/>
      <c r="E3" s="329"/>
      <c r="F3" s="350" t="s">
        <v>155</v>
      </c>
      <c r="G3" s="350"/>
      <c r="H3" s="329"/>
      <c r="I3" s="329"/>
      <c r="J3" s="329"/>
      <c r="K3" s="345"/>
      <c r="AL3" s="201"/>
    </row>
    <row r="4" spans="1:38" x14ac:dyDescent="0.25">
      <c r="A4" s="39" t="s">
        <v>1591</v>
      </c>
      <c r="B4" s="40"/>
      <c r="C4" s="40"/>
      <c r="D4" s="351"/>
      <c r="E4" s="331"/>
      <c r="F4" s="40"/>
      <c r="G4" s="40"/>
      <c r="H4" s="40"/>
      <c r="I4" s="40"/>
      <c r="J4" s="351" t="s">
        <v>1608</v>
      </c>
      <c r="K4" s="347"/>
      <c r="AL4" s="201"/>
    </row>
    <row r="5" spans="1:38" x14ac:dyDescent="0.25">
      <c r="A5" s="39" t="s">
        <v>98</v>
      </c>
      <c r="B5" s="41" t="s">
        <v>12</v>
      </c>
      <c r="C5" s="41" t="s">
        <v>1592</v>
      </c>
      <c r="D5" s="42" t="s">
        <v>1609</v>
      </c>
      <c r="E5" s="42" t="s">
        <v>1610</v>
      </c>
      <c r="F5" s="262" t="str">
        <f>OVERALL!F5</f>
        <v>0124</v>
      </c>
      <c r="G5" s="262" t="str">
        <f>OVERALL!G5</f>
        <v>0224</v>
      </c>
      <c r="H5" s="262" t="str">
        <f>OVERALL!H5</f>
        <v>0324</v>
      </c>
      <c r="I5" s="41" t="str">
        <f>OVERALL!I5</f>
        <v>Q124</v>
      </c>
      <c r="J5" s="42" t="s">
        <v>1609</v>
      </c>
      <c r="K5" s="43" t="s">
        <v>1610</v>
      </c>
      <c r="AK5" s="201" t="s">
        <v>12</v>
      </c>
      <c r="AL5" s="201" t="s">
        <v>1592</v>
      </c>
    </row>
    <row r="6" spans="1:38" x14ac:dyDescent="0.25">
      <c r="A6" s="24" t="s">
        <v>1122</v>
      </c>
      <c r="B6" s="51">
        <f>+R16/$R$22</f>
        <v>0.26068902008177319</v>
      </c>
      <c r="C6" s="96">
        <f>+V16/$V$22</f>
        <v>0.18503735170223115</v>
      </c>
      <c r="D6" s="109">
        <f>+B6-C6</f>
        <v>7.5651668379542042E-2</v>
      </c>
      <c r="E6" s="118">
        <f>IFERROR(+D6/C6,0)</f>
        <v>0.40884539085537425</v>
      </c>
      <c r="F6" s="51"/>
      <c r="G6" s="51"/>
      <c r="H6" s="51"/>
      <c r="I6" s="96" t="e">
        <f>AVERAGE(F6:H6)</f>
        <v>#DIV/0!</v>
      </c>
      <c r="J6" s="126">
        <f>+F6-H6</f>
        <v>0</v>
      </c>
      <c r="K6" s="122">
        <f t="shared" ref="K6:K30" si="0">IFERROR(+J6/H6,0)</f>
        <v>0</v>
      </c>
      <c r="N6" s="3" t="s">
        <v>1122</v>
      </c>
      <c r="O6" s="3" t="s">
        <v>1201</v>
      </c>
      <c r="AK6" s="202"/>
      <c r="AL6" s="202"/>
    </row>
    <row r="7" spans="1:38" x14ac:dyDescent="0.25">
      <c r="A7" s="24" t="s">
        <v>1127</v>
      </c>
      <c r="B7" s="51">
        <f t="shared" ref="B7:B11" si="1">+R17/$R$22</f>
        <v>0.39413182827728066</v>
      </c>
      <c r="C7" s="96">
        <f t="shared" ref="C7:C11" si="2">+V17/$V$22</f>
        <v>0.36372876122950132</v>
      </c>
      <c r="D7" s="109">
        <f t="shared" ref="D7:D12" si="3">+B7-C7</f>
        <v>3.0403067047779342E-2</v>
      </c>
      <c r="E7" s="118">
        <f t="shared" ref="E7:E30" si="4">IFERROR(+D7/C7,0)</f>
        <v>8.3587195428287756E-2</v>
      </c>
      <c r="F7" s="51"/>
      <c r="G7" s="51"/>
      <c r="H7" s="51"/>
      <c r="I7" s="96" t="e">
        <f t="shared" ref="I7:I12" si="5">AVERAGE(F7:H7)</f>
        <v>#DIV/0!</v>
      </c>
      <c r="J7" s="126">
        <f t="shared" ref="J7:J12" si="6">+F7-H7</f>
        <v>0</v>
      </c>
      <c r="K7" s="122">
        <f t="shared" si="0"/>
        <v>0</v>
      </c>
      <c r="AK7" s="202"/>
      <c r="AL7" s="202"/>
    </row>
    <row r="8" spans="1:38" x14ac:dyDescent="0.25">
      <c r="A8" s="24" t="s">
        <v>1132</v>
      </c>
      <c r="B8" s="51">
        <f t="shared" si="1"/>
        <v>0.20882944220867888</v>
      </c>
      <c r="C8" s="96">
        <f t="shared" si="2"/>
        <v>0.17006462690847679</v>
      </c>
      <c r="D8" s="109">
        <f t="shared" si="3"/>
        <v>3.8764815300202093E-2</v>
      </c>
      <c r="E8" s="118">
        <f t="shared" si="4"/>
        <v>0.2279416713803985</v>
      </c>
      <c r="F8" s="51"/>
      <c r="G8" s="51"/>
      <c r="H8" s="51"/>
      <c r="I8" s="96" t="e">
        <f t="shared" si="5"/>
        <v>#DIV/0!</v>
      </c>
      <c r="J8" s="126">
        <f t="shared" si="6"/>
        <v>0</v>
      </c>
      <c r="K8" s="122">
        <f t="shared" si="0"/>
        <v>0</v>
      </c>
      <c r="AK8" s="202"/>
      <c r="AL8" s="202"/>
    </row>
    <row r="9" spans="1:38" x14ac:dyDescent="0.25">
      <c r="A9" s="24" t="s">
        <v>1140</v>
      </c>
      <c r="B9" s="51">
        <f t="shared" si="1"/>
        <v>2.2974108645273709E-2</v>
      </c>
      <c r="C9" s="96">
        <f t="shared" si="2"/>
        <v>0.12503396743404893</v>
      </c>
      <c r="D9" s="109">
        <f t="shared" si="3"/>
        <v>-0.10205985878877522</v>
      </c>
      <c r="E9" s="118">
        <f t="shared" si="4"/>
        <v>-0.81625706104709694</v>
      </c>
      <c r="F9" s="51"/>
      <c r="G9" s="51"/>
      <c r="H9" s="51"/>
      <c r="I9" s="96" t="e">
        <f t="shared" si="5"/>
        <v>#DIV/0!</v>
      </c>
      <c r="J9" s="126">
        <f t="shared" si="6"/>
        <v>0</v>
      </c>
      <c r="K9" s="122">
        <f t="shared" si="0"/>
        <v>0</v>
      </c>
      <c r="AK9" s="202"/>
      <c r="AL9" s="202"/>
    </row>
    <row r="10" spans="1:38" x14ac:dyDescent="0.25">
      <c r="A10" s="24" t="s">
        <v>1145</v>
      </c>
      <c r="B10" s="51">
        <f t="shared" si="1"/>
        <v>0.11191716803626148</v>
      </c>
      <c r="C10" s="96">
        <f t="shared" si="2"/>
        <v>0.15613529272574189</v>
      </c>
      <c r="D10" s="109">
        <f t="shared" si="3"/>
        <v>-4.4218124689480415E-2</v>
      </c>
      <c r="E10" s="118">
        <f t="shared" si="4"/>
        <v>-0.28320390552026814</v>
      </c>
      <c r="F10" s="51"/>
      <c r="G10" s="51"/>
      <c r="H10" s="51"/>
      <c r="I10" s="96" t="e">
        <f t="shared" si="5"/>
        <v>#DIV/0!</v>
      </c>
      <c r="J10" s="126">
        <f t="shared" si="6"/>
        <v>0</v>
      </c>
      <c r="K10" s="122">
        <f t="shared" si="0"/>
        <v>0</v>
      </c>
      <c r="AK10" s="202"/>
      <c r="AL10" s="202"/>
    </row>
    <row r="11" spans="1:38" x14ac:dyDescent="0.25">
      <c r="A11" s="24" t="s">
        <v>1137</v>
      </c>
      <c r="B11" s="51">
        <f t="shared" si="1"/>
        <v>1.4584327507320598E-3</v>
      </c>
      <c r="C11" s="96">
        <f t="shared" si="2"/>
        <v>0</v>
      </c>
      <c r="D11" s="109">
        <f t="shared" si="3"/>
        <v>1.4584327507320598E-3</v>
      </c>
      <c r="E11" s="118">
        <f t="shared" si="4"/>
        <v>0</v>
      </c>
      <c r="F11" s="51"/>
      <c r="G11" s="51"/>
      <c r="H11" s="51"/>
      <c r="I11" s="96" t="e">
        <f t="shared" si="5"/>
        <v>#DIV/0!</v>
      </c>
      <c r="J11" s="126">
        <f t="shared" si="6"/>
        <v>0</v>
      </c>
      <c r="K11" s="122">
        <f t="shared" si="0"/>
        <v>0</v>
      </c>
      <c r="AK11" s="202"/>
      <c r="AL11" s="202"/>
    </row>
    <row r="12" spans="1:38" x14ac:dyDescent="0.25">
      <c r="A12" s="24" t="s">
        <v>1666</v>
      </c>
      <c r="B12" s="53">
        <f>SUM(B6:B11)</f>
        <v>1</v>
      </c>
      <c r="C12" s="96">
        <f>SUM(C6:C11)</f>
        <v>1</v>
      </c>
      <c r="D12" s="109">
        <f t="shared" si="3"/>
        <v>0</v>
      </c>
      <c r="E12" s="118">
        <f t="shared" si="4"/>
        <v>0</v>
      </c>
      <c r="F12" s="51"/>
      <c r="G12" s="51"/>
      <c r="H12" s="51"/>
      <c r="I12" s="96" t="e">
        <f t="shared" si="5"/>
        <v>#DIV/0!</v>
      </c>
      <c r="J12" s="126">
        <f t="shared" si="6"/>
        <v>0</v>
      </c>
      <c r="K12" s="122">
        <f t="shared" si="0"/>
        <v>0</v>
      </c>
      <c r="AK12" s="202"/>
      <c r="AL12" s="202"/>
    </row>
    <row r="13" spans="1:38" s="28" customFormat="1" x14ac:dyDescent="0.25">
      <c r="A13" s="27" t="s">
        <v>1667</v>
      </c>
      <c r="B13" s="91">
        <f>-R22</f>
        <v>1156131.47</v>
      </c>
      <c r="C13" s="92">
        <f>-V22</f>
        <v>1364999.9999999998</v>
      </c>
      <c r="D13" s="101">
        <f>+B13-C13</f>
        <v>-208868.5299999998</v>
      </c>
      <c r="E13" s="119">
        <f t="shared" si="4"/>
        <v>-0.15301723809523798</v>
      </c>
      <c r="F13" s="91"/>
      <c r="G13" s="91"/>
      <c r="H13" s="91"/>
      <c r="I13" s="92">
        <f>SUM(F13:H13)</f>
        <v>0</v>
      </c>
      <c r="J13" s="101">
        <f>+F13-H13</f>
        <v>0</v>
      </c>
      <c r="K13" s="123">
        <f t="shared" si="0"/>
        <v>0</v>
      </c>
      <c r="M13" s="234"/>
      <c r="N13" s="50"/>
      <c r="O13" s="50"/>
      <c r="P13" s="50"/>
      <c r="Q13" s="50"/>
      <c r="R13" s="170" t="s">
        <v>1641</v>
      </c>
      <c r="S13" s="170" t="s">
        <v>1641</v>
      </c>
      <c r="T13" s="170" t="s">
        <v>1641</v>
      </c>
      <c r="V13" s="170" t="s">
        <v>1641</v>
      </c>
      <c r="W13" s="170" t="s">
        <v>1641</v>
      </c>
      <c r="X13" s="170" t="s">
        <v>1641</v>
      </c>
      <c r="Z13" s="170" t="s">
        <v>156</v>
      </c>
      <c r="AA13" s="170" t="s">
        <v>156</v>
      </c>
      <c r="AB13" s="170" t="s">
        <v>156</v>
      </c>
      <c r="AD13" s="170" t="s">
        <v>156</v>
      </c>
      <c r="AE13" s="170" t="s">
        <v>156</v>
      </c>
      <c r="AF13" s="170" t="s">
        <v>156</v>
      </c>
      <c r="AK13" s="202">
        <f>B13-'NS PARTS 130'!B13-'NW PARTS 230'!B13-'NW PARTS 330'!B13-'NW PARTS 430'!B13</f>
        <v>0</v>
      </c>
      <c r="AL13" s="202">
        <f>C13-'NS PARTS 130'!C13-'NW PARTS 230'!C13-'NW PARTS 330'!C13-'NW PARTS 430'!C13</f>
        <v>0</v>
      </c>
    </row>
    <row r="14" spans="1:38" x14ac:dyDescent="0.25">
      <c r="A14" s="24" t="s">
        <v>1668</v>
      </c>
      <c r="B14" s="89">
        <f>+B13/B33</f>
        <v>115613.147</v>
      </c>
      <c r="C14" s="90">
        <f>+C13/C33</f>
        <v>104999.99999999999</v>
      </c>
      <c r="D14" s="100">
        <f>+B14-C14</f>
        <v>10613.147000000012</v>
      </c>
      <c r="E14" s="118">
        <f t="shared" si="4"/>
        <v>0.1010775904761906</v>
      </c>
      <c r="F14" s="89"/>
      <c r="G14" s="89"/>
      <c r="H14" s="89"/>
      <c r="I14" s="90" t="e">
        <f>AVERAGE(F14,G14,H14)</f>
        <v>#DIV/0!</v>
      </c>
      <c r="J14" s="100">
        <f>+F14-H14</f>
        <v>0</v>
      </c>
      <c r="K14" s="122">
        <f t="shared" si="0"/>
        <v>0</v>
      </c>
      <c r="M14" s="193"/>
      <c r="R14" s="95" t="s">
        <v>12</v>
      </c>
      <c r="S14" s="95" t="s">
        <v>12</v>
      </c>
      <c r="T14" s="95" t="s">
        <v>12</v>
      </c>
      <c r="V14" s="95" t="s">
        <v>1592</v>
      </c>
      <c r="W14" s="95" t="s">
        <v>1592</v>
      </c>
      <c r="X14" s="95" t="s">
        <v>1592</v>
      </c>
      <c r="Z14" s="95" t="s">
        <v>12</v>
      </c>
      <c r="AA14" s="95" t="s">
        <v>12</v>
      </c>
      <c r="AB14" s="95" t="s">
        <v>12</v>
      </c>
      <c r="AD14" s="95" t="s">
        <v>1592</v>
      </c>
      <c r="AE14" s="95" t="s">
        <v>1592</v>
      </c>
      <c r="AF14" s="95" t="s">
        <v>1592</v>
      </c>
      <c r="AK14" s="202"/>
      <c r="AL14" s="202"/>
    </row>
    <row r="15" spans="1:38" x14ac:dyDescent="0.25">
      <c r="A15" s="24" t="s">
        <v>1669</v>
      </c>
      <c r="B15" s="146">
        <f>+B35/S22*30</f>
        <v>45.052849066169451</v>
      </c>
      <c r="C15" s="147">
        <f>+B35/W22*30</f>
        <v>38.465284106137773</v>
      </c>
      <c r="D15" s="148">
        <f>+C15-B15</f>
        <v>-6.5875649600316777</v>
      </c>
      <c r="E15" s="118">
        <f t="shared" si="4"/>
        <v>-0.17126001050335471</v>
      </c>
      <c r="F15" s="146"/>
      <c r="G15" s="146"/>
      <c r="H15" s="146"/>
      <c r="I15" s="147" t="e">
        <f t="shared" ref="I15:I22" si="7">AVERAGE(F15:H15)</f>
        <v>#DIV/0!</v>
      </c>
      <c r="J15" s="148">
        <f>+H15-F15</f>
        <v>0</v>
      </c>
      <c r="K15" s="122">
        <f t="shared" si="0"/>
        <v>0</v>
      </c>
      <c r="R15" s="3" t="s">
        <v>1642</v>
      </c>
      <c r="S15" s="3" t="s">
        <v>180</v>
      </c>
      <c r="T15" s="3" t="s">
        <v>153</v>
      </c>
      <c r="U15" s="3"/>
      <c r="V15" s="3" t="s">
        <v>1642</v>
      </c>
      <c r="W15" s="3" t="s">
        <v>180</v>
      </c>
      <c r="X15" s="3" t="s">
        <v>153</v>
      </c>
      <c r="Y15" s="3"/>
      <c r="Z15" s="3" t="s">
        <v>1642</v>
      </c>
      <c r="AA15" s="3" t="s">
        <v>180</v>
      </c>
      <c r="AB15" s="3" t="s">
        <v>153</v>
      </c>
      <c r="AC15" s="3"/>
      <c r="AD15" s="3" t="s">
        <v>1642</v>
      </c>
      <c r="AE15" s="3" t="s">
        <v>180</v>
      </c>
      <c r="AF15" s="3" t="s">
        <v>153</v>
      </c>
      <c r="AG15" s="3"/>
      <c r="AH15" s="3"/>
      <c r="AI15" s="3"/>
      <c r="AJ15" s="3"/>
      <c r="AK15" s="202"/>
      <c r="AL15" s="202"/>
    </row>
    <row r="16" spans="1:38" x14ac:dyDescent="0.25">
      <c r="A16" s="24" t="s">
        <v>1201</v>
      </c>
      <c r="B16" s="130">
        <f>IFERROR(+T16/R16,0)</f>
        <v>0.19803183760299495</v>
      </c>
      <c r="C16" s="131">
        <f>+IFERROR(X16/V16,0)</f>
        <v>0.21151415951909525</v>
      </c>
      <c r="D16" s="128">
        <f t="shared" ref="D16:D22" si="8">+B16-C16</f>
        <v>-1.3482321916100298E-2</v>
      </c>
      <c r="E16" s="118">
        <f t="shared" si="4"/>
        <v>-6.3741935512752895E-2</v>
      </c>
      <c r="F16" s="133"/>
      <c r="G16" s="133"/>
      <c r="H16" s="133"/>
      <c r="I16" s="131" t="e">
        <f t="shared" si="7"/>
        <v>#DIV/0!</v>
      </c>
      <c r="J16" s="126">
        <f t="shared" ref="J16:J22" si="9">+F16-H16</f>
        <v>0</v>
      </c>
      <c r="K16" s="122">
        <f t="shared" si="0"/>
        <v>0</v>
      </c>
      <c r="M16" s="193"/>
      <c r="N16" s="3" t="s">
        <v>1122</v>
      </c>
      <c r="O16" s="3" t="s">
        <v>1201</v>
      </c>
      <c r="R16" s="52">
        <f>'NS PARTS 130'!R16+'NW PARTS 230'!R16+'NW PARTS 330'!R16+'NW PARTS 430'!R16</f>
        <v>-301390.77999999997</v>
      </c>
      <c r="S16" s="52">
        <f>'NS PARTS 130'!S16+'NW PARTS 230'!S16+'NW PARTS 330'!S16+'NW PARTS 430'!S16</f>
        <v>241705.81</v>
      </c>
      <c r="T16" s="52">
        <f>+SUM(R16:S16)</f>
        <v>-59684.969999999972</v>
      </c>
      <c r="V16" s="52">
        <f>'NS PARTS 130'!V16+'NW PARTS 230'!V16+'NW PARTS 330'!V16+'NW PARTS 430'!V16</f>
        <v>-252575.98507354548</v>
      </c>
      <c r="W16" s="52">
        <f>'NS PARTS 130'!W16+'NW PARTS 230'!W16+'NW PARTS 330'!W16+'NW PARTS 430'!W16</f>
        <v>199152.58787600696</v>
      </c>
      <c r="X16" s="52">
        <f>+SUM(V16:W16)</f>
        <v>-53423.397197538521</v>
      </c>
      <c r="Z16" s="52">
        <f>+SUMIF(Export!$I:$I,'PARTS GROUP'!N16,Export!M:M)</f>
        <v>0</v>
      </c>
      <c r="AA16" s="52">
        <f>+SUMIF(Export!$I:$I,'PARTS GROUP'!O16,Export!M:M)</f>
        <v>0</v>
      </c>
      <c r="AB16" s="52">
        <f>+SUM(Z16:AA16)</f>
        <v>0</v>
      </c>
      <c r="AD16" s="52">
        <f>+SUMIF(Export!$I:$I,'PARTS GROUP'!N16,Export!O:O)</f>
        <v>0</v>
      </c>
      <c r="AE16" s="52">
        <f>+SUMIF(Export!$I:$I,'PARTS GROUP'!O16,Export!O:O)</f>
        <v>0</v>
      </c>
      <c r="AF16" s="52">
        <f>+SUM(AD16:AE16)</f>
        <v>0</v>
      </c>
      <c r="AK16" s="202"/>
      <c r="AL16" s="202"/>
    </row>
    <row r="17" spans="1:38" x14ac:dyDescent="0.25">
      <c r="A17" s="24" t="s">
        <v>1209</v>
      </c>
      <c r="B17" s="130">
        <f t="shared" ref="B17:B22" si="10">IFERROR(+T17/R17,0)</f>
        <v>0.1288100392169117</v>
      </c>
      <c r="C17" s="131">
        <f t="shared" ref="C17:C22" si="11">+IFERROR(X17/V17,0)</f>
        <v>0.14858930236580023</v>
      </c>
      <c r="D17" s="128">
        <f t="shared" si="8"/>
        <v>-1.9779263148888532E-2</v>
      </c>
      <c r="E17" s="118">
        <f t="shared" si="4"/>
        <v>-0.13311364165500644</v>
      </c>
      <c r="F17" s="133"/>
      <c r="G17" s="133"/>
      <c r="H17" s="133"/>
      <c r="I17" s="131" t="e">
        <f t="shared" si="7"/>
        <v>#DIV/0!</v>
      </c>
      <c r="J17" s="126">
        <f t="shared" si="9"/>
        <v>0</v>
      </c>
      <c r="K17" s="122">
        <f t="shared" si="0"/>
        <v>0</v>
      </c>
      <c r="M17" s="193"/>
      <c r="N17" s="3" t="s">
        <v>1127</v>
      </c>
      <c r="O17" s="3" t="s">
        <v>1209</v>
      </c>
      <c r="R17" s="52">
        <f>'NS PARTS 130'!R17+'NW PARTS 230'!R17+'NW PARTS 330'!R17+'NW PARTS 430'!R17</f>
        <v>-455668.21</v>
      </c>
      <c r="S17" s="52">
        <f>'NS PARTS 130'!S17+'NW PARTS 230'!S17+'NW PARTS 330'!S17+'NW PARTS 430'!S17</f>
        <v>396973.57000000007</v>
      </c>
      <c r="T17" s="52">
        <f t="shared" ref="T17:T21" si="12">+SUM(R17:S17)</f>
        <v>-58694.639999999956</v>
      </c>
      <c r="V17" s="52">
        <f>'NS PARTS 130'!V17+'NW PARTS 230'!V17+'NW PARTS 330'!V17+'NW PARTS 430'!V17</f>
        <v>-496489.75907826918</v>
      </c>
      <c r="W17" s="52">
        <f>'NS PARTS 130'!W17+'NW PARTS 230'!W17+'NW PARTS 330'!W17+'NW PARTS 430'!W17</f>
        <v>422716.69214506494</v>
      </c>
      <c r="X17" s="52">
        <f t="shared" ref="X17:X21" si="13">+SUM(V17:W17)</f>
        <v>-73773.066933204245</v>
      </c>
      <c r="Z17" s="52">
        <f>+SUMIF(Export!$I:$I,'PARTS GROUP'!N17,Export!M:M)</f>
        <v>0</v>
      </c>
      <c r="AA17" s="52">
        <f>+SUMIF(Export!$I:$I,'PARTS GROUP'!O17,Export!M:M)</f>
        <v>0</v>
      </c>
      <c r="AB17" s="52">
        <f t="shared" ref="AB17:AB21" si="14">+SUM(Z17:AA17)</f>
        <v>0</v>
      </c>
      <c r="AD17" s="52">
        <f>+SUMIF(Export!$I:$I,'PARTS GROUP'!N17,Export!O:O)</f>
        <v>0</v>
      </c>
      <c r="AE17" s="52">
        <f>+SUMIF(Export!$I:$I,'PARTS GROUP'!O17,Export!O:O)</f>
        <v>0</v>
      </c>
      <c r="AF17" s="52">
        <f t="shared" ref="AF17:AF21" si="15">+SUM(AD17:AE17)</f>
        <v>0</v>
      </c>
      <c r="AK17" s="202"/>
      <c r="AL17" s="202"/>
    </row>
    <row r="18" spans="1:38" x14ac:dyDescent="0.25">
      <c r="A18" s="24" t="s">
        <v>1216</v>
      </c>
      <c r="B18" s="130">
        <f t="shared" si="10"/>
        <v>0.29675871641927898</v>
      </c>
      <c r="C18" s="131">
        <f t="shared" si="11"/>
        <v>0.29707989436929355</v>
      </c>
      <c r="D18" s="128">
        <f t="shared" si="8"/>
        <v>-3.2117795001457283E-4</v>
      </c>
      <c r="E18" s="118">
        <f t="shared" si="4"/>
        <v>-1.0811164138065953E-3</v>
      </c>
      <c r="F18" s="133"/>
      <c r="G18" s="133"/>
      <c r="H18" s="133"/>
      <c r="I18" s="131" t="e">
        <f t="shared" si="7"/>
        <v>#DIV/0!</v>
      </c>
      <c r="J18" s="126">
        <f t="shared" si="9"/>
        <v>0</v>
      </c>
      <c r="K18" s="122">
        <f t="shared" si="0"/>
        <v>0</v>
      </c>
      <c r="N18" s="3" t="s">
        <v>1132</v>
      </c>
      <c r="O18" s="3" t="s">
        <v>1216</v>
      </c>
      <c r="R18" s="52">
        <f>'NS PARTS 130'!R18+'NW PARTS 230'!R18+'NW PARTS 330'!R18+'NW PARTS 430'!R18</f>
        <v>-241434.28999999995</v>
      </c>
      <c r="S18" s="52">
        <f>'NS PARTS 130'!S18+'NW PARTS 230'!S18+'NW PARTS 330'!S18+'NW PARTS 430'!S18</f>
        <v>169786.56</v>
      </c>
      <c r="T18" s="52">
        <f t="shared" si="12"/>
        <v>-71647.729999999952</v>
      </c>
      <c r="V18" s="52">
        <f>'NS PARTS 130'!V18+'NW PARTS 230'!V18+'NW PARTS 330'!V18+'NW PARTS 430'!V18</f>
        <v>-232138.21573007078</v>
      </c>
      <c r="W18" s="52">
        <f>'NS PARTS 130'!W18+'NW PARTS 230'!W18+'NW PARTS 330'!W18+'NW PARTS 430'!W18</f>
        <v>163174.61912190507</v>
      </c>
      <c r="X18" s="52">
        <f t="shared" si="13"/>
        <v>-68963.59660816571</v>
      </c>
      <c r="Z18" s="52">
        <f>+SUMIF(Export!$I:$I,'PARTS GROUP'!N18,Export!M:M)</f>
        <v>0</v>
      </c>
      <c r="AA18" s="52">
        <f>+SUMIF(Export!$I:$I,'PARTS GROUP'!O18,Export!M:M)</f>
        <v>0</v>
      </c>
      <c r="AB18" s="52">
        <f t="shared" si="14"/>
        <v>0</v>
      </c>
      <c r="AD18" s="52">
        <f>+SUMIF(Export!$I:$I,'PARTS GROUP'!N18,Export!O:O)</f>
        <v>0</v>
      </c>
      <c r="AE18" s="52">
        <f>+SUMIF(Export!$I:$I,'PARTS GROUP'!O18,Export!O:O)</f>
        <v>0</v>
      </c>
      <c r="AF18" s="52">
        <f t="shared" si="15"/>
        <v>0</v>
      </c>
      <c r="AK18" s="202"/>
      <c r="AL18" s="202"/>
    </row>
    <row r="19" spans="1:38" x14ac:dyDescent="0.25">
      <c r="A19" s="24" t="s">
        <v>1225</v>
      </c>
      <c r="B19" s="130">
        <f t="shared" si="10"/>
        <v>-6.3132951245600269E-2</v>
      </c>
      <c r="C19" s="131">
        <f t="shared" si="11"/>
        <v>8.5569646729281121E-2</v>
      </c>
      <c r="D19" s="128">
        <f t="shared" si="8"/>
        <v>-0.14870259797488139</v>
      </c>
      <c r="E19" s="118">
        <f t="shared" si="4"/>
        <v>-1.7377960954465033</v>
      </c>
      <c r="F19" s="133"/>
      <c r="G19" s="133"/>
      <c r="H19" s="133"/>
      <c r="I19" s="131" t="e">
        <f t="shared" si="7"/>
        <v>#DIV/0!</v>
      </c>
      <c r="J19" s="126">
        <f t="shared" si="9"/>
        <v>0</v>
      </c>
      <c r="K19" s="122">
        <f t="shared" si="0"/>
        <v>0</v>
      </c>
      <c r="N19" s="3" t="s">
        <v>1140</v>
      </c>
      <c r="O19" s="3" t="s">
        <v>1225</v>
      </c>
      <c r="R19" s="52">
        <f>'NS PARTS 130'!R19+'NW PARTS 230'!R19+'NW PARTS 330'!R19+'NW PARTS 430'!R19</f>
        <v>-26561.09</v>
      </c>
      <c r="S19" s="52">
        <f>'NS PARTS 130'!S19+'NW PARTS 230'!S19+'NW PARTS 330'!S19+'NW PARTS 430'!S19</f>
        <v>28237.97</v>
      </c>
      <c r="T19" s="52">
        <f t="shared" si="12"/>
        <v>1676.880000000001</v>
      </c>
      <c r="V19" s="52">
        <f>'NS PARTS 130'!V19+'NW PARTS 230'!V19+'NW PARTS 330'!V19+'NW PARTS 430'!V19</f>
        <v>-170671.36554747674</v>
      </c>
      <c r="W19" s="52">
        <f>'NS PARTS 130'!W19+'NW PARTS 230'!W19+'NW PARTS 330'!W19+'NW PARTS 430'!W19</f>
        <v>156067.07709077516</v>
      </c>
      <c r="X19" s="52">
        <f t="shared" si="13"/>
        <v>-14604.288456701586</v>
      </c>
      <c r="Z19" s="52">
        <f>+SUMIF(Export!$I:$I,'PARTS GROUP'!N19,Export!M:M)</f>
        <v>0</v>
      </c>
      <c r="AA19" s="52">
        <f>+SUMIF(Export!$I:$I,'PARTS GROUP'!O19,Export!M:M)</f>
        <v>0</v>
      </c>
      <c r="AB19" s="52">
        <f t="shared" si="14"/>
        <v>0</v>
      </c>
      <c r="AD19" s="52">
        <f>+SUMIF(Export!$I:$I,'PARTS GROUP'!N19,Export!O:O)</f>
        <v>0</v>
      </c>
      <c r="AE19" s="52">
        <f>+SUMIF(Export!$I:$I,'PARTS GROUP'!O19,Export!O:O)</f>
        <v>0</v>
      </c>
      <c r="AF19" s="52">
        <f t="shared" si="15"/>
        <v>0</v>
      </c>
      <c r="AK19" s="202"/>
      <c r="AL19" s="202"/>
    </row>
    <row r="20" spans="1:38" x14ac:dyDescent="0.25">
      <c r="A20" s="24" t="s">
        <v>1230</v>
      </c>
      <c r="B20" s="130">
        <f t="shared" si="10"/>
        <v>0.12545976936874095</v>
      </c>
      <c r="C20" s="131">
        <f t="shared" si="11"/>
        <v>0.16392119248872286</v>
      </c>
      <c r="D20" s="128">
        <f t="shared" si="8"/>
        <v>-3.8461423119981908E-2</v>
      </c>
      <c r="E20" s="118">
        <f t="shared" si="4"/>
        <v>-0.23463362202314325</v>
      </c>
      <c r="F20" s="133"/>
      <c r="G20" s="133"/>
      <c r="H20" s="133"/>
      <c r="I20" s="131" t="e">
        <f t="shared" si="7"/>
        <v>#DIV/0!</v>
      </c>
      <c r="J20" s="126">
        <f t="shared" si="9"/>
        <v>0</v>
      </c>
      <c r="K20" s="122">
        <f t="shared" si="0"/>
        <v>0</v>
      </c>
      <c r="N20" s="3" t="s">
        <v>1145</v>
      </c>
      <c r="O20" s="3" t="s">
        <v>1230</v>
      </c>
      <c r="R20" s="52">
        <f>'NS PARTS 130'!R20+'NW PARTS 230'!R20+'NW PARTS 330'!R20+'NW PARTS 430'!R20</f>
        <v>-129390.95999999999</v>
      </c>
      <c r="S20" s="52">
        <f>'NS PARTS 130'!S20+'NW PARTS 230'!S20+'NW PARTS 330'!S20+'NW PARTS 430'!S20</f>
        <v>113157.6</v>
      </c>
      <c r="T20" s="52">
        <f t="shared" si="12"/>
        <v>-16233.359999999986</v>
      </c>
      <c r="V20" s="52">
        <f>'NS PARTS 130'!V20+'NW PARTS 230'!V20+'NW PARTS 330'!V20+'NW PARTS 430'!V20</f>
        <v>-213124.67457063764</v>
      </c>
      <c r="W20" s="52">
        <f>'NS PARTS 130'!W20+'NW PARTS 230'!W20+'NW PARTS 330'!W20+'NW PARTS 430'!W20</f>
        <v>178189.02376624773</v>
      </c>
      <c r="X20" s="52">
        <f t="shared" si="13"/>
        <v>-34935.650804389908</v>
      </c>
      <c r="Z20" s="52">
        <f>+SUMIF(Export!$I:$I,'PARTS GROUP'!N20,Export!M:M)</f>
        <v>0</v>
      </c>
      <c r="AA20" s="52">
        <f>+SUMIF(Export!$I:$I,'PARTS GROUP'!O20,Export!M:M)</f>
        <v>0</v>
      </c>
      <c r="AB20" s="52">
        <f t="shared" si="14"/>
        <v>0</v>
      </c>
      <c r="AD20" s="52">
        <f>+SUMIF(Export!$I:$I,'PARTS GROUP'!N20,Export!O:O)</f>
        <v>0</v>
      </c>
      <c r="AE20" s="52">
        <f>+SUMIF(Export!$I:$I,'PARTS GROUP'!O20,Export!O:O)</f>
        <v>0</v>
      </c>
      <c r="AF20" s="52">
        <f t="shared" si="15"/>
        <v>0</v>
      </c>
      <c r="AK20" s="202"/>
      <c r="AL20" s="202"/>
    </row>
    <row r="21" spans="1:38" x14ac:dyDescent="0.25">
      <c r="A21" s="24" t="s">
        <v>1222</v>
      </c>
      <c r="B21" s="130">
        <f>IFERROR(+T21/R21,0)</f>
        <v>-2.4255755749819112</v>
      </c>
      <c r="C21" s="131">
        <f t="shared" si="11"/>
        <v>0</v>
      </c>
      <c r="D21" s="128">
        <f t="shared" si="8"/>
        <v>-2.4255755749819112</v>
      </c>
      <c r="E21" s="118">
        <f t="shared" si="4"/>
        <v>0</v>
      </c>
      <c r="F21" s="133"/>
      <c r="G21" s="133"/>
      <c r="H21" s="133"/>
      <c r="I21" s="131" t="e">
        <f t="shared" si="7"/>
        <v>#DIV/0!</v>
      </c>
      <c r="J21" s="126">
        <f t="shared" si="9"/>
        <v>0</v>
      </c>
      <c r="K21" s="122">
        <f t="shared" si="0"/>
        <v>0</v>
      </c>
      <c r="N21" s="3" t="s">
        <v>1137</v>
      </c>
      <c r="O21" s="3" t="s">
        <v>1222</v>
      </c>
      <c r="R21" s="52">
        <f>'NS PARTS 130'!R21+'NW PARTS 230'!R21+'NW PARTS 330'!R21+'NW PARTS 430'!R21</f>
        <v>-1686.1399999999999</v>
      </c>
      <c r="S21" s="52">
        <f>'NS PARTS 130'!S21+'NW PARTS 230'!S21+'NW PARTS 330'!S21+'NW PARTS 430'!S21</f>
        <v>5775.9999999999991</v>
      </c>
      <c r="T21" s="52">
        <f t="shared" si="12"/>
        <v>4089.8599999999992</v>
      </c>
      <c r="V21" s="52">
        <f>'NS PARTS 130'!V21+'NW PARTS 230'!V21+'NW PARTS 330'!V21+'NW PARTS 430'!V21</f>
        <v>0</v>
      </c>
      <c r="W21" s="52">
        <f>'NS PARTS 130'!W21+'NW PARTS 230'!W21+'NW PARTS 330'!W21+'NW PARTS 430'!W21</f>
        <v>0</v>
      </c>
      <c r="X21" s="52">
        <f t="shared" si="13"/>
        <v>0</v>
      </c>
      <c r="Z21" s="52">
        <f>+SUMIF(Export!$I:$I,'PARTS GROUP'!N21,Export!M:M)</f>
        <v>0</v>
      </c>
      <c r="AA21" s="52">
        <f>+SUMIF(Export!$I:$I,'PARTS GROUP'!O21,Export!M:M)</f>
        <v>0</v>
      </c>
      <c r="AB21" s="52">
        <f t="shared" si="14"/>
        <v>0</v>
      </c>
      <c r="AD21" s="52">
        <f>+SUMIF(Export!$I:$I,'PARTS GROUP'!N21,Export!O:O)</f>
        <v>0</v>
      </c>
      <c r="AE21" s="52">
        <f>+SUMIF(Export!$I:$I,'PARTS GROUP'!O21,Export!O:O)</f>
        <v>0</v>
      </c>
      <c r="AF21" s="52">
        <f t="shared" si="15"/>
        <v>0</v>
      </c>
      <c r="AK21" s="202"/>
      <c r="AL21" s="202"/>
    </row>
    <row r="22" spans="1:38" x14ac:dyDescent="0.25">
      <c r="A22" s="24" t="s">
        <v>1670</v>
      </c>
      <c r="B22" s="130">
        <f t="shared" si="10"/>
        <v>0.17341795911843821</v>
      </c>
      <c r="C22" s="131">
        <f t="shared" si="11"/>
        <v>0.18000000000000002</v>
      </c>
      <c r="D22" s="128">
        <f t="shared" si="8"/>
        <v>-6.582040881561807E-3</v>
      </c>
      <c r="E22" s="118">
        <f t="shared" si="4"/>
        <v>-3.6566893786454481E-2</v>
      </c>
      <c r="F22" s="133"/>
      <c r="G22" s="133"/>
      <c r="H22" s="133"/>
      <c r="I22" s="131" t="e">
        <f t="shared" si="7"/>
        <v>#DIV/0!</v>
      </c>
      <c r="J22" s="126">
        <f t="shared" si="9"/>
        <v>0</v>
      </c>
      <c r="K22" s="122">
        <f t="shared" si="0"/>
        <v>0</v>
      </c>
      <c r="R22" s="52">
        <f>'NS PARTS 130'!R22+'NW PARTS 230'!R22+'NW PARTS 330'!R22+'NW PARTS 430'!R22</f>
        <v>-1156131.47</v>
      </c>
      <c r="S22" s="52">
        <f>'NS PARTS 130'!S22+'NW PARTS 230'!S22+'NW PARTS 330'!S22+'NW PARTS 430'!S22</f>
        <v>955637.50999999989</v>
      </c>
      <c r="T22" s="52">
        <f t="shared" ref="T22" si="16">SUM(T16:T21)</f>
        <v>-200493.95999999988</v>
      </c>
      <c r="V22" s="52">
        <f>'NS PARTS 130'!V22+'NW PARTS 230'!V22+'NW PARTS 330'!V22+'NW PARTS 430'!V22</f>
        <v>-1364999.9999999998</v>
      </c>
      <c r="W22" s="52">
        <f>'NS PARTS 130'!W22+'NW PARTS 230'!W22+'NW PARTS 330'!W22+'NW PARTS 430'!W22</f>
        <v>1119299.9999999998</v>
      </c>
      <c r="X22" s="52">
        <f t="shared" ref="X22" si="17">SUM(X16:X21)</f>
        <v>-245699.99999999997</v>
      </c>
      <c r="Z22" s="52">
        <f>SUM(Z16:Z21)</f>
        <v>0</v>
      </c>
      <c r="AA22" s="52">
        <f t="shared" ref="AA22:AB22" si="18">SUM(AA16:AA21)</f>
        <v>0</v>
      </c>
      <c r="AB22" s="52">
        <f t="shared" si="18"/>
        <v>0</v>
      </c>
      <c r="AD22" s="52">
        <f>SUM(AD16:AD21)</f>
        <v>0</v>
      </c>
      <c r="AE22" s="52">
        <f t="shared" ref="AE22:AF22" si="19">SUM(AE16:AE21)</f>
        <v>0</v>
      </c>
      <c r="AF22" s="52">
        <f t="shared" si="19"/>
        <v>0</v>
      </c>
      <c r="AK22" s="202"/>
      <c r="AL22" s="202"/>
    </row>
    <row r="23" spans="1:38" x14ac:dyDescent="0.25">
      <c r="A23" s="24" t="s">
        <v>60</v>
      </c>
      <c r="B23" s="89">
        <f>-T23</f>
        <v>0</v>
      </c>
      <c r="C23" s="90">
        <f>-X23</f>
        <v>0</v>
      </c>
      <c r="D23" s="100">
        <f>+B23-C23</f>
        <v>0</v>
      </c>
      <c r="E23" s="118">
        <f t="shared" si="4"/>
        <v>0</v>
      </c>
      <c r="F23" s="89"/>
      <c r="G23" s="89"/>
      <c r="H23" s="89"/>
      <c r="I23" s="90">
        <f>SUM(F23:H23)</f>
        <v>0</v>
      </c>
      <c r="J23" s="100">
        <f>+F23-H23</f>
        <v>0</v>
      </c>
      <c r="K23" s="122">
        <f t="shared" si="0"/>
        <v>0</v>
      </c>
      <c r="N23" s="3" t="s">
        <v>60</v>
      </c>
      <c r="T23" s="52">
        <f>'NS PARTS 130'!T23+'NW PARTS 230'!T23+'NW PARTS 330'!T23+'NW PARTS 430'!T23</f>
        <v>0</v>
      </c>
      <c r="V23" s="52"/>
      <c r="W23" s="52"/>
      <c r="X23" s="52">
        <f>'NS PARTS 130'!X23+'NW PARTS 230'!X23+'NW PARTS 330'!X23+'NW PARTS 430'!X23</f>
        <v>0</v>
      </c>
      <c r="AB23" s="52">
        <f>+SUMIF(Export!$I:$I,'PARTS GROUP'!N23,Export!M:M)</f>
        <v>0</v>
      </c>
      <c r="AD23" s="52"/>
      <c r="AE23" s="52"/>
      <c r="AF23" s="52">
        <f>+SUMIF(Export!$I:$I,'PARTS GROUP'!N23,Export!O:O)</f>
        <v>0</v>
      </c>
      <c r="AK23" s="202"/>
      <c r="AL23" s="202"/>
    </row>
    <row r="24" spans="1:38" x14ac:dyDescent="0.25">
      <c r="A24" s="27" t="s">
        <v>1671</v>
      </c>
      <c r="B24" s="91">
        <f>-T22+B23</f>
        <v>200493.95999999988</v>
      </c>
      <c r="C24" s="92">
        <f>-X22+C23</f>
        <v>245699.99999999997</v>
      </c>
      <c r="D24" s="101">
        <f>+B24-C24</f>
        <v>-45206.040000000095</v>
      </c>
      <c r="E24" s="119">
        <f t="shared" si="4"/>
        <v>-0.18398876678876719</v>
      </c>
      <c r="F24" s="91"/>
      <c r="G24" s="91"/>
      <c r="H24" s="91"/>
      <c r="I24" s="92">
        <f>SUM(F24:H24)</f>
        <v>0</v>
      </c>
      <c r="J24" s="101">
        <f>+F24-H24</f>
        <v>0</v>
      </c>
      <c r="K24" s="123">
        <f t="shared" si="0"/>
        <v>0</v>
      </c>
      <c r="V24" s="52"/>
      <c r="W24" s="52"/>
      <c r="X24" s="52"/>
      <c r="AD24" s="52"/>
      <c r="AE24" s="52"/>
      <c r="AF24" s="52"/>
      <c r="AK24" s="202">
        <f>B24-'NS PARTS 130'!B24-'NW PARTS 230'!B24-'NW PARTS 330'!B24-'NW PARTS 430'!B24</f>
        <v>-4.7293724492192268E-11</v>
      </c>
      <c r="AL24" s="202">
        <f>C24-'NS PARTS 130'!C24-'NW PARTS 230'!C24-'NW PARTS 330'!C24-'NW PARTS 430'!C24</f>
        <v>0</v>
      </c>
    </row>
    <row r="25" spans="1:38" x14ac:dyDescent="0.25">
      <c r="A25" s="24" t="s">
        <v>1672</v>
      </c>
      <c r="B25" s="130">
        <f>+B24/-R22</f>
        <v>0.17341795911843821</v>
      </c>
      <c r="C25" s="131">
        <f>+C24/-V22</f>
        <v>0.18000000000000002</v>
      </c>
      <c r="D25" s="128">
        <f t="shared" ref="D25" si="20">+B25-C25</f>
        <v>-6.582040881561807E-3</v>
      </c>
      <c r="E25" s="129">
        <f t="shared" si="4"/>
        <v>-3.6566893786454481E-2</v>
      </c>
      <c r="F25" s="130"/>
      <c r="G25" s="130"/>
      <c r="H25" s="130"/>
      <c r="I25" s="131" t="e">
        <f t="shared" ref="I25:I29" si="21">AVERAGE(F25:H25)</f>
        <v>#DIV/0!</v>
      </c>
      <c r="J25" s="128">
        <f t="shared" ref="J25" si="22">+F25-H25</f>
        <v>0</v>
      </c>
      <c r="K25" s="125">
        <f t="shared" si="0"/>
        <v>0</v>
      </c>
      <c r="V25" s="52"/>
      <c r="W25" s="52"/>
      <c r="X25" s="52"/>
      <c r="AD25" s="52"/>
      <c r="AE25" s="52"/>
      <c r="AF25" s="52"/>
      <c r="AK25" s="202"/>
      <c r="AL25" s="202"/>
    </row>
    <row r="26" spans="1:38" x14ac:dyDescent="0.25">
      <c r="A26" s="24" t="s">
        <v>1255</v>
      </c>
      <c r="B26" s="130">
        <f>IFERROR($T26,0)/-$R$22</f>
        <v>0.11247233846164571</v>
      </c>
      <c r="C26" s="131">
        <f>IFERROR($X26,0)/-$V$22</f>
        <v>9.5760927228327228E-2</v>
      </c>
      <c r="D26" s="128">
        <f>+C26-B26</f>
        <v>-1.6711411233318485E-2</v>
      </c>
      <c r="E26" s="129">
        <f t="shared" si="4"/>
        <v>-0.17451179428821414</v>
      </c>
      <c r="F26" s="130"/>
      <c r="G26" s="130"/>
      <c r="H26" s="130"/>
      <c r="I26" s="131" t="e">
        <f t="shared" si="21"/>
        <v>#DIV/0!</v>
      </c>
      <c r="J26" s="128">
        <f>+H26-F26</f>
        <v>0</v>
      </c>
      <c r="K26" s="125">
        <f t="shared" si="0"/>
        <v>0</v>
      </c>
      <c r="N26" s="3" t="s">
        <v>1255</v>
      </c>
      <c r="T26" s="52">
        <f>'NS PARTS 130'!T26+'NW PARTS 230'!T26+'NW PARTS 330'!T26+'NW PARTS 430'!T26</f>
        <v>130032.81</v>
      </c>
      <c r="V26" s="52"/>
      <c r="W26" s="52"/>
      <c r="X26" s="52">
        <f>'NS PARTS 130'!X26+'NW PARTS 230'!X26+'NW PARTS 330'!X26+'NW PARTS 430'!X26</f>
        <v>130713.66566666664</v>
      </c>
      <c r="AB26" s="52">
        <f>+SUMIF(Export!$I:$I,'PARTS GROUP'!N26,Export!M:M)</f>
        <v>0</v>
      </c>
      <c r="AD26" s="52"/>
      <c r="AE26" s="52"/>
      <c r="AF26" s="52">
        <f>+SUMIF(Export!$I:$I,'PARTS GROUP'!N26,Export!O:O)</f>
        <v>0</v>
      </c>
      <c r="AK26" s="202"/>
      <c r="AL26" s="202"/>
    </row>
    <row r="27" spans="1:38" x14ac:dyDescent="0.25">
      <c r="A27" s="24" t="s">
        <v>1286</v>
      </c>
      <c r="B27" s="130">
        <f>IFERROR($T27,0)/-$R$22</f>
        <v>1.19152365950215E-2</v>
      </c>
      <c r="C27" s="131">
        <f>IFERROR($X27,0)/-$V$22</f>
        <v>0</v>
      </c>
      <c r="D27" s="128">
        <f>+C27-B27</f>
        <v>-1.19152365950215E-2</v>
      </c>
      <c r="E27" s="129">
        <f t="shared" si="4"/>
        <v>0</v>
      </c>
      <c r="F27" s="130"/>
      <c r="G27" s="130"/>
      <c r="H27" s="130"/>
      <c r="I27" s="131" t="e">
        <f t="shared" si="21"/>
        <v>#DIV/0!</v>
      </c>
      <c r="J27" s="128">
        <f>+H27-F27</f>
        <v>0</v>
      </c>
      <c r="K27" s="125">
        <f t="shared" si="0"/>
        <v>0</v>
      </c>
      <c r="N27" s="3" t="s">
        <v>1673</v>
      </c>
      <c r="T27" s="52">
        <f>'NS PARTS 130'!T27+'NW PARTS 230'!T27+'NW PARTS 330'!T27+'NW PARTS 430'!T27</f>
        <v>13775.580000000002</v>
      </c>
      <c r="V27" s="52"/>
      <c r="W27" s="52"/>
      <c r="X27" s="52">
        <f>'NS PARTS 130'!X27+'NW PARTS 230'!X27+'NW PARTS 330'!X27+'NW PARTS 430'!X27</f>
        <v>0</v>
      </c>
      <c r="AB27" s="52">
        <f>+SUMIF(Export!J:J,'PARTS GROUP'!N27,Export!M:M)</f>
        <v>0</v>
      </c>
      <c r="AD27" s="52"/>
      <c r="AE27" s="52"/>
      <c r="AF27" s="52">
        <f>+SUMIF(Export!$J:$J,'PARTS GROUP'!N27,Export!O:O)</f>
        <v>0</v>
      </c>
      <c r="AK27" s="202"/>
      <c r="AL27" s="202"/>
    </row>
    <row r="28" spans="1:38" x14ac:dyDescent="0.25">
      <c r="A28" s="24" t="s">
        <v>1674</v>
      </c>
      <c r="B28" s="132">
        <f>+SUM(B26:B27)</f>
        <v>0.12438757505666721</v>
      </c>
      <c r="C28" s="131">
        <f>+SUM(C26:C27)</f>
        <v>9.5760927228327228E-2</v>
      </c>
      <c r="D28" s="128">
        <f>+C28-B28</f>
        <v>-2.8626647828339985E-2</v>
      </c>
      <c r="E28" s="129">
        <f t="shared" si="4"/>
        <v>-0.2989387076430885</v>
      </c>
      <c r="F28" s="130"/>
      <c r="G28" s="130"/>
      <c r="H28" s="130"/>
      <c r="I28" s="131" t="e">
        <f t="shared" si="21"/>
        <v>#DIV/0!</v>
      </c>
      <c r="J28" s="128">
        <f>+H28-F28</f>
        <v>0</v>
      </c>
      <c r="K28" s="125">
        <f t="shared" si="0"/>
        <v>0</v>
      </c>
      <c r="V28" s="52"/>
      <c r="W28" s="52"/>
      <c r="X28" s="52"/>
      <c r="AD28" s="52"/>
      <c r="AE28" s="52"/>
      <c r="AF28" s="52"/>
      <c r="AK28" s="202"/>
      <c r="AL28" s="202"/>
    </row>
    <row r="29" spans="1:38" x14ac:dyDescent="0.25">
      <c r="A29" s="24" t="s">
        <v>1675</v>
      </c>
      <c r="B29" s="132">
        <f>+B25-B28</f>
        <v>4.9030384061771001E-2</v>
      </c>
      <c r="C29" s="131">
        <f>+C25-C28</f>
        <v>8.4239072771672793E-2</v>
      </c>
      <c r="D29" s="128">
        <f>+B29-C29</f>
        <v>-3.5208688709901792E-2</v>
      </c>
      <c r="E29" s="129">
        <f t="shared" si="4"/>
        <v>-0.41796149401280536</v>
      </c>
      <c r="F29" s="132"/>
      <c r="G29" s="132"/>
      <c r="H29" s="132"/>
      <c r="I29" s="131" t="e">
        <f t="shared" si="21"/>
        <v>#DIV/0!</v>
      </c>
      <c r="J29" s="128">
        <f>+F29-H29</f>
        <v>0</v>
      </c>
      <c r="K29" s="125">
        <f t="shared" si="0"/>
        <v>0</v>
      </c>
      <c r="V29" s="52"/>
      <c r="W29" s="52"/>
      <c r="X29" s="52"/>
      <c r="AD29" s="52"/>
      <c r="AE29" s="52"/>
      <c r="AF29" s="52"/>
      <c r="AK29" s="202"/>
      <c r="AL29" s="202"/>
    </row>
    <row r="30" spans="1:38" s="28" customFormat="1" ht="15.75" thickBot="1" x14ac:dyDescent="0.3">
      <c r="A30" s="29" t="s">
        <v>1676</v>
      </c>
      <c r="B30" s="94">
        <f>-T30</f>
        <v>56685.569999999876</v>
      </c>
      <c r="C30" s="93">
        <f>-X30</f>
        <v>114986.33433333333</v>
      </c>
      <c r="D30" s="108">
        <f>+B30-C30</f>
        <v>-58300.764333333456</v>
      </c>
      <c r="E30" s="120">
        <f t="shared" si="4"/>
        <v>-0.50702341866404443</v>
      </c>
      <c r="F30" s="94"/>
      <c r="G30" s="94"/>
      <c r="H30" s="94"/>
      <c r="I30" s="93">
        <f>SUM(F30:H30)</f>
        <v>0</v>
      </c>
      <c r="J30" s="108">
        <f>+F30-H30</f>
        <v>0</v>
      </c>
      <c r="K30" s="124">
        <f t="shared" si="0"/>
        <v>0</v>
      </c>
      <c r="N30" s="3"/>
      <c r="O30" s="3"/>
      <c r="P30" s="3"/>
      <c r="Q30" s="3"/>
      <c r="R30" s="52"/>
      <c r="S30" s="52"/>
      <c r="T30" s="52">
        <f>+SUM(T22:T29)</f>
        <v>-56685.569999999876</v>
      </c>
      <c r="V30" s="52"/>
      <c r="W30" s="52"/>
      <c r="X30" s="52">
        <f>+SUM(X22:X29)</f>
        <v>-114986.33433333333</v>
      </c>
      <c r="Z30" s="52"/>
      <c r="AA30" s="52"/>
      <c r="AB30" s="52">
        <f>+SUM(AB22:AB29)</f>
        <v>0</v>
      </c>
      <c r="AD30" s="52"/>
      <c r="AE30" s="52"/>
      <c r="AF30" s="52">
        <f>+SUM(AF22:AF29)</f>
        <v>0</v>
      </c>
      <c r="AK30" s="202">
        <f>B30-'NS PARTS 130'!B30-'NW PARTS 230'!B30-'NW PARTS 330'!B30-'NW PARTS 430'!B30</f>
        <v>-4.3655745685100555E-11</v>
      </c>
      <c r="AL30" s="202">
        <f>C30-'NS PARTS 130'!C30-'NW PARTS 230'!C30-'NW PARTS 330'!C30-'NW PARTS 430'!C30</f>
        <v>3.637978807091713E-11</v>
      </c>
    </row>
    <row r="31" spans="1:38" ht="0" hidden="1" customHeight="1" x14ac:dyDescent="0.25">
      <c r="E31" s="121"/>
      <c r="K31" s="121"/>
      <c r="V31" s="52"/>
      <c r="W31" s="52"/>
      <c r="X31" s="52"/>
      <c r="AD31" s="52"/>
      <c r="AE31" s="52"/>
      <c r="AF31" s="52"/>
      <c r="AK31" s="202"/>
      <c r="AL31" s="202"/>
    </row>
    <row r="32" spans="1:38" ht="15.75" thickTop="1" x14ac:dyDescent="0.25">
      <c r="E32" s="121"/>
      <c r="K32" s="121"/>
      <c r="V32" s="52"/>
      <c r="W32" s="52"/>
      <c r="X32" s="52"/>
      <c r="AD32" s="52"/>
      <c r="AE32" s="52"/>
      <c r="AF32" s="52"/>
      <c r="AK32" s="202"/>
      <c r="AL32" s="202"/>
    </row>
    <row r="33" spans="1:38" s="149" customFormat="1" x14ac:dyDescent="0.25">
      <c r="A33" s="10" t="s">
        <v>1677</v>
      </c>
      <c r="B33" s="12">
        <f>'NS PARTS 130'!B33+'NW PARTS 230'!B33+'NW PARTS 330'!B33+'NW PARTS 430'!B33</f>
        <v>10</v>
      </c>
      <c r="C33" s="12">
        <f>'NS PARTS 130'!C33+'NW PARTS 230'!C33+'NW PARTS 330'!C33+'NW PARTS 430'!C33</f>
        <v>13</v>
      </c>
      <c r="D33" s="178"/>
      <c r="F33" s="12"/>
      <c r="G33" s="12"/>
      <c r="H33" s="12"/>
      <c r="I33" s="12" t="e">
        <f>AVERAGE(F33:H33)</f>
        <v>#DIV/0!</v>
      </c>
      <c r="N33" s="3" t="s">
        <v>1678</v>
      </c>
      <c r="O33" s="3" t="s">
        <v>1679</v>
      </c>
      <c r="P33" s="3" t="s">
        <v>1680</v>
      </c>
      <c r="Q33" s="3" t="s">
        <v>1681</v>
      </c>
      <c r="R33" s="3"/>
      <c r="AK33" s="202">
        <f>B33-'NS PARTS 130'!B33-'NW PARTS 230'!B33-'NW PARTS 330'!B33-'NW PARTS 430'!B33</f>
        <v>0</v>
      </c>
      <c r="AL33" s="202">
        <f>C33-'NS PARTS 130'!C33-'NW PARTS 230'!C33-'NW PARTS 330'!C33-'NW PARTS 430'!C33</f>
        <v>0</v>
      </c>
    </row>
    <row r="34" spans="1:38" x14ac:dyDescent="0.25">
      <c r="A34" s="3" t="s">
        <v>1654</v>
      </c>
      <c r="D34" s="195"/>
      <c r="AK34" s="202"/>
      <c r="AL34" s="202"/>
    </row>
    <row r="35" spans="1:38" x14ac:dyDescent="0.25">
      <c r="A35" s="3"/>
      <c r="B35" s="89">
        <f>+SUMIF('TUNZ Extracted TB'!M:M,'PARTS GROUP'!N35,'TUNZ Extracted TB'!H:H)+SUMIF('TUNZ Extracted TB'!M:M,'PARTS GROUP'!O35,'TUNZ Extracted TB'!H:H)</f>
        <v>1435139.75</v>
      </c>
      <c r="F35" s="89"/>
      <c r="G35" s="89"/>
      <c r="H35" s="89"/>
      <c r="N35" s="3" t="s">
        <v>1682</v>
      </c>
      <c r="O35" s="3" t="s">
        <v>1683</v>
      </c>
      <c r="AK35" s="202">
        <f>B35-'NS PARTS 130'!B36-'NW PARTS 230'!B36-'NW PARTS 330'!B36-'NW PARTS 430'!B36</f>
        <v>0</v>
      </c>
      <c r="AL35" s="202">
        <f>C35-'NS PARTS 130'!C36-'NW PARTS 230'!C36-'NW PARTS 330'!C36-'NW PARTS 430'!C36</f>
        <v>0</v>
      </c>
    </row>
    <row r="36" spans="1:38" x14ac:dyDescent="0.25">
      <c r="C36" s="197"/>
    </row>
    <row r="37" spans="1:38" x14ac:dyDescent="0.25">
      <c r="B37" s="195"/>
    </row>
    <row r="38" spans="1:38" x14ac:dyDescent="0.25">
      <c r="A38" s="24" t="s">
        <v>1684</v>
      </c>
      <c r="B38" s="89">
        <f>'NS PARTS 130'!B38+'NW PARTS 230'!B38+'NW PARTS 330'!B38+'NW PARTS 430'!B38</f>
        <v>0</v>
      </c>
      <c r="C38" s="92">
        <f>'NS PARTS 130'!C38+'NW PARTS 230'!C38+'NW PARTS 330'!C38+'NW PARTS 430'!C38</f>
        <v>46875</v>
      </c>
    </row>
    <row r="39" spans="1:38" x14ac:dyDescent="0.25">
      <c r="A39" s="27" t="s">
        <v>1685</v>
      </c>
      <c r="B39" s="91">
        <f>B30-B23+B38</f>
        <v>56685.569999999876</v>
      </c>
      <c r="C39" s="92">
        <f>C30-C23+C38</f>
        <v>161861.33433333333</v>
      </c>
      <c r="F39" s="197"/>
      <c r="G39" s="197"/>
    </row>
    <row r="40" spans="1:38" x14ac:dyDescent="0.25">
      <c r="C40" s="274"/>
    </row>
    <row r="41" spans="1:38" x14ac:dyDescent="0.25">
      <c r="B41" s="268"/>
      <c r="D41" s="268"/>
      <c r="R41" s="308"/>
    </row>
    <row r="42" spans="1:38" x14ac:dyDescent="0.25">
      <c r="B42" s="193"/>
      <c r="C42" s="193"/>
    </row>
    <row r="44" spans="1:38" x14ac:dyDescent="0.25">
      <c r="D44" s="269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73682-B6E1-49C2-865E-2B67C1425BA7}">
  <sheetPr>
    <tabColor theme="9" tint="0.79998168889431442"/>
  </sheetPr>
  <dimension ref="A1:AL48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2" width="10.85546875" style="16" customWidth="1" outlineLevel="1"/>
    <col min="3" max="3" width="11.140625" style="16" customWidth="1" outlineLevel="1"/>
    <col min="4" max="5" width="9.7109375" style="16" customWidth="1" outlineLevel="1"/>
    <col min="6" max="8" width="9.7109375" style="16" customWidth="1"/>
    <col min="9" max="9" width="12" style="16" bestFit="1" customWidth="1"/>
    <col min="10" max="11" width="9.7109375" style="16" hidden="1" customWidth="1"/>
    <col min="12" max="12" width="9.140625" style="16" customWidth="1"/>
    <col min="13" max="13" width="12" style="16" bestFit="1" customWidth="1"/>
    <col min="14" max="14" width="23.42578125" style="3" customWidth="1" outlineLevel="1"/>
    <col min="15" max="17" width="11.7109375" style="3" customWidth="1" outlineLevel="1"/>
    <col min="18" max="20" width="9.140625" style="52" customWidth="1" outlineLevel="1"/>
    <col min="21" max="25" width="9.140625" style="16" customWidth="1" outlineLevel="1"/>
    <col min="26" max="28" width="9.140625" style="52" customWidth="1" outlineLevel="1"/>
    <col min="29" max="36" width="9.140625" style="16" customWidth="1" outlineLevel="1"/>
    <col min="37" max="38" width="12" style="16" bestFit="1" customWidth="1"/>
    <col min="39" max="16384" width="9.140625" style="16"/>
  </cols>
  <sheetData>
    <row r="1" spans="1:38" ht="15" customHeight="1" x14ac:dyDescent="0.25">
      <c r="A1" s="326"/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38" ht="6.6" customHeight="1" thickBot="1" x14ac:dyDescent="0.3"/>
    <row r="3" spans="1:38" ht="15.75" thickTop="1" x14ac:dyDescent="0.25">
      <c r="A3" s="38" t="s">
        <v>1591</v>
      </c>
      <c r="B3" s="350" t="s">
        <v>155</v>
      </c>
      <c r="C3" s="329"/>
      <c r="D3" s="329"/>
      <c r="E3" s="329"/>
      <c r="F3" s="350" t="s">
        <v>1629</v>
      </c>
      <c r="G3" s="350"/>
      <c r="H3" s="329"/>
      <c r="I3" s="329"/>
      <c r="J3" s="329"/>
      <c r="K3" s="345"/>
    </row>
    <row r="4" spans="1:38" x14ac:dyDescent="0.25">
      <c r="A4" s="39" t="s">
        <v>1591</v>
      </c>
      <c r="B4" s="40"/>
      <c r="C4" s="40"/>
      <c r="D4" s="351"/>
      <c r="E4" s="331"/>
      <c r="F4" s="40"/>
      <c r="G4" s="40"/>
      <c r="H4" s="40"/>
      <c r="I4" s="40"/>
      <c r="J4" s="351"/>
      <c r="K4" s="347"/>
    </row>
    <row r="5" spans="1:38" x14ac:dyDescent="0.25">
      <c r="A5" s="39" t="s">
        <v>98</v>
      </c>
      <c r="B5" s="41" t="s">
        <v>12</v>
      </c>
      <c r="C5" s="41" t="s">
        <v>1592</v>
      </c>
      <c r="D5" s="42" t="s">
        <v>1609</v>
      </c>
      <c r="E5" s="42" t="s">
        <v>1610</v>
      </c>
      <c r="F5" s="262" t="str">
        <f>OVERALL!F5</f>
        <v>0124</v>
      </c>
      <c r="G5" s="262" t="str">
        <f>OVERALL!G5</f>
        <v>0224</v>
      </c>
      <c r="H5" s="262" t="str">
        <f>OVERALL!H5</f>
        <v>0324</v>
      </c>
      <c r="I5" s="41" t="str">
        <f>OVERALL!I5</f>
        <v>Q124</v>
      </c>
      <c r="J5" s="42" t="s">
        <v>1609</v>
      </c>
      <c r="K5" s="43" t="s">
        <v>1610</v>
      </c>
    </row>
    <row r="6" spans="1:38" x14ac:dyDescent="0.25">
      <c r="A6" s="24" t="s">
        <v>1122</v>
      </c>
      <c r="B6" s="51">
        <f>+R16/$R$22</f>
        <v>0.22818825630873549</v>
      </c>
      <c r="C6" s="96">
        <f>+V16/$V$22</f>
        <v>0.14875689672201478</v>
      </c>
      <c r="D6" s="109">
        <f>+B6-C6</f>
        <v>7.9431359586720707E-2</v>
      </c>
      <c r="E6" s="118">
        <f>IFERROR(+D6/C6,0)</f>
        <v>0.53396757620694257</v>
      </c>
      <c r="F6" s="51"/>
      <c r="G6" s="51"/>
      <c r="H6" s="51"/>
      <c r="I6" s="96" t="e">
        <f>AVERAGE(F6:H6)</f>
        <v>#DIV/0!</v>
      </c>
      <c r="J6" s="126">
        <f>+F6-H6</f>
        <v>0</v>
      </c>
      <c r="K6" s="122">
        <f t="shared" ref="K6:K30" si="0">IFERROR(+J6/H6,0)</f>
        <v>0</v>
      </c>
      <c r="N6" s="3" t="s">
        <v>1122</v>
      </c>
      <c r="O6" s="3" t="s">
        <v>1201</v>
      </c>
    </row>
    <row r="7" spans="1:38" x14ac:dyDescent="0.25">
      <c r="A7" s="24" t="s">
        <v>1127</v>
      </c>
      <c r="B7" s="51">
        <f t="shared" ref="B7:B11" si="1">+R17/$R$22</f>
        <v>0.53202649418118653</v>
      </c>
      <c r="C7" s="96">
        <f t="shared" ref="C7:C11" si="2">+V17/$V$22</f>
        <v>0.45148656193183806</v>
      </c>
      <c r="D7" s="109">
        <f t="shared" ref="D7:D12" si="3">+B7-C7</f>
        <v>8.0539932249348467E-2</v>
      </c>
      <c r="E7" s="118">
        <f t="shared" ref="E7:E30" si="4">IFERROR(+D7/C7,0)</f>
        <v>0.17838832656442999</v>
      </c>
      <c r="F7" s="51"/>
      <c r="G7" s="51"/>
      <c r="H7" s="51"/>
      <c r="I7" s="96" t="e">
        <f t="shared" ref="I7:I12" si="5">AVERAGE(F7:H7)</f>
        <v>#DIV/0!</v>
      </c>
      <c r="J7" s="126">
        <f t="shared" ref="J7:J12" si="6">+F7-H7</f>
        <v>0</v>
      </c>
      <c r="K7" s="122">
        <f t="shared" si="0"/>
        <v>0</v>
      </c>
    </row>
    <row r="8" spans="1:38" x14ac:dyDescent="0.25">
      <c r="A8" s="24" t="s">
        <v>1132</v>
      </c>
      <c r="B8" s="51">
        <f t="shared" si="1"/>
        <v>0.19370708154515293</v>
      </c>
      <c r="C8" s="96">
        <f t="shared" si="2"/>
        <v>0.20280705101871999</v>
      </c>
      <c r="D8" s="109">
        <f t="shared" si="3"/>
        <v>-9.09996947356706E-3</v>
      </c>
      <c r="E8" s="118">
        <f t="shared" si="4"/>
        <v>-4.4870084288771067E-2</v>
      </c>
      <c r="F8" s="51"/>
      <c r="G8" s="51"/>
      <c r="H8" s="51"/>
      <c r="I8" s="96" t="e">
        <f t="shared" si="5"/>
        <v>#DIV/0!</v>
      </c>
      <c r="J8" s="126">
        <f t="shared" si="6"/>
        <v>0</v>
      </c>
      <c r="K8" s="122">
        <f t="shared" si="0"/>
        <v>0</v>
      </c>
    </row>
    <row r="9" spans="1:38" x14ac:dyDescent="0.25">
      <c r="A9" s="24" t="s">
        <v>1140</v>
      </c>
      <c r="B9" s="51">
        <f t="shared" si="1"/>
        <v>8.5781496037358254E-3</v>
      </c>
      <c r="C9" s="96">
        <f t="shared" si="2"/>
        <v>0.14192253025039717</v>
      </c>
      <c r="D9" s="109">
        <f t="shared" si="3"/>
        <v>-0.13334438064666135</v>
      </c>
      <c r="E9" s="118">
        <f t="shared" si="4"/>
        <v>-0.93955752065157527</v>
      </c>
      <c r="F9" s="51"/>
      <c r="G9" s="51"/>
      <c r="H9" s="51"/>
      <c r="I9" s="96" t="e">
        <f t="shared" si="5"/>
        <v>#DIV/0!</v>
      </c>
      <c r="J9" s="126">
        <f t="shared" si="6"/>
        <v>0</v>
      </c>
      <c r="K9" s="122">
        <f t="shared" si="0"/>
        <v>0</v>
      </c>
    </row>
    <row r="10" spans="1:38" x14ac:dyDescent="0.25">
      <c r="A10" s="24" t="s">
        <v>1145</v>
      </c>
      <c r="B10" s="51">
        <f t="shared" si="1"/>
        <v>3.4724681269145873E-2</v>
      </c>
      <c r="C10" s="96">
        <f t="shared" si="2"/>
        <v>5.5026960077030028E-2</v>
      </c>
      <c r="D10" s="109">
        <f t="shared" si="3"/>
        <v>-2.0302278807884155E-2</v>
      </c>
      <c r="E10" s="118">
        <f t="shared" si="4"/>
        <v>-0.36895148813352241</v>
      </c>
      <c r="F10" s="51"/>
      <c r="G10" s="51"/>
      <c r="H10" s="51"/>
      <c r="I10" s="96" t="e">
        <f t="shared" si="5"/>
        <v>#DIV/0!</v>
      </c>
      <c r="J10" s="126">
        <f t="shared" si="6"/>
        <v>0</v>
      </c>
      <c r="K10" s="122">
        <f t="shared" si="0"/>
        <v>0</v>
      </c>
    </row>
    <row r="11" spans="1:38" x14ac:dyDescent="0.25">
      <c r="A11" s="24" t="s">
        <v>1137</v>
      </c>
      <c r="B11" s="51">
        <f t="shared" si="1"/>
        <v>2.7753370920434624E-3</v>
      </c>
      <c r="C11" s="96">
        <f t="shared" si="2"/>
        <v>0</v>
      </c>
      <c r="D11" s="109">
        <f t="shared" si="3"/>
        <v>2.7753370920434624E-3</v>
      </c>
      <c r="E11" s="118">
        <f t="shared" si="4"/>
        <v>0</v>
      </c>
      <c r="F11" s="51"/>
      <c r="G11" s="51"/>
      <c r="H11" s="51"/>
      <c r="I11" s="96" t="e">
        <f t="shared" si="5"/>
        <v>#DIV/0!</v>
      </c>
      <c r="J11" s="126">
        <f t="shared" si="6"/>
        <v>0</v>
      </c>
      <c r="K11" s="122">
        <f t="shared" si="0"/>
        <v>0</v>
      </c>
    </row>
    <row r="12" spans="1:38" x14ac:dyDescent="0.25">
      <c r="A12" s="24" t="s">
        <v>1666</v>
      </c>
      <c r="B12" s="53">
        <f>SUM(B6:B11)</f>
        <v>1</v>
      </c>
      <c r="C12" s="96">
        <f>SUM(C6:C11)</f>
        <v>1</v>
      </c>
      <c r="D12" s="109">
        <f t="shared" si="3"/>
        <v>0</v>
      </c>
      <c r="E12" s="118">
        <f t="shared" si="4"/>
        <v>0</v>
      </c>
      <c r="F12" s="51"/>
      <c r="G12" s="51"/>
      <c r="H12" s="51"/>
      <c r="I12" s="96" t="e">
        <f t="shared" si="5"/>
        <v>#DIV/0!</v>
      </c>
      <c r="J12" s="126">
        <f t="shared" si="6"/>
        <v>0</v>
      </c>
      <c r="K12" s="122">
        <f t="shared" si="0"/>
        <v>0</v>
      </c>
    </row>
    <row r="13" spans="1:38" s="28" customFormat="1" x14ac:dyDescent="0.25">
      <c r="A13" s="27" t="s">
        <v>1667</v>
      </c>
      <c r="B13" s="91">
        <f>-R22</f>
        <v>605897.56999999995</v>
      </c>
      <c r="C13" s="92">
        <f>-V22</f>
        <v>678862.81413892412</v>
      </c>
      <c r="D13" s="101">
        <f>+B13-C13</f>
        <v>-72965.244138924172</v>
      </c>
      <c r="E13" s="119">
        <f t="shared" si="4"/>
        <v>-0.10748157450850208</v>
      </c>
      <c r="F13" s="91"/>
      <c r="G13" s="91"/>
      <c r="H13" s="91"/>
      <c r="I13" s="92">
        <f>SUM(F13:H13)</f>
        <v>0</v>
      </c>
      <c r="J13" s="101">
        <f>+F13-H13</f>
        <v>0</v>
      </c>
      <c r="K13" s="123">
        <f t="shared" si="0"/>
        <v>0</v>
      </c>
      <c r="M13" s="234"/>
      <c r="N13" s="50"/>
      <c r="O13" s="50"/>
      <c r="P13" s="50"/>
      <c r="Q13" s="50"/>
      <c r="R13" s="170" t="s">
        <v>1641</v>
      </c>
      <c r="S13" s="170" t="s">
        <v>1641</v>
      </c>
      <c r="T13" s="170" t="s">
        <v>1641</v>
      </c>
      <c r="V13" s="170" t="s">
        <v>1641</v>
      </c>
      <c r="W13" s="170" t="s">
        <v>1641</v>
      </c>
      <c r="X13" s="170" t="s">
        <v>1641</v>
      </c>
      <c r="Z13" s="170" t="s">
        <v>156</v>
      </c>
      <c r="AA13" s="170" t="s">
        <v>156</v>
      </c>
      <c r="AB13" s="170" t="s">
        <v>156</v>
      </c>
      <c r="AD13" s="170" t="s">
        <v>156</v>
      </c>
      <c r="AE13" s="170" t="s">
        <v>156</v>
      </c>
      <c r="AF13" s="170" t="s">
        <v>156</v>
      </c>
      <c r="AK13" s="234"/>
      <c r="AL13" s="234"/>
    </row>
    <row r="14" spans="1:38" x14ac:dyDescent="0.25">
      <c r="A14" s="24" t="s">
        <v>1668</v>
      </c>
      <c r="B14" s="89">
        <f>+B13/B33</f>
        <v>121179.514</v>
      </c>
      <c r="C14" s="90">
        <f>+C13/C33</f>
        <v>96980.402019846297</v>
      </c>
      <c r="D14" s="100">
        <f>+B14-C14</f>
        <v>24199.111980153699</v>
      </c>
      <c r="E14" s="118">
        <f t="shared" si="4"/>
        <v>0.24952579568809724</v>
      </c>
      <c r="F14" s="89"/>
      <c r="G14" s="89"/>
      <c r="H14" s="89"/>
      <c r="I14" s="90" t="e">
        <f>AVERAGE(F14,G14,H14)</f>
        <v>#DIV/0!</v>
      </c>
      <c r="J14" s="100">
        <f>+F14-H14</f>
        <v>0</v>
      </c>
      <c r="K14" s="122">
        <f t="shared" si="0"/>
        <v>0</v>
      </c>
      <c r="R14" s="95" t="s">
        <v>12</v>
      </c>
      <c r="S14" s="95" t="s">
        <v>12</v>
      </c>
      <c r="T14" s="95" t="s">
        <v>12</v>
      </c>
      <c r="V14" s="95" t="s">
        <v>1592</v>
      </c>
      <c r="W14" s="95" t="s">
        <v>1592</v>
      </c>
      <c r="X14" s="95" t="s">
        <v>1592</v>
      </c>
      <c r="Z14" s="95" t="s">
        <v>12</v>
      </c>
      <c r="AA14" s="95" t="s">
        <v>12</v>
      </c>
      <c r="AB14" s="95" t="s">
        <v>12</v>
      </c>
      <c r="AD14" s="95" t="s">
        <v>1592</v>
      </c>
      <c r="AE14" s="95" t="s">
        <v>1592</v>
      </c>
      <c r="AF14" s="95" t="s">
        <v>1592</v>
      </c>
    </row>
    <row r="15" spans="1:38" x14ac:dyDescent="0.25">
      <c r="A15" s="24" t="s">
        <v>1669</v>
      </c>
      <c r="B15" s="146">
        <f>+B36/S22*30</f>
        <v>42.830727462536963</v>
      </c>
      <c r="C15" s="147">
        <f>+B36/W22*30</f>
        <v>38.671371970400251</v>
      </c>
      <c r="D15" s="148">
        <f>+C15-B15</f>
        <v>-4.1593554921367115</v>
      </c>
      <c r="E15" s="118">
        <f t="shared" si="4"/>
        <v>-0.10755645016474603</v>
      </c>
      <c r="F15" s="146"/>
      <c r="G15" s="146"/>
      <c r="H15" s="146"/>
      <c r="I15" s="147" t="e">
        <f t="shared" ref="I15:I22" si="7">AVERAGE(F15:H15)</f>
        <v>#DIV/0!</v>
      </c>
      <c r="J15" s="148">
        <f>+H15-F15</f>
        <v>0</v>
      </c>
      <c r="K15" s="122">
        <f t="shared" si="0"/>
        <v>0</v>
      </c>
      <c r="R15" s="3" t="s">
        <v>1642</v>
      </c>
      <c r="S15" s="3" t="s">
        <v>180</v>
      </c>
      <c r="T15" s="3" t="s">
        <v>153</v>
      </c>
      <c r="U15" s="3"/>
      <c r="V15" s="3" t="s">
        <v>1642</v>
      </c>
      <c r="W15" s="3" t="s">
        <v>180</v>
      </c>
      <c r="X15" s="3" t="s">
        <v>153</v>
      </c>
      <c r="Y15" s="3"/>
      <c r="Z15" s="3" t="s">
        <v>1642</v>
      </c>
      <c r="AA15" s="3" t="s">
        <v>180</v>
      </c>
      <c r="AB15" s="3" t="s">
        <v>153</v>
      </c>
      <c r="AC15" s="3"/>
      <c r="AD15" s="3" t="s">
        <v>1642</v>
      </c>
      <c r="AE15" s="3" t="s">
        <v>180</v>
      </c>
      <c r="AF15" s="3" t="s">
        <v>153</v>
      </c>
      <c r="AG15" s="3"/>
      <c r="AH15" s="3"/>
      <c r="AI15" s="3"/>
      <c r="AJ15" s="3"/>
      <c r="AK15" s="3"/>
      <c r="AL15" s="3"/>
    </row>
    <row r="16" spans="1:38" x14ac:dyDescent="0.25">
      <c r="A16" s="24" t="s">
        <v>1201</v>
      </c>
      <c r="B16" s="130">
        <f>IFERROR(+T16/R16,0)</f>
        <v>0.21315604637132804</v>
      </c>
      <c r="C16" s="131">
        <f>+IFERROR(X16/V16,0)</f>
        <v>0.22962071022071923</v>
      </c>
      <c r="D16" s="128">
        <f t="shared" ref="D16:D22" si="8">+B16-C16</f>
        <v>-1.6464663849391187E-2</v>
      </c>
      <c r="E16" s="118">
        <f t="shared" si="4"/>
        <v>-7.1703740631952548E-2</v>
      </c>
      <c r="F16" s="133"/>
      <c r="G16" s="133"/>
      <c r="H16" s="133"/>
      <c r="I16" s="131" t="e">
        <f t="shared" si="7"/>
        <v>#DIV/0!</v>
      </c>
      <c r="J16" s="126">
        <f t="shared" ref="J16:J22" si="9">+F16-H16</f>
        <v>0</v>
      </c>
      <c r="K16" s="122">
        <f t="shared" si="0"/>
        <v>0</v>
      </c>
      <c r="M16" s="162">
        <v>130</v>
      </c>
      <c r="N16" s="3" t="s">
        <v>1122</v>
      </c>
      <c r="O16" s="3" t="s">
        <v>1201</v>
      </c>
      <c r="R16" s="52">
        <f>+SUMIFS(Export!L:L,Export!I:I,N16,Export!E:E,M16)</f>
        <v>-138258.71</v>
      </c>
      <c r="S16" s="52">
        <f>+SUMIFS(Export!L:L,Export!I:I,O16,Export!E:E,M16)</f>
        <v>108788.03</v>
      </c>
      <c r="T16" s="52">
        <f>+SUM(R16:S16)</f>
        <v>-29470.679999999993</v>
      </c>
      <c r="V16" s="52">
        <f>+SUMIFS(Export!N:N,Export!I:I,N16,Export!E:E,M16)</f>
        <v>-100985.52553128025</v>
      </c>
      <c r="W16" s="52">
        <f>+SUMIFS(Export!N:N,Export!I:I,O16,Export!E:E,M16)</f>
        <v>77797.157436775102</v>
      </c>
      <c r="X16" s="52">
        <f>+SUM(V16:W16)</f>
        <v>-23188.368094505146</v>
      </c>
      <c r="Z16" s="52">
        <f>+SUMIF(Export!$I:$I,'NS PARTS 130'!N16,Export!M:M)</f>
        <v>0</v>
      </c>
      <c r="AA16" s="52">
        <f>+SUMIF(Export!$I:$I,'NS PARTS 130'!O16,Export!M:M)</f>
        <v>0</v>
      </c>
      <c r="AB16" s="52">
        <f>+SUM(Z16:AA16)</f>
        <v>0</v>
      </c>
      <c r="AD16" s="52">
        <f>+SUMIF(Export!$I:$I,'NS PARTS 130'!N16,Export!O:O)</f>
        <v>0</v>
      </c>
      <c r="AE16" s="52">
        <f>+SUMIF(Export!$I:$I,'NS PARTS 130'!O16,Export!O:O)</f>
        <v>0</v>
      </c>
      <c r="AF16" s="52">
        <f>+SUM(AD16:AE16)</f>
        <v>0</v>
      </c>
    </row>
    <row r="17" spans="1:32" x14ac:dyDescent="0.25">
      <c r="A17" s="24" t="s">
        <v>1209</v>
      </c>
      <c r="B17" s="130">
        <f t="shared" ref="B17:B22" si="10">IFERROR(+T17/R17,0)</f>
        <v>0.11633366170983174</v>
      </c>
      <c r="C17" s="131">
        <f t="shared" ref="C17:C22" si="11">+IFERROR(X17/V17,0)</f>
        <v>0.14312513771933022</v>
      </c>
      <c r="D17" s="128">
        <f t="shared" si="8"/>
        <v>-2.679147600949848E-2</v>
      </c>
      <c r="E17" s="118">
        <f t="shared" si="4"/>
        <v>-0.18718917191218234</v>
      </c>
      <c r="F17" s="133"/>
      <c r="G17" s="133"/>
      <c r="H17" s="133"/>
      <c r="I17" s="131" t="e">
        <f t="shared" si="7"/>
        <v>#DIV/0!</v>
      </c>
      <c r="J17" s="126">
        <f t="shared" si="9"/>
        <v>0</v>
      </c>
      <c r="K17" s="122">
        <f t="shared" si="0"/>
        <v>0</v>
      </c>
      <c r="M17" s="162">
        <v>130</v>
      </c>
      <c r="N17" s="3" t="s">
        <v>1127</v>
      </c>
      <c r="O17" s="3" t="s">
        <v>1209</v>
      </c>
      <c r="R17" s="52">
        <f>+SUMIFS(Export!L:L,Export!I:I,N17,Export!E:E,M17)</f>
        <v>-322353.56</v>
      </c>
      <c r="S17" s="52">
        <f>+SUMIFS(Export!L:L,Export!I:I,O17,Export!E:E,M17)</f>
        <v>284852.99000000005</v>
      </c>
      <c r="T17" s="52">
        <f t="shared" ref="T17:T21" si="12">+SUM(R17:S17)</f>
        <v>-37500.569999999949</v>
      </c>
      <c r="V17" s="52">
        <f>+SUMIFS(Export!N:N,Export!I:I,N17,Export!E:E,M17)</f>
        <v>-306497.43797895522</v>
      </c>
      <c r="W17" s="52">
        <f>+SUMIFS(Export!N:N,Export!I:I,O17,Export!E:E,M17)</f>
        <v>262629.94995759538</v>
      </c>
      <c r="X17" s="52">
        <f t="shared" ref="X17:X21" si="13">+SUM(V17:W17)</f>
        <v>-43867.488021359837</v>
      </c>
      <c r="Z17" s="52">
        <f>+SUMIF(Export!$I:$I,'NS PARTS 130'!N17,Export!M:M)</f>
        <v>0</v>
      </c>
      <c r="AA17" s="52">
        <f>+SUMIF(Export!$I:$I,'NS PARTS 130'!O17,Export!M:M)</f>
        <v>0</v>
      </c>
      <c r="AB17" s="52">
        <f t="shared" ref="AB17:AB21" si="14">+SUM(Z17:AA17)</f>
        <v>0</v>
      </c>
      <c r="AD17" s="52">
        <f>+SUMIF(Export!$I:$I,'NS PARTS 130'!N17,Export!O:O)</f>
        <v>0</v>
      </c>
      <c r="AE17" s="52">
        <f>+SUMIF(Export!$I:$I,'NS PARTS 130'!O17,Export!O:O)</f>
        <v>0</v>
      </c>
      <c r="AF17" s="52">
        <f t="shared" ref="AF17:AF21" si="15">+SUM(AD17:AE17)</f>
        <v>0</v>
      </c>
    </row>
    <row r="18" spans="1:32" x14ac:dyDescent="0.25">
      <c r="A18" s="24" t="s">
        <v>1216</v>
      </c>
      <c r="B18" s="130">
        <f t="shared" si="10"/>
        <v>0.29376777815503802</v>
      </c>
      <c r="C18" s="131">
        <f t="shared" si="11"/>
        <v>0.29257974437511253</v>
      </c>
      <c r="D18" s="128">
        <f t="shared" si="8"/>
        <v>1.1880337799254903E-3</v>
      </c>
      <c r="E18" s="118">
        <f t="shared" si="4"/>
        <v>4.0605469201665861E-3</v>
      </c>
      <c r="F18" s="133"/>
      <c r="G18" s="133"/>
      <c r="H18" s="133"/>
      <c r="I18" s="131" t="e">
        <f t="shared" si="7"/>
        <v>#DIV/0!</v>
      </c>
      <c r="J18" s="126">
        <f t="shared" si="9"/>
        <v>0</v>
      </c>
      <c r="K18" s="122">
        <f t="shared" si="0"/>
        <v>0</v>
      </c>
      <c r="M18" s="162">
        <v>130</v>
      </c>
      <c r="N18" s="3" t="s">
        <v>1132</v>
      </c>
      <c r="O18" s="3" t="s">
        <v>1216</v>
      </c>
      <c r="R18" s="52">
        <f>+SUMIFS(Export!L:L,Export!I:I,N18,Export!E:E,M18)</f>
        <v>-117366.65</v>
      </c>
      <c r="S18" s="52">
        <f>+SUMIFS(Export!L:L,Export!I:I,O18,Export!E:E,M18)</f>
        <v>82888.11</v>
      </c>
      <c r="T18" s="52">
        <f t="shared" si="12"/>
        <v>-34478.539999999994</v>
      </c>
      <c r="V18" s="52">
        <f>+SUMIFS(Export!N:N,Export!I:I,N18,Export!E:E,M18)</f>
        <v>-137678.16538178461</v>
      </c>
      <c r="W18" s="52">
        <f>+SUMIFS(Export!N:N,Export!I:I,O18,Export!E:E,M18)</f>
        <v>97396.322948347603</v>
      </c>
      <c r="X18" s="52">
        <f t="shared" si="13"/>
        <v>-40281.842433437007</v>
      </c>
      <c r="Z18" s="52">
        <f>+SUMIF(Export!$I:$I,'NS PARTS 130'!N18,Export!M:M)</f>
        <v>0</v>
      </c>
      <c r="AA18" s="52">
        <f>+SUMIF(Export!$I:$I,'NS PARTS 130'!O18,Export!M:M)</f>
        <v>0</v>
      </c>
      <c r="AB18" s="52">
        <f t="shared" si="14"/>
        <v>0</v>
      </c>
      <c r="AD18" s="52">
        <f>+SUMIF(Export!$I:$I,'NS PARTS 130'!N18,Export!O:O)</f>
        <v>0</v>
      </c>
      <c r="AE18" s="52">
        <f>+SUMIF(Export!$I:$I,'NS PARTS 130'!O18,Export!O:O)</f>
        <v>0</v>
      </c>
      <c r="AF18" s="52">
        <f t="shared" si="15"/>
        <v>0</v>
      </c>
    </row>
    <row r="19" spans="1:32" x14ac:dyDescent="0.25">
      <c r="A19" s="24" t="s">
        <v>1225</v>
      </c>
      <c r="B19" s="130">
        <f t="shared" si="10"/>
        <v>-0.51905538838052301</v>
      </c>
      <c r="C19" s="131">
        <f t="shared" si="11"/>
        <v>8.8105791502320688E-2</v>
      </c>
      <c r="D19" s="128">
        <f t="shared" si="8"/>
        <v>-0.60716117988284368</v>
      </c>
      <c r="E19" s="118">
        <f t="shared" si="4"/>
        <v>-6.8912743365667533</v>
      </c>
      <c r="F19" s="133"/>
      <c r="G19" s="133"/>
      <c r="H19" s="133"/>
      <c r="I19" s="131" t="e">
        <f t="shared" si="7"/>
        <v>#DIV/0!</v>
      </c>
      <c r="J19" s="126">
        <f t="shared" si="9"/>
        <v>0</v>
      </c>
      <c r="K19" s="122">
        <f t="shared" si="0"/>
        <v>0</v>
      </c>
      <c r="M19" s="162">
        <v>130</v>
      </c>
      <c r="N19" s="3" t="s">
        <v>1140</v>
      </c>
      <c r="O19" s="3" t="s">
        <v>1225</v>
      </c>
      <c r="R19" s="52">
        <f>+SUMIFS(Export!L:L,Export!I:I,N19,Export!E:E,M19)</f>
        <v>-5197.4799999999996</v>
      </c>
      <c r="S19" s="52">
        <f>+SUMIFS(Export!L:L,Export!I:I,O19,Export!E:E,M19)</f>
        <v>7895.26</v>
      </c>
      <c r="T19" s="52">
        <f t="shared" si="12"/>
        <v>2697.7800000000007</v>
      </c>
      <c r="V19" s="52">
        <f>+SUMIFS(Export!N:N,Export!I:I,N19,Export!E:E,M19)</f>
        <v>-96345.92827550121</v>
      </c>
      <c r="W19" s="52">
        <f>+SUMIFS(Export!N:N,Export!I:I,O19,Export!E:E,M19)</f>
        <v>87857.294006762357</v>
      </c>
      <c r="X19" s="52">
        <f t="shared" si="13"/>
        <v>-8488.6342687388533</v>
      </c>
      <c r="Z19" s="52">
        <f>+SUMIF(Export!$I:$I,'NS PARTS 130'!N19,Export!M:M)</f>
        <v>0</v>
      </c>
      <c r="AA19" s="52">
        <f>+SUMIF(Export!$I:$I,'NS PARTS 130'!O19,Export!M:M)</f>
        <v>0</v>
      </c>
      <c r="AB19" s="52">
        <f t="shared" si="14"/>
        <v>0</v>
      </c>
      <c r="AD19" s="52">
        <f>+SUMIF(Export!$I:$I,'NS PARTS 130'!N19,Export!O:O)</f>
        <v>0</v>
      </c>
      <c r="AE19" s="52">
        <f>+SUMIF(Export!$I:$I,'NS PARTS 130'!O19,Export!O:O)</f>
        <v>0</v>
      </c>
      <c r="AF19" s="52">
        <f t="shared" si="15"/>
        <v>0</v>
      </c>
    </row>
    <row r="20" spans="1:32" x14ac:dyDescent="0.25">
      <c r="A20" s="24" t="s">
        <v>1230</v>
      </c>
      <c r="B20" s="130">
        <f t="shared" si="10"/>
        <v>0.1798988573927261</v>
      </c>
      <c r="C20" s="131">
        <f t="shared" si="11"/>
        <v>0.17049510552928171</v>
      </c>
      <c r="D20" s="128">
        <f t="shared" si="8"/>
        <v>9.4037518634443873E-3</v>
      </c>
      <c r="E20" s="118">
        <f t="shared" si="4"/>
        <v>5.515555320049547E-2</v>
      </c>
      <c r="F20" s="133"/>
      <c r="G20" s="133"/>
      <c r="H20" s="133"/>
      <c r="I20" s="131" t="e">
        <f t="shared" si="7"/>
        <v>#DIV/0!</v>
      </c>
      <c r="J20" s="126">
        <f t="shared" si="9"/>
        <v>0</v>
      </c>
      <c r="K20" s="122">
        <f t="shared" si="0"/>
        <v>0</v>
      </c>
      <c r="M20" s="162">
        <v>130</v>
      </c>
      <c r="N20" s="3" t="s">
        <v>1145</v>
      </c>
      <c r="O20" s="3" t="s">
        <v>1230</v>
      </c>
      <c r="R20" s="52">
        <f>+SUMIFS(Export!L:L,Export!I:I,N20,Export!E:E,M20)</f>
        <v>-21039.599999999999</v>
      </c>
      <c r="S20" s="52">
        <f>+SUMIFS(Export!L:L,Export!I:I,O20,Export!E:E,M20)</f>
        <v>17254.599999999999</v>
      </c>
      <c r="T20" s="52">
        <f t="shared" si="12"/>
        <v>-3785</v>
      </c>
      <c r="V20" s="52">
        <f>+SUMIFS(Export!N:N,Export!I:I,N20,Export!E:E,M20)</f>
        <v>-37355.756971402836</v>
      </c>
      <c r="W20" s="52">
        <f>+SUMIFS(Export!N:N,Export!I:I,O20,Export!E:E,M20)</f>
        <v>30986.783244437309</v>
      </c>
      <c r="X20" s="52">
        <f t="shared" si="13"/>
        <v>-6368.973726965527</v>
      </c>
      <c r="Z20" s="52">
        <f>+SUMIF(Export!$I:$I,'NS PARTS 130'!N20,Export!M:M)</f>
        <v>0</v>
      </c>
      <c r="AA20" s="52">
        <f>+SUMIF(Export!$I:$I,'NS PARTS 130'!O20,Export!M:M)</f>
        <v>0</v>
      </c>
      <c r="AB20" s="52">
        <f t="shared" si="14"/>
        <v>0</v>
      </c>
      <c r="AD20" s="52">
        <f>+SUMIF(Export!$I:$I,'NS PARTS 130'!N20,Export!O:O)</f>
        <v>0</v>
      </c>
      <c r="AE20" s="52">
        <f>+SUMIF(Export!$I:$I,'NS PARTS 130'!O20,Export!O:O)</f>
        <v>0</v>
      </c>
      <c r="AF20" s="52">
        <f t="shared" si="15"/>
        <v>0</v>
      </c>
    </row>
    <row r="21" spans="1:32" x14ac:dyDescent="0.25">
      <c r="A21" s="24" t="s">
        <v>1222</v>
      </c>
      <c r="B21" s="130">
        <f>IFERROR(+T21/R21,0)</f>
        <v>0.44711787198867725</v>
      </c>
      <c r="C21" s="131">
        <f t="shared" si="11"/>
        <v>0</v>
      </c>
      <c r="D21" s="128">
        <f t="shared" si="8"/>
        <v>0.44711787198867725</v>
      </c>
      <c r="E21" s="118">
        <f t="shared" si="4"/>
        <v>0</v>
      </c>
      <c r="F21" s="133"/>
      <c r="G21" s="133"/>
      <c r="H21" s="133"/>
      <c r="I21" s="131" t="e">
        <f t="shared" si="7"/>
        <v>#DIV/0!</v>
      </c>
      <c r="J21" s="126">
        <f t="shared" si="9"/>
        <v>0</v>
      </c>
      <c r="K21" s="122">
        <f t="shared" si="0"/>
        <v>0</v>
      </c>
      <c r="M21" s="162">
        <v>130</v>
      </c>
      <c r="N21" s="3" t="s">
        <v>1137</v>
      </c>
      <c r="O21" s="3" t="s">
        <v>1222</v>
      </c>
      <c r="R21" s="52">
        <f>+SUMIFS(Export!L:L,Export!I:I,N21,Export!E:E,M21)</f>
        <v>-1681.57</v>
      </c>
      <c r="S21" s="52">
        <f>+SUMIFS(Export!L:L,Export!I:I,O21,Export!E:E,M21)</f>
        <v>929.70999999999992</v>
      </c>
      <c r="T21" s="52">
        <f t="shared" si="12"/>
        <v>-751.86</v>
      </c>
      <c r="V21" s="52">
        <f>+SUMIFS(Export!N:N,Export!I:I,N21,Export!E:E,M21)</f>
        <v>0</v>
      </c>
      <c r="W21" s="52">
        <f>+SUMIFS(Export!N:N,Export!I:I,O21,Export!E:E,M21)</f>
        <v>0</v>
      </c>
      <c r="X21" s="52">
        <f t="shared" si="13"/>
        <v>0</v>
      </c>
      <c r="Z21" s="52">
        <f>+SUMIF(Export!$I:$I,'NS PARTS 130'!N21,Export!M:M)</f>
        <v>0</v>
      </c>
      <c r="AA21" s="52">
        <f>+SUMIF(Export!$I:$I,'NS PARTS 130'!O21,Export!M:M)</f>
        <v>0</v>
      </c>
      <c r="AB21" s="52">
        <f t="shared" si="14"/>
        <v>0</v>
      </c>
      <c r="AD21" s="52">
        <f>+SUMIF(Export!$I:$I,'NS PARTS 130'!N21,Export!O:O)</f>
        <v>0</v>
      </c>
      <c r="AE21" s="52">
        <f>+SUMIF(Export!$I:$I,'NS PARTS 130'!O21,Export!O:O)</f>
        <v>0</v>
      </c>
      <c r="AF21" s="52">
        <f t="shared" si="15"/>
        <v>0</v>
      </c>
    </row>
    <row r="22" spans="1:32" x14ac:dyDescent="0.25">
      <c r="A22" s="24" t="s">
        <v>1670</v>
      </c>
      <c r="B22" s="130">
        <f t="shared" si="10"/>
        <v>0.1704724942204339</v>
      </c>
      <c r="C22" s="131">
        <f t="shared" si="11"/>
        <v>0.18000000000000005</v>
      </c>
      <c r="D22" s="128">
        <f t="shared" si="8"/>
        <v>-9.5275057795661533E-3</v>
      </c>
      <c r="E22" s="118">
        <f t="shared" si="4"/>
        <v>-5.2930587664256394E-2</v>
      </c>
      <c r="F22" s="133"/>
      <c r="G22" s="133"/>
      <c r="H22" s="133"/>
      <c r="I22" s="131" t="e">
        <f t="shared" si="7"/>
        <v>#DIV/0!</v>
      </c>
      <c r="J22" s="126">
        <f t="shared" si="9"/>
        <v>0</v>
      </c>
      <c r="K22" s="122">
        <f t="shared" si="0"/>
        <v>0</v>
      </c>
      <c r="R22" s="52">
        <f>SUM(R16:R21)</f>
        <v>-605897.56999999995</v>
      </c>
      <c r="S22" s="52">
        <f t="shared" ref="S22" si="16">SUM(S16:S21)</f>
        <v>502608.7</v>
      </c>
      <c r="T22" s="52">
        <f>SUM(T16:T21)</f>
        <v>-103288.86999999994</v>
      </c>
      <c r="V22" s="52">
        <f>SUM(V16:V21)</f>
        <v>-678862.81413892412</v>
      </c>
      <c r="W22" s="52">
        <f t="shared" ref="W22:X22" si="17">SUM(W16:W21)</f>
        <v>556667.50759391778</v>
      </c>
      <c r="X22" s="52">
        <f t="shared" si="17"/>
        <v>-122195.30654500637</v>
      </c>
      <c r="Z22" s="52">
        <f>SUM(Z16:Z21)</f>
        <v>0</v>
      </c>
      <c r="AA22" s="52">
        <f t="shared" ref="AA22:AB22" si="18">SUM(AA16:AA21)</f>
        <v>0</v>
      </c>
      <c r="AB22" s="52">
        <f t="shared" si="18"/>
        <v>0</v>
      </c>
      <c r="AD22" s="52">
        <f>SUM(AD16:AD21)</f>
        <v>0</v>
      </c>
      <c r="AE22" s="52">
        <f t="shared" ref="AE22:AF22" si="19">SUM(AE16:AE21)</f>
        <v>0</v>
      </c>
      <c r="AF22" s="52">
        <f t="shared" si="19"/>
        <v>0</v>
      </c>
    </row>
    <row r="23" spans="1:32" x14ac:dyDescent="0.25">
      <c r="A23" s="24" t="s">
        <v>60</v>
      </c>
      <c r="B23" s="89">
        <f>-T23</f>
        <v>0</v>
      </c>
      <c r="C23" s="90">
        <f>-X23</f>
        <v>0</v>
      </c>
      <c r="D23" s="100">
        <f>+B23-C23</f>
        <v>0</v>
      </c>
      <c r="E23" s="118">
        <f t="shared" si="4"/>
        <v>0</v>
      </c>
      <c r="F23" s="89"/>
      <c r="G23" s="89"/>
      <c r="H23" s="89"/>
      <c r="I23" s="90">
        <f>SUM(F23:H23)</f>
        <v>0</v>
      </c>
      <c r="J23" s="100">
        <f>+F23-H23</f>
        <v>0</v>
      </c>
      <c r="K23" s="122">
        <f t="shared" si="0"/>
        <v>0</v>
      </c>
      <c r="L23" s="162">
        <v>140</v>
      </c>
      <c r="M23" s="162">
        <v>130</v>
      </c>
      <c r="N23" s="3" t="s">
        <v>60</v>
      </c>
      <c r="T23" s="52">
        <f>+SUMIFS(Export!L:L,Export!I:I,N23,Export!E:E,M23)+SUMIFS(Export!L:L,Export!I:I,N23,Export!E:E,L23)</f>
        <v>0</v>
      </c>
      <c r="V23" s="52"/>
      <c r="W23" s="52"/>
      <c r="X23" s="52">
        <f>+SUMIFS(Export!N:N,Export!I:I,N23,Export!E:E,L23)+SUMIFS(Export!N:N,Export!I:I,N23,Export!E:E,M23)</f>
        <v>0</v>
      </c>
      <c r="AB23" s="52">
        <f>+SUMIF(Export!$I:$I,'NS PARTS 130'!N23,Export!M:M)</f>
        <v>0</v>
      </c>
      <c r="AD23" s="52"/>
      <c r="AE23" s="52"/>
      <c r="AF23" s="52">
        <f>+SUMIF(Export!$I:$I,'NS PARTS 130'!N23,Export!O:O)</f>
        <v>0</v>
      </c>
    </row>
    <row r="24" spans="1:32" x14ac:dyDescent="0.25">
      <c r="A24" s="27" t="s">
        <v>1671</v>
      </c>
      <c r="B24" s="91">
        <f>-T22+B23</f>
        <v>103288.86999999994</v>
      </c>
      <c r="C24" s="92">
        <f>-X22+C23</f>
        <v>122195.30654500637</v>
      </c>
      <c r="D24" s="101">
        <f>+B24-C24</f>
        <v>-18906.436545006436</v>
      </c>
      <c r="E24" s="119">
        <f t="shared" si="4"/>
        <v>-0.15472309927094385</v>
      </c>
      <c r="F24" s="91"/>
      <c r="G24" s="91"/>
      <c r="H24" s="91"/>
      <c r="I24" s="92">
        <f>SUM(F24:H24)</f>
        <v>0</v>
      </c>
      <c r="J24" s="101">
        <f>+F24-H24</f>
        <v>0</v>
      </c>
      <c r="K24" s="123">
        <f t="shared" si="0"/>
        <v>0</v>
      </c>
      <c r="V24" s="52"/>
      <c r="W24" s="52"/>
      <c r="X24" s="52"/>
      <c r="AD24" s="52"/>
      <c r="AE24" s="52"/>
      <c r="AF24" s="52"/>
    </row>
    <row r="25" spans="1:32" x14ac:dyDescent="0.25">
      <c r="A25" s="24" t="s">
        <v>1672</v>
      </c>
      <c r="B25" s="130">
        <f>+B24/B13</f>
        <v>0.1704724942204339</v>
      </c>
      <c r="C25" s="131">
        <f>+C24/C13</f>
        <v>0.18000000000000005</v>
      </c>
      <c r="D25" s="128">
        <f t="shared" ref="D25" si="20">+B25-C25</f>
        <v>-9.5275057795661533E-3</v>
      </c>
      <c r="E25" s="129">
        <f t="shared" si="4"/>
        <v>-5.2930587664256394E-2</v>
      </c>
      <c r="F25" s="130"/>
      <c r="G25" s="130"/>
      <c r="H25" s="130"/>
      <c r="I25" s="131" t="e">
        <f t="shared" ref="I25:I29" si="21">AVERAGE(F25:H25)</f>
        <v>#DIV/0!</v>
      </c>
      <c r="J25" s="128">
        <f t="shared" ref="J25" si="22">+F25-H25</f>
        <v>0</v>
      </c>
      <c r="K25" s="125">
        <f t="shared" si="0"/>
        <v>0</v>
      </c>
      <c r="V25" s="52"/>
      <c r="W25" s="52"/>
      <c r="X25" s="52"/>
      <c r="AD25" s="52"/>
      <c r="AE25" s="52"/>
      <c r="AF25" s="52"/>
    </row>
    <row r="26" spans="1:32" x14ac:dyDescent="0.25">
      <c r="A26" s="24" t="s">
        <v>1255</v>
      </c>
      <c r="B26" s="130">
        <f>IFERROR(SUMIFS(Export!L:L,Export!I:I,N26,Export!E:E,M26),0)/$B$13</f>
        <v>0.10561674640814289</v>
      </c>
      <c r="C26" s="131">
        <f>IFERROR(SUMIFS(Export!N:N,Export!I:I,N26,Export!E:E,M26),0)/$C$13</f>
        <v>9.5760927228327228E-2</v>
      </c>
      <c r="D26" s="128">
        <f>+C26-B26</f>
        <v>-9.8558191798156641E-3</v>
      </c>
      <c r="E26" s="129">
        <f t="shared" si="4"/>
        <v>-0.10292109177593881</v>
      </c>
      <c r="F26" s="130"/>
      <c r="G26" s="130"/>
      <c r="H26" s="130"/>
      <c r="I26" s="131" t="e">
        <f t="shared" si="21"/>
        <v>#DIV/0!</v>
      </c>
      <c r="J26" s="128">
        <f>+H26-F26</f>
        <v>0</v>
      </c>
      <c r="K26" s="125">
        <f t="shared" si="0"/>
        <v>0</v>
      </c>
      <c r="M26" s="162">
        <v>130</v>
      </c>
      <c r="N26" s="3" t="s">
        <v>1255</v>
      </c>
      <c r="T26" s="52">
        <f>+SUMIFS(Export!L:L,Export!I:I,N26,Export!E:E,M26)</f>
        <v>63992.93</v>
      </c>
      <c r="V26" s="52"/>
      <c r="W26" s="52"/>
      <c r="X26" s="52">
        <f>+SUMIFS(Export!N:N,Export!I:I,N26,Export!E:E,M26)</f>
        <v>65008.532542774941</v>
      </c>
      <c r="AB26" s="52">
        <f>+SUMIF(Export!$I:$I,'NS PARTS 130'!N26,Export!M:M)</f>
        <v>0</v>
      </c>
      <c r="AD26" s="52"/>
      <c r="AE26" s="52"/>
      <c r="AF26" s="52">
        <f>+SUMIF(Export!$I:$I,'NS PARTS 130'!N26,Export!O:O)</f>
        <v>0</v>
      </c>
    </row>
    <row r="27" spans="1:32" x14ac:dyDescent="0.25">
      <c r="A27" s="24" t="s">
        <v>1286</v>
      </c>
      <c r="B27" s="130">
        <f>IFERROR(SUMIFS(Export!L:L,Export!I:I,N27,Export!E:E,M27),0)/$B$13</f>
        <v>1.5372218772885988E-2</v>
      </c>
      <c r="C27" s="131">
        <f>IFERROR(SUMIFS(Export!N:N,Export!I:I,N27,Export!E:E,M27),0)/$C$13</f>
        <v>0</v>
      </c>
      <c r="D27" s="128">
        <f>+C27-B27</f>
        <v>-1.5372218772885988E-2</v>
      </c>
      <c r="E27" s="129">
        <f t="shared" si="4"/>
        <v>0</v>
      </c>
      <c r="F27" s="130"/>
      <c r="G27" s="130"/>
      <c r="H27" s="130"/>
      <c r="I27" s="131" t="e">
        <f t="shared" si="21"/>
        <v>#DIV/0!</v>
      </c>
      <c r="J27" s="128">
        <f>+H27-F27</f>
        <v>0</v>
      </c>
      <c r="K27" s="125">
        <f t="shared" si="0"/>
        <v>0</v>
      </c>
      <c r="M27" s="162">
        <v>130</v>
      </c>
      <c r="N27" s="3" t="s">
        <v>1286</v>
      </c>
      <c r="T27" s="52">
        <f>+SUMIFS(Export!L:L,Export!I:I,N27,Export!E:E,M27)</f>
        <v>9313.9900000000016</v>
      </c>
      <c r="V27" s="52"/>
      <c r="W27" s="52"/>
      <c r="X27" s="52">
        <f>+SUMIFS(Export!N:N,Export!I:I,N27,Export!E:E,M27)</f>
        <v>0</v>
      </c>
      <c r="AB27" s="52">
        <f>+SUMIF(Export!J:J,'NS PARTS 130'!N27,Export!M:M)</f>
        <v>0</v>
      </c>
      <c r="AD27" s="52"/>
      <c r="AE27" s="52"/>
      <c r="AF27" s="52">
        <f>+SUMIF(Export!$J:$J,'NS PARTS 130'!N27,Export!O:O)</f>
        <v>0</v>
      </c>
    </row>
    <row r="28" spans="1:32" x14ac:dyDescent="0.25">
      <c r="A28" s="24" t="s">
        <v>1674</v>
      </c>
      <c r="B28" s="132">
        <f>+SUM(B26:B27)</f>
        <v>0.12098896518102888</v>
      </c>
      <c r="C28" s="131">
        <f>+SUM(C26:C27)</f>
        <v>9.5760927228327228E-2</v>
      </c>
      <c r="D28" s="128">
        <f>+C28-B28</f>
        <v>-2.5228037952701649E-2</v>
      </c>
      <c r="E28" s="129">
        <f t="shared" si="4"/>
        <v>-0.26344813780415122</v>
      </c>
      <c r="F28" s="130"/>
      <c r="G28" s="130"/>
      <c r="H28" s="130"/>
      <c r="I28" s="131" t="e">
        <f t="shared" si="21"/>
        <v>#DIV/0!</v>
      </c>
      <c r="J28" s="128">
        <f>+H28-F28</f>
        <v>0</v>
      </c>
      <c r="K28" s="125">
        <f t="shared" si="0"/>
        <v>0</v>
      </c>
      <c r="V28" s="52"/>
      <c r="W28" s="52"/>
      <c r="X28" s="52"/>
      <c r="AD28" s="52"/>
      <c r="AE28" s="52"/>
      <c r="AF28" s="52"/>
    </row>
    <row r="29" spans="1:32" x14ac:dyDescent="0.25">
      <c r="A29" s="24" t="s">
        <v>1675</v>
      </c>
      <c r="B29" s="132">
        <f>+B25-B28</f>
        <v>4.9483529039405019E-2</v>
      </c>
      <c r="C29" s="131">
        <f>+C25-C28</f>
        <v>8.4239072771672821E-2</v>
      </c>
      <c r="D29" s="128">
        <f>+B29-C29</f>
        <v>-3.4755543732267802E-2</v>
      </c>
      <c r="E29" s="129">
        <f t="shared" si="4"/>
        <v>-0.41258222091868862</v>
      </c>
      <c r="F29" s="132"/>
      <c r="G29" s="132"/>
      <c r="H29" s="132"/>
      <c r="I29" s="131" t="e">
        <f t="shared" si="21"/>
        <v>#DIV/0!</v>
      </c>
      <c r="J29" s="128">
        <f>+F29-H29</f>
        <v>0</v>
      </c>
      <c r="K29" s="125">
        <f t="shared" si="0"/>
        <v>0</v>
      </c>
      <c r="V29" s="52"/>
      <c r="W29" s="52"/>
      <c r="X29" s="52"/>
      <c r="AD29" s="52"/>
      <c r="AE29" s="52"/>
      <c r="AF29" s="52"/>
    </row>
    <row r="30" spans="1:32" s="28" customFormat="1" ht="15.75" thickBot="1" x14ac:dyDescent="0.3">
      <c r="A30" s="29" t="s">
        <v>1676</v>
      </c>
      <c r="B30" s="94">
        <f>-T30</f>
        <v>29981.949999999935</v>
      </c>
      <c r="C30" s="93">
        <f>-X30</f>
        <v>57186.774002231432</v>
      </c>
      <c r="D30" s="108">
        <f>+B30-C30</f>
        <v>-27204.824002231497</v>
      </c>
      <c r="E30" s="120">
        <f t="shared" si="4"/>
        <v>-0.47571880870863537</v>
      </c>
      <c r="F30" s="94"/>
      <c r="G30" s="94"/>
      <c r="H30" s="94"/>
      <c r="I30" s="93">
        <f>SUM(F30:H30)</f>
        <v>0</v>
      </c>
      <c r="J30" s="108">
        <f>+F30-H30</f>
        <v>0</v>
      </c>
      <c r="K30" s="124">
        <f t="shared" si="0"/>
        <v>0</v>
      </c>
      <c r="N30" s="3"/>
      <c r="O30" s="3"/>
      <c r="P30" s="3"/>
      <c r="Q30" s="3"/>
      <c r="R30" s="52"/>
      <c r="S30" s="52"/>
      <c r="T30" s="52">
        <f>+SUM(T22:T29)</f>
        <v>-29981.949999999935</v>
      </c>
      <c r="V30" s="52"/>
      <c r="W30" s="52"/>
      <c r="X30" s="52">
        <f>+SUM(X22:X29)</f>
        <v>-57186.774002231432</v>
      </c>
      <c r="Z30" s="52"/>
      <c r="AA30" s="52"/>
      <c r="AB30" s="52">
        <f>+SUM(AB22:AB29)</f>
        <v>0</v>
      </c>
      <c r="AD30" s="52"/>
      <c r="AE30" s="52"/>
      <c r="AF30" s="52">
        <f>+SUM(AF22:AF29)</f>
        <v>0</v>
      </c>
    </row>
    <row r="31" spans="1:32" ht="15.75" hidden="1" customHeight="1" thickTop="1" x14ac:dyDescent="0.25">
      <c r="E31" s="121"/>
      <c r="K31" s="121"/>
      <c r="V31" s="52"/>
      <c r="W31" s="52"/>
      <c r="X31" s="52"/>
      <c r="AD31" s="52"/>
      <c r="AE31" s="52"/>
      <c r="AF31" s="52"/>
    </row>
    <row r="32" spans="1:32" ht="15.75" thickTop="1" x14ac:dyDescent="0.25">
      <c r="E32" s="121"/>
      <c r="K32" s="121"/>
      <c r="V32" s="52"/>
      <c r="W32" s="52"/>
      <c r="X32" s="52"/>
      <c r="AD32" s="52"/>
      <c r="AE32" s="52"/>
      <c r="AF32" s="52"/>
    </row>
    <row r="33" spans="1:23" s="149" customFormat="1" x14ac:dyDescent="0.25">
      <c r="A33" s="10" t="s">
        <v>1677</v>
      </c>
      <c r="B33" s="12">
        <f>+SUMIF('TUNZ Extracted TB'!M:M,'NS PARTS 130'!N33,'TUNZ Extracted TB'!H:H)</f>
        <v>5</v>
      </c>
      <c r="C33" s="12">
        <f>HLOOKUP(J1,'Input Sheet'!1:1048576,42,FALSE)</f>
        <v>7</v>
      </c>
      <c r="F33" s="12"/>
      <c r="G33" s="12"/>
      <c r="H33" s="12"/>
      <c r="I33" s="12" t="e">
        <f>AVERAGE(F33:H33)</f>
        <v>#DIV/0!</v>
      </c>
      <c r="N33" s="3" t="s">
        <v>1678</v>
      </c>
      <c r="O33" s="3" t="s">
        <v>1679</v>
      </c>
      <c r="P33" s="3" t="s">
        <v>1680</v>
      </c>
      <c r="Q33" s="3" t="s">
        <v>1681</v>
      </c>
      <c r="R33" s="3"/>
    </row>
    <row r="34" spans="1:23" hidden="1" x14ac:dyDescent="0.25">
      <c r="B34" s="197"/>
    </row>
    <row r="35" spans="1:23" x14ac:dyDescent="0.25">
      <c r="A35" s="3" t="s">
        <v>1654</v>
      </c>
    </row>
    <row r="36" spans="1:23" x14ac:dyDescent="0.25">
      <c r="A36" s="3"/>
      <c r="B36" s="89">
        <f>(+SUMIF('TUNZ Extracted TB'!M:M,'NS PARTS 130'!N36,'TUNZ Extracted TB'!H:H)+SUMIF('TUNZ Extracted TB'!M:M,'NS PARTS 130'!O36,'TUNZ Extracted TB'!H:H))*$B$33/'PARTS GROUP'!$B$33</f>
        <v>717569.875</v>
      </c>
      <c r="F36" s="89"/>
      <c r="G36" s="89"/>
      <c r="H36" s="89"/>
      <c r="I36" s="283"/>
      <c r="N36" s="3" t="s">
        <v>1682</v>
      </c>
      <c r="O36" s="3" t="s">
        <v>1683</v>
      </c>
    </row>
    <row r="38" spans="1:23" x14ac:dyDescent="0.25">
      <c r="A38" s="24" t="s">
        <v>1684</v>
      </c>
      <c r="B38" s="89">
        <f>-SUMIF(Export!$P:$P,$N$38,Export!$L:$L)</f>
        <v>0</v>
      </c>
      <c r="C38" s="92">
        <f>-'Input Sheet'!W170</f>
        <v>18750</v>
      </c>
      <c r="N38" s="3" t="s">
        <v>1686</v>
      </c>
    </row>
    <row r="39" spans="1:23" x14ac:dyDescent="0.25">
      <c r="A39" s="27" t="s">
        <v>1685</v>
      </c>
      <c r="B39" s="91">
        <f>B30-B23+B38</f>
        <v>29981.949999999935</v>
      </c>
      <c r="C39" s="92">
        <f>C30-C23+C38</f>
        <v>75936.774002231425</v>
      </c>
    </row>
    <row r="40" spans="1:23" x14ac:dyDescent="0.25">
      <c r="B40" s="193"/>
      <c r="C40" s="193"/>
    </row>
    <row r="41" spans="1:23" x14ac:dyDescent="0.25">
      <c r="B41" s="193"/>
      <c r="C41" s="193"/>
    </row>
    <row r="42" spans="1:23" x14ac:dyDescent="0.25">
      <c r="C42" s="193"/>
      <c r="I42" s="290"/>
    </row>
    <row r="43" spans="1:23" x14ac:dyDescent="0.25">
      <c r="B43" s="193"/>
      <c r="C43" s="193"/>
    </row>
    <row r="44" spans="1:23" x14ac:dyDescent="0.25">
      <c r="B44" s="193"/>
      <c r="C44" s="193"/>
    </row>
    <row r="45" spans="1:23" x14ac:dyDescent="0.25">
      <c r="B45" s="193"/>
      <c r="C45" s="193"/>
      <c r="I45" s="290"/>
    </row>
    <row r="46" spans="1:23" x14ac:dyDescent="0.25">
      <c r="W46" s="16">
        <v>115474.31</v>
      </c>
    </row>
    <row r="47" spans="1:23" x14ac:dyDescent="0.25">
      <c r="C47" s="291"/>
      <c r="W47" s="16">
        <v>688999.94</v>
      </c>
    </row>
    <row r="48" spans="1:23" x14ac:dyDescent="0.25">
      <c r="W48" s="268">
        <f>W46/W47</f>
        <v>0.1675969812130898</v>
      </c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ABE3B-AED9-4126-B637-5747DB86F491}">
  <sheetPr>
    <tabColor theme="9" tint="0.79998168889431442"/>
  </sheetPr>
  <dimension ref="A1:AL51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2" width="10.7109375" style="16" customWidth="1" outlineLevel="1"/>
    <col min="3" max="3" width="10.140625" style="16" bestFit="1" customWidth="1" outlineLevel="1"/>
    <col min="4" max="5" width="9.7109375" style="16" customWidth="1" outlineLevel="1"/>
    <col min="6" max="9" width="9.7109375" style="16" customWidth="1"/>
    <col min="10" max="11" width="9.7109375" style="16" hidden="1" customWidth="1"/>
    <col min="12" max="12" width="9.140625" style="16" customWidth="1"/>
    <col min="13" max="13" width="9.140625" style="16"/>
    <col min="14" max="14" width="23.42578125" style="3" customWidth="1" outlineLevel="1"/>
    <col min="15" max="17" width="11.7109375" style="3" customWidth="1" outlineLevel="1"/>
    <col min="18" max="20" width="9.140625" style="52" customWidth="1" outlineLevel="1"/>
    <col min="21" max="25" width="9.140625" style="16" customWidth="1" outlineLevel="1"/>
    <col min="26" max="28" width="9.140625" style="52" customWidth="1" outlineLevel="1"/>
    <col min="29" max="36" width="9.140625" style="16" customWidth="1" outlineLevel="1"/>
    <col min="37" max="16384" width="9.140625" style="16"/>
  </cols>
  <sheetData>
    <row r="1" spans="1:38" ht="15" customHeight="1" x14ac:dyDescent="0.25">
      <c r="A1" s="326" t="s">
        <v>1604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38" ht="6.6" customHeight="1" thickBot="1" x14ac:dyDescent="0.3"/>
    <row r="3" spans="1:38" ht="15.75" thickTop="1" x14ac:dyDescent="0.25">
      <c r="A3" s="38" t="s">
        <v>1591</v>
      </c>
      <c r="B3" s="350" t="s">
        <v>155</v>
      </c>
      <c r="C3" s="329"/>
      <c r="D3" s="329"/>
      <c r="E3" s="329"/>
      <c r="F3" s="350" t="s">
        <v>1629</v>
      </c>
      <c r="G3" s="350"/>
      <c r="H3" s="329"/>
      <c r="I3" s="329"/>
      <c r="J3" s="329"/>
      <c r="K3" s="345"/>
    </row>
    <row r="4" spans="1:38" x14ac:dyDescent="0.25">
      <c r="A4" s="39" t="s">
        <v>1591</v>
      </c>
      <c r="B4" s="40"/>
      <c r="C4" s="40"/>
      <c r="D4" s="351"/>
      <c r="E4" s="331"/>
      <c r="F4" s="40"/>
      <c r="G4" s="40"/>
      <c r="H4" s="40"/>
      <c r="I4" s="40"/>
      <c r="J4" s="351"/>
      <c r="K4" s="347"/>
    </row>
    <row r="5" spans="1:38" x14ac:dyDescent="0.25">
      <c r="A5" s="39" t="s">
        <v>98</v>
      </c>
      <c r="B5" s="41" t="s">
        <v>12</v>
      </c>
      <c r="C5" s="41" t="s">
        <v>1592</v>
      </c>
      <c r="D5" s="42" t="s">
        <v>1609</v>
      </c>
      <c r="E5" s="42" t="s">
        <v>1610</v>
      </c>
      <c r="F5" s="262" t="str">
        <f>OVERALL!F5</f>
        <v>0124</v>
      </c>
      <c r="G5" s="262" t="str">
        <f>OVERALL!G5</f>
        <v>0224</v>
      </c>
      <c r="H5" s="262" t="str">
        <f>OVERALL!H5</f>
        <v>0324</v>
      </c>
      <c r="I5" s="41" t="str">
        <f>OVERALL!I5</f>
        <v>Q124</v>
      </c>
      <c r="J5" s="42" t="s">
        <v>1609</v>
      </c>
      <c r="K5" s="43" t="s">
        <v>1610</v>
      </c>
    </row>
    <row r="6" spans="1:38" x14ac:dyDescent="0.25">
      <c r="A6" s="24" t="s">
        <v>1122</v>
      </c>
      <c r="B6" s="51">
        <f>+R16/$R$22</f>
        <v>0.42254603829546433</v>
      </c>
      <c r="C6" s="96">
        <f>+V16/$V$22</f>
        <v>0.31012230558722653</v>
      </c>
      <c r="D6" s="109">
        <f>+B6-C6</f>
        <v>0.1124237327082378</v>
      </c>
      <c r="E6" s="118">
        <f>IFERROR(+D6/C6,0)</f>
        <v>0.36251417806068431</v>
      </c>
      <c r="F6" s="51"/>
      <c r="G6" s="51"/>
      <c r="H6" s="51"/>
      <c r="I6" s="96" t="e">
        <f>AVERAGE(F6:H6)</f>
        <v>#DIV/0!</v>
      </c>
      <c r="J6" s="126">
        <f>+F6-H6</f>
        <v>0</v>
      </c>
      <c r="K6" s="122">
        <f t="shared" ref="K6:K30" si="0">IFERROR(+J6/H6,0)</f>
        <v>0</v>
      </c>
      <c r="N6" s="3" t="s">
        <v>1122</v>
      </c>
      <c r="O6" s="3" t="s">
        <v>1201</v>
      </c>
    </row>
    <row r="7" spans="1:38" x14ac:dyDescent="0.25">
      <c r="A7" s="24" t="s">
        <v>1127</v>
      </c>
      <c r="B7" s="51">
        <f t="shared" ref="B7:B11" si="1">+R17/$R$22</f>
        <v>0.35765292225989759</v>
      </c>
      <c r="C7" s="96">
        <f t="shared" ref="C7:C11" si="2">+V17/$V$22</f>
        <v>0.39894903440857321</v>
      </c>
      <c r="D7" s="109">
        <f t="shared" ref="D7:D12" si="3">+B7-C7</f>
        <v>-4.1296112148675623E-2</v>
      </c>
      <c r="E7" s="118">
        <f t="shared" ref="E7:E30" si="4">IFERROR(+D7/C7,0)</f>
        <v>-0.10351224990403984</v>
      </c>
      <c r="F7" s="51"/>
      <c r="G7" s="51"/>
      <c r="H7" s="51"/>
      <c r="I7" s="96" t="e">
        <f t="shared" ref="I7:I12" si="5">AVERAGE(F7:H7)</f>
        <v>#DIV/0!</v>
      </c>
      <c r="J7" s="126">
        <f t="shared" ref="J7:J12" si="6">+F7-H7</f>
        <v>0</v>
      </c>
      <c r="K7" s="122">
        <f t="shared" si="0"/>
        <v>0</v>
      </c>
    </row>
    <row r="8" spans="1:38" x14ac:dyDescent="0.25">
      <c r="A8" s="24" t="s">
        <v>1132</v>
      </c>
      <c r="B8" s="51">
        <f t="shared" si="1"/>
        <v>0.15295954106488388</v>
      </c>
      <c r="C8" s="96">
        <f t="shared" si="2"/>
        <v>0.11992120866601551</v>
      </c>
      <c r="D8" s="109">
        <f t="shared" si="3"/>
        <v>3.3038332398868372E-2</v>
      </c>
      <c r="E8" s="118">
        <f t="shared" si="4"/>
        <v>0.27550032864396162</v>
      </c>
      <c r="F8" s="51"/>
      <c r="G8" s="51"/>
      <c r="H8" s="51"/>
      <c r="I8" s="96" t="e">
        <f t="shared" si="5"/>
        <v>#DIV/0!</v>
      </c>
      <c r="J8" s="126">
        <f t="shared" si="6"/>
        <v>0</v>
      </c>
      <c r="K8" s="122">
        <f t="shared" si="0"/>
        <v>0</v>
      </c>
    </row>
    <row r="9" spans="1:38" x14ac:dyDescent="0.25">
      <c r="A9" s="24" t="s">
        <v>1140</v>
      </c>
      <c r="B9" s="51">
        <f t="shared" si="1"/>
        <v>4.0091357344786666E-2</v>
      </c>
      <c r="C9" s="96">
        <f t="shared" si="2"/>
        <v>0.13820908820097502</v>
      </c>
      <c r="D9" s="109">
        <f t="shared" si="3"/>
        <v>-9.8117730856188357E-2</v>
      </c>
      <c r="E9" s="118">
        <f t="shared" si="4"/>
        <v>-0.70992242357833724</v>
      </c>
      <c r="F9" s="51"/>
      <c r="G9" s="51"/>
      <c r="H9" s="51"/>
      <c r="I9" s="96" t="e">
        <f t="shared" si="5"/>
        <v>#DIV/0!</v>
      </c>
      <c r="J9" s="126">
        <f t="shared" si="6"/>
        <v>0</v>
      </c>
      <c r="K9" s="122">
        <f t="shared" si="0"/>
        <v>0</v>
      </c>
    </row>
    <row r="10" spans="1:38" x14ac:dyDescent="0.25">
      <c r="A10" s="24" t="s">
        <v>1145</v>
      </c>
      <c r="B10" s="51">
        <f t="shared" si="1"/>
        <v>2.6731157755332278E-2</v>
      </c>
      <c r="C10" s="96">
        <f t="shared" si="2"/>
        <v>3.279836313720965E-2</v>
      </c>
      <c r="D10" s="109">
        <f t="shared" si="3"/>
        <v>-6.0672053818773726E-3</v>
      </c>
      <c r="E10" s="118">
        <f t="shared" si="4"/>
        <v>-0.18498500539480109</v>
      </c>
      <c r="F10" s="51"/>
      <c r="G10" s="51"/>
      <c r="H10" s="51"/>
      <c r="I10" s="96" t="e">
        <f t="shared" si="5"/>
        <v>#DIV/0!</v>
      </c>
      <c r="J10" s="126">
        <f t="shared" si="6"/>
        <v>0</v>
      </c>
      <c r="K10" s="122">
        <f t="shared" si="0"/>
        <v>0</v>
      </c>
    </row>
    <row r="11" spans="1:38" x14ac:dyDescent="0.25">
      <c r="A11" s="24" t="s">
        <v>1137</v>
      </c>
      <c r="B11" s="51">
        <f t="shared" si="1"/>
        <v>1.8983279635298384E-5</v>
      </c>
      <c r="C11" s="96">
        <f t="shared" si="2"/>
        <v>0</v>
      </c>
      <c r="D11" s="109">
        <f t="shared" si="3"/>
        <v>1.8983279635298384E-5</v>
      </c>
      <c r="E11" s="118">
        <f t="shared" si="4"/>
        <v>0</v>
      </c>
      <c r="F11" s="51"/>
      <c r="G11" s="51"/>
      <c r="H11" s="51"/>
      <c r="I11" s="96" t="e">
        <f t="shared" si="5"/>
        <v>#DIV/0!</v>
      </c>
      <c r="J11" s="126">
        <f t="shared" si="6"/>
        <v>0</v>
      </c>
      <c r="K11" s="122">
        <f t="shared" si="0"/>
        <v>0</v>
      </c>
    </row>
    <row r="12" spans="1:38" x14ac:dyDescent="0.25">
      <c r="A12" s="24" t="s">
        <v>1666</v>
      </c>
      <c r="B12" s="53">
        <f>SUM(B6:B11)</f>
        <v>1</v>
      </c>
      <c r="C12" s="96">
        <f>SUM(C6:C11)</f>
        <v>0.99999999999999989</v>
      </c>
      <c r="D12" s="109">
        <f t="shared" si="3"/>
        <v>0</v>
      </c>
      <c r="E12" s="118">
        <f t="shared" si="4"/>
        <v>0</v>
      </c>
      <c r="F12" s="51"/>
      <c r="G12" s="51"/>
      <c r="H12" s="51"/>
      <c r="I12" s="96" t="e">
        <f t="shared" si="5"/>
        <v>#DIV/0!</v>
      </c>
      <c r="J12" s="126">
        <f t="shared" si="6"/>
        <v>0</v>
      </c>
      <c r="K12" s="122">
        <f t="shared" si="0"/>
        <v>0</v>
      </c>
    </row>
    <row r="13" spans="1:38" s="28" customFormat="1" x14ac:dyDescent="0.25">
      <c r="A13" s="27" t="s">
        <v>1667</v>
      </c>
      <c r="B13" s="91">
        <f>-R22</f>
        <v>240738.16999999998</v>
      </c>
      <c r="C13" s="92">
        <f>-V22</f>
        <v>346608.8139607081</v>
      </c>
      <c r="D13" s="101">
        <f>+B13-C13</f>
        <v>-105870.64396070811</v>
      </c>
      <c r="E13" s="119">
        <f t="shared" si="4"/>
        <v>-0.30544706221091572</v>
      </c>
      <c r="F13" s="91"/>
      <c r="G13" s="91"/>
      <c r="H13" s="91"/>
      <c r="I13" s="92">
        <f>SUM(F13:H13)</f>
        <v>0</v>
      </c>
      <c r="J13" s="101">
        <f>+F13-H13</f>
        <v>0</v>
      </c>
      <c r="K13" s="123">
        <f t="shared" si="0"/>
        <v>0</v>
      </c>
      <c r="N13" s="50"/>
      <c r="O13" s="50"/>
      <c r="P13" s="50"/>
      <c r="Q13" s="50"/>
      <c r="R13" s="170" t="s">
        <v>1641</v>
      </c>
      <c r="S13" s="170" t="s">
        <v>1641</v>
      </c>
      <c r="T13" s="170" t="s">
        <v>1641</v>
      </c>
      <c r="V13" s="170" t="s">
        <v>1641</v>
      </c>
      <c r="W13" s="170" t="s">
        <v>1641</v>
      </c>
      <c r="X13" s="170" t="s">
        <v>1641</v>
      </c>
      <c r="Z13" s="170" t="s">
        <v>156</v>
      </c>
      <c r="AA13" s="170" t="s">
        <v>156</v>
      </c>
      <c r="AB13" s="170" t="s">
        <v>156</v>
      </c>
      <c r="AD13" s="170" t="s">
        <v>156</v>
      </c>
      <c r="AE13" s="170" t="s">
        <v>156</v>
      </c>
      <c r="AF13" s="170" t="s">
        <v>156</v>
      </c>
    </row>
    <row r="14" spans="1:38" x14ac:dyDescent="0.25">
      <c r="A14" s="24" t="s">
        <v>1668</v>
      </c>
      <c r="B14" s="89">
        <f>+B13/B33</f>
        <v>80246.056666666656</v>
      </c>
      <c r="C14" s="90">
        <f>+C13/C33</f>
        <v>86652.203490177024</v>
      </c>
      <c r="D14" s="100">
        <f>+B14-C14</f>
        <v>-6406.1468235103675</v>
      </c>
      <c r="E14" s="118">
        <f t="shared" si="4"/>
        <v>-7.3929416281220989E-2</v>
      </c>
      <c r="F14" s="89"/>
      <c r="G14" s="89"/>
      <c r="H14" s="89"/>
      <c r="I14" s="90" t="e">
        <f>AVERAGE(F14,G14,H14)</f>
        <v>#DIV/0!</v>
      </c>
      <c r="J14" s="100">
        <f>+F14-H14</f>
        <v>0</v>
      </c>
      <c r="K14" s="122">
        <f t="shared" si="0"/>
        <v>0</v>
      </c>
      <c r="R14" s="95" t="s">
        <v>12</v>
      </c>
      <c r="S14" s="95" t="s">
        <v>12</v>
      </c>
      <c r="T14" s="95" t="s">
        <v>12</v>
      </c>
      <c r="V14" s="95" t="s">
        <v>1592</v>
      </c>
      <c r="W14" s="95" t="s">
        <v>1592</v>
      </c>
      <c r="X14" s="95" t="s">
        <v>1592</v>
      </c>
      <c r="Z14" s="95" t="s">
        <v>12</v>
      </c>
      <c r="AA14" s="95" t="s">
        <v>12</v>
      </c>
      <c r="AB14" s="95" t="s">
        <v>12</v>
      </c>
      <c r="AD14" s="95" t="s">
        <v>1592</v>
      </c>
      <c r="AE14" s="95" t="s">
        <v>1592</v>
      </c>
      <c r="AF14" s="95" t="s">
        <v>1592</v>
      </c>
    </row>
    <row r="15" spans="1:38" x14ac:dyDescent="0.25">
      <c r="A15" s="24" t="s">
        <v>1669</v>
      </c>
      <c r="B15" s="146">
        <f>+B36/S22*30</f>
        <v>66.092493616542242</v>
      </c>
      <c r="C15" s="147">
        <f>+B36/W22*30</f>
        <v>45.444700789544889</v>
      </c>
      <c r="D15" s="148">
        <f>+C15-B15</f>
        <v>-20.647792826997353</v>
      </c>
      <c r="E15" s="118">
        <f t="shared" si="4"/>
        <v>-0.45434984647863785</v>
      </c>
      <c r="F15" s="146"/>
      <c r="G15" s="146"/>
      <c r="H15" s="146"/>
      <c r="I15" s="147" t="e">
        <f t="shared" ref="I15:I22" si="7">AVERAGE(F15:H15)</f>
        <v>#DIV/0!</v>
      </c>
      <c r="J15" s="148">
        <f>+H15-F15</f>
        <v>0</v>
      </c>
      <c r="K15" s="122">
        <f t="shared" si="0"/>
        <v>0</v>
      </c>
      <c r="R15" s="3" t="s">
        <v>1642</v>
      </c>
      <c r="S15" s="3" t="s">
        <v>180</v>
      </c>
      <c r="T15" s="3" t="s">
        <v>153</v>
      </c>
      <c r="U15" s="3"/>
      <c r="V15" s="3" t="s">
        <v>1642</v>
      </c>
      <c r="W15" s="3" t="s">
        <v>180</v>
      </c>
      <c r="X15" s="3" t="s">
        <v>153</v>
      </c>
      <c r="Y15" s="3"/>
      <c r="Z15" s="3" t="s">
        <v>1642</v>
      </c>
      <c r="AA15" s="3" t="s">
        <v>180</v>
      </c>
      <c r="AB15" s="3" t="s">
        <v>153</v>
      </c>
      <c r="AC15" s="3"/>
      <c r="AD15" s="3" t="s">
        <v>1642</v>
      </c>
      <c r="AE15" s="3" t="s">
        <v>180</v>
      </c>
      <c r="AF15" s="3" t="s">
        <v>153</v>
      </c>
      <c r="AG15" s="3"/>
      <c r="AH15" s="3"/>
      <c r="AI15" s="3"/>
      <c r="AJ15" s="3"/>
      <c r="AK15" s="3"/>
      <c r="AL15" s="3"/>
    </row>
    <row r="16" spans="1:38" x14ac:dyDescent="0.25">
      <c r="A16" s="24" t="s">
        <v>1201</v>
      </c>
      <c r="B16" s="130">
        <f>IFERROR(+T16/R16,0)</f>
        <v>0.1925340159193166</v>
      </c>
      <c r="C16" s="131">
        <f>+IFERROR(X16/V16,0)</f>
        <v>0.2025756985906815</v>
      </c>
      <c r="D16" s="128">
        <f t="shared" ref="D16:D22" si="8">+B16-C16</f>
        <v>-1.0041682671364904E-2</v>
      </c>
      <c r="E16" s="118">
        <f t="shared" si="4"/>
        <v>-4.9570026124677632E-2</v>
      </c>
      <c r="F16" s="133"/>
      <c r="G16" s="133"/>
      <c r="H16" s="133"/>
      <c r="I16" s="131" t="e">
        <f t="shared" si="7"/>
        <v>#DIV/0!</v>
      </c>
      <c r="J16" s="126">
        <f t="shared" ref="J16:J22" si="9">+F16-H16</f>
        <v>0</v>
      </c>
      <c r="K16" s="122">
        <f t="shared" si="0"/>
        <v>0</v>
      </c>
      <c r="M16" s="162">
        <v>230</v>
      </c>
      <c r="N16" s="3" t="s">
        <v>1122</v>
      </c>
      <c r="O16" s="3" t="s">
        <v>1201</v>
      </c>
      <c r="R16" s="52">
        <f>+SUMIFS(Export!L:L,Export!I:I,N16,Export!E:E,M16)</f>
        <v>-101722.95999999999</v>
      </c>
      <c r="S16" s="52">
        <f>+SUMIFS(Export!L:L,Export!I:I,O16,Export!E:E,M16)</f>
        <v>82137.829999999987</v>
      </c>
      <c r="T16" s="52">
        <f>+SUM(R16:S16)</f>
        <v>-19585.130000000005</v>
      </c>
      <c r="V16" s="52">
        <f>+SUMIFS(Export!N:N,Export!I:I,N16,Export!E:E,M16)</f>
        <v>-107491.12452234887</v>
      </c>
      <c r="W16" s="52">
        <f>+SUMIFS(Export!N:N,Export!I:I,O16,Export!E:E,M16)</f>
        <v>85716.034879936109</v>
      </c>
      <c r="X16" s="52">
        <f>+SUM(V16:W16)</f>
        <v>-21775.089642412757</v>
      </c>
      <c r="Z16" s="52">
        <f>+SUMIF(Export!$I:$I,'NW PARTS 230'!N16,Export!M:M)</f>
        <v>0</v>
      </c>
      <c r="AA16" s="52">
        <f>+SUMIF(Export!$I:$I,'NW PARTS 230'!O16,Export!M:M)</f>
        <v>0</v>
      </c>
      <c r="AB16" s="52">
        <f>+SUM(Z16:AA16)</f>
        <v>0</v>
      </c>
      <c r="AD16" s="52">
        <f>+SUMIF(Export!$I:$I,'NW PARTS 230'!N16,Export!O:O)</f>
        <v>0</v>
      </c>
      <c r="AE16" s="52">
        <f>+SUMIF(Export!$I:$I,'NW PARTS 230'!O16,Export!O:O)</f>
        <v>0</v>
      </c>
      <c r="AF16" s="52">
        <f>+SUM(AD16:AE16)</f>
        <v>0</v>
      </c>
    </row>
    <row r="17" spans="1:32" x14ac:dyDescent="0.25">
      <c r="A17" s="24" t="s">
        <v>1209</v>
      </c>
      <c r="B17" s="130">
        <f t="shared" ref="B17:B22" si="10">IFERROR(+T17/R17,0)</f>
        <v>0.18775176186119716</v>
      </c>
      <c r="C17" s="131">
        <f t="shared" ref="C17:C22" si="11">+IFERROR(X17/V17,0)</f>
        <v>0.15975297858800952</v>
      </c>
      <c r="D17" s="128">
        <f t="shared" si="8"/>
        <v>2.7998783273187638E-2</v>
      </c>
      <c r="E17" s="118">
        <f t="shared" si="4"/>
        <v>0.17526298113911426</v>
      </c>
      <c r="F17" s="133"/>
      <c r="G17" s="133"/>
      <c r="H17" s="133"/>
      <c r="I17" s="131" t="e">
        <f t="shared" si="7"/>
        <v>#DIV/0!</v>
      </c>
      <c r="J17" s="126">
        <f t="shared" si="9"/>
        <v>0</v>
      </c>
      <c r="K17" s="122">
        <f t="shared" si="0"/>
        <v>0</v>
      </c>
      <c r="M17" s="162">
        <v>230</v>
      </c>
      <c r="N17" s="3" t="s">
        <v>1127</v>
      </c>
      <c r="O17" s="3" t="s">
        <v>1209</v>
      </c>
      <c r="R17" s="52">
        <f>+SUMIFS(Export!L:L,Export!I:I,N17,Export!E:E,M17)</f>
        <v>-86100.71</v>
      </c>
      <c r="S17" s="52">
        <f>+SUMIFS(Export!L:L,Export!I:I,O17,Export!E:E,M17)</f>
        <v>69935.150000000009</v>
      </c>
      <c r="T17" s="52">
        <f t="shared" ref="T17:T21" si="12">+SUM(R17:S17)</f>
        <v>-16165.559999999998</v>
      </c>
      <c r="V17" s="52">
        <f>+SUMIFS(Export!N:N,Export!I:I,N17,Export!E:E,M17)</f>
        <v>-138279.25164712529</v>
      </c>
      <c r="W17" s="52">
        <f>+SUMIFS(Export!N:N,Export!I:I,O17,Export!E:E,M17)</f>
        <v>116188.7293195761</v>
      </c>
      <c r="X17" s="52">
        <f t="shared" ref="X17:X21" si="13">+SUM(V17:W17)</f>
        <v>-22090.522327549188</v>
      </c>
      <c r="Z17" s="52">
        <f>+SUMIF(Export!$I:$I,'NW PARTS 230'!N17,Export!M:M)</f>
        <v>0</v>
      </c>
      <c r="AA17" s="52">
        <f>+SUMIF(Export!$I:$I,'NW PARTS 230'!O17,Export!M:M)</f>
        <v>0</v>
      </c>
      <c r="AB17" s="52">
        <f t="shared" ref="AB17:AB21" si="14">+SUM(Z17:AA17)</f>
        <v>0</v>
      </c>
      <c r="AD17" s="52">
        <f>+SUMIF(Export!$I:$I,'NW PARTS 230'!N17,Export!O:O)</f>
        <v>0</v>
      </c>
      <c r="AE17" s="52">
        <f>+SUMIF(Export!$I:$I,'NW PARTS 230'!O17,Export!O:O)</f>
        <v>0</v>
      </c>
      <c r="AF17" s="52">
        <f t="shared" ref="AF17:AF21" si="15">+SUM(AD17:AE17)</f>
        <v>0</v>
      </c>
    </row>
    <row r="18" spans="1:32" x14ac:dyDescent="0.25">
      <c r="A18" s="24" t="s">
        <v>1216</v>
      </c>
      <c r="B18" s="130">
        <f t="shared" si="10"/>
        <v>0.31839954159334327</v>
      </c>
      <c r="C18" s="131">
        <f t="shared" si="11"/>
        <v>0.30551209946142821</v>
      </c>
      <c r="D18" s="128">
        <f t="shared" si="8"/>
        <v>1.2887442131915061E-2</v>
      </c>
      <c r="E18" s="118">
        <f t="shared" si="4"/>
        <v>4.218308261647797E-2</v>
      </c>
      <c r="F18" s="133"/>
      <c r="G18" s="133"/>
      <c r="H18" s="133"/>
      <c r="I18" s="131" t="e">
        <f t="shared" si="7"/>
        <v>#DIV/0!</v>
      </c>
      <c r="J18" s="126">
        <f t="shared" si="9"/>
        <v>0</v>
      </c>
      <c r="K18" s="122">
        <f t="shared" si="0"/>
        <v>0</v>
      </c>
      <c r="M18" s="162">
        <v>230</v>
      </c>
      <c r="N18" s="3" t="s">
        <v>1132</v>
      </c>
      <c r="O18" s="3" t="s">
        <v>1216</v>
      </c>
      <c r="R18" s="52">
        <f>+SUMIFS(Export!L:L,Export!I:I,N18,Export!E:E,M18)</f>
        <v>-36823.199999999997</v>
      </c>
      <c r="S18" s="52">
        <f>+SUMIFS(Export!L:L,Export!I:I,O18,Export!E:E,M18)</f>
        <v>25098.71</v>
      </c>
      <c r="T18" s="52">
        <f t="shared" si="12"/>
        <v>-11724.489999999998</v>
      </c>
      <c r="V18" s="52">
        <f>+SUMIFS(Export!N:N,Export!I:I,N18,Export!E:E,M18)</f>
        <v>-41565.747904462223</v>
      </c>
      <c r="W18" s="52">
        <f>+SUMIFS(Export!N:N,Export!I:I,O18,Export!E:E,M18)</f>
        <v>28866.908996485508</v>
      </c>
      <c r="X18" s="52">
        <f t="shared" si="13"/>
        <v>-12698.838907976715</v>
      </c>
      <c r="Z18" s="52">
        <f>+SUMIF(Export!$I:$I,'NW PARTS 230'!N18,Export!M:M)</f>
        <v>0</v>
      </c>
      <c r="AA18" s="52">
        <f>+SUMIF(Export!$I:$I,'NW PARTS 230'!O18,Export!M:M)</f>
        <v>0</v>
      </c>
      <c r="AB18" s="52">
        <f t="shared" si="14"/>
        <v>0</v>
      </c>
      <c r="AD18" s="52">
        <f>+SUMIF(Export!$I:$I,'NW PARTS 230'!N18,Export!O:O)</f>
        <v>0</v>
      </c>
      <c r="AE18" s="52">
        <f>+SUMIF(Export!$I:$I,'NW PARTS 230'!O18,Export!O:O)</f>
        <v>0</v>
      </c>
      <c r="AF18" s="52">
        <f t="shared" si="15"/>
        <v>0</v>
      </c>
    </row>
    <row r="19" spans="1:32" x14ac:dyDescent="0.25">
      <c r="A19" s="24" t="s">
        <v>1225</v>
      </c>
      <c r="B19" s="130">
        <f t="shared" si="10"/>
        <v>4.1303338748715356E-2</v>
      </c>
      <c r="C19" s="131">
        <f t="shared" si="11"/>
        <v>8.363795170765484E-2</v>
      </c>
      <c r="D19" s="128">
        <f t="shared" si="8"/>
        <v>-4.2334612958939484E-2</v>
      </c>
      <c r="E19" s="118">
        <f t="shared" si="4"/>
        <v>-0.50616510919485935</v>
      </c>
      <c r="F19" s="133"/>
      <c r="G19" s="133"/>
      <c r="H19" s="133"/>
      <c r="I19" s="131" t="e">
        <f t="shared" si="7"/>
        <v>#DIV/0!</v>
      </c>
      <c r="J19" s="126">
        <f t="shared" si="9"/>
        <v>0</v>
      </c>
      <c r="K19" s="122">
        <f t="shared" si="0"/>
        <v>0</v>
      </c>
      <c r="M19" s="162">
        <v>230</v>
      </c>
      <c r="N19" s="3" t="s">
        <v>1140</v>
      </c>
      <c r="O19" s="3" t="s">
        <v>1225</v>
      </c>
      <c r="R19" s="52">
        <f>+SUMIFS(Export!L:L,Export!I:I,N19,Export!E:E,M19)</f>
        <v>-9651.52</v>
      </c>
      <c r="S19" s="52">
        <f>+SUMIFS(Export!L:L,Export!I:I,O19,Export!E:E,M19)</f>
        <v>9252.8799999999992</v>
      </c>
      <c r="T19" s="52">
        <f t="shared" si="12"/>
        <v>-398.64000000000124</v>
      </c>
      <c r="V19" s="52">
        <f>+SUMIFS(Export!N:N,Export!I:I,N19,Export!E:E,M19)</f>
        <v>-47904.488139930851</v>
      </c>
      <c r="W19" s="52">
        <f>+SUMIFS(Export!N:N,Export!I:I,O19,Export!E:E,M19)</f>
        <v>43897.85487430339</v>
      </c>
      <c r="X19" s="52">
        <f t="shared" si="13"/>
        <v>-4006.6332656274608</v>
      </c>
      <c r="Z19" s="52">
        <f>+SUMIF(Export!$I:$I,'NW PARTS 230'!N19,Export!M:M)</f>
        <v>0</v>
      </c>
      <c r="AA19" s="52">
        <f>+SUMIF(Export!$I:$I,'NW PARTS 230'!O19,Export!M:M)</f>
        <v>0</v>
      </c>
      <c r="AB19" s="52">
        <f t="shared" si="14"/>
        <v>0</v>
      </c>
      <c r="AD19" s="52">
        <f>+SUMIF(Export!$I:$I,'NW PARTS 230'!N19,Export!O:O)</f>
        <v>0</v>
      </c>
      <c r="AE19" s="52">
        <f>+SUMIF(Export!$I:$I,'NW PARTS 230'!O19,Export!O:O)</f>
        <v>0</v>
      </c>
      <c r="AF19" s="52">
        <f t="shared" si="15"/>
        <v>0</v>
      </c>
    </row>
    <row r="20" spans="1:32" x14ac:dyDescent="0.25">
      <c r="A20" s="24" t="s">
        <v>1230</v>
      </c>
      <c r="B20" s="130">
        <f t="shared" si="10"/>
        <v>0.23386027806396367</v>
      </c>
      <c r="C20" s="131">
        <f t="shared" si="11"/>
        <v>0.15996394239454834</v>
      </c>
      <c r="D20" s="128">
        <f t="shared" si="8"/>
        <v>7.3896335669415336E-2</v>
      </c>
      <c r="E20" s="118">
        <f t="shared" si="4"/>
        <v>0.46195620439980956</v>
      </c>
      <c r="F20" s="133"/>
      <c r="G20" s="133"/>
      <c r="H20" s="133"/>
      <c r="I20" s="131" t="e">
        <f t="shared" si="7"/>
        <v>#DIV/0!</v>
      </c>
      <c r="J20" s="126">
        <f t="shared" si="9"/>
        <v>0</v>
      </c>
      <c r="K20" s="122">
        <f t="shared" si="0"/>
        <v>0</v>
      </c>
      <c r="M20" s="162">
        <v>230</v>
      </c>
      <c r="N20" s="3" t="s">
        <v>1145</v>
      </c>
      <c r="O20" s="3" t="s">
        <v>1230</v>
      </c>
      <c r="R20" s="52">
        <f>+SUMIFS(Export!L:L,Export!I:I,N20,Export!E:E,M20)</f>
        <v>-6435.21</v>
      </c>
      <c r="S20" s="52">
        <f>+SUMIFS(Export!L:L,Export!I:I,O20,Export!E:E,M20)</f>
        <v>4930.2700000000004</v>
      </c>
      <c r="T20" s="52">
        <f t="shared" si="12"/>
        <v>-1504.9399999999996</v>
      </c>
      <c r="V20" s="52">
        <f>+SUMIFS(Export!N:N,Export!I:I,N20,Export!E:E,M20)</f>
        <v>-11368.201746840847</v>
      </c>
      <c r="W20" s="52">
        <f>+SUMIFS(Export!N:N,Export!I:I,O20,Export!E:E,M20)</f>
        <v>9549.6993774795937</v>
      </c>
      <c r="X20" s="52">
        <f t="shared" si="13"/>
        <v>-1818.5023693612529</v>
      </c>
      <c r="Z20" s="52">
        <f>+SUMIF(Export!$I:$I,'NW PARTS 230'!N20,Export!M:M)</f>
        <v>0</v>
      </c>
      <c r="AA20" s="52">
        <f>+SUMIF(Export!$I:$I,'NW PARTS 230'!O20,Export!M:M)</f>
        <v>0</v>
      </c>
      <c r="AB20" s="52">
        <f t="shared" si="14"/>
        <v>0</v>
      </c>
      <c r="AD20" s="52">
        <f>+SUMIF(Export!$I:$I,'NW PARTS 230'!N20,Export!O:O)</f>
        <v>0</v>
      </c>
      <c r="AE20" s="52">
        <f>+SUMIF(Export!$I:$I,'NW PARTS 230'!O20,Export!O:O)</f>
        <v>0</v>
      </c>
      <c r="AF20" s="52">
        <f t="shared" si="15"/>
        <v>0</v>
      </c>
    </row>
    <row r="21" spans="1:32" x14ac:dyDescent="0.25">
      <c r="A21" s="24" t="s">
        <v>1222</v>
      </c>
      <c r="B21" s="130">
        <f t="shared" si="10"/>
        <v>-890.06345733041576</v>
      </c>
      <c r="C21" s="131">
        <f t="shared" si="11"/>
        <v>0</v>
      </c>
      <c r="D21" s="128">
        <f t="shared" si="8"/>
        <v>-890.06345733041576</v>
      </c>
      <c r="E21" s="118">
        <f t="shared" si="4"/>
        <v>0</v>
      </c>
      <c r="F21" s="133"/>
      <c r="G21" s="133"/>
      <c r="H21" s="133"/>
      <c r="I21" s="131" t="e">
        <f t="shared" si="7"/>
        <v>#DIV/0!</v>
      </c>
      <c r="J21" s="126">
        <f t="shared" si="9"/>
        <v>0</v>
      </c>
      <c r="K21" s="122">
        <f t="shared" si="0"/>
        <v>0</v>
      </c>
      <c r="M21" s="162">
        <v>230</v>
      </c>
      <c r="N21" s="3" t="s">
        <v>1137</v>
      </c>
      <c r="O21" s="3" t="s">
        <v>1222</v>
      </c>
      <c r="R21" s="52">
        <f>+SUMIFS(Export!L:L,Export!I:I,N21,Export!E:E,M21)</f>
        <v>-4.57</v>
      </c>
      <c r="S21" s="52">
        <f>+SUMIFS(Export!L:L,Export!I:I,O21,Export!E:E,M21)</f>
        <v>4072.1600000000003</v>
      </c>
      <c r="T21" s="52">
        <f t="shared" si="12"/>
        <v>4067.59</v>
      </c>
      <c r="V21" s="52">
        <f>+SUMIFS(Export!N:N,Export!I:I,N21,Export!E:E,M21)</f>
        <v>0</v>
      </c>
      <c r="W21" s="52">
        <f>+SUMIFS(Export!N:N,Export!I:I,O21,Export!E:E,M21)</f>
        <v>0</v>
      </c>
      <c r="X21" s="52">
        <f t="shared" si="13"/>
        <v>0</v>
      </c>
      <c r="Z21" s="52">
        <f>+SUMIF(Export!$I:$I,'NW PARTS 230'!N21,Export!M:M)</f>
        <v>0</v>
      </c>
      <c r="AA21" s="52">
        <f>+SUMIF(Export!$I:$I,'NW PARTS 230'!O21,Export!M:M)</f>
        <v>0</v>
      </c>
      <c r="AB21" s="52">
        <f t="shared" si="14"/>
        <v>0</v>
      </c>
      <c r="AD21" s="52">
        <f>+SUMIF(Export!$I:$I,'NW PARTS 230'!N21,Export!O:O)</f>
        <v>0</v>
      </c>
      <c r="AE21" s="52">
        <f>+SUMIF(Export!$I:$I,'NW PARTS 230'!O21,Export!O:O)</f>
        <v>0</v>
      </c>
      <c r="AF21" s="52">
        <f t="shared" si="15"/>
        <v>0</v>
      </c>
    </row>
    <row r="22" spans="1:32" x14ac:dyDescent="0.25">
      <c r="A22" s="24" t="s">
        <v>1670</v>
      </c>
      <c r="B22" s="130">
        <f t="shared" si="10"/>
        <v>0.18821763910558928</v>
      </c>
      <c r="C22" s="131">
        <f t="shared" si="11"/>
        <v>0.17999999999999977</v>
      </c>
      <c r="D22" s="128">
        <f t="shared" si="8"/>
        <v>8.2176391055895082E-3</v>
      </c>
      <c r="E22" s="118">
        <f t="shared" si="4"/>
        <v>4.5653550586608437E-2</v>
      </c>
      <c r="F22" s="133"/>
      <c r="G22" s="133"/>
      <c r="H22" s="133"/>
      <c r="I22" s="131" t="e">
        <f t="shared" si="7"/>
        <v>#DIV/0!</v>
      </c>
      <c r="J22" s="126">
        <f t="shared" si="9"/>
        <v>0</v>
      </c>
      <c r="K22" s="122">
        <f t="shared" si="0"/>
        <v>0</v>
      </c>
      <c r="R22" s="52">
        <f>SUM(R16:R21)</f>
        <v>-240738.16999999998</v>
      </c>
      <c r="S22" s="52">
        <f t="shared" ref="S22:T22" si="16">SUM(S16:S21)</f>
        <v>195426.99999999997</v>
      </c>
      <c r="T22" s="52">
        <f t="shared" si="16"/>
        <v>-45311.17</v>
      </c>
      <c r="V22" s="52">
        <f>SUM(V16:V21)</f>
        <v>-346608.8139607081</v>
      </c>
      <c r="W22" s="52">
        <f t="shared" ref="W22:X22" si="17">SUM(W16:W21)</f>
        <v>284219.22744778072</v>
      </c>
      <c r="X22" s="52">
        <f t="shared" si="17"/>
        <v>-62389.586512927373</v>
      </c>
      <c r="Z22" s="52">
        <f>SUM(Z16:Z21)</f>
        <v>0</v>
      </c>
      <c r="AA22" s="52">
        <f t="shared" ref="AA22:AB22" si="18">SUM(AA16:AA21)</f>
        <v>0</v>
      </c>
      <c r="AB22" s="52">
        <f t="shared" si="18"/>
        <v>0</v>
      </c>
      <c r="AD22" s="52">
        <f>SUM(AD16:AD21)</f>
        <v>0</v>
      </c>
      <c r="AE22" s="52">
        <f t="shared" ref="AE22:AF22" si="19">SUM(AE16:AE21)</f>
        <v>0</v>
      </c>
      <c r="AF22" s="52">
        <f t="shared" si="19"/>
        <v>0</v>
      </c>
    </row>
    <row r="23" spans="1:32" x14ac:dyDescent="0.25">
      <c r="A23" s="24" t="s">
        <v>60</v>
      </c>
      <c r="B23" s="89">
        <f>-T23</f>
        <v>0</v>
      </c>
      <c r="C23" s="90">
        <f>-X23</f>
        <v>0</v>
      </c>
      <c r="D23" s="100">
        <f>+B23-C23</f>
        <v>0</v>
      </c>
      <c r="E23" s="118">
        <f t="shared" si="4"/>
        <v>0</v>
      </c>
      <c r="F23" s="89"/>
      <c r="G23" s="89"/>
      <c r="H23" s="89"/>
      <c r="I23" s="90">
        <f>SUM(F23:H23)</f>
        <v>0</v>
      </c>
      <c r="J23" s="100">
        <f>+F23-H23</f>
        <v>0</v>
      </c>
      <c r="K23" s="122">
        <f t="shared" si="0"/>
        <v>0</v>
      </c>
      <c r="L23" s="162">
        <v>240</v>
      </c>
      <c r="M23" s="162">
        <v>230</v>
      </c>
      <c r="N23" s="3" t="s">
        <v>60</v>
      </c>
      <c r="T23" s="52">
        <f>+SUMIFS(Export!L:L,Export!I:I,N23,Export!E:E,M23)+SUMIFS(Export!L:L,Export!I:I,N23,Export!E:E,L23)</f>
        <v>0</v>
      </c>
      <c r="V23" s="52"/>
      <c r="W23" s="52"/>
      <c r="X23" s="52">
        <f>+SUMIFS(Export!N:N,Export!I:I,N23,Export!E:E,L23)++SUMIFS(Export!N:N,Export!I:I,N23,Export!E:E,M23)</f>
        <v>0</v>
      </c>
      <c r="AB23" s="52">
        <f>+SUMIF(Export!$I:$I,'NW PARTS 230'!N23,Export!M:M)</f>
        <v>0</v>
      </c>
      <c r="AD23" s="52"/>
      <c r="AE23" s="52"/>
      <c r="AF23" s="52">
        <f>+SUMIF(Export!$I:$I,'NW PARTS 230'!N23,Export!O:O)</f>
        <v>0</v>
      </c>
    </row>
    <row r="24" spans="1:32" x14ac:dyDescent="0.25">
      <c r="A24" s="27" t="s">
        <v>1671</v>
      </c>
      <c r="B24" s="91">
        <f>-T22+B23</f>
        <v>45311.17</v>
      </c>
      <c r="C24" s="92">
        <f>-X22+C23</f>
        <v>62389.586512927373</v>
      </c>
      <c r="D24" s="101">
        <f>+B24-C24</f>
        <v>-17078.416512927375</v>
      </c>
      <c r="E24" s="119">
        <f t="shared" si="4"/>
        <v>-0.27373825453048417</v>
      </c>
      <c r="F24" s="91"/>
      <c r="G24" s="91"/>
      <c r="H24" s="91"/>
      <c r="I24" s="92">
        <f>SUM(F24:H24)</f>
        <v>0</v>
      </c>
      <c r="J24" s="101">
        <f>+F24-H24</f>
        <v>0</v>
      </c>
      <c r="K24" s="123">
        <f t="shared" si="0"/>
        <v>0</v>
      </c>
      <c r="V24" s="52"/>
      <c r="W24" s="52"/>
      <c r="X24" s="52"/>
      <c r="AD24" s="52"/>
      <c r="AE24" s="52"/>
      <c r="AF24" s="52"/>
    </row>
    <row r="25" spans="1:32" x14ac:dyDescent="0.25">
      <c r="A25" s="24" t="s">
        <v>1672</v>
      </c>
      <c r="B25" s="130">
        <f>+B24/B13</f>
        <v>0.18821763910558928</v>
      </c>
      <c r="C25" s="131">
        <f>+C24/C13</f>
        <v>0.17999999999999977</v>
      </c>
      <c r="D25" s="128">
        <f t="shared" ref="D25" si="20">+B25-C25</f>
        <v>8.2176391055895082E-3</v>
      </c>
      <c r="E25" s="129">
        <f t="shared" si="4"/>
        <v>4.5653550586608437E-2</v>
      </c>
      <c r="F25" s="130"/>
      <c r="G25" s="130"/>
      <c r="H25" s="130"/>
      <c r="I25" s="131" t="e">
        <f t="shared" ref="I25:I29" si="21">AVERAGE(F25:H25)</f>
        <v>#DIV/0!</v>
      </c>
      <c r="J25" s="128">
        <f t="shared" ref="J25" si="22">+F25-H25</f>
        <v>0</v>
      </c>
      <c r="K25" s="125">
        <f t="shared" si="0"/>
        <v>0</v>
      </c>
      <c r="V25" s="52"/>
      <c r="W25" s="52"/>
      <c r="X25" s="52"/>
      <c r="AD25" s="52"/>
      <c r="AE25" s="52"/>
      <c r="AF25" s="52"/>
    </row>
    <row r="26" spans="1:32" x14ac:dyDescent="0.25">
      <c r="A26" s="24" t="s">
        <v>1255</v>
      </c>
      <c r="B26" s="130">
        <f>IFERROR(SUMIFS(Export!L:L,Export!I:I,N26,Export!E:E,M26),0)/$B$13</f>
        <v>0.21310359715702754</v>
      </c>
      <c r="C26" s="131">
        <f>IFERROR(SUMIFS(Export!N:N,Export!I:I,N26,Export!E:E,M26),0)/$C$13</f>
        <v>9.5760927228327228E-2</v>
      </c>
      <c r="D26" s="128">
        <f>+C26-B26</f>
        <v>-0.11734266992870031</v>
      </c>
      <c r="E26" s="129">
        <f t="shared" si="4"/>
        <v>-1.2253710706968692</v>
      </c>
      <c r="F26" s="130"/>
      <c r="G26" s="130"/>
      <c r="H26" s="130"/>
      <c r="I26" s="131" t="e">
        <f t="shared" si="21"/>
        <v>#DIV/0!</v>
      </c>
      <c r="J26" s="128">
        <f>+H26-F26</f>
        <v>0</v>
      </c>
      <c r="K26" s="125">
        <f t="shared" si="0"/>
        <v>0</v>
      </c>
      <c r="M26" s="162">
        <v>230</v>
      </c>
      <c r="N26" s="3" t="s">
        <v>1255</v>
      </c>
      <c r="T26" s="52">
        <f>+SUMIFS(Export!L:L,Export!I:I,N26,Export!E:E,M26)</f>
        <v>51302.170000000006</v>
      </c>
      <c r="V26" s="52"/>
      <c r="W26" s="52"/>
      <c r="X26" s="52">
        <f>+SUMIFS(Export!N:N,Export!I:I,N26,Export!E:E,M26)</f>
        <v>33191.581410388178</v>
      </c>
      <c r="AB26" s="52">
        <f>+SUMIF(Export!$I:$I,'NW PARTS 230'!N26,Export!M:M)</f>
        <v>0</v>
      </c>
      <c r="AD26" s="52"/>
      <c r="AE26" s="52"/>
      <c r="AF26" s="52">
        <f>+SUMIF(Export!$I:$I,'NW PARTS 230'!N26,Export!O:O)</f>
        <v>0</v>
      </c>
    </row>
    <row r="27" spans="1:32" x14ac:dyDescent="0.25">
      <c r="A27" s="24" t="s">
        <v>1286</v>
      </c>
      <c r="B27" s="130">
        <f>IFERROR(SUMIFS(Export!L:L,Export!I:I,N27,Export!E:E,M27),0)/$B$13</f>
        <v>8.7647505171282135E-3</v>
      </c>
      <c r="C27" s="131">
        <f>IFERROR(SUMIFS(Export!N:N,Export!I:I,N27,Export!E:E,M27),0)/$C$13</f>
        <v>0</v>
      </c>
      <c r="D27" s="128">
        <f>+C27-B27</f>
        <v>-8.7647505171282135E-3</v>
      </c>
      <c r="E27" s="129">
        <f t="shared" si="4"/>
        <v>0</v>
      </c>
      <c r="F27" s="130"/>
      <c r="G27" s="130"/>
      <c r="H27" s="130"/>
      <c r="I27" s="131" t="e">
        <f t="shared" si="21"/>
        <v>#DIV/0!</v>
      </c>
      <c r="J27" s="128">
        <f>+H27-F27</f>
        <v>0</v>
      </c>
      <c r="K27" s="125">
        <f t="shared" si="0"/>
        <v>0</v>
      </c>
      <c r="M27" s="162">
        <v>230</v>
      </c>
      <c r="N27" s="3" t="s">
        <v>1286</v>
      </c>
      <c r="T27" s="52">
        <f>+SUMIFS(Export!L:L,Export!I:I,N27,Export!E:E,M27)</f>
        <v>2110.0099999999998</v>
      </c>
      <c r="V27" s="52"/>
      <c r="W27" s="52"/>
      <c r="X27" s="52">
        <f>+SUMIFS(Export!N:N,Export!I:I,N27,Export!E:E,M27)</f>
        <v>0</v>
      </c>
      <c r="AB27" s="52">
        <f>+SUMIF(Export!J:J,'NW PARTS 230'!N27,Export!M:M)</f>
        <v>0</v>
      </c>
      <c r="AD27" s="52"/>
      <c r="AE27" s="52"/>
      <c r="AF27" s="52">
        <f>+SUMIF(Export!$J:$J,'NW PARTS 230'!N27,Export!O:O)</f>
        <v>0</v>
      </c>
    </row>
    <row r="28" spans="1:32" x14ac:dyDescent="0.25">
      <c r="A28" s="24" t="s">
        <v>1674</v>
      </c>
      <c r="B28" s="132">
        <f>+SUM(B26:B27)</f>
        <v>0.22186834767415575</v>
      </c>
      <c r="C28" s="131">
        <f>+SUM(C26:C27)</f>
        <v>9.5760927228327228E-2</v>
      </c>
      <c r="D28" s="128">
        <f>+C28-B28</f>
        <v>-0.12610742044582851</v>
      </c>
      <c r="E28" s="129">
        <f t="shared" si="4"/>
        <v>-1.3168984897686373</v>
      </c>
      <c r="F28" s="130"/>
      <c r="G28" s="130"/>
      <c r="H28" s="130"/>
      <c r="I28" s="131" t="e">
        <f t="shared" si="21"/>
        <v>#DIV/0!</v>
      </c>
      <c r="J28" s="128">
        <f>+H28-F28</f>
        <v>0</v>
      </c>
      <c r="K28" s="125">
        <f t="shared" si="0"/>
        <v>0</v>
      </c>
      <c r="V28" s="52"/>
      <c r="W28" s="52"/>
      <c r="X28" s="52"/>
      <c r="AD28" s="52"/>
      <c r="AE28" s="52"/>
      <c r="AF28" s="52"/>
    </row>
    <row r="29" spans="1:32" x14ac:dyDescent="0.25">
      <c r="A29" s="24" t="s">
        <v>1675</v>
      </c>
      <c r="B29" s="132">
        <f>+B25-B28</f>
        <v>-3.3650708568566473E-2</v>
      </c>
      <c r="C29" s="131">
        <f>+C25-C28</f>
        <v>8.4239072771672543E-2</v>
      </c>
      <c r="D29" s="128">
        <f>+B29-C29</f>
        <v>-0.11788978134023902</v>
      </c>
      <c r="E29" s="129">
        <f t="shared" si="4"/>
        <v>-1.3994667493524733</v>
      </c>
      <c r="F29" s="130"/>
      <c r="G29" s="130"/>
      <c r="H29" s="130"/>
      <c r="I29" s="131" t="e">
        <f t="shared" si="21"/>
        <v>#DIV/0!</v>
      </c>
      <c r="J29" s="128">
        <f>+F29-H29</f>
        <v>0</v>
      </c>
      <c r="K29" s="125">
        <f t="shared" si="0"/>
        <v>0</v>
      </c>
      <c r="V29" s="52"/>
      <c r="W29" s="52"/>
      <c r="X29" s="52"/>
      <c r="AD29" s="52"/>
      <c r="AE29" s="52"/>
      <c r="AF29" s="52"/>
    </row>
    <row r="30" spans="1:32" s="28" customFormat="1" ht="15.75" thickBot="1" x14ac:dyDescent="0.3">
      <c r="A30" s="29" t="s">
        <v>1676</v>
      </c>
      <c r="B30" s="94">
        <f>-T30</f>
        <v>-8101.0100000000075</v>
      </c>
      <c r="C30" s="93">
        <f>-X30</f>
        <v>29198.005102539195</v>
      </c>
      <c r="D30" s="108">
        <f>+B30-C30</f>
        <v>-37299.015102539204</v>
      </c>
      <c r="E30" s="120">
        <f t="shared" si="4"/>
        <v>-1.277450804311816</v>
      </c>
      <c r="F30" s="94"/>
      <c r="G30" s="94"/>
      <c r="H30" s="94"/>
      <c r="I30" s="93">
        <f>SUM(F30:H30)</f>
        <v>0</v>
      </c>
      <c r="J30" s="108">
        <f>+F30-H30</f>
        <v>0</v>
      </c>
      <c r="K30" s="124">
        <f t="shared" si="0"/>
        <v>0</v>
      </c>
      <c r="N30" s="3"/>
      <c r="O30" s="3"/>
      <c r="P30" s="3"/>
      <c r="Q30" s="3"/>
      <c r="R30" s="52"/>
      <c r="S30" s="52"/>
      <c r="T30" s="52">
        <f>+SUM(T22:T29)</f>
        <v>8101.0100000000075</v>
      </c>
      <c r="V30" s="52"/>
      <c r="W30" s="52"/>
      <c r="X30" s="52">
        <f>+SUM(X22:X29)</f>
        <v>-29198.005102539195</v>
      </c>
      <c r="Z30" s="52"/>
      <c r="AA30" s="52"/>
      <c r="AB30" s="52">
        <f>+SUM(AB22:AB29)</f>
        <v>0</v>
      </c>
      <c r="AD30" s="52"/>
      <c r="AE30" s="52"/>
      <c r="AF30" s="52">
        <f>+SUM(AF22:AF29)</f>
        <v>0</v>
      </c>
    </row>
    <row r="31" spans="1:32" ht="0" hidden="1" customHeight="1" x14ac:dyDescent="0.25">
      <c r="E31" s="121"/>
      <c r="K31" s="121"/>
      <c r="V31" s="52"/>
      <c r="W31" s="52"/>
      <c r="X31" s="52"/>
      <c r="AD31" s="52"/>
      <c r="AE31" s="52"/>
      <c r="AF31" s="52"/>
    </row>
    <row r="32" spans="1:32" ht="15.75" thickTop="1" x14ac:dyDescent="0.25">
      <c r="E32" s="121"/>
      <c r="K32" s="121"/>
      <c r="V32" s="52"/>
      <c r="W32" s="52"/>
      <c r="X32" s="52"/>
      <c r="AD32" s="52"/>
      <c r="AE32" s="52"/>
      <c r="AF32" s="52"/>
    </row>
    <row r="33" spans="1:18" s="149" customFormat="1" x14ac:dyDescent="0.25">
      <c r="A33" s="10" t="s">
        <v>1677</v>
      </c>
      <c r="B33" s="12">
        <f>+SUMIF('TUNZ Extracted TB'!M:M,'NW PARTS 230'!O33,'TUNZ Extracted TB'!H:H)</f>
        <v>3</v>
      </c>
      <c r="C33" s="12">
        <f>HLOOKUP(J1,'Input Sheet'!1:1048576,43,FALSE)</f>
        <v>4</v>
      </c>
      <c r="F33" s="12"/>
      <c r="G33" s="12"/>
      <c r="H33" s="12"/>
      <c r="I33" s="12" t="e">
        <f>AVERAGE(F33:H33)</f>
        <v>#DIV/0!</v>
      </c>
      <c r="N33" s="3" t="s">
        <v>1678</v>
      </c>
      <c r="O33" s="3" t="s">
        <v>1679</v>
      </c>
      <c r="P33" s="3" t="s">
        <v>1680</v>
      </c>
      <c r="Q33" s="3" t="s">
        <v>1681</v>
      </c>
      <c r="R33" s="3"/>
    </row>
    <row r="34" spans="1:18" hidden="1" x14ac:dyDescent="0.25"/>
    <row r="35" spans="1:18" x14ac:dyDescent="0.25">
      <c r="A35" s="3" t="s">
        <v>1654</v>
      </c>
    </row>
    <row r="36" spans="1:18" x14ac:dyDescent="0.25">
      <c r="A36" s="3"/>
      <c r="B36" s="89">
        <f>(+SUMIF('TUNZ Extracted TB'!M:M,'NW PARTS 230'!N36,'TUNZ Extracted TB'!H:H)+SUMIF('TUNZ Extracted TB'!M:M,'NW PARTS 230'!O36,'TUNZ Extracted TB'!H:H))*$B$33/'PARTS GROUP'!$B$33</f>
        <v>430541.92499999999</v>
      </c>
      <c r="F36" s="89"/>
      <c r="G36" s="89"/>
      <c r="H36" s="89"/>
      <c r="I36" s="283"/>
      <c r="N36" s="3" t="s">
        <v>1682</v>
      </c>
      <c r="O36" s="3" t="s">
        <v>1683</v>
      </c>
    </row>
    <row r="38" spans="1:18" x14ac:dyDescent="0.25">
      <c r="A38" s="24" t="s">
        <v>1684</v>
      </c>
      <c r="B38" s="89">
        <f>-SUMIF(Export!$P:$P,$N$38,Export!$L:$L)</f>
        <v>0</v>
      </c>
      <c r="C38" s="92">
        <f>-'Input Sheet'!W171</f>
        <v>9375</v>
      </c>
      <c r="N38" s="3" t="s">
        <v>1687</v>
      </c>
    </row>
    <row r="39" spans="1:18" x14ac:dyDescent="0.25">
      <c r="A39" s="27" t="s">
        <v>1685</v>
      </c>
      <c r="B39" s="91">
        <f>B30-B23+B38</f>
        <v>-8101.0100000000075</v>
      </c>
      <c r="C39" s="92">
        <f>C30-C23+C38</f>
        <v>38573.005102539195</v>
      </c>
    </row>
    <row r="42" spans="1:18" x14ac:dyDescent="0.25">
      <c r="B42" s="278"/>
      <c r="C42" s="279"/>
    </row>
    <row r="47" spans="1:18" x14ac:dyDescent="0.25">
      <c r="C47" s="195"/>
    </row>
    <row r="48" spans="1:18" x14ac:dyDescent="0.25">
      <c r="C48" s="195"/>
    </row>
    <row r="49" spans="3:3" x14ac:dyDescent="0.25">
      <c r="C49" s="292"/>
    </row>
    <row r="50" spans="3:3" x14ac:dyDescent="0.25">
      <c r="C50" s="268"/>
    </row>
    <row r="51" spans="3:3" x14ac:dyDescent="0.25">
      <c r="C51" s="195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A34DC-6EBC-4339-961F-22F30ACF7E28}">
  <sheetPr>
    <tabColor theme="9" tint="0.79998168889431442"/>
  </sheetPr>
  <dimension ref="A1:AL41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2" width="10.140625" style="16" bestFit="1" customWidth="1" outlineLevel="1"/>
    <col min="3" max="5" width="9.7109375" style="16" customWidth="1" outlineLevel="1"/>
    <col min="6" max="9" width="9.7109375" style="16" customWidth="1"/>
    <col min="10" max="11" width="9.7109375" style="16" hidden="1" customWidth="1"/>
    <col min="12" max="12" width="9.140625" style="16" customWidth="1"/>
    <col min="13" max="13" width="9.140625" style="16"/>
    <col min="14" max="14" width="23.42578125" style="3" customWidth="1" outlineLevel="1"/>
    <col min="15" max="17" width="11.7109375" style="3" customWidth="1" outlineLevel="1"/>
    <col min="18" max="20" width="9.140625" style="52" customWidth="1" outlineLevel="1"/>
    <col min="21" max="25" width="9.140625" style="16" customWidth="1" outlineLevel="1"/>
    <col min="26" max="28" width="9.140625" style="52" customWidth="1" outlineLevel="1"/>
    <col min="29" max="36" width="9.140625" style="16" customWidth="1" outlineLevel="1"/>
    <col min="37" max="16384" width="9.140625" style="16"/>
  </cols>
  <sheetData>
    <row r="1" spans="1:38" ht="15" customHeight="1" x14ac:dyDescent="0.25">
      <c r="A1" s="326" t="s">
        <v>1604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38" ht="6.6" customHeight="1" thickBot="1" x14ac:dyDescent="0.3"/>
    <row r="3" spans="1:38" ht="15.75" thickTop="1" x14ac:dyDescent="0.25">
      <c r="A3" s="38" t="s">
        <v>1591</v>
      </c>
      <c r="B3" s="350" t="s">
        <v>155</v>
      </c>
      <c r="C3" s="329"/>
      <c r="D3" s="329"/>
      <c r="E3" s="329"/>
      <c r="F3" s="350" t="s">
        <v>1629</v>
      </c>
      <c r="G3" s="350"/>
      <c r="H3" s="329"/>
      <c r="I3" s="329"/>
      <c r="J3" s="329"/>
      <c r="K3" s="345"/>
    </row>
    <row r="4" spans="1:38" x14ac:dyDescent="0.25">
      <c r="A4" s="39" t="s">
        <v>1591</v>
      </c>
      <c r="B4" s="40"/>
      <c r="C4" s="40"/>
      <c r="D4" s="351"/>
      <c r="E4" s="331"/>
      <c r="F4" s="40"/>
      <c r="G4" s="40"/>
      <c r="H4" s="40"/>
      <c r="I4" s="40"/>
      <c r="J4" s="351"/>
      <c r="K4" s="347"/>
    </row>
    <row r="5" spans="1:38" x14ac:dyDescent="0.25">
      <c r="A5" s="39" t="s">
        <v>98</v>
      </c>
      <c r="B5" s="41" t="s">
        <v>12</v>
      </c>
      <c r="C5" s="41" t="s">
        <v>1592</v>
      </c>
      <c r="D5" s="42" t="s">
        <v>1609</v>
      </c>
      <c r="E5" s="42" t="s">
        <v>1610</v>
      </c>
      <c r="F5" s="262" t="str">
        <f>OVERALL!F5</f>
        <v>0124</v>
      </c>
      <c r="G5" s="262" t="str">
        <f>OVERALL!G5</f>
        <v>0224</v>
      </c>
      <c r="H5" s="262" t="str">
        <f>OVERALL!H5</f>
        <v>0324</v>
      </c>
      <c r="I5" s="41" t="str">
        <f>OVERALL!I5</f>
        <v>Q124</v>
      </c>
      <c r="J5" s="42" t="s">
        <v>1609</v>
      </c>
      <c r="K5" s="43" t="s">
        <v>1610</v>
      </c>
    </row>
    <row r="6" spans="1:38" x14ac:dyDescent="0.25">
      <c r="A6" s="24" t="s">
        <v>1122</v>
      </c>
      <c r="B6" s="51">
        <f>+R16/$R$22</f>
        <v>0.25357907293427212</v>
      </c>
      <c r="C6" s="96">
        <f>+V16/$V$22</f>
        <v>0.16596986807267286</v>
      </c>
      <c r="D6" s="109">
        <f>+B6-C6</f>
        <v>8.760920486159926E-2</v>
      </c>
      <c r="E6" s="118">
        <f>IFERROR(+D6/C6,0)</f>
        <v>0.52786211062864741</v>
      </c>
      <c r="F6" s="51"/>
      <c r="G6" s="51"/>
      <c r="H6" s="51"/>
      <c r="I6" s="96" t="e">
        <f>AVERAGE(F6:H6)</f>
        <v>#DIV/0!</v>
      </c>
      <c r="J6" s="126">
        <f>+F6-H6</f>
        <v>0</v>
      </c>
      <c r="K6" s="122">
        <f t="shared" ref="K6:K30" si="0">IFERROR(+J6/H6,0)</f>
        <v>0</v>
      </c>
      <c r="N6" s="3" t="s">
        <v>1122</v>
      </c>
      <c r="O6" s="3" t="s">
        <v>1201</v>
      </c>
    </row>
    <row r="7" spans="1:38" x14ac:dyDescent="0.25">
      <c r="A7" s="24" t="s">
        <v>1127</v>
      </c>
      <c r="B7" s="51">
        <f t="shared" ref="B7:B11" si="1">+R17/$R$22</f>
        <v>0.28785993397380782</v>
      </c>
      <c r="C7" s="96">
        <f t="shared" ref="C7:C11" si="2">+V17/$V$22</f>
        <v>0.3637712850016836</v>
      </c>
      <c r="D7" s="109">
        <f t="shared" ref="D7:D12" si="3">+B7-C7</f>
        <v>-7.5911351027875773E-2</v>
      </c>
      <c r="E7" s="118">
        <f t="shared" ref="E7:E30" si="4">IFERROR(+D7/C7,0)</f>
        <v>-0.20867878845226731</v>
      </c>
      <c r="F7" s="51"/>
      <c r="G7" s="51"/>
      <c r="H7" s="51"/>
      <c r="I7" s="96" t="e">
        <f t="shared" ref="I7:I12" si="5">AVERAGE(F7:H7)</f>
        <v>#DIV/0!</v>
      </c>
      <c r="J7" s="126">
        <f t="shared" ref="J7:J12" si="6">+F7-H7</f>
        <v>0</v>
      </c>
      <c r="K7" s="122">
        <f t="shared" si="0"/>
        <v>0</v>
      </c>
    </row>
    <row r="8" spans="1:38" x14ac:dyDescent="0.25">
      <c r="A8" s="24" t="s">
        <v>1132</v>
      </c>
      <c r="B8" s="51">
        <f t="shared" si="1"/>
        <v>0.37615071170974396</v>
      </c>
      <c r="C8" s="96">
        <f t="shared" si="2"/>
        <v>0.28610501221609791</v>
      </c>
      <c r="D8" s="109">
        <f t="shared" si="3"/>
        <v>9.0045699493646048E-2</v>
      </c>
      <c r="E8" s="118">
        <f t="shared" si="4"/>
        <v>0.31472954212222487</v>
      </c>
      <c r="F8" s="51"/>
      <c r="G8" s="51"/>
      <c r="H8" s="51"/>
      <c r="I8" s="96" t="e">
        <f t="shared" si="5"/>
        <v>#DIV/0!</v>
      </c>
      <c r="J8" s="126">
        <f t="shared" si="6"/>
        <v>0</v>
      </c>
      <c r="K8" s="122">
        <f t="shared" si="0"/>
        <v>0</v>
      </c>
    </row>
    <row r="9" spans="1:38" x14ac:dyDescent="0.25">
      <c r="A9" s="24" t="s">
        <v>1140</v>
      </c>
      <c r="B9" s="51">
        <f t="shared" si="1"/>
        <v>5.1088819876884919E-2</v>
      </c>
      <c r="C9" s="96">
        <f t="shared" si="2"/>
        <v>0.15177155744553925</v>
      </c>
      <c r="D9" s="109">
        <f t="shared" si="3"/>
        <v>-0.10068273756865433</v>
      </c>
      <c r="E9" s="118">
        <f t="shared" si="4"/>
        <v>-0.66338343799880084</v>
      </c>
      <c r="F9" s="51"/>
      <c r="G9" s="51"/>
      <c r="H9" s="51"/>
      <c r="I9" s="96" t="e">
        <f t="shared" si="5"/>
        <v>#DIV/0!</v>
      </c>
      <c r="J9" s="126">
        <f t="shared" si="6"/>
        <v>0</v>
      </c>
      <c r="K9" s="122">
        <f t="shared" si="0"/>
        <v>0</v>
      </c>
    </row>
    <row r="10" spans="1:38" x14ac:dyDescent="0.25">
      <c r="A10" s="24" t="s">
        <v>1145</v>
      </c>
      <c r="B10" s="51">
        <f t="shared" si="1"/>
        <v>3.13214615052912E-2</v>
      </c>
      <c r="C10" s="96">
        <f t="shared" si="2"/>
        <v>3.2382277264006436E-2</v>
      </c>
      <c r="D10" s="109">
        <f t="shared" si="3"/>
        <v>-1.0608157587152361E-3</v>
      </c>
      <c r="E10" s="118">
        <f t="shared" si="4"/>
        <v>-3.2759146309155801E-2</v>
      </c>
      <c r="F10" s="51"/>
      <c r="G10" s="51"/>
      <c r="H10" s="51"/>
      <c r="I10" s="96" t="e">
        <f t="shared" si="5"/>
        <v>#DIV/0!</v>
      </c>
      <c r="J10" s="126">
        <f t="shared" si="6"/>
        <v>0</v>
      </c>
      <c r="K10" s="122">
        <f t="shared" si="0"/>
        <v>0</v>
      </c>
    </row>
    <row r="11" spans="1:38" x14ac:dyDescent="0.25">
      <c r="A11" s="24" t="s">
        <v>1137</v>
      </c>
      <c r="B11" s="51">
        <f t="shared" si="1"/>
        <v>0</v>
      </c>
      <c r="C11" s="96">
        <f t="shared" si="2"/>
        <v>0</v>
      </c>
      <c r="D11" s="109">
        <f t="shared" si="3"/>
        <v>0</v>
      </c>
      <c r="E11" s="118">
        <f t="shared" si="4"/>
        <v>0</v>
      </c>
      <c r="F11" s="51"/>
      <c r="G11" s="51"/>
      <c r="H11" s="51"/>
      <c r="I11" s="96" t="e">
        <f t="shared" si="5"/>
        <v>#DIV/0!</v>
      </c>
      <c r="J11" s="126">
        <f t="shared" si="6"/>
        <v>0</v>
      </c>
      <c r="K11" s="122">
        <f t="shared" si="0"/>
        <v>0</v>
      </c>
    </row>
    <row r="12" spans="1:38" x14ac:dyDescent="0.25">
      <c r="A12" s="24" t="s">
        <v>1666</v>
      </c>
      <c r="B12" s="53">
        <f>SUM(B6:B11)</f>
        <v>1</v>
      </c>
      <c r="C12" s="96">
        <f>SUM(C6:C11)</f>
        <v>1</v>
      </c>
      <c r="D12" s="109">
        <f t="shared" si="3"/>
        <v>0</v>
      </c>
      <c r="E12" s="118">
        <f t="shared" si="4"/>
        <v>0</v>
      </c>
      <c r="F12" s="51"/>
      <c r="G12" s="51"/>
      <c r="H12" s="51"/>
      <c r="I12" s="96" t="e">
        <f t="shared" si="5"/>
        <v>#DIV/0!</v>
      </c>
      <c r="J12" s="126">
        <f t="shared" si="6"/>
        <v>0</v>
      </c>
      <c r="K12" s="122">
        <f t="shared" si="0"/>
        <v>0</v>
      </c>
    </row>
    <row r="13" spans="1:38" s="28" customFormat="1" x14ac:dyDescent="0.25">
      <c r="A13" s="27" t="s">
        <v>1667</v>
      </c>
      <c r="B13" s="91">
        <f>-R22</f>
        <v>145681.57999999999</v>
      </c>
      <c r="C13" s="92">
        <f>-V22</f>
        <v>133423.69593786297</v>
      </c>
      <c r="D13" s="101">
        <f>+B13-C13</f>
        <v>12257.884062137018</v>
      </c>
      <c r="E13" s="119">
        <f t="shared" si="4"/>
        <v>9.1871867107066671E-2</v>
      </c>
      <c r="F13" s="91"/>
      <c r="G13" s="91"/>
      <c r="H13" s="91"/>
      <c r="I13" s="92">
        <f>SUM(F13:H13)</f>
        <v>0</v>
      </c>
      <c r="J13" s="101">
        <f>+F13-H13</f>
        <v>0</v>
      </c>
      <c r="K13" s="123">
        <f t="shared" si="0"/>
        <v>0</v>
      </c>
      <c r="N13" s="50"/>
      <c r="O13" s="50"/>
      <c r="P13" s="50"/>
      <c r="Q13" s="50"/>
      <c r="R13" s="170" t="s">
        <v>1641</v>
      </c>
      <c r="S13" s="170" t="s">
        <v>1641</v>
      </c>
      <c r="T13" s="170" t="s">
        <v>1641</v>
      </c>
      <c r="V13" s="170" t="s">
        <v>1641</v>
      </c>
      <c r="W13" s="170" t="s">
        <v>1641</v>
      </c>
      <c r="X13" s="170" t="s">
        <v>1641</v>
      </c>
      <c r="Z13" s="170" t="s">
        <v>156</v>
      </c>
      <c r="AA13" s="170" t="s">
        <v>156</v>
      </c>
      <c r="AB13" s="170" t="s">
        <v>156</v>
      </c>
      <c r="AD13" s="170" t="s">
        <v>156</v>
      </c>
      <c r="AE13" s="170" t="s">
        <v>156</v>
      </c>
      <c r="AF13" s="170" t="s">
        <v>156</v>
      </c>
    </row>
    <row r="14" spans="1:38" x14ac:dyDescent="0.25">
      <c r="A14" s="24" t="s">
        <v>1668</v>
      </c>
      <c r="B14" s="89">
        <f>+B13/B33</f>
        <v>145681.57999999999</v>
      </c>
      <c r="C14" s="90">
        <f>+C13/C33</f>
        <v>133423.69593786297</v>
      </c>
      <c r="D14" s="100">
        <f>+B14-C14</f>
        <v>12257.884062137018</v>
      </c>
      <c r="E14" s="118">
        <f t="shared" si="4"/>
        <v>9.1871867107066671E-2</v>
      </c>
      <c r="F14" s="89"/>
      <c r="G14" s="89"/>
      <c r="H14" s="89"/>
      <c r="I14" s="90" t="e">
        <f>AVERAGE(F14,G14,H14)</f>
        <v>#DIV/0!</v>
      </c>
      <c r="J14" s="100">
        <f>+F14-H14</f>
        <v>0</v>
      </c>
      <c r="K14" s="122">
        <f t="shared" si="0"/>
        <v>0</v>
      </c>
      <c r="R14" s="95" t="s">
        <v>12</v>
      </c>
      <c r="S14" s="95" t="s">
        <v>12</v>
      </c>
      <c r="T14" s="95" t="s">
        <v>12</v>
      </c>
      <c r="V14" s="95" t="s">
        <v>1592</v>
      </c>
      <c r="W14" s="95" t="s">
        <v>1592</v>
      </c>
      <c r="X14" s="95" t="s">
        <v>1592</v>
      </c>
      <c r="Z14" s="95" t="s">
        <v>12</v>
      </c>
      <c r="AA14" s="95" t="s">
        <v>12</v>
      </c>
      <c r="AB14" s="95" t="s">
        <v>12</v>
      </c>
      <c r="AD14" s="95" t="s">
        <v>1592</v>
      </c>
      <c r="AE14" s="95" t="s">
        <v>1592</v>
      </c>
      <c r="AF14" s="95" t="s">
        <v>1592</v>
      </c>
    </row>
    <row r="15" spans="1:38" x14ac:dyDescent="0.25">
      <c r="A15" s="24" t="s">
        <v>1669</v>
      </c>
      <c r="B15" s="146">
        <f>+B36/S22*30</f>
        <v>35.602544362404394</v>
      </c>
      <c r="C15" s="147">
        <f>+B36/W22*30</f>
        <v>39.352164872820133</v>
      </c>
      <c r="D15" s="148">
        <f>+C15-B15</f>
        <v>3.7496205104157383</v>
      </c>
      <c r="E15" s="118">
        <f t="shared" si="4"/>
        <v>9.5283716220795192E-2</v>
      </c>
      <c r="F15" s="146"/>
      <c r="G15" s="146"/>
      <c r="H15" s="146"/>
      <c r="I15" s="147" t="e">
        <f t="shared" ref="I15:I22" si="7">AVERAGE(F15:H15)</f>
        <v>#DIV/0!</v>
      </c>
      <c r="J15" s="148">
        <f>+H15-F15</f>
        <v>0</v>
      </c>
      <c r="K15" s="122">
        <f t="shared" si="0"/>
        <v>0</v>
      </c>
      <c r="R15" s="3" t="s">
        <v>1642</v>
      </c>
      <c r="S15" s="3" t="s">
        <v>180</v>
      </c>
      <c r="T15" s="3" t="s">
        <v>153</v>
      </c>
      <c r="U15" s="3"/>
      <c r="V15" s="3" t="s">
        <v>1642</v>
      </c>
      <c r="W15" s="3" t="s">
        <v>180</v>
      </c>
      <c r="X15" s="3" t="s">
        <v>153</v>
      </c>
      <c r="Y15" s="3"/>
      <c r="Z15" s="3" t="s">
        <v>1642</v>
      </c>
      <c r="AA15" s="3" t="s">
        <v>180</v>
      </c>
      <c r="AB15" s="3" t="s">
        <v>153</v>
      </c>
      <c r="AC15" s="3"/>
      <c r="AD15" s="3" t="s">
        <v>1642</v>
      </c>
      <c r="AE15" s="3" t="s">
        <v>180</v>
      </c>
      <c r="AF15" s="3" t="s">
        <v>153</v>
      </c>
      <c r="AG15" s="3"/>
      <c r="AH15" s="3"/>
      <c r="AI15" s="3"/>
      <c r="AJ15" s="3"/>
      <c r="AK15" s="3"/>
      <c r="AL15" s="3"/>
    </row>
    <row r="16" spans="1:38" x14ac:dyDescent="0.25">
      <c r="A16" s="24" t="s">
        <v>1201</v>
      </c>
      <c r="B16" s="130">
        <f>IFERROR(+T16/R16,0)</f>
        <v>0.14581476809467847</v>
      </c>
      <c r="C16" s="131">
        <f>+IFERROR(X16/V16,0)</f>
        <v>0.16219169627520774</v>
      </c>
      <c r="D16" s="128">
        <f t="shared" ref="D16:D22" si="8">+B16-C16</f>
        <v>-1.6376928180529271E-2</v>
      </c>
      <c r="E16" s="118">
        <f t="shared" si="4"/>
        <v>-0.10097266726121916</v>
      </c>
      <c r="F16" s="133"/>
      <c r="G16" s="133"/>
      <c r="H16" s="133"/>
      <c r="I16" s="131" t="e">
        <f t="shared" si="7"/>
        <v>#DIV/0!</v>
      </c>
      <c r="J16" s="126">
        <f t="shared" ref="J16:J22" si="9">+F16-H16</f>
        <v>0</v>
      </c>
      <c r="K16" s="122">
        <f t="shared" si="0"/>
        <v>0</v>
      </c>
      <c r="M16" s="162">
        <v>330</v>
      </c>
      <c r="N16" s="3" t="s">
        <v>1122</v>
      </c>
      <c r="O16" s="3" t="s">
        <v>1201</v>
      </c>
      <c r="R16" s="52">
        <f>+SUMIFS(Export!L:L,Export!I:I,N16,Export!E:E,M16)</f>
        <v>-36941.799999999996</v>
      </c>
      <c r="S16" s="52">
        <f>+SUMIFS(Export!L:L,Export!I:I,O16,Export!E:E,M16)</f>
        <v>31555.140000000003</v>
      </c>
      <c r="T16" s="52">
        <f>+SUM(R16:S16)</f>
        <v>-5386.6599999999926</v>
      </c>
      <c r="V16" s="52">
        <f>+SUMIFS(Export!N:N,Export!I:I,N16,Export!E:E,M16)</f>
        <v>-22144.313212575536</v>
      </c>
      <c r="W16" s="52">
        <f>+SUMIFS(Export!N:N,Export!I:I,O16,Export!E:E,M16)</f>
        <v>18552.689489778415</v>
      </c>
      <c r="X16" s="52">
        <f>+SUM(V16:W16)</f>
        <v>-3591.6237227971214</v>
      </c>
      <c r="Z16" s="52">
        <f>+SUMIF(Export!$I:$I,'NW PARTS 330'!N16,Export!M:M)</f>
        <v>0</v>
      </c>
      <c r="AA16" s="52">
        <f>+SUMIF(Export!$I:$I,'NW PARTS 330'!O16,Export!M:M)</f>
        <v>0</v>
      </c>
      <c r="AB16" s="52">
        <f>+SUM(Z16:AA16)</f>
        <v>0</v>
      </c>
      <c r="AD16" s="52">
        <f>+SUMIF(Export!$I:$I,'NW PARTS 330'!N16,Export!O:O)</f>
        <v>0</v>
      </c>
      <c r="AE16" s="52">
        <f>+SUMIF(Export!$I:$I,'NW PARTS 330'!O16,Export!O:O)</f>
        <v>0</v>
      </c>
      <c r="AF16" s="52">
        <f>+SUM(AD16:AE16)</f>
        <v>0</v>
      </c>
    </row>
    <row r="17" spans="1:32" x14ac:dyDescent="0.25">
      <c r="A17" s="24" t="s">
        <v>1209</v>
      </c>
      <c r="B17" s="130">
        <f t="shared" ref="B17:B22" si="10">IFERROR(+T17/R17,0)</f>
        <v>0.125766735843689</v>
      </c>
      <c r="C17" s="131">
        <f t="shared" ref="C17:C22" si="11">+IFERROR(X17/V17,0)</f>
        <v>0.14983744024607792</v>
      </c>
      <c r="D17" s="128">
        <f t="shared" si="8"/>
        <v>-2.4070704402388926E-2</v>
      </c>
      <c r="E17" s="118">
        <f t="shared" si="4"/>
        <v>-0.16064545925809748</v>
      </c>
      <c r="F17" s="133"/>
      <c r="G17" s="133"/>
      <c r="H17" s="133"/>
      <c r="I17" s="131" t="e">
        <f t="shared" si="7"/>
        <v>#DIV/0!</v>
      </c>
      <c r="J17" s="126">
        <f t="shared" si="9"/>
        <v>0</v>
      </c>
      <c r="K17" s="122">
        <f t="shared" si="0"/>
        <v>0</v>
      </c>
      <c r="M17" s="162">
        <v>330</v>
      </c>
      <c r="N17" s="3" t="s">
        <v>1127</v>
      </c>
      <c r="O17" s="3" t="s">
        <v>1209</v>
      </c>
      <c r="R17" s="52">
        <f>+SUMIFS(Export!L:L,Export!I:I,N17,Export!E:E,M17)</f>
        <v>-41935.89</v>
      </c>
      <c r="S17" s="52">
        <f>+SUMIFS(Export!L:L,Export!I:I,O17,Export!E:E,M17)</f>
        <v>36661.75</v>
      </c>
      <c r="T17" s="52">
        <f t="shared" ref="T17:T21" si="12">+SUM(R17:S17)</f>
        <v>-5274.1399999999994</v>
      </c>
      <c r="V17" s="52">
        <f>+SUMIFS(Export!N:N,Export!I:I,N17,Export!E:E,M17)</f>
        <v>-48535.709320990325</v>
      </c>
      <c r="W17" s="52">
        <f>+SUMIFS(Export!N:N,Export!I:I,O17,Export!E:E,M17)</f>
        <v>41263.24287580543</v>
      </c>
      <c r="X17" s="52">
        <f t="shared" ref="X17:X21" si="13">+SUM(V17:W17)</f>
        <v>-7272.4664451848948</v>
      </c>
      <c r="Z17" s="52">
        <f>+SUMIF(Export!$I:$I,'NW PARTS 330'!N17,Export!M:M)</f>
        <v>0</v>
      </c>
      <c r="AA17" s="52">
        <f>+SUMIF(Export!$I:$I,'NW PARTS 330'!O17,Export!M:M)</f>
        <v>0</v>
      </c>
      <c r="AB17" s="52">
        <f t="shared" ref="AB17:AB21" si="14">+SUM(Z17:AA17)</f>
        <v>0</v>
      </c>
      <c r="AD17" s="52">
        <f>+SUMIF(Export!$I:$I,'NW PARTS 330'!N17,Export!O:O)</f>
        <v>0</v>
      </c>
      <c r="AE17" s="52">
        <f>+SUMIF(Export!$I:$I,'NW PARTS 330'!O17,Export!O:O)</f>
        <v>0</v>
      </c>
      <c r="AF17" s="52">
        <f t="shared" ref="AF17:AF21" si="15">+SUM(AD17:AE17)</f>
        <v>0</v>
      </c>
    </row>
    <row r="18" spans="1:32" x14ac:dyDescent="0.25">
      <c r="A18" s="24" t="s">
        <v>1216</v>
      </c>
      <c r="B18" s="130">
        <f t="shared" si="10"/>
        <v>0.25685811384783774</v>
      </c>
      <c r="C18" s="131">
        <f t="shared" si="11"/>
        <v>0.27996409595688515</v>
      </c>
      <c r="D18" s="128">
        <f t="shared" si="8"/>
        <v>-2.3105982109047407E-2</v>
      </c>
      <c r="E18" s="118">
        <f t="shared" si="4"/>
        <v>-8.2531947641621015E-2</v>
      </c>
      <c r="F18" s="133"/>
      <c r="G18" s="133"/>
      <c r="H18" s="133"/>
      <c r="I18" s="131" t="e">
        <f t="shared" si="7"/>
        <v>#DIV/0!</v>
      </c>
      <c r="J18" s="126">
        <f t="shared" si="9"/>
        <v>0</v>
      </c>
      <c r="K18" s="122">
        <f t="shared" si="0"/>
        <v>0</v>
      </c>
      <c r="M18" s="162">
        <v>330</v>
      </c>
      <c r="N18" s="3" t="s">
        <v>1132</v>
      </c>
      <c r="O18" s="3" t="s">
        <v>1216</v>
      </c>
      <c r="R18" s="52">
        <f>+SUMIFS(Export!L:L,Export!I:I,N18,Export!E:E,M18)</f>
        <v>-54798.229999999996</v>
      </c>
      <c r="S18" s="52">
        <f>+SUMIFS(Export!L:L,Export!I:I,O18,Export!E:E,M18)</f>
        <v>40722.86</v>
      </c>
      <c r="T18" s="52">
        <f t="shared" si="12"/>
        <v>-14075.369999999995</v>
      </c>
      <c r="V18" s="52">
        <f>+SUMIFS(Export!N:N,Export!I:I,N18,Export!E:E,M18)</f>
        <v>-38173.188156219221</v>
      </c>
      <c r="W18" s="52">
        <f>+SUMIFS(Export!N:N,Export!I:I,O18,Export!E:E,M18)</f>
        <v>27486.066044271232</v>
      </c>
      <c r="X18" s="52">
        <f t="shared" si="13"/>
        <v>-10687.122111947989</v>
      </c>
      <c r="Z18" s="52">
        <f>+SUMIF(Export!$I:$I,'NW PARTS 330'!N18,Export!M:M)</f>
        <v>0</v>
      </c>
      <c r="AA18" s="52">
        <f>+SUMIF(Export!$I:$I,'NW PARTS 330'!O18,Export!M:M)</f>
        <v>0</v>
      </c>
      <c r="AB18" s="52">
        <f t="shared" si="14"/>
        <v>0</v>
      </c>
      <c r="AD18" s="52">
        <f>+SUMIF(Export!$I:$I,'NW PARTS 330'!N18,Export!O:O)</f>
        <v>0</v>
      </c>
      <c r="AE18" s="52">
        <f>+SUMIF(Export!$I:$I,'NW PARTS 330'!O18,Export!O:O)</f>
        <v>0</v>
      </c>
      <c r="AF18" s="52">
        <f t="shared" si="15"/>
        <v>0</v>
      </c>
    </row>
    <row r="19" spans="1:32" x14ac:dyDescent="0.25">
      <c r="A19" s="24" t="s">
        <v>1225</v>
      </c>
      <c r="B19" s="130">
        <f t="shared" si="10"/>
        <v>4.677200478321035E-2</v>
      </c>
      <c r="C19" s="131">
        <f t="shared" si="11"/>
        <v>6.9364600111076494E-2</v>
      </c>
      <c r="D19" s="128">
        <f t="shared" si="8"/>
        <v>-2.2592595327866144E-2</v>
      </c>
      <c r="E19" s="118">
        <f t="shared" si="4"/>
        <v>-0.3257078580671936</v>
      </c>
      <c r="F19" s="133"/>
      <c r="G19" s="133"/>
      <c r="H19" s="133"/>
      <c r="I19" s="131" t="e">
        <f t="shared" si="7"/>
        <v>#DIV/0!</v>
      </c>
      <c r="J19" s="126">
        <f t="shared" si="9"/>
        <v>0</v>
      </c>
      <c r="K19" s="122">
        <f t="shared" si="0"/>
        <v>0</v>
      </c>
      <c r="M19" s="162">
        <v>330</v>
      </c>
      <c r="N19" s="3" t="s">
        <v>1140</v>
      </c>
      <c r="O19" s="3" t="s">
        <v>1225</v>
      </c>
      <c r="R19" s="52">
        <f>+SUMIFS(Export!L:L,Export!I:I,N19,Export!E:E,M19)</f>
        <v>-7442.7</v>
      </c>
      <c r="S19" s="52">
        <f>+SUMIFS(Export!L:L,Export!I:I,O19,Export!E:E,M19)</f>
        <v>7094.59</v>
      </c>
      <c r="T19" s="52">
        <f t="shared" si="12"/>
        <v>-348.10999999999967</v>
      </c>
      <c r="V19" s="52">
        <f>+SUMIFS(Export!N:N,Export!I:I,N19,Export!E:E,M19)</f>
        <v>-20249.92213262953</v>
      </c>
      <c r="W19" s="52">
        <f>+SUMIFS(Export!N:N,Export!I:I,O19,Export!E:E,M19)</f>
        <v>18845.294381619246</v>
      </c>
      <c r="X19" s="52">
        <f t="shared" si="13"/>
        <v>-1404.6277510102846</v>
      </c>
      <c r="Z19" s="52">
        <f>+SUMIF(Export!$I:$I,'NW PARTS 330'!N19,Export!M:M)</f>
        <v>0</v>
      </c>
      <c r="AA19" s="52">
        <f>+SUMIF(Export!$I:$I,'NW PARTS 330'!O19,Export!M:M)</f>
        <v>0</v>
      </c>
      <c r="AB19" s="52">
        <f t="shared" si="14"/>
        <v>0</v>
      </c>
      <c r="AD19" s="52">
        <f>+SUMIF(Export!$I:$I,'NW PARTS 330'!N19,Export!O:O)</f>
        <v>0</v>
      </c>
      <c r="AE19" s="52">
        <f>+SUMIF(Export!$I:$I,'NW PARTS 330'!O19,Export!O:O)</f>
        <v>0</v>
      </c>
      <c r="AF19" s="52">
        <f t="shared" si="15"/>
        <v>0</v>
      </c>
    </row>
    <row r="20" spans="1:32" x14ac:dyDescent="0.25">
      <c r="A20" s="24" t="s">
        <v>1230</v>
      </c>
      <c r="B20" s="130">
        <f t="shared" si="10"/>
        <v>0.14432517488647723</v>
      </c>
      <c r="C20" s="131">
        <f t="shared" si="11"/>
        <v>0.24543681217928487</v>
      </c>
      <c r="D20" s="128">
        <f t="shared" si="8"/>
        <v>-0.10111163729280764</v>
      </c>
      <c r="E20" s="118">
        <f t="shared" si="4"/>
        <v>-0.41196606326091118</v>
      </c>
      <c r="F20" s="133"/>
      <c r="G20" s="133"/>
      <c r="H20" s="133"/>
      <c r="I20" s="131" t="e">
        <f t="shared" si="7"/>
        <v>#DIV/0!</v>
      </c>
      <c r="J20" s="126">
        <f t="shared" si="9"/>
        <v>0</v>
      </c>
      <c r="K20" s="122">
        <f t="shared" si="0"/>
        <v>0</v>
      </c>
      <c r="M20" s="162">
        <v>330</v>
      </c>
      <c r="N20" s="3" t="s">
        <v>1145</v>
      </c>
      <c r="O20" s="3" t="s">
        <v>1230</v>
      </c>
      <c r="R20" s="52">
        <f>+SUMIFS(Export!L:L,Export!I:I,N20,Export!E:E,M20)</f>
        <v>-4562.96</v>
      </c>
      <c r="S20" s="52">
        <f>+SUMIFS(Export!L:L,Export!I:I,O20,Export!E:E,M20)</f>
        <v>3904.41</v>
      </c>
      <c r="T20" s="52">
        <f t="shared" si="12"/>
        <v>-658.55000000000018</v>
      </c>
      <c r="V20" s="52">
        <f>+SUMIFS(Export!N:N,Export!I:I,N20,Export!E:E,M20)</f>
        <v>-4320.5631154483681</v>
      </c>
      <c r="W20" s="52">
        <f>+SUMIFS(Export!N:N,Export!I:I,O20,Export!E:E,M20)</f>
        <v>3260.137877573321</v>
      </c>
      <c r="X20" s="52">
        <f t="shared" si="13"/>
        <v>-1060.4252378750471</v>
      </c>
      <c r="Z20" s="52">
        <f>+SUMIF(Export!$I:$I,'NW PARTS 330'!N20,Export!M:M)</f>
        <v>0</v>
      </c>
      <c r="AA20" s="52">
        <f>+SUMIF(Export!$I:$I,'NW PARTS 330'!O20,Export!M:M)</f>
        <v>0</v>
      </c>
      <c r="AB20" s="52">
        <f t="shared" si="14"/>
        <v>0</v>
      </c>
      <c r="AD20" s="52">
        <f>+SUMIF(Export!$I:$I,'NW PARTS 330'!N20,Export!O:O)</f>
        <v>0</v>
      </c>
      <c r="AE20" s="52">
        <f>+SUMIF(Export!$I:$I,'NW PARTS 330'!O20,Export!O:O)</f>
        <v>0</v>
      </c>
      <c r="AF20" s="52">
        <f t="shared" si="15"/>
        <v>0</v>
      </c>
    </row>
    <row r="21" spans="1:32" x14ac:dyDescent="0.25">
      <c r="A21" s="24" t="s">
        <v>1222</v>
      </c>
      <c r="B21" s="130">
        <f t="shared" si="10"/>
        <v>0</v>
      </c>
      <c r="C21" s="131">
        <f t="shared" si="11"/>
        <v>0</v>
      </c>
      <c r="D21" s="128">
        <f t="shared" si="8"/>
        <v>0</v>
      </c>
      <c r="E21" s="118">
        <f t="shared" si="4"/>
        <v>0</v>
      </c>
      <c r="F21" s="133"/>
      <c r="G21" s="133"/>
      <c r="H21" s="133"/>
      <c r="I21" s="131" t="e">
        <f t="shared" si="7"/>
        <v>#DIV/0!</v>
      </c>
      <c r="J21" s="126">
        <f t="shared" si="9"/>
        <v>0</v>
      </c>
      <c r="K21" s="122">
        <f t="shared" si="0"/>
        <v>0</v>
      </c>
      <c r="M21" s="162">
        <v>330</v>
      </c>
      <c r="N21" s="3" t="s">
        <v>1137</v>
      </c>
      <c r="O21" s="3" t="s">
        <v>1222</v>
      </c>
      <c r="R21" s="52">
        <f>+SUMIFS(Export!L:L,Export!I:I,N21,Export!E:E,M21)</f>
        <v>0</v>
      </c>
      <c r="S21" s="52">
        <f>+SUMIFS(Export!L:L,Export!I:I,O21,Export!E:E,M21)</f>
        <v>991.34999999999991</v>
      </c>
      <c r="T21" s="52">
        <f t="shared" si="12"/>
        <v>991.34999999999991</v>
      </c>
      <c r="V21" s="52">
        <f>+SUMIFS(Export!N:N,Export!I:I,N21,Export!E:E,M21)</f>
        <v>0</v>
      </c>
      <c r="W21" s="52">
        <f>+SUMIFS(Export!N:N,Export!I:I,O21,Export!E:E,M21)</f>
        <v>0</v>
      </c>
      <c r="X21" s="52">
        <f t="shared" si="13"/>
        <v>0</v>
      </c>
      <c r="Z21" s="52">
        <f>+SUMIF(Export!$I:$I,'NW PARTS 330'!N21,Export!M:M)</f>
        <v>0</v>
      </c>
      <c r="AA21" s="52">
        <f>+SUMIF(Export!$I:$I,'NW PARTS 330'!O21,Export!M:M)</f>
        <v>0</v>
      </c>
      <c r="AB21" s="52">
        <f t="shared" si="14"/>
        <v>0</v>
      </c>
      <c r="AD21" s="52">
        <f>+SUMIF(Export!$I:$I,'NW PARTS 330'!N21,Export!O:O)</f>
        <v>0</v>
      </c>
      <c r="AE21" s="52">
        <f>+SUMIF(Export!$I:$I,'NW PARTS 330'!O21,Export!O:O)</f>
        <v>0</v>
      </c>
      <c r="AF21" s="52">
        <f t="shared" si="15"/>
        <v>0</v>
      </c>
    </row>
    <row r="22" spans="1:32" x14ac:dyDescent="0.25">
      <c r="A22" s="24" t="s">
        <v>1670</v>
      </c>
      <c r="B22" s="130">
        <f t="shared" si="10"/>
        <v>0.16990123253742848</v>
      </c>
      <c r="C22" s="131">
        <f t="shared" si="11"/>
        <v>0.18000000000000002</v>
      </c>
      <c r="D22" s="128">
        <f t="shared" si="8"/>
        <v>-1.0098767462571545E-2</v>
      </c>
      <c r="E22" s="118">
        <f t="shared" si="4"/>
        <v>-5.6104263680953025E-2</v>
      </c>
      <c r="F22" s="133"/>
      <c r="G22" s="133"/>
      <c r="H22" s="133"/>
      <c r="I22" s="131" t="e">
        <f t="shared" si="7"/>
        <v>#DIV/0!</v>
      </c>
      <c r="J22" s="126">
        <f t="shared" si="9"/>
        <v>0</v>
      </c>
      <c r="K22" s="122">
        <f t="shared" si="0"/>
        <v>0</v>
      </c>
      <c r="R22" s="52">
        <f>SUM(R16:R21)</f>
        <v>-145681.57999999999</v>
      </c>
      <c r="S22" s="52">
        <f t="shared" ref="S22:T22" si="16">SUM(S16:S21)</f>
        <v>120930.1</v>
      </c>
      <c r="T22" s="52">
        <f t="shared" si="16"/>
        <v>-24751.479999999989</v>
      </c>
      <c r="V22" s="52">
        <f>SUM(V16:V21)</f>
        <v>-133423.69593786297</v>
      </c>
      <c r="W22" s="52">
        <f t="shared" ref="W22:X22" si="17">SUM(W16:W21)</f>
        <v>109407.43066904764</v>
      </c>
      <c r="X22" s="52">
        <f t="shared" si="17"/>
        <v>-24016.265268815336</v>
      </c>
      <c r="Z22" s="52">
        <f>SUM(Z16:Z21)</f>
        <v>0</v>
      </c>
      <c r="AA22" s="52">
        <f t="shared" ref="AA22:AB22" si="18">SUM(AA16:AA21)</f>
        <v>0</v>
      </c>
      <c r="AB22" s="52">
        <f t="shared" si="18"/>
        <v>0</v>
      </c>
      <c r="AD22" s="52">
        <f>SUM(AD16:AD21)</f>
        <v>0</v>
      </c>
      <c r="AE22" s="52">
        <f t="shared" ref="AE22:AF22" si="19">SUM(AE16:AE21)</f>
        <v>0</v>
      </c>
      <c r="AF22" s="52">
        <f t="shared" si="19"/>
        <v>0</v>
      </c>
    </row>
    <row r="23" spans="1:32" x14ac:dyDescent="0.25">
      <c r="A23" s="24" t="s">
        <v>60</v>
      </c>
      <c r="B23" s="89">
        <f>-T23</f>
        <v>0</v>
      </c>
      <c r="C23" s="90">
        <f>-X23</f>
        <v>0</v>
      </c>
      <c r="D23" s="100">
        <f>+B23-C23</f>
        <v>0</v>
      </c>
      <c r="E23" s="118">
        <f t="shared" si="4"/>
        <v>0</v>
      </c>
      <c r="F23" s="89"/>
      <c r="G23" s="89"/>
      <c r="H23" s="89"/>
      <c r="I23" s="90">
        <f>SUM(F23:H23)</f>
        <v>0</v>
      </c>
      <c r="J23" s="100">
        <f>+F23-H23</f>
        <v>0</v>
      </c>
      <c r="K23" s="122">
        <f t="shared" si="0"/>
        <v>0</v>
      </c>
      <c r="L23" s="162">
        <v>340</v>
      </c>
      <c r="M23" s="162">
        <v>330</v>
      </c>
      <c r="N23" s="3" t="s">
        <v>60</v>
      </c>
      <c r="T23" s="52">
        <f>+SUMIFS(Export!L:L,Export!I:I,N23,Export!E:E,M23)+SUMIFS(Export!L:L,Export!I:I,N23,Export!E:E,L23)</f>
        <v>0</v>
      </c>
      <c r="V23" s="52"/>
      <c r="W23" s="52"/>
      <c r="X23" s="52">
        <f>+SUMIFS(Export!N:N,Export!I:I,N23,Export!E:E,L23)++SUMIFS(Export!N:N,Export!I:I,N23,Export!E:E,M23)</f>
        <v>0</v>
      </c>
      <c r="AB23" s="52">
        <f>+SUMIF(Export!$I:$I,'NW PARTS 330'!N23,Export!M:M)</f>
        <v>0</v>
      </c>
      <c r="AD23" s="52"/>
      <c r="AE23" s="52"/>
      <c r="AF23" s="52">
        <f>+SUMIF(Export!$I:$I,'NW PARTS 330'!N23,Export!O:O)</f>
        <v>0</v>
      </c>
    </row>
    <row r="24" spans="1:32" x14ac:dyDescent="0.25">
      <c r="A24" s="27" t="s">
        <v>1671</v>
      </c>
      <c r="B24" s="91">
        <f>-T22+B23</f>
        <v>24751.479999999989</v>
      </c>
      <c r="C24" s="92">
        <f>-X22+C23</f>
        <v>24016.265268815336</v>
      </c>
      <c r="D24" s="101">
        <f>+B24-C24</f>
        <v>735.21473118465292</v>
      </c>
      <c r="E24" s="119">
        <f t="shared" si="4"/>
        <v>3.0613199969077427E-2</v>
      </c>
      <c r="F24" s="91"/>
      <c r="G24" s="91"/>
      <c r="H24" s="91"/>
      <c r="I24" s="92">
        <f>SUM(F24:H24)</f>
        <v>0</v>
      </c>
      <c r="J24" s="101">
        <f>+F24-H24</f>
        <v>0</v>
      </c>
      <c r="K24" s="123">
        <f t="shared" si="0"/>
        <v>0</v>
      </c>
      <c r="V24" s="52"/>
      <c r="W24" s="52"/>
      <c r="X24" s="52"/>
      <c r="AD24" s="52"/>
      <c r="AE24" s="52"/>
      <c r="AF24" s="52"/>
    </row>
    <row r="25" spans="1:32" x14ac:dyDescent="0.25">
      <c r="A25" s="24" t="s">
        <v>1672</v>
      </c>
      <c r="B25" s="130">
        <f>+B24/B13</f>
        <v>0.16990123253742848</v>
      </c>
      <c r="C25" s="131">
        <f>+C24/C13</f>
        <v>0.18000000000000002</v>
      </c>
      <c r="D25" s="128">
        <f t="shared" ref="D25" si="20">+B25-C25</f>
        <v>-1.0098767462571545E-2</v>
      </c>
      <c r="E25" s="129">
        <f t="shared" si="4"/>
        <v>-5.6104263680953025E-2</v>
      </c>
      <c r="F25" s="130"/>
      <c r="G25" s="130"/>
      <c r="H25" s="130"/>
      <c r="I25" s="131" t="e">
        <f t="shared" ref="I25:I29" si="21">AVERAGE(F25:H25)</f>
        <v>#DIV/0!</v>
      </c>
      <c r="J25" s="128">
        <f t="shared" ref="J25" si="22">+F25-H25</f>
        <v>0</v>
      </c>
      <c r="K25" s="125">
        <f t="shared" si="0"/>
        <v>0</v>
      </c>
      <c r="V25" s="52"/>
      <c r="W25" s="52"/>
      <c r="X25" s="52"/>
      <c r="AD25" s="52"/>
      <c r="AE25" s="52"/>
      <c r="AF25" s="52"/>
    </row>
    <row r="26" spans="1:32" x14ac:dyDescent="0.25">
      <c r="A26" s="24" t="s">
        <v>1255</v>
      </c>
      <c r="B26" s="130">
        <f>IFERROR(SUMIFS(Export!L:L,Export!I:I,N26,Export!E:E,M26),0)/$B$13</f>
        <v>4.4668790659738868E-2</v>
      </c>
      <c r="C26" s="131">
        <f>IFERROR(SUMIFS(Export!N:N,Export!I:I,N26,Export!E:E,M26),0)/$C$13</f>
        <v>9.5760927228327228E-2</v>
      </c>
      <c r="D26" s="128">
        <f>+C26-B26</f>
        <v>5.109213656858836E-2</v>
      </c>
      <c r="E26" s="129">
        <f t="shared" si="4"/>
        <v>0.53353844879516465</v>
      </c>
      <c r="F26" s="130"/>
      <c r="G26" s="130"/>
      <c r="H26" s="130"/>
      <c r="I26" s="131" t="e">
        <f t="shared" si="21"/>
        <v>#DIV/0!</v>
      </c>
      <c r="J26" s="128">
        <f>+H26-F26</f>
        <v>0</v>
      </c>
      <c r="K26" s="125">
        <f t="shared" si="0"/>
        <v>0</v>
      </c>
      <c r="M26" s="162">
        <v>330</v>
      </c>
      <c r="N26" s="3" t="s">
        <v>1255</v>
      </c>
      <c r="T26" s="52">
        <f>+SUMIFS(Export!L:L,Export!I:I,N26,Export!E:E,M26)</f>
        <v>6507.42</v>
      </c>
      <c r="V26" s="52"/>
      <c r="W26" s="52"/>
      <c r="X26" s="52">
        <f>+SUMIFS(Export!N:N,Export!I:I,N26,Export!E:E,M26)</f>
        <v>12776.776837240155</v>
      </c>
      <c r="AB26" s="52">
        <f>+SUMIF(Export!$I:$I,'NW PARTS 330'!N26,Export!M:M)</f>
        <v>0</v>
      </c>
      <c r="AD26" s="52"/>
      <c r="AE26" s="52"/>
      <c r="AF26" s="52">
        <f>+SUMIF(Export!$I:$I,'NW PARTS 330'!N26,Export!O:O)</f>
        <v>0</v>
      </c>
    </row>
    <row r="27" spans="1:32" x14ac:dyDescent="0.25">
      <c r="A27" s="24" t="s">
        <v>1286</v>
      </c>
      <c r="B27" s="130">
        <f>IFERROR(SUMIFS(Export!L:L,Export!I:I,N27,Export!E:E,M27),0)/$B$13</f>
        <v>4.3553893361123631E-3</v>
      </c>
      <c r="C27" s="131">
        <f>IFERROR(SUMIFS(Export!N:N,Export!I:I,N27,Export!E:E,M27),0)/$C$13</f>
        <v>0</v>
      </c>
      <c r="D27" s="128">
        <f>+C27-B27</f>
        <v>-4.3553893361123631E-3</v>
      </c>
      <c r="E27" s="129">
        <f t="shared" si="4"/>
        <v>0</v>
      </c>
      <c r="F27" s="130"/>
      <c r="G27" s="130"/>
      <c r="H27" s="130"/>
      <c r="I27" s="131" t="e">
        <f t="shared" si="21"/>
        <v>#DIV/0!</v>
      </c>
      <c r="J27" s="128">
        <f>+H27-F27</f>
        <v>0</v>
      </c>
      <c r="K27" s="125">
        <f t="shared" si="0"/>
        <v>0</v>
      </c>
      <c r="M27" s="162">
        <v>330</v>
      </c>
      <c r="N27" s="3" t="s">
        <v>1286</v>
      </c>
      <c r="T27" s="52">
        <f>+SUMIFS(Export!L:L,Export!I:I,N27,Export!E:E,M27)</f>
        <v>634.5</v>
      </c>
      <c r="V27" s="52"/>
      <c r="W27" s="52"/>
      <c r="X27" s="52">
        <f>+SUMIFS(Export!N:N,Export!I:I,N27,Export!E:E,M27)</f>
        <v>0</v>
      </c>
      <c r="AB27" s="52">
        <f>+SUMIF(Export!J:J,'NW PARTS 330'!N27,Export!M:M)</f>
        <v>0</v>
      </c>
      <c r="AD27" s="52"/>
      <c r="AE27" s="52"/>
      <c r="AF27" s="52">
        <f>+SUMIF(Export!$J:$J,'NW PARTS 330'!N27,Export!O:O)</f>
        <v>0</v>
      </c>
    </row>
    <row r="28" spans="1:32" x14ac:dyDescent="0.25">
      <c r="A28" s="24" t="s">
        <v>1674</v>
      </c>
      <c r="B28" s="132">
        <f>+SUM(B26:B27)</f>
        <v>4.9024179995851229E-2</v>
      </c>
      <c r="C28" s="131">
        <f>+SUM(C26:C27)</f>
        <v>9.5760927228327228E-2</v>
      </c>
      <c r="D28" s="128">
        <f>+C28-B28</f>
        <v>4.6736747232475999E-2</v>
      </c>
      <c r="E28" s="129">
        <f t="shared" si="4"/>
        <v>0.4880565444091764</v>
      </c>
      <c r="F28" s="130"/>
      <c r="G28" s="130"/>
      <c r="H28" s="130"/>
      <c r="I28" s="131" t="e">
        <f t="shared" si="21"/>
        <v>#DIV/0!</v>
      </c>
      <c r="J28" s="128">
        <f>+H28-F28</f>
        <v>0</v>
      </c>
      <c r="K28" s="125">
        <f t="shared" si="0"/>
        <v>0</v>
      </c>
      <c r="V28" s="52"/>
      <c r="W28" s="52"/>
      <c r="X28" s="52"/>
      <c r="AD28" s="52"/>
      <c r="AE28" s="52"/>
      <c r="AF28" s="52"/>
    </row>
    <row r="29" spans="1:32" x14ac:dyDescent="0.25">
      <c r="A29" s="24" t="s">
        <v>1675</v>
      </c>
      <c r="B29" s="132">
        <f>+B25-B28</f>
        <v>0.12087705254157724</v>
      </c>
      <c r="C29" s="131">
        <f>+C25-C28</f>
        <v>8.4239072771672793E-2</v>
      </c>
      <c r="D29" s="128">
        <f>+B29-C29</f>
        <v>3.6637979769904447E-2</v>
      </c>
      <c r="E29" s="129">
        <f t="shared" si="4"/>
        <v>0.43492857369418669</v>
      </c>
      <c r="F29" s="130"/>
      <c r="G29" s="130"/>
      <c r="H29" s="130"/>
      <c r="I29" s="131" t="e">
        <f t="shared" si="21"/>
        <v>#DIV/0!</v>
      </c>
      <c r="J29" s="128">
        <f>+F29-H29</f>
        <v>0</v>
      </c>
      <c r="K29" s="125">
        <f t="shared" si="0"/>
        <v>0</v>
      </c>
      <c r="V29" s="52"/>
      <c r="W29" s="52"/>
      <c r="X29" s="52"/>
      <c r="AD29" s="52"/>
      <c r="AE29" s="52"/>
      <c r="AF29" s="52"/>
    </row>
    <row r="30" spans="1:32" s="28" customFormat="1" ht="15.75" thickBot="1" x14ac:dyDescent="0.3">
      <c r="A30" s="29" t="s">
        <v>1676</v>
      </c>
      <c r="B30" s="94">
        <f>-T30</f>
        <v>17609.55999999999</v>
      </c>
      <c r="C30" s="93">
        <f>-X30</f>
        <v>11239.488431575181</v>
      </c>
      <c r="D30" s="108">
        <f>+B30-C30</f>
        <v>6370.0715684248098</v>
      </c>
      <c r="E30" s="120">
        <f t="shared" si="4"/>
        <v>0.5667581409247523</v>
      </c>
      <c r="F30" s="94"/>
      <c r="G30" s="94"/>
      <c r="H30" s="94"/>
      <c r="I30" s="93">
        <f>SUM(F30:H30)</f>
        <v>0</v>
      </c>
      <c r="J30" s="108">
        <f>+F30-H30</f>
        <v>0</v>
      </c>
      <c r="K30" s="124">
        <f t="shared" si="0"/>
        <v>0</v>
      </c>
      <c r="N30" s="3"/>
      <c r="O30" s="3"/>
      <c r="P30" s="3"/>
      <c r="Q30" s="3"/>
      <c r="R30" s="52"/>
      <c r="S30" s="52"/>
      <c r="T30" s="52">
        <f>+SUM(T22:T29)</f>
        <v>-17609.55999999999</v>
      </c>
      <c r="V30" s="52"/>
      <c r="W30" s="52"/>
      <c r="X30" s="52">
        <f>+SUM(X22:X29)</f>
        <v>-11239.488431575181</v>
      </c>
      <c r="Z30" s="52"/>
      <c r="AA30" s="52"/>
      <c r="AB30" s="52">
        <f>+SUM(AB22:AB29)</f>
        <v>0</v>
      </c>
      <c r="AD30" s="52"/>
      <c r="AE30" s="52"/>
      <c r="AF30" s="52">
        <f>+SUM(AF22:AF29)</f>
        <v>0</v>
      </c>
    </row>
    <row r="31" spans="1:32" ht="0" hidden="1" customHeight="1" x14ac:dyDescent="0.25">
      <c r="E31" s="121"/>
      <c r="H31" s="51"/>
      <c r="K31" s="121"/>
      <c r="V31" s="52"/>
      <c r="W31" s="52"/>
      <c r="X31" s="52"/>
      <c r="AD31" s="52"/>
      <c r="AE31" s="52"/>
      <c r="AF31" s="52"/>
    </row>
    <row r="32" spans="1:32" ht="15.75" thickTop="1" x14ac:dyDescent="0.25">
      <c r="E32" s="121"/>
      <c r="K32" s="121"/>
      <c r="V32" s="52"/>
      <c r="W32" s="52"/>
      <c r="X32" s="52"/>
      <c r="AD32" s="52"/>
      <c r="AE32" s="52"/>
      <c r="AF32" s="52"/>
    </row>
    <row r="33" spans="1:18" s="149" customFormat="1" x14ac:dyDescent="0.25">
      <c r="A33" s="10" t="s">
        <v>1677</v>
      </c>
      <c r="B33" s="12">
        <f>+SUMIF('TUNZ Extracted TB'!M:M,'NW PARTS 330'!P33,'TUNZ Extracted TB'!H:H)</f>
        <v>1</v>
      </c>
      <c r="C33" s="12">
        <f>HLOOKUP(J1,'Input Sheet'!1:1048576,44,FALSE)</f>
        <v>1</v>
      </c>
      <c r="F33" s="12"/>
      <c r="G33" s="12"/>
      <c r="H33" s="12"/>
      <c r="I33" s="12" t="e">
        <f>AVERAGE(F33:H33)</f>
        <v>#DIV/0!</v>
      </c>
      <c r="N33" s="3" t="s">
        <v>1678</v>
      </c>
      <c r="O33" s="3" t="s">
        <v>1679</v>
      </c>
      <c r="P33" s="3" t="s">
        <v>1680</v>
      </c>
      <c r="Q33" s="3" t="s">
        <v>1681</v>
      </c>
      <c r="R33" s="3"/>
    </row>
    <row r="34" spans="1:18" hidden="1" x14ac:dyDescent="0.25"/>
    <row r="35" spans="1:18" x14ac:dyDescent="0.25">
      <c r="A35" s="3" t="s">
        <v>1654</v>
      </c>
    </row>
    <row r="36" spans="1:18" x14ac:dyDescent="0.25">
      <c r="A36" s="3"/>
      <c r="B36" s="89">
        <f>(+SUMIF('TUNZ Extracted TB'!M:M,'NW PARTS 330'!N36,'TUNZ Extracted TB'!H:H)+SUMIF('TUNZ Extracted TB'!M:M,'NW PARTS 330'!O36,'TUNZ Extracted TB'!H:H))*$B$33/'PARTS GROUP'!$B$33</f>
        <v>143513.97500000001</v>
      </c>
      <c r="F36" s="89"/>
      <c r="G36" s="89"/>
      <c r="H36" s="89"/>
      <c r="I36" s="283"/>
      <c r="N36" s="3" t="s">
        <v>1682</v>
      </c>
      <c r="O36" s="3" t="s">
        <v>1683</v>
      </c>
    </row>
    <row r="38" spans="1:18" x14ac:dyDescent="0.25">
      <c r="A38" s="24" t="s">
        <v>1684</v>
      </c>
      <c r="B38" s="89">
        <f>-SUMIF(Export!$P:$P,$N$38,Export!$L:$L)</f>
        <v>0</v>
      </c>
      <c r="C38" s="92">
        <f>-'Input Sheet'!W172</f>
        <v>9375</v>
      </c>
      <c r="N38" s="3" t="s">
        <v>1688</v>
      </c>
    </row>
    <row r="39" spans="1:18" x14ac:dyDescent="0.25">
      <c r="A39" s="27" t="s">
        <v>1685</v>
      </c>
      <c r="B39" s="91">
        <f>B30-B23+B38</f>
        <v>17609.55999999999</v>
      </c>
      <c r="C39" s="92">
        <f>C30-C23+C38</f>
        <v>20614.488431575181</v>
      </c>
    </row>
    <row r="40" spans="1:18" x14ac:dyDescent="0.25">
      <c r="C40" s="268"/>
    </row>
    <row r="41" spans="1:18" x14ac:dyDescent="0.25">
      <c r="C41" s="195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C1E92-61F4-4F74-ABEA-4EF8D64E25E1}">
  <sheetPr>
    <tabColor theme="9" tint="0.79998168889431442"/>
  </sheetPr>
  <dimension ref="A1:AL41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2" width="10.28515625" style="16" customWidth="1" outlineLevel="1"/>
    <col min="3" max="5" width="9.7109375" style="16" customWidth="1" outlineLevel="1"/>
    <col min="6" max="9" width="9.7109375" style="16" customWidth="1"/>
    <col min="10" max="11" width="9.7109375" style="16" hidden="1" customWidth="1"/>
    <col min="12" max="12" width="9.140625" style="16" customWidth="1"/>
    <col min="13" max="13" width="3.140625" style="16" bestFit="1" customWidth="1"/>
    <col min="14" max="14" width="23.42578125" style="3" customWidth="1" outlineLevel="1"/>
    <col min="15" max="15" width="29.140625" style="3" customWidth="1" outlineLevel="1"/>
    <col min="16" max="17" width="8.5703125" style="3" customWidth="1" outlineLevel="1"/>
    <col min="18" max="18" width="6" style="52" customWidth="1" outlineLevel="1"/>
    <col min="19" max="20" width="5.5703125" style="52" customWidth="1" outlineLevel="1"/>
    <col min="21" max="21" width="9.140625" style="16" customWidth="1" outlineLevel="1"/>
    <col min="22" max="22" width="6" style="16" customWidth="1" outlineLevel="1"/>
    <col min="23" max="24" width="5.5703125" style="16" customWidth="1" outlineLevel="1"/>
    <col min="25" max="25" width="9.140625" style="16" customWidth="1" outlineLevel="1"/>
    <col min="26" max="28" width="4.85546875" style="52" customWidth="1" outlineLevel="1"/>
    <col min="29" max="29" width="9.140625" style="16" customWidth="1" outlineLevel="1"/>
    <col min="30" max="32" width="5.28515625" style="16" customWidth="1" outlineLevel="1"/>
    <col min="33" max="35" width="9.140625" style="16" customWidth="1" outlineLevel="1"/>
    <col min="36" max="36" width="0.140625" style="16" customWidth="1" outlineLevel="1"/>
    <col min="37" max="16384" width="9.140625" style="16"/>
  </cols>
  <sheetData>
    <row r="1" spans="1:38" ht="15" customHeight="1" x14ac:dyDescent="0.25">
      <c r="A1" s="326" t="s">
        <v>1604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38" ht="6.6" customHeight="1" thickBot="1" x14ac:dyDescent="0.3"/>
    <row r="3" spans="1:38" ht="15.75" thickTop="1" x14ac:dyDescent="0.25">
      <c r="A3" s="38" t="s">
        <v>1591</v>
      </c>
      <c r="B3" s="350" t="s">
        <v>155</v>
      </c>
      <c r="C3" s="329"/>
      <c r="D3" s="329"/>
      <c r="E3" s="329"/>
      <c r="F3" s="350" t="s">
        <v>1629</v>
      </c>
      <c r="G3" s="350"/>
      <c r="H3" s="329"/>
      <c r="I3" s="329"/>
      <c r="J3" s="329"/>
      <c r="K3" s="345"/>
    </row>
    <row r="4" spans="1:38" x14ac:dyDescent="0.25">
      <c r="A4" s="39" t="s">
        <v>1591</v>
      </c>
      <c r="B4" s="40"/>
      <c r="C4" s="40"/>
      <c r="D4" s="351"/>
      <c r="E4" s="331"/>
      <c r="F4" s="40"/>
      <c r="G4" s="40"/>
      <c r="H4" s="40"/>
      <c r="I4" s="40"/>
      <c r="J4" s="351"/>
      <c r="K4" s="347"/>
    </row>
    <row r="5" spans="1:38" x14ac:dyDescent="0.25">
      <c r="A5" s="39" t="s">
        <v>98</v>
      </c>
      <c r="B5" s="41" t="s">
        <v>12</v>
      </c>
      <c r="C5" s="41" t="s">
        <v>1592</v>
      </c>
      <c r="D5" s="42" t="s">
        <v>1609</v>
      </c>
      <c r="E5" s="42" t="s">
        <v>1610</v>
      </c>
      <c r="F5" s="262" t="str">
        <f>OVERALL!F5</f>
        <v>0124</v>
      </c>
      <c r="G5" s="262" t="str">
        <f>OVERALL!G5</f>
        <v>0224</v>
      </c>
      <c r="H5" s="262" t="str">
        <f>OVERALL!H5</f>
        <v>0324</v>
      </c>
      <c r="I5" s="41" t="str">
        <f>OVERALL!I5</f>
        <v>Q124</v>
      </c>
      <c r="J5" s="42" t="s">
        <v>1609</v>
      </c>
      <c r="K5" s="43" t="s">
        <v>1610</v>
      </c>
    </row>
    <row r="6" spans="1:38" x14ac:dyDescent="0.25">
      <c r="A6" s="24" t="s">
        <v>1122</v>
      </c>
      <c r="B6" s="51">
        <f>+R16/$R$22</f>
        <v>0.14936017431949558</v>
      </c>
      <c r="C6" s="96">
        <f>+V16/$V$22</f>
        <v>0.10652364729141302</v>
      </c>
      <c r="D6" s="109">
        <f>+B6-C6</f>
        <v>4.2836527028082563E-2</v>
      </c>
      <c r="E6" s="118">
        <f>IFERROR(+D6/C6,0)</f>
        <v>0.40213162163792771</v>
      </c>
      <c r="F6" s="51"/>
      <c r="G6" s="51"/>
      <c r="H6" s="51"/>
      <c r="I6" s="96" t="e">
        <f>AVERAGE(F6:H6)</f>
        <v>#DIV/0!</v>
      </c>
      <c r="J6" s="126">
        <f>+F6-H6</f>
        <v>0</v>
      </c>
      <c r="K6" s="122">
        <f t="shared" ref="K6:K30" si="0">IFERROR(+J6/H6,0)</f>
        <v>0</v>
      </c>
      <c r="N6" s="3" t="s">
        <v>1122</v>
      </c>
      <c r="O6" s="3" t="s">
        <v>1201</v>
      </c>
    </row>
    <row r="7" spans="1:38" x14ac:dyDescent="0.25">
      <c r="A7" s="24" t="s">
        <v>1127</v>
      </c>
      <c r="B7" s="51">
        <f t="shared" ref="B7:B11" si="1">+R17/$R$22</f>
        <v>3.2219744142981538E-2</v>
      </c>
      <c r="C7" s="96">
        <f t="shared" ref="C7:C11" si="2">+V17/$V$22</f>
        <v>1.5416244761843138E-2</v>
      </c>
      <c r="D7" s="109">
        <f t="shared" ref="D7:D12" si="3">+B7-C7</f>
        <v>1.6803499381138398E-2</v>
      </c>
      <c r="E7" s="118">
        <f t="shared" ref="E7:E30" si="4">IFERROR(+D7/C7,0)</f>
        <v>1.089986546057498</v>
      </c>
      <c r="F7" s="51"/>
      <c r="G7" s="51"/>
      <c r="H7" s="51"/>
      <c r="I7" s="96" t="e">
        <f t="shared" ref="I7:I12" si="5">AVERAGE(F7:H7)</f>
        <v>#DIV/0!</v>
      </c>
      <c r="J7" s="126">
        <f t="shared" ref="J7:J12" si="6">+F7-H7</f>
        <v>0</v>
      </c>
      <c r="K7" s="122">
        <f t="shared" si="0"/>
        <v>0</v>
      </c>
    </row>
    <row r="8" spans="1:38" x14ac:dyDescent="0.25">
      <c r="A8" s="24" t="s">
        <v>1132</v>
      </c>
      <c r="B8" s="51">
        <f t="shared" si="1"/>
        <v>0.19806719993358324</v>
      </c>
      <c r="C8" s="96">
        <f t="shared" si="2"/>
        <v>7.1425426031007891E-2</v>
      </c>
      <c r="D8" s="109">
        <f t="shared" si="3"/>
        <v>0.12664177390257536</v>
      </c>
      <c r="E8" s="118">
        <f t="shared" si="4"/>
        <v>1.7730629124647632</v>
      </c>
      <c r="F8" s="51"/>
      <c r="G8" s="51"/>
      <c r="H8" s="51"/>
      <c r="I8" s="96" t="e">
        <f t="shared" si="5"/>
        <v>#DIV/0!</v>
      </c>
      <c r="J8" s="126">
        <f t="shared" si="6"/>
        <v>0</v>
      </c>
      <c r="K8" s="122">
        <f t="shared" si="0"/>
        <v>0</v>
      </c>
    </row>
    <row r="9" spans="1:38" x14ac:dyDescent="0.25">
      <c r="A9" s="24" t="s">
        <v>1140</v>
      </c>
      <c r="B9" s="51">
        <f t="shared" si="1"/>
        <v>2.6062400592378618E-2</v>
      </c>
      <c r="C9" s="96">
        <f t="shared" si="2"/>
        <v>2.9941227536913362E-2</v>
      </c>
      <c r="D9" s="109">
        <f t="shared" si="3"/>
        <v>-3.878826944534744E-3</v>
      </c>
      <c r="E9" s="118">
        <f t="shared" si="4"/>
        <v>-0.12954802670507382</v>
      </c>
      <c r="F9" s="51"/>
      <c r="G9" s="51"/>
      <c r="H9" s="51"/>
      <c r="I9" s="96" t="e">
        <f t="shared" si="5"/>
        <v>#DIV/0!</v>
      </c>
      <c r="J9" s="126">
        <f t="shared" si="6"/>
        <v>0</v>
      </c>
      <c r="K9" s="122">
        <f t="shared" si="0"/>
        <v>0</v>
      </c>
    </row>
    <row r="10" spans="1:38" x14ac:dyDescent="0.25">
      <c r="A10" s="24" t="s">
        <v>1145</v>
      </c>
      <c r="B10" s="51">
        <f t="shared" si="1"/>
        <v>0.5942904810115609</v>
      </c>
      <c r="C10" s="96">
        <f t="shared" si="2"/>
        <v>0.77669345437882253</v>
      </c>
      <c r="D10" s="109">
        <f t="shared" si="3"/>
        <v>-0.18240297336726163</v>
      </c>
      <c r="E10" s="118">
        <f t="shared" si="4"/>
        <v>-0.23484551381103422</v>
      </c>
      <c r="F10" s="51"/>
      <c r="G10" s="51"/>
      <c r="H10" s="51"/>
      <c r="I10" s="96" t="e">
        <f t="shared" si="5"/>
        <v>#DIV/0!</v>
      </c>
      <c r="J10" s="126">
        <f t="shared" si="6"/>
        <v>0</v>
      </c>
      <c r="K10" s="122">
        <f t="shared" si="0"/>
        <v>0</v>
      </c>
    </row>
    <row r="11" spans="1:38" x14ac:dyDescent="0.25">
      <c r="A11" s="24" t="s">
        <v>1137</v>
      </c>
      <c r="B11" s="51">
        <f t="shared" si="1"/>
        <v>0</v>
      </c>
      <c r="C11" s="96">
        <f t="shared" si="2"/>
        <v>0</v>
      </c>
      <c r="D11" s="109">
        <f t="shared" si="3"/>
        <v>0</v>
      </c>
      <c r="E11" s="118">
        <f t="shared" si="4"/>
        <v>0</v>
      </c>
      <c r="F11" s="51"/>
      <c r="G11" s="51"/>
      <c r="H11" s="51"/>
      <c r="I11" s="96" t="e">
        <f t="shared" si="5"/>
        <v>#DIV/0!</v>
      </c>
      <c r="J11" s="126">
        <f t="shared" si="6"/>
        <v>0</v>
      </c>
      <c r="K11" s="122">
        <f t="shared" si="0"/>
        <v>0</v>
      </c>
    </row>
    <row r="12" spans="1:38" x14ac:dyDescent="0.25">
      <c r="A12" s="24" t="s">
        <v>1666</v>
      </c>
      <c r="B12" s="53">
        <f>SUM(B6:B11)</f>
        <v>0.99999999999999989</v>
      </c>
      <c r="C12" s="96">
        <f>SUM(C6:C11)</f>
        <v>1</v>
      </c>
      <c r="D12" s="109">
        <f t="shared" si="3"/>
        <v>0</v>
      </c>
      <c r="E12" s="118">
        <f t="shared" si="4"/>
        <v>0</v>
      </c>
      <c r="F12" s="51"/>
      <c r="G12" s="51"/>
      <c r="H12" s="51"/>
      <c r="I12" s="96" t="e">
        <f t="shared" si="5"/>
        <v>#DIV/0!</v>
      </c>
      <c r="J12" s="126">
        <f t="shared" si="6"/>
        <v>0</v>
      </c>
      <c r="K12" s="122">
        <f t="shared" si="0"/>
        <v>0</v>
      </c>
    </row>
    <row r="13" spans="1:38" s="28" customFormat="1" x14ac:dyDescent="0.25">
      <c r="A13" s="27" t="s">
        <v>1667</v>
      </c>
      <c r="B13" s="91">
        <f>-R22</f>
        <v>163814.15000000002</v>
      </c>
      <c r="C13" s="92">
        <f>-V22</f>
        <v>206104.67596250464</v>
      </c>
      <c r="D13" s="101">
        <f>+B13-C13</f>
        <v>-42290.525962504616</v>
      </c>
      <c r="E13" s="119">
        <f t="shared" si="4"/>
        <v>-0.20518955120745672</v>
      </c>
      <c r="F13" s="91"/>
      <c r="G13" s="91"/>
      <c r="H13" s="91"/>
      <c r="I13" s="92">
        <f>SUM(F13:H13)</f>
        <v>0</v>
      </c>
      <c r="J13" s="101">
        <f>+F13-H13</f>
        <v>0</v>
      </c>
      <c r="K13" s="123">
        <f t="shared" si="0"/>
        <v>0</v>
      </c>
      <c r="N13" s="50"/>
      <c r="O13" s="50"/>
      <c r="P13" s="50"/>
      <c r="Q13" s="50"/>
      <c r="R13" s="170" t="s">
        <v>1641</v>
      </c>
      <c r="S13" s="170" t="s">
        <v>1641</v>
      </c>
      <c r="T13" s="170" t="s">
        <v>1641</v>
      </c>
      <c r="V13" s="170" t="s">
        <v>1641</v>
      </c>
      <c r="W13" s="170" t="s">
        <v>1641</v>
      </c>
      <c r="X13" s="170" t="s">
        <v>1641</v>
      </c>
      <c r="Z13" s="170" t="s">
        <v>156</v>
      </c>
      <c r="AA13" s="170" t="s">
        <v>156</v>
      </c>
      <c r="AB13" s="170" t="s">
        <v>156</v>
      </c>
      <c r="AD13" s="170" t="s">
        <v>156</v>
      </c>
      <c r="AE13" s="170" t="s">
        <v>156</v>
      </c>
      <c r="AF13" s="170" t="s">
        <v>156</v>
      </c>
    </row>
    <row r="14" spans="1:38" x14ac:dyDescent="0.25">
      <c r="A14" s="24" t="s">
        <v>1668</v>
      </c>
      <c r="B14" s="89">
        <f>+B13/B33</f>
        <v>163814.15000000002</v>
      </c>
      <c r="C14" s="90">
        <f>+C13/C33</f>
        <v>206104.67596250464</v>
      </c>
      <c r="D14" s="100">
        <f>+B14-C14</f>
        <v>-42290.525962504616</v>
      </c>
      <c r="E14" s="118">
        <f t="shared" si="4"/>
        <v>-0.20518955120745672</v>
      </c>
      <c r="F14" s="89"/>
      <c r="G14" s="89"/>
      <c r="H14" s="89"/>
      <c r="I14" s="90" t="e">
        <f>AVERAGE(F14,G14,H14)</f>
        <v>#DIV/0!</v>
      </c>
      <c r="J14" s="100">
        <f>+F14-H14</f>
        <v>0</v>
      </c>
      <c r="K14" s="122">
        <f t="shared" si="0"/>
        <v>0</v>
      </c>
      <c r="R14" s="95" t="s">
        <v>12</v>
      </c>
      <c r="S14" s="95" t="s">
        <v>12</v>
      </c>
      <c r="T14" s="95" t="s">
        <v>12</v>
      </c>
      <c r="V14" s="95" t="s">
        <v>1592</v>
      </c>
      <c r="W14" s="95" t="s">
        <v>1592</v>
      </c>
      <c r="X14" s="95" t="s">
        <v>1592</v>
      </c>
      <c r="Z14" s="95" t="s">
        <v>12</v>
      </c>
      <c r="AA14" s="95" t="s">
        <v>12</v>
      </c>
      <c r="AB14" s="95" t="s">
        <v>12</v>
      </c>
      <c r="AD14" s="95" t="s">
        <v>1592</v>
      </c>
      <c r="AE14" s="95" t="s">
        <v>1592</v>
      </c>
      <c r="AF14" s="95" t="s">
        <v>1592</v>
      </c>
    </row>
    <row r="15" spans="1:38" x14ac:dyDescent="0.25">
      <c r="A15" s="24" t="s">
        <v>1669</v>
      </c>
      <c r="B15" s="146">
        <f>+B36/S22*30</f>
        <v>31.501905185791564</v>
      </c>
      <c r="C15" s="147">
        <f>+B36/W22*30</f>
        <v>25.47497409249948</v>
      </c>
      <c r="D15" s="148">
        <f>+C15-B15</f>
        <v>-6.0269310932920845</v>
      </c>
      <c r="E15" s="118">
        <f t="shared" si="4"/>
        <v>-0.23658242286756931</v>
      </c>
      <c r="F15" s="146"/>
      <c r="G15" s="146"/>
      <c r="H15" s="146"/>
      <c r="I15" s="147" t="e">
        <f t="shared" ref="I15:I22" si="7">AVERAGE(F15:H15)</f>
        <v>#DIV/0!</v>
      </c>
      <c r="J15" s="148">
        <f>+H15-F15</f>
        <v>0</v>
      </c>
      <c r="K15" s="122">
        <f t="shared" si="0"/>
        <v>0</v>
      </c>
      <c r="R15" s="3" t="s">
        <v>1642</v>
      </c>
      <c r="S15" s="3" t="s">
        <v>180</v>
      </c>
      <c r="T15" s="3" t="s">
        <v>153</v>
      </c>
      <c r="U15" s="3"/>
      <c r="V15" s="3" t="s">
        <v>1642</v>
      </c>
      <c r="W15" s="3" t="s">
        <v>180</v>
      </c>
      <c r="X15" s="3" t="s">
        <v>153</v>
      </c>
      <c r="Y15" s="3"/>
      <c r="Z15" s="3" t="s">
        <v>1642</v>
      </c>
      <c r="AA15" s="3" t="s">
        <v>180</v>
      </c>
      <c r="AB15" s="3" t="s">
        <v>153</v>
      </c>
      <c r="AC15" s="3"/>
      <c r="AD15" s="3" t="s">
        <v>1642</v>
      </c>
      <c r="AE15" s="3" t="s">
        <v>180</v>
      </c>
      <c r="AF15" s="3" t="s">
        <v>153</v>
      </c>
      <c r="AG15" s="3"/>
      <c r="AH15" s="3"/>
      <c r="AI15" s="3"/>
      <c r="AJ15" s="3"/>
      <c r="AK15" s="3"/>
      <c r="AL15" s="3"/>
    </row>
    <row r="16" spans="1:38" x14ac:dyDescent="0.25">
      <c r="A16" s="24" t="s">
        <v>1201</v>
      </c>
      <c r="B16" s="130">
        <f>IFERROR(+T16/R16,0)</f>
        <v>0.21426548321004638</v>
      </c>
      <c r="C16" s="131">
        <f>+IFERROR(X16/V16,0)</f>
        <v>0.22174041914163456</v>
      </c>
      <c r="D16" s="128">
        <f t="shared" ref="D16:D22" si="8">+B16-C16</f>
        <v>-7.4749359315881836E-3</v>
      </c>
      <c r="E16" s="118">
        <f t="shared" si="4"/>
        <v>-3.3710299459719338E-2</v>
      </c>
      <c r="F16" s="133"/>
      <c r="G16" s="133"/>
      <c r="H16" s="133"/>
      <c r="I16" s="131" t="e">
        <f t="shared" si="7"/>
        <v>#DIV/0!</v>
      </c>
      <c r="J16" s="126">
        <f t="shared" ref="J16:J22" si="9">+F16-H16</f>
        <v>0</v>
      </c>
      <c r="K16" s="122">
        <f t="shared" si="0"/>
        <v>0</v>
      </c>
      <c r="M16" s="162">
        <v>430</v>
      </c>
      <c r="N16" s="3" t="s">
        <v>1122</v>
      </c>
      <c r="O16" s="3" t="s">
        <v>1201</v>
      </c>
      <c r="R16" s="52">
        <f>+SUMIFS(Export!L:L,Export!I:I,N16,Export!E:E,M16)</f>
        <v>-24467.31</v>
      </c>
      <c r="S16" s="52">
        <f>+SUMIFS(Export!L:L,Export!I:I,O16,Export!E:E,M16)</f>
        <v>19224.810000000001</v>
      </c>
      <c r="T16" s="52">
        <f>+SUM(R16:S16)</f>
        <v>-5242.5</v>
      </c>
      <c r="V16" s="52">
        <f>+SUMIFS(Export!N:N,Export!I:I,N16,Export!E:E,M16)</f>
        <v>-21955.021807340814</v>
      </c>
      <c r="W16" s="52">
        <f>+SUMIFS(Export!N:N,Export!I:I,O16,Export!E:E,M16)</f>
        <v>17086.706069517335</v>
      </c>
      <c r="X16" s="52">
        <f>+SUM(V16:W16)</f>
        <v>-4868.3157378234791</v>
      </c>
      <c r="Z16" s="52">
        <f>+SUMIF(Export!$I:$I,'NW PARTS 430'!N16,Export!M:M)</f>
        <v>0</v>
      </c>
      <c r="AA16" s="52">
        <f>+SUMIF(Export!$I:$I,'NW PARTS 430'!O16,Export!M:M)</f>
        <v>0</v>
      </c>
      <c r="AB16" s="52">
        <f>+SUM(Z16:AA16)</f>
        <v>0</v>
      </c>
      <c r="AD16" s="52">
        <f>+SUMIF(Export!$I:$I,'NW PARTS 430'!N16,Export!O:O)</f>
        <v>0</v>
      </c>
      <c r="AE16" s="52">
        <f>+SUMIF(Export!$I:$I,'NW PARTS 430'!O16,Export!O:O)</f>
        <v>0</v>
      </c>
      <c r="AF16" s="52">
        <f>+SUM(AD16:AE16)</f>
        <v>0</v>
      </c>
    </row>
    <row r="17" spans="1:32" x14ac:dyDescent="0.25">
      <c r="A17" s="24" t="s">
        <v>1209</v>
      </c>
      <c r="B17" s="130">
        <f t="shared" ref="B17:B22" si="10">IFERROR(+T17/R17,0)</f>
        <v>-4.6538020670512804E-2</v>
      </c>
      <c r="C17" s="131">
        <f t="shared" ref="C17:C22" si="11">+IFERROR(X17/V17,0)</f>
        <v>0.17076759218529355</v>
      </c>
      <c r="D17" s="128">
        <f t="shared" si="8"/>
        <v>-0.21730561285580635</v>
      </c>
      <c r="E17" s="118">
        <f t="shared" si="4"/>
        <v>-1.2725225558021345</v>
      </c>
      <c r="F17" s="133"/>
      <c r="G17" s="133"/>
      <c r="H17" s="133"/>
      <c r="I17" s="131" t="e">
        <f t="shared" si="7"/>
        <v>#DIV/0!</v>
      </c>
      <c r="J17" s="126">
        <f t="shared" si="9"/>
        <v>0</v>
      </c>
      <c r="K17" s="122">
        <f t="shared" si="0"/>
        <v>0</v>
      </c>
      <c r="M17" s="162">
        <v>430</v>
      </c>
      <c r="N17" s="3" t="s">
        <v>1127</v>
      </c>
      <c r="O17" s="3" t="s">
        <v>1209</v>
      </c>
      <c r="R17" s="52">
        <f>+SUMIFS(Export!L:L,Export!I:I,N17,Export!E:E,M17)</f>
        <v>-5278.05</v>
      </c>
      <c r="S17" s="52">
        <f>+SUMIFS(Export!L:L,Export!I:I,O17,Export!E:E,M17)</f>
        <v>5523.68</v>
      </c>
      <c r="T17" s="52">
        <f t="shared" ref="T17:T21" si="12">+SUM(R17:S17)</f>
        <v>245.63000000000011</v>
      </c>
      <c r="V17" s="52">
        <f>+SUMIFS(Export!N:N,Export!I:I,N17,Export!E:E,M17)</f>
        <v>-3177.3601311983393</v>
      </c>
      <c r="W17" s="52">
        <f>+SUMIFS(Export!N:N,Export!I:I,O17,Export!E:E,M17)</f>
        <v>2634.7699920880505</v>
      </c>
      <c r="X17" s="52">
        <f t="shared" ref="X17:X21" si="13">+SUM(V17:W17)</f>
        <v>-542.59013911028887</v>
      </c>
      <c r="Z17" s="52">
        <f>+SUMIF(Export!$I:$I,'NW PARTS 430'!N17,Export!M:M)</f>
        <v>0</v>
      </c>
      <c r="AA17" s="52">
        <f>+SUMIF(Export!$I:$I,'NW PARTS 430'!O17,Export!M:M)</f>
        <v>0</v>
      </c>
      <c r="AB17" s="52">
        <f t="shared" ref="AB17:AB21" si="14">+SUM(Z17:AA17)</f>
        <v>0</v>
      </c>
      <c r="AD17" s="52">
        <f>+SUMIF(Export!$I:$I,'NW PARTS 430'!N17,Export!O:O)</f>
        <v>0</v>
      </c>
      <c r="AE17" s="52">
        <f>+SUMIF(Export!$I:$I,'NW PARTS 430'!O17,Export!O:O)</f>
        <v>0</v>
      </c>
      <c r="AF17" s="52">
        <f t="shared" ref="AF17:AF21" si="15">+SUM(AD17:AE17)</f>
        <v>0</v>
      </c>
    </row>
    <row r="18" spans="1:32" x14ac:dyDescent="0.25">
      <c r="A18" s="24" t="s">
        <v>1216</v>
      </c>
      <c r="B18" s="130">
        <f t="shared" si="10"/>
        <v>0.35040548649595754</v>
      </c>
      <c r="C18" s="131">
        <f t="shared" si="11"/>
        <v>0.35974132469463249</v>
      </c>
      <c r="D18" s="128">
        <f t="shared" si="8"/>
        <v>-9.3358381986749506E-3</v>
      </c>
      <c r="E18" s="118">
        <f t="shared" si="4"/>
        <v>-2.5951531163676302E-2</v>
      </c>
      <c r="F18" s="133"/>
      <c r="G18" s="133"/>
      <c r="H18" s="133"/>
      <c r="I18" s="131" t="e">
        <f t="shared" si="7"/>
        <v>#DIV/0!</v>
      </c>
      <c r="J18" s="126">
        <f t="shared" si="9"/>
        <v>0</v>
      </c>
      <c r="K18" s="122">
        <f t="shared" si="0"/>
        <v>0</v>
      </c>
      <c r="M18" s="162">
        <v>430</v>
      </c>
      <c r="N18" s="3" t="s">
        <v>1132</v>
      </c>
      <c r="O18" s="3" t="s">
        <v>1216</v>
      </c>
      <c r="R18" s="52">
        <f>+SUMIFS(Export!L:L,Export!I:I,N18,Export!E:E,M18)</f>
        <v>-32446.21</v>
      </c>
      <c r="S18" s="52">
        <f>+SUMIFS(Export!L:L,Export!I:I,O18,Export!E:E,M18)</f>
        <v>21076.879999999997</v>
      </c>
      <c r="T18" s="52">
        <f t="shared" si="12"/>
        <v>-11369.330000000002</v>
      </c>
      <c r="V18" s="52">
        <f>+SUMIFS(Export!N:N,Export!I:I,N18,Export!E:E,M18)</f>
        <v>-14721.114287604725</v>
      </c>
      <c r="W18" s="52">
        <f>+SUMIFS(Export!N:N,Export!I:I,O18,Export!E:E,M18)</f>
        <v>9425.3211328007201</v>
      </c>
      <c r="X18" s="52">
        <f t="shared" si="13"/>
        <v>-5295.7931548040051</v>
      </c>
      <c r="Z18" s="52">
        <f>+SUMIF(Export!$I:$I,'NW PARTS 430'!N18,Export!M:M)</f>
        <v>0</v>
      </c>
      <c r="AA18" s="52">
        <f>+SUMIF(Export!$I:$I,'NW PARTS 430'!O18,Export!M:M)</f>
        <v>0</v>
      </c>
      <c r="AB18" s="52">
        <f t="shared" si="14"/>
        <v>0</v>
      </c>
      <c r="AD18" s="52">
        <f>+SUMIF(Export!$I:$I,'NW PARTS 430'!N18,Export!O:O)</f>
        <v>0</v>
      </c>
      <c r="AE18" s="52">
        <f>+SUMIF(Export!$I:$I,'NW PARTS 430'!O18,Export!O:O)</f>
        <v>0</v>
      </c>
      <c r="AF18" s="52">
        <f t="shared" si="15"/>
        <v>0</v>
      </c>
    </row>
    <row r="19" spans="1:32" x14ac:dyDescent="0.25">
      <c r="A19" s="24" t="s">
        <v>1225</v>
      </c>
      <c r="B19" s="130">
        <f t="shared" si="10"/>
        <v>6.4212920346934932E-2</v>
      </c>
      <c r="C19" s="131">
        <f t="shared" si="11"/>
        <v>0.11414520976682842</v>
      </c>
      <c r="D19" s="128">
        <f t="shared" si="8"/>
        <v>-4.9932289419893486E-2</v>
      </c>
      <c r="E19" s="118">
        <f t="shared" si="4"/>
        <v>-0.43744533407834901</v>
      </c>
      <c r="F19" s="133"/>
      <c r="G19" s="133"/>
      <c r="H19" s="133"/>
      <c r="I19" s="131" t="e">
        <f t="shared" si="7"/>
        <v>#DIV/0!</v>
      </c>
      <c r="J19" s="126">
        <f t="shared" si="9"/>
        <v>0</v>
      </c>
      <c r="K19" s="122">
        <f t="shared" si="0"/>
        <v>0</v>
      </c>
      <c r="M19" s="162">
        <v>430</v>
      </c>
      <c r="N19" s="3" t="s">
        <v>1140</v>
      </c>
      <c r="O19" s="3" t="s">
        <v>1225</v>
      </c>
      <c r="R19" s="52">
        <f>+SUMIFS(Export!L:L,Export!I:I,N19,Export!E:E,M19)</f>
        <v>-4269.3900000000003</v>
      </c>
      <c r="S19" s="52">
        <f>+SUMIFS(Export!L:L,Export!I:I,O19,Export!E:E,M19)</f>
        <v>3995.24</v>
      </c>
      <c r="T19" s="52">
        <f t="shared" si="12"/>
        <v>-274.15000000000055</v>
      </c>
      <c r="V19" s="52">
        <f>+SUMIFS(Export!N:N,Export!I:I,N19,Export!E:E,M19)</f>
        <v>-6171.0269994151495</v>
      </c>
      <c r="W19" s="52">
        <f>+SUMIFS(Export!N:N,Export!I:I,O19,Export!E:E,M19)</f>
        <v>5466.6338280901455</v>
      </c>
      <c r="X19" s="52">
        <f t="shared" si="13"/>
        <v>-704.393171325004</v>
      </c>
      <c r="Z19" s="52">
        <f>+SUMIF(Export!$I:$I,'NW PARTS 430'!N19,Export!M:M)</f>
        <v>0</v>
      </c>
      <c r="AA19" s="52">
        <f>+SUMIF(Export!$I:$I,'NW PARTS 430'!O19,Export!M:M)</f>
        <v>0</v>
      </c>
      <c r="AB19" s="52">
        <f t="shared" si="14"/>
        <v>0</v>
      </c>
      <c r="AD19" s="52">
        <f>+SUMIF(Export!$I:$I,'NW PARTS 430'!N19,Export!O:O)</f>
        <v>0</v>
      </c>
      <c r="AE19" s="52">
        <f>+SUMIF(Export!$I:$I,'NW PARTS 430'!O19,Export!O:O)</f>
        <v>0</v>
      </c>
      <c r="AF19" s="52">
        <f t="shared" si="15"/>
        <v>0</v>
      </c>
    </row>
    <row r="20" spans="1:32" x14ac:dyDescent="0.25">
      <c r="A20" s="24" t="s">
        <v>1230</v>
      </c>
      <c r="B20" s="130">
        <f t="shared" si="10"/>
        <v>0.10564492031539999</v>
      </c>
      <c r="C20" s="131">
        <f t="shared" si="11"/>
        <v>0.16046804698143877</v>
      </c>
      <c r="D20" s="128">
        <f t="shared" si="8"/>
        <v>-5.4823126666038779E-2</v>
      </c>
      <c r="E20" s="118">
        <f t="shared" si="4"/>
        <v>-0.34164512934079727</v>
      </c>
      <c r="F20" s="133"/>
      <c r="G20" s="133"/>
      <c r="H20" s="133"/>
      <c r="I20" s="131" t="e">
        <f t="shared" si="7"/>
        <v>#DIV/0!</v>
      </c>
      <c r="J20" s="126">
        <f t="shared" si="9"/>
        <v>0</v>
      </c>
      <c r="K20" s="122">
        <f t="shared" si="0"/>
        <v>0</v>
      </c>
      <c r="M20" s="162">
        <v>430</v>
      </c>
      <c r="N20" s="3" t="s">
        <v>1145</v>
      </c>
      <c r="O20" s="3" t="s">
        <v>1230</v>
      </c>
      <c r="R20" s="52">
        <f>+SUMIFS(Export!L:L,Export!I:I,N20,Export!E:E,M20)</f>
        <v>-97353.19</v>
      </c>
      <c r="S20" s="52">
        <f>+SUMIFS(Export!L:L,Export!I:I,O20,Export!E:E,M20)</f>
        <v>87068.32</v>
      </c>
      <c r="T20" s="52">
        <f t="shared" si="12"/>
        <v>-10284.869999999995</v>
      </c>
      <c r="V20" s="52">
        <f>+SUMIFS(Export!N:N,Export!I:I,N20,Export!E:E,M20)</f>
        <v>-160080.1527369456</v>
      </c>
      <c r="W20" s="52">
        <f>+SUMIFS(Export!N:N,Export!I:I,O20,Export!E:E,M20)</f>
        <v>134392.40326675752</v>
      </c>
      <c r="X20" s="52">
        <f t="shared" si="13"/>
        <v>-25687.749470188079</v>
      </c>
      <c r="Z20" s="52">
        <f>+SUMIF(Export!$I:$I,'NW PARTS 430'!N20,Export!M:M)</f>
        <v>0</v>
      </c>
      <c r="AA20" s="52">
        <f>+SUMIF(Export!$I:$I,'NW PARTS 430'!O20,Export!M:M)</f>
        <v>0</v>
      </c>
      <c r="AB20" s="52">
        <f t="shared" si="14"/>
        <v>0</v>
      </c>
      <c r="AD20" s="52">
        <f>+SUMIF(Export!$I:$I,'NW PARTS 430'!N20,Export!O:O)</f>
        <v>0</v>
      </c>
      <c r="AE20" s="52">
        <f>+SUMIF(Export!$I:$I,'NW PARTS 430'!O20,Export!O:O)</f>
        <v>0</v>
      </c>
      <c r="AF20" s="52">
        <f t="shared" si="15"/>
        <v>0</v>
      </c>
    </row>
    <row r="21" spans="1:32" x14ac:dyDescent="0.25">
      <c r="A21" s="24" t="s">
        <v>1222</v>
      </c>
      <c r="B21" s="130">
        <f t="shared" si="10"/>
        <v>0</v>
      </c>
      <c r="C21" s="131">
        <f t="shared" si="11"/>
        <v>0</v>
      </c>
      <c r="D21" s="128">
        <f t="shared" si="8"/>
        <v>0</v>
      </c>
      <c r="E21" s="118">
        <f t="shared" si="4"/>
        <v>0</v>
      </c>
      <c r="F21" s="133"/>
      <c r="G21" s="133"/>
      <c r="H21" s="133"/>
      <c r="I21" s="131" t="e">
        <f t="shared" si="7"/>
        <v>#DIV/0!</v>
      </c>
      <c r="J21" s="126">
        <f t="shared" si="9"/>
        <v>0</v>
      </c>
      <c r="K21" s="122">
        <f t="shared" si="0"/>
        <v>0</v>
      </c>
      <c r="M21" s="162">
        <v>430</v>
      </c>
      <c r="N21" s="3" t="s">
        <v>1137</v>
      </c>
      <c r="O21" s="3" t="s">
        <v>1222</v>
      </c>
      <c r="R21" s="52">
        <f>+SUMIFS(Export!L:L,Export!I:I,N21,Export!E:E,M21)</f>
        <v>0</v>
      </c>
      <c r="S21" s="52">
        <f>+SUMIFS(Export!L:L,Export!I:I,O21,Export!E:E,M21)</f>
        <v>-217.22000000000003</v>
      </c>
      <c r="T21" s="52">
        <f t="shared" si="12"/>
        <v>-217.22000000000003</v>
      </c>
      <c r="V21" s="52">
        <f>+SUMIFS(Export!N:N,Export!I:I,N21,Export!E:E,M21)</f>
        <v>0</v>
      </c>
      <c r="W21" s="52">
        <f>+SUMIFS(Export!N:N,Export!I:I,O21,Export!E:E,M21)</f>
        <v>0</v>
      </c>
      <c r="X21" s="52">
        <f t="shared" si="13"/>
        <v>0</v>
      </c>
      <c r="Z21" s="52">
        <f>+SUMIF(Export!$I:$I,'NW PARTS 430'!N21,Export!M:M)</f>
        <v>0</v>
      </c>
      <c r="AA21" s="52">
        <f>+SUMIF(Export!$I:$I,'NW PARTS 430'!O21,Export!M:M)</f>
        <v>0</v>
      </c>
      <c r="AB21" s="52">
        <f t="shared" si="14"/>
        <v>0</v>
      </c>
      <c r="AD21" s="52">
        <f>+SUMIF(Export!$I:$I,'NW PARTS 430'!N21,Export!O:O)</f>
        <v>0</v>
      </c>
      <c r="AE21" s="52">
        <f>+SUMIF(Export!$I:$I,'NW PARTS 430'!O21,Export!O:O)</f>
        <v>0</v>
      </c>
      <c r="AF21" s="52">
        <f t="shared" si="15"/>
        <v>0</v>
      </c>
    </row>
    <row r="22" spans="1:32" x14ac:dyDescent="0.25">
      <c r="A22" s="24" t="s">
        <v>1670</v>
      </c>
      <c r="B22" s="130">
        <f t="shared" si="10"/>
        <v>0.1656904485967787</v>
      </c>
      <c r="C22" s="131">
        <f t="shared" si="11"/>
        <v>0.1800000000000001</v>
      </c>
      <c r="D22" s="128">
        <f t="shared" si="8"/>
        <v>-1.4309551403221404E-2</v>
      </c>
      <c r="E22" s="118">
        <f t="shared" si="4"/>
        <v>-7.9497507795674424E-2</v>
      </c>
      <c r="F22" s="133"/>
      <c r="G22" s="133"/>
      <c r="H22" s="133"/>
      <c r="I22" s="131" t="e">
        <f t="shared" si="7"/>
        <v>#DIV/0!</v>
      </c>
      <c r="J22" s="126">
        <f t="shared" si="9"/>
        <v>0</v>
      </c>
      <c r="K22" s="122">
        <f t="shared" si="0"/>
        <v>0</v>
      </c>
      <c r="R22" s="52">
        <f>SUM(R16:R21)</f>
        <v>-163814.15000000002</v>
      </c>
      <c r="S22" s="52">
        <f t="shared" ref="S22:T22" si="16">SUM(S16:S21)</f>
        <v>136671.71</v>
      </c>
      <c r="T22" s="52">
        <f t="shared" si="16"/>
        <v>-27142.44</v>
      </c>
      <c r="V22" s="52">
        <f>SUM(V16:V21)</f>
        <v>-206104.67596250464</v>
      </c>
      <c r="W22" s="52">
        <f t="shared" ref="W22:X22" si="17">SUM(W16:W21)</f>
        <v>169005.83428925378</v>
      </c>
      <c r="X22" s="52">
        <f t="shared" si="17"/>
        <v>-37098.841673250856</v>
      </c>
      <c r="Z22" s="52">
        <f>SUM(Z16:Z21)</f>
        <v>0</v>
      </c>
      <c r="AA22" s="52">
        <f t="shared" ref="AA22:AB22" si="18">SUM(AA16:AA21)</f>
        <v>0</v>
      </c>
      <c r="AB22" s="52">
        <f t="shared" si="18"/>
        <v>0</v>
      </c>
      <c r="AD22" s="52">
        <f>SUM(AD16:AD21)</f>
        <v>0</v>
      </c>
      <c r="AE22" s="52">
        <f t="shared" ref="AE22:AF22" si="19">SUM(AE16:AE21)</f>
        <v>0</v>
      </c>
      <c r="AF22" s="52">
        <f t="shared" si="19"/>
        <v>0</v>
      </c>
    </row>
    <row r="23" spans="1:32" x14ac:dyDescent="0.25">
      <c r="A23" s="24" t="s">
        <v>60</v>
      </c>
      <c r="B23" s="89">
        <f>-T23</f>
        <v>0</v>
      </c>
      <c r="C23" s="90">
        <f>-X23</f>
        <v>0</v>
      </c>
      <c r="D23" s="100">
        <f>+B23-C23</f>
        <v>0</v>
      </c>
      <c r="E23" s="118">
        <f t="shared" si="4"/>
        <v>0</v>
      </c>
      <c r="F23" s="89"/>
      <c r="G23" s="89"/>
      <c r="H23" s="89"/>
      <c r="I23" s="90">
        <f>SUM(F23:H23)</f>
        <v>0</v>
      </c>
      <c r="J23" s="100">
        <f>+F23-H23</f>
        <v>0</v>
      </c>
      <c r="K23" s="122">
        <f t="shared" si="0"/>
        <v>0</v>
      </c>
      <c r="L23" s="162">
        <v>440</v>
      </c>
      <c r="M23" s="162">
        <v>430</v>
      </c>
      <c r="N23" s="3" t="s">
        <v>60</v>
      </c>
      <c r="T23" s="52">
        <f>+SUMIFS(Export!L:L,Export!I:I,N23,Export!E:E,M23)+SUMIFS(Export!L:L,Export!I:I,N23,Export!E:E,L23)</f>
        <v>0</v>
      </c>
      <c r="V23" s="52"/>
      <c r="W23" s="52"/>
      <c r="X23" s="52">
        <f>+SUMIFS(Export!N:N,Export!I:I,N23,Export!E:E,L23)+SUMIFS(Export!N:N,Export!I:I,N23,Export!E:E,M23)</f>
        <v>0</v>
      </c>
      <c r="AB23" s="52">
        <f>+SUMIF(Export!$I:$I,'NW PARTS 430'!N23,Export!M:M)</f>
        <v>0</v>
      </c>
      <c r="AD23" s="52"/>
      <c r="AE23" s="52"/>
      <c r="AF23" s="52">
        <f>+SUMIF(Export!$I:$I,'NW PARTS 430'!N23,Export!O:O)</f>
        <v>0</v>
      </c>
    </row>
    <row r="24" spans="1:32" x14ac:dyDescent="0.25">
      <c r="A24" s="27" t="s">
        <v>1671</v>
      </c>
      <c r="B24" s="91">
        <f>-T22+B23</f>
        <v>27142.44</v>
      </c>
      <c r="C24" s="92">
        <f>-X22+C23</f>
        <v>37098.841673250856</v>
      </c>
      <c r="D24" s="101">
        <f>+B24-C24</f>
        <v>-9956.4016732508571</v>
      </c>
      <c r="E24" s="119">
        <f t="shared" si="4"/>
        <v>-0.26837500105642542</v>
      </c>
      <c r="F24" s="91"/>
      <c r="G24" s="91"/>
      <c r="H24" s="91"/>
      <c r="I24" s="92">
        <f>SUM(F24:H24)</f>
        <v>0</v>
      </c>
      <c r="J24" s="101">
        <f>+F24-H24</f>
        <v>0</v>
      </c>
      <c r="K24" s="123">
        <f t="shared" si="0"/>
        <v>0</v>
      </c>
      <c r="V24" s="52"/>
      <c r="W24" s="52"/>
      <c r="X24" s="52"/>
      <c r="AD24" s="52"/>
      <c r="AE24" s="52"/>
      <c r="AF24" s="52"/>
    </row>
    <row r="25" spans="1:32" x14ac:dyDescent="0.25">
      <c r="A25" s="24" t="s">
        <v>1672</v>
      </c>
      <c r="B25" s="130">
        <f>+B24/B13</f>
        <v>0.1656904485967787</v>
      </c>
      <c r="C25" s="131">
        <f>+C24/C13</f>
        <v>0.1800000000000001</v>
      </c>
      <c r="D25" s="128">
        <f t="shared" ref="D25" si="20">+B25-C25</f>
        <v>-1.4309551403221404E-2</v>
      </c>
      <c r="E25" s="129">
        <f t="shared" si="4"/>
        <v>-7.9497507795674424E-2</v>
      </c>
      <c r="F25" s="130"/>
      <c r="G25" s="130"/>
      <c r="H25" s="130"/>
      <c r="I25" s="131" t="e">
        <f t="shared" ref="I25:I29" si="21">AVERAGE(F25:H25)</f>
        <v>#DIV/0!</v>
      </c>
      <c r="J25" s="128">
        <f t="shared" ref="J25" si="22">+F25-H25</f>
        <v>0</v>
      </c>
      <c r="K25" s="125">
        <f t="shared" si="0"/>
        <v>0</v>
      </c>
      <c r="V25" s="52"/>
      <c r="W25" s="52"/>
      <c r="X25" s="52"/>
      <c r="AD25" s="52"/>
      <c r="AE25" s="52"/>
      <c r="AF25" s="52"/>
    </row>
    <row r="26" spans="1:32" x14ac:dyDescent="0.25">
      <c r="A26" s="24" t="s">
        <v>1255</v>
      </c>
      <c r="B26" s="130">
        <f>IFERROR(SUMIFS(Export!L:L,Export!I:I,N26,Export!E:E,M26),0)/$B$13</f>
        <v>5.0241630530695913E-2</v>
      </c>
      <c r="C26" s="131">
        <f>IFERROR(SUMIFS(Export!N:N,Export!I:I,N26,Export!E:E,M26),0)/$C$13</f>
        <v>9.5760927228327214E-2</v>
      </c>
      <c r="D26" s="128">
        <f>+C26-B26</f>
        <v>4.5519296697631301E-2</v>
      </c>
      <c r="E26" s="129">
        <f t="shared" si="4"/>
        <v>0.47534310720590178</v>
      </c>
      <c r="F26" s="130"/>
      <c r="G26" s="130"/>
      <c r="H26" s="130"/>
      <c r="I26" s="131" t="e">
        <f t="shared" si="21"/>
        <v>#DIV/0!</v>
      </c>
      <c r="J26" s="128">
        <f>+H26-F26</f>
        <v>0</v>
      </c>
      <c r="K26" s="125">
        <f t="shared" si="0"/>
        <v>0</v>
      </c>
      <c r="M26" s="162">
        <v>430</v>
      </c>
      <c r="N26" s="3" t="s">
        <v>1255</v>
      </c>
      <c r="T26" s="52">
        <f>+SUMIFS(Export!L:L,Export!I:I,N26,Export!E:E,M26)</f>
        <v>8230.2900000000009</v>
      </c>
      <c r="V26" s="52"/>
      <c r="W26" s="52"/>
      <c r="X26" s="52">
        <f>+SUMIFS(Export!N:N,Export!I:I,N26,Export!E:E,M26)</f>
        <v>19736.774876263367</v>
      </c>
      <c r="AB26" s="52">
        <f>+SUMIF(Export!$I:$I,'NW PARTS 430'!N26,Export!M:M)</f>
        <v>0</v>
      </c>
      <c r="AD26" s="52"/>
      <c r="AE26" s="52"/>
      <c r="AF26" s="52">
        <f>+SUMIF(Export!$I:$I,'NW PARTS 430'!N26,Export!O:O)</f>
        <v>0</v>
      </c>
    </row>
    <row r="27" spans="1:32" x14ac:dyDescent="0.25">
      <c r="A27" s="24" t="s">
        <v>1286</v>
      </c>
      <c r="B27" s="130">
        <f>IFERROR(SUMIFS(Export!L:L,Export!I:I,N27,Export!E:E,M27),0)/$B$13</f>
        <v>1.0481878396951666E-2</v>
      </c>
      <c r="C27" s="131">
        <f>IFERROR(SUMIFS(Export!N:N,Export!I:I,N27,Export!E:E,M27),0)/$C$13</f>
        <v>0</v>
      </c>
      <c r="D27" s="128">
        <f>+C27-B27</f>
        <v>-1.0481878396951666E-2</v>
      </c>
      <c r="E27" s="129">
        <f t="shared" si="4"/>
        <v>0</v>
      </c>
      <c r="F27" s="130"/>
      <c r="G27" s="130"/>
      <c r="H27" s="130"/>
      <c r="I27" s="131" t="e">
        <f t="shared" si="21"/>
        <v>#DIV/0!</v>
      </c>
      <c r="J27" s="128">
        <f>+H27-F27</f>
        <v>0</v>
      </c>
      <c r="K27" s="125">
        <f t="shared" si="0"/>
        <v>0</v>
      </c>
      <c r="M27" s="162">
        <v>430</v>
      </c>
      <c r="N27" s="3" t="s">
        <v>1286</v>
      </c>
      <c r="T27" s="52">
        <f>+SUMIFS(Export!L:L,Export!I:I,N27,Export!E:E,M27)</f>
        <v>1717.08</v>
      </c>
      <c r="V27" s="52"/>
      <c r="W27" s="52"/>
      <c r="X27" s="52">
        <f>+SUMIFS(Export!N:N,Export!I:I,N27,Export!E:E,M27)</f>
        <v>0</v>
      </c>
      <c r="AB27" s="52">
        <f>+SUMIF(Export!J:J,'NW PARTS 430'!N27,Export!M:M)</f>
        <v>0</v>
      </c>
      <c r="AD27" s="52"/>
      <c r="AE27" s="52"/>
      <c r="AF27" s="52">
        <f>+SUMIF(Export!$J:$J,'NW PARTS 430'!N27,Export!O:O)</f>
        <v>0</v>
      </c>
    </row>
    <row r="28" spans="1:32" x14ac:dyDescent="0.25">
      <c r="A28" s="24" t="s">
        <v>1674</v>
      </c>
      <c r="B28" s="132">
        <f>+SUM(B26:B27)</f>
        <v>6.0723508927647579E-2</v>
      </c>
      <c r="C28" s="131">
        <f>+SUM(C26:C27)</f>
        <v>9.5760927228327214E-2</v>
      </c>
      <c r="D28" s="128">
        <f>+C28-B28</f>
        <v>3.5037418300679635E-2</v>
      </c>
      <c r="E28" s="129">
        <f t="shared" si="4"/>
        <v>0.36588428406857731</v>
      </c>
      <c r="F28" s="130"/>
      <c r="G28" s="130"/>
      <c r="H28" s="130"/>
      <c r="I28" s="131" t="e">
        <f t="shared" si="21"/>
        <v>#DIV/0!</v>
      </c>
      <c r="J28" s="128">
        <f>+H28-F28</f>
        <v>0</v>
      </c>
      <c r="K28" s="125">
        <f t="shared" si="0"/>
        <v>0</v>
      </c>
      <c r="V28" s="52"/>
      <c r="W28" s="52"/>
      <c r="X28" s="52"/>
      <c r="AD28" s="52"/>
      <c r="AE28" s="52"/>
      <c r="AF28" s="52"/>
    </row>
    <row r="29" spans="1:32" x14ac:dyDescent="0.25">
      <c r="A29" s="24" t="s">
        <v>1675</v>
      </c>
      <c r="B29" s="132">
        <f>+B25-B28</f>
        <v>0.10496693966913112</v>
      </c>
      <c r="C29" s="131">
        <f>+C25-C28</f>
        <v>8.423907277167289E-2</v>
      </c>
      <c r="D29" s="128">
        <f>+B29-C29</f>
        <v>2.072786689745823E-2</v>
      </c>
      <c r="E29" s="129">
        <f t="shared" si="4"/>
        <v>0.24606000773109649</v>
      </c>
      <c r="F29" s="130"/>
      <c r="G29" s="130"/>
      <c r="H29" s="130"/>
      <c r="I29" s="131" t="e">
        <f t="shared" si="21"/>
        <v>#DIV/0!</v>
      </c>
      <c r="J29" s="128">
        <f>+F29-H29</f>
        <v>0</v>
      </c>
      <c r="K29" s="125">
        <f t="shared" si="0"/>
        <v>0</v>
      </c>
      <c r="V29" s="52"/>
      <c r="W29" s="52"/>
      <c r="X29" s="52"/>
      <c r="AD29" s="52"/>
      <c r="AE29" s="52"/>
      <c r="AF29" s="52"/>
    </row>
    <row r="30" spans="1:32" s="28" customFormat="1" ht="15.75" thickBot="1" x14ac:dyDescent="0.3">
      <c r="A30" s="29" t="s">
        <v>1676</v>
      </c>
      <c r="B30" s="94">
        <f>-T30</f>
        <v>17195.07</v>
      </c>
      <c r="C30" s="93">
        <f>-X30</f>
        <v>17362.066796987488</v>
      </c>
      <c r="D30" s="108">
        <f>+B30-C30</f>
        <v>-166.99679698748878</v>
      </c>
      <c r="E30" s="120">
        <f t="shared" si="4"/>
        <v>-9.6184860328071414E-3</v>
      </c>
      <c r="F30" s="94"/>
      <c r="G30" s="94"/>
      <c r="H30" s="94"/>
      <c r="I30" s="93">
        <f>SUM(F30:H30)</f>
        <v>0</v>
      </c>
      <c r="J30" s="108">
        <f>+F30-H30</f>
        <v>0</v>
      </c>
      <c r="K30" s="124">
        <f t="shared" si="0"/>
        <v>0</v>
      </c>
      <c r="N30" s="3"/>
      <c r="O30" s="3"/>
      <c r="P30" s="3"/>
      <c r="Q30" s="3"/>
      <c r="R30" s="52"/>
      <c r="S30" s="52"/>
      <c r="T30" s="52">
        <f>+SUM(T22:T29)</f>
        <v>-17195.07</v>
      </c>
      <c r="V30" s="52"/>
      <c r="W30" s="52"/>
      <c r="X30" s="52">
        <f>+SUM(X22:X29)</f>
        <v>-17362.066796987488</v>
      </c>
      <c r="Z30" s="52"/>
      <c r="AA30" s="52"/>
      <c r="AB30" s="52">
        <f>+SUM(AB22:AB29)</f>
        <v>0</v>
      </c>
      <c r="AD30" s="52"/>
      <c r="AE30" s="52"/>
      <c r="AF30" s="52">
        <f>+SUM(AF22:AF29)</f>
        <v>0</v>
      </c>
    </row>
    <row r="31" spans="1:32" ht="0" hidden="1" customHeight="1" x14ac:dyDescent="0.25">
      <c r="E31" s="121"/>
      <c r="H31" s="51"/>
      <c r="K31" s="121"/>
      <c r="V31" s="52"/>
      <c r="W31" s="52"/>
      <c r="X31" s="52"/>
      <c r="AD31" s="52"/>
      <c r="AE31" s="52"/>
      <c r="AF31" s="52"/>
    </row>
    <row r="32" spans="1:32" ht="15.75" thickTop="1" x14ac:dyDescent="0.25">
      <c r="E32" s="121"/>
      <c r="K32" s="121"/>
      <c r="V32" s="52"/>
      <c r="W32" s="52"/>
      <c r="X32" s="52"/>
      <c r="AD32" s="52"/>
      <c r="AE32" s="52"/>
      <c r="AF32" s="52"/>
    </row>
    <row r="33" spans="1:18" s="149" customFormat="1" x14ac:dyDescent="0.25">
      <c r="A33" s="10" t="s">
        <v>1677</v>
      </c>
      <c r="B33" s="12">
        <f>+SUMIF('TUNZ Extracted TB'!M:M,'NW PARTS 430'!Q33,'TUNZ Extracted TB'!H:H)</f>
        <v>1</v>
      </c>
      <c r="C33" s="12">
        <f>HLOOKUP(J1,'Input Sheet'!1:1048576,45,FALSE)</f>
        <v>1</v>
      </c>
      <c r="F33" s="12"/>
      <c r="G33" s="12"/>
      <c r="H33" s="12"/>
      <c r="I33" s="12" t="e">
        <f>AVERAGE(F33:H33)</f>
        <v>#DIV/0!</v>
      </c>
      <c r="N33" s="3" t="s">
        <v>1678</v>
      </c>
      <c r="O33" s="3" t="s">
        <v>1679</v>
      </c>
      <c r="P33" s="3" t="s">
        <v>1680</v>
      </c>
      <c r="Q33" s="3" t="s">
        <v>1681</v>
      </c>
      <c r="R33" s="3"/>
    </row>
    <row r="34" spans="1:18" hidden="1" x14ac:dyDescent="0.25"/>
    <row r="35" spans="1:18" x14ac:dyDescent="0.25">
      <c r="A35" s="3" t="s">
        <v>1654</v>
      </c>
    </row>
    <row r="36" spans="1:18" x14ac:dyDescent="0.25">
      <c r="A36" s="3"/>
      <c r="B36" s="89">
        <f>(+SUMIF('TUNZ Extracted TB'!M:M,'NW PARTS 430'!N36,'TUNZ Extracted TB'!H:H)+SUMIF('TUNZ Extracted TB'!M:M,'NW PARTS 430'!O36,'TUNZ Extracted TB'!H:H))*$B$33/'PARTS GROUP'!$B$33</f>
        <v>143513.97500000001</v>
      </c>
      <c r="F36" s="89"/>
      <c r="G36" s="89"/>
      <c r="H36" s="89"/>
      <c r="I36" s="283"/>
      <c r="N36" s="3" t="s">
        <v>1682</v>
      </c>
      <c r="O36" s="3" t="s">
        <v>1683</v>
      </c>
    </row>
    <row r="37" spans="1:18" x14ac:dyDescent="0.25">
      <c r="B37" s="277"/>
    </row>
    <row r="38" spans="1:18" x14ac:dyDescent="0.25">
      <c r="A38" s="24" t="s">
        <v>1684</v>
      </c>
      <c r="B38" s="89">
        <f>-SUMIF(Export!$P:$P,$N$38,Export!$L:$L)</f>
        <v>0</v>
      </c>
      <c r="C38" s="92">
        <f>-'Input Sheet'!W173</f>
        <v>9375</v>
      </c>
      <c r="N38" s="3" t="s">
        <v>1689</v>
      </c>
    </row>
    <row r="39" spans="1:18" x14ac:dyDescent="0.25">
      <c r="A39" s="27" t="s">
        <v>1685</v>
      </c>
      <c r="B39" s="91">
        <f>B30-B23+B38</f>
        <v>17195.07</v>
      </c>
      <c r="C39" s="92">
        <f>C30-C23+C38</f>
        <v>26737.066796987488</v>
      </c>
    </row>
    <row r="40" spans="1:18" x14ac:dyDescent="0.25">
      <c r="C40" s="293"/>
    </row>
    <row r="41" spans="1:18" x14ac:dyDescent="0.25">
      <c r="C41" s="195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68836-F9EC-4452-8D39-AEC327701470}">
  <sheetPr>
    <tabColor theme="9" tint="0.79998168889431442"/>
  </sheetPr>
  <dimension ref="A1:AL45"/>
  <sheetViews>
    <sheetView topLeftCell="A6"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3" width="11.85546875" style="16" bestFit="1" customWidth="1"/>
    <col min="4" max="9" width="9.7109375" style="16" customWidth="1"/>
    <col min="10" max="11" width="9.7109375" style="16" hidden="1" customWidth="1"/>
    <col min="12" max="12" width="10.5703125" style="16" customWidth="1"/>
    <col min="13" max="13" width="0" style="16" hidden="1" customWidth="1"/>
    <col min="14" max="14" width="27.7109375" style="3" hidden="1" customWidth="1" outlineLevel="1"/>
    <col min="15" max="15" width="24.28515625" style="3" hidden="1" customWidth="1" outlineLevel="1"/>
    <col min="16" max="18" width="8.5703125" style="16" hidden="1" customWidth="1" outlineLevel="1"/>
    <col min="19" max="19" width="7.7109375" style="16" hidden="1" customWidth="1" outlineLevel="1"/>
    <col min="20" max="20" width="7.85546875" style="16" hidden="1" customWidth="1" outlineLevel="1"/>
    <col min="21" max="21" width="9.140625" style="16" hidden="1" customWidth="1" outlineLevel="1"/>
    <col min="22" max="22" width="6.28515625" style="16" hidden="1" customWidth="1" outlineLevel="1"/>
    <col min="23" max="23" width="6" style="16" hidden="1" customWidth="1" outlineLevel="1"/>
    <col min="24" max="24" width="7.5703125" style="16" hidden="1" customWidth="1" outlineLevel="1"/>
    <col min="25" max="25" width="6.42578125" style="16" hidden="1" customWidth="1" outlineLevel="1"/>
    <col min="26" max="28" width="4.85546875" style="16" hidden="1" customWidth="1" outlineLevel="1"/>
    <col min="29" max="29" width="9.140625" style="16" hidden="1" customWidth="1" outlineLevel="1"/>
    <col min="30" max="32" width="5.28515625" style="16" hidden="1" customWidth="1" outlineLevel="1"/>
    <col min="33" max="36" width="9.140625" style="16" hidden="1" customWidth="1" outlineLevel="1"/>
    <col min="37" max="37" width="9.140625" style="16" collapsed="1"/>
    <col min="38" max="16384" width="9.140625" style="16"/>
  </cols>
  <sheetData>
    <row r="1" spans="1:38" ht="15" customHeight="1" x14ac:dyDescent="0.25">
      <c r="A1" s="326" t="s">
        <v>1604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  <c r="AK1" s="201" t="s">
        <v>1606</v>
      </c>
      <c r="AL1" s="201"/>
    </row>
    <row r="2" spans="1:38" ht="9.4" customHeight="1" thickBot="1" x14ac:dyDescent="0.3">
      <c r="AL2" s="201"/>
    </row>
    <row r="3" spans="1:38" ht="15.75" thickTop="1" x14ac:dyDescent="0.25">
      <c r="A3" s="38" t="s">
        <v>1591</v>
      </c>
      <c r="B3" s="350" t="s">
        <v>155</v>
      </c>
      <c r="C3" s="329"/>
      <c r="D3" s="329"/>
      <c r="E3" s="329"/>
      <c r="F3" s="350" t="s">
        <v>155</v>
      </c>
      <c r="G3" s="350"/>
      <c r="H3" s="329"/>
      <c r="I3" s="329"/>
      <c r="J3" s="329"/>
      <c r="K3" s="345"/>
      <c r="AL3" s="201"/>
    </row>
    <row r="4" spans="1:38" x14ac:dyDescent="0.25">
      <c r="A4" s="39" t="s">
        <v>1591</v>
      </c>
      <c r="B4" s="40"/>
      <c r="C4" s="40"/>
      <c r="D4" s="351"/>
      <c r="E4" s="331"/>
      <c r="F4" s="40"/>
      <c r="G4" s="40"/>
      <c r="H4" s="40"/>
      <c r="I4" s="40"/>
      <c r="J4" s="351" t="s">
        <v>1608</v>
      </c>
      <c r="K4" s="347"/>
      <c r="AL4" s="201"/>
    </row>
    <row r="5" spans="1:38" x14ac:dyDescent="0.25">
      <c r="A5" s="39" t="s">
        <v>111</v>
      </c>
      <c r="B5" s="41" t="s">
        <v>12</v>
      </c>
      <c r="C5" s="41" t="s">
        <v>1592</v>
      </c>
      <c r="D5" s="42" t="s">
        <v>1609</v>
      </c>
      <c r="E5" s="42" t="s">
        <v>1610</v>
      </c>
      <c r="F5" s="262" t="str">
        <f>OVERALL!F5</f>
        <v>0124</v>
      </c>
      <c r="G5" s="262" t="str">
        <f>OVERALL!G5</f>
        <v>0224</v>
      </c>
      <c r="H5" s="262" t="str">
        <f>OVERALL!H5</f>
        <v>0324</v>
      </c>
      <c r="I5" s="262" t="str">
        <f>OVERALL!I5</f>
        <v>Q124</v>
      </c>
      <c r="J5" s="42" t="s">
        <v>1609</v>
      </c>
      <c r="K5" s="43" t="s">
        <v>1610</v>
      </c>
      <c r="AK5" s="201" t="s">
        <v>12</v>
      </c>
      <c r="AL5" s="201" t="s">
        <v>1592</v>
      </c>
    </row>
    <row r="6" spans="1:38" x14ac:dyDescent="0.25">
      <c r="A6" s="24" t="s">
        <v>1095</v>
      </c>
      <c r="B6" s="51">
        <f>+R13/SUM($R$13:$R$16)</f>
        <v>0.73134063955153972</v>
      </c>
      <c r="C6" s="96">
        <f>+V13/SUM($V$13:$V$16)</f>
        <v>0.74211580733064597</v>
      </c>
      <c r="D6" s="118">
        <f>+B6-C6</f>
        <v>-1.0775167779106254E-2</v>
      </c>
      <c r="E6" s="118">
        <f>IFERROR(+D6/C6,0)</f>
        <v>-1.4519523331357139E-2</v>
      </c>
      <c r="F6" s="51"/>
      <c r="G6" s="51"/>
      <c r="H6" s="51"/>
      <c r="I6" s="96" t="e">
        <f>AVERAGE(F6:H6)</f>
        <v>#DIV/0!</v>
      </c>
      <c r="J6" s="118">
        <f>+F6-H6</f>
        <v>0</v>
      </c>
      <c r="K6" s="125">
        <f>IFERROR(+J6/H6,0)</f>
        <v>0</v>
      </c>
      <c r="AK6" s="202"/>
      <c r="AL6" s="202"/>
    </row>
    <row r="7" spans="1:38" x14ac:dyDescent="0.25">
      <c r="A7" s="24" t="s">
        <v>1104</v>
      </c>
      <c r="B7" s="51">
        <f>+R14/SUM($R$13:$R$16)</f>
        <v>4.815520208280398E-2</v>
      </c>
      <c r="C7" s="96">
        <f t="shared" ref="C7:C8" si="0">+V14/SUM($V$13:$V$16)</f>
        <v>8.4250320983168314E-2</v>
      </c>
      <c r="D7" s="118">
        <f t="shared" ref="D7:D21" si="1">+B7-C7</f>
        <v>-3.6095118900364334E-2</v>
      </c>
      <c r="E7" s="118">
        <f t="shared" ref="E7:E30" si="2">IFERROR(+D7/C7,0)</f>
        <v>-0.42842707872383634</v>
      </c>
      <c r="F7" s="51"/>
      <c r="G7" s="51"/>
      <c r="H7" s="51"/>
      <c r="I7" s="96" t="e">
        <f t="shared" ref="I7:I27" si="3">AVERAGE(F7:H7)</f>
        <v>#DIV/0!</v>
      </c>
      <c r="J7" s="118">
        <f t="shared" ref="J7:J21" si="4">+F7-H7</f>
        <v>0</v>
      </c>
      <c r="K7" s="125">
        <f t="shared" ref="K7:K30" si="5">IFERROR(+J7/H7,0)</f>
        <v>0</v>
      </c>
      <c r="AK7" s="202"/>
      <c r="AL7" s="202"/>
    </row>
    <row r="8" spans="1:38" x14ac:dyDescent="0.25">
      <c r="A8" s="24" t="s">
        <v>1109</v>
      </c>
      <c r="B8" s="51">
        <f>+R15/SUM($R$13:$R$16)</f>
        <v>0.22050415836565623</v>
      </c>
      <c r="C8" s="96">
        <f t="shared" si="0"/>
        <v>0.17363387168618585</v>
      </c>
      <c r="D8" s="118">
        <f t="shared" si="1"/>
        <v>4.687028667947038E-2</v>
      </c>
      <c r="E8" s="118">
        <f t="shared" si="2"/>
        <v>0.26993746222615234</v>
      </c>
      <c r="F8" s="51"/>
      <c r="G8" s="51"/>
      <c r="H8" s="51"/>
      <c r="I8" s="96" t="e">
        <f t="shared" si="3"/>
        <v>#DIV/0!</v>
      </c>
      <c r="J8" s="118">
        <f t="shared" si="4"/>
        <v>0</v>
      </c>
      <c r="K8" s="125">
        <f t="shared" si="5"/>
        <v>0</v>
      </c>
      <c r="AK8" s="202"/>
      <c r="AL8" s="202"/>
    </row>
    <row r="9" spans="1:38" x14ac:dyDescent="0.25">
      <c r="A9" s="27" t="s">
        <v>181</v>
      </c>
      <c r="B9" s="91">
        <f>-SUM(R13:R16)</f>
        <v>564323.87</v>
      </c>
      <c r="C9" s="92">
        <f>-SUM(V13:V16)</f>
        <v>576000</v>
      </c>
      <c r="D9" s="106">
        <f t="shared" si="1"/>
        <v>-11676.130000000005</v>
      </c>
      <c r="E9" s="119">
        <f t="shared" si="2"/>
        <v>-2.0271059027777785E-2</v>
      </c>
      <c r="F9" s="91"/>
      <c r="G9" s="91"/>
      <c r="H9" s="91"/>
      <c r="I9" s="92">
        <f>SUM(F9:H9)</f>
        <v>0</v>
      </c>
      <c r="J9" s="106">
        <f t="shared" si="4"/>
        <v>0</v>
      </c>
      <c r="K9" s="123">
        <f t="shared" si="5"/>
        <v>0</v>
      </c>
      <c r="L9" s="193"/>
      <c r="M9" s="193"/>
      <c r="AK9" s="202">
        <f>B9-'NS SERVICE 140'!B9-'NS SERVICE 147'!B9-'NW SERVICE 240'!B9-'NW SERVICE 340'!B9-'NW SERVICE 440'!B9</f>
        <v>0</v>
      </c>
      <c r="AL9" s="202">
        <f>C9-'NS SERVICE 140'!C9-'NS SERVICE 147'!C9-'NW SERVICE 240'!C9-'NW SERVICE 340'!C9-'NW SERVICE 440'!C9</f>
        <v>0</v>
      </c>
    </row>
    <row r="10" spans="1:38" x14ac:dyDescent="0.25">
      <c r="A10" s="24" t="s">
        <v>1117</v>
      </c>
      <c r="B10" s="51">
        <f>+R18/R21</f>
        <v>7.3888776407342871E-2</v>
      </c>
      <c r="C10" s="96">
        <f>+V18/V21</f>
        <v>0.26519180772074674</v>
      </c>
      <c r="D10" s="118">
        <f t="shared" si="1"/>
        <v>-0.19130303131340387</v>
      </c>
      <c r="E10" s="118">
        <f t="shared" si="2"/>
        <v>-0.72137609739004649</v>
      </c>
      <c r="F10" s="53"/>
      <c r="G10" s="53"/>
      <c r="H10" s="53"/>
      <c r="I10" s="96" t="e">
        <f t="shared" si="3"/>
        <v>#DIV/0!</v>
      </c>
      <c r="J10" s="118">
        <f t="shared" si="4"/>
        <v>0</v>
      </c>
      <c r="K10" s="122">
        <f t="shared" si="5"/>
        <v>0</v>
      </c>
      <c r="R10" s="95" t="s">
        <v>1641</v>
      </c>
      <c r="S10" s="95" t="s">
        <v>1641</v>
      </c>
      <c r="T10" s="95" t="s">
        <v>1641</v>
      </c>
      <c r="V10" s="95" t="s">
        <v>1641</v>
      </c>
      <c r="W10" s="95" t="s">
        <v>1641</v>
      </c>
      <c r="X10" s="95" t="s">
        <v>1641</v>
      </c>
      <c r="Z10" s="95" t="s">
        <v>156</v>
      </c>
      <c r="AA10" s="95" t="s">
        <v>156</v>
      </c>
      <c r="AB10" s="95" t="s">
        <v>156</v>
      </c>
      <c r="AD10" s="95" t="s">
        <v>156</v>
      </c>
      <c r="AE10" s="95" t="s">
        <v>156</v>
      </c>
      <c r="AF10" s="95" t="s">
        <v>156</v>
      </c>
      <c r="AK10" s="202"/>
      <c r="AL10" s="202"/>
    </row>
    <row r="11" spans="1:38" x14ac:dyDescent="0.25">
      <c r="A11" s="24" t="s">
        <v>1019</v>
      </c>
      <c r="B11" s="51">
        <f>+R19/R21</f>
        <v>0.20837243072177214</v>
      </c>
      <c r="C11" s="96">
        <f>+V19/V21</f>
        <v>1.9724393396571713E-2</v>
      </c>
      <c r="D11" s="118">
        <f t="shared" si="1"/>
        <v>0.18864803732520041</v>
      </c>
      <c r="E11" s="118">
        <f t="shared" si="2"/>
        <v>9.564199695894791</v>
      </c>
      <c r="F11" s="53"/>
      <c r="G11" s="53"/>
      <c r="H11" s="53"/>
      <c r="I11" s="96" t="e">
        <f t="shared" si="3"/>
        <v>#DIV/0!</v>
      </c>
      <c r="J11" s="118">
        <f t="shared" si="4"/>
        <v>0</v>
      </c>
      <c r="K11" s="122">
        <f t="shared" si="5"/>
        <v>0</v>
      </c>
      <c r="R11" s="95" t="s">
        <v>12</v>
      </c>
      <c r="S11" s="95" t="s">
        <v>12</v>
      </c>
      <c r="T11" s="95" t="s">
        <v>12</v>
      </c>
      <c r="V11" s="95" t="s">
        <v>1592</v>
      </c>
      <c r="W11" s="95" t="s">
        <v>1592</v>
      </c>
      <c r="X11" s="95" t="s">
        <v>1592</v>
      </c>
      <c r="Z11" s="95" t="s">
        <v>12</v>
      </c>
      <c r="AA11" s="95" t="s">
        <v>12</v>
      </c>
      <c r="AB11" s="95" t="s">
        <v>12</v>
      </c>
      <c r="AD11" s="95" t="s">
        <v>1592</v>
      </c>
      <c r="AE11" s="95" t="s">
        <v>1592</v>
      </c>
      <c r="AF11" s="95" t="s">
        <v>1592</v>
      </c>
      <c r="AK11" s="202"/>
      <c r="AL11" s="202"/>
    </row>
    <row r="12" spans="1:38" x14ac:dyDescent="0.25">
      <c r="A12" s="27" t="s">
        <v>1690</v>
      </c>
      <c r="B12" s="91">
        <f>-SUM(R17:R19)</f>
        <v>786252.42999999993</v>
      </c>
      <c r="C12" s="92">
        <f>-SUM(V17:V19)</f>
        <v>805500</v>
      </c>
      <c r="D12" s="106">
        <f t="shared" si="1"/>
        <v>-19247.570000000065</v>
      </c>
      <c r="E12" s="119">
        <f t="shared" si="2"/>
        <v>-2.3895183116077051E-2</v>
      </c>
      <c r="F12" s="91"/>
      <c r="G12" s="91"/>
      <c r="H12" s="91"/>
      <c r="I12" s="92">
        <f>SUM(F12:H12)</f>
        <v>0</v>
      </c>
      <c r="J12" s="106">
        <f t="shared" si="4"/>
        <v>0</v>
      </c>
      <c r="K12" s="123">
        <f t="shared" si="5"/>
        <v>0</v>
      </c>
      <c r="R12" s="95" t="s">
        <v>1642</v>
      </c>
      <c r="S12" s="95" t="s">
        <v>180</v>
      </c>
      <c r="T12" s="95" t="s">
        <v>153</v>
      </c>
      <c r="V12" s="95" t="s">
        <v>1642</v>
      </c>
      <c r="W12" s="95" t="s">
        <v>180</v>
      </c>
      <c r="X12" s="95" t="s">
        <v>153</v>
      </c>
      <c r="Z12" s="95" t="s">
        <v>1642</v>
      </c>
      <c r="AA12" s="95" t="s">
        <v>180</v>
      </c>
      <c r="AB12" s="95" t="s">
        <v>153</v>
      </c>
      <c r="AD12" s="95" t="s">
        <v>1642</v>
      </c>
      <c r="AE12" s="95" t="s">
        <v>180</v>
      </c>
      <c r="AF12" s="95" t="s">
        <v>153</v>
      </c>
      <c r="AK12" s="202">
        <f>B12-'NS SERVICE 140'!B12-'NS SERVICE 147'!B12-'NW SERVICE 240'!B12-'NW SERVICE 340'!B12-'NW SERVICE 440'!B12</f>
        <v>0</v>
      </c>
      <c r="AL12" s="202">
        <f>C12-'NS SERVICE 140'!C12-'NS SERVICE 147'!C12-'NW SERVICE 240'!C12-'NW SERVICE 340'!C12-'NW SERVICE 440'!C12</f>
        <v>0</v>
      </c>
    </row>
    <row r="13" spans="1:38" x14ac:dyDescent="0.25">
      <c r="A13" s="24" t="s">
        <v>1172</v>
      </c>
      <c r="B13" s="51">
        <f>+T13/R13</f>
        <v>0.77708462185996663</v>
      </c>
      <c r="C13" s="96">
        <f>+X13/V13</f>
        <v>0.72321771470674867</v>
      </c>
      <c r="D13" s="126">
        <f t="shared" si="1"/>
        <v>5.3866907153217958E-2</v>
      </c>
      <c r="E13" s="118">
        <f t="shared" si="2"/>
        <v>7.4482283906803892E-2</v>
      </c>
      <c r="F13" s="51"/>
      <c r="G13" s="51"/>
      <c r="H13" s="51"/>
      <c r="I13" s="96" t="e">
        <f t="shared" si="3"/>
        <v>#DIV/0!</v>
      </c>
      <c r="J13" s="126">
        <f t="shared" si="4"/>
        <v>0</v>
      </c>
      <c r="K13" s="122">
        <f t="shared" si="5"/>
        <v>0</v>
      </c>
      <c r="N13" s="3" t="s">
        <v>1095</v>
      </c>
      <c r="O13" s="3" t="s">
        <v>1172</v>
      </c>
      <c r="R13" s="52">
        <f>'NS SERVICE 140'!R13+'NS SERVICE 147'!P13+'NW SERVICE 240'!R13+'NW SERVICE 340'!R13+'NW SERVICE 440'!R13</f>
        <v>-412712.98</v>
      </c>
      <c r="S13" s="52">
        <f>'NS SERVICE 140'!S13+'NS SERVICE 147'!Q13+'NW SERVICE 240'!S13+'NW SERVICE 340'!S13+'NW SERVICE 440'!S13</f>
        <v>92000.07</v>
      </c>
      <c r="T13" s="52">
        <f>+SUM(R13:S13)</f>
        <v>-320712.90999999997</v>
      </c>
      <c r="V13" s="52">
        <f>'NS SERVICE 140'!V13+'NS SERVICE 147'!T13+'NW SERVICE 240'!V13+'NW SERVICE 340'!V13+'NW SERVICE 440'!V13</f>
        <v>-427458.70502245205</v>
      </c>
      <c r="W13" s="52">
        <f>'NS SERVICE 140'!W13+'NS SERVICE 147'!U13+'NW SERVICE 240'!W13+'NW SERVICE 340'!W13+'NW SERVICE 440'!W13</f>
        <v>118312.99724460805</v>
      </c>
      <c r="X13" s="52">
        <f>+SUM(V13:W13)</f>
        <v>-309145.70777784399</v>
      </c>
      <c r="Y13" s="168"/>
      <c r="Z13" s="52">
        <f>+SUMIF(Export!$I:$I,'SERVICE GROUP'!N13,Export!M:M)</f>
        <v>0</v>
      </c>
      <c r="AA13" s="52">
        <f>+SUMIF(Export!$I:$I,'SERVICE GROUP'!O13,Export!M:M)</f>
        <v>0</v>
      </c>
      <c r="AB13" s="52">
        <f>+SUM(Z13:AA13)</f>
        <v>0</v>
      </c>
      <c r="AD13" s="52">
        <f>+SUMIF(Export!$I:$I,'SERVICE GROUP'!N13,Export!$O:O)</f>
        <v>0</v>
      </c>
      <c r="AE13" s="52">
        <f>+SUMIF(Export!$I:$I,'SERVICE GROUP'!O13,Export!O:O)</f>
        <v>0</v>
      </c>
      <c r="AF13" s="52">
        <f>+SUM(AD13:AE13)</f>
        <v>0</v>
      </c>
      <c r="AK13" s="202"/>
      <c r="AL13" s="202"/>
    </row>
    <row r="14" spans="1:38" x14ac:dyDescent="0.25">
      <c r="A14" s="24" t="s">
        <v>1179</v>
      </c>
      <c r="B14" s="51">
        <f>+T14/R14</f>
        <v>0.75415572988979263</v>
      </c>
      <c r="C14" s="96">
        <f>+X14/V14</f>
        <v>0.67308173565477303</v>
      </c>
      <c r="D14" s="126">
        <f t="shared" si="1"/>
        <v>8.1073994235019597E-2</v>
      </c>
      <c r="E14" s="118">
        <f t="shared" si="2"/>
        <v>0.1204519301896536</v>
      </c>
      <c r="F14" s="51"/>
      <c r="G14" s="51"/>
      <c r="H14" s="51"/>
      <c r="I14" s="96" t="e">
        <f t="shared" si="3"/>
        <v>#DIV/0!</v>
      </c>
      <c r="J14" s="126">
        <f t="shared" si="4"/>
        <v>0</v>
      </c>
      <c r="K14" s="122">
        <f t="shared" si="5"/>
        <v>0</v>
      </c>
      <c r="N14" s="3" t="s">
        <v>1104</v>
      </c>
      <c r="O14" s="3" t="s">
        <v>1179</v>
      </c>
      <c r="R14" s="52">
        <f>'NS SERVICE 140'!R14+'NS SERVICE 147'!P14+'NW SERVICE 240'!R14+'NW SERVICE 340'!R14+'NW SERVICE 440'!R14</f>
        <v>-27175.13</v>
      </c>
      <c r="S14" s="52">
        <f>'NS SERVICE 140'!S14+'NS SERVICE 147'!Q14+'NW SERVICE 240'!S14+'NW SERVICE 340'!S14+'NW SERVICE 440'!S14</f>
        <v>6680.8499999999995</v>
      </c>
      <c r="T14" s="52">
        <f>+SUM(R14:S14)</f>
        <v>-20494.280000000002</v>
      </c>
      <c r="V14" s="52">
        <f>'NS SERVICE 140'!V14+'NS SERVICE 147'!T14+'NW SERVICE 240'!V14+'NW SERVICE 340'!V14+'NW SERVICE 440'!V14</f>
        <v>-48528.184886304953</v>
      </c>
      <c r="W14" s="52">
        <f>'NS SERVICE 140'!W14+'NS SERVICE 147'!U14+'NW SERVICE 240'!W14+'NW SERVICE 340'!W14+'NW SERVICE 440'!W14</f>
        <v>15864.749974855091</v>
      </c>
      <c r="X14" s="52">
        <f t="shared" ref="X14:X16" si="6">+SUM(V14:W14)</f>
        <v>-32663.434911449862</v>
      </c>
      <c r="Z14" s="52">
        <f>+SUMIF(Export!$I:$I,'SERVICE GROUP'!N14,Export!M:M)</f>
        <v>0</v>
      </c>
      <c r="AA14" s="52">
        <f>+SUMIF(Export!$I:$I,'SERVICE GROUP'!O14,Export!M:M)</f>
        <v>0</v>
      </c>
      <c r="AB14" s="52">
        <f t="shared" ref="AB14:AB16" si="7">+SUM(Z14:AA14)</f>
        <v>0</v>
      </c>
      <c r="AD14" s="52">
        <f>+SUMIF(Export!$I:$I,'SERVICE GROUP'!N14,Export!$O:O)</f>
        <v>0</v>
      </c>
      <c r="AE14" s="52">
        <f>+SUMIF(Export!$I:$I,'SERVICE GROUP'!O14,Export!O:O)</f>
        <v>0</v>
      </c>
      <c r="AF14" s="52">
        <f t="shared" ref="AF14:AF16" si="8">+SUM(AD14:AE14)</f>
        <v>0</v>
      </c>
      <c r="AK14" s="202"/>
      <c r="AL14" s="202"/>
    </row>
    <row r="15" spans="1:38" x14ac:dyDescent="0.25">
      <c r="A15" s="24" t="s">
        <v>1184</v>
      </c>
      <c r="B15" s="51">
        <f>+T15/R15</f>
        <v>0.62641751856540273</v>
      </c>
      <c r="C15" s="96">
        <f>+X15/V15</f>
        <v>0.65798231102572258</v>
      </c>
      <c r="D15" s="126">
        <f t="shared" si="1"/>
        <v>-3.1564792460319846E-2</v>
      </c>
      <c r="E15" s="118">
        <f t="shared" si="2"/>
        <v>-4.7972098841249672E-2</v>
      </c>
      <c r="F15" s="51"/>
      <c r="G15" s="51"/>
      <c r="H15" s="51"/>
      <c r="I15" s="96" t="e">
        <f t="shared" si="3"/>
        <v>#DIV/0!</v>
      </c>
      <c r="J15" s="126">
        <f t="shared" si="4"/>
        <v>0</v>
      </c>
      <c r="K15" s="122">
        <f t="shared" si="5"/>
        <v>0</v>
      </c>
      <c r="N15" s="3" t="s">
        <v>1109</v>
      </c>
      <c r="O15" s="3" t="s">
        <v>1184</v>
      </c>
      <c r="R15" s="52">
        <f>'NS SERVICE 140'!R15+'NS SERVICE 147'!P15+'NW SERVICE 240'!R15+'NW SERVICE 340'!R15+'NW SERVICE 440'!R15</f>
        <v>-124435.76</v>
      </c>
      <c r="S15" s="52">
        <f>'NS SERVICE 140'!S15+'NS SERVICE 147'!Q15+'NW SERVICE 240'!S15+'NW SERVICE 340'!S15+'NW SERVICE 440'!S15</f>
        <v>46487.020000000004</v>
      </c>
      <c r="T15" s="52">
        <f>+SUM(R15:S15)</f>
        <v>-77948.739999999991</v>
      </c>
      <c r="V15" s="52">
        <f>'NS SERVICE 140'!V15+'NS SERVICE 147'!T15+'NW SERVICE 240'!V15+'NW SERVICE 340'!V15+'NW SERVICE 440'!V15</f>
        <v>-100013.11009124306</v>
      </c>
      <c r="W15" s="52">
        <f>'NS SERVICE 140'!W15+'NS SERVICE 147'!U15+'NW SERVICE 240'!W15+'NW SERVICE 340'!W15+'NW SERVICE 440'!W15</f>
        <v>34206.252780536932</v>
      </c>
      <c r="X15" s="52">
        <f t="shared" si="6"/>
        <v>-65806.857310706124</v>
      </c>
      <c r="Y15" s="169">
        <f>+SUM(X13:X15)-SUM(T13:T15)</f>
        <v>11539.930000000051</v>
      </c>
      <c r="Z15" s="52">
        <f>+SUMIF(Export!$I:$I,'SERVICE GROUP'!N15,Export!M:M)</f>
        <v>0</v>
      </c>
      <c r="AA15" s="52">
        <f>+SUMIF(Export!$I:$I,'SERVICE GROUP'!O15,Export!M:M)</f>
        <v>0</v>
      </c>
      <c r="AB15" s="52">
        <f t="shared" si="7"/>
        <v>0</v>
      </c>
      <c r="AD15" s="52">
        <f>+SUMIF(Export!$I:$I,'SERVICE GROUP'!N15,Export!$O:O)</f>
        <v>0</v>
      </c>
      <c r="AE15" s="52">
        <f>+SUMIF(Export!$I:$I,'SERVICE GROUP'!O15,Export!O:O)</f>
        <v>0</v>
      </c>
      <c r="AF15" s="52">
        <f t="shared" si="8"/>
        <v>0</v>
      </c>
      <c r="AK15" s="202"/>
      <c r="AL15" s="202"/>
    </row>
    <row r="16" spans="1:38" x14ac:dyDescent="0.25">
      <c r="A16" s="24" t="s">
        <v>1114</v>
      </c>
      <c r="B16" s="51">
        <f>+T16/SUM(S13:S16)</f>
        <v>0.22597433868840644</v>
      </c>
      <c r="C16" s="96">
        <f>+W16/SUM(W13:W16)</f>
        <v>0</v>
      </c>
      <c r="D16" s="126">
        <f t="shared" si="1"/>
        <v>0.22597433868840644</v>
      </c>
      <c r="E16" s="118">
        <f t="shared" si="2"/>
        <v>0</v>
      </c>
      <c r="F16" s="51"/>
      <c r="G16" s="51"/>
      <c r="H16" s="51"/>
      <c r="I16" s="96" t="e">
        <f t="shared" si="3"/>
        <v>#DIV/0!</v>
      </c>
      <c r="J16" s="126">
        <f t="shared" si="4"/>
        <v>0</v>
      </c>
      <c r="K16" s="122">
        <f t="shared" si="5"/>
        <v>0</v>
      </c>
      <c r="O16" s="3" t="s">
        <v>1114</v>
      </c>
      <c r="R16" s="52">
        <f>'NS SERVICE 140'!R16+'NS SERVICE 147'!P16+'NW SERVICE 240'!R16+'NW SERVICE 340'!R16+'NW SERVICE 440'!R16</f>
        <v>0</v>
      </c>
      <c r="S16" s="52">
        <f>'NS SERVICE 140'!S16+'NS SERVICE 147'!Q16+'NW SERVICE 240'!S16+'NW SERVICE 340'!S16+'NW SERVICE 440'!S16</f>
        <v>42381.32</v>
      </c>
      <c r="T16" s="52">
        <f>+SUM(R16:S16)</f>
        <v>42381.32</v>
      </c>
      <c r="V16" s="52">
        <f>'NS SERVICE 140'!V16+'NS SERVICE 147'!T16+'NW SERVICE 240'!V16+'NW SERVICE 340'!V16+'NW SERVICE 440'!V16</f>
        <v>0</v>
      </c>
      <c r="W16" s="52">
        <f>'NS SERVICE 140'!W16+'NS SERVICE 147'!U16+'NW SERVICE 240'!W16+'NW SERVICE 340'!W16+'NW SERVICE 440'!W16</f>
        <v>0</v>
      </c>
      <c r="X16" s="52">
        <f t="shared" si="6"/>
        <v>0</v>
      </c>
      <c r="Z16" s="52">
        <f>+SUMIF(Export!$I:$I,'SERVICE GROUP'!N16,Export!M:M)</f>
        <v>0</v>
      </c>
      <c r="AA16" s="52">
        <f>+SUMIF(Export!$I:$I,'SERVICE GROUP'!O16,Export!M:M)</f>
        <v>0</v>
      </c>
      <c r="AB16" s="52">
        <f t="shared" si="7"/>
        <v>0</v>
      </c>
      <c r="AD16" s="52">
        <f>+SUMIF(Export!$I:$I,'SERVICE GROUP'!N16,Export!$O:O)</f>
        <v>0</v>
      </c>
      <c r="AE16" s="52">
        <f>+SUMIF(Export!$I:$I,'SERVICE GROUP'!O16,Export!O:O)</f>
        <v>0</v>
      </c>
      <c r="AF16" s="52">
        <f t="shared" si="8"/>
        <v>0</v>
      </c>
      <c r="AK16" s="202"/>
      <c r="AL16" s="202"/>
    </row>
    <row r="17" spans="1:38" x14ac:dyDescent="0.25">
      <c r="A17" s="24" t="s">
        <v>1691</v>
      </c>
      <c r="B17" s="51">
        <f>+T17/SUM(R13:R16)</f>
        <v>0.66765669508185077</v>
      </c>
      <c r="C17" s="96">
        <f>+X17/SUM(V13:V16)</f>
        <v>0.70766666666666656</v>
      </c>
      <c r="D17" s="126">
        <f t="shared" si="1"/>
        <v>-4.0009971584815784E-2</v>
      </c>
      <c r="E17" s="118">
        <f t="shared" si="2"/>
        <v>-5.6537877887163149E-2</v>
      </c>
      <c r="F17" s="51"/>
      <c r="G17" s="51"/>
      <c r="H17" s="51"/>
      <c r="I17" s="96" t="e">
        <f t="shared" si="3"/>
        <v>#DIV/0!</v>
      </c>
      <c r="J17" s="126">
        <f t="shared" si="4"/>
        <v>0</v>
      </c>
      <c r="K17" s="122">
        <f t="shared" si="5"/>
        <v>0</v>
      </c>
      <c r="R17" s="52">
        <f>'NS SERVICE 140'!R17+'NS SERVICE 147'!P17+'NW SERVICE 240'!R17+'NW SERVICE 340'!R17+'NW SERVICE 440'!R17</f>
        <v>-564323.87</v>
      </c>
      <c r="S17" s="52">
        <f>'NS SERVICE 140'!S17+'NS SERVICE 147'!Q17+'NW SERVICE 240'!S17+'NW SERVICE 340'!S17+'NW SERVICE 440'!S17</f>
        <v>0</v>
      </c>
      <c r="T17" s="52">
        <f>SUM(T13:T16)</f>
        <v>-376774.61</v>
      </c>
      <c r="V17" s="52">
        <f>'NS SERVICE 140'!V17+'NS SERVICE 147'!T17+'NW SERVICE 240'!V17+'NW SERVICE 340'!V17+'NW SERVICE 440'!V17</f>
        <v>-576000</v>
      </c>
      <c r="W17" s="52">
        <f>'NS SERVICE 140'!W17+'NS SERVICE 147'!U17+'NW SERVICE 240'!W17+'NW SERVICE 340'!W17+'NW SERVICE 440'!W17</f>
        <v>0</v>
      </c>
      <c r="X17" s="52">
        <f>SUM(X13:X16)</f>
        <v>-407615.99999999994</v>
      </c>
      <c r="Z17" s="52">
        <f>SUM(Z13:Z16)</f>
        <v>0</v>
      </c>
      <c r="AB17" s="52">
        <f>SUM(AB13:AB16)</f>
        <v>0</v>
      </c>
      <c r="AD17" s="52">
        <f>SUM(AD13:AD16)</f>
        <v>0</v>
      </c>
      <c r="AF17" s="52">
        <f>SUM(AF13:AF16)</f>
        <v>0</v>
      </c>
      <c r="AK17" s="202"/>
      <c r="AL17" s="202"/>
    </row>
    <row r="18" spans="1:38" x14ac:dyDescent="0.25">
      <c r="A18" s="24" t="s">
        <v>1191</v>
      </c>
      <c r="B18" s="51">
        <f>+T18/R18</f>
        <v>0.19309778100542849</v>
      </c>
      <c r="C18" s="96">
        <f>+X18/V18</f>
        <v>0.34570028541397196</v>
      </c>
      <c r="D18" s="126">
        <f t="shared" si="1"/>
        <v>-0.15260250440854348</v>
      </c>
      <c r="E18" s="118">
        <f t="shared" si="2"/>
        <v>-0.44143007931221057</v>
      </c>
      <c r="F18" s="51"/>
      <c r="G18" s="51"/>
      <c r="H18" s="51"/>
      <c r="I18" s="96" t="e">
        <f t="shared" si="3"/>
        <v>#DIV/0!</v>
      </c>
      <c r="J18" s="126">
        <f t="shared" si="4"/>
        <v>0</v>
      </c>
      <c r="K18" s="122">
        <f t="shared" si="5"/>
        <v>0</v>
      </c>
      <c r="N18" s="3" t="s">
        <v>1117</v>
      </c>
      <c r="O18" s="3" t="s">
        <v>1191</v>
      </c>
      <c r="R18" s="52">
        <f>'NS SERVICE 140'!R18+'NS SERVICE 147'!P18+'NW SERVICE 240'!R18+'NW SERVICE 340'!R18+'NW SERVICE 440'!R18</f>
        <v>-58095.229999999996</v>
      </c>
      <c r="S18" s="52">
        <f>'NS SERVICE 140'!S18+'NS SERVICE 147'!Q18+'NW SERVICE 240'!S18+'NW SERVICE 340'!S18+'NW SERVICE 440'!S18</f>
        <v>46877.17</v>
      </c>
      <c r="T18" s="52">
        <f t="shared" ref="T18:T19" si="9">+SUM(R18:S18)</f>
        <v>-11218.059999999998</v>
      </c>
      <c r="V18" s="52">
        <f>'NS SERVICE 140'!V18+'NS SERVICE 147'!T18+'NW SERVICE 240'!V18+'NW SERVICE 340'!V18+'NW SERVICE 440'!V18</f>
        <v>-213612.00111906149</v>
      </c>
      <c r="W18" s="52">
        <f>'NS SERVICE 140'!W18+'NS SERVICE 147'!U18+'NW SERVICE 240'!W18+'NW SERVICE 340'!W18+'NW SERVICE 440'!W18</f>
        <v>139766.27136435223</v>
      </c>
      <c r="X18" s="52">
        <f t="shared" ref="X18:X19" si="10">+SUM(V18:W18)</f>
        <v>-73845.72975470926</v>
      </c>
      <c r="Z18" s="52">
        <f>+SUMIF(Export!$I:$I,'SERVICE GROUP'!N18,Export!M:M)</f>
        <v>0</v>
      </c>
      <c r="AA18" s="52">
        <f>+SUMIF(Export!$I:$I,'SERVICE GROUP'!O18,Export!M:M)</f>
        <v>0</v>
      </c>
      <c r="AB18" s="52">
        <f t="shared" ref="AB18:AB19" si="11">+SUM(Z18:AA18)</f>
        <v>0</v>
      </c>
      <c r="AD18" s="52">
        <f>+SUMIF(Export!$I:$I,'SERVICE GROUP'!N18,Export!$O:O)</f>
        <v>0</v>
      </c>
      <c r="AE18" s="52">
        <f>+SUMIF(Export!$I:$I,'SERVICE GROUP'!O18,Export!O:O)</f>
        <v>0</v>
      </c>
      <c r="AF18" s="52">
        <f t="shared" ref="AF18:AF19" si="12">+SUM(AD18:AE18)</f>
        <v>0</v>
      </c>
      <c r="AK18" s="202"/>
      <c r="AL18" s="202"/>
    </row>
    <row r="19" spans="1:38" x14ac:dyDescent="0.25">
      <c r="A19" s="24" t="s">
        <v>1196</v>
      </c>
      <c r="B19" s="51">
        <f>+T19/R19</f>
        <v>0.63100145739575697</v>
      </c>
      <c r="C19" s="96">
        <f>IFERROR(+X19/V19,0)</f>
        <v>0.9944783080421149</v>
      </c>
      <c r="D19" s="126">
        <f t="shared" si="1"/>
        <v>-0.36347685064635793</v>
      </c>
      <c r="E19" s="118">
        <f t="shared" si="2"/>
        <v>-0.36549500145654773</v>
      </c>
      <c r="F19" s="51"/>
      <c r="G19" s="51"/>
      <c r="H19" s="51"/>
      <c r="I19" s="96" t="e">
        <f t="shared" si="3"/>
        <v>#DIV/0!</v>
      </c>
      <c r="J19" s="126">
        <f t="shared" si="4"/>
        <v>0</v>
      </c>
      <c r="K19" s="122">
        <f t="shared" si="5"/>
        <v>0</v>
      </c>
      <c r="N19" s="3" t="s">
        <v>1019</v>
      </c>
      <c r="O19" s="3" t="s">
        <v>1196</v>
      </c>
      <c r="R19" s="52">
        <f>'NS SERVICE 140'!R19+'NS SERVICE 147'!P19+'NW SERVICE 240'!R19+'NW SERVICE 340'!R19+'NW SERVICE 440'!R19</f>
        <v>-163833.32999999999</v>
      </c>
      <c r="S19" s="52">
        <f>'NS SERVICE 140'!S19+'NS SERVICE 147'!Q19+'NW SERVICE 240'!S19+'NW SERVICE 340'!S19+'NW SERVICE 440'!S19</f>
        <v>60454.259999999995</v>
      </c>
      <c r="T19" s="52">
        <f t="shared" si="9"/>
        <v>-103379.06999999999</v>
      </c>
      <c r="V19" s="52">
        <f>'NS SERVICE 140'!V19+'NS SERVICE 147'!T19+'NW SERVICE 240'!V19+'NW SERVICE 340'!V19+'NW SERVICE 440'!V19</f>
        <v>-15887.998880938514</v>
      </c>
      <c r="W19" s="52">
        <f>'NS SERVICE 140'!W19+'NS SERVICE 147'!U19+'NW SERVICE 240'!W19+'NW SERVICE 340'!W19+'NW SERVICE 440'!W19</f>
        <v>87.728635647765657</v>
      </c>
      <c r="X19" s="52">
        <f t="shared" si="10"/>
        <v>-15800.270245290749</v>
      </c>
      <c r="Z19" s="52">
        <f>+SUMIF(Export!$I:$I,'SERVICE GROUP'!N19,Export!M:M)</f>
        <v>0</v>
      </c>
      <c r="AA19" s="52">
        <f>+SUMIF(Export!$I:$I,'SERVICE GROUP'!O19,Export!M:M)</f>
        <v>0</v>
      </c>
      <c r="AB19" s="52">
        <f t="shared" si="11"/>
        <v>0</v>
      </c>
      <c r="AD19" s="52">
        <f>+SUMIF(Export!$I:$I,'SERVICE GROUP'!N19,Export!$O:O)</f>
        <v>0</v>
      </c>
      <c r="AE19" s="52">
        <f>+SUMIF(Export!$I:$I,'SERVICE GROUP'!O19,Export!O:O)</f>
        <v>0</v>
      </c>
      <c r="AF19" s="52">
        <f t="shared" si="12"/>
        <v>0</v>
      </c>
      <c r="AK19" s="202"/>
      <c r="AL19" s="202"/>
    </row>
    <row r="20" spans="1:38" x14ac:dyDescent="0.25">
      <c r="A20" s="24" t="s">
        <v>1692</v>
      </c>
      <c r="B20" s="51">
        <f>+T21/R21</f>
        <v>0.62495417661221098</v>
      </c>
      <c r="C20" s="96">
        <f>+X21/V21</f>
        <v>0.61733333333333329</v>
      </c>
      <c r="D20" s="126">
        <f t="shared" si="1"/>
        <v>7.620843278877687E-3</v>
      </c>
      <c r="E20" s="118">
        <f t="shared" si="2"/>
        <v>1.2344778529499494E-2</v>
      </c>
      <c r="F20" s="51"/>
      <c r="G20" s="51"/>
      <c r="H20" s="51"/>
      <c r="I20" s="96" t="e">
        <f t="shared" si="3"/>
        <v>#DIV/0!</v>
      </c>
      <c r="J20" s="126">
        <f t="shared" si="4"/>
        <v>0</v>
      </c>
      <c r="K20" s="122">
        <f t="shared" si="5"/>
        <v>0</v>
      </c>
      <c r="AK20" s="202"/>
      <c r="AL20" s="202"/>
    </row>
    <row r="21" spans="1:38" x14ac:dyDescent="0.25">
      <c r="A21" s="27" t="s">
        <v>1693</v>
      </c>
      <c r="B21" s="91">
        <f>-T21</f>
        <v>491371.74</v>
      </c>
      <c r="C21" s="92">
        <f>-X21</f>
        <v>497261.99999999994</v>
      </c>
      <c r="D21" s="106">
        <f t="shared" si="1"/>
        <v>-5890.2599999999511</v>
      </c>
      <c r="E21" s="119">
        <f t="shared" si="2"/>
        <v>-1.1845385330067352E-2</v>
      </c>
      <c r="F21" s="91"/>
      <c r="G21" s="91"/>
      <c r="H21" s="91"/>
      <c r="I21" s="92">
        <f>SUM(F21:H21)</f>
        <v>0</v>
      </c>
      <c r="J21" s="106">
        <f t="shared" si="4"/>
        <v>0</v>
      </c>
      <c r="K21" s="123">
        <f t="shared" si="5"/>
        <v>0</v>
      </c>
      <c r="R21" s="52">
        <f>'NS SERVICE 140'!R21+'NS SERVICE 147'!P21+'NW SERVICE 240'!R21+'NW SERVICE 340'!R21+'NW SERVICE 440'!R21</f>
        <v>-786252.42999999993</v>
      </c>
      <c r="T21" s="52">
        <f>+SUM(T17:T19)</f>
        <v>-491371.74</v>
      </c>
      <c r="V21" s="52">
        <f>'NS SERVICE 140'!V21+'NS SERVICE 147'!T21+'NW SERVICE 240'!V21+'NW SERVICE 340'!V21+'NW SERVICE 440'!V21</f>
        <v>-805500</v>
      </c>
      <c r="X21" s="52">
        <f>+SUM(X17:X19)</f>
        <v>-497261.99999999994</v>
      </c>
      <c r="Z21" s="52">
        <f>+SUM(Z17:Z19)</f>
        <v>0</v>
      </c>
      <c r="AB21" s="52">
        <f>+SUM(AB17:AB19)</f>
        <v>0</v>
      </c>
      <c r="AD21" s="52">
        <f>+SUM(AD17:AD19)</f>
        <v>0</v>
      </c>
      <c r="AF21" s="52">
        <f>+SUM(AF17:AF19)</f>
        <v>0</v>
      </c>
      <c r="AK21" s="202">
        <f>B21-'NS SERVICE 140'!B21-'NS SERVICE 147'!B21-'NW SERVICE 240'!B21-'NW SERVICE 340'!B21-'NW SERVICE 440'!B21</f>
        <v>0</v>
      </c>
      <c r="AL21" s="202">
        <f>C21-'NS SERVICE 140'!C21-'NS SERVICE 147'!C21-'NW SERVICE 240'!C21-'NW SERVICE 340'!C21-'NW SERVICE 440'!C21</f>
        <v>0</v>
      </c>
    </row>
    <row r="22" spans="1:38" ht="15.6" customHeight="1" x14ac:dyDescent="0.25">
      <c r="A22" s="24" t="s">
        <v>1252</v>
      </c>
      <c r="B22" s="51">
        <f>-T22/R21</f>
        <v>0.31693088694174215</v>
      </c>
      <c r="C22" s="96">
        <f>-X22/V21</f>
        <v>0.1103308453729345</v>
      </c>
      <c r="D22" s="118">
        <f>+C22-B22</f>
        <v>-0.20660004156880765</v>
      </c>
      <c r="E22" s="118">
        <f t="shared" si="2"/>
        <v>-1.8725501546776797</v>
      </c>
      <c r="F22" s="51"/>
      <c r="G22" s="51"/>
      <c r="H22" s="51"/>
      <c r="I22" s="96" t="e">
        <f t="shared" si="3"/>
        <v>#DIV/0!</v>
      </c>
      <c r="J22" s="118">
        <f>+H22-F22</f>
        <v>0</v>
      </c>
      <c r="K22" s="122">
        <f t="shared" si="5"/>
        <v>0</v>
      </c>
      <c r="N22" s="3" t="s">
        <v>1252</v>
      </c>
      <c r="T22" s="52">
        <f>'NS SERVICE 140'!T22+'NS SERVICE 147'!R22+'NW SERVICE 240'!T22+'NW SERVICE 340'!T22+'NW SERVICE 440'!T22</f>
        <v>249187.68000000002</v>
      </c>
      <c r="X22" s="52">
        <f>'NS SERVICE 140'!X22+'NS SERVICE 147'!V22+'NW SERVICE 240'!X22+'NW SERVICE 340'!X22+'NW SERVICE 440'!X22</f>
        <v>88871.495947898744</v>
      </c>
      <c r="AB22" s="52">
        <f>+SUMIF(Export!$I:$I,'SERVICE GROUP'!N22,Export!M:M)</f>
        <v>0</v>
      </c>
      <c r="AF22" s="52">
        <f>+SUMIF(Export!$I:$I,'SERVICE GROUP'!N22,Export!O:O)</f>
        <v>0</v>
      </c>
      <c r="AK22" s="202"/>
      <c r="AL22" s="202"/>
    </row>
    <row r="23" spans="1:38" x14ac:dyDescent="0.25">
      <c r="A23" s="24" t="s">
        <v>1286</v>
      </c>
      <c r="B23" s="51">
        <f>-T23/R21</f>
        <v>4.885099051458576E-2</v>
      </c>
      <c r="C23" s="96">
        <f>-X23/V21</f>
        <v>0.28682907186273693</v>
      </c>
      <c r="D23" s="118">
        <f t="shared" ref="D23:D24" si="13">+C23-B23</f>
        <v>0.23797808134815118</v>
      </c>
      <c r="E23" s="118">
        <f t="shared" si="2"/>
        <v>0.82968605588918976</v>
      </c>
      <c r="F23" s="51"/>
      <c r="G23" s="51"/>
      <c r="H23" s="51"/>
      <c r="I23" s="96" t="e">
        <f t="shared" si="3"/>
        <v>#DIV/0!</v>
      </c>
      <c r="J23" s="118">
        <f t="shared" ref="J23:J24" si="14">+H23-F23</f>
        <v>0</v>
      </c>
      <c r="K23" s="122">
        <f t="shared" si="5"/>
        <v>0</v>
      </c>
      <c r="N23" s="3" t="s">
        <v>1694</v>
      </c>
      <c r="T23" s="52">
        <f>'NS SERVICE 140'!T23+'NS SERVICE 147'!R23+'NW SERVICE 240'!T23+'NW SERVICE 340'!T23+'NW SERVICE 440'!T23</f>
        <v>38409.21</v>
      </c>
      <c r="X23" s="52">
        <f>'NS SERVICE 140'!X23+'NS SERVICE 147'!V23+'NW SERVICE 240'!X23+'NW SERVICE 340'!X23+'NW SERVICE 440'!X23</f>
        <v>231040.81738543461</v>
      </c>
      <c r="AB23" s="52">
        <f>+SUMIF(Export!J:J,'SERVICE GROUP'!N23,Export!M:M)</f>
        <v>0</v>
      </c>
      <c r="AF23" s="52">
        <f>+SUMIF(Export!$J:$J,'SERVICE GROUP'!N23,Export!O:O)</f>
        <v>0</v>
      </c>
      <c r="AK23" s="202"/>
      <c r="AL23" s="202"/>
    </row>
    <row r="24" spans="1:38" x14ac:dyDescent="0.25">
      <c r="A24" s="24" t="s">
        <v>1674</v>
      </c>
      <c r="B24" s="53">
        <f>+SUM(B22:B23)</f>
        <v>0.3657818774563279</v>
      </c>
      <c r="C24" s="96">
        <f>+SUM(C22:C23)</f>
        <v>0.39715991723567146</v>
      </c>
      <c r="D24" s="118">
        <f t="shared" si="13"/>
        <v>3.1378039779343558E-2</v>
      </c>
      <c r="E24" s="118">
        <f t="shared" si="2"/>
        <v>7.9006058813140712E-2</v>
      </c>
      <c r="F24" s="51"/>
      <c r="G24" s="51"/>
      <c r="H24" s="51"/>
      <c r="I24" s="96" t="e">
        <f t="shared" si="3"/>
        <v>#DIV/0!</v>
      </c>
      <c r="J24" s="118">
        <f t="shared" si="14"/>
        <v>0</v>
      </c>
      <c r="K24" s="122">
        <f t="shared" si="5"/>
        <v>0</v>
      </c>
      <c r="AK24" s="202"/>
      <c r="AL24" s="202"/>
    </row>
    <row r="25" spans="1:38" x14ac:dyDescent="0.25">
      <c r="A25" s="24" t="s">
        <v>1675</v>
      </c>
      <c r="B25" s="53">
        <f>+B20-B24</f>
        <v>0.25917229915588308</v>
      </c>
      <c r="C25" s="96">
        <f>+C20-C24</f>
        <v>0.22017341609766183</v>
      </c>
      <c r="D25" s="118">
        <f t="shared" ref="D25:D30" si="15">+B25-C25</f>
        <v>3.8998883058221245E-2</v>
      </c>
      <c r="E25" s="118">
        <f t="shared" si="2"/>
        <v>0.17712802821264578</v>
      </c>
      <c r="F25" s="51"/>
      <c r="G25" s="51"/>
      <c r="H25" s="51"/>
      <c r="I25" s="96" t="e">
        <f t="shared" si="3"/>
        <v>#DIV/0!</v>
      </c>
      <c r="J25" s="118">
        <f t="shared" ref="J25:J30" si="16">+F25-H25</f>
        <v>0</v>
      </c>
      <c r="K25" s="122">
        <f t="shared" si="5"/>
        <v>0</v>
      </c>
      <c r="AK25" s="202"/>
      <c r="AL25" s="202"/>
    </row>
    <row r="26" spans="1:38" s="28" customFormat="1" x14ac:dyDescent="0.25">
      <c r="A26" s="27" t="s">
        <v>1695</v>
      </c>
      <c r="B26" s="91">
        <f>-T26</f>
        <v>203774.84999999998</v>
      </c>
      <c r="C26" s="92">
        <f>-X26</f>
        <v>177349.68666666656</v>
      </c>
      <c r="D26" s="106">
        <f t="shared" si="15"/>
        <v>26425.163333333418</v>
      </c>
      <c r="E26" s="119">
        <f t="shared" si="2"/>
        <v>0.14900033842743807</v>
      </c>
      <c r="F26" s="91"/>
      <c r="G26" s="91"/>
      <c r="H26" s="91"/>
      <c r="I26" s="92">
        <f>SUM(F26:H26)</f>
        <v>0</v>
      </c>
      <c r="J26" s="106">
        <f t="shared" si="16"/>
        <v>0</v>
      </c>
      <c r="K26" s="123">
        <f t="shared" si="5"/>
        <v>0</v>
      </c>
      <c r="N26" s="50"/>
      <c r="O26" s="50"/>
      <c r="T26" s="69">
        <f>+SUM(T21:T25)</f>
        <v>-203774.84999999998</v>
      </c>
      <c r="X26" s="69">
        <f>+SUM(X21:X25)</f>
        <v>-177349.68666666656</v>
      </c>
      <c r="AB26" s="69">
        <f>+SUM(AB21:AB25)</f>
        <v>0</v>
      </c>
      <c r="AF26" s="69">
        <f>+SUM(AF21:AF25)</f>
        <v>0</v>
      </c>
      <c r="AK26" s="202">
        <f>B26-'NS SERVICE 140'!B26-'NS SERVICE 147'!B26-'NW SERVICE 240'!B26-'NW SERVICE 340'!B26-'NW SERVICE 440'!B26</f>
        <v>0</v>
      </c>
      <c r="AL26" s="202">
        <f>C26-'NS SERVICE 140'!C26-'NS SERVICE 147'!C26-'NW SERVICE 240'!C26-'NW SERVICE 340'!C26-'NW SERVICE 440'!C26</f>
        <v>-9.4587448984384537E-11</v>
      </c>
    </row>
    <row r="27" spans="1:38" x14ac:dyDescent="0.25">
      <c r="A27" s="24" t="s">
        <v>1696</v>
      </c>
      <c r="B27" s="155">
        <f>+'PARTS GROUP'!R18/'SERVICE GROUP'!R13</f>
        <v>0.58499320762821649</v>
      </c>
      <c r="C27" s="156">
        <f>+'PARTS GROUP'!V18/'SERVICE GROUP'!V13</f>
        <v>0.54306582835382389</v>
      </c>
      <c r="D27" s="157">
        <f t="shared" si="15"/>
        <v>4.1927379274392607E-2</v>
      </c>
      <c r="E27" s="118">
        <f t="shared" si="2"/>
        <v>7.7204966848099396E-2</v>
      </c>
      <c r="F27" s="158"/>
      <c r="G27" s="158"/>
      <c r="H27" s="158"/>
      <c r="I27" s="156" t="e">
        <f t="shared" si="3"/>
        <v>#DIV/0!</v>
      </c>
      <c r="J27" s="157">
        <f t="shared" si="16"/>
        <v>0</v>
      </c>
      <c r="K27" s="122">
        <f t="shared" si="5"/>
        <v>0</v>
      </c>
      <c r="P27" s="3"/>
      <c r="Q27" s="3"/>
      <c r="R27" s="3"/>
      <c r="S27" s="3"/>
      <c r="T27" s="3"/>
      <c r="AK27" s="202"/>
      <c r="AL27" s="202"/>
    </row>
    <row r="28" spans="1:38" s="28" customFormat="1" x14ac:dyDescent="0.25">
      <c r="A28" s="27" t="s">
        <v>1697</v>
      </c>
      <c r="B28" s="91">
        <f>-SUM(R13:R16)/B33</f>
        <v>17231.263206106869</v>
      </c>
      <c r="C28" s="92">
        <f>-SUM(V13:V16)/C33</f>
        <v>18731.707317073171</v>
      </c>
      <c r="D28" s="106">
        <f t="shared" si="15"/>
        <v>-1500.4441109663021</v>
      </c>
      <c r="E28" s="119">
        <f t="shared" si="2"/>
        <v>-8.0101834048982273E-2</v>
      </c>
      <c r="F28" s="91"/>
      <c r="G28" s="91"/>
      <c r="H28" s="91"/>
      <c r="I28" s="92" t="e">
        <f>AVERAGE(F28:H28)</f>
        <v>#DIV/0!</v>
      </c>
      <c r="J28" s="106">
        <f t="shared" si="16"/>
        <v>0</v>
      </c>
      <c r="K28" s="123">
        <f t="shared" si="5"/>
        <v>0</v>
      </c>
      <c r="N28" s="50"/>
      <c r="O28" s="50"/>
      <c r="AK28" s="202"/>
      <c r="AL28" s="202"/>
    </row>
    <row r="29" spans="1:38" s="28" customFormat="1" x14ac:dyDescent="0.25">
      <c r="A29" s="27" t="s">
        <v>1698</v>
      </c>
      <c r="B29" s="91">
        <f>-SUM(T17/B33)</f>
        <v>11504.568244274809</v>
      </c>
      <c r="C29" s="92">
        <f>-SUM(X17/C33)</f>
        <v>13255.804878048779</v>
      </c>
      <c r="D29" s="106">
        <f t="shared" si="15"/>
        <v>-1751.2366337739695</v>
      </c>
      <c r="E29" s="119">
        <f t="shared" si="2"/>
        <v>-0.13211092422414619</v>
      </c>
      <c r="F29" s="91"/>
      <c r="G29" s="91"/>
      <c r="H29" s="91"/>
      <c r="I29" s="92" t="e">
        <f>AVERAGE(F29:H29)</f>
        <v>#DIV/0!</v>
      </c>
      <c r="J29" s="106">
        <f t="shared" si="16"/>
        <v>0</v>
      </c>
      <c r="K29" s="123">
        <f t="shared" si="5"/>
        <v>0</v>
      </c>
      <c r="N29" s="50"/>
      <c r="O29" s="50"/>
      <c r="AK29" s="202"/>
      <c r="AL29" s="202"/>
    </row>
    <row r="30" spans="1:38" s="28" customFormat="1" ht="15.75" thickBot="1" x14ac:dyDescent="0.3">
      <c r="A30" s="29" t="s">
        <v>1699</v>
      </c>
      <c r="B30" s="94">
        <f>+B26/B33</f>
        <v>6222.13282442748</v>
      </c>
      <c r="C30" s="93">
        <f>+C26/C33</f>
        <v>5767.4694850948472</v>
      </c>
      <c r="D30" s="107">
        <f t="shared" si="15"/>
        <v>454.66333933263286</v>
      </c>
      <c r="E30" s="120">
        <f t="shared" si="2"/>
        <v>7.8832378828815913E-2</v>
      </c>
      <c r="F30" s="94"/>
      <c r="G30" s="94"/>
      <c r="H30" s="94"/>
      <c r="I30" s="93" t="e">
        <f>AVERAGE(F30:H30)</f>
        <v>#DIV/0!</v>
      </c>
      <c r="J30" s="107">
        <f t="shared" si="16"/>
        <v>0</v>
      </c>
      <c r="K30" s="124">
        <f t="shared" si="5"/>
        <v>0</v>
      </c>
      <c r="N30" s="50"/>
      <c r="O30" s="50"/>
      <c r="AK30" s="202"/>
      <c r="AL30" s="202"/>
    </row>
    <row r="31" spans="1:38" ht="0" hidden="1" customHeight="1" x14ac:dyDescent="0.25">
      <c r="E31" s="121"/>
      <c r="H31" s="51"/>
      <c r="K31" s="121"/>
      <c r="AK31" s="202"/>
      <c r="AL31" s="202"/>
    </row>
    <row r="32" spans="1:38" ht="15.75" thickTop="1" x14ac:dyDescent="0.25">
      <c r="E32" s="121"/>
      <c r="K32" s="121"/>
      <c r="AK32" s="202"/>
      <c r="AL32" s="202"/>
    </row>
    <row r="33" spans="1:38" x14ac:dyDescent="0.25">
      <c r="A33" s="24" t="s">
        <v>1700</v>
      </c>
      <c r="B33" s="239">
        <f>'NS SERVICE 140'!B33+'NS SERVICE 147'!B33+'NW SERVICE 240'!B33+'NW SERVICE 340'!B33+'NW SERVICE 440'!B33</f>
        <v>32.75</v>
      </c>
      <c r="C33" s="12">
        <f>'NS SERVICE 140'!C33+'NS SERVICE 147'!C33+'NW SERVICE 240'!C33+'NW SERVICE 340'!C33+'NW SERVICE 440'!C33</f>
        <v>30.75</v>
      </c>
      <c r="D33" s="149"/>
      <c r="E33" s="149"/>
      <c r="F33" s="12"/>
      <c r="G33" s="12"/>
      <c r="H33" s="12"/>
      <c r="I33" s="12" t="e">
        <f>AVERAGE(F33:H33)</f>
        <v>#DIV/0!</v>
      </c>
      <c r="J33" s="149"/>
      <c r="K33" s="121"/>
      <c r="N33" s="3" t="s">
        <v>1701</v>
      </c>
      <c r="O33" s="3" t="s">
        <v>1702</v>
      </c>
      <c r="P33" s="3" t="s">
        <v>1703</v>
      </c>
      <c r="Q33" s="3" t="s">
        <v>1704</v>
      </c>
      <c r="R33" s="3" t="s">
        <v>1705</v>
      </c>
      <c r="AK33" s="202">
        <f>B33-'NS SERVICE 140'!B33-'NS SERVICE 147'!B33-'NW SERVICE 240'!B33-'NW SERVICE 340'!B33-'NW SERVICE 440'!B33</f>
        <v>0</v>
      </c>
      <c r="AL33" s="202">
        <f>C33-'NS SERVICE 140'!C33-'NS SERVICE 147'!C33-'NW SERVICE 240'!C33-'NW SERVICE 340'!C33-'NW SERVICE 440'!C33</f>
        <v>0</v>
      </c>
    </row>
    <row r="34" spans="1:38" x14ac:dyDescent="0.25">
      <c r="K34" s="121"/>
      <c r="N34" s="3" t="s">
        <v>1706</v>
      </c>
      <c r="O34" s="3" t="s">
        <v>1707</v>
      </c>
      <c r="P34" s="3" t="s">
        <v>1708</v>
      </c>
      <c r="Q34" s="3" t="s">
        <v>1709</v>
      </c>
      <c r="R34" s="3" t="s">
        <v>1710</v>
      </c>
    </row>
    <row r="35" spans="1:38" x14ac:dyDescent="0.25">
      <c r="B35" s="271"/>
      <c r="K35" s="121"/>
    </row>
    <row r="36" spans="1:38" x14ac:dyDescent="0.25">
      <c r="B36" s="193"/>
      <c r="C36" s="193"/>
    </row>
    <row r="37" spans="1:38" x14ac:dyDescent="0.25">
      <c r="C37" s="193"/>
    </row>
    <row r="38" spans="1:38" x14ac:dyDescent="0.25">
      <c r="A38" s="27" t="s">
        <v>20</v>
      </c>
      <c r="B38" s="91">
        <f>'NS SERVICE 140'!B38+'NW SERVICE 240'!B38+'NW SERVICE 340'!B38+'NW SERVICE 440'!B38</f>
        <v>0</v>
      </c>
      <c r="C38" s="92">
        <f>'NS SERVICE 140'!C38+'NW SERVICE 240'!C38+'NW SERVICE 340'!C38+'NW SERVICE 440'!C38</f>
        <v>93750</v>
      </c>
    </row>
    <row r="39" spans="1:38" x14ac:dyDescent="0.25">
      <c r="A39" s="27" t="s">
        <v>1711</v>
      </c>
      <c r="B39" s="91">
        <f>B26+B38</f>
        <v>203774.84999999998</v>
      </c>
      <c r="C39" s="92">
        <f>C26+C38</f>
        <v>271099.68666666653</v>
      </c>
    </row>
    <row r="41" spans="1:38" x14ac:dyDescent="0.25">
      <c r="B41" s="193"/>
      <c r="C41" s="193"/>
    </row>
    <row r="42" spans="1:38" x14ac:dyDescent="0.25">
      <c r="B42" s="193"/>
      <c r="C42" s="193"/>
    </row>
    <row r="45" spans="1:38" x14ac:dyDescent="0.25">
      <c r="C45" s="193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7BAC6-4602-4C19-B8F2-60FBC3BA48E7}">
  <sheetPr>
    <tabColor theme="9" tint="0.79998168889431442"/>
  </sheetPr>
  <dimension ref="A1:AJ45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3" width="12.140625" style="16" bestFit="1" customWidth="1" outlineLevel="1"/>
    <col min="4" max="5" width="9.7109375" style="16" customWidth="1" outlineLevel="1"/>
    <col min="6" max="9" width="9.7109375" style="16" customWidth="1"/>
    <col min="10" max="11" width="9.7109375" style="16" hidden="1" customWidth="1"/>
    <col min="12" max="12" width="9.140625" style="16" customWidth="1"/>
    <col min="13" max="13" width="9.140625" style="16"/>
    <col min="14" max="15" width="11.7109375" style="3" customWidth="1" outlineLevel="1"/>
    <col min="16" max="36" width="9.140625" style="16" customWidth="1" outlineLevel="1"/>
    <col min="37" max="16384" width="9.140625" style="16"/>
  </cols>
  <sheetData>
    <row r="1" spans="1:32" ht="15" customHeight="1" x14ac:dyDescent="0.25">
      <c r="A1" s="326" t="s">
        <v>1604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32" ht="9.4" customHeight="1" thickBot="1" x14ac:dyDescent="0.3"/>
    <row r="3" spans="1:32" ht="15.75" thickTop="1" x14ac:dyDescent="0.25">
      <c r="A3" s="38" t="s">
        <v>1591</v>
      </c>
      <c r="B3" s="350" t="s">
        <v>155</v>
      </c>
      <c r="C3" s="329"/>
      <c r="D3" s="329"/>
      <c r="E3" s="329"/>
      <c r="F3" s="350" t="s">
        <v>1629</v>
      </c>
      <c r="G3" s="350"/>
      <c r="H3" s="329"/>
      <c r="I3" s="329"/>
      <c r="J3" s="329"/>
      <c r="K3" s="345"/>
    </row>
    <row r="4" spans="1:32" x14ac:dyDescent="0.25">
      <c r="A4" s="39" t="s">
        <v>1591</v>
      </c>
      <c r="B4" s="40"/>
      <c r="C4" s="40"/>
      <c r="D4" s="351"/>
      <c r="E4" s="331"/>
      <c r="F4" s="40"/>
      <c r="G4" s="40"/>
      <c r="H4" s="40"/>
      <c r="I4" s="40"/>
      <c r="J4" s="351"/>
      <c r="K4" s="347"/>
    </row>
    <row r="5" spans="1:32" x14ac:dyDescent="0.25">
      <c r="A5" s="39" t="s">
        <v>111</v>
      </c>
      <c r="B5" s="41" t="s">
        <v>12</v>
      </c>
      <c r="C5" s="41" t="s">
        <v>1592</v>
      </c>
      <c r="D5" s="42" t="s">
        <v>1609</v>
      </c>
      <c r="E5" s="42" t="s">
        <v>1610</v>
      </c>
      <c r="F5" s="262" t="str">
        <f>OVERALL!F5</f>
        <v>0124</v>
      </c>
      <c r="G5" s="262" t="str">
        <f>OVERALL!G5</f>
        <v>0224</v>
      </c>
      <c r="H5" s="262" t="str">
        <f>OVERALL!H5</f>
        <v>0324</v>
      </c>
      <c r="I5" s="262" t="str">
        <f>OVERALL!I5</f>
        <v>Q124</v>
      </c>
      <c r="J5" s="42" t="s">
        <v>1609</v>
      </c>
      <c r="K5" s="43" t="s">
        <v>1610</v>
      </c>
    </row>
    <row r="6" spans="1:32" x14ac:dyDescent="0.25">
      <c r="A6" s="24" t="s">
        <v>1095</v>
      </c>
      <c r="B6" s="51">
        <f>+R13/SUM($R$13:$R$16)</f>
        <v>0.7905485922376474</v>
      </c>
      <c r="C6" s="96">
        <f>+V13/SUM($V$13:$V$16)</f>
        <v>0.81796385602427679</v>
      </c>
      <c r="D6" s="118">
        <f>+B6-C6</f>
        <v>-2.7415263786629396E-2</v>
      </c>
      <c r="E6" s="118">
        <f>IFERROR(+D6/C6,0)</f>
        <v>-3.3516473356025311E-2</v>
      </c>
      <c r="F6" s="51"/>
      <c r="G6" s="51"/>
      <c r="H6" s="51"/>
      <c r="I6" s="96" t="e">
        <f>AVERAGE(F6:H6)</f>
        <v>#DIV/0!</v>
      </c>
      <c r="J6" s="118">
        <f>+F6-H6</f>
        <v>0</v>
      </c>
      <c r="K6" s="125">
        <f>IFERROR(+J6/H6,0)</f>
        <v>0</v>
      </c>
    </row>
    <row r="7" spans="1:32" x14ac:dyDescent="0.25">
      <c r="A7" s="24" t="s">
        <v>1104</v>
      </c>
      <c r="B7" s="51">
        <f>+R14/SUM($R$13:$R$16)</f>
        <v>5.638339751289069E-2</v>
      </c>
      <c r="C7" s="96">
        <f>+V14/SUM($V$13:$V$16)</f>
        <v>0.10407077554794451</v>
      </c>
      <c r="D7" s="118">
        <f t="shared" ref="D7:D21" si="0">+B7-C7</f>
        <v>-4.7687378035053823E-2</v>
      </c>
      <c r="E7" s="118">
        <f t="shared" ref="E7:E30" si="1">IFERROR(+D7/C7,0)</f>
        <v>-0.45822064632433396</v>
      </c>
      <c r="F7" s="51"/>
      <c r="G7" s="51"/>
      <c r="H7" s="51"/>
      <c r="I7" s="96" t="e">
        <f t="shared" ref="I7:I27" si="2">AVERAGE(F7:H7)</f>
        <v>#DIV/0!</v>
      </c>
      <c r="J7" s="118">
        <f t="shared" ref="J7:J21" si="3">+F7-H7</f>
        <v>0</v>
      </c>
      <c r="K7" s="125">
        <f t="shared" ref="K7:K30" si="4">IFERROR(+J7/H7,0)</f>
        <v>0</v>
      </c>
    </row>
    <row r="8" spans="1:32" x14ac:dyDescent="0.25">
      <c r="A8" s="24" t="s">
        <v>1109</v>
      </c>
      <c r="B8" s="51">
        <f>+R15/SUM($R$13:$R$16)</f>
        <v>0.15306801024946193</v>
      </c>
      <c r="C8" s="96">
        <f>+V15/SUM($V$13:$V$16)</f>
        <v>7.7965368427778653E-2</v>
      </c>
      <c r="D8" s="118">
        <f t="shared" si="0"/>
        <v>7.5102641821683275E-2</v>
      </c>
      <c r="E8" s="118">
        <f t="shared" si="1"/>
        <v>0.96328207428728829</v>
      </c>
      <c r="F8" s="51"/>
      <c r="G8" s="51"/>
      <c r="H8" s="51"/>
      <c r="I8" s="96" t="e">
        <f t="shared" si="2"/>
        <v>#DIV/0!</v>
      </c>
      <c r="J8" s="118">
        <f t="shared" si="3"/>
        <v>0</v>
      </c>
      <c r="K8" s="125">
        <f t="shared" si="4"/>
        <v>0</v>
      </c>
    </row>
    <row r="9" spans="1:32" x14ac:dyDescent="0.25">
      <c r="A9" s="27" t="s">
        <v>181</v>
      </c>
      <c r="B9" s="91">
        <f>-SUM(R13:R16)</f>
        <v>245667.53</v>
      </c>
      <c r="C9" s="92">
        <f>-SUM(V13:V16)</f>
        <v>243452.36673064632</v>
      </c>
      <c r="D9" s="106">
        <f t="shared" si="0"/>
        <v>2215.1632693536812</v>
      </c>
      <c r="E9" s="119">
        <f t="shared" si="1"/>
        <v>9.0989596819344935E-3</v>
      </c>
      <c r="F9" s="91"/>
      <c r="G9" s="91"/>
      <c r="H9" s="91"/>
      <c r="I9" s="92">
        <f>SUM(F9:H9)</f>
        <v>0</v>
      </c>
      <c r="J9" s="106">
        <f t="shared" si="3"/>
        <v>0</v>
      </c>
      <c r="K9" s="123">
        <f t="shared" si="4"/>
        <v>0</v>
      </c>
    </row>
    <row r="10" spans="1:32" x14ac:dyDescent="0.25">
      <c r="A10" s="24" t="s">
        <v>1117</v>
      </c>
      <c r="B10" s="51">
        <f>+R18/R21</f>
        <v>0.10217701623195556</v>
      </c>
      <c r="C10" s="96">
        <f>+V18/V21</f>
        <v>0.27964157470350964</v>
      </c>
      <c r="D10" s="118">
        <f t="shared" si="0"/>
        <v>-0.17746455847155407</v>
      </c>
      <c r="E10" s="118">
        <f t="shared" si="1"/>
        <v>-0.63461435825381507</v>
      </c>
      <c r="F10" s="53"/>
      <c r="G10" s="53"/>
      <c r="H10" s="53"/>
      <c r="I10" s="96" t="e">
        <f t="shared" si="2"/>
        <v>#DIV/0!</v>
      </c>
      <c r="J10" s="118">
        <f t="shared" si="3"/>
        <v>0</v>
      </c>
      <c r="K10" s="122">
        <f t="shared" si="4"/>
        <v>0</v>
      </c>
      <c r="R10" s="95" t="s">
        <v>1641</v>
      </c>
      <c r="S10" s="95" t="s">
        <v>1641</v>
      </c>
      <c r="T10" s="95" t="s">
        <v>1641</v>
      </c>
      <c r="V10" s="95" t="s">
        <v>1641</v>
      </c>
      <c r="W10" s="95" t="s">
        <v>1641</v>
      </c>
      <c r="X10" s="95" t="s">
        <v>1641</v>
      </c>
      <c r="Z10" s="95" t="s">
        <v>156</v>
      </c>
      <c r="AA10" s="95" t="s">
        <v>156</v>
      </c>
      <c r="AB10" s="95" t="s">
        <v>156</v>
      </c>
      <c r="AD10" s="95" t="s">
        <v>156</v>
      </c>
      <c r="AE10" s="95" t="s">
        <v>156</v>
      </c>
      <c r="AF10" s="95" t="s">
        <v>156</v>
      </c>
    </row>
    <row r="11" spans="1:32" x14ac:dyDescent="0.25">
      <c r="A11" s="24" t="s">
        <v>1019</v>
      </c>
      <c r="B11" s="51">
        <f>+R19/R21</f>
        <v>0.20987356103445759</v>
      </c>
      <c r="C11" s="96">
        <f>+V19/V21</f>
        <v>5.2746264138088276E-3</v>
      </c>
      <c r="D11" s="118">
        <f t="shared" si="0"/>
        <v>0.20459893462064876</v>
      </c>
      <c r="E11" s="118">
        <f t="shared" si="1"/>
        <v>38.789275025244322</v>
      </c>
      <c r="F11" s="53"/>
      <c r="G11" s="53"/>
      <c r="H11" s="53"/>
      <c r="I11" s="96" t="e">
        <f t="shared" si="2"/>
        <v>#DIV/0!</v>
      </c>
      <c r="J11" s="118">
        <f t="shared" si="3"/>
        <v>0</v>
      </c>
      <c r="K11" s="122">
        <f t="shared" si="4"/>
        <v>0</v>
      </c>
      <c r="R11" s="95" t="s">
        <v>12</v>
      </c>
      <c r="S11" s="95" t="s">
        <v>12</v>
      </c>
      <c r="T11" s="95" t="s">
        <v>12</v>
      </c>
      <c r="V11" s="95" t="s">
        <v>1592</v>
      </c>
      <c r="W11" s="95" t="s">
        <v>1592</v>
      </c>
      <c r="X11" s="95" t="s">
        <v>1592</v>
      </c>
      <c r="Z11" s="95" t="s">
        <v>12</v>
      </c>
      <c r="AA11" s="95" t="s">
        <v>12</v>
      </c>
      <c r="AB11" s="95" t="s">
        <v>12</v>
      </c>
      <c r="AD11" s="95" t="s">
        <v>1592</v>
      </c>
      <c r="AE11" s="95" t="s">
        <v>1592</v>
      </c>
      <c r="AF11" s="95" t="s">
        <v>1592</v>
      </c>
    </row>
    <row r="12" spans="1:32" x14ac:dyDescent="0.25">
      <c r="A12" s="27" t="s">
        <v>1690</v>
      </c>
      <c r="B12" s="91">
        <f>-SUM(R17:R19)</f>
        <v>357101.15</v>
      </c>
      <c r="C12" s="92">
        <f>-SUM(V17:V19)</f>
        <v>340452.91909988824</v>
      </c>
      <c r="D12" s="106">
        <f t="shared" si="0"/>
        <v>16648.230900111783</v>
      </c>
      <c r="E12" s="119">
        <f t="shared" si="1"/>
        <v>4.8900244251473796E-2</v>
      </c>
      <c r="F12" s="91"/>
      <c r="G12" s="91"/>
      <c r="H12" s="91"/>
      <c r="I12" s="92">
        <f>SUM(F12:H12)</f>
        <v>0</v>
      </c>
      <c r="J12" s="106">
        <f t="shared" si="3"/>
        <v>0</v>
      </c>
      <c r="K12" s="123">
        <f t="shared" si="4"/>
        <v>0</v>
      </c>
      <c r="R12" s="95" t="s">
        <v>1642</v>
      </c>
      <c r="S12" s="95" t="s">
        <v>180</v>
      </c>
      <c r="T12" s="95" t="s">
        <v>153</v>
      </c>
      <c r="V12" s="95" t="s">
        <v>1642</v>
      </c>
      <c r="W12" s="95" t="s">
        <v>180</v>
      </c>
      <c r="X12" s="95" t="s">
        <v>153</v>
      </c>
      <c r="Z12" s="95" t="s">
        <v>1642</v>
      </c>
      <c r="AA12" s="95" t="s">
        <v>180</v>
      </c>
      <c r="AB12" s="95" t="s">
        <v>153</v>
      </c>
      <c r="AD12" s="95" t="s">
        <v>1642</v>
      </c>
      <c r="AE12" s="95" t="s">
        <v>180</v>
      </c>
      <c r="AF12" s="95" t="s">
        <v>153</v>
      </c>
    </row>
    <row r="13" spans="1:32" x14ac:dyDescent="0.25">
      <c r="A13" s="24" t="s">
        <v>1172</v>
      </c>
      <c r="B13" s="51">
        <f>+T13/R13</f>
        <v>0.7692125496596196</v>
      </c>
      <c r="C13" s="96">
        <f>+X13/V13</f>
        <v>0.71988814572144855</v>
      </c>
      <c r="D13" s="126">
        <f t="shared" si="0"/>
        <v>4.9324403938171058E-2</v>
      </c>
      <c r="E13" s="118">
        <f t="shared" si="1"/>
        <v>6.8516760876427191E-2</v>
      </c>
      <c r="F13" s="51"/>
      <c r="G13" s="51"/>
      <c r="H13" s="51"/>
      <c r="I13" s="96" t="e">
        <f t="shared" si="2"/>
        <v>#DIV/0!</v>
      </c>
      <c r="J13" s="126">
        <f t="shared" si="3"/>
        <v>0</v>
      </c>
      <c r="K13" s="122">
        <f t="shared" si="4"/>
        <v>0</v>
      </c>
      <c r="L13" s="162">
        <v>170</v>
      </c>
      <c r="M13" s="162">
        <v>140</v>
      </c>
      <c r="N13" s="3" t="s">
        <v>1095</v>
      </c>
      <c r="O13" s="3" t="s">
        <v>1172</v>
      </c>
      <c r="R13" s="52">
        <f>+SUMIFS(Export!$L:$L,Export!$I:$I,N13,Export!$E:$E,M13)+SUMIFS(Export!$L:$L,Export!$I:$I,N13,Export!$E:$E,L13)</f>
        <v>-194212.12</v>
      </c>
      <c r="S13" s="52">
        <f>+SUMIFS(Export!$L:$L,Export!$I:$I,O13,Export!$E:$E,M13)</f>
        <v>44821.72</v>
      </c>
      <c r="T13" s="52">
        <f>+SUM(R13:S13)</f>
        <v>-149390.39999999999</v>
      </c>
      <c r="V13" s="52">
        <f>+SUMIFS(Export!$N:$N,Export!$I:$I,N13,Export!$E:$E,M13)</f>
        <v>-199135.23664923583</v>
      </c>
      <c r="W13" s="52">
        <f>+SUMIFS(Export!$N:$N,Export!$I:$I,O13,Export!$E:$E,M13)</f>
        <v>55780.140390015622</v>
      </c>
      <c r="X13" s="52">
        <f>+SUM(V13:W13)</f>
        <v>-143355.09625922021</v>
      </c>
      <c r="Y13" s="168"/>
      <c r="Z13" s="52">
        <f>+SUMIF(Export!$I:$I,'NS SERVICE 140'!N13,Export!M:M)</f>
        <v>0</v>
      </c>
      <c r="AA13" s="52">
        <f>+SUMIF(Export!$I:$I,'NS SERVICE 140'!O13,Export!M:M)</f>
        <v>0</v>
      </c>
      <c r="AB13" s="52">
        <f>+SUM(Z13:AA13)</f>
        <v>0</v>
      </c>
      <c r="AD13" s="52">
        <f>+SUMIF(Export!$I:$I,'NS SERVICE 140'!N13,Export!$O:O)</f>
        <v>0</v>
      </c>
      <c r="AE13" s="52">
        <f>+SUMIF(Export!$I:$I,'NS SERVICE 140'!O13,Export!O:O)</f>
        <v>0</v>
      </c>
      <c r="AF13" s="52">
        <f>+SUM(AD13:AE13)</f>
        <v>0</v>
      </c>
    </row>
    <row r="14" spans="1:32" x14ac:dyDescent="0.25">
      <c r="A14" s="24" t="s">
        <v>1179</v>
      </c>
      <c r="B14" s="51">
        <f>+T14/R14</f>
        <v>0.74689295148492185</v>
      </c>
      <c r="C14" s="96">
        <f>+X14/V14</f>
        <v>0.69590909701155035</v>
      </c>
      <c r="D14" s="126">
        <f t="shared" si="0"/>
        <v>5.0983854473371504E-2</v>
      </c>
      <c r="E14" s="118">
        <f t="shared" si="1"/>
        <v>7.3262233088074294E-2</v>
      </c>
      <c r="F14" s="51"/>
      <c r="G14" s="51"/>
      <c r="H14" s="51"/>
      <c r="I14" s="96" t="e">
        <f t="shared" si="2"/>
        <v>#DIV/0!</v>
      </c>
      <c r="J14" s="126">
        <f t="shared" si="3"/>
        <v>0</v>
      </c>
      <c r="K14" s="122">
        <f t="shared" si="4"/>
        <v>0</v>
      </c>
      <c r="M14" s="162">
        <v>140</v>
      </c>
      <c r="N14" s="3" t="s">
        <v>1104</v>
      </c>
      <c r="O14" s="3" t="s">
        <v>1179</v>
      </c>
      <c r="R14" s="52">
        <f>+SUMIFS(Export!$L:$L,Export!$I:$I,N14,Export!$E:$E,M14)</f>
        <v>-13851.57</v>
      </c>
      <c r="S14" s="52">
        <f>+SUMIFS(Export!$L:$L,Export!$I:$I,O14,Export!$E:$E,M14)</f>
        <v>3505.93</v>
      </c>
      <c r="T14" s="52">
        <f>+SUM(R14:S14)</f>
        <v>-10345.64</v>
      </c>
      <c r="V14" s="52">
        <f>+SUMIFS(Export!$N:$N,Export!$I:$I,N14,Export!$E:$E,M14)</f>
        <v>-25336.276614640967</v>
      </c>
      <c r="W14" s="52">
        <f>+SUMIFS(Export!$N:$N,Export!$I:$I,O14,Export!$E:$E,M14)</f>
        <v>7704.5312341113122</v>
      </c>
      <c r="X14" s="52">
        <f t="shared" ref="X14:X16" si="5">+SUM(V14:W14)</f>
        <v>-17631.745380529654</v>
      </c>
      <c r="Z14" s="52">
        <f>+SUMIF(Export!$I:$I,'NS SERVICE 140'!N14,Export!M:M)</f>
        <v>0</v>
      </c>
      <c r="AA14" s="52">
        <f>+SUMIF(Export!$I:$I,'NS SERVICE 140'!O14,Export!M:M)</f>
        <v>0</v>
      </c>
      <c r="AB14" s="52">
        <f t="shared" ref="AB14:AB16" si="6">+SUM(Z14:AA14)</f>
        <v>0</v>
      </c>
      <c r="AD14" s="52">
        <f>+SUMIF(Export!$I:$I,'NS SERVICE 140'!N14,Export!$O:O)</f>
        <v>0</v>
      </c>
      <c r="AE14" s="52">
        <f>+SUMIF(Export!$I:$I,'NS SERVICE 140'!O14,Export!O:O)</f>
        <v>0</v>
      </c>
      <c r="AF14" s="52">
        <f t="shared" ref="AF14:AF16" si="7">+SUM(AD14:AE14)</f>
        <v>0</v>
      </c>
    </row>
    <row r="15" spans="1:32" x14ac:dyDescent="0.25">
      <c r="A15" s="24" t="s">
        <v>1184</v>
      </c>
      <c r="B15" s="51">
        <f>+T15/R15</f>
        <v>0.31419530558581249</v>
      </c>
      <c r="C15" s="96">
        <f>+X15/V15</f>
        <v>0.59514095277192358</v>
      </c>
      <c r="D15" s="126">
        <f t="shared" si="0"/>
        <v>-0.28094564718611109</v>
      </c>
      <c r="E15" s="118">
        <f t="shared" si="1"/>
        <v>-0.47206572808942315</v>
      </c>
      <c r="F15" s="51"/>
      <c r="G15" s="51"/>
      <c r="H15" s="51"/>
      <c r="I15" s="96" t="e">
        <f t="shared" si="2"/>
        <v>#DIV/0!</v>
      </c>
      <c r="J15" s="126">
        <f t="shared" si="3"/>
        <v>0</v>
      </c>
      <c r="K15" s="122">
        <f t="shared" si="4"/>
        <v>0</v>
      </c>
      <c r="M15" s="162">
        <v>140</v>
      </c>
      <c r="N15" s="3" t="s">
        <v>1109</v>
      </c>
      <c r="O15" s="3" t="s">
        <v>1184</v>
      </c>
      <c r="R15" s="52">
        <f>+SUMIFS(Export!$L:$L,Export!$I:$I,N15,Export!$E:$E,M15)</f>
        <v>-37603.839999999997</v>
      </c>
      <c r="S15" s="52">
        <f>+SUMIFS(Export!$L:$L,Export!$I:$I,O15,Export!$E:$E,M15)</f>
        <v>25788.89</v>
      </c>
      <c r="T15" s="52">
        <f>+SUM(R15:S15)</f>
        <v>-11814.949999999997</v>
      </c>
      <c r="V15" s="52">
        <f>+SUMIFS(Export!$N:$N,Export!$I:$I,N15,Export!$E:$E,M15)</f>
        <v>-18980.853466769524</v>
      </c>
      <c r="W15" s="52">
        <f>+SUMIFS(Export!$N:$N,Export!$I:$I,O15,Export!$E:$E,M15)</f>
        <v>7684.570250132042</v>
      </c>
      <c r="X15" s="52">
        <f t="shared" si="5"/>
        <v>-11296.283216637483</v>
      </c>
      <c r="Y15" s="169">
        <f>+SUM(X13:X15)-SUM(T13:T15)</f>
        <v>-732.13485638736165</v>
      </c>
      <c r="Z15" s="52">
        <f>+SUMIF(Export!$I:$I,'NS SERVICE 140'!N15,Export!M:M)</f>
        <v>0</v>
      </c>
      <c r="AA15" s="52">
        <f>+SUMIF(Export!$I:$I,'NS SERVICE 140'!O15,Export!M:M)</f>
        <v>0</v>
      </c>
      <c r="AB15" s="52">
        <f t="shared" si="6"/>
        <v>0</v>
      </c>
      <c r="AD15" s="52">
        <f>+SUMIF(Export!$I:$I,'NS SERVICE 140'!N15,Export!$O:O)</f>
        <v>0</v>
      </c>
      <c r="AE15" s="52">
        <f>+SUMIF(Export!$I:$I,'NS SERVICE 140'!O15,Export!O:O)</f>
        <v>0</v>
      </c>
      <c r="AF15" s="52">
        <f t="shared" si="7"/>
        <v>0</v>
      </c>
    </row>
    <row r="16" spans="1:32" x14ac:dyDescent="0.25">
      <c r="A16" s="24" t="s">
        <v>1114</v>
      </c>
      <c r="B16" s="51">
        <f>+T16/SUM(S13:S16)</f>
        <v>0.20797723415987379</v>
      </c>
      <c r="C16" s="96">
        <f>+W16/SUM(W13:W16)</f>
        <v>0</v>
      </c>
      <c r="D16" s="126">
        <f t="shared" si="0"/>
        <v>0.20797723415987379</v>
      </c>
      <c r="E16" s="118">
        <f t="shared" si="1"/>
        <v>0</v>
      </c>
      <c r="F16" s="51"/>
      <c r="G16" s="51"/>
      <c r="H16" s="51"/>
      <c r="I16" s="96" t="e">
        <f t="shared" si="2"/>
        <v>#DIV/0!</v>
      </c>
      <c r="J16" s="126">
        <f t="shared" si="3"/>
        <v>0</v>
      </c>
      <c r="K16" s="122">
        <f t="shared" si="4"/>
        <v>0</v>
      </c>
      <c r="M16" s="162">
        <v>140</v>
      </c>
      <c r="O16" s="3" t="s">
        <v>1114</v>
      </c>
      <c r="R16" s="52">
        <f>+SUMIFS(Export!$L:$L,Export!$I:$I,N16,Export!$E:$E,M16)</f>
        <v>0</v>
      </c>
      <c r="S16" s="52">
        <f>+SUMIFS(Export!$L:$L,Export!$I:$I,O16,Export!$E:$E,M16)</f>
        <v>19462.259999999998</v>
      </c>
      <c r="T16" s="52">
        <f>+SUM(R16:S16)</f>
        <v>19462.259999999998</v>
      </c>
      <c r="V16" s="52">
        <f>+SUMIFS(Export!$N:$N,Export!$I:$I,N16,Export!$E:$E,M16)</f>
        <v>0</v>
      </c>
      <c r="W16" s="52">
        <f>+SUMIFS(Export!$N:$N,Export!$I:$I,O16,Export!$E:$E,M16)</f>
        <v>0</v>
      </c>
      <c r="X16" s="52">
        <f t="shared" si="5"/>
        <v>0</v>
      </c>
      <c r="Z16" s="52">
        <f>+SUMIF(Export!$I:$I,'NS SERVICE 140'!N16,Export!M:M)</f>
        <v>0</v>
      </c>
      <c r="AA16" s="52">
        <f>+SUMIF(Export!$I:$I,'NS SERVICE 140'!O16,Export!M:M)</f>
        <v>0</v>
      </c>
      <c r="AB16" s="52">
        <f t="shared" si="6"/>
        <v>0</v>
      </c>
      <c r="AD16" s="52">
        <f>+SUMIF(Export!$I:$I,'NS SERVICE 140'!N16,Export!$O:O)</f>
        <v>0</v>
      </c>
      <c r="AE16" s="52">
        <f>+SUMIF(Export!$I:$I,'NS SERVICE 140'!O16,Export!O:O)</f>
        <v>0</v>
      </c>
      <c r="AF16" s="52">
        <f t="shared" si="7"/>
        <v>0</v>
      </c>
    </row>
    <row r="17" spans="1:32" x14ac:dyDescent="0.25">
      <c r="A17" s="24" t="s">
        <v>1691</v>
      </c>
      <c r="B17" s="51">
        <f>+T17/SUM(R13:R16)</f>
        <v>0.6190835638718718</v>
      </c>
      <c r="C17" s="96">
        <f>+X17/SUM(V13:V16)</f>
        <v>0.70766666666666656</v>
      </c>
      <c r="D17" s="126">
        <f t="shared" si="0"/>
        <v>-8.8583102794794755E-2</v>
      </c>
      <c r="E17" s="118">
        <f t="shared" si="1"/>
        <v>-0.12517631106188615</v>
      </c>
      <c r="F17" s="51"/>
      <c r="G17" s="51"/>
      <c r="H17" s="51"/>
      <c r="I17" s="96" t="e">
        <f t="shared" si="2"/>
        <v>#DIV/0!</v>
      </c>
      <c r="J17" s="126">
        <f t="shared" si="3"/>
        <v>0</v>
      </c>
      <c r="K17" s="122">
        <f t="shared" si="4"/>
        <v>0</v>
      </c>
      <c r="M17" s="162"/>
      <c r="R17" s="52">
        <f>SUM(R13:R16)</f>
        <v>-245667.53</v>
      </c>
      <c r="T17" s="52">
        <f>SUM(T13:T16)</f>
        <v>-152088.72999999998</v>
      </c>
      <c r="V17" s="52">
        <f>SUM(V13:V16)</f>
        <v>-243452.36673064632</v>
      </c>
      <c r="X17" s="52">
        <f>SUM(X13:X16)</f>
        <v>-172283.12485638735</v>
      </c>
      <c r="Z17" s="52">
        <f>SUM(Z13:Z16)</f>
        <v>0</v>
      </c>
      <c r="AB17" s="52">
        <f>SUM(AB13:AB16)</f>
        <v>0</v>
      </c>
      <c r="AD17" s="52">
        <f>SUM(AD13:AD16)</f>
        <v>0</v>
      </c>
      <c r="AF17" s="52">
        <f>SUM(AF13:AF16)</f>
        <v>0</v>
      </c>
    </row>
    <row r="18" spans="1:32" x14ac:dyDescent="0.25">
      <c r="A18" s="24" t="s">
        <v>1191</v>
      </c>
      <c r="B18" s="51">
        <f>+T18/R18</f>
        <v>0.19499401576374173</v>
      </c>
      <c r="C18" s="96">
        <f>+X18/V18</f>
        <v>0.37948296273729931</v>
      </c>
      <c r="D18" s="126">
        <f t="shared" si="0"/>
        <v>-0.18448894697355758</v>
      </c>
      <c r="E18" s="118">
        <f t="shared" si="1"/>
        <v>-0.48615870826662594</v>
      </c>
      <c r="F18" s="51"/>
      <c r="G18" s="51"/>
      <c r="H18" s="51"/>
      <c r="I18" s="96" t="e">
        <f t="shared" si="2"/>
        <v>#DIV/0!</v>
      </c>
      <c r="J18" s="126">
        <f t="shared" si="3"/>
        <v>0</v>
      </c>
      <c r="K18" s="122">
        <f t="shared" si="4"/>
        <v>0</v>
      </c>
      <c r="M18" s="162">
        <v>140</v>
      </c>
      <c r="N18" s="3" t="s">
        <v>1117</v>
      </c>
      <c r="O18" s="3" t="s">
        <v>1191</v>
      </c>
      <c r="R18" s="52">
        <f>+SUMIFS(Export!$L:$L,Export!$I:$I,N18,Export!$E:$E,M18)</f>
        <v>-36487.53</v>
      </c>
      <c r="S18" s="52">
        <f>+SUMIFS(Export!$L:$L,Export!$I:$I,O18,Export!$E:$E,M18)</f>
        <v>29372.68</v>
      </c>
      <c r="T18" s="52">
        <f t="shared" ref="T18:T19" si="8">+SUM(R18:S18)</f>
        <v>-7114.8499999999985</v>
      </c>
      <c r="V18" s="52">
        <f>+SUMIFS(Export!$N:$N,Export!$I:$I,N18,Export!$E:$E,M18)</f>
        <v>-95204.790409499314</v>
      </c>
      <c r="W18" s="52">
        <f>+SUMIFS(Export!$N:$N,Export!$I:$I,O18,Export!$E:$E,M18)</f>
        <v>59076.194478118894</v>
      </c>
      <c r="X18" s="52">
        <f t="shared" ref="X18:X19" si="9">+SUM(V18:W18)</f>
        <v>-36128.59593138042</v>
      </c>
      <c r="Z18" s="52">
        <f>+SUMIF(Export!$I:$I,'NS SERVICE 140'!N18,Export!M:M)</f>
        <v>0</v>
      </c>
      <c r="AA18" s="52">
        <f>+SUMIF(Export!$I:$I,'NS SERVICE 140'!O18,Export!M:M)</f>
        <v>0</v>
      </c>
      <c r="AB18" s="52">
        <f t="shared" ref="AB18:AB19" si="10">+SUM(Z18:AA18)</f>
        <v>0</v>
      </c>
      <c r="AD18" s="52">
        <f>+SUMIF(Export!$I:$I,'NS SERVICE 140'!N18,Export!$O:O)</f>
        <v>0</v>
      </c>
      <c r="AE18" s="52">
        <f>+SUMIF(Export!$I:$I,'NS SERVICE 140'!O18,Export!O:O)</f>
        <v>0</v>
      </c>
      <c r="AF18" s="52">
        <f t="shared" ref="AF18:AF19" si="11">+SUM(AD18:AE18)</f>
        <v>0</v>
      </c>
    </row>
    <row r="19" spans="1:32" x14ac:dyDescent="0.25">
      <c r="A19" s="24" t="s">
        <v>1196</v>
      </c>
      <c r="B19" s="51">
        <f>+T19/R19</f>
        <v>0.56834932949804318</v>
      </c>
      <c r="C19" s="96">
        <f>IFERROR(+X19/V19,0)</f>
        <v>0.98076172828737895</v>
      </c>
      <c r="D19" s="126">
        <f t="shared" si="0"/>
        <v>-0.41241239878933578</v>
      </c>
      <c r="E19" s="118">
        <f t="shared" si="1"/>
        <v>-0.42050213308129036</v>
      </c>
      <c r="F19" s="51"/>
      <c r="G19" s="51"/>
      <c r="H19" s="51"/>
      <c r="I19" s="96" t="e">
        <f t="shared" si="2"/>
        <v>#DIV/0!</v>
      </c>
      <c r="J19" s="126">
        <f t="shared" si="3"/>
        <v>0</v>
      </c>
      <c r="K19" s="122">
        <f t="shared" si="4"/>
        <v>0</v>
      </c>
      <c r="M19" s="162">
        <v>140</v>
      </c>
      <c r="N19" s="3" t="s">
        <v>1019</v>
      </c>
      <c r="O19" s="3" t="s">
        <v>1196</v>
      </c>
      <c r="R19" s="52">
        <f>+SUMIFS(Export!$L:$L,Export!$I:$I,N19,Export!$E:$E,M19)</f>
        <v>-74946.09</v>
      </c>
      <c r="S19" s="52">
        <f>+SUMIFS(Export!$L:$L,Export!$I:$I,O19,Export!$E:$E,M19)</f>
        <v>32350.53</v>
      </c>
      <c r="T19" s="52">
        <f t="shared" si="8"/>
        <v>-42595.56</v>
      </c>
      <c r="V19" s="52">
        <f>+SUMIFS(Export!$N:$N,Export!$I:$I,N19,Export!$E:$E,M19)</f>
        <v>-1795.7619597425903</v>
      </c>
      <c r="W19" s="52">
        <f>+SUMIFS(Export!$N:$N,Export!$I:$I,O19,Export!$E:$E,M19)</f>
        <v>34.547356512716718</v>
      </c>
      <c r="X19" s="52">
        <f t="shared" si="9"/>
        <v>-1761.2146032298735</v>
      </c>
      <c r="Z19" s="52">
        <f>+SUMIF(Export!$I:$I,'NS SERVICE 140'!N19,Export!M:M)</f>
        <v>0</v>
      </c>
      <c r="AA19" s="52">
        <f>+SUMIF(Export!$I:$I,'NS SERVICE 140'!O19,Export!M:M)</f>
        <v>0</v>
      </c>
      <c r="AB19" s="52">
        <f t="shared" si="10"/>
        <v>0</v>
      </c>
      <c r="AD19" s="52">
        <f>+SUMIF(Export!$I:$I,'NS SERVICE 140'!N19,Export!$O:O)</f>
        <v>0</v>
      </c>
      <c r="AE19" s="52">
        <f>+SUMIF(Export!$I:$I,'NS SERVICE 140'!O19,Export!O:O)</f>
        <v>0</v>
      </c>
      <c r="AF19" s="52">
        <f t="shared" si="11"/>
        <v>0</v>
      </c>
    </row>
    <row r="20" spans="1:32" x14ac:dyDescent="0.25">
      <c r="A20" s="24" t="s">
        <v>1692</v>
      </c>
      <c r="B20" s="51">
        <f>+T21/R21</f>
        <v>0.56510358479663247</v>
      </c>
      <c r="C20" s="96">
        <f>+X21/V21</f>
        <v>0.61733333333333329</v>
      </c>
      <c r="D20" s="126">
        <f t="shared" si="0"/>
        <v>-5.2229748536700815E-2</v>
      </c>
      <c r="E20" s="118">
        <f t="shared" si="1"/>
        <v>-8.4605424195519682E-2</v>
      </c>
      <c r="F20" s="51"/>
      <c r="G20" s="51"/>
      <c r="H20" s="51"/>
      <c r="I20" s="96" t="e">
        <f t="shared" si="2"/>
        <v>#DIV/0!</v>
      </c>
      <c r="J20" s="126">
        <f t="shared" si="3"/>
        <v>0</v>
      </c>
      <c r="K20" s="122">
        <f t="shared" si="4"/>
        <v>0</v>
      </c>
      <c r="M20" s="162"/>
    </row>
    <row r="21" spans="1:32" x14ac:dyDescent="0.25">
      <c r="A21" s="27" t="s">
        <v>1693</v>
      </c>
      <c r="B21" s="91">
        <f>-T21</f>
        <v>201799.13999999998</v>
      </c>
      <c r="C21" s="92">
        <f>-X21</f>
        <v>210172.93539099765</v>
      </c>
      <c r="D21" s="106">
        <f t="shared" si="0"/>
        <v>-8373.7953909976641</v>
      </c>
      <c r="E21" s="119">
        <f t="shared" si="1"/>
        <v>-3.984240585220631E-2</v>
      </c>
      <c r="F21" s="91"/>
      <c r="G21" s="91"/>
      <c r="H21" s="91"/>
      <c r="I21" s="92">
        <f>SUM(F21:H21)</f>
        <v>0</v>
      </c>
      <c r="J21" s="106">
        <f t="shared" si="3"/>
        <v>0</v>
      </c>
      <c r="K21" s="123">
        <f t="shared" si="4"/>
        <v>0</v>
      </c>
      <c r="M21" s="162"/>
      <c r="R21" s="52">
        <f>+SUM(R17:R19)</f>
        <v>-357101.15</v>
      </c>
      <c r="T21" s="52">
        <f>+SUM(T17:T19)</f>
        <v>-201799.13999999998</v>
      </c>
      <c r="V21" s="52">
        <f>+SUM(V17:V19)</f>
        <v>-340452.91909988824</v>
      </c>
      <c r="X21" s="52">
        <f>+SUM(X17:X19)</f>
        <v>-210172.93539099765</v>
      </c>
      <c r="Z21" s="52">
        <f>+SUM(Z17:Z19)</f>
        <v>0</v>
      </c>
      <c r="AB21" s="52">
        <f>+SUM(AB17:AB19)</f>
        <v>0</v>
      </c>
      <c r="AD21" s="52">
        <f>+SUM(AD17:AD19)</f>
        <v>0</v>
      </c>
      <c r="AF21" s="52">
        <f>+SUM(AF17:AF19)</f>
        <v>0</v>
      </c>
    </row>
    <row r="22" spans="1:32" ht="15.6" customHeight="1" x14ac:dyDescent="0.25">
      <c r="A22" s="24" t="s">
        <v>1252</v>
      </c>
      <c r="B22" s="51">
        <f>-T22/R21</f>
        <v>0.28854286803612927</v>
      </c>
      <c r="C22" s="96">
        <f>-X22/V21</f>
        <v>0.12022019616872308</v>
      </c>
      <c r="D22" s="118">
        <f>+C22-B22</f>
        <v>-0.16832267186740618</v>
      </c>
      <c r="E22" s="118">
        <f t="shared" si="1"/>
        <v>-1.4001197571760211</v>
      </c>
      <c r="F22" s="51"/>
      <c r="G22" s="51"/>
      <c r="H22" s="51"/>
      <c r="I22" s="96" t="e">
        <f t="shared" si="2"/>
        <v>#DIV/0!</v>
      </c>
      <c r="J22" s="118">
        <f>+H22-F22</f>
        <v>0</v>
      </c>
      <c r="K22" s="122">
        <f t="shared" si="4"/>
        <v>0</v>
      </c>
      <c r="M22" s="162">
        <v>140</v>
      </c>
      <c r="N22" s="3" t="s">
        <v>1252</v>
      </c>
      <c r="T22" s="52">
        <f>+SUMIFS(Export!$L:$L,Export!$I:$I,N22,Export!$E:$E,M22)</f>
        <v>103038.99</v>
      </c>
      <c r="X22" s="52">
        <f>+SUMIFS(Export!$N:$N,Export!$I:$I,N22,Export!$E:$E,M22)</f>
        <v>40929.316720402974</v>
      </c>
      <c r="AB22" s="52">
        <f>+SUMIF(Export!$I:$I,'NS SERVICE 140'!N22,Export!M:M)</f>
        <v>0</v>
      </c>
      <c r="AF22" s="52">
        <f>+SUMIF(Export!$I:$I,'NS SERVICE 140'!N22,Export!O:O)</f>
        <v>0</v>
      </c>
    </row>
    <row r="23" spans="1:32" x14ac:dyDescent="0.25">
      <c r="A23" s="24" t="s">
        <v>1286</v>
      </c>
      <c r="B23" s="51">
        <f>-T23/R21</f>
        <v>3.433833803111528E-2</v>
      </c>
      <c r="C23" s="96">
        <f>-X23/V21</f>
        <v>0.27859204212258171</v>
      </c>
      <c r="D23" s="118">
        <f t="shared" ref="D23:D24" si="12">+C23-B23</f>
        <v>0.24425370409146643</v>
      </c>
      <c r="E23" s="118">
        <f t="shared" si="1"/>
        <v>0.87674329184174526</v>
      </c>
      <c r="F23" s="51"/>
      <c r="G23" s="51"/>
      <c r="H23" s="51"/>
      <c r="I23" s="96" t="e">
        <f t="shared" si="2"/>
        <v>#DIV/0!</v>
      </c>
      <c r="J23" s="118">
        <f t="shared" ref="J23:J24" si="13">+H23-F23</f>
        <v>0</v>
      </c>
      <c r="K23" s="122">
        <f t="shared" si="4"/>
        <v>0</v>
      </c>
      <c r="M23" s="162">
        <v>140</v>
      </c>
      <c r="N23" s="3" t="s">
        <v>1286</v>
      </c>
      <c r="T23" s="52">
        <f>+SUMIFS(Export!$L:$L,Export!$I:$I,N23,Export!$E:$E,M23)</f>
        <v>12262.260000000002</v>
      </c>
      <c r="X23" s="52">
        <f>+SUMIFS(Export!$N:$N,Export!$I:$I,N23,Export!$E:$E,M23)</f>
        <v>94847.47397863197</v>
      </c>
      <c r="AB23" s="52">
        <f>+SUMIF(Export!J:J,'NS SERVICE 140'!N23,Export!M:M)</f>
        <v>0</v>
      </c>
      <c r="AF23" s="52">
        <f>+SUMIF(Export!$J:$J,'NS SERVICE 140'!N23,Export!O:O)</f>
        <v>0</v>
      </c>
    </row>
    <row r="24" spans="1:32" x14ac:dyDescent="0.25">
      <c r="A24" s="24" t="s">
        <v>1674</v>
      </c>
      <c r="B24" s="53">
        <f>+SUM(B22:B23)</f>
        <v>0.32288120606724457</v>
      </c>
      <c r="C24" s="96">
        <f>+SUM(C22:C23)</f>
        <v>0.3988122382913048</v>
      </c>
      <c r="D24" s="118">
        <f t="shared" si="12"/>
        <v>7.5931032224060224E-2</v>
      </c>
      <c r="E24" s="118">
        <f t="shared" si="1"/>
        <v>0.19039293415213063</v>
      </c>
      <c r="F24" s="51"/>
      <c r="G24" s="51"/>
      <c r="H24" s="51"/>
      <c r="I24" s="96" t="e">
        <f t="shared" si="2"/>
        <v>#DIV/0!</v>
      </c>
      <c r="J24" s="118">
        <f t="shared" si="13"/>
        <v>0</v>
      </c>
      <c r="K24" s="122">
        <f t="shared" si="4"/>
        <v>0</v>
      </c>
    </row>
    <row r="25" spans="1:32" x14ac:dyDescent="0.25">
      <c r="A25" s="24" t="s">
        <v>1675</v>
      </c>
      <c r="B25" s="53">
        <f>+B20-B24</f>
        <v>0.2422223787293879</v>
      </c>
      <c r="C25" s="96">
        <f>+C20-C24</f>
        <v>0.21852109504202849</v>
      </c>
      <c r="D25" s="118">
        <f t="shared" ref="D25:D30" si="14">+B25-C25</f>
        <v>2.3701283687359409E-2</v>
      </c>
      <c r="E25" s="118">
        <f t="shared" si="1"/>
        <v>0.10846222275611837</v>
      </c>
      <c r="F25" s="51"/>
      <c r="G25" s="51"/>
      <c r="H25" s="51"/>
      <c r="I25" s="96" t="e">
        <f t="shared" si="2"/>
        <v>#DIV/0!</v>
      </c>
      <c r="J25" s="118">
        <f t="shared" ref="J25:J30" si="15">+F25-H25</f>
        <v>0</v>
      </c>
      <c r="K25" s="122">
        <f t="shared" si="4"/>
        <v>0</v>
      </c>
    </row>
    <row r="26" spans="1:32" s="28" customFormat="1" x14ac:dyDescent="0.25">
      <c r="A26" s="27" t="s">
        <v>1695</v>
      </c>
      <c r="B26" s="91">
        <f>-T26</f>
        <v>86497.889999999985</v>
      </c>
      <c r="C26" s="92">
        <f>-X26</f>
        <v>74396.144691962705</v>
      </c>
      <c r="D26" s="106">
        <f t="shared" si="14"/>
        <v>12101.74530803728</v>
      </c>
      <c r="E26" s="119">
        <f t="shared" si="1"/>
        <v>0.16266629619242456</v>
      </c>
      <c r="F26" s="91"/>
      <c r="G26" s="91"/>
      <c r="H26" s="91"/>
      <c r="I26" s="92">
        <f>SUM(F26:H26)</f>
        <v>0</v>
      </c>
      <c r="J26" s="106">
        <f t="shared" si="15"/>
        <v>0</v>
      </c>
      <c r="K26" s="123">
        <f t="shared" si="4"/>
        <v>0</v>
      </c>
      <c r="N26" s="50"/>
      <c r="O26" s="50"/>
      <c r="T26" s="69">
        <f>+SUM(T21:T25)</f>
        <v>-86497.889999999985</v>
      </c>
      <c r="X26" s="69">
        <f>+SUM(X21:X25)</f>
        <v>-74396.144691962705</v>
      </c>
      <c r="AB26" s="69">
        <f>+SUM(AB21:AB25)</f>
        <v>0</v>
      </c>
      <c r="AF26" s="69">
        <f>+SUM(AF21:AF25)</f>
        <v>0</v>
      </c>
    </row>
    <row r="27" spans="1:32" x14ac:dyDescent="0.25">
      <c r="A27" s="24" t="s">
        <v>1696</v>
      </c>
      <c r="B27" s="155">
        <f>+'NS PARTS 130'!R18/'NS SERVICE 140'!R13</f>
        <v>0.60432196507612401</v>
      </c>
      <c r="C27" s="156">
        <f>+'NS PARTS 130'!V18/'NS SERVICE 140'!V13</f>
        <v>0.69138022832340829</v>
      </c>
      <c r="D27" s="157">
        <f t="shared" si="14"/>
        <v>-8.7058263247284273E-2</v>
      </c>
      <c r="E27" s="118">
        <f t="shared" si="1"/>
        <v>-0.12591951531272436</v>
      </c>
      <c r="F27" s="158"/>
      <c r="G27" s="158"/>
      <c r="H27" s="158"/>
      <c r="I27" s="156" t="e">
        <f t="shared" si="2"/>
        <v>#DIV/0!</v>
      </c>
      <c r="J27" s="157">
        <f t="shared" si="15"/>
        <v>0</v>
      </c>
      <c r="K27" s="122">
        <f t="shared" si="4"/>
        <v>0</v>
      </c>
      <c r="P27" s="3"/>
      <c r="Q27" s="3"/>
      <c r="R27" s="3"/>
      <c r="S27" s="3"/>
      <c r="T27" s="3"/>
    </row>
    <row r="28" spans="1:32" s="28" customFormat="1" x14ac:dyDescent="0.25">
      <c r="A28" s="27" t="s">
        <v>1697</v>
      </c>
      <c r="B28" s="91">
        <f>-SUM(R13:R16)/B33</f>
        <v>16377.835333333333</v>
      </c>
      <c r="C28" s="92">
        <f>-SUM(V13:V16)/C33</f>
        <v>18727.105133126639</v>
      </c>
      <c r="D28" s="106">
        <f t="shared" si="14"/>
        <v>-2349.2697997933064</v>
      </c>
      <c r="E28" s="119">
        <f t="shared" si="1"/>
        <v>-0.12544756827565678</v>
      </c>
      <c r="F28" s="91"/>
      <c r="G28" s="91"/>
      <c r="H28" s="91"/>
      <c r="I28" s="92" t="e">
        <f>AVERAGE(F28:H28)</f>
        <v>#DIV/0!</v>
      </c>
      <c r="J28" s="106">
        <f t="shared" si="15"/>
        <v>0</v>
      </c>
      <c r="K28" s="123">
        <f t="shared" si="4"/>
        <v>0</v>
      </c>
      <c r="N28" s="50"/>
      <c r="O28" s="50"/>
    </row>
    <row r="29" spans="1:32" s="28" customFormat="1" x14ac:dyDescent="0.25">
      <c r="A29" s="27" t="s">
        <v>1698</v>
      </c>
      <c r="B29" s="91">
        <f>-SUM(T17/B33)</f>
        <v>10139.248666666665</v>
      </c>
      <c r="C29" s="92">
        <f>-SUM(X17/C33)</f>
        <v>13252.54806587595</v>
      </c>
      <c r="D29" s="106">
        <f t="shared" si="14"/>
        <v>-3113.2993992092852</v>
      </c>
      <c r="E29" s="119">
        <f t="shared" si="1"/>
        <v>-0.23492081550911217</v>
      </c>
      <c r="F29" s="91"/>
      <c r="G29" s="91"/>
      <c r="H29" s="91"/>
      <c r="I29" s="92" t="e">
        <f>AVERAGE(F29:H29)</f>
        <v>#DIV/0!</v>
      </c>
      <c r="J29" s="106">
        <f t="shared" si="15"/>
        <v>0</v>
      </c>
      <c r="K29" s="123">
        <f t="shared" si="4"/>
        <v>0</v>
      </c>
      <c r="N29" s="50"/>
      <c r="O29" s="50"/>
    </row>
    <row r="30" spans="1:32" s="28" customFormat="1" ht="15.75" thickBot="1" x14ac:dyDescent="0.3">
      <c r="A30" s="29" t="s">
        <v>1699</v>
      </c>
      <c r="B30" s="94">
        <f>+B26/B33</f>
        <v>5766.5259999999989</v>
      </c>
      <c r="C30" s="93">
        <f>+C26/C33</f>
        <v>5722.7803609202083</v>
      </c>
      <c r="D30" s="107">
        <f t="shared" si="14"/>
        <v>43.745639079790635</v>
      </c>
      <c r="E30" s="120">
        <f t="shared" si="1"/>
        <v>7.644123366767906E-3</v>
      </c>
      <c r="F30" s="94"/>
      <c r="G30" s="94"/>
      <c r="H30" s="94"/>
      <c r="I30" s="93" t="e">
        <f>AVERAGE(F30:H30)</f>
        <v>#DIV/0!</v>
      </c>
      <c r="J30" s="107">
        <f t="shared" si="15"/>
        <v>0</v>
      </c>
      <c r="K30" s="124">
        <f t="shared" si="4"/>
        <v>0</v>
      </c>
      <c r="N30" s="50"/>
      <c r="O30" s="50"/>
    </row>
    <row r="31" spans="1:32" ht="0" hidden="1" customHeight="1" x14ac:dyDescent="0.25">
      <c r="E31" s="121"/>
      <c r="K31" s="121"/>
    </row>
    <row r="32" spans="1:32" ht="15.75" thickTop="1" x14ac:dyDescent="0.25">
      <c r="E32" s="121"/>
      <c r="K32" s="121"/>
    </row>
    <row r="33" spans="1:18" x14ac:dyDescent="0.25">
      <c r="A33" s="24" t="s">
        <v>1700</v>
      </c>
      <c r="B33" s="239">
        <f>+SUMIF('TUNZ Extracted TB'!M:M,'NS SERVICE 140'!N33,'TUNZ Extracted TB'!H:H)+(+SUMIF('TUNZ Extracted TB'!M:M,'NS SERVICE 140'!N34,'TUNZ Extracted TB'!H:H))/2</f>
        <v>15</v>
      </c>
      <c r="C33" s="12">
        <f>HLOOKUP(J1,'Input Sheet'!1:1048576,90,FALSE)</f>
        <v>13</v>
      </c>
      <c r="D33" s="149"/>
      <c r="E33" s="149"/>
      <c r="F33" s="12"/>
      <c r="G33" s="12"/>
      <c r="H33" s="12"/>
      <c r="I33" s="12" t="e">
        <f>AVERAGE(F33:H33)</f>
        <v>#DIV/0!</v>
      </c>
      <c r="J33" s="149"/>
      <c r="K33" s="121"/>
      <c r="N33" s="3" t="s">
        <v>1701</v>
      </c>
      <c r="O33" s="3" t="s">
        <v>1702</v>
      </c>
      <c r="P33" s="3" t="s">
        <v>1703</v>
      </c>
      <c r="Q33" s="3" t="s">
        <v>1704</v>
      </c>
      <c r="R33" s="3" t="s">
        <v>1705</v>
      </c>
    </row>
    <row r="34" spans="1:18" x14ac:dyDescent="0.25">
      <c r="K34" s="121"/>
      <c r="N34" s="3" t="s">
        <v>1706</v>
      </c>
      <c r="O34" s="3" t="s">
        <v>1707</v>
      </c>
      <c r="P34" s="3" t="s">
        <v>1708</v>
      </c>
      <c r="Q34" s="3" t="s">
        <v>1709</v>
      </c>
      <c r="R34" s="3" t="s">
        <v>1710</v>
      </c>
    </row>
    <row r="35" spans="1:18" x14ac:dyDescent="0.25">
      <c r="C35" s="195"/>
      <c r="K35" s="121"/>
    </row>
    <row r="36" spans="1:18" x14ac:dyDescent="0.25">
      <c r="C36" s="195"/>
    </row>
    <row r="37" spans="1:18" x14ac:dyDescent="0.25">
      <c r="C37" s="269"/>
    </row>
    <row r="38" spans="1:18" x14ac:dyDescent="0.25">
      <c r="A38" s="27" t="s">
        <v>20</v>
      </c>
      <c r="B38" s="91">
        <f>-SUMIF(Export!$P:$P,$N$38,Export!$L:$L)</f>
        <v>0</v>
      </c>
      <c r="C38" s="92">
        <f>-'Input Sheet'!W174</f>
        <v>37500</v>
      </c>
      <c r="N38" s="3" t="s">
        <v>1712</v>
      </c>
    </row>
    <row r="39" spans="1:18" x14ac:dyDescent="0.25">
      <c r="A39" s="27" t="s">
        <v>1711</v>
      </c>
      <c r="B39" s="91">
        <f>B26+B38</f>
        <v>86497.889999999985</v>
      </c>
      <c r="C39" s="92">
        <f>C26+C38</f>
        <v>111896.14469196271</v>
      </c>
    </row>
    <row r="45" spans="1:18" x14ac:dyDescent="0.25">
      <c r="B45" s="193"/>
      <c r="C45" s="193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5EB1C-222D-4CCD-871E-82DD1A5B102C}">
  <sheetPr>
    <tabColor theme="9" tint="0.79998168889431442"/>
  </sheetPr>
  <dimension ref="A1:AK35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5" width="9.7109375" style="16" customWidth="1" outlineLevel="1"/>
    <col min="6" max="9" width="9.7109375" style="16" customWidth="1"/>
    <col min="10" max="10" width="9.140625" style="16" customWidth="1"/>
    <col min="11" max="11" width="9.140625" style="16"/>
    <col min="12" max="13" width="11.7109375" style="3" customWidth="1" outlineLevel="1"/>
    <col min="14" max="34" width="9.140625" style="16" customWidth="1" outlineLevel="1"/>
    <col min="35" max="16384" width="9.140625" style="16"/>
  </cols>
  <sheetData>
    <row r="1" spans="1:30" ht="15" customHeight="1" x14ac:dyDescent="0.25">
      <c r="A1" s="326" t="s">
        <v>1604</v>
      </c>
      <c r="B1" s="327"/>
      <c r="C1" s="327"/>
      <c r="D1" s="327"/>
      <c r="E1" s="14"/>
      <c r="F1" s="15" t="s">
        <v>1605</v>
      </c>
      <c r="G1" s="31"/>
      <c r="H1" s="336">
        <f>OVERALL!I1</f>
        <v>45292</v>
      </c>
      <c r="I1" s="337"/>
    </row>
    <row r="2" spans="1:30" ht="9.4" customHeight="1" thickBot="1" x14ac:dyDescent="0.3"/>
    <row r="3" spans="1:30" ht="15.75" thickTop="1" x14ac:dyDescent="0.25">
      <c r="A3" s="38" t="s">
        <v>1591</v>
      </c>
      <c r="B3" s="350" t="s">
        <v>155</v>
      </c>
      <c r="C3" s="329"/>
      <c r="D3" s="329"/>
      <c r="E3" s="329"/>
      <c r="F3" s="350" t="s">
        <v>1629</v>
      </c>
      <c r="G3" s="329"/>
      <c r="H3" s="329"/>
      <c r="I3" s="345"/>
    </row>
    <row r="4" spans="1:30" x14ac:dyDescent="0.25">
      <c r="A4" s="39" t="s">
        <v>1591</v>
      </c>
      <c r="B4" s="40"/>
      <c r="C4" s="40"/>
      <c r="D4" s="351"/>
      <c r="E4" s="331"/>
      <c r="F4" s="40"/>
      <c r="G4" s="40"/>
      <c r="H4" s="351"/>
      <c r="I4" s="347"/>
    </row>
    <row r="5" spans="1:30" x14ac:dyDescent="0.25">
      <c r="A5" s="39" t="s">
        <v>111</v>
      </c>
      <c r="B5" s="41" t="s">
        <v>12</v>
      </c>
      <c r="C5" s="41" t="s">
        <v>1592</v>
      </c>
      <c r="D5" s="42" t="s">
        <v>1609</v>
      </c>
      <c r="E5" s="42" t="s">
        <v>1610</v>
      </c>
      <c r="F5" s="262" t="str">
        <f>OVERALL!F5</f>
        <v>0124</v>
      </c>
      <c r="G5" s="262" t="s">
        <v>1713</v>
      </c>
      <c r="H5" s="42" t="s">
        <v>1609</v>
      </c>
      <c r="I5" s="43" t="s">
        <v>1610</v>
      </c>
    </row>
    <row r="6" spans="1:30" x14ac:dyDescent="0.25">
      <c r="A6" s="24" t="s">
        <v>1095</v>
      </c>
      <c r="B6" s="51" t="e">
        <f>+P13/SUM($P$13:$P$16)</f>
        <v>#DIV/0!</v>
      </c>
      <c r="C6" s="96">
        <f>+T13/SUM($T$13:$T$16)</f>
        <v>0.38793555805123381</v>
      </c>
      <c r="D6" s="118" t="e">
        <f>+B6-C6</f>
        <v>#DIV/0!</v>
      </c>
      <c r="E6" s="118">
        <f>IFERROR(+D6/C6,0)</f>
        <v>0</v>
      </c>
      <c r="F6" s="51" t="e">
        <f>B6</f>
        <v>#DIV/0!</v>
      </c>
      <c r="G6" s="96">
        <v>0.41538745734517474</v>
      </c>
      <c r="H6" s="118" t="e">
        <f>+F6-G6</f>
        <v>#DIV/0!</v>
      </c>
      <c r="I6" s="125">
        <f>IFERROR(+H6/G6,0)</f>
        <v>0</v>
      </c>
    </row>
    <row r="7" spans="1:30" x14ac:dyDescent="0.25">
      <c r="A7" s="24" t="s">
        <v>1104</v>
      </c>
      <c r="B7" s="51" t="e">
        <f>+P14/SUM($P$13:$P$16)</f>
        <v>#DIV/0!</v>
      </c>
      <c r="C7" s="96">
        <f>+T14/SUM($T$13:$T$16)</f>
        <v>3.4590868600629883E-2</v>
      </c>
      <c r="D7" s="118" t="e">
        <f t="shared" ref="D7:D21" si="0">+B7-C7</f>
        <v>#DIV/0!</v>
      </c>
      <c r="E7" s="118">
        <f t="shared" ref="E7:E30" si="1">IFERROR(+D7/C7,0)</f>
        <v>0</v>
      </c>
      <c r="F7" s="51" t="e">
        <f t="shared" ref="F7:F30" si="2">B7</f>
        <v>#DIV/0!</v>
      </c>
      <c r="G7" s="96">
        <v>0</v>
      </c>
      <c r="H7" s="118" t="e">
        <f t="shared" ref="H7:H21" si="3">+F7-G7</f>
        <v>#DIV/0!</v>
      </c>
      <c r="I7" s="125">
        <f t="shared" ref="I7:I30" si="4">IFERROR(+H7/G7,0)</f>
        <v>0</v>
      </c>
    </row>
    <row r="8" spans="1:30" x14ac:dyDescent="0.25">
      <c r="A8" s="24" t="s">
        <v>1109</v>
      </c>
      <c r="B8" s="51" t="e">
        <f>+P15/SUM($P$13:$P$16)</f>
        <v>#DIV/0!</v>
      </c>
      <c r="C8" s="96">
        <f>+T15/SUM($T$13:$T$16)</f>
        <v>0.5774735733481362</v>
      </c>
      <c r="D8" s="118" t="e">
        <f t="shared" si="0"/>
        <v>#DIV/0!</v>
      </c>
      <c r="E8" s="118">
        <f t="shared" si="1"/>
        <v>0</v>
      </c>
      <c r="F8" s="51" t="e">
        <f t="shared" si="2"/>
        <v>#DIV/0!</v>
      </c>
      <c r="G8" s="96">
        <v>0.58461254265482521</v>
      </c>
      <c r="H8" s="118" t="e">
        <f t="shared" si="3"/>
        <v>#DIV/0!</v>
      </c>
      <c r="I8" s="125">
        <f t="shared" si="4"/>
        <v>0</v>
      </c>
    </row>
    <row r="9" spans="1:30" x14ac:dyDescent="0.25">
      <c r="A9" s="27" t="s">
        <v>181</v>
      </c>
      <c r="B9" s="91">
        <f>-SUM(P13:P16)</f>
        <v>0</v>
      </c>
      <c r="C9" s="92">
        <f>-SUM(T13:T16)</f>
        <v>307.59816388893739</v>
      </c>
      <c r="D9" s="106">
        <f t="shared" si="0"/>
        <v>-307.59816388893739</v>
      </c>
      <c r="E9" s="119">
        <f t="shared" si="1"/>
        <v>-1</v>
      </c>
      <c r="F9" s="91">
        <f t="shared" si="2"/>
        <v>0</v>
      </c>
      <c r="G9" s="92">
        <v>32534.42</v>
      </c>
      <c r="H9" s="106">
        <f t="shared" si="3"/>
        <v>-32534.42</v>
      </c>
      <c r="I9" s="123">
        <f t="shared" si="4"/>
        <v>-1</v>
      </c>
    </row>
    <row r="10" spans="1:30" x14ac:dyDescent="0.25">
      <c r="A10" s="24" t="s">
        <v>1117</v>
      </c>
      <c r="B10" s="51" t="e">
        <f>+P18/P21</f>
        <v>#DIV/0!</v>
      </c>
      <c r="C10" s="96">
        <f>+T18/T21</f>
        <v>0.27628374976328596</v>
      </c>
      <c r="D10" s="118" t="e">
        <f t="shared" si="0"/>
        <v>#DIV/0!</v>
      </c>
      <c r="E10" s="118">
        <f t="shared" si="1"/>
        <v>0</v>
      </c>
      <c r="F10" s="53" t="e">
        <f t="shared" si="2"/>
        <v>#DIV/0!</v>
      </c>
      <c r="G10" s="264">
        <v>0.12869850035827118</v>
      </c>
      <c r="H10" s="118" t="e">
        <f t="shared" si="3"/>
        <v>#DIV/0!</v>
      </c>
      <c r="I10" s="122">
        <f t="shared" si="4"/>
        <v>0</v>
      </c>
      <c r="P10" s="95" t="s">
        <v>1641</v>
      </c>
      <c r="Q10" s="95" t="s">
        <v>1641</v>
      </c>
      <c r="R10" s="95" t="s">
        <v>1641</v>
      </c>
      <c r="T10" s="95" t="s">
        <v>1641</v>
      </c>
      <c r="U10" s="95" t="s">
        <v>1641</v>
      </c>
      <c r="V10" s="95" t="s">
        <v>1641</v>
      </c>
      <c r="X10" s="95" t="s">
        <v>156</v>
      </c>
      <c r="Y10" s="95" t="s">
        <v>156</v>
      </c>
      <c r="Z10" s="95" t="s">
        <v>156</v>
      </c>
      <c r="AB10" s="95" t="s">
        <v>156</v>
      </c>
      <c r="AC10" s="95" t="s">
        <v>156</v>
      </c>
      <c r="AD10" s="95" t="s">
        <v>156</v>
      </c>
    </row>
    <row r="11" spans="1:30" x14ac:dyDescent="0.25">
      <c r="A11" s="24" t="s">
        <v>1019</v>
      </c>
      <c r="B11" s="51" t="e">
        <f>+P19/P21</f>
        <v>#DIV/0!</v>
      </c>
      <c r="C11" s="96">
        <f>+T19/T21</f>
        <v>8.632451354032445E-3</v>
      </c>
      <c r="D11" s="118" t="e">
        <f t="shared" si="0"/>
        <v>#DIV/0!</v>
      </c>
      <c r="E11" s="118">
        <f t="shared" si="1"/>
        <v>0</v>
      </c>
      <c r="F11" s="53" t="e">
        <f t="shared" si="2"/>
        <v>#DIV/0!</v>
      </c>
      <c r="G11" s="264">
        <v>7.4027595211419217E-2</v>
      </c>
      <c r="H11" s="118" t="e">
        <f t="shared" si="3"/>
        <v>#DIV/0!</v>
      </c>
      <c r="I11" s="122">
        <f t="shared" si="4"/>
        <v>0</v>
      </c>
      <c r="P11" s="95" t="s">
        <v>12</v>
      </c>
      <c r="Q11" s="95" t="s">
        <v>12</v>
      </c>
      <c r="R11" s="95" t="s">
        <v>12</v>
      </c>
      <c r="T11" s="95" t="s">
        <v>1592</v>
      </c>
      <c r="U11" s="95" t="s">
        <v>1592</v>
      </c>
      <c r="V11" s="95" t="s">
        <v>1592</v>
      </c>
      <c r="X11" s="95" t="s">
        <v>12</v>
      </c>
      <c r="Y11" s="95" t="s">
        <v>12</v>
      </c>
      <c r="Z11" s="95" t="s">
        <v>12</v>
      </c>
      <c r="AB11" s="95" t="s">
        <v>1592</v>
      </c>
      <c r="AC11" s="95" t="s">
        <v>1592</v>
      </c>
      <c r="AD11" s="95" t="s">
        <v>1592</v>
      </c>
    </row>
    <row r="12" spans="1:30" x14ac:dyDescent="0.25">
      <c r="A12" s="27" t="s">
        <v>1690</v>
      </c>
      <c r="B12" s="91">
        <f>-SUM(P17:P19)</f>
        <v>0</v>
      </c>
      <c r="C12" s="92">
        <f>-SUM(T17:T19)</f>
        <v>430.15680731343588</v>
      </c>
      <c r="D12" s="106">
        <f t="shared" si="0"/>
        <v>-430.15680731343588</v>
      </c>
      <c r="E12" s="119">
        <f t="shared" si="1"/>
        <v>-1</v>
      </c>
      <c r="F12" s="91">
        <f t="shared" si="2"/>
        <v>0</v>
      </c>
      <c r="G12" s="92">
        <v>40807.079999999994</v>
      </c>
      <c r="H12" s="106">
        <f t="shared" si="3"/>
        <v>-40807.079999999994</v>
      </c>
      <c r="I12" s="123">
        <f t="shared" si="4"/>
        <v>-1</v>
      </c>
      <c r="P12" s="95" t="s">
        <v>1642</v>
      </c>
      <c r="Q12" s="95" t="s">
        <v>180</v>
      </c>
      <c r="R12" s="95" t="s">
        <v>153</v>
      </c>
      <c r="T12" s="95" t="s">
        <v>1642</v>
      </c>
      <c r="U12" s="95" t="s">
        <v>180</v>
      </c>
      <c r="V12" s="95" t="s">
        <v>153</v>
      </c>
      <c r="X12" s="95" t="s">
        <v>1642</v>
      </c>
      <c r="Y12" s="95" t="s">
        <v>180</v>
      </c>
      <c r="Z12" s="95" t="s">
        <v>153</v>
      </c>
      <c r="AB12" s="95" t="s">
        <v>1642</v>
      </c>
      <c r="AC12" s="95" t="s">
        <v>180</v>
      </c>
      <c r="AD12" s="95" t="s">
        <v>153</v>
      </c>
    </row>
    <row r="13" spans="1:30" x14ac:dyDescent="0.25">
      <c r="A13" s="24" t="s">
        <v>1172</v>
      </c>
      <c r="B13" s="51" t="e">
        <f>+R13/P13</f>
        <v>#DIV/0!</v>
      </c>
      <c r="C13" s="96">
        <f>+V13/T13</f>
        <v>0.70310721232383688</v>
      </c>
      <c r="D13" s="126" t="e">
        <f t="shared" si="0"/>
        <v>#DIV/0!</v>
      </c>
      <c r="E13" s="118">
        <f t="shared" si="1"/>
        <v>0</v>
      </c>
      <c r="F13" s="51" t="e">
        <f t="shared" si="2"/>
        <v>#DIV/0!</v>
      </c>
      <c r="G13" s="96">
        <v>0.76585106689980076</v>
      </c>
      <c r="H13" s="126" t="e">
        <f t="shared" si="3"/>
        <v>#DIV/0!</v>
      </c>
      <c r="I13" s="122">
        <f t="shared" si="4"/>
        <v>0</v>
      </c>
      <c r="K13" s="162">
        <v>147</v>
      </c>
      <c r="L13" s="3" t="s">
        <v>1095</v>
      </c>
      <c r="M13" s="3" t="s">
        <v>1172</v>
      </c>
      <c r="P13" s="52">
        <f>+SUMIFS(Export!$L:$L,Export!$I:$I,L13,Export!$E:$E,K13)</f>
        <v>0</v>
      </c>
      <c r="Q13" s="52">
        <f>+SUMIFS(Export!$L:$L,Export!$I:$I,M13,Export!$E:$E,K13)</f>
        <v>0</v>
      </c>
      <c r="R13" s="52">
        <f>+SUM(P13:Q13)</f>
        <v>0</v>
      </c>
      <c r="T13" s="52">
        <f>+SUMIFS(Export!$N:$N,Export!$I:$I,L13,Export!$E:$E,K13)</f>
        <v>-119.32826536378981</v>
      </c>
      <c r="U13" s="52">
        <f>+SUMIFS(Export!$N:$N,Export!$I:$I,M13,Export!$E:$E,K13)</f>
        <v>35.427701352416499</v>
      </c>
      <c r="V13" s="52">
        <f>+SUM(T13:U13)</f>
        <v>-83.900564011373319</v>
      </c>
      <c r="W13" s="168"/>
      <c r="X13" s="52">
        <f>+SUMIF(Export!$I:$I,'NS SERVICE 147'!L13,Export!M:M)</f>
        <v>0</v>
      </c>
      <c r="Y13" s="52">
        <f>+SUMIF(Export!$I:$I,'NS SERVICE 147'!M13,Export!M:M)</f>
        <v>0</v>
      </c>
      <c r="Z13" s="52">
        <f>+SUM(X13:Y13)</f>
        <v>0</v>
      </c>
      <c r="AB13" s="52">
        <f>+SUMIF(Export!$I:$I,'NS SERVICE 147'!L13,Export!$O:O)</f>
        <v>0</v>
      </c>
      <c r="AC13" s="52">
        <f>+SUMIF(Export!$I:$I,'NS SERVICE 147'!M13,Export!O:O)</f>
        <v>0</v>
      </c>
      <c r="AD13" s="52">
        <f>+SUM(AB13:AC13)</f>
        <v>0</v>
      </c>
    </row>
    <row r="14" spans="1:30" x14ac:dyDescent="0.25">
      <c r="A14" s="24" t="s">
        <v>1179</v>
      </c>
      <c r="B14" s="51">
        <f>IFERROR(+R14/P14,0)</f>
        <v>0</v>
      </c>
      <c r="C14" s="96">
        <f>+V14/T14</f>
        <v>0.52232367128745538</v>
      </c>
      <c r="D14" s="126">
        <f t="shared" si="0"/>
        <v>-0.52232367128745538</v>
      </c>
      <c r="E14" s="118">
        <f t="shared" si="1"/>
        <v>-1</v>
      </c>
      <c r="F14" s="51">
        <f t="shared" si="2"/>
        <v>0</v>
      </c>
      <c r="G14" s="96">
        <v>0</v>
      </c>
      <c r="H14" s="126">
        <f t="shared" si="3"/>
        <v>0</v>
      </c>
      <c r="I14" s="122">
        <f t="shared" si="4"/>
        <v>0</v>
      </c>
      <c r="K14" s="162">
        <v>147</v>
      </c>
      <c r="L14" s="3" t="s">
        <v>1104</v>
      </c>
      <c r="M14" s="3" t="s">
        <v>1179</v>
      </c>
      <c r="P14" s="52">
        <f>+SUMIFS(Export!$L:$L,Export!$I:$I,L14,Export!$E:$E,K14)</f>
        <v>0</v>
      </c>
      <c r="Q14" s="52">
        <f>+SUMIFS(Export!$L:$L,Export!$I:$I,M14,Export!$E:$E,K14)</f>
        <v>0</v>
      </c>
      <c r="R14" s="52">
        <f>+SUM(P14:Q14)</f>
        <v>0</v>
      </c>
      <c r="T14" s="52">
        <f>+SUMIFS(Export!$N:$N,Export!$I:$I,L14,Export!$E:$E,K14)</f>
        <v>-10.64008766887725</v>
      </c>
      <c r="U14" s="52">
        <f>+SUMIFS(Export!$N:$N,Export!$I:$I,M14,Export!$E:$E,K14)</f>
        <v>5.082518014848902</v>
      </c>
      <c r="V14" s="52">
        <f t="shared" ref="V14:V16" si="5">+SUM(T14:U14)</f>
        <v>-5.5575696540283479</v>
      </c>
      <c r="X14" s="52">
        <f>+SUMIF(Export!$I:$I,'NS SERVICE 147'!L14,Export!M:M)</f>
        <v>0</v>
      </c>
      <c r="Y14" s="52">
        <f>+SUMIF(Export!$I:$I,'NS SERVICE 147'!M14,Export!M:M)</f>
        <v>0</v>
      </c>
      <c r="Z14" s="52">
        <f t="shared" ref="Z14:Z16" si="6">+SUM(X14:Y14)</f>
        <v>0</v>
      </c>
      <c r="AB14" s="52">
        <f>+SUMIF(Export!$I:$I,'NS SERVICE 147'!L14,Export!$O:O)</f>
        <v>0</v>
      </c>
      <c r="AC14" s="52">
        <f>+SUMIF(Export!$I:$I,'NS SERVICE 147'!M14,Export!O:O)</f>
        <v>0</v>
      </c>
      <c r="AD14" s="52">
        <f t="shared" ref="AD14:AD16" si="7">+SUM(AB14:AC14)</f>
        <v>0</v>
      </c>
    </row>
    <row r="15" spans="1:30" x14ac:dyDescent="0.25">
      <c r="A15" s="24" t="s">
        <v>1184</v>
      </c>
      <c r="B15" s="51" t="e">
        <f>+R15/P15</f>
        <v>#DIV/0!</v>
      </c>
      <c r="C15" s="96">
        <f>+V15/T15</f>
        <v>0.72183172986891453</v>
      </c>
      <c r="D15" s="126" t="e">
        <f t="shared" si="0"/>
        <v>#DIV/0!</v>
      </c>
      <c r="E15" s="118">
        <f t="shared" si="1"/>
        <v>0</v>
      </c>
      <c r="F15" s="51" t="e">
        <f t="shared" si="2"/>
        <v>#DIV/0!</v>
      </c>
      <c r="G15" s="96">
        <v>0.79781262174665335</v>
      </c>
      <c r="H15" s="126" t="e">
        <f t="shared" si="3"/>
        <v>#DIV/0!</v>
      </c>
      <c r="I15" s="122">
        <f t="shared" si="4"/>
        <v>0</v>
      </c>
      <c r="K15" s="162">
        <v>147</v>
      </c>
      <c r="L15" s="3" t="s">
        <v>1109</v>
      </c>
      <c r="M15" s="3" t="s">
        <v>1184</v>
      </c>
      <c r="P15" s="52">
        <f>+SUMIFS(Export!$L:$L,Export!$I:$I,L15,Export!$E:$E,K15)</f>
        <v>0</v>
      </c>
      <c r="Q15" s="52">
        <f>+SUMIFS(Export!$L:$L,Export!$I:$I,M15,Export!$E:$E,K15)</f>
        <v>0</v>
      </c>
      <c r="R15" s="52">
        <f>+SUM(P15:Q15)</f>
        <v>0</v>
      </c>
      <c r="T15" s="52">
        <f>+SUMIFS(Export!$N:$N,Export!$I:$I,L15,Export!$E:$E,K15)</f>
        <v>-177.6298108562703</v>
      </c>
      <c r="U15" s="52">
        <f>+SUMIFS(Export!$N:$N,Export!$I:$I,M15,Export!$E:$E,K15)</f>
        <v>49.410977209600631</v>
      </c>
      <c r="V15" s="52">
        <f t="shared" si="5"/>
        <v>-128.21883364666968</v>
      </c>
      <c r="W15" s="169">
        <f>+SUM(V13:V15)-SUM(R13:R15)</f>
        <v>-217.67696731207133</v>
      </c>
      <c r="X15" s="52">
        <f>+SUMIF(Export!$I:$I,'NS SERVICE 147'!L15,Export!M:M)</f>
        <v>0</v>
      </c>
      <c r="Y15" s="52">
        <f>+SUMIF(Export!$I:$I,'NS SERVICE 147'!M15,Export!M:M)</f>
        <v>0</v>
      </c>
      <c r="Z15" s="52">
        <f t="shared" si="6"/>
        <v>0</v>
      </c>
      <c r="AB15" s="52">
        <f>+SUMIF(Export!$I:$I,'NS SERVICE 147'!L15,Export!$O:O)</f>
        <v>0</v>
      </c>
      <c r="AC15" s="52">
        <f>+SUMIF(Export!$I:$I,'NS SERVICE 147'!M15,Export!O:O)</f>
        <v>0</v>
      </c>
      <c r="AD15" s="52">
        <f t="shared" si="7"/>
        <v>0</v>
      </c>
    </row>
    <row r="16" spans="1:30" x14ac:dyDescent="0.25">
      <c r="A16" s="24" t="s">
        <v>1114</v>
      </c>
      <c r="B16" s="51" t="e">
        <f>+R16/SUM(Q13:Q16)</f>
        <v>#DIV/0!</v>
      </c>
      <c r="C16" s="96">
        <f>+U16/SUM(U13:U16)</f>
        <v>0</v>
      </c>
      <c r="D16" s="126" t="e">
        <f t="shared" si="0"/>
        <v>#DIV/0!</v>
      </c>
      <c r="E16" s="118">
        <f t="shared" si="1"/>
        <v>0</v>
      </c>
      <c r="F16" s="51" t="e">
        <f t="shared" si="2"/>
        <v>#DIV/0!</v>
      </c>
      <c r="G16" s="96">
        <v>-1.9222772464370774E-2</v>
      </c>
      <c r="H16" s="126" t="e">
        <f t="shared" si="3"/>
        <v>#DIV/0!</v>
      </c>
      <c r="I16" s="122">
        <f t="shared" si="4"/>
        <v>0</v>
      </c>
      <c r="K16" s="162">
        <v>147</v>
      </c>
      <c r="M16" s="3" t="s">
        <v>1114</v>
      </c>
      <c r="P16" s="52">
        <f>+SUMIFS(Export!$L:$L,Export!$I:$I,L16,Export!$E:$E,K16)</f>
        <v>0</v>
      </c>
      <c r="Q16" s="52">
        <f>+SUMIFS(Export!$L:$L,Export!$I:$I,M16,Export!$E:$E,K16)</f>
        <v>0</v>
      </c>
      <c r="R16" s="52">
        <f>+SUM(P16:Q16)</f>
        <v>0</v>
      </c>
      <c r="T16" s="52">
        <f>+SUMIFS(Export!$N:$N,Export!$I:$I,L16,Export!$E:$E,K16)</f>
        <v>0</v>
      </c>
      <c r="U16" s="52">
        <f>+SUMIFS(Export!$N:$N,Export!$I:$I,M16,Export!$E:$E,K16)</f>
        <v>0</v>
      </c>
      <c r="V16" s="52">
        <f t="shared" si="5"/>
        <v>0</v>
      </c>
      <c r="X16" s="52">
        <f>+SUMIF(Export!$I:$I,'NS SERVICE 147'!L16,Export!M:M)</f>
        <v>0</v>
      </c>
      <c r="Y16" s="52">
        <f>+SUMIF(Export!$I:$I,'NS SERVICE 147'!M16,Export!M:M)</f>
        <v>0</v>
      </c>
      <c r="Z16" s="52">
        <f t="shared" si="6"/>
        <v>0</v>
      </c>
      <c r="AB16" s="52">
        <f>+SUMIF(Export!$I:$I,'NS SERVICE 147'!L16,Export!$O:O)</f>
        <v>0</v>
      </c>
      <c r="AC16" s="52">
        <f>+SUMIF(Export!$I:$I,'NS SERVICE 147'!M16,Export!O:O)</f>
        <v>0</v>
      </c>
      <c r="AD16" s="52">
        <f t="shared" si="7"/>
        <v>0</v>
      </c>
    </row>
    <row r="17" spans="1:37" x14ac:dyDescent="0.25">
      <c r="A17" s="24" t="s">
        <v>1691</v>
      </c>
      <c r="B17" s="51" t="e">
        <f>+R17/SUM(P13:P16)</f>
        <v>#DIV/0!</v>
      </c>
      <c r="C17" s="96">
        <f>+V17/SUM(T13:T16)</f>
        <v>0.70766666666666656</v>
      </c>
      <c r="D17" s="126" t="e">
        <f t="shared" si="0"/>
        <v>#DIV/0!</v>
      </c>
      <c r="E17" s="118">
        <f t="shared" si="1"/>
        <v>0</v>
      </c>
      <c r="F17" s="51" t="e">
        <f t="shared" si="2"/>
        <v>#DIV/0!</v>
      </c>
      <c r="G17" s="96">
        <v>0.78859988897911804</v>
      </c>
      <c r="H17" s="126" t="e">
        <f t="shared" si="3"/>
        <v>#DIV/0!</v>
      </c>
      <c r="I17" s="122">
        <f t="shared" si="4"/>
        <v>0</v>
      </c>
      <c r="K17" s="162"/>
      <c r="P17" s="52">
        <f>SUM(P13:P16)</f>
        <v>0</v>
      </c>
      <c r="R17" s="52">
        <f>SUM(R13:R16)</f>
        <v>0</v>
      </c>
      <c r="T17" s="52">
        <f>SUM(T13:T16)</f>
        <v>-307.59816388893739</v>
      </c>
      <c r="V17" s="52">
        <f>SUM(V13:V16)</f>
        <v>-217.67696731207133</v>
      </c>
      <c r="X17" s="52">
        <f>SUM(X13:X16)</f>
        <v>0</v>
      </c>
      <c r="Z17" s="52">
        <f>SUM(Z13:Z16)</f>
        <v>0</v>
      </c>
      <c r="AB17" s="52">
        <f>SUM(AB13:AB16)</f>
        <v>0</v>
      </c>
      <c r="AD17" s="52">
        <f>SUM(AD13:AD16)</f>
        <v>0</v>
      </c>
    </row>
    <row r="18" spans="1:37" x14ac:dyDescent="0.25">
      <c r="A18" s="24" t="s">
        <v>1191</v>
      </c>
      <c r="B18" s="51" t="e">
        <f>+R18/P18</f>
        <v>#DIV/0!</v>
      </c>
      <c r="C18" s="96">
        <f>+V18/T18</f>
        <v>0.37157420125003154</v>
      </c>
      <c r="D18" s="126" t="e">
        <f t="shared" si="0"/>
        <v>#DIV/0!</v>
      </c>
      <c r="E18" s="118">
        <f t="shared" si="1"/>
        <v>0</v>
      </c>
      <c r="F18" s="51" t="e">
        <f t="shared" si="2"/>
        <v>#DIV/0!</v>
      </c>
      <c r="G18" s="96">
        <v>0.27517751022980652</v>
      </c>
      <c r="H18" s="126" t="e">
        <f t="shared" si="3"/>
        <v>#DIV/0!</v>
      </c>
      <c r="I18" s="122">
        <f t="shared" si="4"/>
        <v>0</v>
      </c>
      <c r="K18" s="162">
        <v>147</v>
      </c>
      <c r="L18" s="3" t="s">
        <v>1117</v>
      </c>
      <c r="M18" s="3" t="s">
        <v>1191</v>
      </c>
      <c r="P18" s="52">
        <f>+SUMIFS(Export!$L:$L,Export!$I:$I,L18,Export!$E:$E,K18)</f>
        <v>0</v>
      </c>
      <c r="Q18" s="52">
        <f>+SUMIFS(Export!$L:$L,Export!$I:$I,M18,Export!$E:$E,K18)</f>
        <v>0</v>
      </c>
      <c r="R18" s="52">
        <f t="shared" ref="R18:R19" si="8">+SUM(P18:Q18)</f>
        <v>0</v>
      </c>
      <c r="T18" s="52">
        <f>+SUMIFS(Export!$N:$N,Export!$I:$I,L18,Export!$E:$E,K18)</f>
        <v>-118.84533571075933</v>
      </c>
      <c r="U18" s="52">
        <f>+SUMIFS(Export!$N:$N,Export!$I:$I,M18,Export!$E:$E,K18)</f>
        <v>74.685475021742079</v>
      </c>
      <c r="V18" s="52">
        <f t="shared" ref="V18:V19" si="9">+SUM(T18:U18)</f>
        <v>-44.15986068901725</v>
      </c>
      <c r="X18" s="52">
        <f>+SUMIF(Export!$I:$I,'NS SERVICE 147'!L18,Export!M:M)</f>
        <v>0</v>
      </c>
      <c r="Y18" s="52">
        <f>+SUMIF(Export!$I:$I,'NS SERVICE 147'!M18,Export!M:M)</f>
        <v>0</v>
      </c>
      <c r="Z18" s="52">
        <f t="shared" ref="Z18:Z19" si="10">+SUM(X18:Y18)</f>
        <v>0</v>
      </c>
      <c r="AB18" s="52">
        <f>+SUMIF(Export!$I:$I,'NS SERVICE 147'!L18,Export!$O:O)</f>
        <v>0</v>
      </c>
      <c r="AC18" s="52">
        <f>+SUMIF(Export!$I:$I,'NS SERVICE 147'!M18,Export!O:O)</f>
        <v>0</v>
      </c>
      <c r="AD18" s="52">
        <f t="shared" ref="AD18:AD19" si="11">+SUM(AB18:AC18)</f>
        <v>0</v>
      </c>
    </row>
    <row r="19" spans="1:37" x14ac:dyDescent="0.25">
      <c r="A19" s="24" t="s">
        <v>1196</v>
      </c>
      <c r="B19" s="51" t="e">
        <f>+R19/P19</f>
        <v>#DIV/0!</v>
      </c>
      <c r="C19" s="96">
        <f>IFERROR(+V19/T19,0)</f>
        <v>1</v>
      </c>
      <c r="D19" s="126" t="e">
        <f t="shared" si="0"/>
        <v>#DIV/0!</v>
      </c>
      <c r="E19" s="118">
        <f t="shared" si="1"/>
        <v>0</v>
      </c>
      <c r="F19" s="51" t="e">
        <f t="shared" si="2"/>
        <v>#DIV/0!</v>
      </c>
      <c r="G19" s="96">
        <v>0.36694638926130069</v>
      </c>
      <c r="H19" s="126" t="e">
        <f t="shared" si="3"/>
        <v>#DIV/0!</v>
      </c>
      <c r="I19" s="122">
        <f t="shared" si="4"/>
        <v>0</v>
      </c>
      <c r="K19" s="162">
        <v>147</v>
      </c>
      <c r="L19" s="3" t="s">
        <v>1019</v>
      </c>
      <c r="M19" s="3" t="s">
        <v>1196</v>
      </c>
      <c r="P19" s="52">
        <f>+SUMIFS(Export!$L:$L,Export!$I:$I,L19,Export!$E:$E,K19)</f>
        <v>0</v>
      </c>
      <c r="Q19" s="52">
        <f>+SUMIFS(Export!$L:$L,Export!$I:$I,M19,Export!$E:$E,K19)</f>
        <v>0</v>
      </c>
      <c r="R19" s="52">
        <f t="shared" si="8"/>
        <v>0</v>
      </c>
      <c r="T19" s="52">
        <f>+SUMIFS(Export!$N:$N,Export!$I:$I,L19,Export!$E:$E,K19)</f>
        <v>-3.7133077137391428</v>
      </c>
      <c r="U19" s="52">
        <f>+SUMIFS(Export!$N:$N,Export!$I:$I,M19,Export!$E:$E,K19)</f>
        <v>0</v>
      </c>
      <c r="V19" s="52">
        <f t="shared" si="9"/>
        <v>-3.7133077137391428</v>
      </c>
      <c r="X19" s="52">
        <f>+SUMIF(Export!$I:$I,'NS SERVICE 147'!L19,Export!M:M)</f>
        <v>0</v>
      </c>
      <c r="Y19" s="52">
        <f>+SUMIF(Export!$I:$I,'NS SERVICE 147'!M19,Export!M:M)</f>
        <v>0</v>
      </c>
      <c r="Z19" s="52">
        <f t="shared" si="10"/>
        <v>0</v>
      </c>
      <c r="AB19" s="52">
        <f>+SUMIF(Export!$I:$I,'NS SERVICE 147'!L19,Export!$O:O)</f>
        <v>0</v>
      </c>
      <c r="AC19" s="52">
        <f>+SUMIF(Export!$I:$I,'NS SERVICE 147'!M19,Export!O:O)</f>
        <v>0</v>
      </c>
      <c r="AD19" s="52">
        <f t="shared" si="11"/>
        <v>0</v>
      </c>
    </row>
    <row r="20" spans="1:37" x14ac:dyDescent="0.25">
      <c r="A20" s="24" t="s">
        <v>1692</v>
      </c>
      <c r="B20" s="51" t="e">
        <f>+R21/P21</f>
        <v>#DIV/0!</v>
      </c>
      <c r="C20" s="96">
        <f>+V21/T21</f>
        <v>0.61733333333333329</v>
      </c>
      <c r="D20" s="126" t="e">
        <f t="shared" si="0"/>
        <v>#DIV/0!</v>
      </c>
      <c r="E20" s="118">
        <f t="shared" si="1"/>
        <v>0</v>
      </c>
      <c r="F20" s="51" t="e">
        <f t="shared" si="2"/>
        <v>#DIV/0!</v>
      </c>
      <c r="G20" s="96">
        <v>0.69130920418711661</v>
      </c>
      <c r="H20" s="126" t="e">
        <f t="shared" si="3"/>
        <v>#DIV/0!</v>
      </c>
      <c r="I20" s="122">
        <f t="shared" si="4"/>
        <v>0</v>
      </c>
      <c r="K20" s="162"/>
    </row>
    <row r="21" spans="1:37" x14ac:dyDescent="0.25">
      <c r="A21" s="27" t="s">
        <v>1693</v>
      </c>
      <c r="B21" s="91">
        <f>-R21</f>
        <v>0</v>
      </c>
      <c r="C21" s="92">
        <f>-V21</f>
        <v>265.55013571482772</v>
      </c>
      <c r="D21" s="106">
        <f t="shared" si="0"/>
        <v>-265.55013571482772</v>
      </c>
      <c r="E21" s="119">
        <f t="shared" si="1"/>
        <v>-1</v>
      </c>
      <c r="F21" s="91">
        <f t="shared" si="2"/>
        <v>0</v>
      </c>
      <c r="G21" s="92">
        <v>28210.309999999998</v>
      </c>
      <c r="H21" s="106">
        <f t="shared" si="3"/>
        <v>-28210.309999999998</v>
      </c>
      <c r="I21" s="123">
        <f t="shared" si="4"/>
        <v>-1</v>
      </c>
      <c r="K21" s="162"/>
      <c r="P21" s="52">
        <f>+SUM(P17:P19)</f>
        <v>0</v>
      </c>
      <c r="R21" s="52">
        <f>+SUM(R17:R19)</f>
        <v>0</v>
      </c>
      <c r="T21" s="52">
        <f>+SUM(T17:T19)</f>
        <v>-430.15680731343588</v>
      </c>
      <c r="V21" s="52">
        <f>+SUM(V17:V19)</f>
        <v>-265.55013571482772</v>
      </c>
      <c r="X21" s="52">
        <f>+SUM(X17:X19)</f>
        <v>0</v>
      </c>
      <c r="Z21" s="52">
        <f>+SUM(Z17:Z19)</f>
        <v>0</v>
      </c>
      <c r="AB21" s="52">
        <f>+SUM(AB17:AB19)</f>
        <v>0</v>
      </c>
      <c r="AD21" s="52">
        <f>+SUM(AD17:AD19)</f>
        <v>0</v>
      </c>
    </row>
    <row r="22" spans="1:37" ht="15.6" customHeight="1" x14ac:dyDescent="0.25">
      <c r="A22" s="24" t="s">
        <v>1252</v>
      </c>
      <c r="B22" s="51" t="e">
        <f>-R22/P21</f>
        <v>#DIV/0!</v>
      </c>
      <c r="C22" s="96">
        <f>-V22/T21</f>
        <v>0.84733124414943439</v>
      </c>
      <c r="D22" s="118" t="e">
        <f>+C22-B22</f>
        <v>#DIV/0!</v>
      </c>
      <c r="E22" s="118">
        <f t="shared" si="1"/>
        <v>0</v>
      </c>
      <c r="F22" s="51" t="e">
        <f t="shared" si="2"/>
        <v>#DIV/0!</v>
      </c>
      <c r="G22" s="96">
        <v>0.32213772708069288</v>
      </c>
      <c r="H22" s="118" t="e">
        <f>+G22-F22</f>
        <v>#DIV/0!</v>
      </c>
      <c r="I22" s="122">
        <f t="shared" si="4"/>
        <v>0</v>
      </c>
      <c r="K22" s="162">
        <v>147</v>
      </c>
      <c r="L22" s="3" t="s">
        <v>1252</v>
      </c>
      <c r="R22" s="52">
        <f>+SUMIFS(Export!$L:$L,Export!$I:$I,L22,Export!$E:$E,K22)</f>
        <v>0</v>
      </c>
      <c r="V22" s="52">
        <f>+SUMIFS(Export!$N:$N,Export!$I:$I,L22,Export!$E:$E,K22)</f>
        <v>364.48530272024215</v>
      </c>
      <c r="Z22" s="52">
        <f>+SUMIF(Export!$I:$I,'NS SERVICE 147'!L22,Export!M:M)</f>
        <v>0</v>
      </c>
      <c r="AD22" s="52">
        <f>+SUMIF(Export!$I:$I,'NS SERVICE 147'!L22,Export!O:O)</f>
        <v>0</v>
      </c>
    </row>
    <row r="23" spans="1:37" x14ac:dyDescent="0.25">
      <c r="A23" s="24" t="s">
        <v>1286</v>
      </c>
      <c r="B23" s="51" t="e">
        <f>-R23/P21</f>
        <v>#DIV/0!</v>
      </c>
      <c r="C23" s="96">
        <f>-V23/T21</f>
        <v>0.98923700321683783</v>
      </c>
      <c r="D23" s="118" t="e">
        <f t="shared" ref="D23:D24" si="12">+C23-B23</f>
        <v>#DIV/0!</v>
      </c>
      <c r="E23" s="118">
        <f t="shared" si="1"/>
        <v>0</v>
      </c>
      <c r="F23" s="51" t="e">
        <f t="shared" si="2"/>
        <v>#DIV/0!</v>
      </c>
      <c r="G23" s="96">
        <v>6.7648064992643434E-2</v>
      </c>
      <c r="H23" s="118" t="e">
        <f t="shared" ref="H23:H24" si="13">+G23-F23</f>
        <v>#DIV/0!</v>
      </c>
      <c r="I23" s="122">
        <f t="shared" si="4"/>
        <v>0</v>
      </c>
      <c r="K23" s="162">
        <v>147</v>
      </c>
      <c r="L23" s="3" t="s">
        <v>1286</v>
      </c>
      <c r="R23" s="52">
        <f>+SUMIFS(Export!$L:$L,Export!$I:$I,L23,Export!$E:$E,K23)</f>
        <v>0</v>
      </c>
      <c r="V23" s="52">
        <f>+SUMIFS(Export!$N:$N,Export!$I:$I,L23,Export!$E:$E,K23)</f>
        <v>425.52703098006606</v>
      </c>
      <c r="Z23" s="52">
        <f>+SUMIF(Export!J:J,'NS SERVICE 147'!L23,Export!M:M)</f>
        <v>0</v>
      </c>
      <c r="AD23" s="52">
        <f>+SUMIF(Export!$J:$J,'NS SERVICE 147'!L23,Export!O:O)</f>
        <v>0</v>
      </c>
    </row>
    <row r="24" spans="1:37" x14ac:dyDescent="0.25">
      <c r="A24" s="24" t="s">
        <v>1674</v>
      </c>
      <c r="B24" s="53" t="e">
        <f>+SUM(B22:B23)</f>
        <v>#DIV/0!</v>
      </c>
      <c r="C24" s="96">
        <f>+SUM(C22:C23)</f>
        <v>1.8365682473662721</v>
      </c>
      <c r="D24" s="118" t="e">
        <f t="shared" si="12"/>
        <v>#DIV/0!</v>
      </c>
      <c r="E24" s="118">
        <f t="shared" si="1"/>
        <v>0</v>
      </c>
      <c r="F24" s="51" t="e">
        <f t="shared" si="2"/>
        <v>#DIV/0!</v>
      </c>
      <c r="G24" s="96">
        <v>0.3897857920733363</v>
      </c>
      <c r="H24" s="118" t="e">
        <f t="shared" si="13"/>
        <v>#DIV/0!</v>
      </c>
      <c r="I24" s="122">
        <f t="shared" si="4"/>
        <v>0</v>
      </c>
    </row>
    <row r="25" spans="1:37" x14ac:dyDescent="0.25">
      <c r="A25" s="24" t="s">
        <v>1675</v>
      </c>
      <c r="B25" s="53" t="e">
        <f>+B20-B24</f>
        <v>#DIV/0!</v>
      </c>
      <c r="C25" s="96">
        <f>+C20-C24</f>
        <v>-1.2192349140329388</v>
      </c>
      <c r="D25" s="118" t="e">
        <f t="shared" ref="D25:D30" si="14">+B25-C25</f>
        <v>#DIV/0!</v>
      </c>
      <c r="E25" s="118">
        <f t="shared" si="1"/>
        <v>0</v>
      </c>
      <c r="F25" s="51" t="e">
        <f t="shared" si="2"/>
        <v>#DIV/0!</v>
      </c>
      <c r="G25" s="96">
        <v>0.30152341211378031</v>
      </c>
      <c r="H25" s="118" t="e">
        <f t="shared" ref="H25:H30" si="15">+F25-G25</f>
        <v>#DIV/0!</v>
      </c>
      <c r="I25" s="122">
        <f t="shared" si="4"/>
        <v>0</v>
      </c>
    </row>
    <row r="26" spans="1:37" s="28" customFormat="1" x14ac:dyDescent="0.25">
      <c r="A26" s="27" t="s">
        <v>1695</v>
      </c>
      <c r="B26" s="91">
        <f>-R26</f>
        <v>0</v>
      </c>
      <c r="C26" s="92">
        <f>-V26</f>
        <v>-524.46219798548054</v>
      </c>
      <c r="D26" s="106">
        <f t="shared" si="14"/>
        <v>524.46219798548054</v>
      </c>
      <c r="E26" s="119">
        <f t="shared" si="1"/>
        <v>-1</v>
      </c>
      <c r="F26" s="91">
        <f t="shared" si="2"/>
        <v>0</v>
      </c>
      <c r="G26" s="92">
        <v>12304.289999999997</v>
      </c>
      <c r="H26" s="106">
        <f t="shared" si="15"/>
        <v>-12304.289999999997</v>
      </c>
      <c r="I26" s="123">
        <f t="shared" si="4"/>
        <v>-1</v>
      </c>
      <c r="L26" s="50"/>
      <c r="M26" s="50"/>
      <c r="R26" s="69">
        <f>+SUM(R21:R25)</f>
        <v>0</v>
      </c>
      <c r="V26" s="69">
        <f>+SUM(V21:V25)</f>
        <v>524.46219798548054</v>
      </c>
      <c r="Z26" s="69">
        <f>+SUM(Z21:Z25)</f>
        <v>0</v>
      </c>
      <c r="AD26" s="69">
        <f>+SUM(AD21:AD25)</f>
        <v>0</v>
      </c>
    </row>
    <row r="27" spans="1:37" x14ac:dyDescent="0.25">
      <c r="A27" s="24" t="s">
        <v>1696</v>
      </c>
      <c r="B27" s="155" t="e">
        <f>+'NS PARTS 130'!R18/'NS SERVICE 147'!P13</f>
        <v>#DIV/0!</v>
      </c>
      <c r="C27" s="156">
        <f>+'NS PARTS 130'!V18/'NS SERVICE 147'!T13</f>
        <v>1153.7766426257217</v>
      </c>
      <c r="D27" s="157" t="e">
        <f t="shared" si="14"/>
        <v>#DIV/0!</v>
      </c>
      <c r="E27" s="118">
        <f t="shared" si="1"/>
        <v>0</v>
      </c>
      <c r="F27" s="158" t="e">
        <f t="shared" si="2"/>
        <v>#DIV/0!</v>
      </c>
      <c r="G27" s="156">
        <v>9.1791453406332071</v>
      </c>
      <c r="H27" s="157" t="e">
        <f t="shared" si="15"/>
        <v>#DIV/0!</v>
      </c>
      <c r="I27" s="122">
        <f t="shared" si="4"/>
        <v>0</v>
      </c>
      <c r="N27" s="3"/>
      <c r="O27" s="3"/>
      <c r="P27" s="3"/>
      <c r="Q27" s="3"/>
      <c r="R27" s="3"/>
    </row>
    <row r="28" spans="1:37" s="28" customFormat="1" x14ac:dyDescent="0.25">
      <c r="A28" s="27" t="s">
        <v>1697</v>
      </c>
      <c r="B28" s="91" t="e">
        <f>-SUM(P13:P16)/B33</f>
        <v>#DIV/0!</v>
      </c>
      <c r="C28" s="92" t="e">
        <f>-SUM(T13:T16)/C33</f>
        <v>#DIV/0!</v>
      </c>
      <c r="D28" s="106" t="e">
        <f t="shared" si="14"/>
        <v>#DIV/0!</v>
      </c>
      <c r="E28" s="119">
        <f t="shared" si="1"/>
        <v>0</v>
      </c>
      <c r="F28" s="91" t="e">
        <f t="shared" si="2"/>
        <v>#DIV/0!</v>
      </c>
      <c r="G28" s="265">
        <v>21689.613333333331</v>
      </c>
      <c r="H28" s="106" t="e">
        <f t="shared" si="15"/>
        <v>#DIV/0!</v>
      </c>
      <c r="I28" s="123">
        <f t="shared" si="4"/>
        <v>0</v>
      </c>
      <c r="L28" s="50"/>
      <c r="M28" s="50"/>
      <c r="AK28" s="111"/>
    </row>
    <row r="29" spans="1:37" s="28" customFormat="1" x14ac:dyDescent="0.25">
      <c r="A29" s="27" t="s">
        <v>1698</v>
      </c>
      <c r="B29" s="91" t="e">
        <f>-SUM(R17/B33)</f>
        <v>#DIV/0!</v>
      </c>
      <c r="C29" s="92" t="e">
        <f>-SUM(V17/C33)</f>
        <v>#DIV/0!</v>
      </c>
      <c r="D29" s="106" t="e">
        <f t="shared" si="14"/>
        <v>#DIV/0!</v>
      </c>
      <c r="E29" s="119">
        <f t="shared" si="1"/>
        <v>0</v>
      </c>
      <c r="F29" s="91" t="e">
        <f t="shared" si="2"/>
        <v>#DIV/0!</v>
      </c>
      <c r="G29" s="265">
        <v>17104.426666666663</v>
      </c>
      <c r="H29" s="106" t="e">
        <f t="shared" si="15"/>
        <v>#DIV/0!</v>
      </c>
      <c r="I29" s="123">
        <f t="shared" si="4"/>
        <v>0</v>
      </c>
      <c r="L29" s="50"/>
      <c r="M29" s="50"/>
    </row>
    <row r="30" spans="1:37" s="28" customFormat="1" ht="15.75" thickBot="1" x14ac:dyDescent="0.3">
      <c r="A30" s="29" t="s">
        <v>1699</v>
      </c>
      <c r="B30" s="94" t="e">
        <f>+B26/B33</f>
        <v>#DIV/0!</v>
      </c>
      <c r="C30" s="93" t="e">
        <f>+C26/C33</f>
        <v>#DIV/0!</v>
      </c>
      <c r="D30" s="107" t="e">
        <f t="shared" si="14"/>
        <v>#DIV/0!</v>
      </c>
      <c r="E30" s="120">
        <f t="shared" si="1"/>
        <v>0</v>
      </c>
      <c r="F30" s="94" t="e">
        <f t="shared" si="2"/>
        <v>#DIV/0!</v>
      </c>
      <c r="G30" s="265">
        <v>8202.8599999999988</v>
      </c>
      <c r="H30" s="107" t="e">
        <f t="shared" si="15"/>
        <v>#DIV/0!</v>
      </c>
      <c r="I30" s="124">
        <f t="shared" si="4"/>
        <v>0</v>
      </c>
      <c r="L30" s="50"/>
      <c r="M30" s="50"/>
    </row>
    <row r="31" spans="1:37" ht="0" hidden="1" customHeight="1" x14ac:dyDescent="0.25">
      <c r="E31" s="121"/>
      <c r="I31" s="121"/>
    </row>
    <row r="32" spans="1:37" ht="15.75" thickTop="1" x14ac:dyDescent="0.25">
      <c r="E32" s="121"/>
      <c r="I32" s="121"/>
    </row>
    <row r="33" spans="1:16" x14ac:dyDescent="0.25">
      <c r="A33" s="24" t="s">
        <v>1700</v>
      </c>
      <c r="B33" s="239">
        <f>+SUMIF('TUNZ Extracted TB'!M:M,'NS SERVICE 147'!M33,'TUNZ Extracted TB'!H:H)+(+SUMIF('TUNZ Extracted TB'!M:M,'NS SERVICE 147'!M34,'TUNZ Extracted TB'!H:H))/2</f>
        <v>0</v>
      </c>
      <c r="C33" s="12">
        <f>HLOOKUP(H1,'Input Sheet'!1:1048576,91,FALSE)</f>
        <v>0</v>
      </c>
      <c r="D33" s="149"/>
      <c r="E33" s="149"/>
      <c r="F33" s="12">
        <f>B33</f>
        <v>0</v>
      </c>
      <c r="G33" s="12">
        <v>1.5</v>
      </c>
      <c r="H33" s="149"/>
      <c r="I33" s="121"/>
      <c r="L33" s="3" t="s">
        <v>1701</v>
      </c>
      <c r="M33" s="3" t="s">
        <v>1702</v>
      </c>
      <c r="N33" s="3" t="s">
        <v>1703</v>
      </c>
      <c r="O33" s="3" t="s">
        <v>1704</v>
      </c>
      <c r="P33" s="3" t="s">
        <v>1705</v>
      </c>
    </row>
    <row r="34" spans="1:16" x14ac:dyDescent="0.25">
      <c r="I34" s="121"/>
      <c r="L34" s="3" t="s">
        <v>1706</v>
      </c>
      <c r="M34" s="3" t="s">
        <v>1707</v>
      </c>
      <c r="N34" s="3" t="s">
        <v>1708</v>
      </c>
      <c r="O34" s="3" t="s">
        <v>1709</v>
      </c>
      <c r="P34" s="3" t="s">
        <v>1710</v>
      </c>
    </row>
    <row r="35" spans="1:16" x14ac:dyDescent="0.25">
      <c r="I35" s="121"/>
    </row>
  </sheetData>
  <mergeCells count="6">
    <mergeCell ref="A1:D1"/>
    <mergeCell ref="H1:I1"/>
    <mergeCell ref="B3:E3"/>
    <mergeCell ref="F3:I3"/>
    <mergeCell ref="D4:E4"/>
    <mergeCell ref="H4:I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016DB-4056-46E6-9DCA-33FBFF4B36B6}">
  <sheetPr>
    <tabColor theme="9" tint="0.79998168889431442"/>
  </sheetPr>
  <dimension ref="A1:AK39"/>
  <sheetViews>
    <sheetView workbookViewId="0">
      <selection activeCell="C26" sqref="C26"/>
    </sheetView>
  </sheetViews>
  <sheetFormatPr defaultColWidth="9.140625" defaultRowHeight="15" outlineLevelCol="1" x14ac:dyDescent="0.25"/>
  <cols>
    <col min="1" max="1" width="35.7109375" style="16" customWidth="1"/>
    <col min="2" max="5" width="9.7109375" style="16" customWidth="1" outlineLevel="1"/>
    <col min="6" max="9" width="9.7109375" style="16" customWidth="1"/>
    <col min="10" max="11" width="9.7109375" style="16" hidden="1" customWidth="1"/>
    <col min="12" max="12" width="9.140625" style="16" customWidth="1"/>
    <col min="13" max="13" width="9.140625" style="16"/>
    <col min="14" max="15" width="11.7109375" style="3" customWidth="1" outlineLevel="1"/>
    <col min="16" max="36" width="9.140625" style="16" customWidth="1" outlineLevel="1"/>
    <col min="38" max="16384" width="9.140625" style="16"/>
  </cols>
  <sheetData>
    <row r="1" spans="1:32" ht="15" customHeight="1" x14ac:dyDescent="0.25">
      <c r="A1" s="326" t="s">
        <v>1604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32" ht="9.4" customHeight="1" thickBot="1" x14ac:dyDescent="0.3"/>
    <row r="3" spans="1:32" ht="15.75" thickTop="1" x14ac:dyDescent="0.25">
      <c r="A3" s="38" t="s">
        <v>1591</v>
      </c>
      <c r="B3" s="350" t="s">
        <v>155</v>
      </c>
      <c r="C3" s="329"/>
      <c r="D3" s="329"/>
      <c r="E3" s="329"/>
      <c r="F3" s="350" t="s">
        <v>1629</v>
      </c>
      <c r="G3" s="350"/>
      <c r="H3" s="329"/>
      <c r="I3" s="329"/>
      <c r="J3" s="329"/>
      <c r="K3" s="345"/>
    </row>
    <row r="4" spans="1:32" x14ac:dyDescent="0.25">
      <c r="A4" s="39" t="s">
        <v>1591</v>
      </c>
      <c r="B4" s="40"/>
      <c r="C4" s="40"/>
      <c r="D4" s="351"/>
      <c r="E4" s="331"/>
      <c r="F4" s="40"/>
      <c r="G4" s="40"/>
      <c r="H4" s="40"/>
      <c r="I4" s="40"/>
      <c r="J4" s="351"/>
      <c r="K4" s="347"/>
    </row>
    <row r="5" spans="1:32" x14ac:dyDescent="0.25">
      <c r="A5" s="39" t="s">
        <v>111</v>
      </c>
      <c r="B5" s="41" t="s">
        <v>12</v>
      </c>
      <c r="C5" s="41" t="s">
        <v>1592</v>
      </c>
      <c r="D5" s="42" t="s">
        <v>1609</v>
      </c>
      <c r="E5" s="42" t="s">
        <v>1610</v>
      </c>
      <c r="F5" s="262" t="str">
        <f>OVERALL!F5</f>
        <v>0124</v>
      </c>
      <c r="G5" s="262" t="str">
        <f>OVERALL!G5</f>
        <v>0224</v>
      </c>
      <c r="H5" s="262" t="str">
        <f>OVERALL!H5</f>
        <v>0324</v>
      </c>
      <c r="I5" s="262" t="str">
        <f>OVERALL!I5</f>
        <v>Q124</v>
      </c>
      <c r="J5" s="42" t="s">
        <v>1609</v>
      </c>
      <c r="K5" s="43" t="s">
        <v>1610</v>
      </c>
    </row>
    <row r="6" spans="1:32" x14ac:dyDescent="0.25">
      <c r="A6" s="24" t="s">
        <v>1095</v>
      </c>
      <c r="B6" s="51">
        <f>+R13/SUM($R$13:$R$16)</f>
        <v>0.81532197292658637</v>
      </c>
      <c r="C6" s="96">
        <f>+V13/SUM($V$13:$V$16)</f>
        <v>0.80219078514512188</v>
      </c>
      <c r="D6" s="118">
        <f>+B6-C6</f>
        <v>1.3131187781464493E-2</v>
      </c>
      <c r="E6" s="118">
        <f>IFERROR(+D6/C6,0)</f>
        <v>1.6369158091349766E-2</v>
      </c>
      <c r="F6" s="51"/>
      <c r="G6" s="51"/>
      <c r="H6" s="51"/>
      <c r="I6" s="96" t="e">
        <f>AVERAGE(F6:H6)</f>
        <v>#DIV/0!</v>
      </c>
      <c r="J6" s="118">
        <f>+F6-H6</f>
        <v>0</v>
      </c>
      <c r="K6" s="125">
        <f>IFERROR(+J6/H6,0)</f>
        <v>0</v>
      </c>
    </row>
    <row r="7" spans="1:32" x14ac:dyDescent="0.25">
      <c r="A7" s="24" t="s">
        <v>1104</v>
      </c>
      <c r="B7" s="51">
        <f>+R14/SUM($R$13:$R$16)</f>
        <v>6.2562376837850153E-2</v>
      </c>
      <c r="C7" s="96">
        <f>+V14/SUM($V$13:$V$16)</f>
        <v>0.1005577872873248</v>
      </c>
      <c r="D7" s="118">
        <f t="shared" ref="D7:D21" si="0">+B7-C7</f>
        <v>-3.7995410449474645E-2</v>
      </c>
      <c r="E7" s="118">
        <f t="shared" ref="E7:E30" si="1">IFERROR(+D7/C7,0)</f>
        <v>-0.3778465246148463</v>
      </c>
      <c r="F7" s="51"/>
      <c r="G7" s="51"/>
      <c r="H7" s="51"/>
      <c r="I7" s="96" t="e">
        <f t="shared" ref="I7:I27" si="2">AVERAGE(F7:H7)</f>
        <v>#DIV/0!</v>
      </c>
      <c r="J7" s="118">
        <f t="shared" ref="J7:J21" si="3">+F7-H7</f>
        <v>0</v>
      </c>
      <c r="K7" s="125">
        <f t="shared" ref="K7:K30" si="4">IFERROR(+J7/H7,0)</f>
        <v>0</v>
      </c>
    </row>
    <row r="8" spans="1:32" x14ac:dyDescent="0.25">
      <c r="A8" s="24" t="s">
        <v>1109</v>
      </c>
      <c r="B8" s="51">
        <f>+R15/SUM($R$13:$R$16)</f>
        <v>0.12211565023556337</v>
      </c>
      <c r="C8" s="96">
        <f>+V15/SUM($V$13:$V$16)</f>
        <v>9.7251427567553367E-2</v>
      </c>
      <c r="D8" s="118">
        <f t="shared" si="0"/>
        <v>2.486422266801E-2</v>
      </c>
      <c r="E8" s="118">
        <f t="shared" si="1"/>
        <v>0.2556694877382511</v>
      </c>
      <c r="F8" s="51"/>
      <c r="G8" s="51"/>
      <c r="H8" s="51"/>
      <c r="I8" s="96" t="e">
        <f t="shared" si="2"/>
        <v>#DIV/0!</v>
      </c>
      <c r="J8" s="118">
        <f t="shared" si="3"/>
        <v>0</v>
      </c>
      <c r="K8" s="125">
        <f t="shared" si="4"/>
        <v>0</v>
      </c>
    </row>
    <row r="9" spans="1:32" x14ac:dyDescent="0.25">
      <c r="A9" s="27" t="s">
        <v>181</v>
      </c>
      <c r="B9" s="91">
        <f>-SUM(R13:R16)</f>
        <v>113884.42000000001</v>
      </c>
      <c r="C9" s="92">
        <f>-SUM(V13:V16)</f>
        <v>139389.93693607976</v>
      </c>
      <c r="D9" s="106">
        <f t="shared" si="0"/>
        <v>-25505.516936079744</v>
      </c>
      <c r="E9" s="119">
        <f t="shared" si="1"/>
        <v>-0.18297961457415571</v>
      </c>
      <c r="F9" s="91"/>
      <c r="G9" s="91"/>
      <c r="H9" s="91"/>
      <c r="I9" s="92">
        <f>SUM(F9:H9)</f>
        <v>0</v>
      </c>
      <c r="J9" s="106">
        <f t="shared" si="3"/>
        <v>0</v>
      </c>
      <c r="K9" s="123">
        <f t="shared" si="4"/>
        <v>0</v>
      </c>
    </row>
    <row r="10" spans="1:32" x14ac:dyDescent="0.25">
      <c r="A10" s="24" t="s">
        <v>1117</v>
      </c>
      <c r="B10" s="51">
        <f>+R18/R21</f>
        <v>3.9663273198718284E-2</v>
      </c>
      <c r="C10" s="96">
        <f>+V18/V21</f>
        <v>0.24021085084555363</v>
      </c>
      <c r="D10" s="118">
        <f t="shared" si="0"/>
        <v>-0.20054757764683534</v>
      </c>
      <c r="E10" s="118">
        <f t="shared" si="1"/>
        <v>-0.83488142580111735</v>
      </c>
      <c r="F10" s="53"/>
      <c r="G10" s="53"/>
      <c r="H10" s="53"/>
      <c r="I10" s="96" t="e">
        <f t="shared" si="2"/>
        <v>#DIV/0!</v>
      </c>
      <c r="J10" s="118">
        <f t="shared" si="3"/>
        <v>0</v>
      </c>
      <c r="K10" s="122">
        <f t="shared" si="4"/>
        <v>0</v>
      </c>
      <c r="R10" s="95" t="s">
        <v>1641</v>
      </c>
      <c r="S10" s="95" t="s">
        <v>1641</v>
      </c>
      <c r="T10" s="95" t="s">
        <v>1641</v>
      </c>
      <c r="V10" s="95" t="s">
        <v>1641</v>
      </c>
      <c r="W10" s="95" t="s">
        <v>1641</v>
      </c>
      <c r="X10" s="95" t="s">
        <v>1641</v>
      </c>
      <c r="Z10" s="95" t="s">
        <v>156</v>
      </c>
      <c r="AA10" s="95" t="s">
        <v>156</v>
      </c>
      <c r="AB10" s="95" t="s">
        <v>156</v>
      </c>
      <c r="AD10" s="95" t="s">
        <v>156</v>
      </c>
      <c r="AE10" s="95" t="s">
        <v>156</v>
      </c>
      <c r="AF10" s="95" t="s">
        <v>156</v>
      </c>
    </row>
    <row r="11" spans="1:32" x14ac:dyDescent="0.25">
      <c r="A11" s="24" t="s">
        <v>1019</v>
      </c>
      <c r="B11" s="51">
        <f>+R19/R21</f>
        <v>0.26460430043453487</v>
      </c>
      <c r="C11" s="96">
        <f>+V19/V21</f>
        <v>4.4705350271764845E-2</v>
      </c>
      <c r="D11" s="118">
        <f t="shared" si="0"/>
        <v>0.21989895016277003</v>
      </c>
      <c r="E11" s="118">
        <f t="shared" si="1"/>
        <v>4.9188508495291794</v>
      </c>
      <c r="F11" s="53"/>
      <c r="G11" s="53"/>
      <c r="H11" s="53"/>
      <c r="I11" s="96" t="e">
        <f t="shared" si="2"/>
        <v>#DIV/0!</v>
      </c>
      <c r="J11" s="118">
        <f t="shared" si="3"/>
        <v>0</v>
      </c>
      <c r="K11" s="122">
        <f t="shared" si="4"/>
        <v>0</v>
      </c>
      <c r="R11" s="95" t="s">
        <v>12</v>
      </c>
      <c r="S11" s="95" t="s">
        <v>12</v>
      </c>
      <c r="T11" s="95" t="s">
        <v>12</v>
      </c>
      <c r="V11" s="95" t="s">
        <v>1592</v>
      </c>
      <c r="W11" s="95" t="s">
        <v>1592</v>
      </c>
      <c r="X11" s="95" t="s">
        <v>1592</v>
      </c>
      <c r="Z11" s="95" t="s">
        <v>12</v>
      </c>
      <c r="AA11" s="95" t="s">
        <v>12</v>
      </c>
      <c r="AB11" s="95" t="s">
        <v>12</v>
      </c>
      <c r="AD11" s="95" t="s">
        <v>1592</v>
      </c>
      <c r="AE11" s="95" t="s">
        <v>1592</v>
      </c>
      <c r="AF11" s="95" t="s">
        <v>1592</v>
      </c>
    </row>
    <row r="12" spans="1:32" x14ac:dyDescent="0.25">
      <c r="A12" s="27" t="s">
        <v>1690</v>
      </c>
      <c r="B12" s="91">
        <f>-SUM(R17:R19)</f>
        <v>163689.97</v>
      </c>
      <c r="C12" s="92">
        <f>-SUM(V17:V19)</f>
        <v>194928.11493404902</v>
      </c>
      <c r="D12" s="106">
        <f t="shared" si="0"/>
        <v>-31238.144934049022</v>
      </c>
      <c r="E12" s="119">
        <f t="shared" si="1"/>
        <v>-0.16025469155446342</v>
      </c>
      <c r="F12" s="91"/>
      <c r="G12" s="91"/>
      <c r="H12" s="91"/>
      <c r="I12" s="92">
        <f>SUM(F12:H12)</f>
        <v>0</v>
      </c>
      <c r="J12" s="106">
        <f t="shared" si="3"/>
        <v>0</v>
      </c>
      <c r="K12" s="123">
        <f t="shared" si="4"/>
        <v>0</v>
      </c>
      <c r="R12" s="95" t="s">
        <v>1642</v>
      </c>
      <c r="S12" s="95" t="s">
        <v>180</v>
      </c>
      <c r="T12" s="95" t="s">
        <v>153</v>
      </c>
      <c r="V12" s="95" t="s">
        <v>1642</v>
      </c>
      <c r="W12" s="95" t="s">
        <v>180</v>
      </c>
      <c r="X12" s="95" t="s">
        <v>153</v>
      </c>
      <c r="Z12" s="95" t="s">
        <v>1642</v>
      </c>
      <c r="AA12" s="95" t="s">
        <v>180</v>
      </c>
      <c r="AB12" s="95" t="s">
        <v>153</v>
      </c>
      <c r="AD12" s="95" t="s">
        <v>1642</v>
      </c>
      <c r="AE12" s="95" t="s">
        <v>180</v>
      </c>
      <c r="AF12" s="95" t="s">
        <v>153</v>
      </c>
    </row>
    <row r="13" spans="1:32" x14ac:dyDescent="0.25">
      <c r="A13" s="24" t="s">
        <v>1172</v>
      </c>
      <c r="B13" s="51">
        <f>+T13/R13</f>
        <v>0.78553796145649113</v>
      </c>
      <c r="C13" s="96">
        <f>+X13/V13</f>
        <v>0.73903177089101113</v>
      </c>
      <c r="D13" s="126">
        <f t="shared" si="0"/>
        <v>4.6506190565479999E-2</v>
      </c>
      <c r="E13" s="118">
        <f t="shared" si="1"/>
        <v>6.2928540283741757E-2</v>
      </c>
      <c r="F13" s="51"/>
      <c r="G13" s="51"/>
      <c r="H13" s="51"/>
      <c r="I13" s="96" t="e">
        <f t="shared" si="2"/>
        <v>#DIV/0!</v>
      </c>
      <c r="J13" s="126">
        <f t="shared" si="3"/>
        <v>0</v>
      </c>
      <c r="K13" s="122">
        <f t="shared" si="4"/>
        <v>0</v>
      </c>
      <c r="M13" s="162">
        <v>240</v>
      </c>
      <c r="N13" s="3" t="s">
        <v>1095</v>
      </c>
      <c r="O13" s="3" t="s">
        <v>1172</v>
      </c>
      <c r="R13" s="52">
        <f>+SUMIFS(Export!$L:$L,Export!$I:$I,N13,Export!$E:$E,M13)</f>
        <v>-92852.47</v>
      </c>
      <c r="S13" s="52">
        <f>+SUMIFS(Export!$L:$L,Export!$I:$I,O13,Export!$E:$E,M13)</f>
        <v>19913.330000000002</v>
      </c>
      <c r="T13" s="52">
        <f>+SUM(R13:S13)</f>
        <v>-72939.14</v>
      </c>
      <c r="V13" s="52">
        <f>+SUMIFS(Export!$N:$N,Export!$I:$I,N13,Export!$E:$E,M13)</f>
        <v>-111817.32295208285</v>
      </c>
      <c r="W13" s="52">
        <f>+SUMIFS(Export!$N:$N,Export!$I:$I,O13,Export!$E:$E,M13)</f>
        <v>29180.768754512959</v>
      </c>
      <c r="X13" s="52">
        <f>+SUM(V13:W13)</f>
        <v>-82636.554197569887</v>
      </c>
      <c r="Y13" s="168"/>
      <c r="Z13" s="52">
        <f>+SUMIF(Export!$I:$I,'NW SERVICE 240'!N13,Export!M:M)</f>
        <v>0</v>
      </c>
      <c r="AA13" s="52">
        <f>+SUMIF(Export!$I:$I,'NW SERVICE 240'!O13,Export!M:M)</f>
        <v>0</v>
      </c>
      <c r="AB13" s="52">
        <f>+SUM(Z13:AA13)</f>
        <v>0</v>
      </c>
      <c r="AD13" s="52">
        <f>+SUMIF(Export!$I:$I,'NW SERVICE 240'!N13,Export!$O:O)</f>
        <v>0</v>
      </c>
      <c r="AE13" s="52">
        <f>+SUMIF(Export!$I:$I,'NW SERVICE 240'!O13,Export!O:O)</f>
        <v>0</v>
      </c>
      <c r="AF13" s="52">
        <f>+SUM(AD13:AE13)</f>
        <v>0</v>
      </c>
    </row>
    <row r="14" spans="1:32" x14ac:dyDescent="0.25">
      <c r="A14" s="24" t="s">
        <v>1179</v>
      </c>
      <c r="B14" s="51">
        <f>+T14/R14</f>
        <v>0.76531674919437243</v>
      </c>
      <c r="C14" s="96">
        <f>+X14/V14</f>
        <v>0.6563144633127258</v>
      </c>
      <c r="D14" s="126">
        <f t="shared" si="0"/>
        <v>0.10900228588164662</v>
      </c>
      <c r="E14" s="118">
        <f t="shared" si="1"/>
        <v>0.16608240710018968</v>
      </c>
      <c r="F14" s="51"/>
      <c r="G14" s="51"/>
      <c r="H14" s="51"/>
      <c r="I14" s="96" t="e">
        <f t="shared" si="2"/>
        <v>#DIV/0!</v>
      </c>
      <c r="J14" s="126">
        <f t="shared" si="3"/>
        <v>0</v>
      </c>
      <c r="K14" s="122">
        <f t="shared" si="4"/>
        <v>0</v>
      </c>
      <c r="M14" s="162">
        <v>240</v>
      </c>
      <c r="N14" s="3" t="s">
        <v>1104</v>
      </c>
      <c r="O14" s="3" t="s">
        <v>1179</v>
      </c>
      <c r="R14" s="52">
        <f>+SUMIFS(Export!$L:$L,Export!$I:$I,N14,Export!$E:$E,M14)</f>
        <v>-7124.88</v>
      </c>
      <c r="S14" s="52">
        <f>+SUMIFS(Export!$L:$L,Export!$I:$I,O14,Export!$E:$E,M14)</f>
        <v>1672.09</v>
      </c>
      <c r="T14" s="52">
        <f>+SUM(R14:S14)</f>
        <v>-5452.79</v>
      </c>
      <c r="V14" s="52">
        <f>+SUMIFS(Export!$N:$N,Export!$I:$I,N14,Export!$E:$E,M14)</f>
        <v>-14016.743628411927</v>
      </c>
      <c r="W14" s="52">
        <f>+SUMIFS(Export!$N:$N,Export!$I:$I,O14,Export!$E:$E,M14)</f>
        <v>4817.3520565386834</v>
      </c>
      <c r="X14" s="52">
        <f t="shared" ref="X14:X16" si="5">+SUM(V14:W14)</f>
        <v>-9199.3915718732424</v>
      </c>
      <c r="Z14" s="52">
        <f>+SUMIF(Export!$I:$I,'NW SERVICE 240'!N14,Export!M:M)</f>
        <v>0</v>
      </c>
      <c r="AA14" s="52">
        <f>+SUMIF(Export!$I:$I,'NW SERVICE 240'!O14,Export!M:M)</f>
        <v>0</v>
      </c>
      <c r="AB14" s="52">
        <f t="shared" ref="AB14:AB16" si="6">+SUM(Z14:AA14)</f>
        <v>0</v>
      </c>
      <c r="AD14" s="52">
        <f>+SUMIF(Export!$I:$I,'NW SERVICE 240'!N14,Export!$O:O)</f>
        <v>0</v>
      </c>
      <c r="AE14" s="52">
        <f>+SUMIF(Export!$I:$I,'NW SERVICE 240'!O14,Export!O:O)</f>
        <v>0</v>
      </c>
      <c r="AF14" s="52">
        <f t="shared" ref="AF14:AF16" si="7">+SUM(AD14:AE14)</f>
        <v>0</v>
      </c>
    </row>
    <row r="15" spans="1:32" x14ac:dyDescent="0.25">
      <c r="A15" s="24" t="s">
        <v>1184</v>
      </c>
      <c r="B15" s="51">
        <f>+T15/R15</f>
        <v>0.6446454932634984</v>
      </c>
      <c r="C15" s="96">
        <f>+X15/V15</f>
        <v>0.50204568872889721</v>
      </c>
      <c r="D15" s="126">
        <f t="shared" si="0"/>
        <v>0.14259980453460119</v>
      </c>
      <c r="E15" s="118">
        <f t="shared" si="1"/>
        <v>0.28403750442642395</v>
      </c>
      <c r="F15" s="51"/>
      <c r="G15" s="51"/>
      <c r="H15" s="51"/>
      <c r="I15" s="96" t="e">
        <f t="shared" si="2"/>
        <v>#DIV/0!</v>
      </c>
      <c r="J15" s="126">
        <f t="shared" si="3"/>
        <v>0</v>
      </c>
      <c r="K15" s="122">
        <f t="shared" si="4"/>
        <v>0</v>
      </c>
      <c r="M15" s="162">
        <v>240</v>
      </c>
      <c r="N15" s="3" t="s">
        <v>1109</v>
      </c>
      <c r="O15" s="3" t="s">
        <v>1184</v>
      </c>
      <c r="R15" s="52">
        <f>+SUMIFS(Export!$L:$L,Export!$I:$I,N15,Export!$E:$E,M15)</f>
        <v>-13907.07</v>
      </c>
      <c r="S15" s="52">
        <f>+SUMIFS(Export!$L:$L,Export!$I:$I,O15,Export!$E:$E,M15)</f>
        <v>4941.9399999999996</v>
      </c>
      <c r="T15" s="52">
        <f>+SUM(R15:S15)</f>
        <v>-8965.130000000001</v>
      </c>
      <c r="V15" s="52">
        <f>+SUMIFS(Export!$N:$N,Export!$I:$I,N15,Export!$E:$E,M15)</f>
        <v>-13555.870355584992</v>
      </c>
      <c r="W15" s="52">
        <f>+SUMIFS(Export!$N:$N,Export!$I:$I,O15,Export!$E:$E,M15)</f>
        <v>6750.2040865956842</v>
      </c>
      <c r="X15" s="52">
        <f t="shared" si="5"/>
        <v>-6805.6662689893074</v>
      </c>
      <c r="Y15" s="169">
        <f>+SUM(X13:X15)-SUM(T13:T15)</f>
        <v>-11284.552038432448</v>
      </c>
      <c r="Z15" s="52">
        <f>+SUMIF(Export!$I:$I,'NW SERVICE 240'!N15,Export!M:M)</f>
        <v>0</v>
      </c>
      <c r="AA15" s="52">
        <f>+SUMIF(Export!$I:$I,'NW SERVICE 240'!O15,Export!M:M)</f>
        <v>0</v>
      </c>
      <c r="AB15" s="52">
        <f t="shared" si="6"/>
        <v>0</v>
      </c>
      <c r="AD15" s="52">
        <f>+SUMIF(Export!$I:$I,'NW SERVICE 240'!N15,Export!$O:O)</f>
        <v>0</v>
      </c>
      <c r="AE15" s="52">
        <f>+SUMIF(Export!$I:$I,'NW SERVICE 240'!O15,Export!O:O)</f>
        <v>0</v>
      </c>
      <c r="AF15" s="52">
        <f t="shared" si="7"/>
        <v>0</v>
      </c>
    </row>
    <row r="16" spans="1:32" x14ac:dyDescent="0.25">
      <c r="A16" s="24" t="s">
        <v>1114</v>
      </c>
      <c r="B16" s="51">
        <f>+T16/SUM(S13:S16)</f>
        <v>0.14944159917045469</v>
      </c>
      <c r="C16" s="96">
        <f>+W16/SUM(W13:W16)</f>
        <v>0</v>
      </c>
      <c r="D16" s="126">
        <f t="shared" si="0"/>
        <v>0.14944159917045469</v>
      </c>
      <c r="E16" s="118">
        <f t="shared" si="1"/>
        <v>0</v>
      </c>
      <c r="F16" s="51"/>
      <c r="G16" s="51"/>
      <c r="H16" s="51"/>
      <c r="I16" s="96" t="e">
        <f t="shared" si="2"/>
        <v>#DIV/0!</v>
      </c>
      <c r="J16" s="126">
        <f t="shared" si="3"/>
        <v>0</v>
      </c>
      <c r="K16" s="122">
        <f t="shared" si="4"/>
        <v>0</v>
      </c>
      <c r="M16" s="162">
        <v>240</v>
      </c>
      <c r="O16" s="3" t="s">
        <v>1114</v>
      </c>
      <c r="R16" s="52">
        <f>+SUMIFS(Export!$L:$L,Export!$I:$I,N16,Export!$E:$E,M16)</f>
        <v>0</v>
      </c>
      <c r="S16" s="52">
        <f>+SUMIFS(Export!$L:$L,Export!$I:$I,O16,Export!$E:$E,M16)</f>
        <v>4660.8100000000004</v>
      </c>
      <c r="T16" s="52">
        <f>+SUM(R16:S16)</f>
        <v>4660.8100000000004</v>
      </c>
      <c r="V16" s="52">
        <f>+SUMIFS(Export!$N:$N,Export!$I:$I,N16,Export!$E:$E,M16)</f>
        <v>0</v>
      </c>
      <c r="W16" s="52">
        <f>+SUMIFS(Export!$N:$N,Export!$I:$I,O16,Export!$E:$E,M16)</f>
        <v>0</v>
      </c>
      <c r="X16" s="52">
        <f t="shared" si="5"/>
        <v>0</v>
      </c>
      <c r="Z16" s="52">
        <f>+SUMIF(Export!$I:$I,'NW SERVICE 240'!N16,Export!M:M)</f>
        <v>0</v>
      </c>
      <c r="AA16" s="52">
        <f>+SUMIF(Export!$I:$I,'NW SERVICE 240'!O16,Export!M:M)</f>
        <v>0</v>
      </c>
      <c r="AB16" s="52">
        <f t="shared" si="6"/>
        <v>0</v>
      </c>
      <c r="AD16" s="52">
        <f>+SUMIF(Export!$I:$I,'NW SERVICE 240'!N16,Export!$O:O)</f>
        <v>0</v>
      </c>
      <c r="AE16" s="52">
        <f>+SUMIF(Export!$I:$I,'NW SERVICE 240'!O16,Export!O:O)</f>
        <v>0</v>
      </c>
      <c r="AF16" s="52">
        <f t="shared" si="7"/>
        <v>0</v>
      </c>
    </row>
    <row r="17" spans="1:32" x14ac:dyDescent="0.25">
      <c r="A17" s="24" t="s">
        <v>1691</v>
      </c>
      <c r="B17" s="51">
        <f>+T17/SUM(R13:R16)</f>
        <v>0.72614190773417464</v>
      </c>
      <c r="C17" s="96">
        <f>+X17/SUM(V13:V16)</f>
        <v>0.70766666666666667</v>
      </c>
      <c r="D17" s="126">
        <f t="shared" si="0"/>
        <v>1.8475241067507975E-2</v>
      </c>
      <c r="E17" s="118">
        <f t="shared" si="1"/>
        <v>2.6107264815131381E-2</v>
      </c>
      <c r="F17" s="51"/>
      <c r="G17" s="51"/>
      <c r="H17" s="51"/>
      <c r="I17" s="96" t="e">
        <f t="shared" si="2"/>
        <v>#DIV/0!</v>
      </c>
      <c r="J17" s="126">
        <f t="shared" si="3"/>
        <v>0</v>
      </c>
      <c r="K17" s="122">
        <f t="shared" si="4"/>
        <v>0</v>
      </c>
      <c r="M17" s="162"/>
      <c r="R17" s="52">
        <f>SUM(R13:R16)</f>
        <v>-113884.42000000001</v>
      </c>
      <c r="T17" s="52">
        <f>SUM(T13:T16)</f>
        <v>-82696.25</v>
      </c>
      <c r="V17" s="52">
        <f>SUM(V13:V16)</f>
        <v>-139389.93693607976</v>
      </c>
      <c r="X17" s="52">
        <f>SUM(X13:X16)</f>
        <v>-98641.612038432446</v>
      </c>
      <c r="Z17" s="52">
        <f>SUM(Z13:Z16)</f>
        <v>0</v>
      </c>
      <c r="AB17" s="52">
        <f>SUM(AB13:AB16)</f>
        <v>0</v>
      </c>
      <c r="AD17" s="52">
        <f>SUM(AD13:AD16)</f>
        <v>0</v>
      </c>
      <c r="AF17" s="52">
        <f>SUM(AF13:AF16)</f>
        <v>0</v>
      </c>
    </row>
    <row r="18" spans="1:32" x14ac:dyDescent="0.25">
      <c r="A18" s="24" t="s">
        <v>1191</v>
      </c>
      <c r="B18" s="51">
        <f>+T18/R18</f>
        <v>0.2169864212134654</v>
      </c>
      <c r="C18" s="96">
        <f>+X18/V18</f>
        <v>0.277202359862324</v>
      </c>
      <c r="D18" s="126">
        <f t="shared" si="0"/>
        <v>-6.0215938648858602E-2</v>
      </c>
      <c r="E18" s="118">
        <f t="shared" si="1"/>
        <v>-0.21722736660238245</v>
      </c>
      <c r="F18" s="51"/>
      <c r="G18" s="51"/>
      <c r="H18" s="51"/>
      <c r="I18" s="96" t="e">
        <f t="shared" si="2"/>
        <v>#DIV/0!</v>
      </c>
      <c r="J18" s="126">
        <f t="shared" si="3"/>
        <v>0</v>
      </c>
      <c r="K18" s="122">
        <f t="shared" si="4"/>
        <v>0</v>
      </c>
      <c r="M18" s="162">
        <v>240</v>
      </c>
      <c r="N18" s="3" t="s">
        <v>1117</v>
      </c>
      <c r="O18" s="3" t="s">
        <v>1191</v>
      </c>
      <c r="R18" s="52">
        <f>+SUMIFS(Export!$L:$L,Export!$I:$I,N18,Export!$E:$E,M18)</f>
        <v>-6492.48</v>
      </c>
      <c r="S18" s="52">
        <f>+SUMIFS(Export!$L:$L,Export!$I:$I,O18,Export!$E:$E,M18)</f>
        <v>5083.7</v>
      </c>
      <c r="T18" s="52">
        <f t="shared" ref="T18:T19" si="8">+SUM(R18:S18)</f>
        <v>-1408.7799999999997</v>
      </c>
      <c r="V18" s="52">
        <f>+SUMIFS(Export!$N:$N,Export!$I:$I,N18,Export!$E:$E,M18)</f>
        <v>-46823.848342027784</v>
      </c>
      <c r="W18" s="52">
        <f>+SUMIFS(Export!$N:$N,Export!$I:$I,O18,Export!$E:$E,M18)</f>
        <v>33844.167083782115</v>
      </c>
      <c r="X18" s="52">
        <f t="shared" ref="X18:X19" si="9">+SUM(V18:W18)</f>
        <v>-12979.68125824567</v>
      </c>
      <c r="Z18" s="52">
        <f>+SUMIF(Export!$I:$I,'NW SERVICE 240'!N18,Export!M:M)</f>
        <v>0</v>
      </c>
      <c r="AA18" s="52">
        <f>+SUMIF(Export!$I:$I,'NW SERVICE 240'!O18,Export!M:M)</f>
        <v>0</v>
      </c>
      <c r="AB18" s="52">
        <f t="shared" ref="AB18:AB19" si="10">+SUM(Z18:AA18)</f>
        <v>0</v>
      </c>
      <c r="AD18" s="52">
        <f>+SUMIF(Export!$I:$I,'NW SERVICE 240'!N18,Export!$O:O)</f>
        <v>0</v>
      </c>
      <c r="AE18" s="52">
        <f>+SUMIF(Export!$I:$I,'NW SERVICE 240'!O18,Export!O:O)</f>
        <v>0</v>
      </c>
      <c r="AF18" s="52">
        <f t="shared" ref="AF18:AF19" si="11">+SUM(AD18:AE18)</f>
        <v>0</v>
      </c>
    </row>
    <row r="19" spans="1:32" x14ac:dyDescent="0.25">
      <c r="A19" s="24" t="s">
        <v>1196</v>
      </c>
      <c r="B19" s="51">
        <f>+T19/R19</f>
        <v>0.73747485458777229</v>
      </c>
      <c r="C19" s="96">
        <f>IFERROR(+X19/V19,0)</f>
        <v>1</v>
      </c>
      <c r="D19" s="126">
        <f t="shared" si="0"/>
        <v>-0.26252514541222771</v>
      </c>
      <c r="E19" s="118">
        <f t="shared" si="1"/>
        <v>-0.26252514541222771</v>
      </c>
      <c r="F19" s="51"/>
      <c r="G19" s="51"/>
      <c r="H19" s="51"/>
      <c r="I19" s="96" t="e">
        <f t="shared" si="2"/>
        <v>#DIV/0!</v>
      </c>
      <c r="J19" s="126">
        <f t="shared" si="3"/>
        <v>0</v>
      </c>
      <c r="K19" s="122">
        <f t="shared" si="4"/>
        <v>0</v>
      </c>
      <c r="M19" s="162">
        <v>240</v>
      </c>
      <c r="N19" s="3" t="s">
        <v>1019</v>
      </c>
      <c r="O19" s="3" t="s">
        <v>1196</v>
      </c>
      <c r="R19" s="52">
        <f>+SUMIFS(Export!$L:$L,Export!$I:$I,N19,Export!$E:$E,M19)</f>
        <v>-43313.07</v>
      </c>
      <c r="S19" s="52">
        <f>+SUMIFS(Export!$L:$L,Export!$I:$I,O19,Export!$E:$E,M19)</f>
        <v>11370.769999999999</v>
      </c>
      <c r="T19" s="52">
        <f t="shared" si="8"/>
        <v>-31942.300000000003</v>
      </c>
      <c r="V19" s="52">
        <f>+SUMIFS(Export!$N:$N,Export!$I:$I,N19,Export!$E:$E,M19)</f>
        <v>-8714.3296559414975</v>
      </c>
      <c r="W19" s="52">
        <f>+SUMIFS(Export!$N:$N,Export!$I:$I,O19,Export!$E:$E,M19)</f>
        <v>0</v>
      </c>
      <c r="X19" s="52">
        <f t="shared" si="9"/>
        <v>-8714.3296559414975</v>
      </c>
      <c r="Z19" s="52">
        <f>+SUMIF(Export!$I:$I,'NW SERVICE 240'!N19,Export!M:M)</f>
        <v>0</v>
      </c>
      <c r="AA19" s="52">
        <f>+SUMIF(Export!$I:$I,'NW SERVICE 240'!O19,Export!M:M)</f>
        <v>0</v>
      </c>
      <c r="AB19" s="52">
        <f t="shared" si="10"/>
        <v>0</v>
      </c>
      <c r="AD19" s="52">
        <f>+SUMIF(Export!$I:$I,'NW SERVICE 240'!N19,Export!$O:O)</f>
        <v>0</v>
      </c>
      <c r="AE19" s="52">
        <f>+SUMIF(Export!$I:$I,'NW SERVICE 240'!O19,Export!O:O)</f>
        <v>0</v>
      </c>
      <c r="AF19" s="52">
        <f t="shared" si="11"/>
        <v>0</v>
      </c>
    </row>
    <row r="20" spans="1:32" x14ac:dyDescent="0.25">
      <c r="A20" s="24" t="s">
        <v>1692</v>
      </c>
      <c r="B20" s="51">
        <f>+T21/R21</f>
        <v>0.70894588104573542</v>
      </c>
      <c r="C20" s="96">
        <f>+X21/V21</f>
        <v>0.6173333333333334</v>
      </c>
      <c r="D20" s="126">
        <f t="shared" si="0"/>
        <v>9.1612547712402015E-2</v>
      </c>
      <c r="E20" s="118">
        <f t="shared" si="1"/>
        <v>0.14840045525767062</v>
      </c>
      <c r="F20" s="51"/>
      <c r="G20" s="51"/>
      <c r="H20" s="51"/>
      <c r="I20" s="96" t="e">
        <f t="shared" si="2"/>
        <v>#DIV/0!</v>
      </c>
      <c r="J20" s="126">
        <f t="shared" si="3"/>
        <v>0</v>
      </c>
      <c r="K20" s="122">
        <f t="shared" si="4"/>
        <v>0</v>
      </c>
      <c r="M20" s="162"/>
    </row>
    <row r="21" spans="1:32" x14ac:dyDescent="0.25">
      <c r="A21" s="27" t="s">
        <v>1693</v>
      </c>
      <c r="B21" s="91">
        <f>-T21</f>
        <v>116047.33</v>
      </c>
      <c r="C21" s="92">
        <f>-X21</f>
        <v>120335.62295261961</v>
      </c>
      <c r="D21" s="106">
        <f t="shared" si="0"/>
        <v>-4288.2929526196094</v>
      </c>
      <c r="E21" s="119">
        <f t="shared" si="1"/>
        <v>-3.5636105480652741E-2</v>
      </c>
      <c r="F21" s="91"/>
      <c r="G21" s="91"/>
      <c r="H21" s="91"/>
      <c r="I21" s="92">
        <f>SUM(F21:H21)</f>
        <v>0</v>
      </c>
      <c r="J21" s="106">
        <f t="shared" si="3"/>
        <v>0</v>
      </c>
      <c r="K21" s="123">
        <f t="shared" si="4"/>
        <v>0</v>
      </c>
      <c r="M21" s="162"/>
      <c r="R21" s="52">
        <f>+SUM(R17:R19)</f>
        <v>-163689.97</v>
      </c>
      <c r="T21" s="52">
        <f>+SUM(T17:T19)</f>
        <v>-116047.33</v>
      </c>
      <c r="V21" s="52">
        <f>+SUM(V17:V19)</f>
        <v>-194928.11493404902</v>
      </c>
      <c r="X21" s="52">
        <f>+SUM(X17:X19)</f>
        <v>-120335.62295261961</v>
      </c>
      <c r="Z21" s="52">
        <f>+SUM(Z17:Z19)</f>
        <v>0</v>
      </c>
      <c r="AB21" s="52">
        <f>+SUM(AB17:AB19)</f>
        <v>0</v>
      </c>
      <c r="AD21" s="52">
        <f>+SUM(AD17:AD19)</f>
        <v>0</v>
      </c>
      <c r="AF21" s="52">
        <f>+SUM(AF17:AF19)</f>
        <v>0</v>
      </c>
    </row>
    <row r="22" spans="1:32" ht="15.6" customHeight="1" x14ac:dyDescent="0.25">
      <c r="A22" s="24" t="s">
        <v>1252</v>
      </c>
      <c r="B22" s="51">
        <f>-T22/R21</f>
        <v>0.31378159578134202</v>
      </c>
      <c r="C22" s="96">
        <f>-X22/V21</f>
        <v>0.10909666902843282</v>
      </c>
      <c r="D22" s="118">
        <f>+C22-B22</f>
        <v>-0.2046849267529092</v>
      </c>
      <c r="E22" s="118">
        <f t="shared" si="1"/>
        <v>-1.8761794340353704</v>
      </c>
      <c r="F22" s="51"/>
      <c r="G22" s="51"/>
      <c r="H22" s="51"/>
      <c r="I22" s="96" t="e">
        <f t="shared" si="2"/>
        <v>#DIV/0!</v>
      </c>
      <c r="J22" s="118">
        <f>+H22-F22</f>
        <v>0</v>
      </c>
      <c r="K22" s="122">
        <f t="shared" si="4"/>
        <v>0</v>
      </c>
      <c r="M22" s="162">
        <v>240</v>
      </c>
      <c r="N22" s="3" t="s">
        <v>1252</v>
      </c>
      <c r="T22" s="52">
        <f>+SUMIFS(Export!$L:$L,Export!$I:$I,N22,Export!$E:$E,M22)</f>
        <v>51362.9</v>
      </c>
      <c r="X22" s="52">
        <f>+SUMIFS(Export!$N:$N,Export!$I:$I,N22,Export!$E:$E,M22)</f>
        <v>21266.008039296259</v>
      </c>
      <c r="AB22" s="52">
        <f>+SUMIF(Export!$I:$I,'NW SERVICE 240'!N22,Export!M:M)</f>
        <v>0</v>
      </c>
      <c r="AF22" s="52">
        <f>+SUMIF(Export!$I:$I,'NW SERVICE 240'!N22,Export!O:O)</f>
        <v>0</v>
      </c>
    </row>
    <row r="23" spans="1:32" x14ac:dyDescent="0.25">
      <c r="A23" s="24" t="s">
        <v>1286</v>
      </c>
      <c r="B23" s="51">
        <f>-T23/R21</f>
        <v>4.5408280055277667E-2</v>
      </c>
      <c r="C23" s="96">
        <f>-X23/V21</f>
        <v>0.23197215564636245</v>
      </c>
      <c r="D23" s="118">
        <f t="shared" ref="D23:D24" si="12">+C23-B23</f>
        <v>0.18656387559108478</v>
      </c>
      <c r="E23" s="118">
        <f t="shared" si="1"/>
        <v>0.80425116140015607</v>
      </c>
      <c r="F23" s="51"/>
      <c r="G23" s="51"/>
      <c r="H23" s="51"/>
      <c r="I23" s="96" t="e">
        <f t="shared" si="2"/>
        <v>#DIV/0!</v>
      </c>
      <c r="J23" s="118">
        <f t="shared" ref="J23:J24" si="13">+H23-F23</f>
        <v>0</v>
      </c>
      <c r="K23" s="122">
        <f t="shared" si="4"/>
        <v>0</v>
      </c>
      <c r="M23" s="162">
        <v>240</v>
      </c>
      <c r="N23" s="3" t="s">
        <v>1286</v>
      </c>
      <c r="T23" s="52">
        <f>+SUMIFS(Export!$L:$L,Export!$I:$I,N23,Export!$E:$E,M23)</f>
        <v>7432.88</v>
      </c>
      <c r="X23" s="52">
        <f>+SUMIFS(Export!$N:$N,Export!$I:$I,N23,Export!$E:$E,M23)</f>
        <v>45217.895017333249</v>
      </c>
      <c r="AB23" s="52">
        <f>+SUMIF(Export!J:J,'NW SERVICE 240'!N23,Export!M:M)</f>
        <v>0</v>
      </c>
      <c r="AF23" s="52">
        <f>+SUMIF(Export!$J:$J,'NW SERVICE 240'!N23,Export!O:O)</f>
        <v>0</v>
      </c>
    </row>
    <row r="24" spans="1:32" x14ac:dyDescent="0.25">
      <c r="A24" s="24" t="s">
        <v>1674</v>
      </c>
      <c r="B24" s="53">
        <f>+SUM(B22:B23)</f>
        <v>0.35918987583661965</v>
      </c>
      <c r="C24" s="96">
        <f>+SUM(C22:C23)</f>
        <v>0.34106882467479527</v>
      </c>
      <c r="D24" s="118">
        <f t="shared" si="12"/>
        <v>-1.8121051161824386E-2</v>
      </c>
      <c r="E24" s="118">
        <f t="shared" si="1"/>
        <v>-5.3130189131482701E-2</v>
      </c>
      <c r="F24" s="51"/>
      <c r="G24" s="51"/>
      <c r="H24" s="51"/>
      <c r="I24" s="96" t="e">
        <f t="shared" si="2"/>
        <v>#DIV/0!</v>
      </c>
      <c r="J24" s="118">
        <f t="shared" si="13"/>
        <v>0</v>
      </c>
      <c r="K24" s="122">
        <f t="shared" si="4"/>
        <v>0</v>
      </c>
    </row>
    <row r="25" spans="1:32" x14ac:dyDescent="0.25">
      <c r="A25" s="24" t="s">
        <v>1675</v>
      </c>
      <c r="B25" s="53">
        <f>+B20-B24</f>
        <v>0.34975600520911576</v>
      </c>
      <c r="C25" s="96">
        <f>+C20-C24</f>
        <v>0.27626450865853813</v>
      </c>
      <c r="D25" s="118">
        <f t="shared" ref="D25:D30" si="14">+B25-C25</f>
        <v>7.3491496550577629E-2</v>
      </c>
      <c r="E25" s="118">
        <f t="shared" si="1"/>
        <v>0.26601859539407152</v>
      </c>
      <c r="F25" s="51"/>
      <c r="G25" s="51"/>
      <c r="H25" s="51"/>
      <c r="I25" s="96" t="e">
        <f t="shared" si="2"/>
        <v>#DIV/0!</v>
      </c>
      <c r="J25" s="118">
        <f t="shared" ref="J25:J30" si="15">+F25-H25</f>
        <v>0</v>
      </c>
      <c r="K25" s="122">
        <f t="shared" si="4"/>
        <v>0</v>
      </c>
    </row>
    <row r="26" spans="1:32" s="28" customFormat="1" x14ac:dyDescent="0.25">
      <c r="A26" s="27" t="s">
        <v>1695</v>
      </c>
      <c r="B26" s="91">
        <f>-T26</f>
        <v>57251.55</v>
      </c>
      <c r="C26" s="92">
        <f>-X26</f>
        <v>53851.719895990107</v>
      </c>
      <c r="D26" s="106">
        <f t="shared" si="14"/>
        <v>3399.8301040098959</v>
      </c>
      <c r="E26" s="119">
        <f t="shared" si="1"/>
        <v>6.3133175886979476E-2</v>
      </c>
      <c r="F26" s="91"/>
      <c r="G26" s="91"/>
      <c r="H26" s="91"/>
      <c r="I26" s="92">
        <f>SUM(F26:H26)</f>
        <v>0</v>
      </c>
      <c r="J26" s="106">
        <f t="shared" si="15"/>
        <v>0</v>
      </c>
      <c r="K26" s="123">
        <f t="shared" si="4"/>
        <v>0</v>
      </c>
      <c r="N26" s="50"/>
      <c r="O26" s="50"/>
      <c r="T26" s="69">
        <f>+SUM(T21:T25)</f>
        <v>-57251.55</v>
      </c>
      <c r="X26" s="69">
        <f>+SUM(X21:X25)</f>
        <v>-53851.719895990107</v>
      </c>
      <c r="AB26" s="69">
        <f>+SUM(AB21:AB25)</f>
        <v>0</v>
      </c>
      <c r="AF26" s="69">
        <f>+SUM(AF21:AF25)</f>
        <v>0</v>
      </c>
    </row>
    <row r="27" spans="1:32" x14ac:dyDescent="0.25">
      <c r="A27" s="24" t="s">
        <v>1696</v>
      </c>
      <c r="B27" s="155">
        <f>+'NW PARTS 230'!R18/'NW SERVICE 240'!R13</f>
        <v>0.39657749546134846</v>
      </c>
      <c r="C27" s="156">
        <f>+'NW PARTS 230'!V18/'NW SERVICE 240'!V13</f>
        <v>0.37172905599139072</v>
      </c>
      <c r="D27" s="157">
        <f t="shared" si="14"/>
        <v>2.4848439469957739E-2</v>
      </c>
      <c r="E27" s="118">
        <f t="shared" si="1"/>
        <v>6.6845566870439188E-2</v>
      </c>
      <c r="F27" s="158"/>
      <c r="G27" s="158"/>
      <c r="H27" s="158"/>
      <c r="I27" s="156" t="e">
        <f t="shared" si="2"/>
        <v>#DIV/0!</v>
      </c>
      <c r="J27" s="157">
        <f t="shared" si="15"/>
        <v>0</v>
      </c>
      <c r="K27" s="122">
        <f t="shared" si="4"/>
        <v>0</v>
      </c>
      <c r="P27" s="3"/>
      <c r="Q27" s="3"/>
      <c r="R27" s="3"/>
      <c r="S27" s="3"/>
      <c r="T27" s="3"/>
    </row>
    <row r="28" spans="1:32" s="28" customFormat="1" x14ac:dyDescent="0.25">
      <c r="A28" s="27" t="s">
        <v>1697</v>
      </c>
      <c r="B28" s="91">
        <f>-SUM(R13:R16)/B33</f>
        <v>16871.765925925927</v>
      </c>
      <c r="C28" s="92">
        <f>-SUM(V13:V16)/C33</f>
        <v>20650.361027567371</v>
      </c>
      <c r="D28" s="106">
        <f t="shared" si="14"/>
        <v>-3778.5951016414438</v>
      </c>
      <c r="E28" s="119">
        <f t="shared" si="1"/>
        <v>-0.18297961457415571</v>
      </c>
      <c r="F28" s="91"/>
      <c r="G28" s="91"/>
      <c r="H28" s="91"/>
      <c r="I28" s="92" t="e">
        <f>AVERAGE(F28:H28)</f>
        <v>#DIV/0!</v>
      </c>
      <c r="J28" s="106">
        <f t="shared" si="15"/>
        <v>0</v>
      </c>
      <c r="K28" s="123">
        <f t="shared" si="4"/>
        <v>0</v>
      </c>
      <c r="N28" s="50"/>
      <c r="O28" s="50"/>
    </row>
    <row r="29" spans="1:32" s="28" customFormat="1" x14ac:dyDescent="0.25">
      <c r="A29" s="27" t="s">
        <v>1698</v>
      </c>
      <c r="B29" s="91">
        <f>-SUM(T17/B33)</f>
        <v>12251.296296296296</v>
      </c>
      <c r="C29" s="92">
        <f>-SUM(X17/C33)</f>
        <v>14613.572153841844</v>
      </c>
      <c r="D29" s="106">
        <f t="shared" si="14"/>
        <v>-2362.2758575455482</v>
      </c>
      <c r="E29" s="119">
        <f t="shared" si="1"/>
        <v>-0.1616494470124826</v>
      </c>
      <c r="F29" s="91"/>
      <c r="G29" s="91"/>
      <c r="H29" s="91"/>
      <c r="I29" s="92" t="e">
        <f>AVERAGE(F29:H29)</f>
        <v>#DIV/0!</v>
      </c>
      <c r="J29" s="106">
        <f t="shared" si="15"/>
        <v>0</v>
      </c>
      <c r="K29" s="123">
        <f t="shared" si="4"/>
        <v>0</v>
      </c>
      <c r="N29" s="50"/>
      <c r="O29" s="50"/>
    </row>
    <row r="30" spans="1:32" s="28" customFormat="1" ht="15.75" thickBot="1" x14ac:dyDescent="0.3">
      <c r="A30" s="29" t="s">
        <v>1699</v>
      </c>
      <c r="B30" s="94">
        <f>+B26/B33</f>
        <v>8481.7111111111117</v>
      </c>
      <c r="C30" s="93">
        <f>+C26/C33</f>
        <v>7978.0325771837197</v>
      </c>
      <c r="D30" s="107">
        <f t="shared" si="14"/>
        <v>503.67853392739198</v>
      </c>
      <c r="E30" s="120">
        <f t="shared" si="1"/>
        <v>6.3133175886979476E-2</v>
      </c>
      <c r="F30" s="94"/>
      <c r="G30" s="94"/>
      <c r="H30" s="94"/>
      <c r="I30" s="93" t="e">
        <f>AVERAGE(F30:H30)</f>
        <v>#DIV/0!</v>
      </c>
      <c r="J30" s="107">
        <f t="shared" si="15"/>
        <v>0</v>
      </c>
      <c r="K30" s="124">
        <f t="shared" si="4"/>
        <v>0</v>
      </c>
      <c r="N30" s="50"/>
      <c r="O30" s="50"/>
    </row>
    <row r="31" spans="1:32" ht="0" hidden="1" customHeight="1" x14ac:dyDescent="0.25">
      <c r="E31" s="121"/>
      <c r="K31" s="121"/>
    </row>
    <row r="32" spans="1:32" ht="15.75" thickTop="1" x14ac:dyDescent="0.25">
      <c r="E32" s="121"/>
      <c r="K32" s="121"/>
    </row>
    <row r="33" spans="1:18" x14ac:dyDescent="0.25">
      <c r="A33" s="24" t="s">
        <v>1700</v>
      </c>
      <c r="B33" s="12">
        <f>+SUMIF('TUNZ Extracted TB'!M:M,'NW SERVICE 240'!P33,'TUNZ Extracted TB'!H:H)+(+SUMIF('TUNZ Extracted TB'!M:M,'NW SERVICE 240'!P34,'TUNZ Extracted TB'!H:H))/2</f>
        <v>6.75</v>
      </c>
      <c r="C33" s="12">
        <f>HLOOKUP(J1,'Input Sheet'!1:1048576,92,FALSE)</f>
        <v>6.75</v>
      </c>
      <c r="D33" s="149"/>
      <c r="E33" s="149"/>
      <c r="F33" s="12"/>
      <c r="G33" s="12"/>
      <c r="H33" s="12"/>
      <c r="I33" s="12" t="e">
        <f>AVERAGE(F33:H33)</f>
        <v>#DIV/0!</v>
      </c>
      <c r="J33" s="149"/>
      <c r="K33" s="121"/>
      <c r="N33" s="3" t="s">
        <v>1701</v>
      </c>
      <c r="O33" s="3" t="s">
        <v>1702</v>
      </c>
      <c r="P33" s="3" t="s">
        <v>1703</v>
      </c>
      <c r="Q33" s="3" t="s">
        <v>1704</v>
      </c>
      <c r="R33" s="3" t="s">
        <v>1705</v>
      </c>
    </row>
    <row r="34" spans="1:18" x14ac:dyDescent="0.25">
      <c r="K34" s="121"/>
      <c r="N34" s="3" t="s">
        <v>1706</v>
      </c>
      <c r="O34" s="3" t="s">
        <v>1707</v>
      </c>
      <c r="P34" s="3" t="s">
        <v>1708</v>
      </c>
      <c r="Q34" s="3" t="s">
        <v>1709</v>
      </c>
      <c r="R34" s="3" t="s">
        <v>1710</v>
      </c>
    </row>
    <row r="35" spans="1:18" x14ac:dyDescent="0.25">
      <c r="C35" s="195"/>
      <c r="K35" s="121"/>
    </row>
    <row r="36" spans="1:18" x14ac:dyDescent="0.25">
      <c r="C36" s="195"/>
    </row>
    <row r="37" spans="1:18" x14ac:dyDescent="0.25">
      <c r="C37" s="269"/>
    </row>
    <row r="38" spans="1:18" x14ac:dyDescent="0.25">
      <c r="A38" s="27" t="s">
        <v>20</v>
      </c>
      <c r="B38" s="91">
        <f>-SUMIF(Export!$P:$P,$N$38,Export!$L:$L)</f>
        <v>0</v>
      </c>
      <c r="C38" s="92">
        <f>-'Input Sheet'!W175</f>
        <v>18750</v>
      </c>
      <c r="N38" s="3" t="s">
        <v>1714</v>
      </c>
    </row>
    <row r="39" spans="1:18" x14ac:dyDescent="0.25">
      <c r="A39" s="27" t="s">
        <v>1711</v>
      </c>
      <c r="B39" s="91">
        <f>B26+B38</f>
        <v>57251.55</v>
      </c>
      <c r="C39" s="92">
        <f>C26+C38</f>
        <v>72601.7198959901</v>
      </c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49D79-4B41-4BD9-AE71-54D894B93955}">
  <sheetPr>
    <tabColor theme="9" tint="0.79998168889431442"/>
  </sheetPr>
  <dimension ref="A1:AK40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5" width="9.7109375" style="16" customWidth="1" outlineLevel="1"/>
    <col min="6" max="9" width="9.7109375" style="16" customWidth="1"/>
    <col min="10" max="11" width="9.7109375" style="16" hidden="1" customWidth="1"/>
    <col min="12" max="12" width="9.140625" style="16" customWidth="1"/>
    <col min="13" max="13" width="9.140625" style="16" bestFit="1" customWidth="1"/>
    <col min="14" max="15" width="11.7109375" style="3" customWidth="1" outlineLevel="1"/>
    <col min="16" max="36" width="9.140625" style="16" customWidth="1" outlineLevel="1"/>
    <col min="38" max="16384" width="9.140625" style="16"/>
  </cols>
  <sheetData>
    <row r="1" spans="1:32" ht="15" customHeight="1" x14ac:dyDescent="0.25">
      <c r="A1" s="326" t="s">
        <v>1604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32" ht="9.4" customHeight="1" thickBot="1" x14ac:dyDescent="0.3"/>
    <row r="3" spans="1:32" ht="15.75" thickTop="1" x14ac:dyDescent="0.25">
      <c r="A3" s="38" t="s">
        <v>1591</v>
      </c>
      <c r="B3" s="350" t="s">
        <v>155</v>
      </c>
      <c r="C3" s="329"/>
      <c r="D3" s="329"/>
      <c r="E3" s="329"/>
      <c r="F3" s="350" t="s">
        <v>1629</v>
      </c>
      <c r="G3" s="350"/>
      <c r="H3" s="329"/>
      <c r="I3" s="329"/>
      <c r="J3" s="329"/>
      <c r="K3" s="345"/>
    </row>
    <row r="4" spans="1:32" x14ac:dyDescent="0.25">
      <c r="A4" s="39" t="s">
        <v>1591</v>
      </c>
      <c r="B4" s="40"/>
      <c r="C4" s="40"/>
      <c r="D4" s="351"/>
      <c r="E4" s="331"/>
      <c r="F4" s="40"/>
      <c r="G4" s="40"/>
      <c r="H4" s="40"/>
      <c r="I4" s="40"/>
      <c r="J4" s="351"/>
      <c r="K4" s="347"/>
    </row>
    <row r="5" spans="1:32" x14ac:dyDescent="0.25">
      <c r="A5" s="39" t="s">
        <v>111</v>
      </c>
      <c r="B5" s="41" t="s">
        <v>12</v>
      </c>
      <c r="C5" s="41" t="s">
        <v>1592</v>
      </c>
      <c r="D5" s="42" t="s">
        <v>1609</v>
      </c>
      <c r="E5" s="42" t="s">
        <v>1610</v>
      </c>
      <c r="F5" s="262" t="str">
        <f>OVERALL!F5</f>
        <v>0124</v>
      </c>
      <c r="G5" s="262" t="str">
        <f>OVERALL!G5</f>
        <v>0224</v>
      </c>
      <c r="H5" s="262" t="str">
        <f>OVERALL!H5</f>
        <v>0324</v>
      </c>
      <c r="I5" s="262" t="str">
        <f>OVERALL!I5</f>
        <v>Q124</v>
      </c>
      <c r="J5" s="42" t="s">
        <v>1609</v>
      </c>
      <c r="K5" s="43" t="s">
        <v>1610</v>
      </c>
    </row>
    <row r="6" spans="1:32" x14ac:dyDescent="0.25">
      <c r="A6" s="24" t="s">
        <v>1095</v>
      </c>
      <c r="B6" s="51">
        <f>+R13/SUM($R$13:$R$16)</f>
        <v>0.87373720092410589</v>
      </c>
      <c r="C6" s="96">
        <f>+V13/SUM($V$13:$V$16)</f>
        <v>0.85704691592842086</v>
      </c>
      <c r="D6" s="118">
        <f>+B6-C6</f>
        <v>1.6690284995685034E-2</v>
      </c>
      <c r="E6" s="118">
        <f>IFERROR(+D6/C6,0)</f>
        <v>1.947417893407247E-2</v>
      </c>
      <c r="F6" s="51"/>
      <c r="G6" s="51"/>
      <c r="H6" s="51"/>
      <c r="I6" s="96" t="e">
        <f>AVERAGE(F6:H6)</f>
        <v>#DIV/0!</v>
      </c>
      <c r="J6" s="118">
        <f>+F6-H6</f>
        <v>0</v>
      </c>
      <c r="K6" s="125">
        <f>IFERROR(+J6/H6,0)</f>
        <v>0</v>
      </c>
    </row>
    <row r="7" spans="1:32" x14ac:dyDescent="0.25">
      <c r="A7" s="24" t="s">
        <v>1104</v>
      </c>
      <c r="B7" s="51">
        <f>+R14/SUM($R$13:$R$16)</f>
        <v>3.5802826227966641E-2</v>
      </c>
      <c r="C7" s="96">
        <f>+V14/SUM($V$13:$V$16)</f>
        <v>6.7894251822324392E-2</v>
      </c>
      <c r="D7" s="118">
        <f t="shared" ref="D7:D21" si="0">+B7-C7</f>
        <v>-3.209142559435775E-2</v>
      </c>
      <c r="E7" s="118">
        <f t="shared" ref="E7:E30" si="1">IFERROR(+D7/C7,0)</f>
        <v>-0.47266778457680464</v>
      </c>
      <c r="F7" s="51"/>
      <c r="G7" s="51"/>
      <c r="H7" s="51"/>
      <c r="I7" s="96" t="e">
        <f t="shared" ref="I7:I27" si="2">AVERAGE(F7:H7)</f>
        <v>#DIV/0!</v>
      </c>
      <c r="J7" s="118">
        <f t="shared" ref="J7:J21" si="3">+F7-H7</f>
        <v>0</v>
      </c>
      <c r="K7" s="125">
        <f t="shared" ref="K7:K30" si="4">IFERROR(+J7/H7,0)</f>
        <v>0</v>
      </c>
    </row>
    <row r="8" spans="1:32" x14ac:dyDescent="0.25">
      <c r="A8" s="24" t="s">
        <v>1109</v>
      </c>
      <c r="B8" s="51">
        <f>+R15/SUM($R$13:$R$16)</f>
        <v>9.0459972847927492E-2</v>
      </c>
      <c r="C8" s="96">
        <f>+V15/SUM($V$13:$V$16)</f>
        <v>7.5058832249254609E-2</v>
      </c>
      <c r="D8" s="118">
        <f t="shared" si="0"/>
        <v>1.5401140598672883E-2</v>
      </c>
      <c r="E8" s="118">
        <f t="shared" si="1"/>
        <v>0.20518758601957637</v>
      </c>
      <c r="F8" s="51"/>
      <c r="G8" s="51"/>
      <c r="H8" s="51"/>
      <c r="I8" s="96" t="e">
        <f t="shared" si="2"/>
        <v>#DIV/0!</v>
      </c>
      <c r="J8" s="118">
        <f t="shared" si="3"/>
        <v>0</v>
      </c>
      <c r="K8" s="125">
        <f t="shared" si="4"/>
        <v>0</v>
      </c>
    </row>
    <row r="9" spans="1:32" x14ac:dyDescent="0.25">
      <c r="A9" s="27" t="s">
        <v>181</v>
      </c>
      <c r="B9" s="91">
        <f>-SUM(R13:R16)</f>
        <v>81246.099999999991</v>
      </c>
      <c r="C9" s="92">
        <f>-SUM(V13:V16)</f>
        <v>100837.97827946009</v>
      </c>
      <c r="D9" s="106">
        <f t="shared" si="0"/>
        <v>-19591.878279460099</v>
      </c>
      <c r="E9" s="119">
        <f t="shared" si="1"/>
        <v>-0.19429066918778964</v>
      </c>
      <c r="F9" s="91"/>
      <c r="G9" s="91"/>
      <c r="H9" s="91"/>
      <c r="I9" s="92">
        <f>SUM(F9:H9)</f>
        <v>0</v>
      </c>
      <c r="J9" s="106">
        <f t="shared" si="3"/>
        <v>0</v>
      </c>
      <c r="K9" s="123">
        <f t="shared" si="4"/>
        <v>0</v>
      </c>
    </row>
    <row r="10" spans="1:32" x14ac:dyDescent="0.25">
      <c r="A10" s="24" t="s">
        <v>1117</v>
      </c>
      <c r="B10" s="51">
        <f>+R18/R21</f>
        <v>9.0647636892438904E-2</v>
      </c>
      <c r="C10" s="96">
        <f>+V18/V21</f>
        <v>0.26679292834418405</v>
      </c>
      <c r="D10" s="118">
        <f t="shared" si="0"/>
        <v>-0.17614529145174515</v>
      </c>
      <c r="E10" s="118">
        <f t="shared" si="1"/>
        <v>-0.66023223533310349</v>
      </c>
      <c r="F10" s="53"/>
      <c r="G10" s="53"/>
      <c r="H10" s="53"/>
      <c r="I10" s="96" t="e">
        <f t="shared" si="2"/>
        <v>#DIV/0!</v>
      </c>
      <c r="J10" s="118">
        <f t="shared" si="3"/>
        <v>0</v>
      </c>
      <c r="K10" s="122">
        <f t="shared" si="4"/>
        <v>0</v>
      </c>
      <c r="R10" s="95" t="s">
        <v>1641</v>
      </c>
      <c r="S10" s="95" t="s">
        <v>1641</v>
      </c>
      <c r="T10" s="95" t="s">
        <v>1641</v>
      </c>
      <c r="V10" s="95" t="s">
        <v>1641</v>
      </c>
      <c r="W10" s="95" t="s">
        <v>1641</v>
      </c>
      <c r="X10" s="95" t="s">
        <v>1641</v>
      </c>
      <c r="Z10" s="95" t="s">
        <v>156</v>
      </c>
      <c r="AA10" s="95" t="s">
        <v>156</v>
      </c>
      <c r="AB10" s="95" t="s">
        <v>156</v>
      </c>
      <c r="AD10" s="95" t="s">
        <v>156</v>
      </c>
      <c r="AE10" s="95" t="s">
        <v>156</v>
      </c>
      <c r="AF10" s="95" t="s">
        <v>156</v>
      </c>
    </row>
    <row r="11" spans="1:32" x14ac:dyDescent="0.25">
      <c r="A11" s="24" t="s">
        <v>1019</v>
      </c>
      <c r="B11" s="51">
        <f>+R19/R21</f>
        <v>0.21802033847538871</v>
      </c>
      <c r="C11" s="96">
        <f>+V19/V21</f>
        <v>1.8123272773134341E-2</v>
      </c>
      <c r="D11" s="118">
        <f t="shared" si="0"/>
        <v>0.19989706570225438</v>
      </c>
      <c r="E11" s="118">
        <f t="shared" si="1"/>
        <v>11.029854717994352</v>
      </c>
      <c r="F11" s="53"/>
      <c r="G11" s="53"/>
      <c r="H11" s="53"/>
      <c r="I11" s="96" t="e">
        <f t="shared" si="2"/>
        <v>#DIV/0!</v>
      </c>
      <c r="J11" s="118">
        <f t="shared" si="3"/>
        <v>0</v>
      </c>
      <c r="K11" s="122">
        <f t="shared" si="4"/>
        <v>0</v>
      </c>
      <c r="R11" s="95" t="s">
        <v>12</v>
      </c>
      <c r="S11" s="95" t="s">
        <v>12</v>
      </c>
      <c r="T11" s="95" t="s">
        <v>12</v>
      </c>
      <c r="V11" s="95" t="s">
        <v>1592</v>
      </c>
      <c r="W11" s="95" t="s">
        <v>1592</v>
      </c>
      <c r="X11" s="95" t="s">
        <v>1592</v>
      </c>
      <c r="Z11" s="95" t="s">
        <v>12</v>
      </c>
      <c r="AA11" s="95" t="s">
        <v>12</v>
      </c>
      <c r="AB11" s="95" t="s">
        <v>12</v>
      </c>
      <c r="AD11" s="95" t="s">
        <v>1592</v>
      </c>
      <c r="AE11" s="95" t="s">
        <v>1592</v>
      </c>
      <c r="AF11" s="95" t="s">
        <v>1592</v>
      </c>
    </row>
    <row r="12" spans="1:32" x14ac:dyDescent="0.25">
      <c r="A12" s="27" t="s">
        <v>1690</v>
      </c>
      <c r="B12" s="91">
        <f>-SUM(R17:R19)</f>
        <v>117521.09999999998</v>
      </c>
      <c r="C12" s="92">
        <f>-SUM(V17:V19)</f>
        <v>141015.61025018248</v>
      </c>
      <c r="D12" s="106">
        <f t="shared" si="0"/>
        <v>-23494.510250182502</v>
      </c>
      <c r="E12" s="119">
        <f t="shared" si="1"/>
        <v>-0.16660928679101397</v>
      </c>
      <c r="F12" s="91"/>
      <c r="G12" s="91"/>
      <c r="H12" s="91"/>
      <c r="I12" s="92">
        <f>SUM(F12:H12)</f>
        <v>0</v>
      </c>
      <c r="J12" s="106">
        <f t="shared" si="3"/>
        <v>0</v>
      </c>
      <c r="K12" s="123">
        <f t="shared" si="4"/>
        <v>0</v>
      </c>
      <c r="R12" s="95" t="s">
        <v>1642</v>
      </c>
      <c r="S12" s="95" t="s">
        <v>180</v>
      </c>
      <c r="T12" s="95" t="s">
        <v>153</v>
      </c>
      <c r="V12" s="95" t="s">
        <v>1642</v>
      </c>
      <c r="W12" s="95" t="s">
        <v>180</v>
      </c>
      <c r="X12" s="95" t="s">
        <v>153</v>
      </c>
      <c r="Z12" s="95" t="s">
        <v>1642</v>
      </c>
      <c r="AA12" s="95" t="s">
        <v>180</v>
      </c>
      <c r="AB12" s="95" t="s">
        <v>153</v>
      </c>
      <c r="AD12" s="95" t="s">
        <v>1642</v>
      </c>
      <c r="AE12" s="95" t="s">
        <v>180</v>
      </c>
      <c r="AF12" s="95" t="s">
        <v>153</v>
      </c>
    </row>
    <row r="13" spans="1:32" x14ac:dyDescent="0.25">
      <c r="A13" s="24" t="s">
        <v>1172</v>
      </c>
      <c r="B13" s="51">
        <f>+T13/R13</f>
        <v>0.78914725275096798</v>
      </c>
      <c r="C13" s="96">
        <f>+X13/V13</f>
        <v>0.72146041934958893</v>
      </c>
      <c r="D13" s="126">
        <f t="shared" si="0"/>
        <v>6.7686833401379043E-2</v>
      </c>
      <c r="E13" s="118">
        <f t="shared" si="1"/>
        <v>9.3819191720039316E-2</v>
      </c>
      <c r="F13" s="51"/>
      <c r="G13" s="51"/>
      <c r="H13" s="51"/>
      <c r="I13" s="96" t="e">
        <f t="shared" si="2"/>
        <v>#DIV/0!</v>
      </c>
      <c r="J13" s="126">
        <f t="shared" si="3"/>
        <v>0</v>
      </c>
      <c r="K13" s="122">
        <f t="shared" si="4"/>
        <v>0</v>
      </c>
      <c r="M13" s="162">
        <v>340</v>
      </c>
      <c r="N13" s="3" t="s">
        <v>1095</v>
      </c>
      <c r="O13" s="3" t="s">
        <v>1172</v>
      </c>
      <c r="R13" s="52">
        <f>+SUMIFS(Export!$L:$L,Export!$I:$I,N13,Export!$E:$E,M13)</f>
        <v>-70987.739999999991</v>
      </c>
      <c r="S13" s="52">
        <f>+SUMIFS(Export!$L:$L,Export!$I:$I,O13,Export!$E:$E,M13)</f>
        <v>14967.960000000001</v>
      </c>
      <c r="T13" s="52">
        <f>+SUM(R13:S13)</f>
        <v>-56019.779999999992</v>
      </c>
      <c r="V13" s="52">
        <f>+SUMIFS(Export!$N:$N,Export!$I:$I,N13,Export!$E:$E,M13)</f>
        <v>-86422.878292868365</v>
      </c>
      <c r="W13" s="52">
        <f>+SUMIFS(Export!$N:$N,Export!$I:$I,O13,Export!$E:$E,M13)</f>
        <v>24072.192278297072</v>
      </c>
      <c r="X13" s="52">
        <f>+SUM(V13:W13)</f>
        <v>-62350.686014571293</v>
      </c>
      <c r="Y13" s="168"/>
      <c r="Z13" s="52">
        <f>+SUMIF(Export!$I:$I,'NW SERVICE 340'!N13,Export!M:M)</f>
        <v>0</v>
      </c>
      <c r="AA13" s="52">
        <f>+SUMIF(Export!$I:$I,'NW SERVICE 340'!O13,Export!M:M)</f>
        <v>0</v>
      </c>
      <c r="AB13" s="52">
        <f>+SUM(Z13:AA13)</f>
        <v>0</v>
      </c>
      <c r="AD13" s="52">
        <f>+SUMIF(Export!$I:$I,'NW SERVICE 340'!N13,Export!$O:O)</f>
        <v>0</v>
      </c>
      <c r="AE13" s="52">
        <f>+SUMIF(Export!$I:$I,'NW SERVICE 340'!O13,Export!O:O)</f>
        <v>0</v>
      </c>
      <c r="AF13" s="52">
        <f>+SUM(AD13:AE13)</f>
        <v>0</v>
      </c>
    </row>
    <row r="14" spans="1:32" x14ac:dyDescent="0.25">
      <c r="A14" s="24" t="s">
        <v>1179</v>
      </c>
      <c r="B14" s="51">
        <f>+T14/R14</f>
        <v>0.78679129824947402</v>
      </c>
      <c r="C14" s="96">
        <f>+X14/V14</f>
        <v>0.62154921553929765</v>
      </c>
      <c r="D14" s="126">
        <f t="shared" si="0"/>
        <v>0.16524208271017637</v>
      </c>
      <c r="E14" s="118">
        <f t="shared" si="1"/>
        <v>0.26585518665131175</v>
      </c>
      <c r="F14" s="51"/>
      <c r="G14" s="51"/>
      <c r="H14" s="51"/>
      <c r="I14" s="96" t="e">
        <f t="shared" si="2"/>
        <v>#DIV/0!</v>
      </c>
      <c r="J14" s="126">
        <f t="shared" si="3"/>
        <v>0</v>
      </c>
      <c r="K14" s="122">
        <f t="shared" si="4"/>
        <v>0</v>
      </c>
      <c r="M14" s="162">
        <v>340</v>
      </c>
      <c r="N14" s="3" t="s">
        <v>1104</v>
      </c>
      <c r="O14" s="3" t="s">
        <v>1179</v>
      </c>
      <c r="R14" s="52">
        <f>+SUMIFS(Export!$L:$L,Export!$I:$I,N14,Export!$E:$E,M14)</f>
        <v>-2908.84</v>
      </c>
      <c r="S14" s="52">
        <f>+SUMIFS(Export!$L:$L,Export!$I:$I,O14,Export!$E:$E,M14)</f>
        <v>620.19000000000005</v>
      </c>
      <c r="T14" s="52">
        <f>+SUM(R14:S14)</f>
        <v>-2288.65</v>
      </c>
      <c r="V14" s="52">
        <f>+SUMIFS(Export!$N:$N,Export!$I:$I,N14,Export!$E:$E,M14)</f>
        <v>-6846.3190905597412</v>
      </c>
      <c r="W14" s="52">
        <f>+SUMIFS(Export!$N:$N,Export!$I:$I,O14,Export!$E:$E,M14)</f>
        <v>2590.9948304906161</v>
      </c>
      <c r="X14" s="52">
        <f t="shared" ref="X14:X16" si="5">+SUM(V14:W14)</f>
        <v>-4255.3242600691246</v>
      </c>
      <c r="Z14" s="52">
        <f>+SUMIF(Export!$I:$I,'NW SERVICE 340'!N14,Export!M:M)</f>
        <v>0</v>
      </c>
      <c r="AA14" s="52">
        <f>+SUMIF(Export!$I:$I,'NW SERVICE 340'!O14,Export!M:M)</f>
        <v>0</v>
      </c>
      <c r="AB14" s="52">
        <f t="shared" ref="AB14:AB16" si="6">+SUM(Z14:AA14)</f>
        <v>0</v>
      </c>
      <c r="AD14" s="52">
        <f>+SUMIF(Export!$I:$I,'NW SERVICE 340'!N14,Export!$O:O)</f>
        <v>0</v>
      </c>
      <c r="AE14" s="52">
        <f>+SUMIF(Export!$I:$I,'NW SERVICE 340'!O14,Export!O:O)</f>
        <v>0</v>
      </c>
      <c r="AF14" s="52">
        <f t="shared" ref="AF14:AF16" si="7">+SUM(AD14:AE14)</f>
        <v>0</v>
      </c>
    </row>
    <row r="15" spans="1:32" x14ac:dyDescent="0.25">
      <c r="A15" s="24" t="s">
        <v>1184</v>
      </c>
      <c r="B15" s="51">
        <f>+T15/R15</f>
        <v>0.69157985827645896</v>
      </c>
      <c r="C15" s="96">
        <f>+X15/V15</f>
        <v>0.62806226697393119</v>
      </c>
      <c r="D15" s="126">
        <f t="shared" si="0"/>
        <v>6.3517591302527765E-2</v>
      </c>
      <c r="E15" s="118">
        <f t="shared" si="1"/>
        <v>0.10113263388447466</v>
      </c>
      <c r="F15" s="51"/>
      <c r="G15" s="51"/>
      <c r="H15" s="51"/>
      <c r="I15" s="96" t="e">
        <f t="shared" si="2"/>
        <v>#DIV/0!</v>
      </c>
      <c r="J15" s="126">
        <f t="shared" si="3"/>
        <v>0</v>
      </c>
      <c r="K15" s="122">
        <f t="shared" si="4"/>
        <v>0</v>
      </c>
      <c r="M15" s="162">
        <v>340</v>
      </c>
      <c r="N15" s="3" t="s">
        <v>1109</v>
      </c>
      <c r="O15" s="3" t="s">
        <v>1184</v>
      </c>
      <c r="R15" s="52">
        <f>+SUMIFS(Export!$L:$L,Export!$I:$I,N15,Export!$E:$E,M15)</f>
        <v>-7349.52</v>
      </c>
      <c r="S15" s="52">
        <f>+SUMIFS(Export!$L:$L,Export!$I:$I,O15,Export!$E:$E,M15)</f>
        <v>2266.7399999999998</v>
      </c>
      <c r="T15" s="52">
        <f>+SUM(R15:S15)</f>
        <v>-5082.7800000000007</v>
      </c>
      <c r="V15" s="52">
        <f>+SUMIFS(Export!$N:$N,Export!$I:$I,N15,Export!$E:$E,M15)</f>
        <v>-7568.7808960319753</v>
      </c>
      <c r="W15" s="52">
        <f>+SUMIFS(Export!$N:$N,Export!$I:$I,O15,Export!$E:$E,M15)</f>
        <v>2815.1152082411513</v>
      </c>
      <c r="X15" s="52">
        <f t="shared" si="5"/>
        <v>-4753.6656877908244</v>
      </c>
      <c r="Y15" s="169">
        <f>+SUM(X13:X15)-SUM(T13:T15)</f>
        <v>-7968.465962431248</v>
      </c>
      <c r="Z15" s="52">
        <f>+SUMIF(Export!$I:$I,'NW SERVICE 340'!N15,Export!M:M)</f>
        <v>0</v>
      </c>
      <c r="AA15" s="52">
        <f>+SUMIF(Export!$I:$I,'NW SERVICE 340'!O15,Export!M:M)</f>
        <v>0</v>
      </c>
      <c r="AB15" s="52">
        <f t="shared" si="6"/>
        <v>0</v>
      </c>
      <c r="AD15" s="52">
        <f>+SUMIF(Export!$I:$I,'NW SERVICE 340'!N15,Export!$O:O)</f>
        <v>0</v>
      </c>
      <c r="AE15" s="52">
        <f>+SUMIF(Export!$I:$I,'NW SERVICE 340'!O15,Export!O:O)</f>
        <v>0</v>
      </c>
      <c r="AF15" s="52">
        <f t="shared" si="7"/>
        <v>0</v>
      </c>
    </row>
    <row r="16" spans="1:32" x14ac:dyDescent="0.25">
      <c r="A16" s="24" t="s">
        <v>1114</v>
      </c>
      <c r="B16" s="51">
        <f>+T16/SUM(S13:S16)</f>
        <v>0.2439388761784019</v>
      </c>
      <c r="C16" s="96">
        <f>+W16/SUM(W13:W16)</f>
        <v>0</v>
      </c>
      <c r="D16" s="126">
        <f t="shared" si="0"/>
        <v>0.2439388761784019</v>
      </c>
      <c r="E16" s="118">
        <f t="shared" si="1"/>
        <v>0</v>
      </c>
      <c r="F16" s="51"/>
      <c r="G16" s="51"/>
      <c r="H16" s="51"/>
      <c r="I16" s="96" t="e">
        <f t="shared" si="2"/>
        <v>#DIV/0!</v>
      </c>
      <c r="J16" s="126">
        <f t="shared" si="3"/>
        <v>0</v>
      </c>
      <c r="K16" s="122">
        <f t="shared" si="4"/>
        <v>0</v>
      </c>
      <c r="M16" s="162">
        <v>340</v>
      </c>
      <c r="O16" s="3" t="s">
        <v>1114</v>
      </c>
      <c r="R16" s="52">
        <f>+SUMIFS(Export!$L:$L,Export!$I:$I,N16,Export!$E:$E,M16)</f>
        <v>0</v>
      </c>
      <c r="S16" s="52">
        <f>+SUMIFS(Export!$L:$L,Export!$I:$I,O16,Export!$E:$E,M16)</f>
        <v>5760.78</v>
      </c>
      <c r="T16" s="52">
        <f>+SUM(R16:S16)</f>
        <v>5760.78</v>
      </c>
      <c r="V16" s="52">
        <f>+SUMIFS(Export!$N:$N,Export!$I:$I,N16,Export!$E:$E,M16)</f>
        <v>0</v>
      </c>
      <c r="W16" s="52">
        <f>+SUMIFS(Export!$N:$N,Export!$I:$I,O16,Export!$E:$E,M16)</f>
        <v>0</v>
      </c>
      <c r="X16" s="52">
        <f t="shared" si="5"/>
        <v>0</v>
      </c>
      <c r="Z16" s="52">
        <f>+SUMIF(Export!$I:$I,'NW SERVICE 340'!N16,Export!M:M)</f>
        <v>0</v>
      </c>
      <c r="AA16" s="52">
        <f>+SUMIF(Export!$I:$I,'NW SERVICE 340'!O16,Export!M:M)</f>
        <v>0</v>
      </c>
      <c r="AB16" s="52">
        <f t="shared" si="6"/>
        <v>0</v>
      </c>
      <c r="AD16" s="52">
        <f>+SUMIF(Export!$I:$I,'NW SERVICE 340'!N16,Export!$O:O)</f>
        <v>0</v>
      </c>
      <c r="AE16" s="52">
        <f>+SUMIF(Export!$I:$I,'NW SERVICE 340'!O16,Export!O:O)</f>
        <v>0</v>
      </c>
      <c r="AF16" s="52">
        <f t="shared" si="7"/>
        <v>0</v>
      </c>
    </row>
    <row r="17" spans="1:32" x14ac:dyDescent="0.25">
      <c r="A17" s="24" t="s">
        <v>1691</v>
      </c>
      <c r="B17" s="51">
        <f>+T17/SUM(R13:R16)</f>
        <v>0.70933164791910008</v>
      </c>
      <c r="C17" s="96">
        <f>+X17/SUM(V13:V16)</f>
        <v>0.70766666666666644</v>
      </c>
      <c r="D17" s="126">
        <f t="shared" si="0"/>
        <v>1.6649812524336394E-3</v>
      </c>
      <c r="E17" s="118">
        <f t="shared" si="1"/>
        <v>2.3527761456904944E-3</v>
      </c>
      <c r="F17" s="51"/>
      <c r="G17" s="51"/>
      <c r="H17" s="51"/>
      <c r="I17" s="96" t="e">
        <f t="shared" si="2"/>
        <v>#DIV/0!</v>
      </c>
      <c r="J17" s="126">
        <f t="shared" si="3"/>
        <v>0</v>
      </c>
      <c r="K17" s="122">
        <f t="shared" si="4"/>
        <v>0</v>
      </c>
      <c r="M17" s="162"/>
      <c r="R17" s="52">
        <f>SUM(R13:R16)</f>
        <v>-81246.099999999991</v>
      </c>
      <c r="T17" s="52">
        <f>SUM(T13:T16)</f>
        <v>-57630.429999999993</v>
      </c>
      <c r="V17" s="52">
        <f>SUM(V13:V16)</f>
        <v>-100837.97827946009</v>
      </c>
      <c r="X17" s="52">
        <f>SUM(X13:X16)</f>
        <v>-71359.67596243124</v>
      </c>
      <c r="Z17" s="52">
        <f>SUM(Z13:Z16)</f>
        <v>0</v>
      </c>
      <c r="AB17" s="52">
        <f>SUM(AB13:AB16)</f>
        <v>0</v>
      </c>
      <c r="AD17" s="52">
        <f>SUM(AD13:AD16)</f>
        <v>0</v>
      </c>
      <c r="AF17" s="52">
        <f>SUM(AF13:AF16)</f>
        <v>0</v>
      </c>
    </row>
    <row r="18" spans="1:32" x14ac:dyDescent="0.25">
      <c r="A18" s="24" t="s">
        <v>1191</v>
      </c>
      <c r="B18" s="51">
        <f>+T18/R18</f>
        <v>0.15677353161219229</v>
      </c>
      <c r="C18" s="96">
        <f>+X18/V18</f>
        <v>0.35063231712361509</v>
      </c>
      <c r="D18" s="126">
        <f t="shared" si="0"/>
        <v>-0.1938587855114228</v>
      </c>
      <c r="E18" s="118">
        <f t="shared" si="1"/>
        <v>-0.55288339392594565</v>
      </c>
      <c r="F18" s="51"/>
      <c r="G18" s="51"/>
      <c r="H18" s="51"/>
      <c r="I18" s="96" t="e">
        <f t="shared" si="2"/>
        <v>#DIV/0!</v>
      </c>
      <c r="J18" s="126">
        <f t="shared" si="3"/>
        <v>0</v>
      </c>
      <c r="K18" s="122">
        <f t="shared" si="4"/>
        <v>0</v>
      </c>
      <c r="M18" s="162">
        <v>340</v>
      </c>
      <c r="N18" s="3" t="s">
        <v>1117</v>
      </c>
      <c r="O18" s="3" t="s">
        <v>1191</v>
      </c>
      <c r="R18" s="52">
        <f>+SUMIFS(Export!$L:$L,Export!$I:$I,N18,Export!$E:$E,M18)</f>
        <v>-10653.01</v>
      </c>
      <c r="S18" s="52">
        <f>+SUMIFS(Export!$L:$L,Export!$I:$I,O18,Export!$E:$E,M18)</f>
        <v>8982.9</v>
      </c>
      <c r="T18" s="52">
        <f t="shared" ref="T18:T19" si="8">+SUM(R18:S18)</f>
        <v>-1670.1100000000006</v>
      </c>
      <c r="V18" s="52">
        <f>+SUMIFS(Export!$N:$N,Export!$I:$I,N18,Export!$E:$E,M18)</f>
        <v>-37621.967600888318</v>
      </c>
      <c r="W18" s="52">
        <f>+SUMIFS(Export!$N:$N,Export!$I:$I,O18,Export!$E:$E,M18)</f>
        <v>24430.489926239272</v>
      </c>
      <c r="X18" s="52">
        <f t="shared" ref="X18:X19" si="9">+SUM(V18:W18)</f>
        <v>-13191.477674649046</v>
      </c>
      <c r="Z18" s="52">
        <f>+SUMIF(Export!$I:$I,'NW SERVICE 340'!N18,Export!M:M)</f>
        <v>0</v>
      </c>
      <c r="AA18" s="52">
        <f>+SUMIF(Export!$I:$I,'NW SERVICE 340'!O18,Export!M:M)</f>
        <v>0</v>
      </c>
      <c r="AB18" s="52">
        <f t="shared" ref="AB18:AB19" si="10">+SUM(Z18:AA18)</f>
        <v>0</v>
      </c>
      <c r="AD18" s="52">
        <f>+SUMIF(Export!$I:$I,'NW SERVICE 340'!N18,Export!$O:O)</f>
        <v>0</v>
      </c>
      <c r="AE18" s="52">
        <f>+SUMIF(Export!$I:$I,'NW SERVICE 340'!O18,Export!O:O)</f>
        <v>0</v>
      </c>
      <c r="AF18" s="52">
        <f t="shared" ref="AF18:AF19" si="11">+SUM(AD18:AE18)</f>
        <v>0</v>
      </c>
    </row>
    <row r="19" spans="1:32" x14ac:dyDescent="0.25">
      <c r="A19" s="24" t="s">
        <v>1196</v>
      </c>
      <c r="B19" s="51">
        <f>+T19/R19</f>
        <v>0.66293328504148197</v>
      </c>
      <c r="C19" s="96">
        <f>IFERROR(+X19/V19,0)</f>
        <v>0.97919082029597571</v>
      </c>
      <c r="D19" s="126">
        <f t="shared" si="0"/>
        <v>-0.31625753525449374</v>
      </c>
      <c r="E19" s="118">
        <f t="shared" si="1"/>
        <v>-0.32297845190062136</v>
      </c>
      <c r="F19" s="51"/>
      <c r="G19" s="51"/>
      <c r="H19" s="51"/>
      <c r="I19" s="96" t="e">
        <f t="shared" si="2"/>
        <v>#DIV/0!</v>
      </c>
      <c r="J19" s="126">
        <f t="shared" si="3"/>
        <v>0</v>
      </c>
      <c r="K19" s="122">
        <f t="shared" si="4"/>
        <v>0</v>
      </c>
      <c r="M19" s="162">
        <v>340</v>
      </c>
      <c r="N19" s="3" t="s">
        <v>1019</v>
      </c>
      <c r="O19" s="3" t="s">
        <v>1196</v>
      </c>
      <c r="R19" s="52">
        <f>+SUMIFS(Export!$L:$L,Export!$I:$I,N19,Export!$E:$E,M19)</f>
        <v>-25621.989999999998</v>
      </c>
      <c r="S19" s="52">
        <f>+SUMIFS(Export!$L:$L,Export!$I:$I,O19,Export!$E:$E,M19)</f>
        <v>8636.32</v>
      </c>
      <c r="T19" s="52">
        <f t="shared" si="8"/>
        <v>-16985.669999999998</v>
      </c>
      <c r="V19" s="52">
        <f>+SUMIFS(Export!$N:$N,Export!$I:$I,N19,Export!$E:$E,M19)</f>
        <v>-2555.6643698340558</v>
      </c>
      <c r="W19" s="52">
        <f>+SUMIFS(Export!$N:$N,Export!$I:$I,O19,Export!$E:$E,M19)</f>
        <v>53.181279135048939</v>
      </c>
      <c r="X19" s="52">
        <f t="shared" si="9"/>
        <v>-2502.4830906990069</v>
      </c>
      <c r="Z19" s="52">
        <f>+SUMIF(Export!$I:$I,'NW SERVICE 340'!N19,Export!M:M)</f>
        <v>0</v>
      </c>
      <c r="AA19" s="52">
        <f>+SUMIF(Export!$I:$I,'NW SERVICE 340'!O19,Export!M:M)</f>
        <v>0</v>
      </c>
      <c r="AB19" s="52">
        <f t="shared" si="10"/>
        <v>0</v>
      </c>
      <c r="AD19" s="52">
        <f>+SUMIF(Export!$I:$I,'NW SERVICE 340'!N19,Export!$O:O)</f>
        <v>0</v>
      </c>
      <c r="AE19" s="52">
        <f>+SUMIF(Export!$I:$I,'NW SERVICE 340'!O19,Export!O:O)</f>
        <v>0</v>
      </c>
      <c r="AF19" s="52">
        <f t="shared" si="11"/>
        <v>0</v>
      </c>
    </row>
    <row r="20" spans="1:32" x14ac:dyDescent="0.25">
      <c r="A20" s="24" t="s">
        <v>1692</v>
      </c>
      <c r="B20" s="51">
        <f>+T21/R21</f>
        <v>0.64912777365085939</v>
      </c>
      <c r="C20" s="96">
        <f>+X21/V21</f>
        <v>0.61733333333333318</v>
      </c>
      <c r="D20" s="126">
        <f t="shared" si="0"/>
        <v>3.1794440317526207E-2</v>
      </c>
      <c r="E20" s="118">
        <f t="shared" si="1"/>
        <v>5.1502873084545701E-2</v>
      </c>
      <c r="F20" s="51"/>
      <c r="G20" s="51"/>
      <c r="H20" s="51"/>
      <c r="I20" s="96" t="e">
        <f t="shared" si="2"/>
        <v>#DIV/0!</v>
      </c>
      <c r="J20" s="126">
        <f t="shared" si="3"/>
        <v>0</v>
      </c>
      <c r="K20" s="122">
        <f t="shared" si="4"/>
        <v>0</v>
      </c>
      <c r="M20" s="162"/>
    </row>
    <row r="21" spans="1:32" x14ac:dyDescent="0.25">
      <c r="A21" s="27" t="s">
        <v>1693</v>
      </c>
      <c r="B21" s="91">
        <f>-T21</f>
        <v>76286.209999999992</v>
      </c>
      <c r="C21" s="92">
        <f>-X21</f>
        <v>87053.636727779289</v>
      </c>
      <c r="D21" s="106">
        <f t="shared" si="0"/>
        <v>-10767.426727779297</v>
      </c>
      <c r="E21" s="119">
        <f t="shared" si="1"/>
        <v>-0.12368727065877252</v>
      </c>
      <c r="F21" s="91"/>
      <c r="G21" s="91"/>
      <c r="H21" s="91"/>
      <c r="I21" s="92">
        <f>SUM(F21:H21)</f>
        <v>0</v>
      </c>
      <c r="J21" s="106">
        <f t="shared" si="3"/>
        <v>0</v>
      </c>
      <c r="K21" s="123">
        <f t="shared" si="4"/>
        <v>0</v>
      </c>
      <c r="M21" s="162"/>
      <c r="R21" s="52">
        <f>+SUM(R17:R19)</f>
        <v>-117521.09999999998</v>
      </c>
      <c r="T21" s="52">
        <f>+SUM(T17:T19)</f>
        <v>-76286.209999999992</v>
      </c>
      <c r="V21" s="52">
        <f>+SUM(V17:V19)</f>
        <v>-141015.61025018248</v>
      </c>
      <c r="X21" s="52">
        <f>+SUM(X17:X19)</f>
        <v>-87053.636727779289</v>
      </c>
      <c r="Z21" s="52">
        <f>+SUM(Z17:Z19)</f>
        <v>0</v>
      </c>
      <c r="AB21" s="52">
        <f>+SUM(AB17:AB19)</f>
        <v>0</v>
      </c>
      <c r="AD21" s="52">
        <f>+SUM(AD17:AD19)</f>
        <v>0</v>
      </c>
      <c r="AF21" s="52">
        <f>+SUM(AF17:AF19)</f>
        <v>0</v>
      </c>
    </row>
    <row r="22" spans="1:32" ht="15.6" customHeight="1" x14ac:dyDescent="0.25">
      <c r="A22" s="24" t="s">
        <v>1252</v>
      </c>
      <c r="B22" s="51">
        <f>-T22/R21</f>
        <v>0.3789738183185829</v>
      </c>
      <c r="C22" s="96">
        <f>-X22/V21</f>
        <v>8.7032779325788026E-2</v>
      </c>
      <c r="D22" s="118">
        <f>+C22-B22</f>
        <v>-0.29194103899279489</v>
      </c>
      <c r="E22" s="118">
        <f t="shared" si="1"/>
        <v>-3.3543802835478567</v>
      </c>
      <c r="F22" s="51"/>
      <c r="G22" s="51"/>
      <c r="H22" s="51"/>
      <c r="I22" s="96" t="e">
        <f t="shared" si="2"/>
        <v>#DIV/0!</v>
      </c>
      <c r="J22" s="118">
        <f>+H22-F22</f>
        <v>0</v>
      </c>
      <c r="K22" s="122">
        <f t="shared" si="4"/>
        <v>0</v>
      </c>
      <c r="M22" s="162">
        <v>340</v>
      </c>
      <c r="N22" s="3" t="s">
        <v>1252</v>
      </c>
      <c r="T22" s="52">
        <f>+SUMIFS(Export!$L:$L,Export!$I:$I,N22,Export!$E:$E,M22)</f>
        <v>44537.420000000006</v>
      </c>
      <c r="X22" s="52">
        <f>+SUMIFS(Export!$N:$N,Export!$I:$I,N22,Export!$E:$E,M22)</f>
        <v>12272.980488395464</v>
      </c>
      <c r="AB22" s="52">
        <f>+SUMIF(Export!$I:$I,'NW SERVICE 340'!N22,Export!M:M)</f>
        <v>0</v>
      </c>
      <c r="AF22" s="52">
        <f>+SUMIF(Export!$I:$I,'NW SERVICE 340'!N22,Export!O:O)</f>
        <v>0</v>
      </c>
    </row>
    <row r="23" spans="1:32" x14ac:dyDescent="0.25">
      <c r="A23" s="24" t="s">
        <v>1286</v>
      </c>
      <c r="B23" s="51">
        <f>-T23/R21</f>
        <v>7.7624613792757216E-2</v>
      </c>
      <c r="C23" s="96">
        <f>-X23/V21</f>
        <v>0.30447833442881461</v>
      </c>
      <c r="D23" s="118">
        <f t="shared" ref="D23:D24" si="12">+C23-B23</f>
        <v>0.22685372063605741</v>
      </c>
      <c r="E23" s="118">
        <f t="shared" si="1"/>
        <v>0.74505702043340161</v>
      </c>
      <c r="F23" s="51"/>
      <c r="G23" s="51"/>
      <c r="H23" s="51"/>
      <c r="I23" s="96" t="e">
        <f t="shared" si="2"/>
        <v>#DIV/0!</v>
      </c>
      <c r="J23" s="118">
        <f t="shared" ref="J23:J24" si="13">+H23-F23</f>
        <v>0</v>
      </c>
      <c r="K23" s="122">
        <f t="shared" si="4"/>
        <v>0</v>
      </c>
      <c r="M23" s="162">
        <v>340</v>
      </c>
      <c r="N23" s="3" t="s">
        <v>1286</v>
      </c>
      <c r="T23" s="52">
        <f>+SUMIFS(Export!$L:$L,Export!$I:$I,N23,Export!$E:$E,M23)</f>
        <v>9122.5299999999988</v>
      </c>
      <c r="X23" s="52">
        <f>+SUMIFS(Export!$N:$N,Export!$I:$I,N23,Export!$E:$E,M23)</f>
        <v>42936.198137438441</v>
      </c>
      <c r="AB23" s="52">
        <f>+SUMIF(Export!J:J,'NW SERVICE 340'!N23,Export!M:M)</f>
        <v>0</v>
      </c>
      <c r="AF23" s="52">
        <f>+SUMIF(Export!$J:$J,'NW SERVICE 340'!N23,Export!O:O)</f>
        <v>0</v>
      </c>
    </row>
    <row r="24" spans="1:32" x14ac:dyDescent="0.25">
      <c r="A24" s="24" t="s">
        <v>1674</v>
      </c>
      <c r="B24" s="53">
        <f>+SUM(B22:B23)</f>
        <v>0.4565984321113401</v>
      </c>
      <c r="C24" s="96">
        <f>+SUM(C22:C23)</f>
        <v>0.39151111375460262</v>
      </c>
      <c r="D24" s="118">
        <f t="shared" si="12"/>
        <v>-6.5087318356737478E-2</v>
      </c>
      <c r="E24" s="118">
        <f t="shared" si="1"/>
        <v>-0.1662464131159605</v>
      </c>
      <c r="F24" s="51"/>
      <c r="G24" s="51"/>
      <c r="H24" s="51"/>
      <c r="I24" s="96" t="e">
        <f t="shared" si="2"/>
        <v>#DIV/0!</v>
      </c>
      <c r="J24" s="118">
        <f t="shared" si="13"/>
        <v>0</v>
      </c>
      <c r="K24" s="122">
        <f t="shared" si="4"/>
        <v>0</v>
      </c>
    </row>
    <row r="25" spans="1:32" x14ac:dyDescent="0.25">
      <c r="A25" s="24" t="s">
        <v>1675</v>
      </c>
      <c r="B25" s="53">
        <f>+B20-B24</f>
        <v>0.19252934153951928</v>
      </c>
      <c r="C25" s="96">
        <f>+C20-C24</f>
        <v>0.22582221957873055</v>
      </c>
      <c r="D25" s="118">
        <f t="shared" ref="D25:D30" si="14">+B25-C25</f>
        <v>-3.3292878039211271E-2</v>
      </c>
      <c r="E25" s="118">
        <f t="shared" si="1"/>
        <v>-0.1474295935152832</v>
      </c>
      <c r="F25" s="51"/>
      <c r="G25" s="51"/>
      <c r="H25" s="51"/>
      <c r="I25" s="96" t="e">
        <f t="shared" si="2"/>
        <v>#DIV/0!</v>
      </c>
      <c r="J25" s="118">
        <f t="shared" ref="J25:J30" si="15">+F25-H25</f>
        <v>0</v>
      </c>
      <c r="K25" s="122">
        <f t="shared" si="4"/>
        <v>0</v>
      </c>
    </row>
    <row r="26" spans="1:32" s="28" customFormat="1" x14ac:dyDescent="0.25">
      <c r="A26" s="27" t="s">
        <v>1695</v>
      </c>
      <c r="B26" s="91">
        <f>-T26</f>
        <v>22626.259999999987</v>
      </c>
      <c r="C26" s="92">
        <f>-X26</f>
        <v>31844.458101945384</v>
      </c>
      <c r="D26" s="106">
        <f t="shared" si="14"/>
        <v>-9218.198101945396</v>
      </c>
      <c r="E26" s="119">
        <f t="shared" si="1"/>
        <v>-0.28947574087882672</v>
      </c>
      <c r="F26" s="91"/>
      <c r="G26" s="91"/>
      <c r="H26" s="91"/>
      <c r="I26" s="92">
        <f>SUM(F26:H26)</f>
        <v>0</v>
      </c>
      <c r="J26" s="106">
        <f t="shared" si="15"/>
        <v>0</v>
      </c>
      <c r="K26" s="123">
        <f t="shared" si="4"/>
        <v>0</v>
      </c>
      <c r="N26" s="50"/>
      <c r="O26" s="50"/>
      <c r="T26" s="69">
        <f>+SUM(T21:T25)</f>
        <v>-22626.259999999987</v>
      </c>
      <c r="X26" s="69">
        <f>+SUM(X21:X25)</f>
        <v>-31844.458101945384</v>
      </c>
      <c r="AB26" s="69">
        <f>+SUM(AB21:AB25)</f>
        <v>0</v>
      </c>
      <c r="AF26" s="69">
        <f>+SUM(AF21:AF25)</f>
        <v>0</v>
      </c>
    </row>
    <row r="27" spans="1:32" x14ac:dyDescent="0.25">
      <c r="A27" s="24" t="s">
        <v>1696</v>
      </c>
      <c r="B27" s="155">
        <f>+'NW PARTS 330'!R18/'NW SERVICE 340'!R13</f>
        <v>0.77193935178102591</v>
      </c>
      <c r="C27" s="156">
        <f>+'NW PARTS 330'!V18/'NW SERVICE 340'!V13</f>
        <v>0.44170234676584802</v>
      </c>
      <c r="D27" s="157">
        <f t="shared" si="14"/>
        <v>0.33023700501517789</v>
      </c>
      <c r="E27" s="118">
        <f t="shared" si="1"/>
        <v>0.74764602776774625</v>
      </c>
      <c r="F27" s="158"/>
      <c r="G27" s="158"/>
      <c r="H27" s="158"/>
      <c r="I27" s="156" t="e">
        <f t="shared" si="2"/>
        <v>#DIV/0!</v>
      </c>
      <c r="J27" s="157">
        <f t="shared" si="15"/>
        <v>0</v>
      </c>
      <c r="K27" s="122">
        <f t="shared" si="4"/>
        <v>0</v>
      </c>
      <c r="P27" s="3"/>
      <c r="Q27" s="3"/>
      <c r="R27" s="3"/>
      <c r="S27" s="3"/>
      <c r="T27" s="3"/>
    </row>
    <row r="28" spans="1:32" s="28" customFormat="1" x14ac:dyDescent="0.25">
      <c r="A28" s="27" t="s">
        <v>1697</v>
      </c>
      <c r="B28" s="91">
        <f>-SUM(R13:R16)/B33</f>
        <v>18054.688888888886</v>
      </c>
      <c r="C28" s="92">
        <f>-SUM(V13:V16)/C33</f>
        <v>18334.177868992745</v>
      </c>
      <c r="D28" s="106">
        <f t="shared" si="14"/>
        <v>-279.48898010385892</v>
      </c>
      <c r="E28" s="119">
        <f t="shared" si="1"/>
        <v>-1.5244151229520806E-2</v>
      </c>
      <c r="F28" s="91"/>
      <c r="G28" s="91"/>
      <c r="H28" s="91"/>
      <c r="I28" s="92" t="e">
        <f>AVERAGE(F28:H28)</f>
        <v>#DIV/0!</v>
      </c>
      <c r="J28" s="106">
        <f t="shared" si="15"/>
        <v>0</v>
      </c>
      <c r="K28" s="123">
        <f t="shared" si="4"/>
        <v>0</v>
      </c>
      <c r="N28" s="50"/>
      <c r="O28" s="50"/>
    </row>
    <row r="29" spans="1:32" s="28" customFormat="1" x14ac:dyDescent="0.25">
      <c r="A29" s="27" t="s">
        <v>1698</v>
      </c>
      <c r="B29" s="91">
        <f>-SUM(T17/B33)</f>
        <v>12806.76222222222</v>
      </c>
      <c r="C29" s="92">
        <f>-SUM(X17/C33)</f>
        <v>12974.486538623862</v>
      </c>
      <c r="D29" s="106">
        <f t="shared" si="14"/>
        <v>-167.72431640164177</v>
      </c>
      <c r="E29" s="119">
        <f t="shared" si="1"/>
        <v>-1.2927241159204397E-2</v>
      </c>
      <c r="F29" s="91"/>
      <c r="G29" s="91"/>
      <c r="H29" s="91"/>
      <c r="I29" s="92" t="e">
        <f>AVERAGE(F29:H29)</f>
        <v>#DIV/0!</v>
      </c>
      <c r="J29" s="106">
        <f t="shared" si="15"/>
        <v>0</v>
      </c>
      <c r="K29" s="123">
        <f t="shared" si="4"/>
        <v>0</v>
      </c>
      <c r="N29" s="50"/>
      <c r="O29" s="50"/>
    </row>
    <row r="30" spans="1:32" s="28" customFormat="1" ht="15.75" thickBot="1" x14ac:dyDescent="0.3">
      <c r="A30" s="29" t="s">
        <v>1699</v>
      </c>
      <c r="B30" s="94">
        <f>+B26/B33</f>
        <v>5028.0577777777753</v>
      </c>
      <c r="C30" s="93">
        <f>+C26/C33</f>
        <v>5789.9014730809786</v>
      </c>
      <c r="D30" s="107">
        <f t="shared" si="14"/>
        <v>-761.84369530320328</v>
      </c>
      <c r="E30" s="120">
        <f t="shared" si="1"/>
        <v>-0.13158146107412147</v>
      </c>
      <c r="F30" s="94"/>
      <c r="G30" s="94"/>
      <c r="H30" s="94"/>
      <c r="I30" s="93" t="e">
        <f>AVERAGE(F30:H30)</f>
        <v>#DIV/0!</v>
      </c>
      <c r="J30" s="107">
        <f t="shared" si="15"/>
        <v>0</v>
      </c>
      <c r="K30" s="124">
        <f t="shared" si="4"/>
        <v>0</v>
      </c>
      <c r="N30" s="50"/>
      <c r="O30" s="50"/>
    </row>
    <row r="31" spans="1:32" ht="0" hidden="1" customHeight="1" x14ac:dyDescent="0.25">
      <c r="E31" s="121"/>
      <c r="K31" s="121"/>
    </row>
    <row r="32" spans="1:32" ht="15.75" thickTop="1" x14ac:dyDescent="0.25">
      <c r="E32" s="121"/>
      <c r="K32" s="121"/>
    </row>
    <row r="33" spans="1:18" x14ac:dyDescent="0.25">
      <c r="A33" s="24" t="s">
        <v>1700</v>
      </c>
      <c r="B33" s="239">
        <v>4.5</v>
      </c>
      <c r="C33" s="12">
        <f>HLOOKUP(J1,'Input Sheet'!1:1048576,93,FALSE)</f>
        <v>5.5</v>
      </c>
      <c r="D33" s="149"/>
      <c r="E33" s="149"/>
      <c r="F33" s="12"/>
      <c r="G33" s="12"/>
      <c r="H33" s="12"/>
      <c r="I33" s="12" t="e">
        <f>AVERAGE(F33:H33)</f>
        <v>#DIV/0!</v>
      </c>
      <c r="J33" s="149"/>
      <c r="K33" s="121"/>
      <c r="N33" s="3" t="s">
        <v>1701</v>
      </c>
      <c r="O33" s="3" t="s">
        <v>1702</v>
      </c>
      <c r="P33" s="3" t="s">
        <v>1703</v>
      </c>
      <c r="Q33" s="3" t="s">
        <v>1704</v>
      </c>
      <c r="R33" s="3" t="s">
        <v>1705</v>
      </c>
    </row>
    <row r="34" spans="1:18" x14ac:dyDescent="0.25">
      <c r="K34" s="121"/>
      <c r="N34" s="3" t="s">
        <v>1706</v>
      </c>
      <c r="O34" s="3" t="s">
        <v>1707</v>
      </c>
      <c r="P34" s="3" t="s">
        <v>1708</v>
      </c>
      <c r="Q34" s="3" t="s">
        <v>1709</v>
      </c>
      <c r="R34" s="3" t="s">
        <v>1710</v>
      </c>
    </row>
    <row r="35" spans="1:18" x14ac:dyDescent="0.25">
      <c r="K35" s="121"/>
    </row>
    <row r="36" spans="1:18" x14ac:dyDescent="0.25">
      <c r="C36" s="195"/>
    </row>
    <row r="37" spans="1:18" x14ac:dyDescent="0.25">
      <c r="C37" s="195"/>
    </row>
    <row r="38" spans="1:18" x14ac:dyDescent="0.25">
      <c r="A38" s="27" t="s">
        <v>20</v>
      </c>
      <c r="B38" s="91">
        <f>-SUMIF(Export!$P:$P,$N$38,Export!$L:$L)</f>
        <v>0</v>
      </c>
      <c r="C38" s="92">
        <f>-'Input Sheet'!W176</f>
        <v>18750</v>
      </c>
      <c r="N38" s="3" t="s">
        <v>1715</v>
      </c>
    </row>
    <row r="39" spans="1:18" x14ac:dyDescent="0.25">
      <c r="A39" s="27" t="s">
        <v>1711</v>
      </c>
      <c r="B39" s="91">
        <f>B26+B38</f>
        <v>22626.259999999987</v>
      </c>
      <c r="C39" s="92">
        <f>C26+C38</f>
        <v>50594.458101945384</v>
      </c>
    </row>
    <row r="40" spans="1:18" x14ac:dyDescent="0.25">
      <c r="C40" s="195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0DDEC-3CA5-497B-A648-C477E51B3566}">
  <sheetPr>
    <tabColor theme="9" tint="0.79998168889431442"/>
  </sheetPr>
  <dimension ref="A1:AK39"/>
  <sheetViews>
    <sheetView tabSelected="1" workbookViewId="0">
      <selection activeCell="C26" sqref="C26"/>
    </sheetView>
  </sheetViews>
  <sheetFormatPr defaultColWidth="9.140625" defaultRowHeight="15" outlineLevelCol="1" x14ac:dyDescent="0.25"/>
  <cols>
    <col min="1" max="1" width="35.7109375" style="16" customWidth="1"/>
    <col min="2" max="5" width="9.7109375" style="16" customWidth="1" outlineLevel="1"/>
    <col min="6" max="9" width="9.7109375" style="16" customWidth="1"/>
    <col min="10" max="11" width="9.7109375" style="16" hidden="1" customWidth="1"/>
    <col min="12" max="12" width="9.140625" style="16" customWidth="1"/>
    <col min="13" max="13" width="9.140625" style="16"/>
    <col min="14" max="15" width="11.7109375" style="3" customWidth="1" outlineLevel="1"/>
    <col min="16" max="36" width="9.140625" style="16" customWidth="1" outlineLevel="1"/>
    <col min="38" max="16384" width="9.140625" style="16"/>
  </cols>
  <sheetData>
    <row r="1" spans="1:32" ht="15" customHeight="1" x14ac:dyDescent="0.25">
      <c r="A1" s="326" t="s">
        <v>1604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32" ht="9.4" customHeight="1" thickBot="1" x14ac:dyDescent="0.3"/>
    <row r="3" spans="1:32" ht="15.75" thickTop="1" x14ac:dyDescent="0.25">
      <c r="A3" s="38" t="s">
        <v>1591</v>
      </c>
      <c r="B3" s="350" t="s">
        <v>155</v>
      </c>
      <c r="C3" s="329"/>
      <c r="D3" s="329"/>
      <c r="E3" s="329"/>
      <c r="F3" s="350" t="s">
        <v>1629</v>
      </c>
      <c r="G3" s="350"/>
      <c r="H3" s="329"/>
      <c r="I3" s="329"/>
      <c r="J3" s="329"/>
      <c r="K3" s="345"/>
    </row>
    <row r="4" spans="1:32" x14ac:dyDescent="0.25">
      <c r="A4" s="39" t="s">
        <v>1591</v>
      </c>
      <c r="B4" s="40"/>
      <c r="C4" s="40"/>
      <c r="D4" s="351"/>
      <c r="E4" s="331"/>
      <c r="F4" s="40"/>
      <c r="G4" s="40"/>
      <c r="H4" s="40"/>
      <c r="I4" s="40"/>
      <c r="J4" s="351"/>
      <c r="K4" s="347"/>
    </row>
    <row r="5" spans="1:32" x14ac:dyDescent="0.25">
      <c r="A5" s="39" t="s">
        <v>111</v>
      </c>
      <c r="B5" s="41" t="s">
        <v>12</v>
      </c>
      <c r="C5" s="41" t="s">
        <v>1592</v>
      </c>
      <c r="D5" s="42" t="s">
        <v>1609</v>
      </c>
      <c r="E5" s="42" t="s">
        <v>1610</v>
      </c>
      <c r="F5" s="262" t="str">
        <f>OVERALL!F5</f>
        <v>0124</v>
      </c>
      <c r="G5" s="262" t="str">
        <f>OVERALL!G5</f>
        <v>0224</v>
      </c>
      <c r="H5" s="262" t="str">
        <f>OVERALL!H5</f>
        <v>0324</v>
      </c>
      <c r="I5" s="262" t="str">
        <f>OVERALL!I5</f>
        <v>Q124</v>
      </c>
      <c r="J5" s="42" t="s">
        <v>1609</v>
      </c>
      <c r="K5" s="43" t="s">
        <v>1610</v>
      </c>
    </row>
    <row r="6" spans="1:32" x14ac:dyDescent="0.25">
      <c r="A6" s="24" t="s">
        <v>1095</v>
      </c>
      <c r="B6" s="51">
        <f>+R13/SUM($R$13:$R$16)</f>
        <v>0.44250384251648761</v>
      </c>
      <c r="C6" s="96">
        <f>+V13/SUM($V$13:$V$16)</f>
        <v>0.32565208690710917</v>
      </c>
      <c r="D6" s="118">
        <f>+B6-C6</f>
        <v>0.11685175560937844</v>
      </c>
      <c r="E6" s="118">
        <f>IFERROR(+D6/C6,0)</f>
        <v>0.35882391149149889</v>
      </c>
      <c r="F6" s="51"/>
      <c r="G6" s="51"/>
      <c r="H6" s="51"/>
      <c r="I6" s="96" t="e">
        <f>AVERAGE(F6:H6)</f>
        <v>#DIV/0!</v>
      </c>
      <c r="J6" s="118">
        <f>+F6-H6</f>
        <v>0</v>
      </c>
      <c r="K6" s="125">
        <f>IFERROR(+J6/H6,0)</f>
        <v>0</v>
      </c>
    </row>
    <row r="7" spans="1:32" x14ac:dyDescent="0.25">
      <c r="A7" s="24" t="s">
        <v>1104</v>
      </c>
      <c r="B7" s="51">
        <f>+R14/SUM($R$13:$R$16)</f>
        <v>2.6632812475966564E-2</v>
      </c>
      <c r="C7" s="96">
        <f>+V14/SUM($V$13:$V$16)</f>
        <v>2.5194566409259187E-2</v>
      </c>
      <c r="D7" s="118">
        <f t="shared" ref="D7:D21" si="0">+B7-C7</f>
        <v>1.4382460667073764E-3</v>
      </c>
      <c r="E7" s="118">
        <f t="shared" ref="E7:E30" si="1">IFERROR(+D7/C7,0)</f>
        <v>5.7085565329626407E-2</v>
      </c>
      <c r="F7" s="51"/>
      <c r="G7" s="51"/>
      <c r="H7" s="51"/>
      <c r="I7" s="96" t="e">
        <f t="shared" ref="I7:I27" si="2">AVERAGE(F7:H7)</f>
        <v>#DIV/0!</v>
      </c>
      <c r="J7" s="118">
        <f t="shared" ref="J7:J21" si="3">+F7-H7</f>
        <v>0</v>
      </c>
      <c r="K7" s="125">
        <f t="shared" ref="K7:K30" si="4">IFERROR(+J7/H7,0)</f>
        <v>0</v>
      </c>
    </row>
    <row r="8" spans="1:32" x14ac:dyDescent="0.25">
      <c r="A8" s="24" t="s">
        <v>1109</v>
      </c>
      <c r="B8" s="51">
        <f>+R15/SUM($R$13:$R$16)</f>
        <v>0.53086334500754573</v>
      </c>
      <c r="C8" s="96">
        <f>+V15/SUM($V$13:$V$16)</f>
        <v>0.64915334668363167</v>
      </c>
      <c r="D8" s="118">
        <f t="shared" si="0"/>
        <v>-0.11829000167608594</v>
      </c>
      <c r="E8" s="118">
        <f t="shared" si="1"/>
        <v>-0.18222197001740978</v>
      </c>
      <c r="F8" s="51"/>
      <c r="G8" s="51"/>
      <c r="H8" s="51"/>
      <c r="I8" s="96" t="e">
        <f t="shared" si="2"/>
        <v>#DIV/0!</v>
      </c>
      <c r="J8" s="118">
        <f t="shared" si="3"/>
        <v>0</v>
      </c>
      <c r="K8" s="125">
        <f t="shared" si="4"/>
        <v>0</v>
      </c>
    </row>
    <row r="9" spans="1:32" x14ac:dyDescent="0.25">
      <c r="A9" s="27" t="s">
        <v>181</v>
      </c>
      <c r="B9" s="91">
        <f>-SUM(R13:R16)</f>
        <v>123525.82</v>
      </c>
      <c r="C9" s="92">
        <f>-SUM(V13:V16)</f>
        <v>92012.119889924914</v>
      </c>
      <c r="D9" s="106">
        <f t="shared" si="0"/>
        <v>31513.700110075093</v>
      </c>
      <c r="E9" s="119">
        <f t="shared" si="1"/>
        <v>0.34249509899103803</v>
      </c>
      <c r="F9" s="91"/>
      <c r="G9" s="91"/>
      <c r="H9" s="91"/>
      <c r="I9" s="92">
        <f>SUM(F9:H9)</f>
        <v>0</v>
      </c>
      <c r="J9" s="106">
        <f t="shared" si="3"/>
        <v>0</v>
      </c>
      <c r="K9" s="123">
        <f t="shared" si="4"/>
        <v>0</v>
      </c>
    </row>
    <row r="10" spans="1:32" x14ac:dyDescent="0.25">
      <c r="A10" s="24" t="s">
        <v>1117</v>
      </c>
      <c r="B10" s="51">
        <f>+R18/R21</f>
        <v>3.0162252710064421E-2</v>
      </c>
      <c r="C10" s="96">
        <f>+V18/V21</f>
        <v>0.26301164281291628</v>
      </c>
      <c r="D10" s="118">
        <f t="shared" si="0"/>
        <v>-0.23284939010285186</v>
      </c>
      <c r="E10" s="118">
        <f t="shared" si="1"/>
        <v>-0.88531970528955162</v>
      </c>
      <c r="F10" s="53"/>
      <c r="G10" s="53"/>
      <c r="H10" s="53"/>
      <c r="I10" s="96" t="e">
        <f t="shared" si="2"/>
        <v>#DIV/0!</v>
      </c>
      <c r="J10" s="118">
        <f t="shared" si="3"/>
        <v>0</v>
      </c>
      <c r="K10" s="122">
        <f t="shared" si="4"/>
        <v>0</v>
      </c>
      <c r="R10" s="95" t="s">
        <v>1641</v>
      </c>
      <c r="S10" s="95" t="s">
        <v>1641</v>
      </c>
      <c r="T10" s="95" t="s">
        <v>1641</v>
      </c>
      <c r="V10" s="95" t="s">
        <v>1641</v>
      </c>
      <c r="W10" s="95" t="s">
        <v>1641</v>
      </c>
      <c r="X10" s="95" t="s">
        <v>1641</v>
      </c>
      <c r="Z10" s="95" t="s">
        <v>156</v>
      </c>
      <c r="AA10" s="95" t="s">
        <v>156</v>
      </c>
      <c r="AB10" s="95" t="s">
        <v>156</v>
      </c>
      <c r="AD10" s="95" t="s">
        <v>156</v>
      </c>
      <c r="AE10" s="95" t="s">
        <v>156</v>
      </c>
      <c r="AF10" s="95" t="s">
        <v>156</v>
      </c>
    </row>
    <row r="11" spans="1:32" x14ac:dyDescent="0.25">
      <c r="A11" s="24" t="s">
        <v>1019</v>
      </c>
      <c r="B11" s="51">
        <f>+R19/R21</f>
        <v>0.13486651127506172</v>
      </c>
      <c r="C11" s="96">
        <f>+V19/V21</f>
        <v>2.1904558304402102E-2</v>
      </c>
      <c r="D11" s="118">
        <f t="shared" si="0"/>
        <v>0.11296195297065961</v>
      </c>
      <c r="E11" s="118">
        <f t="shared" si="1"/>
        <v>5.1570066559140768</v>
      </c>
      <c r="F11" s="53"/>
      <c r="G11" s="53"/>
      <c r="H11" s="53"/>
      <c r="I11" s="96" t="e">
        <f t="shared" si="2"/>
        <v>#DIV/0!</v>
      </c>
      <c r="J11" s="118">
        <f t="shared" si="3"/>
        <v>0</v>
      </c>
      <c r="K11" s="122">
        <f t="shared" si="4"/>
        <v>0</v>
      </c>
      <c r="R11" s="95" t="s">
        <v>12</v>
      </c>
      <c r="S11" s="95" t="s">
        <v>12</v>
      </c>
      <c r="T11" s="95" t="s">
        <v>12</v>
      </c>
      <c r="V11" s="95" t="s">
        <v>1592</v>
      </c>
      <c r="W11" s="95" t="s">
        <v>1592</v>
      </c>
      <c r="X11" s="95" t="s">
        <v>1592</v>
      </c>
      <c r="Z11" s="95" t="s">
        <v>12</v>
      </c>
      <c r="AA11" s="95" t="s">
        <v>12</v>
      </c>
      <c r="AB11" s="95" t="s">
        <v>12</v>
      </c>
      <c r="AD11" s="95" t="s">
        <v>1592</v>
      </c>
      <c r="AE11" s="95" t="s">
        <v>1592</v>
      </c>
      <c r="AF11" s="95" t="s">
        <v>1592</v>
      </c>
    </row>
    <row r="12" spans="1:32" x14ac:dyDescent="0.25">
      <c r="A12" s="27" t="s">
        <v>1690</v>
      </c>
      <c r="B12" s="91">
        <f>-SUM(R17:R19)</f>
        <v>147940.21000000002</v>
      </c>
      <c r="C12" s="92">
        <f>-SUM(V17:V19)</f>
        <v>128673.19890856688</v>
      </c>
      <c r="D12" s="106">
        <f t="shared" si="0"/>
        <v>19267.011091433145</v>
      </c>
      <c r="E12" s="119">
        <f t="shared" si="1"/>
        <v>0.1497360076135511</v>
      </c>
      <c r="F12" s="91"/>
      <c r="G12" s="91"/>
      <c r="H12" s="91"/>
      <c r="I12" s="92">
        <f>SUM(F12:H12)</f>
        <v>0</v>
      </c>
      <c r="J12" s="106">
        <f t="shared" si="3"/>
        <v>0</v>
      </c>
      <c r="K12" s="123">
        <f t="shared" si="4"/>
        <v>0</v>
      </c>
      <c r="R12" s="95" t="s">
        <v>1642</v>
      </c>
      <c r="S12" s="95" t="s">
        <v>180</v>
      </c>
      <c r="T12" s="95" t="s">
        <v>153</v>
      </c>
      <c r="V12" s="95" t="s">
        <v>1642</v>
      </c>
      <c r="W12" s="95" t="s">
        <v>180</v>
      </c>
      <c r="X12" s="95" t="s">
        <v>153</v>
      </c>
      <c r="Z12" s="95" t="s">
        <v>1642</v>
      </c>
      <c r="AA12" s="95" t="s">
        <v>180</v>
      </c>
      <c r="AB12" s="95" t="s">
        <v>153</v>
      </c>
      <c r="AD12" s="95" t="s">
        <v>1642</v>
      </c>
      <c r="AE12" s="95" t="s">
        <v>180</v>
      </c>
      <c r="AF12" s="95" t="s">
        <v>153</v>
      </c>
    </row>
    <row r="13" spans="1:32" x14ac:dyDescent="0.25">
      <c r="A13" s="24" t="s">
        <v>1172</v>
      </c>
      <c r="B13" s="51">
        <f>+T13/R13</f>
        <v>0.77502901996225804</v>
      </c>
      <c r="C13" s="96">
        <f>+X13/V13</f>
        <v>0.69148021017104344</v>
      </c>
      <c r="D13" s="126">
        <f t="shared" si="0"/>
        <v>8.3548809791214595E-2</v>
      </c>
      <c r="E13" s="118">
        <f t="shared" si="1"/>
        <v>0.12082603169590074</v>
      </c>
      <c r="F13" s="51"/>
      <c r="G13" s="51"/>
      <c r="H13" s="51"/>
      <c r="I13" s="96" t="e">
        <f t="shared" si="2"/>
        <v>#DIV/0!</v>
      </c>
      <c r="J13" s="126">
        <f t="shared" si="3"/>
        <v>0</v>
      </c>
      <c r="K13" s="122">
        <f t="shared" si="4"/>
        <v>0</v>
      </c>
      <c r="M13" s="162">
        <v>440</v>
      </c>
      <c r="N13" s="3" t="s">
        <v>1095</v>
      </c>
      <c r="O13" s="3" t="s">
        <v>1172</v>
      </c>
      <c r="R13" s="52">
        <f>+SUMIFS(Export!$L:$L,Export!$I:$I,N13,Export!$E:$E,M13)</f>
        <v>-54660.65</v>
      </c>
      <c r="S13" s="52">
        <f>+SUMIFS(Export!$L:$L,Export!$I:$I,O13,Export!$E:$E,M13)</f>
        <v>12297.06</v>
      </c>
      <c r="T13" s="52">
        <f>+SUM(R13:S13)</f>
        <v>-42363.590000000004</v>
      </c>
      <c r="V13" s="52">
        <f>+SUMIFS(Export!$N:$N,Export!$I:$I,N13,Export!$E:$E,M13)</f>
        <v>-29963.938862901177</v>
      </c>
      <c r="W13" s="52">
        <f>+SUMIFS(Export!$N:$N,Export!$I:$I,O13,Export!$E:$E,M13)</f>
        <v>9244.4681204299723</v>
      </c>
      <c r="X13" s="52">
        <f>+SUM(V13:W13)</f>
        <v>-20719.470742471203</v>
      </c>
      <c r="Y13" s="168"/>
      <c r="Z13" s="52">
        <f>+SUMIF(Export!$I:$I,'NW SERVICE 440'!N13,Export!M:M)</f>
        <v>0</v>
      </c>
      <c r="AA13" s="52">
        <f>+SUMIF(Export!$I:$I,'NW SERVICE 440'!O13,Export!M:M)</f>
        <v>0</v>
      </c>
      <c r="AB13" s="52">
        <f>+SUM(Z13:AA13)</f>
        <v>0</v>
      </c>
      <c r="AD13" s="52">
        <f>+SUMIF(Export!$I:$I,'NW SERVICE 440'!N13,Export!$O:O)</f>
        <v>0</v>
      </c>
      <c r="AE13" s="52">
        <f>+SUMIF(Export!$I:$I,'NW SERVICE 440'!O13,Export!O:O)</f>
        <v>0</v>
      </c>
      <c r="AF13" s="52">
        <f>+SUM(AD13:AE13)</f>
        <v>0</v>
      </c>
    </row>
    <row r="14" spans="1:32" x14ac:dyDescent="0.25">
      <c r="A14" s="24" t="s">
        <v>1179</v>
      </c>
      <c r="B14" s="51">
        <f>+T14/R14</f>
        <v>0.73170731707317083</v>
      </c>
      <c r="C14" s="96">
        <f>+X14/V14</f>
        <v>0.67785886671090112</v>
      </c>
      <c r="D14" s="126">
        <f t="shared" si="0"/>
        <v>5.3848450362269706E-2</v>
      </c>
      <c r="E14" s="118">
        <f t="shared" si="1"/>
        <v>7.94390292828248E-2</v>
      </c>
      <c r="F14" s="51"/>
      <c r="G14" s="51"/>
      <c r="H14" s="51"/>
      <c r="I14" s="96" t="e">
        <f t="shared" si="2"/>
        <v>#DIV/0!</v>
      </c>
      <c r="J14" s="126">
        <f t="shared" si="3"/>
        <v>0</v>
      </c>
      <c r="K14" s="122">
        <f t="shared" si="4"/>
        <v>0</v>
      </c>
      <c r="M14" s="162">
        <v>440</v>
      </c>
      <c r="N14" s="3" t="s">
        <v>1104</v>
      </c>
      <c r="O14" s="3" t="s">
        <v>1179</v>
      </c>
      <c r="R14" s="52">
        <f>+SUMIFS(Export!$L:$L,Export!$I:$I,N14,Export!$E:$E,M14)</f>
        <v>-3289.84</v>
      </c>
      <c r="S14" s="52">
        <f>+SUMIFS(Export!$L:$L,Export!$I:$I,O14,Export!$E:$E,M14)</f>
        <v>882.64</v>
      </c>
      <c r="T14" s="52">
        <f>+SUM(R14:S14)</f>
        <v>-2407.2000000000003</v>
      </c>
      <c r="V14" s="52">
        <f>+SUMIFS(Export!$N:$N,Export!$I:$I,N14,Export!$E:$E,M14)</f>
        <v>-2318.2054650234313</v>
      </c>
      <c r="W14" s="52">
        <f>+SUMIFS(Export!$N:$N,Export!$I:$I,O14,Export!$E:$E,M14)</f>
        <v>746.78933569963044</v>
      </c>
      <c r="X14" s="52">
        <f t="shared" ref="X14:X16" si="5">+SUM(V14:W14)</f>
        <v>-1571.4161293238008</v>
      </c>
      <c r="Z14" s="52">
        <f>+SUMIF(Export!$I:$I,'NW SERVICE 440'!N14,Export!M:M)</f>
        <v>0</v>
      </c>
      <c r="AA14" s="52">
        <f>+SUMIF(Export!$I:$I,'NW SERVICE 440'!O14,Export!M:M)</f>
        <v>0</v>
      </c>
      <c r="AB14" s="52">
        <f t="shared" ref="AB14:AB16" si="6">+SUM(Z14:AA14)</f>
        <v>0</v>
      </c>
      <c r="AD14" s="52">
        <f>+SUMIF(Export!$I:$I,'NW SERVICE 440'!N14,Export!$O:O)</f>
        <v>0</v>
      </c>
      <c r="AE14" s="52">
        <f>+SUMIF(Export!$I:$I,'NW SERVICE 440'!O14,Export!O:O)</f>
        <v>0</v>
      </c>
      <c r="AF14" s="52">
        <f t="shared" ref="AF14:AF16" si="7">+SUM(AD14:AE14)</f>
        <v>0</v>
      </c>
    </row>
    <row r="15" spans="1:32" x14ac:dyDescent="0.25">
      <c r="A15" s="24" t="s">
        <v>1184</v>
      </c>
      <c r="B15" s="51">
        <f>+T15/R15</f>
        <v>0.79429077977953</v>
      </c>
      <c r="C15" s="96">
        <f>+X15/V15</f>
        <v>0.71694359324140566</v>
      </c>
      <c r="D15" s="126">
        <f t="shared" si="0"/>
        <v>7.7347186538124335E-2</v>
      </c>
      <c r="E15" s="118">
        <f t="shared" si="1"/>
        <v>0.10788461919078811</v>
      </c>
      <c r="F15" s="51"/>
      <c r="G15" s="51"/>
      <c r="H15" s="51"/>
      <c r="I15" s="96" t="e">
        <f t="shared" si="2"/>
        <v>#DIV/0!</v>
      </c>
      <c r="J15" s="126">
        <f t="shared" si="3"/>
        <v>0</v>
      </c>
      <c r="K15" s="122">
        <f t="shared" si="4"/>
        <v>0</v>
      </c>
      <c r="M15" s="162">
        <v>440</v>
      </c>
      <c r="N15" s="3" t="s">
        <v>1109</v>
      </c>
      <c r="O15" s="3" t="s">
        <v>1184</v>
      </c>
      <c r="R15" s="52">
        <f>+SUMIFS(Export!$L:$L,Export!$I:$I,N15,Export!$E:$E,M15)</f>
        <v>-65575.33</v>
      </c>
      <c r="S15" s="52">
        <f>+SUMIFS(Export!$L:$L,Export!$I:$I,O15,Export!$E:$E,M15)</f>
        <v>13489.45</v>
      </c>
      <c r="T15" s="52">
        <f>+SUM(R15:S15)</f>
        <v>-52085.880000000005</v>
      </c>
      <c r="V15" s="52">
        <f>+SUMIFS(Export!$N:$N,Export!$I:$I,N15,Export!$E:$E,M15)</f>
        <v>-59729.975562000305</v>
      </c>
      <c r="W15" s="52">
        <f>+SUMIFS(Export!$N:$N,Export!$I:$I,O15,Export!$E:$E,M15)</f>
        <v>16906.952258358455</v>
      </c>
      <c r="X15" s="52">
        <f t="shared" si="5"/>
        <v>-42823.02330364185</v>
      </c>
      <c r="Y15" s="169">
        <f>+SUM(X13:X15)-SUM(T13:T15)</f>
        <v>31742.75982456316</v>
      </c>
      <c r="Z15" s="52">
        <f>+SUMIF(Export!$I:$I,'NW SERVICE 440'!N15,Export!M:M)</f>
        <v>0</v>
      </c>
      <c r="AA15" s="52">
        <f>+SUMIF(Export!$I:$I,'NW SERVICE 440'!O15,Export!M:M)</f>
        <v>0</v>
      </c>
      <c r="AB15" s="52">
        <f t="shared" si="6"/>
        <v>0</v>
      </c>
      <c r="AD15" s="52">
        <f>+SUMIF(Export!$I:$I,'NW SERVICE 440'!N15,Export!$O:O)</f>
        <v>0</v>
      </c>
      <c r="AE15" s="52">
        <f>+SUMIF(Export!$I:$I,'NW SERVICE 440'!O15,Export!O:O)</f>
        <v>0</v>
      </c>
      <c r="AF15" s="52">
        <f t="shared" si="7"/>
        <v>0</v>
      </c>
    </row>
    <row r="16" spans="1:32" x14ac:dyDescent="0.25">
      <c r="A16" s="24" t="s">
        <v>1114</v>
      </c>
      <c r="B16" s="51">
        <f>+T16/SUM(S13:S16)</f>
        <v>0.31908472061158194</v>
      </c>
      <c r="C16" s="96">
        <f>+W16/SUM(W13:W16)</f>
        <v>0</v>
      </c>
      <c r="D16" s="126">
        <f t="shared" si="0"/>
        <v>0.31908472061158194</v>
      </c>
      <c r="E16" s="118">
        <f t="shared" si="1"/>
        <v>0</v>
      </c>
      <c r="F16" s="51"/>
      <c r="G16" s="51"/>
      <c r="H16" s="51"/>
      <c r="I16" s="96" t="e">
        <f t="shared" si="2"/>
        <v>#DIV/0!</v>
      </c>
      <c r="J16" s="126">
        <f t="shared" si="3"/>
        <v>0</v>
      </c>
      <c r="K16" s="122">
        <f t="shared" si="4"/>
        <v>0</v>
      </c>
      <c r="M16" s="162">
        <v>440</v>
      </c>
      <c r="O16" s="3" t="s">
        <v>1114</v>
      </c>
      <c r="R16" s="52">
        <f>+SUMIFS(Export!$L:$L,Export!$I:$I,N16,Export!$E:$E,M16)</f>
        <v>0</v>
      </c>
      <c r="S16" s="52">
        <f>+SUMIFS(Export!$L:$L,Export!$I:$I,O16,Export!$E:$E,M16)</f>
        <v>12497.47</v>
      </c>
      <c r="T16" s="52">
        <f>+SUM(R16:S16)</f>
        <v>12497.47</v>
      </c>
      <c r="V16" s="52">
        <f>+SUMIFS(Export!$N:$N,Export!$I:$I,N16,Export!$E:$E,M16)</f>
        <v>0</v>
      </c>
      <c r="W16" s="52">
        <f>+SUMIFS(Export!$N:$N,Export!$I:$I,O16,Export!$E:$E,M16)</f>
        <v>0</v>
      </c>
      <c r="X16" s="52">
        <f t="shared" si="5"/>
        <v>0</v>
      </c>
      <c r="Z16" s="52">
        <f>+SUMIF(Export!$I:$I,'NW SERVICE 440'!N16,Export!M:M)</f>
        <v>0</v>
      </c>
      <c r="AA16" s="52">
        <f>+SUMIF(Export!$I:$I,'NW SERVICE 440'!O16,Export!M:M)</f>
        <v>0</v>
      </c>
      <c r="AB16" s="52">
        <f t="shared" si="6"/>
        <v>0</v>
      </c>
      <c r="AD16" s="52">
        <f>+SUMIF(Export!$I:$I,'NW SERVICE 440'!N16,Export!$O:O)</f>
        <v>0</v>
      </c>
      <c r="AE16" s="52">
        <f>+SUMIF(Export!$I:$I,'NW SERVICE 440'!O16,Export!O:O)</f>
        <v>0</v>
      </c>
      <c r="AF16" s="52">
        <f t="shared" si="7"/>
        <v>0</v>
      </c>
    </row>
    <row r="17" spans="1:32" x14ac:dyDescent="0.25">
      <c r="A17" s="24" t="s">
        <v>1691</v>
      </c>
      <c r="B17" s="51">
        <f>+T17/SUM(R13:R16)</f>
        <v>0.68292766645872094</v>
      </c>
      <c r="C17" s="96">
        <f>+X17/SUM(V13:V16)</f>
        <v>0.70766666666666656</v>
      </c>
      <c r="D17" s="126">
        <f t="shared" si="0"/>
        <v>-2.4739000207945616E-2</v>
      </c>
      <c r="E17" s="118">
        <f t="shared" si="1"/>
        <v>-3.4958549516644774E-2</v>
      </c>
      <c r="F17" s="51"/>
      <c r="G17" s="51"/>
      <c r="H17" s="51"/>
      <c r="I17" s="96" t="e">
        <f t="shared" si="2"/>
        <v>#DIV/0!</v>
      </c>
      <c r="J17" s="126">
        <f t="shared" si="3"/>
        <v>0</v>
      </c>
      <c r="K17" s="122">
        <f t="shared" si="4"/>
        <v>0</v>
      </c>
      <c r="M17" s="162"/>
      <c r="R17" s="52">
        <f>SUM(R13:R16)</f>
        <v>-123525.82</v>
      </c>
      <c r="T17" s="52">
        <f>SUM(T13:T16)</f>
        <v>-84359.200000000012</v>
      </c>
      <c r="V17" s="52">
        <f>SUM(V13:V16)</f>
        <v>-92012.119889924914</v>
      </c>
      <c r="X17" s="52">
        <f>SUM(X13:X16)</f>
        <v>-65113.910175436853</v>
      </c>
      <c r="Z17" s="52">
        <f>SUM(Z13:Z16)</f>
        <v>0</v>
      </c>
      <c r="AB17" s="52">
        <f>SUM(AB13:AB16)</f>
        <v>0</v>
      </c>
      <c r="AD17" s="52">
        <f>SUM(AD13:AD16)</f>
        <v>0</v>
      </c>
      <c r="AF17" s="52">
        <f>SUM(AF13:AF16)</f>
        <v>0</v>
      </c>
    </row>
    <row r="18" spans="1:32" x14ac:dyDescent="0.25">
      <c r="A18" s="24" t="s">
        <v>1191</v>
      </c>
      <c r="B18" s="51">
        <f>+T18/R18</f>
        <v>0.22955441362015686</v>
      </c>
      <c r="C18" s="96">
        <f>+X18/V18</f>
        <v>0.33986254650281633</v>
      </c>
      <c r="D18" s="126">
        <f t="shared" si="0"/>
        <v>-0.11030813288265948</v>
      </c>
      <c r="E18" s="118">
        <f>IFERROR(+D18/C18,0)</f>
        <v>-0.324566899229496</v>
      </c>
      <c r="F18" s="51"/>
      <c r="G18" s="51"/>
      <c r="H18" s="51"/>
      <c r="I18" s="96" t="e">
        <f t="shared" si="2"/>
        <v>#DIV/0!</v>
      </c>
      <c r="J18" s="126">
        <f t="shared" si="3"/>
        <v>0</v>
      </c>
      <c r="K18" s="122">
        <f t="shared" si="4"/>
        <v>0</v>
      </c>
      <c r="M18" s="162">
        <v>440</v>
      </c>
      <c r="N18" s="3" t="s">
        <v>1117</v>
      </c>
      <c r="O18" s="3" t="s">
        <v>1191</v>
      </c>
      <c r="R18" s="52">
        <f>+SUMIFS(Export!$L:$L,Export!$I:$I,N18,Export!$E:$E,M18)</f>
        <v>-4462.21</v>
      </c>
      <c r="S18" s="52">
        <f>+SUMIFS(Export!$L:$L,Export!$I:$I,O18,Export!$E:$E,M18)</f>
        <v>3437.89</v>
      </c>
      <c r="T18" s="52">
        <f t="shared" ref="T18:T19" si="8">+SUM(R18:S18)</f>
        <v>-1024.3200000000002</v>
      </c>
      <c r="V18" s="52">
        <f>+SUMIFS(Export!$N:$N,Export!$I:$I,N18,Export!$E:$E,M18)</f>
        <v>-33842.549430935323</v>
      </c>
      <c r="W18" s="52">
        <f>+SUMIFS(Export!$N:$N,Export!$I:$I,O18,Export!$E:$E,M18)</f>
        <v>22340.734401190206</v>
      </c>
      <c r="X18" s="52">
        <f t="shared" ref="X18:X19" si="9">+SUM(V18:W18)</f>
        <v>-11501.815029745117</v>
      </c>
      <c r="Z18" s="52">
        <f>+SUMIF(Export!$I:$I,'NW SERVICE 440'!N18,Export!M:M)</f>
        <v>0</v>
      </c>
      <c r="AA18" s="52">
        <f>+SUMIF(Export!$I:$I,'NW SERVICE 440'!O18,Export!M:M)</f>
        <v>0</v>
      </c>
      <c r="AB18" s="52">
        <f t="shared" ref="AB18:AB19" si="10">+SUM(Z18:AA18)</f>
        <v>0</v>
      </c>
      <c r="AD18" s="52">
        <f>+SUMIF(Export!$I:$I,'NW SERVICE 440'!N18,Export!$O:O)</f>
        <v>0</v>
      </c>
      <c r="AE18" s="52">
        <f>+SUMIF(Export!$I:$I,'NW SERVICE 440'!O18,Export!O:O)</f>
        <v>0</v>
      </c>
      <c r="AF18" s="52">
        <f t="shared" ref="AF18:AF19" si="11">+SUM(AD18:AE18)</f>
        <v>0</v>
      </c>
    </row>
    <row r="19" spans="1:32" x14ac:dyDescent="0.25">
      <c r="A19" s="24" t="s">
        <v>1196</v>
      </c>
      <c r="B19" s="51">
        <f>+T19/R19</f>
        <v>0.5941977267646944</v>
      </c>
      <c r="C19" s="96">
        <f>IFERROR(+X19/V19,0)</f>
        <v>1</v>
      </c>
      <c r="D19" s="126">
        <f t="shared" si="0"/>
        <v>-0.4058022732353056</v>
      </c>
      <c r="E19" s="118">
        <f t="shared" si="1"/>
        <v>-0.4058022732353056</v>
      </c>
      <c r="F19" s="51"/>
      <c r="G19" s="51"/>
      <c r="H19" s="51"/>
      <c r="I19" s="96" t="e">
        <f t="shared" si="2"/>
        <v>#DIV/0!</v>
      </c>
      <c r="J19" s="126">
        <f t="shared" si="3"/>
        <v>0</v>
      </c>
      <c r="K19" s="122">
        <f t="shared" si="4"/>
        <v>0</v>
      </c>
      <c r="M19" s="162">
        <v>440</v>
      </c>
      <c r="N19" s="3" t="s">
        <v>1019</v>
      </c>
      <c r="O19" s="3" t="s">
        <v>1196</v>
      </c>
      <c r="R19" s="52">
        <f>+SUMIFS(Export!$L:$L,Export!$I:$I,N19,Export!$E:$E,M19)</f>
        <v>-19952.18</v>
      </c>
      <c r="S19" s="52">
        <f>+SUMIFS(Export!$L:$L,Export!$I:$I,O19,Export!$E:$E,M19)</f>
        <v>8096.6399999999994</v>
      </c>
      <c r="T19" s="52">
        <f t="shared" si="8"/>
        <v>-11855.54</v>
      </c>
      <c r="V19" s="52">
        <f>+SUMIFS(Export!$N:$N,Export!$I:$I,N19,Export!$E:$E,M19)</f>
        <v>-2818.5295877066319</v>
      </c>
      <c r="W19" s="52">
        <f>+SUMIFS(Export!$N:$N,Export!$I:$I,O19,Export!$E:$E,M19)</f>
        <v>0</v>
      </c>
      <c r="X19" s="52">
        <f t="shared" si="9"/>
        <v>-2818.5295877066319</v>
      </c>
      <c r="Z19" s="52">
        <f>+SUMIF(Export!$I:$I,'NW SERVICE 440'!N19,Export!M:M)</f>
        <v>0</v>
      </c>
      <c r="AA19" s="52">
        <f>+SUMIF(Export!$I:$I,'NW SERVICE 440'!O19,Export!M:M)</f>
        <v>0</v>
      </c>
      <c r="AB19" s="52">
        <f t="shared" si="10"/>
        <v>0</v>
      </c>
      <c r="AD19" s="52">
        <f>+SUMIF(Export!$I:$I,'NW SERVICE 440'!N19,Export!$O:O)</f>
        <v>0</v>
      </c>
      <c r="AE19" s="52">
        <f>+SUMIF(Export!$I:$I,'NW SERVICE 440'!O19,Export!O:O)</f>
        <v>0</v>
      </c>
      <c r="AF19" s="52">
        <f t="shared" si="11"/>
        <v>0</v>
      </c>
    </row>
    <row r="20" spans="1:32" x14ac:dyDescent="0.25">
      <c r="A20" s="24" t="s">
        <v>1692</v>
      </c>
      <c r="B20" s="51">
        <f>+T21/R21</f>
        <v>0.6572862104224404</v>
      </c>
      <c r="C20" s="96">
        <f>+X21/V21</f>
        <v>0.61733333333333329</v>
      </c>
      <c r="D20" s="126">
        <f t="shared" si="0"/>
        <v>3.9952877089107108E-2</v>
      </c>
      <c r="E20" s="118">
        <f t="shared" si="1"/>
        <v>6.4718483405681065E-2</v>
      </c>
      <c r="F20" s="51"/>
      <c r="G20" s="51"/>
      <c r="H20" s="51"/>
      <c r="I20" s="96" t="e">
        <f t="shared" si="2"/>
        <v>#DIV/0!</v>
      </c>
      <c r="J20" s="126">
        <f t="shared" si="3"/>
        <v>0</v>
      </c>
      <c r="K20" s="122">
        <f t="shared" si="4"/>
        <v>0</v>
      </c>
      <c r="M20" s="162"/>
    </row>
    <row r="21" spans="1:32" x14ac:dyDescent="0.25">
      <c r="A21" s="27" t="s">
        <v>1693</v>
      </c>
      <c r="B21" s="91">
        <f>-T21</f>
        <v>97239.060000000027</v>
      </c>
      <c r="C21" s="92">
        <f>-X21</f>
        <v>79434.254792888605</v>
      </c>
      <c r="D21" s="106">
        <f t="shared" si="0"/>
        <v>17804.805207111422</v>
      </c>
      <c r="E21" s="119">
        <f t="shared" si="1"/>
        <v>0.22414517834320272</v>
      </c>
      <c r="F21" s="91"/>
      <c r="G21" s="91"/>
      <c r="H21" s="91"/>
      <c r="I21" s="92">
        <f>SUM(F21:H21)</f>
        <v>0</v>
      </c>
      <c r="J21" s="106">
        <f t="shared" si="3"/>
        <v>0</v>
      </c>
      <c r="K21" s="123">
        <f t="shared" si="4"/>
        <v>0</v>
      </c>
      <c r="M21" s="162"/>
      <c r="R21" s="52">
        <f>+SUM(R17:R19)</f>
        <v>-147940.21000000002</v>
      </c>
      <c r="T21" s="52">
        <f>+SUM(T17:T19)</f>
        <v>-97239.060000000027</v>
      </c>
      <c r="V21" s="52">
        <f>+SUM(V17:V19)</f>
        <v>-128673.19890856688</v>
      </c>
      <c r="X21" s="52">
        <f>+SUM(X17:X19)</f>
        <v>-79434.254792888605</v>
      </c>
      <c r="Z21" s="52">
        <f>+SUM(Z17:Z19)</f>
        <v>0</v>
      </c>
      <c r="AB21" s="52">
        <f>+SUM(AB17:AB19)</f>
        <v>0</v>
      </c>
      <c r="AD21" s="52">
        <f>+SUM(AD17:AD19)</f>
        <v>0</v>
      </c>
      <c r="AF21" s="52">
        <f>+SUM(AF17:AF19)</f>
        <v>0</v>
      </c>
    </row>
    <row r="22" spans="1:32" ht="15.6" customHeight="1" x14ac:dyDescent="0.25">
      <c r="A22" s="24" t="s">
        <v>1252</v>
      </c>
      <c r="B22" s="51">
        <f>-T22/R21</f>
        <v>0.33965322882805155</v>
      </c>
      <c r="C22" s="96">
        <f>-X22/V21</f>
        <v>0.10910357025521286</v>
      </c>
      <c r="D22" s="118">
        <f>+C22-B22</f>
        <v>-0.23054965857283868</v>
      </c>
      <c r="E22" s="118">
        <f t="shared" si="1"/>
        <v>-2.1131266193539</v>
      </c>
      <c r="F22" s="51"/>
      <c r="G22" s="51"/>
      <c r="H22" s="51"/>
      <c r="I22" s="96" t="e">
        <f t="shared" si="2"/>
        <v>#DIV/0!</v>
      </c>
      <c r="J22" s="118">
        <f>+H22-F22</f>
        <v>0</v>
      </c>
      <c r="K22" s="122">
        <f t="shared" si="4"/>
        <v>0</v>
      </c>
      <c r="M22" s="162">
        <v>440</v>
      </c>
      <c r="N22" s="3" t="s">
        <v>1252</v>
      </c>
      <c r="T22" s="52">
        <f>+SUMIFS(Export!$L:$L,Export!$I:$I,N22,Export!$E:$E,M22)</f>
        <v>50248.37</v>
      </c>
      <c r="X22" s="52">
        <f>+SUMIFS(Export!$N:$N,Export!$I:$I,N22,Export!$E:$E,M22)</f>
        <v>14038.705397083804</v>
      </c>
      <c r="AB22" s="52">
        <f>+SUMIF(Export!$I:$I,'NW SERVICE 440'!N22,Export!M:M)</f>
        <v>0</v>
      </c>
      <c r="AF22" s="52">
        <f>+SUMIF(Export!$I:$I,'NW SERVICE 440'!N22,Export!O:O)</f>
        <v>0</v>
      </c>
    </row>
    <row r="23" spans="1:32" x14ac:dyDescent="0.25">
      <c r="A23" s="24" t="s">
        <v>1286</v>
      </c>
      <c r="B23" s="51">
        <f>-T23/R21</f>
        <v>6.4833894720035867E-2</v>
      </c>
      <c r="C23" s="96">
        <f>-X23/V21</f>
        <v>0.3700360574301445</v>
      </c>
      <c r="D23" s="118">
        <f t="shared" ref="D23:D24" si="12">+C23-B23</f>
        <v>0.30520216271010864</v>
      </c>
      <c r="E23" s="118">
        <f t="shared" si="1"/>
        <v>0.82479033213601016</v>
      </c>
      <c r="F23" s="51"/>
      <c r="G23" s="51"/>
      <c r="H23" s="51"/>
      <c r="I23" s="96" t="e">
        <f t="shared" si="2"/>
        <v>#DIV/0!</v>
      </c>
      <c r="J23" s="118">
        <f t="shared" ref="J23:J24" si="13">+H23-F23</f>
        <v>0</v>
      </c>
      <c r="K23" s="122">
        <f t="shared" si="4"/>
        <v>0</v>
      </c>
      <c r="M23" s="162">
        <v>440</v>
      </c>
      <c r="N23" s="3" t="s">
        <v>1286</v>
      </c>
      <c r="T23" s="52">
        <f>+SUMIFS(Export!$L:$L,Export!$I:$I,N23,Export!$E:$E,M23)</f>
        <v>9591.5399999999991</v>
      </c>
      <c r="X23" s="52">
        <f>+SUMIFS(Export!$N:$N,Export!$I:$I,N23,Export!$E:$E,M23)</f>
        <v>47613.723221050859</v>
      </c>
      <c r="AB23" s="52">
        <f>+SUMIF(Export!J:J,'NW SERVICE 440'!N23,Export!M:M)</f>
        <v>0</v>
      </c>
      <c r="AF23" s="52">
        <f>+SUMIF(Export!$J:$J,'NW SERVICE 440'!N23,Export!O:O)</f>
        <v>0</v>
      </c>
    </row>
    <row r="24" spans="1:32" x14ac:dyDescent="0.25">
      <c r="A24" s="24" t="s">
        <v>1674</v>
      </c>
      <c r="B24" s="53">
        <f>+SUM(B22:B23)</f>
        <v>0.40448712354808741</v>
      </c>
      <c r="C24" s="96">
        <f>+SUM(C22:C23)</f>
        <v>0.47913962768535734</v>
      </c>
      <c r="D24" s="118">
        <f t="shared" si="12"/>
        <v>7.4652504137269926E-2</v>
      </c>
      <c r="E24" s="118">
        <f t="shared" si="1"/>
        <v>0.15580532233976049</v>
      </c>
      <c r="F24" s="51"/>
      <c r="G24" s="51"/>
      <c r="H24" s="51"/>
      <c r="I24" s="96" t="e">
        <f t="shared" si="2"/>
        <v>#DIV/0!</v>
      </c>
      <c r="J24" s="118">
        <f t="shared" si="13"/>
        <v>0</v>
      </c>
      <c r="K24" s="122">
        <f t="shared" si="4"/>
        <v>0</v>
      </c>
    </row>
    <row r="25" spans="1:32" x14ac:dyDescent="0.25">
      <c r="A25" s="24" t="s">
        <v>1675</v>
      </c>
      <c r="B25" s="53">
        <f>+B20-B24</f>
        <v>0.25279908687435299</v>
      </c>
      <c r="C25" s="96">
        <f>+C20-C24</f>
        <v>0.13819370564797595</v>
      </c>
      <c r="D25" s="118">
        <f t="shared" ref="D25:D30" si="14">+B25-C25</f>
        <v>0.11460538122637703</v>
      </c>
      <c r="E25" s="118">
        <f t="shared" si="1"/>
        <v>0.82930970472934562</v>
      </c>
      <c r="F25" s="51"/>
      <c r="G25" s="51"/>
      <c r="H25" s="51"/>
      <c r="I25" s="96" t="e">
        <f t="shared" si="2"/>
        <v>#DIV/0!</v>
      </c>
      <c r="J25" s="118">
        <f t="shared" ref="J25:J30" si="15">+F25-H25</f>
        <v>0</v>
      </c>
      <c r="K25" s="122">
        <f t="shared" si="4"/>
        <v>0</v>
      </c>
    </row>
    <row r="26" spans="1:32" s="28" customFormat="1" x14ac:dyDescent="0.25">
      <c r="A26" s="27" t="s">
        <v>1695</v>
      </c>
      <c r="B26" s="91">
        <f>-T26</f>
        <v>37399.150000000023</v>
      </c>
      <c r="C26" s="92">
        <f>-X26</f>
        <v>17781.826174753944</v>
      </c>
      <c r="D26" s="106">
        <f t="shared" si="14"/>
        <v>19617.32382524608</v>
      </c>
      <c r="E26" s="119">
        <f t="shared" si="1"/>
        <v>1.1032232366042423</v>
      </c>
      <c r="F26" s="91"/>
      <c r="G26" s="91"/>
      <c r="H26" s="91"/>
      <c r="I26" s="92">
        <f>SUM(F26:H26)</f>
        <v>0</v>
      </c>
      <c r="J26" s="106">
        <f t="shared" si="15"/>
        <v>0</v>
      </c>
      <c r="K26" s="123">
        <f t="shared" si="4"/>
        <v>0</v>
      </c>
      <c r="N26" s="50"/>
      <c r="O26" s="50"/>
      <c r="T26" s="69">
        <f>+SUM(T21:T25)</f>
        <v>-37399.150000000023</v>
      </c>
      <c r="X26" s="69">
        <f>+SUM(X21:X25)</f>
        <v>-17781.826174753944</v>
      </c>
      <c r="AB26" s="69">
        <f>+SUM(AB21:AB25)</f>
        <v>0</v>
      </c>
      <c r="AF26" s="69">
        <f>+SUM(AF21:AF25)</f>
        <v>0</v>
      </c>
    </row>
    <row r="27" spans="1:32" x14ac:dyDescent="0.25">
      <c r="A27" s="24" t="s">
        <v>1696</v>
      </c>
      <c r="B27" s="155">
        <f>+'NW PARTS 430'!R18/'NW SERVICE 440'!R13</f>
        <v>0.59359356319399781</v>
      </c>
      <c r="C27" s="156">
        <f>+'NW PARTS 430'!V18/'NW SERVICE 440'!V13</f>
        <v>0.4912943640340679</v>
      </c>
      <c r="D27" s="157">
        <f t="shared" si="14"/>
        <v>0.10229919915992991</v>
      </c>
      <c r="E27" s="118">
        <f t="shared" si="1"/>
        <v>0.20822384022470927</v>
      </c>
      <c r="F27" s="158"/>
      <c r="G27" s="158"/>
      <c r="H27" s="158"/>
      <c r="I27" s="156" t="e">
        <f t="shared" si="2"/>
        <v>#DIV/0!</v>
      </c>
      <c r="J27" s="157">
        <f t="shared" si="15"/>
        <v>0</v>
      </c>
      <c r="K27" s="122">
        <f t="shared" si="4"/>
        <v>0</v>
      </c>
      <c r="P27" s="3"/>
      <c r="Q27" s="3"/>
      <c r="R27" s="3"/>
      <c r="S27" s="3"/>
      <c r="T27" s="3"/>
    </row>
    <row r="28" spans="1:32" s="28" customFormat="1" x14ac:dyDescent="0.25">
      <c r="A28" s="27" t="s">
        <v>1697</v>
      </c>
      <c r="B28" s="91">
        <f>-SUM(R13:R16)/B33</f>
        <v>19003.972307692307</v>
      </c>
      <c r="C28" s="92">
        <f>-SUM(V13:V16)/C33</f>
        <v>16729.476343622711</v>
      </c>
      <c r="D28" s="106">
        <f t="shared" si="14"/>
        <v>2274.4959640695961</v>
      </c>
      <c r="E28" s="119">
        <f t="shared" si="1"/>
        <v>0.13595739145395519</v>
      </c>
      <c r="F28" s="91"/>
      <c r="G28" s="91"/>
      <c r="H28" s="91"/>
      <c r="I28" s="92" t="e">
        <f>AVERAGE(F28:H28)</f>
        <v>#DIV/0!</v>
      </c>
      <c r="J28" s="106">
        <f t="shared" si="15"/>
        <v>0</v>
      </c>
      <c r="K28" s="123">
        <f t="shared" si="4"/>
        <v>0</v>
      </c>
      <c r="N28" s="50"/>
      <c r="O28" s="50"/>
    </row>
    <row r="29" spans="1:32" s="28" customFormat="1" x14ac:dyDescent="0.25">
      <c r="A29" s="27" t="s">
        <v>1698</v>
      </c>
      <c r="B29" s="91">
        <f>-SUM(T17/B33)</f>
        <v>12978.338461538464</v>
      </c>
      <c r="C29" s="92">
        <f>-SUM(X17/C33)</f>
        <v>11838.892759170338</v>
      </c>
      <c r="D29" s="106">
        <f t="shared" si="14"/>
        <v>1139.4457023681261</v>
      </c>
      <c r="E29" s="119">
        <f t="shared" si="1"/>
        <v>9.6245968736013598E-2</v>
      </c>
      <c r="F29" s="91"/>
      <c r="G29" s="91"/>
      <c r="H29" s="91"/>
      <c r="I29" s="92" t="e">
        <f>AVERAGE(F29:H29)</f>
        <v>#DIV/0!</v>
      </c>
      <c r="J29" s="106">
        <f t="shared" si="15"/>
        <v>0</v>
      </c>
      <c r="K29" s="123">
        <f t="shared" si="4"/>
        <v>0</v>
      </c>
      <c r="N29" s="50"/>
      <c r="O29" s="50"/>
    </row>
    <row r="30" spans="1:32" s="28" customFormat="1" ht="15.75" thickBot="1" x14ac:dyDescent="0.3">
      <c r="A30" s="29" t="s">
        <v>1699</v>
      </c>
      <c r="B30" s="94">
        <f>+B26/B33</f>
        <v>5753.7153846153878</v>
      </c>
      <c r="C30" s="93">
        <f>+C26/C33</f>
        <v>3233.0593045007172</v>
      </c>
      <c r="D30" s="107">
        <f t="shared" si="14"/>
        <v>2520.6560801146707</v>
      </c>
      <c r="E30" s="120">
        <f t="shared" si="1"/>
        <v>0.77965043097282027</v>
      </c>
      <c r="F30" s="94"/>
      <c r="G30" s="94"/>
      <c r="H30" s="94"/>
      <c r="I30" s="93" t="e">
        <f>AVERAGE(F30:H30)</f>
        <v>#DIV/0!</v>
      </c>
      <c r="J30" s="107">
        <f t="shared" si="15"/>
        <v>0</v>
      </c>
      <c r="K30" s="124">
        <f t="shared" si="4"/>
        <v>0</v>
      </c>
      <c r="N30" s="50"/>
      <c r="O30" s="50"/>
    </row>
    <row r="31" spans="1:32" ht="0" hidden="1" customHeight="1" x14ac:dyDescent="0.25">
      <c r="E31" s="121"/>
      <c r="K31" s="121"/>
    </row>
    <row r="32" spans="1:32" ht="15.75" thickTop="1" x14ac:dyDescent="0.25">
      <c r="E32" s="121"/>
      <c r="K32" s="121"/>
    </row>
    <row r="33" spans="1:18" x14ac:dyDescent="0.25">
      <c r="A33" s="24" t="s">
        <v>1700</v>
      </c>
      <c r="B33" s="239">
        <f>+SUMIF('TUNZ Extracted TB'!M:M,'NW SERVICE 440'!R33,'TUNZ Extracted TB'!H:H)+(+SUMIF('TUNZ Extracted TB'!M:M,'NW SERVICE 440'!R34,'TUNZ Extracted TB'!H:H))/2</f>
        <v>6.5</v>
      </c>
      <c r="C33" s="12">
        <f>HLOOKUP(J1,'Input Sheet'!1:1048576,94,FALSE)</f>
        <v>5.5</v>
      </c>
      <c r="D33" s="149"/>
      <c r="E33" s="149"/>
      <c r="F33" s="12"/>
      <c r="G33" s="12"/>
      <c r="H33" s="12"/>
      <c r="I33" s="12" t="e">
        <f>AVERAGE(F33:H33)</f>
        <v>#DIV/0!</v>
      </c>
      <c r="J33" s="149"/>
      <c r="K33" s="121"/>
      <c r="N33" s="3" t="s">
        <v>1701</v>
      </c>
      <c r="O33" s="3" t="s">
        <v>1702</v>
      </c>
      <c r="P33" s="3" t="s">
        <v>1703</v>
      </c>
      <c r="Q33" s="3" t="s">
        <v>1704</v>
      </c>
      <c r="R33" s="3" t="s">
        <v>1705</v>
      </c>
    </row>
    <row r="34" spans="1:18" x14ac:dyDescent="0.25">
      <c r="K34" s="121"/>
      <c r="N34" s="3" t="s">
        <v>1706</v>
      </c>
      <c r="O34" s="3" t="s">
        <v>1707</v>
      </c>
      <c r="P34" s="3" t="s">
        <v>1708</v>
      </c>
      <c r="Q34" s="3" t="s">
        <v>1709</v>
      </c>
      <c r="R34" s="3" t="s">
        <v>1710</v>
      </c>
    </row>
    <row r="35" spans="1:18" x14ac:dyDescent="0.25">
      <c r="C35" s="195"/>
      <c r="K35" s="121"/>
    </row>
    <row r="36" spans="1:18" x14ac:dyDescent="0.25">
      <c r="C36" s="195"/>
    </row>
    <row r="37" spans="1:18" x14ac:dyDescent="0.25">
      <c r="C37" s="269"/>
    </row>
    <row r="38" spans="1:18" x14ac:dyDescent="0.25">
      <c r="A38" s="27" t="s">
        <v>20</v>
      </c>
      <c r="B38" s="91">
        <f>-SUMIF(Export!$P:$P,$N$38,Export!$L:$L)</f>
        <v>0</v>
      </c>
      <c r="C38" s="92">
        <f>-'Input Sheet'!W177</f>
        <v>18750</v>
      </c>
      <c r="N38" s="3" t="s">
        <v>1716</v>
      </c>
    </row>
    <row r="39" spans="1:18" x14ac:dyDescent="0.25">
      <c r="A39" s="27" t="s">
        <v>1711</v>
      </c>
      <c r="B39" s="91">
        <f>B26+B38</f>
        <v>37399.150000000023</v>
      </c>
      <c r="C39" s="92">
        <f>C26+C38</f>
        <v>36531.826174753944</v>
      </c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520C1-DED6-4AAE-B8DE-A6290289399D}">
  <sheetPr>
    <tabColor theme="9" tint="0.79998168889431442"/>
  </sheetPr>
  <dimension ref="A1:AJ30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9" width="9.7109375" style="16" customWidth="1"/>
    <col min="10" max="11" width="9.7109375" style="16" hidden="1" customWidth="1"/>
    <col min="12" max="12" width="9.140625" style="16" customWidth="1"/>
    <col min="13" max="13" width="9.140625" style="16"/>
    <col min="14" max="14" width="11.7109375" style="3" customWidth="1" outlineLevel="1"/>
    <col min="15" max="18" width="9.140625" style="16" customWidth="1" outlineLevel="1"/>
    <col min="19" max="20" width="11.7109375" style="3" customWidth="1" outlineLevel="1"/>
    <col min="21" max="21" width="11.7109375" style="59" customWidth="1" outlineLevel="1"/>
    <col min="22" max="25" width="9.140625" style="17" customWidth="1" outlineLevel="1"/>
    <col min="26" max="36" width="9.140625" style="16" customWidth="1" outlineLevel="1"/>
    <col min="37" max="16384" width="9.140625" style="16"/>
  </cols>
  <sheetData>
    <row r="1" spans="1:25" ht="15" customHeight="1" x14ac:dyDescent="0.25">
      <c r="A1" s="326" t="s">
        <v>1604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53"/>
    </row>
    <row r="2" spans="1:25" ht="12.2" customHeight="1" thickBot="1" x14ac:dyDescent="0.3"/>
    <row r="3" spans="1:25" ht="15.75" thickTop="1" x14ac:dyDescent="0.25">
      <c r="A3" s="44" t="s">
        <v>1591</v>
      </c>
      <c r="B3" s="354" t="s">
        <v>155</v>
      </c>
      <c r="C3" s="329"/>
      <c r="D3" s="329"/>
      <c r="E3" s="329"/>
      <c r="F3" s="354" t="s">
        <v>155</v>
      </c>
      <c r="G3" s="354"/>
      <c r="H3" s="329"/>
      <c r="I3" s="329"/>
      <c r="J3" s="329"/>
      <c r="K3" s="345"/>
    </row>
    <row r="4" spans="1:25" ht="15" customHeight="1" x14ac:dyDescent="0.25">
      <c r="A4" s="45" t="s">
        <v>1591</v>
      </c>
      <c r="B4" s="46"/>
      <c r="C4" s="46"/>
      <c r="D4" s="352"/>
      <c r="E4" s="331"/>
      <c r="F4" s="46"/>
      <c r="G4" s="46"/>
      <c r="H4" s="46"/>
      <c r="I4" s="46"/>
      <c r="J4" s="352" t="s">
        <v>1608</v>
      </c>
      <c r="K4" s="347"/>
      <c r="U4" s="97" t="s">
        <v>1641</v>
      </c>
      <c r="V4" s="97" t="s">
        <v>1641</v>
      </c>
      <c r="X4" s="17" t="s">
        <v>156</v>
      </c>
    </row>
    <row r="5" spans="1:25" x14ac:dyDescent="0.25">
      <c r="A5" s="45" t="s">
        <v>1717</v>
      </c>
      <c r="B5" s="47" t="s">
        <v>12</v>
      </c>
      <c r="C5" s="47" t="s">
        <v>1592</v>
      </c>
      <c r="D5" s="48" t="s">
        <v>1609</v>
      </c>
      <c r="E5" s="48" t="s">
        <v>1610</v>
      </c>
      <c r="F5" s="263" t="str">
        <f>OVERALL!F5</f>
        <v>0124</v>
      </c>
      <c r="G5" s="263" t="str">
        <f>OVERALL!G5</f>
        <v>0224</v>
      </c>
      <c r="H5" s="263" t="str">
        <f>OVERALL!H5</f>
        <v>0324</v>
      </c>
      <c r="I5" s="47" t="str">
        <f>OVERALL!I5</f>
        <v>Q124</v>
      </c>
      <c r="J5" s="48" t="s">
        <v>1609</v>
      </c>
      <c r="K5" s="49" t="s">
        <v>1610</v>
      </c>
      <c r="U5" s="97" t="s">
        <v>12</v>
      </c>
      <c r="V5" s="98" t="s">
        <v>1592</v>
      </c>
      <c r="X5" s="97" t="s">
        <v>12</v>
      </c>
      <c r="Y5" s="98" t="s">
        <v>1592</v>
      </c>
    </row>
    <row r="6" spans="1:25" s="28" customFormat="1" x14ac:dyDescent="0.25">
      <c r="A6" s="27" t="s">
        <v>1718</v>
      </c>
      <c r="B6" s="54">
        <f>+SUMIF(Export!H:H,"Admin &amp; Other",Export!L:L)</f>
        <v>571135.65999999992</v>
      </c>
      <c r="C6" s="82">
        <f>+SUMIF(Export!H:H,"Admin &amp; Other",Export!N:N)</f>
        <v>540000.00000000012</v>
      </c>
      <c r="D6" s="106">
        <f>+C6-B6</f>
        <v>-31135.6599999998</v>
      </c>
      <c r="E6" s="119">
        <f>IFERROR(+D6/C6,0)</f>
        <v>-5.7658629629629247E-2</v>
      </c>
      <c r="F6" s="54"/>
      <c r="G6" s="54"/>
      <c r="H6" s="54"/>
      <c r="I6" s="82">
        <f>SUM(F6:H6)</f>
        <v>0</v>
      </c>
      <c r="J6" s="110">
        <f>+H6-F6</f>
        <v>0</v>
      </c>
      <c r="K6" s="123">
        <f>IFERROR(+J6/H6,0)</f>
        <v>0</v>
      </c>
      <c r="M6" s="236"/>
      <c r="N6" s="3"/>
      <c r="S6" s="3" t="s">
        <v>1719</v>
      </c>
      <c r="T6" s="3"/>
      <c r="U6" s="59">
        <f>+'NEW VEHICLE GROUP'!B12</f>
        <v>246575.03999999998</v>
      </c>
      <c r="V6" s="59">
        <f>+'NEW VEHICLE GROUP'!C12</f>
        <v>243750</v>
      </c>
      <c r="W6" s="59"/>
      <c r="X6" s="59">
        <f>+'NEW VEHICLE GROUP'!F12</f>
        <v>246575.03999999998</v>
      </c>
      <c r="Y6" s="59">
        <f>+'NEW VEHICLE GROUP'!H12</f>
        <v>0</v>
      </c>
    </row>
    <row r="7" spans="1:25" ht="13.5" customHeight="1" x14ac:dyDescent="0.25">
      <c r="A7" s="24" t="s">
        <v>1276</v>
      </c>
      <c r="B7" s="51">
        <f>SUMIFS(Export!L:L,Export!H:H,"Admin &amp; Other",Export!I:I,N7)/$U$11</f>
        <v>0.1520908438341865</v>
      </c>
      <c r="C7" s="96">
        <f>SUMIFS(Export!N:N,Export!H:H,"Admin &amp; Other",Export!I:I,N7)/$V$11</f>
        <v>0.12416510118525956</v>
      </c>
      <c r="D7" s="118">
        <f>+C7-B7</f>
        <v>-2.7925742648926943E-2</v>
      </c>
      <c r="E7" s="118">
        <f t="shared" ref="E7:E16" si="0">IFERROR(+D7/C7,0)</f>
        <v>-0.22490814554454042</v>
      </c>
      <c r="F7" s="51"/>
      <c r="G7" s="51"/>
      <c r="H7" s="51"/>
      <c r="I7" s="96" t="e">
        <f>AVERAGE(F7:H7)</f>
        <v>#DIV/0!</v>
      </c>
      <c r="J7" s="118">
        <f>+H7-F7</f>
        <v>0</v>
      </c>
      <c r="K7" s="122">
        <f t="shared" ref="K7:K16" si="1">IFERROR(+J7/H7,0)</f>
        <v>0</v>
      </c>
      <c r="N7" s="3" t="s">
        <v>1276</v>
      </c>
      <c r="S7" s="3" t="s">
        <v>1720</v>
      </c>
      <c r="U7" s="59">
        <f>+'USED VEHICLE GROUP'!B24</f>
        <v>244080.81000000011</v>
      </c>
      <c r="V7" s="59">
        <f>+'USED VEHICLE GROUP'!C24</f>
        <v>280611.11111111112</v>
      </c>
      <c r="W7" s="59"/>
      <c r="X7" s="59">
        <f>+'USED VEHICLE GROUP'!F24</f>
        <v>249151.4800000001</v>
      </c>
      <c r="Y7" s="59">
        <f>+'USED VEHICLE GROUP'!H24</f>
        <v>0</v>
      </c>
    </row>
    <row r="8" spans="1:25" x14ac:dyDescent="0.25">
      <c r="A8" s="24" t="s">
        <v>1434</v>
      </c>
      <c r="B8" s="51">
        <f>SUMIFS(Export!L:L,Export!H:H,"Admin &amp; Other",Export!I:I,N8)/$U$11</f>
        <v>0.10662343592430705</v>
      </c>
      <c r="C8" s="96">
        <f>SUMIFS(Export!N:N,Export!H:H,"Admin &amp; Other",Export!I:I,N8)/$V$11</f>
        <v>9.4298576386273578E-2</v>
      </c>
      <c r="D8" s="126">
        <f t="shared" ref="D8:D16" si="2">+C8-B8</f>
        <v>-1.2324859538033472E-2</v>
      </c>
      <c r="E8" s="118">
        <f t="shared" si="0"/>
        <v>-0.13070037757036088</v>
      </c>
      <c r="F8" s="51"/>
      <c r="G8" s="51"/>
      <c r="H8" s="51"/>
      <c r="I8" s="96" t="e">
        <f t="shared" ref="I8:I16" si="3">AVERAGE(F8:H8)</f>
        <v>#DIV/0!</v>
      </c>
      <c r="J8" s="126">
        <f t="shared" ref="J8:J15" si="4">+H8-F8</f>
        <v>0</v>
      </c>
      <c r="K8" s="122">
        <f t="shared" ref="K8:K15" si="5">IFERROR(+J8/H8,0)</f>
        <v>0</v>
      </c>
      <c r="N8" s="3" t="s">
        <v>1434</v>
      </c>
      <c r="S8" s="3" t="s">
        <v>25</v>
      </c>
      <c r="U8" s="59">
        <f>+'F&amp;I GROUP'!B14</f>
        <v>151593.87</v>
      </c>
      <c r="V8" s="59">
        <f>+'F&amp;I GROUP'!C14</f>
        <v>145348.86666666667</v>
      </c>
      <c r="W8" s="59"/>
      <c r="X8" s="59">
        <f>+'F&amp;I GROUP'!F14</f>
        <v>157407.63</v>
      </c>
      <c r="Y8" s="59">
        <f>+'F&amp;I GROUP'!H14</f>
        <v>0</v>
      </c>
    </row>
    <row r="9" spans="1:25" x14ac:dyDescent="0.25">
      <c r="A9" s="24" t="s">
        <v>1448</v>
      </c>
      <c r="B9" s="51">
        <f>SUMIFS(Export!L:L,Export!H:H,"Admin &amp; Other",Export!I:I,N9)/$U$11</f>
        <v>4.0627669231197407E-2</v>
      </c>
      <c r="C9" s="96">
        <f>SUMIFS(Export!N:N,Export!H:H,"Admin &amp; Other",Export!I:I,N9)/$V$11</f>
        <v>4.4147980843293258E-2</v>
      </c>
      <c r="D9" s="126">
        <f t="shared" si="2"/>
        <v>3.5203116120958514E-3</v>
      </c>
      <c r="E9" s="118">
        <f t="shared" si="0"/>
        <v>7.9738904132251834E-2</v>
      </c>
      <c r="F9" s="51"/>
      <c r="G9" s="51"/>
      <c r="H9" s="51"/>
      <c r="I9" s="96" t="e">
        <f t="shared" si="3"/>
        <v>#DIV/0!</v>
      </c>
      <c r="J9" s="126">
        <f t="shared" si="4"/>
        <v>0</v>
      </c>
      <c r="K9" s="122">
        <f t="shared" si="5"/>
        <v>0</v>
      </c>
      <c r="N9" s="3" t="s">
        <v>1448</v>
      </c>
      <c r="S9" s="3" t="s">
        <v>26</v>
      </c>
      <c r="U9" s="59">
        <f>+'PARTS GROUP'!B24</f>
        <v>200493.95999999988</v>
      </c>
      <c r="V9" s="59">
        <f>+'PARTS GROUP'!C24</f>
        <v>245699.99999999997</v>
      </c>
      <c r="W9" s="59"/>
      <c r="X9" s="59">
        <f>+'PARTS GROUP'!F24</f>
        <v>0</v>
      </c>
      <c r="Y9" s="59">
        <f>+'PARTS GROUP'!H24</f>
        <v>0</v>
      </c>
    </row>
    <row r="10" spans="1:25" ht="16.5" customHeight="1" x14ac:dyDescent="0.25">
      <c r="A10" s="24" t="s">
        <v>1336</v>
      </c>
      <c r="B10" s="51">
        <f>SUMIFS(Export!L:L,Export!H:H,"Admin &amp; Other",Export!I:I,N10)/$U$11</f>
        <v>4.6587498403998654E-3</v>
      </c>
      <c r="C10" s="96">
        <f>SUMIFS(Export!N:N,Export!H:H,"Admin &amp; Other",Export!I:I,N10)/$V$11</f>
        <v>2.8697915467259202E-3</v>
      </c>
      <c r="D10" s="126">
        <f t="shared" si="2"/>
        <v>-1.7889582936739452E-3</v>
      </c>
      <c r="E10" s="118">
        <f t="shared" si="0"/>
        <v>-0.62337569281466698</v>
      </c>
      <c r="F10" s="51"/>
      <c r="G10" s="51"/>
      <c r="H10" s="51"/>
      <c r="I10" s="96" t="e">
        <f t="shared" si="3"/>
        <v>#DIV/0!</v>
      </c>
      <c r="J10" s="126">
        <f t="shared" si="4"/>
        <v>0</v>
      </c>
      <c r="K10" s="122">
        <f t="shared" si="5"/>
        <v>0</v>
      </c>
      <c r="N10" s="3" t="s">
        <v>1336</v>
      </c>
      <c r="S10" s="3" t="s">
        <v>27</v>
      </c>
      <c r="U10" s="59">
        <f>+'SERVICE GROUP'!B21</f>
        <v>491371.74</v>
      </c>
      <c r="V10" s="59">
        <f>+'SERVICE GROUP'!C21</f>
        <v>497261.99999999994</v>
      </c>
      <c r="W10" s="59"/>
      <c r="X10" s="59">
        <f>+'SERVICE GROUP'!F21</f>
        <v>0</v>
      </c>
      <c r="Y10" s="59">
        <f>+'SERVICE GROUP'!H21</f>
        <v>0</v>
      </c>
    </row>
    <row r="11" spans="1:25" x14ac:dyDescent="0.25">
      <c r="A11" s="24" t="s">
        <v>1443</v>
      </c>
      <c r="B11" s="51">
        <f>SUMIFS(Export!L:L,Export!H:H,"Admin &amp; Other",Export!I:I,N11)/$U$11</f>
        <v>2.5497021839384779E-2</v>
      </c>
      <c r="C11" s="96">
        <f>SUMIFS(Export!N:N,Export!H:H,"Admin &amp; Other",Export!I:I,N11)/$V$11</f>
        <v>7.211375229544916E-3</v>
      </c>
      <c r="D11" s="126">
        <f t="shared" si="2"/>
        <v>-1.8285646609839862E-2</v>
      </c>
      <c r="E11" s="118">
        <f t="shared" si="0"/>
        <v>-2.5356670576402394</v>
      </c>
      <c r="F11" s="51"/>
      <c r="G11" s="51"/>
      <c r="H11" s="51"/>
      <c r="I11" s="96" t="e">
        <f t="shared" si="3"/>
        <v>#DIV/0!</v>
      </c>
      <c r="J11" s="126">
        <f t="shared" si="4"/>
        <v>0</v>
      </c>
      <c r="K11" s="122">
        <f t="shared" si="5"/>
        <v>0</v>
      </c>
      <c r="N11" s="3" t="s">
        <v>1443</v>
      </c>
      <c r="U11" s="59">
        <f>SUM(U6:U10)</f>
        <v>1334115.42</v>
      </c>
      <c r="V11" s="59">
        <f>SUM(V6:V10)</f>
        <v>1412671.9777777777</v>
      </c>
      <c r="X11" s="59">
        <f>SUM(X6:X10)</f>
        <v>653134.15000000014</v>
      </c>
      <c r="Y11" s="59">
        <f>SUM(Y6:Y10)</f>
        <v>0</v>
      </c>
    </row>
    <row r="12" spans="1:25" x14ac:dyDescent="0.25">
      <c r="A12" s="24" t="s">
        <v>1385</v>
      </c>
      <c r="B12" s="51">
        <f>SUMIFS(Export!L:L,Export!H:H,"Admin &amp; Other",Export!I:I,N12)/$U$11</f>
        <v>2.8190566900126231E-2</v>
      </c>
      <c r="C12" s="96">
        <f>SUMIFS(Export!N:N,Export!H:H,"Admin &amp; Other",Export!I:I,N12)/$V$11</f>
        <v>3.0181951144535365E-3</v>
      </c>
      <c r="D12" s="126">
        <f t="shared" si="2"/>
        <v>-2.5172371785672693E-2</v>
      </c>
      <c r="E12" s="118">
        <f t="shared" si="0"/>
        <v>-8.3402069220532518</v>
      </c>
      <c r="F12" s="51"/>
      <c r="G12" s="51"/>
      <c r="H12" s="51"/>
      <c r="I12" s="96" t="e">
        <f t="shared" si="3"/>
        <v>#DIV/0!</v>
      </c>
      <c r="J12" s="126">
        <f t="shared" si="4"/>
        <v>0</v>
      </c>
      <c r="K12" s="122">
        <f t="shared" si="5"/>
        <v>0</v>
      </c>
      <c r="N12" s="3" t="s">
        <v>1385</v>
      </c>
      <c r="U12" s="60"/>
    </row>
    <row r="13" spans="1:25" ht="15.6" customHeight="1" x14ac:dyDescent="0.25">
      <c r="A13" s="24" t="s">
        <v>1370</v>
      </c>
      <c r="B13" s="51">
        <f>SUMIFS(Export!L:L,Export!H:H,"Admin &amp; Other",Export!I:I,N13)/$U$11</f>
        <v>2.9239913889909167E-2</v>
      </c>
      <c r="C13" s="96">
        <f>SUMIFS(Export!N:N,Export!H:H,"Admin &amp; Other",Export!I:I,N13)/$V$11</f>
        <v>1.7558035015203564E-2</v>
      </c>
      <c r="D13" s="126">
        <f t="shared" si="2"/>
        <v>-1.1681878874705603E-2</v>
      </c>
      <c r="E13" s="118">
        <f t="shared" si="0"/>
        <v>-0.66532951236230153</v>
      </c>
      <c r="F13" s="51"/>
      <c r="G13" s="51"/>
      <c r="H13" s="51"/>
      <c r="I13" s="96" t="e">
        <f t="shared" si="3"/>
        <v>#DIV/0!</v>
      </c>
      <c r="J13" s="126">
        <f t="shared" si="4"/>
        <v>0</v>
      </c>
      <c r="K13" s="122">
        <f t="shared" si="5"/>
        <v>0</v>
      </c>
      <c r="N13" s="3" t="s">
        <v>1370</v>
      </c>
      <c r="W13" s="52"/>
      <c r="X13" s="52"/>
      <c r="Y13" s="52"/>
    </row>
    <row r="14" spans="1:25" ht="15.95" customHeight="1" x14ac:dyDescent="0.25">
      <c r="A14" s="24" t="s">
        <v>1390</v>
      </c>
      <c r="B14" s="51">
        <f>SUMIFS(Export!L:L,Export!H:H,"Admin &amp; Other",Export!I:I,N14)/$U$11</f>
        <v>4.1663636569015897E-3</v>
      </c>
      <c r="C14" s="96">
        <f>SUMIFS(Export!N:N,Export!H:H,"Admin &amp; Other",Export!I:I,N14)/$V$11</f>
        <v>6.7478295413310921E-2</v>
      </c>
      <c r="D14" s="126">
        <f t="shared" si="2"/>
        <v>6.3311931756409326E-2</v>
      </c>
      <c r="E14" s="118">
        <f t="shared" si="0"/>
        <v>0.93825624030094079</v>
      </c>
      <c r="F14" s="51"/>
      <c r="G14" s="51"/>
      <c r="H14" s="51"/>
      <c r="I14" s="96" t="e">
        <f t="shared" si="3"/>
        <v>#DIV/0!</v>
      </c>
      <c r="J14" s="126">
        <f t="shared" si="4"/>
        <v>0</v>
      </c>
      <c r="K14" s="122">
        <f t="shared" si="5"/>
        <v>0</v>
      </c>
      <c r="N14" s="3" t="s">
        <v>1390</v>
      </c>
      <c r="W14" s="52"/>
      <c r="X14" s="52"/>
      <c r="Y14" s="52"/>
    </row>
    <row r="15" spans="1:25" ht="15.6" customHeight="1" x14ac:dyDescent="0.25">
      <c r="A15" s="24" t="s">
        <v>1001</v>
      </c>
      <c r="B15" s="51">
        <f>SUMIFS(Export!L:L,Export!H:H,"Admin &amp; Other",Export!I:I,N15)/$U$11</f>
        <v>3.7006071033944009E-2</v>
      </c>
      <c r="C15" s="96">
        <f>SUMIFS(Export!N:N,Export!H:H,"Admin &amp; Other",Export!I:I,N15)/$V$11</f>
        <v>2.1506993157893461E-2</v>
      </c>
      <c r="D15" s="126">
        <f t="shared" si="2"/>
        <v>-1.5499077876050548E-2</v>
      </c>
      <c r="E15" s="118">
        <f t="shared" si="0"/>
        <v>-0.72065294122075374</v>
      </c>
      <c r="F15" s="51"/>
      <c r="G15" s="51"/>
      <c r="H15" s="51"/>
      <c r="I15" s="96" t="e">
        <f t="shared" si="3"/>
        <v>#DIV/0!</v>
      </c>
      <c r="J15" s="126">
        <f t="shared" si="4"/>
        <v>0</v>
      </c>
      <c r="K15" s="122">
        <f t="shared" si="5"/>
        <v>0</v>
      </c>
      <c r="N15" s="3" t="s">
        <v>1001</v>
      </c>
      <c r="W15" s="52"/>
      <c r="X15" s="52"/>
      <c r="Y15" s="52"/>
    </row>
    <row r="16" spans="1:25" s="28" customFormat="1" ht="14.45" customHeight="1" thickBot="1" x14ac:dyDescent="0.3">
      <c r="A16" s="29" t="s">
        <v>1721</v>
      </c>
      <c r="B16" s="57">
        <f>+SUM(B7:B15)</f>
        <v>0.42810063615035659</v>
      </c>
      <c r="C16" s="99">
        <f>+SUM(C7:C15)</f>
        <v>0.38225434389195867</v>
      </c>
      <c r="D16" s="127">
        <f t="shared" si="2"/>
        <v>-4.5846292258397925E-2</v>
      </c>
      <c r="E16" s="120">
        <f t="shared" si="0"/>
        <v>-0.11993661547860927</v>
      </c>
      <c r="F16" s="57"/>
      <c r="G16" s="57"/>
      <c r="H16" s="57"/>
      <c r="I16" s="99" t="e">
        <f t="shared" si="3"/>
        <v>#DIV/0!</v>
      </c>
      <c r="J16" s="127">
        <f t="shared" ref="J16" si="6">+H16-F16</f>
        <v>0</v>
      </c>
      <c r="K16" s="124">
        <f t="shared" si="1"/>
        <v>0</v>
      </c>
      <c r="N16" s="3"/>
      <c r="S16" s="3"/>
      <c r="T16" s="3"/>
      <c r="U16" s="59"/>
      <c r="V16" s="17"/>
      <c r="W16" s="52"/>
      <c r="X16" s="52"/>
      <c r="Y16" s="52"/>
    </row>
    <row r="17" spans="2:25" ht="14.45" hidden="1" customHeight="1" thickBot="1" x14ac:dyDescent="0.3">
      <c r="D17" s="121"/>
      <c r="E17" s="121"/>
      <c r="H17" s="51">
        <f t="shared" ref="H17" si="7">B17</f>
        <v>0</v>
      </c>
      <c r="J17" s="121"/>
      <c r="K17" s="121"/>
      <c r="W17" s="52"/>
      <c r="Y17" s="52"/>
    </row>
    <row r="18" spans="2:25" ht="14.45" customHeight="1" thickTop="1" x14ac:dyDescent="0.25">
      <c r="D18" s="121"/>
      <c r="E18" s="121"/>
      <c r="J18" s="121"/>
      <c r="K18" s="121"/>
      <c r="W18" s="52"/>
      <c r="X18" s="52"/>
      <c r="Y18" s="52"/>
    </row>
    <row r="19" spans="2:25" x14ac:dyDescent="0.25">
      <c r="B19" s="56"/>
      <c r="D19" s="121"/>
      <c r="E19" s="121"/>
      <c r="J19" s="121"/>
      <c r="K19" s="121"/>
      <c r="W19" s="52"/>
      <c r="X19" s="52"/>
      <c r="Y19" s="52"/>
    </row>
    <row r="20" spans="2:25" x14ac:dyDescent="0.25">
      <c r="B20" s="56">
        <f>B6+'LEX ADMIN &amp; OTHER'!B6</f>
        <v>785182.77</v>
      </c>
      <c r="C20" s="56">
        <f>C6+'LEX ADMIN &amp; OTHER'!C6</f>
        <v>612561.00000000012</v>
      </c>
      <c r="D20" s="121"/>
      <c r="J20" s="121"/>
      <c r="K20" s="121"/>
      <c r="U20" s="59">
        <f>U11+'LEX ADMIN &amp; OTHER'!U13</f>
        <v>1823300.8599999999</v>
      </c>
      <c r="V20" s="59">
        <f>V11+'LEX ADMIN &amp; OTHER'!V13</f>
        <v>1970427.0793373354</v>
      </c>
    </row>
    <row r="21" spans="2:25" x14ac:dyDescent="0.25">
      <c r="J21" s="121"/>
      <c r="K21" s="121"/>
      <c r="W21" s="52"/>
      <c r="Y21" s="52"/>
    </row>
    <row r="22" spans="2:25" x14ac:dyDescent="0.25">
      <c r="B22" s="268">
        <f>B20/U20</f>
        <v>0.43063807363092016</v>
      </c>
      <c r="C22" s="268">
        <f>C20/V20</f>
        <v>0.3108772744871165</v>
      </c>
      <c r="Y22" s="52"/>
    </row>
    <row r="23" spans="2:25" x14ac:dyDescent="0.25">
      <c r="Y23" s="52"/>
    </row>
    <row r="24" spans="2:25" x14ac:dyDescent="0.25">
      <c r="B24" s="16">
        <v>0.33400000000000002</v>
      </c>
      <c r="C24" s="16">
        <v>0.33400000000000002</v>
      </c>
    </row>
    <row r="25" spans="2:25" x14ac:dyDescent="0.25">
      <c r="B25" s="56">
        <f>B24*U20</f>
        <v>608982.48724000005</v>
      </c>
      <c r="C25" s="56">
        <f>C24*V20</f>
        <v>658122.64449867012</v>
      </c>
    </row>
    <row r="26" spans="2:25" x14ac:dyDescent="0.25">
      <c r="Y26" s="52"/>
    </row>
    <row r="27" spans="2:25" x14ac:dyDescent="0.25">
      <c r="B27" s="56">
        <f>B25-B20</f>
        <v>-176200.28275999997</v>
      </c>
      <c r="C27" s="56">
        <f>C25-B20</f>
        <v>-127060.12550132989</v>
      </c>
    </row>
    <row r="29" spans="2:25" x14ac:dyDescent="0.25">
      <c r="B29" s="16">
        <f>B20/V20</f>
        <v>0.39848354614780312</v>
      </c>
    </row>
    <row r="30" spans="2:25" x14ac:dyDescent="0.25">
      <c r="U30" s="61"/>
      <c r="V30" s="58"/>
      <c r="W30" s="58"/>
      <c r="X30" s="58"/>
      <c r="Y30" s="58"/>
    </row>
  </sheetData>
  <mergeCells count="6">
    <mergeCell ref="D4:E4"/>
    <mergeCell ref="J4:K4"/>
    <mergeCell ref="A1:D1"/>
    <mergeCell ref="J1:K1"/>
    <mergeCell ref="B3:E3"/>
    <mergeCell ref="F3:K3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96F82-EBA2-4E86-8741-93F9B503FB6B}">
  <sheetPr>
    <tabColor theme="9" tint="0.79998168889431442"/>
  </sheetPr>
  <dimension ref="A1:AN28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2" width="10.85546875" style="16" bestFit="1" customWidth="1"/>
    <col min="3" max="3" width="11.7109375" style="16" bestFit="1" customWidth="1"/>
    <col min="4" max="9" width="9.7109375" style="16" customWidth="1"/>
    <col min="10" max="11" width="9.7109375" style="16" hidden="1" customWidth="1"/>
    <col min="12" max="12" width="9.140625" style="16" customWidth="1"/>
    <col min="13" max="13" width="9.140625" style="16"/>
    <col min="14" max="14" width="11.7109375" style="3" customWidth="1" outlineLevel="1"/>
    <col min="15" max="36" width="9.140625" style="16" customWidth="1" outlineLevel="1"/>
    <col min="37" max="37" width="9.140625" style="16"/>
    <col min="38" max="38" width="10.140625" style="201" bestFit="1" customWidth="1"/>
    <col min="39" max="16384" width="9.140625" style="16"/>
  </cols>
  <sheetData>
    <row r="1" spans="1:40" x14ac:dyDescent="0.25">
      <c r="A1" s="326" t="s">
        <v>1722</v>
      </c>
      <c r="B1" s="327"/>
      <c r="C1" s="327"/>
      <c r="D1" s="327"/>
      <c r="E1" s="14"/>
      <c r="F1" s="15" t="s">
        <v>1605</v>
      </c>
      <c r="G1" s="15"/>
      <c r="H1" s="31"/>
      <c r="I1" s="237">
        <f>'Manual Page'!A14</f>
        <v>45292</v>
      </c>
      <c r="J1" s="281"/>
      <c r="K1" s="281"/>
      <c r="AK1" s="201" t="s">
        <v>1606</v>
      </c>
    </row>
    <row r="2" spans="1:40" ht="6.6" customHeight="1" thickBot="1" x14ac:dyDescent="0.3"/>
    <row r="3" spans="1:40" ht="15.75" thickTop="1" x14ac:dyDescent="0.25">
      <c r="A3" s="62" t="s">
        <v>1591</v>
      </c>
      <c r="B3" s="328" t="s">
        <v>155</v>
      </c>
      <c r="C3" s="329"/>
      <c r="D3" s="329"/>
      <c r="E3" s="329"/>
      <c r="F3" s="328" t="s">
        <v>155</v>
      </c>
      <c r="G3" s="328"/>
      <c r="H3" s="329"/>
      <c r="I3" s="329"/>
      <c r="J3" s="329"/>
      <c r="K3" s="345"/>
    </row>
    <row r="4" spans="1:40" x14ac:dyDescent="0.25">
      <c r="A4" s="63" t="s">
        <v>1591</v>
      </c>
      <c r="B4" s="330" t="s">
        <v>1607</v>
      </c>
      <c r="C4" s="330"/>
      <c r="D4" s="330"/>
      <c r="E4" s="330"/>
      <c r="F4" s="64" t="s">
        <v>1591</v>
      </c>
      <c r="G4" s="64"/>
      <c r="H4" s="64"/>
      <c r="I4" s="64"/>
      <c r="J4" s="330" t="s">
        <v>1608</v>
      </c>
      <c r="K4" s="332"/>
    </row>
    <row r="5" spans="1:40" x14ac:dyDescent="0.25">
      <c r="A5" s="63" t="s">
        <v>1</v>
      </c>
      <c r="B5" s="65" t="s">
        <v>12</v>
      </c>
      <c r="C5" s="65" t="s">
        <v>1592</v>
      </c>
      <c r="D5" s="66" t="s">
        <v>1609</v>
      </c>
      <c r="E5" s="66" t="s">
        <v>1610</v>
      </c>
      <c r="F5" s="258">
        <v>1023</v>
      </c>
      <c r="G5" s="258">
        <v>1123</v>
      </c>
      <c r="H5" s="258">
        <v>1223</v>
      </c>
      <c r="I5" s="258" t="s">
        <v>1723</v>
      </c>
      <c r="J5" s="65"/>
      <c r="K5" s="67" t="s">
        <v>1610</v>
      </c>
      <c r="AK5" s="201" t="s">
        <v>12</v>
      </c>
      <c r="AL5" s="201" t="s">
        <v>1592</v>
      </c>
    </row>
    <row r="6" spans="1:40" x14ac:dyDescent="0.25">
      <c r="A6" s="68" t="s">
        <v>1724</v>
      </c>
      <c r="B6" s="89" t="s">
        <v>1591</v>
      </c>
      <c r="C6" s="90"/>
      <c r="D6" s="26"/>
      <c r="E6" s="118"/>
      <c r="F6" s="89"/>
      <c r="G6" s="89"/>
      <c r="H6" s="89"/>
      <c r="I6" s="90"/>
      <c r="J6" s="26"/>
      <c r="K6" s="122"/>
      <c r="AL6" s="202"/>
    </row>
    <row r="7" spans="1:40" x14ac:dyDescent="0.25">
      <c r="A7" s="24" t="s">
        <v>1725</v>
      </c>
      <c r="B7" s="89">
        <f>'LEX NEW VEHICLE'!B25</f>
        <v>184420.01999999984</v>
      </c>
      <c r="C7" s="90">
        <f>'LEX NEW VEHICLE'!C25</f>
        <v>101500</v>
      </c>
      <c r="D7" s="100">
        <f>+B7-C7</f>
        <v>82920.019999999844</v>
      </c>
      <c r="E7" s="118">
        <f t="shared" ref="E7:E18" si="0">IFERROR(+D7/C7,0)</f>
        <v>0.81694600985221522</v>
      </c>
      <c r="F7" s="89"/>
      <c r="G7" s="89"/>
      <c r="H7" s="89"/>
      <c r="I7" s="90">
        <f t="shared" ref="I7:I18" si="1">F7+G7+H7</f>
        <v>0</v>
      </c>
      <c r="J7" s="100">
        <f>+F7-H7</f>
        <v>0</v>
      </c>
      <c r="K7" s="122">
        <f t="shared" ref="K7:K18" si="2">IFERROR(+J7/H7,0)</f>
        <v>0</v>
      </c>
      <c r="AK7" s="202">
        <f>B7-'NEW VEHICLE GROUP'!B25</f>
        <v>126303.13999999987</v>
      </c>
      <c r="AL7" s="202">
        <f>HLOOKUP($I$1,'TNZ Submitted Budget'!$1:$1048576,4,FALSE)-C7</f>
        <v>-66250</v>
      </c>
    </row>
    <row r="8" spans="1:40" x14ac:dyDescent="0.25">
      <c r="A8" s="24" t="s">
        <v>1726</v>
      </c>
      <c r="B8" s="89">
        <f>'LEX USED VEHICLE'!B27</f>
        <v>-4059.3299999999977</v>
      </c>
      <c r="C8" s="90">
        <f>'LEX USED VEHICLE'!C27</f>
        <v>12330.66</v>
      </c>
      <c r="D8" s="100">
        <f t="shared" ref="D8:D16" si="3">+B8-C8</f>
        <v>-16389.989999999998</v>
      </c>
      <c r="E8" s="118">
        <f t="shared" si="0"/>
        <v>-1.3292062225379662</v>
      </c>
      <c r="F8" s="89"/>
      <c r="G8" s="89"/>
      <c r="H8" s="89"/>
      <c r="I8" s="90">
        <f t="shared" si="1"/>
        <v>0</v>
      </c>
      <c r="J8" s="100">
        <f>+F8-H8</f>
        <v>0</v>
      </c>
      <c r="K8" s="122">
        <f t="shared" si="2"/>
        <v>0</v>
      </c>
      <c r="AK8" s="202">
        <f>B8-'USED VEHICLE GROUP'!B35</f>
        <v>-36644.340000000084</v>
      </c>
      <c r="AL8" s="202">
        <f>HLOOKUP($I$1,'TNZ Submitted Budget'!$1:$1048576,5,FALSE)-C8</f>
        <v>83605.311732323302</v>
      </c>
    </row>
    <row r="9" spans="1:40" x14ac:dyDescent="0.25">
      <c r="A9" s="24" t="s">
        <v>142</v>
      </c>
      <c r="B9" s="89">
        <f>'LEX F&amp;I'!B19</f>
        <v>9581.4800000000014</v>
      </c>
      <c r="C9" s="90">
        <f>'LEX F&amp;I'!C19</f>
        <v>6800</v>
      </c>
      <c r="D9" s="100">
        <f t="shared" si="3"/>
        <v>2781.4800000000014</v>
      </c>
      <c r="E9" s="118">
        <f t="shared" si="0"/>
        <v>0.40904117647058846</v>
      </c>
      <c r="F9" s="89"/>
      <c r="G9" s="89"/>
      <c r="H9" s="89"/>
      <c r="I9" s="90">
        <f t="shared" si="1"/>
        <v>0</v>
      </c>
      <c r="J9" s="100">
        <f>+F9-H9</f>
        <v>0</v>
      </c>
      <c r="K9" s="122">
        <f t="shared" si="2"/>
        <v>0</v>
      </c>
      <c r="AK9" s="202">
        <f>B9-'F&amp;I GROUP'!B19</f>
        <v>-72906.049999999988</v>
      </c>
      <c r="AL9" s="202">
        <f>HLOOKUP($I$1,'TNZ Submitted Budget'!$1:$1048576,6,FALSE)-C9</f>
        <v>76367.533333333326</v>
      </c>
    </row>
    <row r="10" spans="1:40" x14ac:dyDescent="0.25">
      <c r="A10" s="24" t="s">
        <v>143</v>
      </c>
      <c r="B10" s="89">
        <f>'LEX PARTS'!B30</f>
        <v>1466.4500000000007</v>
      </c>
      <c r="C10" s="90">
        <f>'LEX PARTS'!C30</f>
        <v>4400</v>
      </c>
      <c r="D10" s="100">
        <f t="shared" si="3"/>
        <v>-2933.5499999999993</v>
      </c>
      <c r="E10" s="118">
        <f t="shared" si="0"/>
        <v>-0.66671590909090894</v>
      </c>
      <c r="F10" s="89"/>
      <c r="G10" s="89"/>
      <c r="H10" s="89"/>
      <c r="I10" s="90">
        <f t="shared" si="1"/>
        <v>0</v>
      </c>
      <c r="J10" s="100">
        <f>+F10-H10</f>
        <v>0</v>
      </c>
      <c r="K10" s="122">
        <f t="shared" si="2"/>
        <v>0</v>
      </c>
      <c r="AK10" s="202">
        <f>B10-'PARTS GROUP'!B30</f>
        <v>-55219.119999999879</v>
      </c>
      <c r="AL10" s="202">
        <f>HLOOKUP($I$1,'TNZ Submitted Budget'!$1:$1048576,7,FALSE)-C10</f>
        <v>110586.33433333335</v>
      </c>
    </row>
    <row r="11" spans="1:40" x14ac:dyDescent="0.25">
      <c r="A11" s="24" t="s">
        <v>1727</v>
      </c>
      <c r="B11" s="89">
        <f>'LEX SERVICE'!B26</f>
        <v>13390.650000000007</v>
      </c>
      <c r="C11" s="90">
        <f>'LEX SERVICE'!C26</f>
        <v>13970.733333333332</v>
      </c>
      <c r="D11" s="100">
        <f t="shared" si="3"/>
        <v>-580.08333333332484</v>
      </c>
      <c r="E11" s="118">
        <f t="shared" si="0"/>
        <v>-4.1521323146958992E-2</v>
      </c>
      <c r="F11" s="89"/>
      <c r="G11" s="89"/>
      <c r="H11" s="89"/>
      <c r="I11" s="90">
        <f t="shared" si="1"/>
        <v>0</v>
      </c>
      <c r="J11" s="100">
        <f>+F11-H11</f>
        <v>0</v>
      </c>
      <c r="K11" s="122">
        <f t="shared" si="2"/>
        <v>0</v>
      </c>
      <c r="AK11" s="202">
        <f>B11-'SERVICE GROUP'!B26</f>
        <v>-190384.19999999998</v>
      </c>
      <c r="AL11" s="202">
        <f>HLOOKUP($I$1,'TNZ Submitted Budget'!$1:$1048576,8,FALSE)-C11</f>
        <v>163378.95333333328</v>
      </c>
    </row>
    <row r="12" spans="1:40" s="28" customFormat="1" x14ac:dyDescent="0.25">
      <c r="A12" s="27" t="s">
        <v>1728</v>
      </c>
      <c r="B12" s="91">
        <f>SUM(B7:B11)</f>
        <v>204799.26999999987</v>
      </c>
      <c r="C12" s="92">
        <f>SUM(C7:C11)</f>
        <v>139001.39333333334</v>
      </c>
      <c r="D12" s="101">
        <f t="shared" si="3"/>
        <v>65797.876666666532</v>
      </c>
      <c r="E12" s="119">
        <f t="shared" si="0"/>
        <v>0.47336127422031976</v>
      </c>
      <c r="F12" s="91"/>
      <c r="G12" s="89"/>
      <c r="H12" s="89"/>
      <c r="I12" s="92">
        <f t="shared" si="1"/>
        <v>0</v>
      </c>
      <c r="J12" s="101">
        <f>F12-H12</f>
        <v>0</v>
      </c>
      <c r="K12" s="123">
        <f t="shared" si="2"/>
        <v>0</v>
      </c>
      <c r="N12" s="50"/>
      <c r="AK12" s="203">
        <f>SUM(AK7:AK11)</f>
        <v>-228850.57000000007</v>
      </c>
      <c r="AL12" s="203">
        <f>SUM(AL7:AL11)</f>
        <v>367688.13273232325</v>
      </c>
      <c r="AN12" s="307"/>
    </row>
    <row r="13" spans="1:40" s="28" customFormat="1" x14ac:dyDescent="0.25">
      <c r="A13" s="24" t="s">
        <v>145</v>
      </c>
      <c r="B13" s="91">
        <f>'Retail Detailing'!B26</f>
        <v>-20877.940000000002</v>
      </c>
      <c r="C13" s="92">
        <f>'Retail Detailing'!C26</f>
        <v>-8316.3733333333348</v>
      </c>
      <c r="D13" s="100">
        <f t="shared" si="3"/>
        <v>-12561.566666666668</v>
      </c>
      <c r="E13" s="118">
        <f t="shared" si="0"/>
        <v>1.5104620924505552</v>
      </c>
      <c r="F13" s="91"/>
      <c r="G13" s="89"/>
      <c r="H13" s="89"/>
      <c r="I13" s="92"/>
      <c r="J13" s="101"/>
      <c r="K13" s="123"/>
      <c r="N13" s="50"/>
      <c r="AK13" s="203"/>
      <c r="AL13" s="203"/>
      <c r="AN13" s="307"/>
    </row>
    <row r="14" spans="1:40" x14ac:dyDescent="0.25">
      <c r="A14" s="24" t="s">
        <v>58</v>
      </c>
      <c r="B14" s="89">
        <f>'Bridgestone GROUP'!B30</f>
        <v>40444.220000000008</v>
      </c>
      <c r="C14" s="90">
        <f>'Bridgestone GROUP'!C30</f>
        <v>22426.834892891009</v>
      </c>
      <c r="D14" s="100">
        <f t="shared" si="3"/>
        <v>18017.385107108999</v>
      </c>
      <c r="E14" s="118">
        <f t="shared" si="0"/>
        <v>0.80338510508320804</v>
      </c>
      <c r="F14" s="89"/>
      <c r="G14" s="89"/>
      <c r="H14" s="89"/>
      <c r="I14" s="90">
        <f t="shared" si="1"/>
        <v>0</v>
      </c>
      <c r="J14" s="100">
        <f>F14-H14</f>
        <v>0</v>
      </c>
      <c r="K14" s="122">
        <f t="shared" si="2"/>
        <v>0</v>
      </c>
      <c r="AK14" s="202"/>
      <c r="AL14" s="202">
        <f>HLOOKUP($I$1,'TNZ Submitted Budget'!$1:$1048576,9,FALSE)-C14</f>
        <v>50793.36</v>
      </c>
    </row>
    <row r="15" spans="1:40" x14ac:dyDescent="0.25">
      <c r="A15" s="27" t="s">
        <v>1729</v>
      </c>
      <c r="B15" s="91">
        <f>SUM(B13:B14)</f>
        <v>19566.280000000006</v>
      </c>
      <c r="C15" s="92">
        <f>SUM(C13:C14)</f>
        <v>14110.461559557674</v>
      </c>
      <c r="D15" s="101">
        <f t="shared" si="3"/>
        <v>5455.8184404423318</v>
      </c>
      <c r="E15" s="118">
        <f t="shared" si="0"/>
        <v>0.38665060086194353</v>
      </c>
      <c r="F15" s="89"/>
      <c r="G15" s="89"/>
      <c r="H15" s="89"/>
      <c r="I15" s="90"/>
      <c r="J15" s="100"/>
      <c r="K15" s="122"/>
      <c r="AK15" s="202"/>
      <c r="AL15" s="202"/>
    </row>
    <row r="16" spans="1:40" x14ac:dyDescent="0.25">
      <c r="A16" s="27" t="s">
        <v>1730</v>
      </c>
      <c r="B16" s="91">
        <f>B12+B15</f>
        <v>224365.54999999987</v>
      </c>
      <c r="C16" s="92">
        <f>C12+C15</f>
        <v>153111.85489289102</v>
      </c>
      <c r="D16" s="101">
        <f t="shared" si="3"/>
        <v>71253.695107108855</v>
      </c>
      <c r="E16" s="118">
        <f t="shared" ref="E16" si="4">IFERROR(+D16/C16,0)</f>
        <v>0.46537020374388505</v>
      </c>
      <c r="F16" s="89"/>
      <c r="G16" s="89"/>
      <c r="H16" s="89"/>
      <c r="I16" s="90"/>
      <c r="J16" s="100"/>
      <c r="K16" s="122"/>
      <c r="AK16" s="202"/>
      <c r="AL16" s="202"/>
    </row>
    <row r="17" spans="1:38" x14ac:dyDescent="0.25">
      <c r="A17" s="24" t="s">
        <v>435</v>
      </c>
      <c r="B17" s="89">
        <f>'LEX ADMIN &amp; OTHER'!B6</f>
        <v>214047.11000000007</v>
      </c>
      <c r="C17" s="90">
        <f>'LEX ADMIN &amp; OTHER'!C6</f>
        <v>72561</v>
      </c>
      <c r="D17" s="100">
        <f>C17-B17</f>
        <v>-141486.11000000007</v>
      </c>
      <c r="E17" s="118">
        <f t="shared" si="0"/>
        <v>-1.9498919529774958</v>
      </c>
      <c r="F17" s="89"/>
      <c r="G17" s="89"/>
      <c r="H17" s="89"/>
      <c r="I17" s="90">
        <f t="shared" si="1"/>
        <v>0</v>
      </c>
      <c r="J17" s="100">
        <f>H17-F17</f>
        <v>0</v>
      </c>
      <c r="K17" s="122">
        <f t="shared" si="2"/>
        <v>0</v>
      </c>
      <c r="AK17" s="202">
        <f>B17-'ADMIN &amp; OTHER'!B6</f>
        <v>-357088.54999999981</v>
      </c>
      <c r="AL17" s="202">
        <f>HLOOKUP($I$1,'TNZ Submitted Budget'!$1:$1048576,12,FALSE)-C17</f>
        <v>467439</v>
      </c>
    </row>
    <row r="18" spans="1:38" s="28" customFormat="1" x14ac:dyDescent="0.25">
      <c r="A18" s="27" t="s">
        <v>22</v>
      </c>
      <c r="B18" s="91">
        <f>B16-B17</f>
        <v>10318.439999999799</v>
      </c>
      <c r="C18" s="92">
        <f>C16-C17</f>
        <v>80550.854892891017</v>
      </c>
      <c r="D18" s="101">
        <f>+B18-C18</f>
        <v>-70232.414892891218</v>
      </c>
      <c r="E18" s="119">
        <f t="shared" si="0"/>
        <v>-0.87190154575366963</v>
      </c>
      <c r="F18" s="91"/>
      <c r="G18" s="89"/>
      <c r="H18" s="89"/>
      <c r="I18" s="92">
        <f t="shared" si="1"/>
        <v>0</v>
      </c>
      <c r="J18" s="101">
        <f>+F18-H18</f>
        <v>0</v>
      </c>
      <c r="K18" s="123">
        <f t="shared" si="2"/>
        <v>0</v>
      </c>
      <c r="L18" s="272"/>
      <c r="M18" s="111"/>
      <c r="N18" s="3"/>
      <c r="AK18" s="203">
        <f>SUM(AK7:AK17)</f>
        <v>-814789.69</v>
      </c>
      <c r="AL18" s="203">
        <f>SUM(AL7:AL17)</f>
        <v>1253608.6254646466</v>
      </c>
    </row>
    <row r="19" spans="1:38" ht="0" hidden="1" customHeight="1" x14ac:dyDescent="0.25">
      <c r="E19" s="121"/>
      <c r="K19" s="121"/>
    </row>
    <row r="20" spans="1:38" x14ac:dyDescent="0.25">
      <c r="E20" s="121"/>
      <c r="K20" s="121"/>
      <c r="N20" s="50"/>
    </row>
    <row r="21" spans="1:38" x14ac:dyDescent="0.25">
      <c r="B21" s="193"/>
      <c r="E21" s="121"/>
      <c r="K21" s="121"/>
    </row>
    <row r="22" spans="1:38" x14ac:dyDescent="0.25">
      <c r="B22" s="180"/>
      <c r="C22" s="56"/>
      <c r="E22" s="121"/>
      <c r="F22" s="56"/>
      <c r="G22" s="56"/>
      <c r="H22" s="56"/>
      <c r="I22" s="56"/>
      <c r="K22" s="121"/>
    </row>
    <row r="23" spans="1:38" x14ac:dyDescent="0.25">
      <c r="B23" s="195"/>
      <c r="C23" s="195"/>
      <c r="E23" s="121"/>
      <c r="F23" s="56"/>
      <c r="G23" s="56"/>
      <c r="H23" s="56"/>
      <c r="I23" s="56"/>
      <c r="K23" s="121"/>
    </row>
    <row r="24" spans="1:38" x14ac:dyDescent="0.25">
      <c r="B24" s="195"/>
      <c r="C24" s="195"/>
      <c r="E24" s="121"/>
      <c r="K24" s="121"/>
    </row>
    <row r="25" spans="1:38" x14ac:dyDescent="0.25">
      <c r="B25" s="195"/>
      <c r="E25" s="121"/>
      <c r="K25" s="121"/>
    </row>
    <row r="26" spans="1:38" x14ac:dyDescent="0.25">
      <c r="E26" s="121"/>
      <c r="K26" s="121"/>
    </row>
    <row r="27" spans="1:38" x14ac:dyDescent="0.25">
      <c r="E27" s="121"/>
    </row>
    <row r="28" spans="1:38" x14ac:dyDescent="0.25">
      <c r="E28" s="121"/>
    </row>
  </sheetData>
  <mergeCells count="5">
    <mergeCell ref="A1:D1"/>
    <mergeCell ref="B3:E3"/>
    <mergeCell ref="F3:K3"/>
    <mergeCell ref="B4:E4"/>
    <mergeCell ref="J4:K4"/>
  </mergeCells>
  <pageMargins left="0.118110236220472" right="0.118110236220472" top="0.31496062992126" bottom="0.31496062992126" header="0.31496062992126" footer="0.31496062992126"/>
  <pageSetup paperSize="9" orientation="landscape" verticalDpi="3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8EC90-9E25-4CE7-8FFB-906B1AE19EA4}">
  <sheetPr>
    <tabColor theme="9" tint="0.79998168889431442"/>
  </sheetPr>
  <dimension ref="A1:AL32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1" customWidth="1"/>
    <col min="2" max="2" width="11.140625" style="161" customWidth="1" outlineLevel="1"/>
    <col min="3" max="3" width="10.85546875" style="161" customWidth="1" outlineLevel="1"/>
    <col min="4" max="4" width="9.7109375" style="161" customWidth="1" outlineLevel="1"/>
    <col min="5" max="5" width="10.5703125" style="161" customWidth="1" outlineLevel="1"/>
    <col min="6" max="6" width="8.140625" style="161" customWidth="1"/>
    <col min="7" max="7" width="8" style="161" customWidth="1"/>
    <col min="8" max="8" width="7.85546875" style="161" customWidth="1" outlineLevel="1"/>
    <col min="9" max="9" width="7.85546875" style="161" customWidth="1"/>
    <col min="10" max="10" width="7.5703125" style="161" bestFit="1" customWidth="1"/>
    <col min="11" max="11" width="8.5703125" style="161" bestFit="1" customWidth="1"/>
    <col min="12" max="13" width="3.140625" style="161" customWidth="1" outlineLevel="1"/>
    <col min="14" max="14" width="21.5703125" style="162" customWidth="1" outlineLevel="1"/>
    <col min="15" max="15" width="8.5703125" style="162" customWidth="1" outlineLevel="1"/>
    <col min="16" max="16" width="10.7109375" style="162" customWidth="1" outlineLevel="1"/>
    <col min="17" max="18" width="11.7109375" style="162" customWidth="1" outlineLevel="1"/>
    <col min="19" max="38" width="9.140625" style="161" customWidth="1" outlineLevel="1"/>
    <col min="39" max="16384" width="9.140625" style="161"/>
  </cols>
  <sheetData>
    <row r="1" spans="1:31" ht="15" customHeight="1" x14ac:dyDescent="0.25">
      <c r="A1" s="334" t="s">
        <v>1731</v>
      </c>
      <c r="B1" s="335"/>
      <c r="C1" s="335"/>
      <c r="D1" s="335"/>
      <c r="E1" s="1"/>
      <c r="F1" s="2" t="s">
        <v>1605</v>
      </c>
      <c r="G1" s="2"/>
      <c r="H1" s="13"/>
      <c r="I1" s="13"/>
      <c r="J1" s="336">
        <f>OVERALL!I1</f>
        <v>45292</v>
      </c>
      <c r="K1" s="337"/>
    </row>
    <row r="2" spans="1:31" ht="15.75" thickBot="1" x14ac:dyDescent="0.3"/>
    <row r="3" spans="1:31" ht="15.75" thickTop="1" x14ac:dyDescent="0.25">
      <c r="A3" s="4" t="s">
        <v>1591</v>
      </c>
      <c r="B3" s="338" t="s">
        <v>155</v>
      </c>
      <c r="C3" s="339"/>
      <c r="D3" s="339"/>
      <c r="E3" s="339"/>
      <c r="F3" s="338" t="s">
        <v>1629</v>
      </c>
      <c r="G3" s="338"/>
      <c r="H3" s="339"/>
      <c r="I3" s="339"/>
      <c r="J3" s="339"/>
      <c r="K3" s="340"/>
    </row>
    <row r="4" spans="1:31" x14ac:dyDescent="0.25">
      <c r="A4" s="5" t="s">
        <v>1591</v>
      </c>
      <c r="B4" s="6" t="s">
        <v>1591</v>
      </c>
      <c r="C4" s="6"/>
      <c r="D4" s="341"/>
      <c r="E4" s="342"/>
      <c r="F4" s="6" t="s">
        <v>1591</v>
      </c>
      <c r="G4" s="6"/>
      <c r="H4" s="6"/>
      <c r="I4" s="6"/>
      <c r="J4" s="341"/>
      <c r="K4" s="343"/>
    </row>
    <row r="5" spans="1:31" x14ac:dyDescent="0.25">
      <c r="A5" s="5" t="s">
        <v>1615</v>
      </c>
      <c r="B5" s="7" t="s">
        <v>12</v>
      </c>
      <c r="C5" s="7" t="s">
        <v>1592</v>
      </c>
      <c r="D5" s="8" t="s">
        <v>1609</v>
      </c>
      <c r="E5" s="8" t="s">
        <v>1610</v>
      </c>
      <c r="F5" s="259" t="str">
        <f>OVERALL!F5</f>
        <v>0124</v>
      </c>
      <c r="G5" s="259" t="str">
        <f>OVERALL!G5</f>
        <v>0224</v>
      </c>
      <c r="H5" s="259" t="str">
        <f>OVERALL!H5</f>
        <v>0324</v>
      </c>
      <c r="I5" s="7" t="str">
        <f>OVERALL!I5</f>
        <v>Q124</v>
      </c>
      <c r="J5" s="8" t="s">
        <v>1609</v>
      </c>
      <c r="K5" s="9" t="s">
        <v>1610</v>
      </c>
    </row>
    <row r="6" spans="1:31" s="163" customFormat="1" x14ac:dyDescent="0.25">
      <c r="A6" s="55" t="s">
        <v>1616</v>
      </c>
      <c r="B6" s="152">
        <f>SUMIF('TUNZ Extracted TB'!$M:$M,O6,'TUNZ Extracted TB'!$G:$G)+SUMIF('TUNZ Extracted TB'!$M:$M,P6,'TUNZ Extracted TB'!$G:$G)+SUMIF('TUNZ Extracted TB'!$M:$M,Q6,'TUNZ Extracted TB'!$G:$G)+SUMIF('TUNZ Extracted TB'!$M:$M,R6,'TUNZ Extracted TB'!$G:$G)+SUMIF('TUNZ Extracted TB'!$M:$M,S6,'TUNZ Extracted TB'!$G:$G)+SUMIF('TUNZ Extracted TB'!$M:$M,T6,'TUNZ Extracted TB'!$G:$G)+SUMIF('TUNZ Extracted TB'!$M:$M,U6,'TUNZ Extracted TB'!$G:$G)+SUMIF('TUNZ Extracted TB'!$M:$M,V6,'TUNZ Extracted TB'!$G:$G)+SUMIF('TUNZ Extracted TB'!$M:$M,W6,'TUNZ Extracted TB'!$G:$G)+SUMIF('TUNZ Extracted TB'!$M:$M,X6,'TUNZ Extracted TB'!$G:$G)+SUMIF('TUNZ Extracted TB'!$M:$M,Y6,'TUNZ Extracted TB'!$G:$G)+SUMIF('TUNZ Extracted TB'!$M:$M,Z6,'TUNZ Extracted TB'!$G:$G)+SUMIF('TUNZ Extracted TB'!$M:$M,AA6,'TUNZ Extracted TB'!$G:$G)+SUMIF('TUNZ Extracted TB'!$M:$M,AB6,'TUNZ Extracted TB'!$G:$G)+SUMIF('TUNZ Extracted TB'!$M:$M,AC6,'TUNZ Extracted TB'!$G:$G)+SUMIF('TUNZ Extracted TB'!$M:$M,AD6,'TUNZ Extracted TB'!$G:$G)+SUMIF('TUNZ Extracted TB'!$M:$M,AE6,'TUNZ Extracted TB'!$G:$G)+SUMIF('TUNZ Extracted TB'!$M:$M,N6,'TUNZ Extracted TB'!$G:$G)</f>
        <v>20</v>
      </c>
      <c r="C6" s="153">
        <f>HLOOKUP(J1,'Input Sheet'!$I:$Z,179,FALSE)</f>
        <v>29</v>
      </c>
      <c r="D6" s="154">
        <f>+B6-C6</f>
        <v>-9</v>
      </c>
      <c r="E6" s="113">
        <f>IFERROR(+D6/C6,0)</f>
        <v>-0.31034482758620691</v>
      </c>
      <c r="F6" s="152"/>
      <c r="G6" s="152"/>
      <c r="H6" s="152"/>
      <c r="I6" s="153">
        <f>SUM(F6:H6)</f>
        <v>0</v>
      </c>
      <c r="J6" s="154">
        <f>+F6-H6</f>
        <v>0</v>
      </c>
      <c r="K6" s="116">
        <f>IFERROR(+J6/H6,0)</f>
        <v>0</v>
      </c>
      <c r="N6" s="162" t="s">
        <v>1732</v>
      </c>
      <c r="O6" s="162" t="s">
        <v>1733</v>
      </c>
      <c r="P6" s="162" t="s">
        <v>1734</v>
      </c>
      <c r="Q6" s="162" t="s">
        <v>1735</v>
      </c>
      <c r="R6" s="162" t="s">
        <v>1736</v>
      </c>
      <c r="S6" s="162" t="s">
        <v>1737</v>
      </c>
      <c r="T6" s="162" t="s">
        <v>1738</v>
      </c>
      <c r="U6" s="162" t="s">
        <v>1739</v>
      </c>
      <c r="V6" s="162" t="s">
        <v>1740</v>
      </c>
      <c r="W6" s="162" t="s">
        <v>1741</v>
      </c>
      <c r="X6" s="162" t="s">
        <v>1742</v>
      </c>
      <c r="Y6" s="162" t="s">
        <v>1743</v>
      </c>
      <c r="Z6" s="162" t="s">
        <v>1744</v>
      </c>
      <c r="AA6" s="162" t="s">
        <v>1745</v>
      </c>
      <c r="AB6" s="162" t="s">
        <v>1746</v>
      </c>
      <c r="AC6" s="162" t="s">
        <v>1747</v>
      </c>
      <c r="AD6" s="162" t="s">
        <v>1748</v>
      </c>
      <c r="AE6" s="162" t="s">
        <v>1749</v>
      </c>
    </row>
    <row r="7" spans="1:31" x14ac:dyDescent="0.25">
      <c r="A7" s="10" t="s">
        <v>1617</v>
      </c>
      <c r="B7" s="141">
        <f>+B6/B27</f>
        <v>5</v>
      </c>
      <c r="C7" s="142">
        <f>+C6/C27</f>
        <v>9.6666666666666661</v>
      </c>
      <c r="D7" s="143">
        <f>+B7-C7</f>
        <v>-4.6666666666666661</v>
      </c>
      <c r="E7" s="112">
        <f t="shared" ref="E7:E25" si="0">IFERROR(+D7/C7,0)</f>
        <v>-0.48275862068965514</v>
      </c>
      <c r="F7" s="141"/>
      <c r="G7" s="141"/>
      <c r="H7" s="141"/>
      <c r="I7" s="142">
        <f>+I6/I27</f>
        <v>0</v>
      </c>
      <c r="J7" s="143">
        <f>+F7-H7</f>
        <v>0</v>
      </c>
      <c r="K7" s="115">
        <f t="shared" ref="K7:K25" si="1">IFERROR(+J7/H7,0)</f>
        <v>0</v>
      </c>
    </row>
    <row r="8" spans="1:31" x14ac:dyDescent="0.25">
      <c r="A8" s="10" t="s">
        <v>1004</v>
      </c>
      <c r="B8" s="86">
        <f>-SUMIFS(Export!L:L,Export!I:I,N8,Export!E:E,L8)/$B$6-SUMIFS(Export!L:L,Export!I:I,N8,Export!E:E,M8)/$B$6</f>
        <v>12727.689999999991</v>
      </c>
      <c r="C8" s="83">
        <f>-SUMIFS(Export!N:N,Export!I:I,N8,Export!E:E,M8)/C$6</f>
        <v>10000</v>
      </c>
      <c r="D8" s="102">
        <f>++B8-C8</f>
        <v>2727.6899999999914</v>
      </c>
      <c r="E8" s="112">
        <f t="shared" si="0"/>
        <v>0.27276899999999915</v>
      </c>
      <c r="F8" s="86"/>
      <c r="G8" s="86"/>
      <c r="H8" s="86"/>
      <c r="I8" s="83" t="e">
        <f>AVERAGE(F8:H8)</f>
        <v>#DIV/0!</v>
      </c>
      <c r="J8" s="102">
        <f>++F8-H8</f>
        <v>0</v>
      </c>
      <c r="K8" s="115">
        <f t="shared" si="1"/>
        <v>0</v>
      </c>
      <c r="L8" s="162"/>
      <c r="M8" s="162">
        <v>112</v>
      </c>
      <c r="N8" s="162" t="s">
        <v>1004</v>
      </c>
    </row>
    <row r="9" spans="1:31" x14ac:dyDescent="0.25">
      <c r="A9" s="10" t="s">
        <v>1036</v>
      </c>
      <c r="B9" s="86">
        <f>-SUMIFS(Export!L:L,Export!I:I,N9,Export!E:E,L9)/$B$6-SUMIFS(Export!L:L,Export!I:I,N9,Export!E:E,M9)/$B$6</f>
        <v>0</v>
      </c>
      <c r="C9" s="83">
        <f>-SUMIFS(Export!N:N,Export!I:I,N9,Export!E:E,M9)/C$6</f>
        <v>0</v>
      </c>
      <c r="D9" s="102">
        <f>++B9-C9</f>
        <v>0</v>
      </c>
      <c r="E9" s="112">
        <f t="shared" si="0"/>
        <v>0</v>
      </c>
      <c r="F9" s="86"/>
      <c r="G9" s="86"/>
      <c r="H9" s="86"/>
      <c r="I9" s="83">
        <f>F9</f>
        <v>0</v>
      </c>
      <c r="J9" s="102">
        <f>++F9-H9</f>
        <v>0</v>
      </c>
      <c r="K9" s="115">
        <f t="shared" si="1"/>
        <v>0</v>
      </c>
      <c r="L9" s="162"/>
      <c r="M9" s="162">
        <v>112</v>
      </c>
      <c r="N9" s="162" t="s">
        <v>1036</v>
      </c>
    </row>
    <row r="10" spans="1:31" x14ac:dyDescent="0.25">
      <c r="A10" s="10" t="s">
        <v>1026</v>
      </c>
      <c r="B10" s="86">
        <f>-SUMIFS(Export!L:L,Export!I:I,N10,Export!E:E,L10)/$B$6-SUMIFS(Export!L:L,Export!I:I,N10,Export!E:E,M10)/$B$6</f>
        <v>0</v>
      </c>
      <c r="C10" s="83">
        <f>-SUMIFS(Export!N:N,Export!I:I,N10,Export!E:E,M10)/C$6</f>
        <v>0</v>
      </c>
      <c r="D10" s="102">
        <f>++B10-C10</f>
        <v>0</v>
      </c>
      <c r="E10" s="112">
        <f t="shared" si="0"/>
        <v>0</v>
      </c>
      <c r="F10" s="86"/>
      <c r="G10" s="86"/>
      <c r="H10" s="86"/>
      <c r="I10" s="83" t="e">
        <f>AVERAGE(F10:H10)</f>
        <v>#DIV/0!</v>
      </c>
      <c r="J10" s="102">
        <f>++F10-H10</f>
        <v>0</v>
      </c>
      <c r="K10" s="115">
        <f t="shared" si="1"/>
        <v>0</v>
      </c>
      <c r="L10" s="162"/>
      <c r="M10" s="162">
        <v>112</v>
      </c>
      <c r="N10" s="162" t="s">
        <v>1026</v>
      </c>
    </row>
    <row r="11" spans="1:31" x14ac:dyDescent="0.25">
      <c r="A11" s="10" t="s">
        <v>1618</v>
      </c>
      <c r="B11" s="86">
        <f>+SUM(B8:B10)</f>
        <v>12727.689999999991</v>
      </c>
      <c r="C11" s="83">
        <f>+SUM(C8:C10)</f>
        <v>10000</v>
      </c>
      <c r="D11" s="102">
        <f>++B11-C11</f>
        <v>2727.6899999999914</v>
      </c>
      <c r="E11" s="112">
        <f t="shared" si="0"/>
        <v>0.27276899999999915</v>
      </c>
      <c r="F11" s="86"/>
      <c r="G11" s="86"/>
      <c r="H11" s="86"/>
      <c r="I11" s="83" t="e">
        <f>AVERAGE(F11:H11)</f>
        <v>#DIV/0!</v>
      </c>
      <c r="J11" s="102">
        <f>++F11-H11</f>
        <v>0</v>
      </c>
      <c r="K11" s="115">
        <f t="shared" si="1"/>
        <v>0</v>
      </c>
      <c r="L11" s="162"/>
      <c r="M11" s="162"/>
    </row>
    <row r="12" spans="1:31" x14ac:dyDescent="0.25">
      <c r="A12" s="55" t="s">
        <v>1619</v>
      </c>
      <c r="B12" s="87">
        <f>B11*B6</f>
        <v>254553.79999999981</v>
      </c>
      <c r="C12" s="84">
        <f>C11*C6</f>
        <v>290000</v>
      </c>
      <c r="D12" s="103">
        <f>++B12-C12</f>
        <v>-35446.200000000186</v>
      </c>
      <c r="E12" s="113">
        <f t="shared" si="0"/>
        <v>-0.12222827586206961</v>
      </c>
      <c r="F12" s="87"/>
      <c r="G12" s="87"/>
      <c r="H12" s="87"/>
      <c r="I12" s="84">
        <f>SUM(F12:H12)</f>
        <v>0</v>
      </c>
      <c r="J12" s="103">
        <f>++F12-H12</f>
        <v>0</v>
      </c>
      <c r="K12" s="116">
        <f t="shared" si="1"/>
        <v>0</v>
      </c>
      <c r="L12" s="162"/>
      <c r="M12" s="162">
        <v>112</v>
      </c>
      <c r="N12" s="162" t="s">
        <v>1026</v>
      </c>
      <c r="O12" s="162" t="s">
        <v>1036</v>
      </c>
      <c r="P12" s="162" t="s">
        <v>1004</v>
      </c>
    </row>
    <row r="13" spans="1:31" x14ac:dyDescent="0.25">
      <c r="A13" s="10" t="s">
        <v>1267</v>
      </c>
      <c r="B13" s="86">
        <f>+SUMIFS(Export!L:L,Export!I:I,N13,Export!E:E,L13)/$B$6+SUMIFS(Export!L:L,Export!I:I,N13,Export!E:E,M13)/$B$6</f>
        <v>1276.5814999999998</v>
      </c>
      <c r="C13" s="83">
        <f>SUMIFS(Export!N:N,Export!I:I,N13,Export!E:E,M13)/C$6</f>
        <v>1500</v>
      </c>
      <c r="D13" s="102">
        <f>+C13-B13</f>
        <v>223.41850000000022</v>
      </c>
      <c r="E13" s="112">
        <f t="shared" si="0"/>
        <v>0.14894566666666681</v>
      </c>
      <c r="F13" s="86"/>
      <c r="G13" s="86"/>
      <c r="H13" s="86"/>
      <c r="I13" s="83" t="e">
        <f>AVERAGE(F13:H13)</f>
        <v>#DIV/0!</v>
      </c>
      <c r="J13" s="102">
        <f>+H13-F13</f>
        <v>0</v>
      </c>
      <c r="K13" s="115">
        <f t="shared" si="1"/>
        <v>0</v>
      </c>
      <c r="L13" s="162"/>
      <c r="M13" s="162">
        <v>112</v>
      </c>
      <c r="N13" s="162" t="s">
        <v>1267</v>
      </c>
    </row>
    <row r="14" spans="1:31" x14ac:dyDescent="0.25">
      <c r="A14" s="10" t="s">
        <v>1279</v>
      </c>
      <c r="B14" s="86">
        <f>+SUMIFS(Export!L:L,Export!I:I,N14,Export!E:E,L14)/$B$6+SUMIFS(Export!L:L,Export!I:I,N14,Export!E:E,M14)/$B$6</f>
        <v>516.35799999999995</v>
      </c>
      <c r="C14" s="83">
        <f>SUMIFS(Export!N:N,Export!I:I,N14,Export!E:E,M14)/C$6</f>
        <v>0</v>
      </c>
      <c r="D14" s="102">
        <f t="shared" ref="D14:D21" si="2">+C14-B14</f>
        <v>-516.35799999999995</v>
      </c>
      <c r="E14" s="112">
        <f t="shared" si="0"/>
        <v>0</v>
      </c>
      <c r="F14" s="86"/>
      <c r="G14" s="86"/>
      <c r="H14" s="86"/>
      <c r="I14" s="83" t="e">
        <f>AVERAGE(F14:H14)</f>
        <v>#DIV/0!</v>
      </c>
      <c r="J14" s="102">
        <f t="shared" ref="J14:J21" si="3">+H14-F14</f>
        <v>0</v>
      </c>
      <c r="K14" s="115">
        <f t="shared" si="1"/>
        <v>0</v>
      </c>
      <c r="L14" s="162"/>
      <c r="M14" s="162">
        <v>112</v>
      </c>
      <c r="N14" s="162" t="s">
        <v>1279</v>
      </c>
    </row>
    <row r="15" spans="1:31" x14ac:dyDescent="0.25">
      <c r="A15" s="55" t="s">
        <v>1620</v>
      </c>
      <c r="B15" s="87">
        <f>+SUM(B13:B14)</f>
        <v>1792.9394999999997</v>
      </c>
      <c r="C15" s="84">
        <f>+SUM(C13:C14)</f>
        <v>1500</v>
      </c>
      <c r="D15" s="103">
        <f t="shared" si="2"/>
        <v>-292.93949999999973</v>
      </c>
      <c r="E15" s="113">
        <f t="shared" si="0"/>
        <v>-0.19529299999999983</v>
      </c>
      <c r="F15" s="87"/>
      <c r="G15" s="87"/>
      <c r="H15" s="87"/>
      <c r="I15" s="84" t="e">
        <f>+SUM(I13:I14)</f>
        <v>#DIV/0!</v>
      </c>
      <c r="J15" s="103">
        <f t="shared" si="3"/>
        <v>0</v>
      </c>
      <c r="K15" s="116">
        <f t="shared" si="1"/>
        <v>0</v>
      </c>
      <c r="L15" s="162"/>
      <c r="M15" s="162"/>
    </row>
    <row r="16" spans="1:31" x14ac:dyDescent="0.25">
      <c r="A16" s="10" t="s">
        <v>1244</v>
      </c>
      <c r="B16" s="86">
        <f>+SUMIFS(Export!L:L,Export!I:I,N16,Export!E:E,L16)/$B$6+SUMIFS(Export!L:L,Export!I:I,N16,Export!E:E,M16)/$B$6</f>
        <v>822.55749999999989</v>
      </c>
      <c r="C16" s="83">
        <f>SUMIFS(Export!N:N,Export!I:I,N16,Export!E:E,M16)/C$6</f>
        <v>0</v>
      </c>
      <c r="D16" s="102">
        <f t="shared" si="2"/>
        <v>-822.55749999999989</v>
      </c>
      <c r="E16" s="112">
        <f t="shared" si="0"/>
        <v>0</v>
      </c>
      <c r="F16" s="86"/>
      <c r="G16" s="86"/>
      <c r="H16" s="86"/>
      <c r="I16" s="83" t="e">
        <f>AVERAGE(F16:H16)</f>
        <v>#DIV/0!</v>
      </c>
      <c r="J16" s="102">
        <f t="shared" si="3"/>
        <v>0</v>
      </c>
      <c r="K16" s="115">
        <f t="shared" si="1"/>
        <v>0</v>
      </c>
      <c r="L16" s="162"/>
      <c r="M16" s="162">
        <v>112</v>
      </c>
      <c r="N16" s="162" t="s">
        <v>1244</v>
      </c>
    </row>
    <row r="17" spans="1:18" x14ac:dyDescent="0.25">
      <c r="A17" s="10" t="s">
        <v>1298</v>
      </c>
      <c r="B17" s="86">
        <f>+SUMIFS(Export!L:L,Export!I:I,N17,Export!E:E,L17)/$B$6+SUMIFS(Export!L:L,Export!I:I,N17,Export!E:E,M17)/$B$6</f>
        <v>623.93200000000002</v>
      </c>
      <c r="C17" s="83">
        <f>SUMIFS(Export!N:N,Export!I:I,N17,Export!E:E,M17)/C$6</f>
        <v>5000</v>
      </c>
      <c r="D17" s="102">
        <f t="shared" si="2"/>
        <v>4376.0680000000002</v>
      </c>
      <c r="E17" s="112">
        <f t="shared" si="0"/>
        <v>0.87521360000000004</v>
      </c>
      <c r="F17" s="86"/>
      <c r="G17" s="86"/>
      <c r="H17" s="86"/>
      <c r="I17" s="83" t="e">
        <f>AVERAGE(F17:H17)</f>
        <v>#DIV/0!</v>
      </c>
      <c r="J17" s="102">
        <f t="shared" si="3"/>
        <v>0</v>
      </c>
      <c r="K17" s="115">
        <f t="shared" si="1"/>
        <v>0</v>
      </c>
      <c r="L17" s="162"/>
      <c r="M17" s="162">
        <v>112</v>
      </c>
      <c r="N17" s="162" t="s">
        <v>1298</v>
      </c>
    </row>
    <row r="18" spans="1:18" x14ac:dyDescent="0.25">
      <c r="A18" s="10" t="s">
        <v>1314</v>
      </c>
      <c r="B18" s="86">
        <f>+SUMIFS(Export!L:L,Export!I:I,N18,Export!E:E,L18)/$B$6+SUMIFS(Export!L:L,Export!I:I,N18,Export!E:E,M18)/$B$6</f>
        <v>209.85849999999999</v>
      </c>
      <c r="C18" s="83">
        <f>SUMIFS(Export!N:N,Export!I:I,N18,Export!E:E,M18)/C$6</f>
        <v>0</v>
      </c>
      <c r="D18" s="102">
        <f t="shared" si="2"/>
        <v>-209.85849999999999</v>
      </c>
      <c r="E18" s="112">
        <f t="shared" si="0"/>
        <v>0</v>
      </c>
      <c r="F18" s="86"/>
      <c r="G18" s="86"/>
      <c r="H18" s="86"/>
      <c r="I18" s="83" t="e">
        <f>AVERAGE(F18:H18)</f>
        <v>#DIV/0!</v>
      </c>
      <c r="J18" s="102">
        <f t="shared" si="3"/>
        <v>0</v>
      </c>
      <c r="K18" s="115">
        <f t="shared" si="1"/>
        <v>0</v>
      </c>
      <c r="L18" s="162"/>
      <c r="M18" s="162">
        <v>112</v>
      </c>
      <c r="N18" s="162" t="s">
        <v>1314</v>
      </c>
    </row>
    <row r="19" spans="1:18" x14ac:dyDescent="0.25">
      <c r="A19" s="10" t="s">
        <v>1359</v>
      </c>
      <c r="B19" s="86">
        <f>+SUMIFS(Export!L:L,Export!I:I,N19,Export!E:E,L19)/$B$6+SUMIFS(Export!L:L,Export!I:I,N19,Export!E:E,M19)/$B$6</f>
        <v>57.401499999999999</v>
      </c>
      <c r="C19" s="83">
        <f>SUMIFS(Export!N:N,Export!I:I,N19,Export!E:E,M19)/C$6</f>
        <v>0</v>
      </c>
      <c r="D19" s="102">
        <f t="shared" si="2"/>
        <v>-57.401499999999999</v>
      </c>
      <c r="E19" s="112">
        <f t="shared" si="0"/>
        <v>0</v>
      </c>
      <c r="F19" s="86"/>
      <c r="G19" s="86"/>
      <c r="H19" s="86"/>
      <c r="I19" s="83" t="e">
        <f>AVERAGE(F19:H19)</f>
        <v>#DIV/0!</v>
      </c>
      <c r="J19" s="102">
        <f t="shared" si="3"/>
        <v>0</v>
      </c>
      <c r="K19" s="115">
        <f t="shared" si="1"/>
        <v>0</v>
      </c>
      <c r="L19" s="162"/>
      <c r="M19" s="162">
        <v>112</v>
      </c>
      <c r="N19" s="162" t="s">
        <v>1359</v>
      </c>
    </row>
    <row r="20" spans="1:18" x14ac:dyDescent="0.25">
      <c r="A20" s="55" t="s">
        <v>1621</v>
      </c>
      <c r="B20" s="87">
        <f>+SUM(B16:B19)</f>
        <v>1713.7494999999999</v>
      </c>
      <c r="C20" s="84">
        <f>+SUM(C16:C19)</f>
        <v>5000</v>
      </c>
      <c r="D20" s="103">
        <f t="shared" si="2"/>
        <v>3286.2505000000001</v>
      </c>
      <c r="E20" s="113">
        <f t="shared" si="0"/>
        <v>0.65725010000000006</v>
      </c>
      <c r="F20" s="87"/>
      <c r="G20" s="87"/>
      <c r="H20" s="87"/>
      <c r="I20" s="84" t="e">
        <f>+SUM(I16:I19)</f>
        <v>#DIV/0!</v>
      </c>
      <c r="J20" s="103">
        <f t="shared" si="3"/>
        <v>0</v>
      </c>
      <c r="K20" s="116">
        <f t="shared" si="1"/>
        <v>0</v>
      </c>
      <c r="L20" s="162"/>
      <c r="M20" s="162"/>
    </row>
    <row r="21" spans="1:18" x14ac:dyDescent="0.25">
      <c r="A21" s="55" t="s">
        <v>1622</v>
      </c>
      <c r="B21" s="87">
        <f>++B20+B15</f>
        <v>3506.6889999999994</v>
      </c>
      <c r="C21" s="84">
        <f>++C20+C15</f>
        <v>6500</v>
      </c>
      <c r="D21" s="103">
        <f t="shared" si="2"/>
        <v>2993.3110000000006</v>
      </c>
      <c r="E21" s="113">
        <f t="shared" si="0"/>
        <v>0.46050938461538471</v>
      </c>
      <c r="F21" s="87"/>
      <c r="G21" s="87"/>
      <c r="H21" s="87"/>
      <c r="I21" s="84" t="e">
        <f>++I20+I15</f>
        <v>#DIV/0!</v>
      </c>
      <c r="J21" s="103">
        <f t="shared" si="3"/>
        <v>0</v>
      </c>
      <c r="K21" s="116">
        <f t="shared" si="1"/>
        <v>0</v>
      </c>
      <c r="L21" s="162"/>
      <c r="M21" s="162"/>
    </row>
    <row r="22" spans="1:18" x14ac:dyDescent="0.25">
      <c r="A22" s="10" t="s">
        <v>1623</v>
      </c>
      <c r="B22" s="86">
        <f>+B11-B21</f>
        <v>9221.0009999999929</v>
      </c>
      <c r="C22" s="83">
        <f>+C11-C21</f>
        <v>3500</v>
      </c>
      <c r="D22" s="102">
        <f>+D11-D21</f>
        <v>-265.62100000000919</v>
      </c>
      <c r="E22" s="112">
        <f t="shared" si="0"/>
        <v>-7.5891714285716907E-2</v>
      </c>
      <c r="F22" s="86"/>
      <c r="G22" s="86"/>
      <c r="H22" s="86"/>
      <c r="I22" s="83" t="e">
        <f>+I11-I21</f>
        <v>#DIV/0!</v>
      </c>
      <c r="J22" s="102">
        <f>+J11-J21</f>
        <v>0</v>
      </c>
      <c r="K22" s="115">
        <f t="shared" si="1"/>
        <v>0</v>
      </c>
      <c r="L22" s="162"/>
      <c r="M22" s="162"/>
    </row>
    <row r="23" spans="1:18" x14ac:dyDescent="0.25">
      <c r="A23" s="10" t="s">
        <v>1624</v>
      </c>
      <c r="B23" s="86">
        <f>+B22*B6</f>
        <v>184420.01999999984</v>
      </c>
      <c r="C23" s="83">
        <f>+C22*C6</f>
        <v>101500</v>
      </c>
      <c r="D23" s="102">
        <f>+B23-C23</f>
        <v>82920.019999999844</v>
      </c>
      <c r="E23" s="112">
        <f t="shared" si="0"/>
        <v>0.81694600985221522</v>
      </c>
      <c r="F23" s="86"/>
      <c r="G23" s="86"/>
      <c r="H23" s="86"/>
      <c r="I23" s="83">
        <f>SUM(F23:H23)</f>
        <v>0</v>
      </c>
      <c r="J23" s="102">
        <f>+F23-H23</f>
        <v>0</v>
      </c>
      <c r="K23" s="115">
        <f t="shared" si="1"/>
        <v>0</v>
      </c>
      <c r="L23" s="162"/>
      <c r="M23" s="162"/>
    </row>
    <row r="24" spans="1:18" x14ac:dyDescent="0.25">
      <c r="A24" s="10" t="s">
        <v>1008</v>
      </c>
      <c r="B24" s="86">
        <f>-SUMIFS(Export!L:L,Export!I:I,N24,Export!E:E,L24)-SUMIFS(Export!L:L,Export!I:I,N24,Export!E:E,M24)</f>
        <v>0</v>
      </c>
      <c r="C24" s="83">
        <v>0</v>
      </c>
      <c r="D24" s="102">
        <f>+B24-C24</f>
        <v>0</v>
      </c>
      <c r="E24" s="112">
        <f t="shared" si="0"/>
        <v>0</v>
      </c>
      <c r="F24" s="86"/>
      <c r="G24" s="86"/>
      <c r="H24" s="86"/>
      <c r="I24" s="83">
        <f>SUM(F24:H24)</f>
        <v>0</v>
      </c>
      <c r="J24" s="102">
        <f>+F24-H24</f>
        <v>0</v>
      </c>
      <c r="K24" s="115">
        <f t="shared" si="1"/>
        <v>0</v>
      </c>
      <c r="L24" s="162"/>
      <c r="M24" s="162">
        <v>112</v>
      </c>
      <c r="N24" s="162" t="s">
        <v>1008</v>
      </c>
    </row>
    <row r="25" spans="1:18" s="163" customFormat="1" ht="15.75" thickBot="1" x14ac:dyDescent="0.3">
      <c r="A25" s="11" t="s">
        <v>1625</v>
      </c>
      <c r="B25" s="88">
        <f>+B23+B24</f>
        <v>184420.01999999984</v>
      </c>
      <c r="C25" s="85">
        <f>+C23+C24</f>
        <v>101500</v>
      </c>
      <c r="D25" s="104">
        <f>+D23+D24</f>
        <v>82920.019999999844</v>
      </c>
      <c r="E25" s="114">
        <f t="shared" si="0"/>
        <v>0.81694600985221522</v>
      </c>
      <c r="F25" s="88"/>
      <c r="G25" s="88"/>
      <c r="H25" s="88"/>
      <c r="I25" s="85">
        <f>SUM(F25:H25)</f>
        <v>0</v>
      </c>
      <c r="J25" s="104">
        <f>+J23+J24</f>
        <v>0</v>
      </c>
      <c r="K25" s="117">
        <f t="shared" si="1"/>
        <v>0</v>
      </c>
      <c r="L25" s="164"/>
      <c r="M25" s="164"/>
      <c r="N25" s="164"/>
      <c r="O25" s="164"/>
      <c r="P25" s="164"/>
      <c r="Q25" s="164"/>
      <c r="R25" s="164"/>
    </row>
    <row r="26" spans="1:18" ht="15.75" thickTop="1" x14ac:dyDescent="0.25">
      <c r="L26" s="162"/>
      <c r="M26" s="162"/>
    </row>
    <row r="27" spans="1:18" x14ac:dyDescent="0.25">
      <c r="A27" s="10" t="s">
        <v>1626</v>
      </c>
      <c r="B27" s="12">
        <f>SUMIF('TUNZ Extracted TB'!$M:$M,N27,'TUNZ Extracted TB'!$H:$H)</f>
        <v>4</v>
      </c>
      <c r="C27" s="12">
        <f>HLOOKUP(J1,'Input Sheet'!$I:$Z,180,FALSE)</f>
        <v>3</v>
      </c>
      <c r="F27" s="12">
        <f t="shared" ref="F27" si="4">B27</f>
        <v>4</v>
      </c>
      <c r="G27" s="12">
        <v>4</v>
      </c>
      <c r="H27" s="12">
        <v>4</v>
      </c>
      <c r="I27" s="12">
        <f>AVERAGE(F27:H27)</f>
        <v>4</v>
      </c>
      <c r="L27" s="162"/>
      <c r="M27" s="162"/>
      <c r="N27" s="162" t="s">
        <v>1749</v>
      </c>
      <c r="O27" s="162" t="s">
        <v>1749</v>
      </c>
    </row>
    <row r="29" spans="1:18" x14ac:dyDescent="0.25">
      <c r="B29" s="284"/>
      <c r="C29" s="284"/>
    </row>
    <row r="30" spans="1:18" x14ac:dyDescent="0.25">
      <c r="B30" s="284"/>
      <c r="C30" s="284"/>
      <c r="D30" s="179"/>
      <c r="F30" s="179"/>
      <c r="G30" s="179"/>
    </row>
    <row r="31" spans="1:18" x14ac:dyDescent="0.25">
      <c r="B31" s="284"/>
      <c r="C31" s="284"/>
    </row>
    <row r="32" spans="1:18" x14ac:dyDescent="0.25">
      <c r="C32" s="179"/>
    </row>
  </sheetData>
  <mergeCells count="6">
    <mergeCell ref="A1:D1"/>
    <mergeCell ref="J1:K1"/>
    <mergeCell ref="B3:E3"/>
    <mergeCell ref="F3:K3"/>
    <mergeCell ref="D4:E4"/>
    <mergeCell ref="J4:K4"/>
  </mergeCells>
  <pageMargins left="0.7" right="0.7" top="0.75" bottom="0.75" header="0.3" footer="0.3"/>
  <pageSetup paperSize="9" orientation="landscape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71A0B-2089-4C88-A06D-BB21FE252925}">
  <sheetPr>
    <tabColor theme="9" tint="0.79998168889431442"/>
  </sheetPr>
  <dimension ref="A1:AK37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2" width="12" style="16" customWidth="1" outlineLevel="1"/>
    <col min="3" max="3" width="10.7109375" style="16" customWidth="1" outlineLevel="1"/>
    <col min="4" max="4" width="9.28515625" style="16" bestFit="1" customWidth="1" outlineLevel="1"/>
    <col min="5" max="5" width="9.140625" style="16" customWidth="1" outlineLevel="1"/>
    <col min="6" max="6" width="8.85546875" style="16" bestFit="1" customWidth="1"/>
    <col min="7" max="7" width="9" style="16" customWidth="1"/>
    <col min="8" max="8" width="8.28515625" style="16" customWidth="1" outlineLevel="1"/>
    <col min="9" max="9" width="8.28515625" style="16" customWidth="1"/>
    <col min="10" max="10" width="7.85546875" style="16" hidden="1" customWidth="1"/>
    <col min="11" max="11" width="8.7109375" style="16" hidden="1" customWidth="1"/>
    <col min="12" max="12" width="3.28515625" style="16" bestFit="1" customWidth="1"/>
    <col min="13" max="13" width="4.140625" style="16" customWidth="1"/>
    <col min="14" max="14" width="9.28515625" style="16" bestFit="1" customWidth="1"/>
    <col min="15" max="21" width="11.7109375" style="3" customWidth="1" outlineLevel="1"/>
    <col min="22" max="37" width="9.140625" style="16" customWidth="1" outlineLevel="1"/>
    <col min="38" max="16384" width="9.140625" style="16"/>
  </cols>
  <sheetData>
    <row r="1" spans="1:26" ht="15" customHeight="1" x14ac:dyDescent="0.25">
      <c r="A1" s="326" t="s">
        <v>1731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26" ht="6.6" customHeight="1" thickBot="1" x14ac:dyDescent="0.3"/>
    <row r="3" spans="1:26" ht="15.75" thickTop="1" x14ac:dyDescent="0.25">
      <c r="A3" s="18" t="s">
        <v>1591</v>
      </c>
      <c r="B3" s="344" t="s">
        <v>155</v>
      </c>
      <c r="C3" s="329"/>
      <c r="D3" s="329"/>
      <c r="E3" s="329"/>
      <c r="F3" s="344" t="s">
        <v>1629</v>
      </c>
      <c r="G3" s="344"/>
      <c r="H3" s="329"/>
      <c r="I3" s="329"/>
      <c r="J3" s="329"/>
      <c r="K3" s="345"/>
    </row>
    <row r="4" spans="1:26" x14ac:dyDescent="0.25">
      <c r="A4" s="19" t="s">
        <v>1591</v>
      </c>
      <c r="B4" s="20" t="s">
        <v>1591</v>
      </c>
      <c r="C4" s="20"/>
      <c r="D4" s="346"/>
      <c r="E4" s="331"/>
      <c r="F4" s="20" t="s">
        <v>1591</v>
      </c>
      <c r="G4" s="20"/>
      <c r="H4" s="20"/>
      <c r="I4" s="20"/>
      <c r="J4" s="346"/>
      <c r="K4" s="347"/>
    </row>
    <row r="5" spans="1:26" x14ac:dyDescent="0.25">
      <c r="A5" s="19" t="s">
        <v>1630</v>
      </c>
      <c r="B5" s="21" t="s">
        <v>12</v>
      </c>
      <c r="C5" s="21" t="s">
        <v>1592</v>
      </c>
      <c r="D5" s="22" t="s">
        <v>1609</v>
      </c>
      <c r="E5" s="22" t="s">
        <v>1610</v>
      </c>
      <c r="F5" s="260" t="str">
        <f>OVERALL!F5</f>
        <v>0124</v>
      </c>
      <c r="G5" s="260" t="str">
        <f>OVERALL!G5</f>
        <v>0224</v>
      </c>
      <c r="H5" s="260" t="str">
        <f>OVERALL!H5</f>
        <v>0324</v>
      </c>
      <c r="I5" s="21" t="str">
        <f>OVERALL!I5</f>
        <v>Q124</v>
      </c>
      <c r="J5" s="22" t="s">
        <v>1609</v>
      </c>
      <c r="K5" s="23" t="s">
        <v>1610</v>
      </c>
    </row>
    <row r="6" spans="1:26" x14ac:dyDescent="0.25">
      <c r="A6" s="24" t="s">
        <v>1634</v>
      </c>
      <c r="B6" s="25">
        <f>+SUMIF('TUNZ Extracted TB'!$M:$M,+O6,'TUNZ Extracted TB'!$G:$G)+SUMIF('TUNZ Extracted TB'!$M:$M,+P6,'TUNZ Extracted TB'!$G:$G)</f>
        <v>7</v>
      </c>
      <c r="C6" s="144">
        <f>HLOOKUP(J1,'Input Sheet'!$I:$Z,185,FALSE)</f>
        <v>5</v>
      </c>
      <c r="D6" s="166">
        <f>+B6-C6</f>
        <v>2</v>
      </c>
      <c r="E6" s="118">
        <f>IFERROR(+D6/C6,0)</f>
        <v>0.4</v>
      </c>
      <c r="F6" s="25"/>
      <c r="G6" s="25"/>
      <c r="H6" s="25"/>
      <c r="I6" s="144">
        <f t="shared" ref="I6" si="0">SUM(F6:H6)</f>
        <v>0</v>
      </c>
      <c r="J6" s="166">
        <f>+F6-H6</f>
        <v>0</v>
      </c>
      <c r="K6" s="122">
        <f>IFERROR(+J6/H6,0)</f>
        <v>0</v>
      </c>
      <c r="O6" s="3" t="s">
        <v>1635</v>
      </c>
      <c r="P6" s="3" t="s">
        <v>1636</v>
      </c>
    </row>
    <row r="7" spans="1:26" s="28" customFormat="1" x14ac:dyDescent="0.25">
      <c r="A7" s="27" t="s">
        <v>1637</v>
      </c>
      <c r="B7" s="150">
        <f>+SUM(B6:B6)</f>
        <v>7</v>
      </c>
      <c r="C7" s="151">
        <f>+SUM(C6:C6)</f>
        <v>5</v>
      </c>
      <c r="D7" s="167">
        <f t="shared" ref="D7:D9" si="1">+B7-C7</f>
        <v>2</v>
      </c>
      <c r="E7" s="119">
        <f t="shared" ref="E7:E27" si="2">IFERROR(+D7/C7,0)</f>
        <v>0.4</v>
      </c>
      <c r="F7" s="150"/>
      <c r="G7" s="150"/>
      <c r="H7" s="150"/>
      <c r="I7" s="151">
        <f>+SUM(I6:I6)</f>
        <v>0</v>
      </c>
      <c r="J7" s="167">
        <f t="shared" ref="J7:J9" si="3">+F7-H7</f>
        <v>0</v>
      </c>
      <c r="K7" s="123">
        <f t="shared" ref="K7:K27" si="4">IFERROR(+J7/H7,0)</f>
        <v>0</v>
      </c>
      <c r="O7" s="50"/>
      <c r="P7" s="50"/>
      <c r="Q7" s="50"/>
      <c r="R7" s="50"/>
      <c r="S7" s="50"/>
      <c r="T7" s="50"/>
      <c r="U7" s="50"/>
    </row>
    <row r="8" spans="1:26" x14ac:dyDescent="0.25">
      <c r="A8" s="24" t="s">
        <v>1638</v>
      </c>
      <c r="B8" s="25">
        <f>+SUMIF('TUNZ Extracted TB'!$M:$M,"122-6230#",'TUNZ Extracted TB'!$G:$G)</f>
        <v>0</v>
      </c>
      <c r="C8" s="144">
        <v>0</v>
      </c>
      <c r="D8" s="166">
        <f>+B8-C8</f>
        <v>0</v>
      </c>
      <c r="E8" s="118">
        <f>IFERROR(+D8/C8,0)</f>
        <v>0</v>
      </c>
      <c r="F8" s="145"/>
      <c r="G8" s="145"/>
      <c r="H8" s="145"/>
      <c r="I8" s="144">
        <f>SUM(F8:H8)</f>
        <v>0</v>
      </c>
      <c r="J8" s="166">
        <f>+F8-H8</f>
        <v>0</v>
      </c>
      <c r="K8" s="122">
        <f>IFERROR(+J8/H8,0)</f>
        <v>0</v>
      </c>
      <c r="U8" s="95" t="s">
        <v>1641</v>
      </c>
      <c r="V8" s="95" t="s">
        <v>1641</v>
      </c>
    </row>
    <row r="9" spans="1:26" x14ac:dyDescent="0.25">
      <c r="A9" s="24" t="s">
        <v>1639</v>
      </c>
      <c r="B9" s="146">
        <f>+B7/B29</f>
        <v>1.75</v>
      </c>
      <c r="C9" s="147">
        <f>+C7/C29</f>
        <v>1.6666666666666667</v>
      </c>
      <c r="D9" s="166">
        <f t="shared" si="1"/>
        <v>8.3333333333333259E-2</v>
      </c>
      <c r="E9" s="118">
        <f t="shared" si="2"/>
        <v>4.9999999999999954E-2</v>
      </c>
      <c r="F9" s="146"/>
      <c r="G9" s="146"/>
      <c r="H9" s="146"/>
      <c r="I9" s="147" t="e">
        <f>+I7/I29</f>
        <v>#DIV/0!</v>
      </c>
      <c r="J9" s="166">
        <f t="shared" si="3"/>
        <v>0</v>
      </c>
      <c r="K9" s="122">
        <f t="shared" si="4"/>
        <v>0</v>
      </c>
      <c r="U9" s="95" t="s">
        <v>12</v>
      </c>
      <c r="V9" s="95" t="s">
        <v>1592</v>
      </c>
    </row>
    <row r="10" spans="1:26" x14ac:dyDescent="0.25">
      <c r="A10" s="24" t="s">
        <v>1640</v>
      </c>
      <c r="B10" s="146">
        <f>-$B$31/U11*30</f>
        <v>1222.0905482276148</v>
      </c>
      <c r="C10" s="147">
        <f>-$B$31/V11*30</f>
        <v>1171.1391490909091</v>
      </c>
      <c r="D10" s="166">
        <f>+C10-B10</f>
        <v>-50.951399136705732</v>
      </c>
      <c r="E10" s="118">
        <f>IFERROR(+D10/C10,0)</f>
        <v>-4.3505845719747735E-2</v>
      </c>
      <c r="F10" s="146"/>
      <c r="G10" s="146"/>
      <c r="H10" s="146"/>
      <c r="I10" s="147">
        <f>-$B$31/U11*30</f>
        <v>1222.0905482276148</v>
      </c>
      <c r="J10" s="166">
        <f>+H10-F10</f>
        <v>0</v>
      </c>
      <c r="K10" s="122">
        <f>IFERROR(+J10/H10,0)</f>
        <v>0</v>
      </c>
      <c r="U10" s="159" t="s">
        <v>1642</v>
      </c>
      <c r="V10" s="159" t="s">
        <v>1642</v>
      </c>
    </row>
    <row r="11" spans="1:26" x14ac:dyDescent="0.25">
      <c r="A11" s="24" t="s">
        <v>1073</v>
      </c>
      <c r="B11" s="86">
        <f>-U11/B7</f>
        <v>3764.7814285714289</v>
      </c>
      <c r="C11" s="90">
        <f>-(HLOOKUP(J1,'Input Sheet'!1:1048576,186,FALSE)+HLOOKUP(J1,'Input Sheet'!1:1048576,187,FALSE))/C6</f>
        <v>5500</v>
      </c>
      <c r="D11" s="105">
        <f t="shared" ref="D11:D13" si="5">+B11-C11</f>
        <v>-1735.2185714285711</v>
      </c>
      <c r="E11" s="118">
        <f t="shared" si="2"/>
        <v>-0.31549428571428567</v>
      </c>
      <c r="F11" s="86"/>
      <c r="G11" s="86"/>
      <c r="H11" s="86"/>
      <c r="I11" s="90" t="e">
        <f t="shared" ref="I11:I23" si="6">AVERAGE(F11:H11)</f>
        <v>#DIV/0!</v>
      </c>
      <c r="J11" s="105">
        <f t="shared" ref="J11:J13" si="7">+F11-H11</f>
        <v>0</v>
      </c>
      <c r="K11" s="122">
        <f t="shared" si="4"/>
        <v>0</v>
      </c>
      <c r="L11" s="162"/>
      <c r="M11" s="162">
        <v>122</v>
      </c>
      <c r="N11" s="162"/>
      <c r="O11" s="3" t="s">
        <v>1052</v>
      </c>
      <c r="P11" s="3" t="s">
        <v>1073</v>
      </c>
      <c r="U11" s="52">
        <f>SUMIFS(Export!L:L,Export!I:I,P11,Export!E:E,N11)+SUMIFS(Export!L:L,Export!I:I,O11,Export!E:E,M11)</f>
        <v>-26353.47</v>
      </c>
      <c r="V11" s="52">
        <f>SUMIFS(Export!N:N,Export!I:I,O11,Export!E:E,N11)+SUMIFS(Export!N:N,Export!I:I,O11,Export!E:E,M11)</f>
        <v>-27500</v>
      </c>
      <c r="W11" s="52">
        <f>+SUMIF(Export!$I:$I,'LEX USED VEHICLE'!$O$11,Export!O:O)</f>
        <v>0</v>
      </c>
      <c r="X11" s="52">
        <f>+SUMIF(Export!$I:$I,'LEX USED VEHICLE'!$O$11,Export!M:M)</f>
        <v>0</v>
      </c>
      <c r="Z11" s="195"/>
    </row>
    <row r="12" spans="1:26" x14ac:dyDescent="0.25">
      <c r="A12" s="27" t="s">
        <v>1052</v>
      </c>
      <c r="B12" s="87">
        <f>B11</f>
        <v>3764.7814285714289</v>
      </c>
      <c r="C12" s="92">
        <f>C11</f>
        <v>5500</v>
      </c>
      <c r="D12" s="106">
        <f t="shared" si="5"/>
        <v>-1735.2185714285711</v>
      </c>
      <c r="E12" s="119">
        <f t="shared" si="2"/>
        <v>-0.31549428571428567</v>
      </c>
      <c r="F12" s="87"/>
      <c r="G12" s="87"/>
      <c r="H12" s="87"/>
      <c r="I12" s="92" t="e">
        <f>AVERAGE(F12:H12)</f>
        <v>#DIV/0!</v>
      </c>
      <c r="J12" s="106">
        <f t="shared" si="7"/>
        <v>0</v>
      </c>
      <c r="K12" s="123">
        <f t="shared" si="4"/>
        <v>0</v>
      </c>
      <c r="L12" s="162"/>
      <c r="M12" s="162">
        <v>122</v>
      </c>
      <c r="N12" s="162"/>
      <c r="O12" s="3" t="s">
        <v>1055</v>
      </c>
      <c r="P12" s="3" t="s">
        <v>1058</v>
      </c>
      <c r="Q12" s="3" t="s">
        <v>1016</v>
      </c>
      <c r="R12" s="3" t="s">
        <v>1052</v>
      </c>
      <c r="S12" s="3" t="s">
        <v>1073</v>
      </c>
      <c r="Z12" s="193"/>
    </row>
    <row r="13" spans="1:26" x14ac:dyDescent="0.25">
      <c r="A13" s="24" t="s">
        <v>1063</v>
      </c>
      <c r="B13" s="86">
        <f>IFERROR((-SUMIFS(Export!L:L,Export!I:I,O13,Export!E:E,N13)-SUMIFS(Export!L:L,Export!I:I,O13,Export!E:E,M13))/B8,0)</f>
        <v>0</v>
      </c>
      <c r="C13" s="90">
        <v>0</v>
      </c>
      <c r="D13" s="105">
        <f t="shared" si="5"/>
        <v>0</v>
      </c>
      <c r="E13" s="118">
        <f t="shared" si="2"/>
        <v>0</v>
      </c>
      <c r="F13" s="86"/>
      <c r="G13" s="86"/>
      <c r="H13" s="86"/>
      <c r="I13" s="90" t="e">
        <f t="shared" si="6"/>
        <v>#DIV/0!</v>
      </c>
      <c r="J13" s="105">
        <f t="shared" si="7"/>
        <v>0</v>
      </c>
      <c r="K13" s="122">
        <f t="shared" si="4"/>
        <v>0</v>
      </c>
      <c r="L13" s="162"/>
      <c r="M13" s="162">
        <v>122</v>
      </c>
      <c r="N13" s="162"/>
      <c r="O13" s="3" t="s">
        <v>1063</v>
      </c>
      <c r="Z13" s="193"/>
    </row>
    <row r="14" spans="1:26" x14ac:dyDescent="0.25">
      <c r="A14" s="24" t="s">
        <v>1164</v>
      </c>
      <c r="B14" s="86">
        <f>(-SUMIFS(Export!L:L,Export!I:I,O14,Export!E:E,N14)-SUMIFS(Export!L:L,Export!I:I,O14,Export!E:E,M14)-SUMIFS(Export!L:L,Export!I:I,O14,Export!E:E,L14))</f>
        <v>0</v>
      </c>
      <c r="C14" s="90">
        <v>0</v>
      </c>
      <c r="D14" s="105">
        <f>+B14-C14</f>
        <v>0</v>
      </c>
      <c r="E14" s="118">
        <f t="shared" si="2"/>
        <v>0</v>
      </c>
      <c r="F14" s="89"/>
      <c r="G14" s="89"/>
      <c r="H14" s="89"/>
      <c r="I14" s="90" t="e">
        <f t="shared" si="6"/>
        <v>#DIV/0!</v>
      </c>
      <c r="J14" s="105">
        <f>+F14-H14</f>
        <v>0</v>
      </c>
      <c r="K14" s="122">
        <f t="shared" ref="K14" si="8">IFERROR(+J14/H14,0)</f>
        <v>0</v>
      </c>
      <c r="L14" s="162"/>
      <c r="M14" s="162">
        <v>122</v>
      </c>
      <c r="N14" s="162"/>
      <c r="O14" s="3" t="s">
        <v>1164</v>
      </c>
    </row>
    <row r="15" spans="1:26" x14ac:dyDescent="0.25">
      <c r="A15" s="24" t="s">
        <v>1042</v>
      </c>
      <c r="B15" s="86">
        <f>((-SUMIFS(Export!L:L,Export!I:I,O15,Export!E:E,N15)-SUMIFS(Export!L:L,Export!I:I,O15,Export!E:E,M15))+(-SUMIFS(Export!L:L,Export!I:I,P15,Export!E:E,N15)-SUMIFS(Export!L:L,Export!I:I,P15,Export!E:E,M15))+B13*B7+B12*B7)/B6</f>
        <v>3764.7814285714289</v>
      </c>
      <c r="C15" s="90">
        <f>-(HLOOKUP(J1,'Input Sheet'!1:1048576,186,FALSE)+HLOOKUP(J1,'Input Sheet'!1:1048576,187,FALSE)+HLOOKUP(J1,'Input Sheet'!1:1048576,188,FALSE))/C7</f>
        <v>5500</v>
      </c>
      <c r="D15" s="105">
        <f>+B15-C15</f>
        <v>-1735.2185714285711</v>
      </c>
      <c r="E15" s="118">
        <f t="shared" si="2"/>
        <v>-0.31549428571428567</v>
      </c>
      <c r="F15" s="86"/>
      <c r="G15" s="86"/>
      <c r="H15" s="86"/>
      <c r="I15" s="90" t="e">
        <f t="shared" si="6"/>
        <v>#DIV/0!</v>
      </c>
      <c r="J15" s="105">
        <f>+F15-H15</f>
        <v>0</v>
      </c>
      <c r="K15" s="122">
        <f t="shared" si="4"/>
        <v>0</v>
      </c>
      <c r="L15" s="162"/>
      <c r="M15" s="162">
        <v>122</v>
      </c>
      <c r="N15" s="162"/>
      <c r="O15" s="3" t="s">
        <v>1042</v>
      </c>
    </row>
    <row r="16" spans="1:26" x14ac:dyDescent="0.25">
      <c r="A16" s="27" t="s">
        <v>1645</v>
      </c>
      <c r="B16" s="87">
        <f>B15*B7</f>
        <v>26353.47</v>
      </c>
      <c r="C16" s="92">
        <f>C15*C7</f>
        <v>27500</v>
      </c>
      <c r="D16" s="106">
        <f>+B16-C16</f>
        <v>-1146.5299999999988</v>
      </c>
      <c r="E16" s="119">
        <f t="shared" si="2"/>
        <v>-4.1691999999999958E-2</v>
      </c>
      <c r="F16" s="87"/>
      <c r="G16" s="87"/>
      <c r="H16" s="87"/>
      <c r="I16" s="92">
        <f>SUM(F16:H16)</f>
        <v>0</v>
      </c>
      <c r="J16" s="106">
        <f>+F16-H16</f>
        <v>0</v>
      </c>
      <c r="K16" s="123">
        <f t="shared" si="4"/>
        <v>0</v>
      </c>
      <c r="L16" s="162"/>
      <c r="M16" s="162">
        <v>122</v>
      </c>
      <c r="N16" s="162"/>
      <c r="V16" s="3"/>
    </row>
    <row r="17" spans="1:21" x14ac:dyDescent="0.25">
      <c r="A17" s="24" t="s">
        <v>1264</v>
      </c>
      <c r="B17" s="86">
        <f>(+SUMIFS(Export!L:L,Export!I:I,O17,Export!E:E,N17)+SUMIFS(Export!L:L,Export!I:I,O17,Export!E:E,M17))/$B$7</f>
        <v>1677.9228571428571</v>
      </c>
      <c r="C17" s="90">
        <f>HLOOKUP(J1,'Input Sheet'!1:1048576,189,FALSE)/C7</f>
        <v>1000</v>
      </c>
      <c r="D17" s="105">
        <f>+C17-B17</f>
        <v>-677.92285714285708</v>
      </c>
      <c r="E17" s="118">
        <f t="shared" si="2"/>
        <v>-0.67792285714285705</v>
      </c>
      <c r="F17" s="86"/>
      <c r="G17" s="86"/>
      <c r="H17" s="86"/>
      <c r="I17" s="90" t="e">
        <f t="shared" si="6"/>
        <v>#DIV/0!</v>
      </c>
      <c r="J17" s="105">
        <f>+H17-F17</f>
        <v>0</v>
      </c>
      <c r="K17" s="122">
        <f t="shared" si="4"/>
        <v>0</v>
      </c>
      <c r="L17" s="162"/>
      <c r="M17" s="162">
        <v>122</v>
      </c>
      <c r="N17" s="162"/>
      <c r="O17" s="3" t="s">
        <v>1264</v>
      </c>
    </row>
    <row r="18" spans="1:21" x14ac:dyDescent="0.25">
      <c r="A18" s="24" t="s">
        <v>1167</v>
      </c>
      <c r="B18" s="86">
        <f>(+SUMIFS(Export!L:L,Export!I:I,O18,Export!E:E,N18)+SUMIFS(Export!L:L,Export!I:I,O18,Export!E:E,M18)+SUMIFS(Export!L:L,Export!I:I,O18,Export!E:E,L18))/$B$7</f>
        <v>777.41428571428571</v>
      </c>
      <c r="C18" s="90">
        <v>0</v>
      </c>
      <c r="D18" s="105">
        <f t="shared" ref="D18:D25" si="9">+C18-B18</f>
        <v>-777.41428571428571</v>
      </c>
      <c r="E18" s="118">
        <f t="shared" si="2"/>
        <v>0</v>
      </c>
      <c r="F18" s="86"/>
      <c r="G18" s="86"/>
      <c r="H18" s="86"/>
      <c r="I18" s="90" t="e">
        <f t="shared" si="6"/>
        <v>#DIV/0!</v>
      </c>
      <c r="J18" s="105">
        <f t="shared" ref="J18:J25" si="10">+H18-F18</f>
        <v>0</v>
      </c>
      <c r="K18" s="122">
        <f t="shared" si="4"/>
        <v>0</v>
      </c>
      <c r="L18" s="162"/>
      <c r="M18" s="162">
        <v>122</v>
      </c>
      <c r="N18" s="162"/>
      <c r="O18" s="3" t="s">
        <v>1167</v>
      </c>
    </row>
    <row r="19" spans="1:21" x14ac:dyDescent="0.25">
      <c r="A19" s="24" t="s">
        <v>1646</v>
      </c>
      <c r="B19" s="86">
        <f>+SUM(B17:B18)</f>
        <v>2455.3371428571427</v>
      </c>
      <c r="C19" s="90">
        <f>+SUM(C17:C18)</f>
        <v>1000</v>
      </c>
      <c r="D19" s="105">
        <f t="shared" si="9"/>
        <v>-1455.3371428571427</v>
      </c>
      <c r="E19" s="118">
        <f t="shared" si="2"/>
        <v>-1.4553371428571427</v>
      </c>
      <c r="F19" s="86"/>
      <c r="G19" s="86"/>
      <c r="H19" s="86"/>
      <c r="I19" s="90" t="e">
        <f>+SUM(I17:I18)</f>
        <v>#DIV/0!</v>
      </c>
      <c r="J19" s="105">
        <f t="shared" si="10"/>
        <v>0</v>
      </c>
      <c r="K19" s="122">
        <f t="shared" si="4"/>
        <v>0</v>
      </c>
      <c r="L19" s="162"/>
      <c r="M19" s="162">
        <v>122</v>
      </c>
      <c r="N19" s="162"/>
    </row>
    <row r="20" spans="1:21" x14ac:dyDescent="0.25">
      <c r="A20" s="24" t="s">
        <v>1241</v>
      </c>
      <c r="B20" s="86">
        <f>(+SUMIFS(Export!L:L,Export!I:I,O20,Export!E:E,N20)+SUMIFS(Export!L:L,Export!I:I,O20,Export!E:E,M20)+SUMIFS(Export!L:L,Export!I:I,O20,Export!E:E,L20))/$B$7</f>
        <v>1830.6342857142859</v>
      </c>
      <c r="C20" s="90">
        <v>0</v>
      </c>
      <c r="D20" s="105">
        <f t="shared" si="9"/>
        <v>-1830.6342857142859</v>
      </c>
      <c r="E20" s="118">
        <f t="shared" si="2"/>
        <v>0</v>
      </c>
      <c r="F20" s="86"/>
      <c r="G20" s="86"/>
      <c r="H20" s="86"/>
      <c r="I20" s="90" t="e">
        <f t="shared" si="6"/>
        <v>#DIV/0!</v>
      </c>
      <c r="J20" s="105">
        <f t="shared" si="10"/>
        <v>0</v>
      </c>
      <c r="K20" s="122">
        <f t="shared" si="4"/>
        <v>0</v>
      </c>
      <c r="L20" s="162"/>
      <c r="M20" s="162">
        <v>122</v>
      </c>
      <c r="N20" s="162"/>
      <c r="O20" s="3" t="s">
        <v>1241</v>
      </c>
    </row>
    <row r="21" spans="1:21" x14ac:dyDescent="0.25">
      <c r="A21" s="24" t="s">
        <v>1301</v>
      </c>
      <c r="B21" s="86">
        <f>(+SUMIFS(Export!L:L,Export!I:I,O21,Export!E:E,N21)+SUMIFS(Export!L:L,Export!I:I,O21,Export!E:E,M21)+SUMIFS(Export!L:L,Export!I:I,O21,Export!E:E,L21))/$B$7</f>
        <v>58.714285714285715</v>
      </c>
      <c r="C21" s="90">
        <f>HLOOKUP(J1,'Input Sheet'!1:1048576,190,FALSE)/C7</f>
        <v>2033.8679999999999</v>
      </c>
      <c r="D21" s="105">
        <f t="shared" si="9"/>
        <v>1975.1537142857142</v>
      </c>
      <c r="E21" s="118">
        <f t="shared" si="2"/>
        <v>0.97113171271966237</v>
      </c>
      <c r="F21" s="86"/>
      <c r="G21" s="86"/>
      <c r="H21" s="86"/>
      <c r="I21" s="90" t="e">
        <f t="shared" si="6"/>
        <v>#DIV/0!</v>
      </c>
      <c r="J21" s="105">
        <f t="shared" si="10"/>
        <v>0</v>
      </c>
      <c r="K21" s="122">
        <f t="shared" si="4"/>
        <v>0</v>
      </c>
      <c r="L21" s="162"/>
      <c r="M21" s="162">
        <v>122</v>
      </c>
      <c r="N21" s="162"/>
      <c r="O21" s="3" t="s">
        <v>1301</v>
      </c>
    </row>
    <row r="22" spans="1:21" x14ac:dyDescent="0.25">
      <c r="A22" s="24" t="s">
        <v>1341</v>
      </c>
      <c r="B22" s="86">
        <f>(+SUMIFS(Export!L:L,Export!I:I,O22,Export!E:E,N22)+SUMIFS(Export!L:L,Export!I:I,O22,Export!E:E,M22))/$B$7</f>
        <v>0</v>
      </c>
      <c r="C22" s="90">
        <v>0</v>
      </c>
      <c r="D22" s="105">
        <f t="shared" si="9"/>
        <v>0</v>
      </c>
      <c r="E22" s="118">
        <f t="shared" si="2"/>
        <v>0</v>
      </c>
      <c r="F22" s="86"/>
      <c r="G22" s="86"/>
      <c r="H22" s="86"/>
      <c r="I22" s="90" t="e">
        <f t="shared" si="6"/>
        <v>#DIV/0!</v>
      </c>
      <c r="J22" s="105">
        <f t="shared" si="10"/>
        <v>0</v>
      </c>
      <c r="K22" s="122">
        <f t="shared" si="4"/>
        <v>0</v>
      </c>
      <c r="L22" s="162"/>
      <c r="M22" s="162">
        <v>122</v>
      </c>
      <c r="N22" s="162"/>
      <c r="O22" s="3" t="s">
        <v>1341</v>
      </c>
    </row>
    <row r="23" spans="1:21" x14ac:dyDescent="0.25">
      <c r="A23" s="24" t="s">
        <v>1327</v>
      </c>
      <c r="B23" s="86">
        <f>(+SUMIFS(Export!L:L,Export!I:I,O23,Export!E:E,N23)+SUMIFS(Export!L:L,Export!I:I,O23,Export!E:E,M23)+SUMIFS(Export!L:L,Export!I:I,O23,Export!E:E,L23))/$B$7</f>
        <v>0</v>
      </c>
      <c r="C23" s="90">
        <v>0</v>
      </c>
      <c r="D23" s="105">
        <f t="shared" si="9"/>
        <v>0</v>
      </c>
      <c r="E23" s="118">
        <f t="shared" si="2"/>
        <v>0</v>
      </c>
      <c r="F23" s="86"/>
      <c r="G23" s="86"/>
      <c r="H23" s="86"/>
      <c r="I23" s="90" t="e">
        <f t="shared" si="6"/>
        <v>#DIV/0!</v>
      </c>
      <c r="J23" s="105">
        <f t="shared" si="10"/>
        <v>0</v>
      </c>
      <c r="K23" s="122">
        <f t="shared" si="4"/>
        <v>0</v>
      </c>
      <c r="L23" s="162"/>
      <c r="M23" s="162">
        <v>122</v>
      </c>
      <c r="N23" s="162"/>
      <c r="O23" s="3" t="s">
        <v>1327</v>
      </c>
    </row>
    <row r="24" spans="1:21" x14ac:dyDescent="0.25">
      <c r="A24" s="24" t="s">
        <v>1647</v>
      </c>
      <c r="B24" s="86">
        <f>+SUM(B20:B23)</f>
        <v>1889.3485714285716</v>
      </c>
      <c r="C24" s="90">
        <f>+SUM(C20:C23)</f>
        <v>2033.8679999999999</v>
      </c>
      <c r="D24" s="105">
        <f t="shared" si="9"/>
        <v>144.51942857142831</v>
      </c>
      <c r="E24" s="118">
        <f t="shared" si="2"/>
        <v>7.1056444455307968E-2</v>
      </c>
      <c r="F24" s="86"/>
      <c r="G24" s="86"/>
      <c r="H24" s="86"/>
      <c r="I24" s="90" t="e">
        <f>+SUM(I20:I23)</f>
        <v>#DIV/0!</v>
      </c>
      <c r="J24" s="105">
        <f t="shared" si="10"/>
        <v>0</v>
      </c>
      <c r="K24" s="122">
        <f t="shared" si="4"/>
        <v>0</v>
      </c>
      <c r="L24" s="162"/>
      <c r="M24" s="162"/>
      <c r="N24" s="162"/>
    </row>
    <row r="25" spans="1:21" x14ac:dyDescent="0.25">
      <c r="A25" s="24" t="s">
        <v>1648</v>
      </c>
      <c r="B25" s="86">
        <f>+B24+B19</f>
        <v>4344.6857142857143</v>
      </c>
      <c r="C25" s="90">
        <f>+C24+C19</f>
        <v>3033.8679999999999</v>
      </c>
      <c r="D25" s="105">
        <f t="shared" si="9"/>
        <v>-1310.8177142857144</v>
      </c>
      <c r="E25" s="118">
        <f t="shared" si="2"/>
        <v>-0.43206155122296502</v>
      </c>
      <c r="F25" s="86"/>
      <c r="G25" s="86"/>
      <c r="H25" s="86"/>
      <c r="I25" s="90" t="e">
        <f>+I24+I19</f>
        <v>#DIV/0!</v>
      </c>
      <c r="J25" s="105">
        <f t="shared" si="10"/>
        <v>0</v>
      </c>
      <c r="K25" s="122">
        <f t="shared" si="4"/>
        <v>0</v>
      </c>
      <c r="L25" s="162"/>
      <c r="M25" s="162"/>
      <c r="N25" s="162"/>
    </row>
    <row r="26" spans="1:21" x14ac:dyDescent="0.25">
      <c r="A26" s="24" t="s">
        <v>1649</v>
      </c>
      <c r="B26" s="86">
        <f>+B15-B25</f>
        <v>-579.90428571428538</v>
      </c>
      <c r="C26" s="90">
        <f>+C15-C25</f>
        <v>2466.1320000000001</v>
      </c>
      <c r="D26" s="105">
        <f>+B26-C26</f>
        <v>-3046.0362857142854</v>
      </c>
      <c r="E26" s="118">
        <f t="shared" si="2"/>
        <v>-1.2351473018128329</v>
      </c>
      <c r="F26" s="86"/>
      <c r="G26" s="86"/>
      <c r="H26" s="86"/>
      <c r="I26" s="90" t="e">
        <f>+I15-I25</f>
        <v>#DIV/0!</v>
      </c>
      <c r="J26" s="105">
        <f>+F26-H26</f>
        <v>0</v>
      </c>
      <c r="K26" s="122">
        <f t="shared" si="4"/>
        <v>0</v>
      </c>
      <c r="L26" s="162"/>
      <c r="M26" s="162"/>
      <c r="N26" s="162"/>
    </row>
    <row r="27" spans="1:21" s="28" customFormat="1" ht="15.75" thickBot="1" x14ac:dyDescent="0.3">
      <c r="A27" s="29" t="s">
        <v>1650</v>
      </c>
      <c r="B27" s="88">
        <f>+B26*B7+B13*B8</f>
        <v>-4059.3299999999977</v>
      </c>
      <c r="C27" s="93">
        <f>+C26*C7</f>
        <v>12330.66</v>
      </c>
      <c r="D27" s="107">
        <f>+B27-C27</f>
        <v>-16389.989999999998</v>
      </c>
      <c r="E27" s="120">
        <f t="shared" si="2"/>
        <v>-1.3292062225379662</v>
      </c>
      <c r="F27" s="88"/>
      <c r="G27" s="88"/>
      <c r="H27" s="88"/>
      <c r="I27" s="93">
        <f>SUM(F27:H27)</f>
        <v>0</v>
      </c>
      <c r="J27" s="107">
        <f>+F27-H27</f>
        <v>0</v>
      </c>
      <c r="K27" s="124">
        <f t="shared" si="4"/>
        <v>0</v>
      </c>
      <c r="L27" s="162"/>
      <c r="M27" s="162"/>
      <c r="N27" s="162"/>
      <c r="O27" s="3"/>
      <c r="P27" s="3"/>
      <c r="Q27" s="3"/>
      <c r="R27" s="3"/>
      <c r="S27" s="3"/>
      <c r="T27" s="3"/>
      <c r="U27" s="3"/>
    </row>
    <row r="28" spans="1:21" ht="15.75" thickTop="1" x14ac:dyDescent="0.25">
      <c r="E28" s="121"/>
    </row>
    <row r="29" spans="1:21" s="149" customFormat="1" x14ac:dyDescent="0.25">
      <c r="A29" s="10" t="s">
        <v>1626</v>
      </c>
      <c r="B29" s="12">
        <f>SUMIF('TUNZ Extracted TB'!$M:$M,O29,'TUNZ Extracted TB'!$H:$H)</f>
        <v>4</v>
      </c>
      <c r="C29" s="12">
        <f>HLOOKUP(J1,'Input Sheet'!$I:$Z,180,FALSE)</f>
        <v>3</v>
      </c>
      <c r="F29" s="12"/>
      <c r="G29" s="12"/>
      <c r="H29" s="12"/>
      <c r="I29" s="12" t="e">
        <f>AVERAGE(F29:H29)</f>
        <v>#DIV/0!</v>
      </c>
      <c r="O29" s="162" t="s">
        <v>1749</v>
      </c>
      <c r="P29" s="162" t="s">
        <v>1749</v>
      </c>
      <c r="Q29" s="3"/>
      <c r="R29" s="3"/>
      <c r="S29" s="3"/>
    </row>
    <row r="30" spans="1:21" hidden="1" x14ac:dyDescent="0.25">
      <c r="I30" s="16" t="e">
        <f t="shared" ref="I30:I31" si="11">AVERAGE(F30:H30)</f>
        <v>#DIV/0!</v>
      </c>
    </row>
    <row r="31" spans="1:21" x14ac:dyDescent="0.25">
      <c r="A31" s="3" t="s">
        <v>1654</v>
      </c>
      <c r="B31" s="89">
        <f>+SUMIF('TUNZ Extracted TB'!M:M,O31,'TUNZ Extracted TB'!H:H)</f>
        <v>1073544.22</v>
      </c>
      <c r="F31" s="89"/>
      <c r="G31" s="89"/>
      <c r="H31" s="89"/>
      <c r="I31" s="89" t="e">
        <f t="shared" si="11"/>
        <v>#DIV/0!</v>
      </c>
      <c r="O31" s="3" t="s">
        <v>1750</v>
      </c>
    </row>
    <row r="32" spans="1:21" x14ac:dyDescent="0.25">
      <c r="D32" s="280"/>
    </row>
    <row r="33" spans="2:9" x14ac:dyDescent="0.25">
      <c r="B33" s="193"/>
      <c r="C33" s="195"/>
    </row>
    <row r="34" spans="2:9" x14ac:dyDescent="0.25">
      <c r="B34" s="193"/>
      <c r="D34" s="270"/>
      <c r="F34" s="195"/>
      <c r="G34" s="195"/>
    </row>
    <row r="35" spans="2:9" x14ac:dyDescent="0.25">
      <c r="B35" s="270"/>
      <c r="C35" s="270"/>
    </row>
    <row r="36" spans="2:9" x14ac:dyDescent="0.25">
      <c r="B36" s="193"/>
    </row>
    <row r="37" spans="2:9" x14ac:dyDescent="0.25">
      <c r="B37" s="193"/>
      <c r="C37" s="193"/>
      <c r="F37" s="193"/>
      <c r="G37" s="193"/>
      <c r="I37" s="193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B9FB4-EB58-4801-833E-2AFD6AFF01CA}">
  <sheetPr>
    <tabColor theme="9" tint="0.79998168889431442"/>
  </sheetPr>
  <dimension ref="A1:AJ25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5" width="9.7109375" style="16" customWidth="1" outlineLevel="1"/>
    <col min="6" max="7" width="9.7109375" style="16" customWidth="1"/>
    <col min="8" max="8" width="9.7109375" style="16" customWidth="1" outlineLevel="1"/>
    <col min="9" max="9" width="9.7109375" style="16" customWidth="1"/>
    <col min="10" max="11" width="9.7109375" style="16" hidden="1" customWidth="1"/>
    <col min="12" max="12" width="9.140625" style="16" customWidth="1"/>
    <col min="13" max="13" width="3.140625" style="16" bestFit="1" customWidth="1"/>
    <col min="14" max="14" width="26.5703125" style="3" bestFit="1" customWidth="1" outlineLevel="1"/>
    <col min="15" max="36" width="9.140625" style="16" hidden="1" customWidth="1" outlineLevel="1"/>
    <col min="37" max="16384" width="9.140625" style="16"/>
  </cols>
  <sheetData>
    <row r="1" spans="1:14" ht="15" customHeight="1" x14ac:dyDescent="0.25">
      <c r="A1" s="326" t="s">
        <v>1731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14" ht="6.6" customHeight="1" thickBot="1" x14ac:dyDescent="0.3"/>
    <row r="3" spans="1:14" ht="15.75" thickTop="1" x14ac:dyDescent="0.25">
      <c r="A3" s="32" t="s">
        <v>1591</v>
      </c>
      <c r="B3" s="348" t="s">
        <v>155</v>
      </c>
      <c r="C3" s="329"/>
      <c r="D3" s="329"/>
      <c r="E3" s="329"/>
      <c r="F3" s="348" t="s">
        <v>1629</v>
      </c>
      <c r="G3" s="348"/>
      <c r="H3" s="329"/>
      <c r="I3" s="329"/>
      <c r="J3" s="329"/>
      <c r="K3" s="345"/>
    </row>
    <row r="4" spans="1:14" x14ac:dyDescent="0.25">
      <c r="A4" s="33" t="s">
        <v>1591</v>
      </c>
      <c r="B4" s="34" t="s">
        <v>1591</v>
      </c>
      <c r="C4" s="34"/>
      <c r="D4" s="349"/>
      <c r="E4" s="331"/>
      <c r="F4" s="34" t="s">
        <v>1591</v>
      </c>
      <c r="G4" s="34"/>
      <c r="H4" s="34"/>
      <c r="I4" s="34"/>
      <c r="J4" s="349"/>
      <c r="K4" s="347"/>
    </row>
    <row r="5" spans="1:14" x14ac:dyDescent="0.25">
      <c r="A5" s="33" t="s">
        <v>16</v>
      </c>
      <c r="B5" s="35" t="s">
        <v>12</v>
      </c>
      <c r="C5" s="35" t="s">
        <v>1592</v>
      </c>
      <c r="D5" s="36" t="s">
        <v>1609</v>
      </c>
      <c r="E5" s="36" t="s">
        <v>1610</v>
      </c>
      <c r="F5" s="261" t="str">
        <f>OVERALL!F5</f>
        <v>0124</v>
      </c>
      <c r="G5" s="261" t="str">
        <f>OVERALL!G5</f>
        <v>0224</v>
      </c>
      <c r="H5" s="261" t="str">
        <f>OVERALL!H5</f>
        <v>0324</v>
      </c>
      <c r="I5" s="261" t="str">
        <f>OVERALL!I5</f>
        <v>Q124</v>
      </c>
      <c r="J5" s="36" t="s">
        <v>1609</v>
      </c>
      <c r="K5" s="37" t="s">
        <v>1610</v>
      </c>
    </row>
    <row r="6" spans="1:14" x14ac:dyDescent="0.25">
      <c r="A6" s="24" t="s">
        <v>1076</v>
      </c>
      <c r="B6" s="86">
        <f>-SUMIFS(Export!L:L,Export!I:I,N6,Export!E:E,M6)/('LEX NEW VEHICLE'!$B$6+'LEX USED VEHICLE'!$B$7)</f>
        <v>739.34370370370368</v>
      </c>
      <c r="C6" s="90">
        <f>-SUMIFS(Export!N:N,Export!I:I,N6,Export!E:E,M6)/('LEX NEW VEHICLE'!$C$6+'LEX USED VEHICLE'!$C$7)</f>
        <v>500</v>
      </c>
      <c r="D6" s="105">
        <f>+B6-C6</f>
        <v>239.34370370370368</v>
      </c>
      <c r="E6" s="118">
        <f>+IFERROR(D6/C6,0)</f>
        <v>0.47868740740740734</v>
      </c>
      <c r="F6" s="89"/>
      <c r="G6" s="89"/>
      <c r="H6" s="89"/>
      <c r="I6" s="90" t="e">
        <f>AVERAGE(F6,G6,H6)</f>
        <v>#DIV/0!</v>
      </c>
      <c r="J6" s="105">
        <f>+F6-H6</f>
        <v>0</v>
      </c>
      <c r="K6" s="122">
        <f>+IFERROR(J6/H6,0)</f>
        <v>0</v>
      </c>
      <c r="M6" s="162">
        <v>162</v>
      </c>
      <c r="N6" s="3" t="s">
        <v>1076</v>
      </c>
    </row>
    <row r="7" spans="1:14" x14ac:dyDescent="0.25">
      <c r="A7" s="24" t="s">
        <v>1083</v>
      </c>
      <c r="B7" s="86">
        <f>-SUMIFS(Export!L:L,Export!I:I,N7,Export!E:E,M7)/('LEX NEW VEHICLE'!$B$6+'LEX USED VEHICLE'!$B$7)</f>
        <v>47.638888888888886</v>
      </c>
      <c r="C7" s="90">
        <f>-SUMIFS(Export!N:N,Export!I:I,N7,Export!E:E,M7)/('LEX NEW VEHICLE'!$C$6+'LEX USED VEHICLE'!$C$7)</f>
        <v>0</v>
      </c>
      <c r="D7" s="105">
        <f t="shared" ref="D7:D13" si="0">+B7-C7</f>
        <v>47.638888888888886</v>
      </c>
      <c r="E7" s="118">
        <f t="shared" ref="E7:E19" si="1">+IFERROR(D7/C7,0)</f>
        <v>0</v>
      </c>
      <c r="F7" s="89"/>
      <c r="G7" s="89"/>
      <c r="H7" s="89"/>
      <c r="I7" s="90" t="e">
        <f t="shared" ref="I7:I16" si="2">AVERAGE(F7,G7,H7)</f>
        <v>#DIV/0!</v>
      </c>
      <c r="J7" s="105">
        <f t="shared" ref="J7:J13" si="3">+F7-H7</f>
        <v>0</v>
      </c>
      <c r="K7" s="122">
        <f t="shared" ref="K7:K19" si="4">+IFERROR(J7/H7,0)</f>
        <v>0</v>
      </c>
      <c r="M7" s="162">
        <v>162</v>
      </c>
      <c r="N7" s="3" t="s">
        <v>1083</v>
      </c>
    </row>
    <row r="8" spans="1:14" ht="15.95" customHeight="1" x14ac:dyDescent="0.25">
      <c r="A8" s="24" t="s">
        <v>1090</v>
      </c>
      <c r="B8" s="86">
        <f>(-SUMIFS(Export!L:L,Export!I:I,N8,Export!E:E,M8)-SUMIFS(Export!L:L,Export!I:I,N8,Export!E:E,L8))/('LEX NEW VEHICLE'!$B$6+'LEX USED VEHICLE'!$B$7)</f>
        <v>24.022962962962964</v>
      </c>
      <c r="C8" s="90">
        <f>-SUMIFS(Export!N:N,Export!I:I,N8,Export!E:E,M8)/('LEX NEW VEHICLE'!$C$6+'LEX USED VEHICLE'!$C$7)</f>
        <v>0</v>
      </c>
      <c r="D8" s="105">
        <f t="shared" si="0"/>
        <v>24.022962962962964</v>
      </c>
      <c r="E8" s="118">
        <f t="shared" si="1"/>
        <v>0</v>
      </c>
      <c r="F8" s="89"/>
      <c r="G8" s="89"/>
      <c r="H8" s="89"/>
      <c r="I8" s="90" t="e">
        <f t="shared" si="2"/>
        <v>#DIV/0!</v>
      </c>
      <c r="J8" s="105">
        <f t="shared" si="3"/>
        <v>0</v>
      </c>
      <c r="K8" s="122">
        <f t="shared" si="4"/>
        <v>0</v>
      </c>
      <c r="L8" s="162"/>
      <c r="M8" s="162">
        <v>162</v>
      </c>
      <c r="N8" s="3" t="s">
        <v>1090</v>
      </c>
    </row>
    <row r="9" spans="1:14" ht="15.6" customHeight="1" x14ac:dyDescent="0.25">
      <c r="A9" s="24" t="s">
        <v>1047</v>
      </c>
      <c r="B9" s="86">
        <f>-SUMIFS(Export!L:L,Export!I:I,N9,Export!E:E,M9)/('LEX NEW VEHICLE'!$B$6+'LEX USED VEHICLE'!$B$7)</f>
        <v>199.67888888888888</v>
      </c>
      <c r="C9" s="90">
        <f>-SUMIFS(Export!N:N,Export!I:I,N9,Export!E:E,M9)/('LEX NEW VEHICLE'!$C$6+'LEX USED VEHICLE'!$C$7)</f>
        <v>0</v>
      </c>
      <c r="D9" s="105">
        <f t="shared" si="0"/>
        <v>199.67888888888888</v>
      </c>
      <c r="E9" s="118">
        <f t="shared" si="1"/>
        <v>0</v>
      </c>
      <c r="F9" s="89"/>
      <c r="G9" s="89"/>
      <c r="H9" s="89"/>
      <c r="I9" s="90" t="e">
        <f t="shared" si="2"/>
        <v>#DIV/0!</v>
      </c>
      <c r="J9" s="105">
        <f t="shared" si="3"/>
        <v>0</v>
      </c>
      <c r="K9" s="122">
        <f t="shared" si="4"/>
        <v>0</v>
      </c>
      <c r="M9" s="162">
        <v>162</v>
      </c>
      <c r="N9" s="3" t="s">
        <v>1047</v>
      </c>
    </row>
    <row r="10" spans="1:14" x14ac:dyDescent="0.25">
      <c r="A10" s="24" t="s">
        <v>1457</v>
      </c>
      <c r="B10" s="86">
        <f>-SUMIFS(Export!L:L,Export!I:I,N10,Export!E:E,M10)/('LEX NEW VEHICLE'!$B$6+'LEX USED VEHICLE'!$B$7)</f>
        <v>0</v>
      </c>
      <c r="C10" s="90">
        <f>-SUMIFS(Export!N:N,Export!I:I,N10,Export!E:E,M10)/('LEX NEW VEHICLE'!$C$6+'LEX USED VEHICLE'!$C$7)</f>
        <v>0</v>
      </c>
      <c r="D10" s="105">
        <f t="shared" si="0"/>
        <v>0</v>
      </c>
      <c r="E10" s="118">
        <f t="shared" si="1"/>
        <v>0</v>
      </c>
      <c r="F10" s="89"/>
      <c r="G10" s="89"/>
      <c r="H10" s="89"/>
      <c r="I10" s="90" t="e">
        <f t="shared" si="2"/>
        <v>#DIV/0!</v>
      </c>
      <c r="J10" s="105">
        <f t="shared" si="3"/>
        <v>0</v>
      </c>
      <c r="K10" s="122">
        <f t="shared" si="4"/>
        <v>0</v>
      </c>
      <c r="L10" s="162"/>
      <c r="M10" s="162">
        <v>162</v>
      </c>
      <c r="N10" s="3" t="s">
        <v>1457</v>
      </c>
    </row>
    <row r="11" spans="1:14" x14ac:dyDescent="0.25">
      <c r="A11" s="24" t="s">
        <v>1031</v>
      </c>
      <c r="B11" s="86">
        <f>(-SUMIFS(Export!L:L,Export!I:I,N11,Export!E:E,L11)-SUMIFS(Export!L:L,Export!I:I,N11,Export!E:E,M11))/('LEX NEW VEHICLE'!$B$6+'LEX USED VEHICLE'!$B$7)</f>
        <v>0</v>
      </c>
      <c r="C11" s="90">
        <f>-SUMIFS(Export!N:N,Export!I:I,N11,Export!E:E,M11)/('LEX NEW VEHICLE'!$C$6+'LEX USED VEHICLE'!$C$7)</f>
        <v>0</v>
      </c>
      <c r="D11" s="105">
        <f t="shared" si="0"/>
        <v>0</v>
      </c>
      <c r="E11" s="118">
        <f t="shared" si="1"/>
        <v>0</v>
      </c>
      <c r="F11" s="89"/>
      <c r="G11" s="89"/>
      <c r="H11" s="89"/>
      <c r="I11" s="90" t="e">
        <f t="shared" si="2"/>
        <v>#DIV/0!</v>
      </c>
      <c r="J11" s="105">
        <f t="shared" si="3"/>
        <v>0</v>
      </c>
      <c r="K11" s="122">
        <f t="shared" si="4"/>
        <v>0</v>
      </c>
      <c r="L11" s="162"/>
      <c r="M11" s="162">
        <v>162</v>
      </c>
      <c r="N11" s="3" t="s">
        <v>1031</v>
      </c>
    </row>
    <row r="12" spans="1:14" ht="15.6" customHeight="1" x14ac:dyDescent="0.25">
      <c r="A12" s="24" t="s">
        <v>1660</v>
      </c>
      <c r="B12" s="86">
        <f>-SUMIFS(Export!L:L,Export!I:I,N12,Export!E:E,M12)/('LEX NEW VEHICLE'!$B$6+'LEX USED VEHICLE'!$B$7)</f>
        <v>0</v>
      </c>
      <c r="C12" s="90">
        <f>-SUMIFS(Export!N:N,Export!I:I,N12,Export!E:E,M12)/('LEX NEW VEHICLE'!$C$6+'LEX USED VEHICLE'!$C$7)</f>
        <v>0</v>
      </c>
      <c r="D12" s="105">
        <f t="shared" si="0"/>
        <v>0</v>
      </c>
      <c r="E12" s="118">
        <f t="shared" si="1"/>
        <v>0</v>
      </c>
      <c r="F12" s="89"/>
      <c r="G12" s="89"/>
      <c r="H12" s="89"/>
      <c r="I12" s="90" t="e">
        <f t="shared" si="2"/>
        <v>#DIV/0!</v>
      </c>
      <c r="J12" s="105">
        <f t="shared" si="3"/>
        <v>0</v>
      </c>
      <c r="K12" s="122">
        <f t="shared" si="4"/>
        <v>0</v>
      </c>
      <c r="M12" s="162"/>
    </row>
    <row r="13" spans="1:14" x14ac:dyDescent="0.25">
      <c r="A13" s="24" t="s">
        <v>1661</v>
      </c>
      <c r="B13" s="89">
        <f>+SUM(B6:B12)</f>
        <v>1010.6844444444445</v>
      </c>
      <c r="C13" s="90">
        <f>SUM(C6:C12)</f>
        <v>500</v>
      </c>
      <c r="D13" s="105">
        <f t="shared" si="0"/>
        <v>510.68444444444447</v>
      </c>
      <c r="E13" s="118">
        <f t="shared" si="1"/>
        <v>1.021368888888889</v>
      </c>
      <c r="F13" s="89"/>
      <c r="G13" s="89"/>
      <c r="H13" s="89"/>
      <c r="I13" s="90" t="e">
        <f>AVERAGE(F13,G13,H13)</f>
        <v>#DIV/0!</v>
      </c>
      <c r="J13" s="105">
        <f t="shared" si="3"/>
        <v>0</v>
      </c>
      <c r="K13" s="122">
        <f t="shared" si="4"/>
        <v>0</v>
      </c>
      <c r="M13" s="162"/>
    </row>
    <row r="14" spans="1:14" x14ac:dyDescent="0.25">
      <c r="A14" s="27" t="s">
        <v>1662</v>
      </c>
      <c r="B14" s="91">
        <f>+B13*('LEX NEW VEHICLE'!$B$6+'LEX USED VEHICLE'!$B$7)</f>
        <v>27288.48</v>
      </c>
      <c r="C14" s="92">
        <f>+C13*('LEX NEW VEHICLE'!$C$6+'LEX USED VEHICLE'!$C$7)</f>
        <v>17000</v>
      </c>
      <c r="D14" s="106">
        <f>+B14-C14</f>
        <v>10288.48</v>
      </c>
      <c r="E14" s="119">
        <f t="shared" si="1"/>
        <v>0.60520470588235287</v>
      </c>
      <c r="F14" s="91"/>
      <c r="G14" s="91"/>
      <c r="H14" s="91"/>
      <c r="I14" s="92">
        <f>SUM(F14:H14)</f>
        <v>0</v>
      </c>
      <c r="J14" s="106">
        <f>+F14-H14</f>
        <v>0</v>
      </c>
      <c r="K14" s="123">
        <f t="shared" si="4"/>
        <v>0</v>
      </c>
      <c r="M14" s="162"/>
    </row>
    <row r="15" spans="1:14" ht="16.5" customHeight="1" x14ac:dyDescent="0.25">
      <c r="A15" s="24" t="s">
        <v>1249</v>
      </c>
      <c r="B15" s="86">
        <f>SUMIFS(Export!L:L,Export!I:I,N15,Export!E:E,M15)/('LEX NEW VEHICLE'!$B$6+'LEX USED VEHICLE'!$B$7)</f>
        <v>655.81481481481478</v>
      </c>
      <c r="C15" s="90">
        <f>SUMIFS(Export!N:N,Export!I:I,N15,Export!E:E,M15)/('LEX NEW VEHICLE'!$C$6+'LEX USED VEHICLE'!$C$7)</f>
        <v>300</v>
      </c>
      <c r="D15" s="105">
        <f>+C15-B15</f>
        <v>-355.81481481481478</v>
      </c>
      <c r="E15" s="118">
        <f t="shared" si="1"/>
        <v>-1.1860493827160492</v>
      </c>
      <c r="F15" s="89"/>
      <c r="G15" s="89"/>
      <c r="H15" s="89"/>
      <c r="I15" s="90" t="e">
        <f t="shared" si="2"/>
        <v>#DIV/0!</v>
      </c>
      <c r="J15" s="105">
        <f>+H15-F15</f>
        <v>0</v>
      </c>
      <c r="K15" s="122">
        <f t="shared" si="4"/>
        <v>0</v>
      </c>
      <c r="M15" s="162">
        <v>162</v>
      </c>
      <c r="N15" s="3" t="s">
        <v>1249</v>
      </c>
    </row>
    <row r="16" spans="1:14" x14ac:dyDescent="0.25">
      <c r="A16" s="24" t="s">
        <v>1295</v>
      </c>
      <c r="B16" s="86">
        <f>SUMIFS(Export!L:L,Export!I:I,N16,Export!E:E,M16)/('LEX NEW VEHICLE'!$B$6+'LEX USED VEHICLE'!$B$7)</f>
        <v>0</v>
      </c>
      <c r="C16" s="90">
        <f>-SUMIFS(Export!N:N,Export!I:I,N16,Export!E:E,M16)/('LEX NEW VEHICLE'!$C$6+'LEX USED VEHICLE'!$C$7)</f>
        <v>0</v>
      </c>
      <c r="D16" s="105">
        <f t="shared" ref="D16:D17" si="5">+C16-B16</f>
        <v>0</v>
      </c>
      <c r="E16" s="118">
        <f t="shared" si="1"/>
        <v>0</v>
      </c>
      <c r="F16" s="89"/>
      <c r="G16" s="89"/>
      <c r="H16" s="89"/>
      <c r="I16" s="90" t="e">
        <f t="shared" si="2"/>
        <v>#DIV/0!</v>
      </c>
      <c r="J16" s="105">
        <f t="shared" ref="J16:J17" si="6">+H16-F16</f>
        <v>0</v>
      </c>
      <c r="K16" s="122">
        <f t="shared" si="4"/>
        <v>0</v>
      </c>
      <c r="M16" s="162">
        <v>162</v>
      </c>
      <c r="N16" s="3" t="s">
        <v>1295</v>
      </c>
    </row>
    <row r="17" spans="1:14" x14ac:dyDescent="0.25">
      <c r="A17" s="24" t="s">
        <v>1663</v>
      </c>
      <c r="B17" s="89">
        <f>+SUM(B15:B16)</f>
        <v>655.81481481481478</v>
      </c>
      <c r="C17" s="90">
        <f>+SUM(C15:C16)</f>
        <v>300</v>
      </c>
      <c r="D17" s="105">
        <f t="shared" si="5"/>
        <v>-355.81481481481478</v>
      </c>
      <c r="E17" s="118">
        <f t="shared" si="1"/>
        <v>-1.1860493827160492</v>
      </c>
      <c r="F17" s="89"/>
      <c r="G17" s="89"/>
      <c r="H17" s="89"/>
      <c r="I17" s="90" t="e">
        <f>+SUM(I15:I16)</f>
        <v>#DIV/0!</v>
      </c>
      <c r="J17" s="105">
        <f t="shared" si="6"/>
        <v>0</v>
      </c>
      <c r="K17" s="122">
        <f t="shared" si="4"/>
        <v>0</v>
      </c>
    </row>
    <row r="18" spans="1:14" x14ac:dyDescent="0.25">
      <c r="A18" s="24" t="s">
        <v>1664</v>
      </c>
      <c r="B18" s="89">
        <f>+B13-B17</f>
        <v>354.86962962962969</v>
      </c>
      <c r="C18" s="90">
        <f>+C13-C17</f>
        <v>200</v>
      </c>
      <c r="D18" s="105">
        <f>+B18-C18</f>
        <v>154.86962962962969</v>
      </c>
      <c r="E18" s="118">
        <f t="shared" si="1"/>
        <v>0.77434814814814845</v>
      </c>
      <c r="F18" s="89"/>
      <c r="G18" s="89"/>
      <c r="H18" s="89"/>
      <c r="I18" s="90" t="e">
        <f>+I13-I17</f>
        <v>#DIV/0!</v>
      </c>
      <c r="J18" s="105">
        <f>+F18-H18</f>
        <v>0</v>
      </c>
      <c r="K18" s="122">
        <f t="shared" si="4"/>
        <v>0</v>
      </c>
    </row>
    <row r="19" spans="1:14" s="28" customFormat="1" ht="15.75" thickBot="1" x14ac:dyDescent="0.3">
      <c r="A19" s="29" t="s">
        <v>1665</v>
      </c>
      <c r="B19" s="88">
        <f>+B18*('LEX NEW VEHICLE'!$B$6+'LEX USED VEHICLE'!$B$7)</f>
        <v>9581.4800000000014</v>
      </c>
      <c r="C19" s="93">
        <f>+C18*('LEX NEW VEHICLE'!$C$6+'LEX USED VEHICLE'!$C$7)</f>
        <v>6800</v>
      </c>
      <c r="D19" s="108">
        <f>+B19-C19</f>
        <v>2781.4800000000014</v>
      </c>
      <c r="E19" s="120">
        <f t="shared" si="1"/>
        <v>0.40904117647058846</v>
      </c>
      <c r="F19" s="94"/>
      <c r="G19" s="94"/>
      <c r="H19" s="94"/>
      <c r="I19" s="93">
        <f>SUM(F19:H19)</f>
        <v>0</v>
      </c>
      <c r="J19" s="108">
        <f>+F19-H19</f>
        <v>0</v>
      </c>
      <c r="K19" s="124">
        <f t="shared" si="4"/>
        <v>0</v>
      </c>
      <c r="N19" s="3"/>
    </row>
    <row r="20" spans="1:14" ht="0" hidden="1" customHeight="1" x14ac:dyDescent="0.25">
      <c r="E20" s="121"/>
      <c r="K20" s="121"/>
    </row>
    <row r="21" spans="1:14" ht="15.75" thickTop="1" x14ac:dyDescent="0.25">
      <c r="E21" s="121"/>
      <c r="K21" s="121"/>
    </row>
    <row r="22" spans="1:14" x14ac:dyDescent="0.25">
      <c r="E22" s="121"/>
      <c r="K22" s="121"/>
    </row>
    <row r="23" spans="1:14" x14ac:dyDescent="0.25">
      <c r="C23" s="195"/>
      <c r="E23" s="121"/>
    </row>
    <row r="24" spans="1:14" x14ac:dyDescent="0.25">
      <c r="E24" s="121"/>
    </row>
    <row r="25" spans="1:14" x14ac:dyDescent="0.25">
      <c r="E25" s="121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AACA3-E3F0-4D7A-9C8C-F9647D749886}">
  <sheetPr>
    <tabColor theme="9" tint="0.79998168889431442"/>
  </sheetPr>
  <dimension ref="A1:AL48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2" width="10.85546875" style="16" customWidth="1" outlineLevel="1"/>
    <col min="3" max="3" width="11.140625" style="16" customWidth="1" outlineLevel="1"/>
    <col min="4" max="5" width="9.7109375" style="16" customWidth="1" outlineLevel="1"/>
    <col min="6" max="7" width="9.7109375" style="16" customWidth="1"/>
    <col min="8" max="8" width="9.7109375" style="16" customWidth="1" outlineLevel="1"/>
    <col min="9" max="9" width="12" style="16" bestFit="1" customWidth="1"/>
    <col min="10" max="11" width="9.7109375" style="16" hidden="1" customWidth="1"/>
    <col min="12" max="12" width="9.140625" style="16" customWidth="1"/>
    <col min="13" max="13" width="12" style="16" bestFit="1" customWidth="1"/>
    <col min="14" max="14" width="23.42578125" style="3" customWidth="1" outlineLevel="1"/>
    <col min="15" max="17" width="11.7109375" style="3" customWidth="1" outlineLevel="1"/>
    <col min="18" max="20" width="9.140625" style="52" customWidth="1" outlineLevel="1"/>
    <col min="21" max="25" width="9.140625" style="16" customWidth="1" outlineLevel="1"/>
    <col min="26" max="28" width="9.140625" style="52" customWidth="1" outlineLevel="1"/>
    <col min="29" max="36" width="9.140625" style="16" customWidth="1" outlineLevel="1"/>
    <col min="37" max="38" width="12" style="16" bestFit="1" customWidth="1"/>
    <col min="39" max="16384" width="9.140625" style="16"/>
  </cols>
  <sheetData>
    <row r="1" spans="1:38" ht="15" customHeight="1" x14ac:dyDescent="0.25">
      <c r="A1" s="326" t="s">
        <v>1731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38" ht="6.6" customHeight="1" thickBot="1" x14ac:dyDescent="0.3"/>
    <row r="3" spans="1:38" ht="15.75" thickTop="1" x14ac:dyDescent="0.25">
      <c r="A3" s="38" t="s">
        <v>1591</v>
      </c>
      <c r="B3" s="350" t="s">
        <v>155</v>
      </c>
      <c r="C3" s="329"/>
      <c r="D3" s="329"/>
      <c r="E3" s="329"/>
      <c r="F3" s="350" t="s">
        <v>1629</v>
      </c>
      <c r="G3" s="350"/>
      <c r="H3" s="329"/>
      <c r="I3" s="329"/>
      <c r="J3" s="329"/>
      <c r="K3" s="345"/>
    </row>
    <row r="4" spans="1:38" x14ac:dyDescent="0.25">
      <c r="A4" s="39" t="s">
        <v>1591</v>
      </c>
      <c r="B4" s="40"/>
      <c r="C4" s="40"/>
      <c r="D4" s="351"/>
      <c r="E4" s="331"/>
      <c r="F4" s="40"/>
      <c r="G4" s="40"/>
      <c r="H4" s="40"/>
      <c r="I4" s="40"/>
      <c r="J4" s="351"/>
      <c r="K4" s="347"/>
    </row>
    <row r="5" spans="1:38" x14ac:dyDescent="0.25">
      <c r="A5" s="39" t="s">
        <v>98</v>
      </c>
      <c r="B5" s="41" t="s">
        <v>12</v>
      </c>
      <c r="C5" s="41" t="s">
        <v>1592</v>
      </c>
      <c r="D5" s="42" t="s">
        <v>1609</v>
      </c>
      <c r="E5" s="42" t="s">
        <v>1610</v>
      </c>
      <c r="F5" s="262" t="str">
        <f>OVERALL!F5</f>
        <v>0124</v>
      </c>
      <c r="G5" s="262" t="str">
        <f>OVERALL!G5</f>
        <v>0224</v>
      </c>
      <c r="H5" s="262" t="str">
        <f>OVERALL!H5</f>
        <v>0324</v>
      </c>
      <c r="I5" s="41" t="str">
        <f>OVERALL!I5</f>
        <v>Q124</v>
      </c>
      <c r="J5" s="42" t="s">
        <v>1609</v>
      </c>
      <c r="K5" s="43" t="s">
        <v>1610</v>
      </c>
    </row>
    <row r="6" spans="1:38" hidden="1" x14ac:dyDescent="0.25">
      <c r="A6" s="24" t="s">
        <v>1122</v>
      </c>
      <c r="B6" s="51">
        <f>+R16/$R$22</f>
        <v>0</v>
      </c>
      <c r="C6" s="96">
        <f>+V16/$V$22</f>
        <v>0</v>
      </c>
      <c r="D6" s="109">
        <f>+B6-C6</f>
        <v>0</v>
      </c>
      <c r="E6" s="118">
        <f>IFERROR(+D6/C6,0)</f>
        <v>0</v>
      </c>
      <c r="F6" s="51"/>
      <c r="G6" s="51"/>
      <c r="H6" s="51"/>
      <c r="I6" s="96" t="e">
        <f>AVERAGE(F6:H6)</f>
        <v>#DIV/0!</v>
      </c>
      <c r="J6" s="126">
        <f>+F6-H6</f>
        <v>0</v>
      </c>
      <c r="K6" s="122">
        <f t="shared" ref="K6:K30" si="0">IFERROR(+J6/H6,0)</f>
        <v>0</v>
      </c>
      <c r="N6" s="3" t="s">
        <v>1122</v>
      </c>
      <c r="O6" s="3" t="s">
        <v>1201</v>
      </c>
    </row>
    <row r="7" spans="1:38" hidden="1" x14ac:dyDescent="0.25">
      <c r="A7" s="24" t="s">
        <v>1127</v>
      </c>
      <c r="B7" s="51">
        <f t="shared" ref="B7:B11" si="1">+R17/$R$22</f>
        <v>0</v>
      </c>
      <c r="C7" s="96">
        <f t="shared" ref="C7:C11" si="2">+V17/$V$22</f>
        <v>0</v>
      </c>
      <c r="D7" s="109">
        <f t="shared" ref="D7:D12" si="3">+B7-C7</f>
        <v>0</v>
      </c>
      <c r="E7" s="118">
        <f t="shared" ref="E7:E30" si="4">IFERROR(+D7/C7,0)</f>
        <v>0</v>
      </c>
      <c r="F7" s="51"/>
      <c r="G7" s="51"/>
      <c r="H7" s="51"/>
      <c r="I7" s="96" t="e">
        <f t="shared" ref="I7:I12" si="5">AVERAGE(F7:H7)</f>
        <v>#DIV/0!</v>
      </c>
      <c r="J7" s="126">
        <f t="shared" ref="J7:J12" si="6">+F7-H7</f>
        <v>0</v>
      </c>
      <c r="K7" s="122">
        <f t="shared" si="0"/>
        <v>0</v>
      </c>
    </row>
    <row r="8" spans="1:38" x14ac:dyDescent="0.25">
      <c r="A8" s="24" t="s">
        <v>1132</v>
      </c>
      <c r="B8" s="51">
        <f t="shared" si="1"/>
        <v>0.38930035170374921</v>
      </c>
      <c r="C8" s="96">
        <f t="shared" si="2"/>
        <v>0.3</v>
      </c>
      <c r="D8" s="109">
        <f t="shared" si="3"/>
        <v>8.9300351703749226E-2</v>
      </c>
      <c r="E8" s="118">
        <f t="shared" si="4"/>
        <v>0.29766783901249744</v>
      </c>
      <c r="F8" s="51"/>
      <c r="G8" s="51"/>
      <c r="H8" s="51"/>
      <c r="I8" s="96" t="e">
        <f t="shared" si="5"/>
        <v>#DIV/0!</v>
      </c>
      <c r="J8" s="126">
        <f t="shared" si="6"/>
        <v>0</v>
      </c>
      <c r="K8" s="122">
        <f t="shared" si="0"/>
        <v>0</v>
      </c>
    </row>
    <row r="9" spans="1:38" x14ac:dyDescent="0.25">
      <c r="A9" s="24" t="s">
        <v>1140</v>
      </c>
      <c r="B9" s="51">
        <f t="shared" si="1"/>
        <v>0.48075370934923661</v>
      </c>
      <c r="C9" s="96">
        <f t="shared" si="2"/>
        <v>0.5</v>
      </c>
      <c r="D9" s="109">
        <f t="shared" si="3"/>
        <v>-1.9246290650763387E-2</v>
      </c>
      <c r="E9" s="118">
        <f t="shared" si="4"/>
        <v>-3.8492581301526774E-2</v>
      </c>
      <c r="F9" s="51"/>
      <c r="G9" s="51"/>
      <c r="H9" s="51"/>
      <c r="I9" s="96" t="e">
        <f t="shared" si="5"/>
        <v>#DIV/0!</v>
      </c>
      <c r="J9" s="126">
        <f t="shared" si="6"/>
        <v>0</v>
      </c>
      <c r="K9" s="122">
        <f t="shared" si="0"/>
        <v>0</v>
      </c>
    </row>
    <row r="10" spans="1:38" x14ac:dyDescent="0.25">
      <c r="A10" s="24" t="s">
        <v>1145</v>
      </c>
      <c r="B10" s="51">
        <f t="shared" si="1"/>
        <v>0.1299459389470142</v>
      </c>
      <c r="C10" s="96">
        <f t="shared" si="2"/>
        <v>0.2</v>
      </c>
      <c r="D10" s="109">
        <f t="shared" si="3"/>
        <v>-7.0054061052985811E-2</v>
      </c>
      <c r="E10" s="118">
        <f t="shared" si="4"/>
        <v>-0.35027030526492903</v>
      </c>
      <c r="F10" s="51"/>
      <c r="G10" s="51"/>
      <c r="H10" s="51"/>
      <c r="I10" s="96" t="e">
        <f t="shared" si="5"/>
        <v>#DIV/0!</v>
      </c>
      <c r="J10" s="126">
        <f t="shared" si="6"/>
        <v>0</v>
      </c>
      <c r="K10" s="122">
        <f t="shared" si="0"/>
        <v>0</v>
      </c>
    </row>
    <row r="11" spans="1:38" hidden="1" x14ac:dyDescent="0.25">
      <c r="A11" s="24" t="s">
        <v>1137</v>
      </c>
      <c r="B11" s="51">
        <f t="shared" si="1"/>
        <v>0</v>
      </c>
      <c r="C11" s="96">
        <f t="shared" si="2"/>
        <v>0</v>
      </c>
      <c r="D11" s="109">
        <f t="shared" si="3"/>
        <v>0</v>
      </c>
      <c r="E11" s="118">
        <f t="shared" si="4"/>
        <v>0</v>
      </c>
      <c r="F11" s="51"/>
      <c r="G11" s="51"/>
      <c r="H11" s="51"/>
      <c r="I11" s="96" t="e">
        <f t="shared" si="5"/>
        <v>#DIV/0!</v>
      </c>
      <c r="J11" s="126">
        <f t="shared" si="6"/>
        <v>0</v>
      </c>
      <c r="K11" s="122">
        <f t="shared" si="0"/>
        <v>0</v>
      </c>
    </row>
    <row r="12" spans="1:38" x14ac:dyDescent="0.25">
      <c r="A12" s="24" t="s">
        <v>1666</v>
      </c>
      <c r="B12" s="53">
        <f>SUM(B6:B11)</f>
        <v>1</v>
      </c>
      <c r="C12" s="96">
        <f>SUM(C6:C11)</f>
        <v>1</v>
      </c>
      <c r="D12" s="109">
        <f t="shared" si="3"/>
        <v>0</v>
      </c>
      <c r="E12" s="118">
        <f t="shared" si="4"/>
        <v>0</v>
      </c>
      <c r="F12" s="51"/>
      <c r="G12" s="51"/>
      <c r="H12" s="51"/>
      <c r="I12" s="96" t="e">
        <f t="shared" si="5"/>
        <v>#DIV/0!</v>
      </c>
      <c r="J12" s="126">
        <f t="shared" si="6"/>
        <v>0</v>
      </c>
      <c r="K12" s="122">
        <f t="shared" si="0"/>
        <v>0</v>
      </c>
    </row>
    <row r="13" spans="1:38" s="28" customFormat="1" x14ac:dyDescent="0.25">
      <c r="A13" s="27" t="s">
        <v>1667</v>
      </c>
      <c r="B13" s="91">
        <f>-R22</f>
        <v>32746.309999999998</v>
      </c>
      <c r="C13" s="92">
        <f>-V22</f>
        <v>20000</v>
      </c>
      <c r="D13" s="101">
        <f>+B13-C13</f>
        <v>12746.309999999998</v>
      </c>
      <c r="E13" s="119">
        <f t="shared" si="4"/>
        <v>0.63731549999999992</v>
      </c>
      <c r="F13" s="91"/>
      <c r="G13" s="91"/>
      <c r="H13" s="91"/>
      <c r="I13" s="92">
        <f>SUM(F13:H13)</f>
        <v>0</v>
      </c>
      <c r="J13" s="101">
        <f>+F13-H13</f>
        <v>0</v>
      </c>
      <c r="K13" s="123">
        <f t="shared" si="0"/>
        <v>0</v>
      </c>
      <c r="M13" s="234"/>
      <c r="N13" s="50"/>
      <c r="O13" s="50"/>
      <c r="P13" s="50"/>
      <c r="Q13" s="50"/>
      <c r="R13" s="170" t="s">
        <v>1641</v>
      </c>
      <c r="S13" s="170" t="s">
        <v>1641</v>
      </c>
      <c r="T13" s="170" t="s">
        <v>1641</v>
      </c>
      <c r="V13" s="170" t="s">
        <v>1641</v>
      </c>
      <c r="W13" s="170" t="s">
        <v>1641</v>
      </c>
      <c r="X13" s="170" t="s">
        <v>1641</v>
      </c>
      <c r="Z13" s="170" t="s">
        <v>156</v>
      </c>
      <c r="AA13" s="170" t="s">
        <v>156</v>
      </c>
      <c r="AB13" s="170" t="s">
        <v>156</v>
      </c>
      <c r="AD13" s="170" t="s">
        <v>156</v>
      </c>
      <c r="AE13" s="170" t="s">
        <v>156</v>
      </c>
      <c r="AF13" s="170" t="s">
        <v>156</v>
      </c>
      <c r="AK13" s="234"/>
      <c r="AL13" s="234"/>
    </row>
    <row r="14" spans="1:38" x14ac:dyDescent="0.25">
      <c r="A14" s="24" t="s">
        <v>1668</v>
      </c>
      <c r="B14" s="89">
        <f>+B13/B33</f>
        <v>65492.619999999995</v>
      </c>
      <c r="C14" s="90">
        <f>+C13/C33</f>
        <v>40000</v>
      </c>
      <c r="D14" s="100">
        <f>+B14-C14</f>
        <v>25492.619999999995</v>
      </c>
      <c r="E14" s="118">
        <f t="shared" si="4"/>
        <v>0.63731549999999992</v>
      </c>
      <c r="F14" s="89"/>
      <c r="G14" s="89"/>
      <c r="H14" s="89"/>
      <c r="I14" s="90" t="e">
        <f>AVERAGE(F14,G14,H14)</f>
        <v>#DIV/0!</v>
      </c>
      <c r="J14" s="100">
        <f>+F14-H14</f>
        <v>0</v>
      </c>
      <c r="K14" s="122">
        <f t="shared" si="0"/>
        <v>0</v>
      </c>
      <c r="R14" s="95" t="s">
        <v>12</v>
      </c>
      <c r="S14" s="95" t="s">
        <v>12</v>
      </c>
      <c r="T14" s="95" t="s">
        <v>12</v>
      </c>
      <c r="V14" s="95" t="s">
        <v>1592</v>
      </c>
      <c r="W14" s="95" t="s">
        <v>1592</v>
      </c>
      <c r="X14" s="95" t="s">
        <v>1592</v>
      </c>
      <c r="Z14" s="95" t="s">
        <v>12</v>
      </c>
      <c r="AA14" s="95" t="s">
        <v>12</v>
      </c>
      <c r="AB14" s="95" t="s">
        <v>12</v>
      </c>
      <c r="AD14" s="95" t="s">
        <v>1592</v>
      </c>
      <c r="AE14" s="95" t="s">
        <v>1592</v>
      </c>
      <c r="AF14" s="95" t="s">
        <v>1592</v>
      </c>
    </row>
    <row r="15" spans="1:38" hidden="1" x14ac:dyDescent="0.25">
      <c r="A15" s="24" t="s">
        <v>1669</v>
      </c>
      <c r="B15" s="146">
        <f>+B36/S22*30</f>
        <v>0</v>
      </c>
      <c r="C15" s="147">
        <f>+B36/W22*30</f>
        <v>0</v>
      </c>
      <c r="D15" s="148">
        <f>+C15-B15</f>
        <v>0</v>
      </c>
      <c r="E15" s="118">
        <f t="shared" si="4"/>
        <v>0</v>
      </c>
      <c r="F15" s="146"/>
      <c r="G15" s="146"/>
      <c r="H15" s="146"/>
      <c r="I15" s="147" t="e">
        <f t="shared" ref="I15:I22" si="7">AVERAGE(F15:H15)</f>
        <v>#DIV/0!</v>
      </c>
      <c r="J15" s="148">
        <f>+H15-F15</f>
        <v>0</v>
      </c>
      <c r="K15" s="122">
        <f t="shared" si="0"/>
        <v>0</v>
      </c>
      <c r="R15" s="3" t="s">
        <v>1642</v>
      </c>
      <c r="S15" s="3" t="s">
        <v>180</v>
      </c>
      <c r="T15" s="3" t="s">
        <v>153</v>
      </c>
      <c r="U15" s="3"/>
      <c r="V15" s="3" t="s">
        <v>1642</v>
      </c>
      <c r="W15" s="3" t="s">
        <v>180</v>
      </c>
      <c r="X15" s="3" t="s">
        <v>153</v>
      </c>
      <c r="Y15" s="3"/>
      <c r="Z15" s="3" t="s">
        <v>1642</v>
      </c>
      <c r="AA15" s="3" t="s">
        <v>180</v>
      </c>
      <c r="AB15" s="3" t="s">
        <v>153</v>
      </c>
      <c r="AC15" s="3"/>
      <c r="AD15" s="3" t="s">
        <v>1642</v>
      </c>
      <c r="AE15" s="3" t="s">
        <v>180</v>
      </c>
      <c r="AF15" s="3" t="s">
        <v>153</v>
      </c>
      <c r="AG15" s="3"/>
      <c r="AH15" s="3"/>
      <c r="AI15" s="3"/>
      <c r="AJ15" s="3"/>
      <c r="AK15" s="3"/>
      <c r="AL15" s="3"/>
    </row>
    <row r="16" spans="1:38" hidden="1" x14ac:dyDescent="0.25">
      <c r="A16" s="24" t="s">
        <v>1201</v>
      </c>
      <c r="B16" s="130">
        <f>IFERROR(+T16/R16,0)</f>
        <v>0</v>
      </c>
      <c r="C16" s="131">
        <f>+IFERROR(X16/V16,0)</f>
        <v>0</v>
      </c>
      <c r="D16" s="128">
        <f t="shared" ref="D16:D22" si="8">+B16-C16</f>
        <v>0</v>
      </c>
      <c r="E16" s="118">
        <f t="shared" si="4"/>
        <v>0</v>
      </c>
      <c r="F16" s="133"/>
      <c r="G16" s="133"/>
      <c r="H16" s="133"/>
      <c r="I16" s="131" t="e">
        <f t="shared" si="7"/>
        <v>#DIV/0!</v>
      </c>
      <c r="J16" s="126">
        <f t="shared" ref="J16:J22" si="9">+F16-H16</f>
        <v>0</v>
      </c>
      <c r="K16" s="122">
        <f t="shared" si="0"/>
        <v>0</v>
      </c>
      <c r="M16" s="162">
        <v>132</v>
      </c>
      <c r="N16" s="3" t="s">
        <v>1122</v>
      </c>
      <c r="O16" s="3" t="s">
        <v>1201</v>
      </c>
      <c r="R16" s="52">
        <f>+SUMIFS(Export!L:L,Export!I:I,N16,Export!E:E,M16)</f>
        <v>0</v>
      </c>
      <c r="S16" s="52">
        <f>+SUMIFS(Export!L:L,Export!I:I,O16,Export!E:E,M16)</f>
        <v>0</v>
      </c>
      <c r="T16" s="52">
        <f>+SUM(R16:S16)</f>
        <v>0</v>
      </c>
      <c r="V16" s="52">
        <f>+SUMIFS(Export!N:N,Export!I:I,N16,Export!E:E,M16)</f>
        <v>0</v>
      </c>
      <c r="W16" s="52">
        <f>+SUMIFS(Export!N:N,Export!I:I,O16,Export!E:E,M16)</f>
        <v>0</v>
      </c>
      <c r="X16" s="52">
        <f>+SUM(V16:W16)</f>
        <v>0</v>
      </c>
      <c r="Z16" s="52">
        <f>+SUMIF(Export!$I:$I,'LEX PARTS'!N16,Export!M:M)</f>
        <v>0</v>
      </c>
      <c r="AA16" s="52">
        <f>+SUMIF(Export!$I:$I,'LEX PARTS'!O16,Export!M:M)</f>
        <v>0</v>
      </c>
      <c r="AB16" s="52">
        <f>+SUM(Z16:AA16)</f>
        <v>0</v>
      </c>
      <c r="AD16" s="52">
        <f>+SUMIF(Export!$I:$I,'LEX PARTS'!N16,Export!O:O)</f>
        <v>0</v>
      </c>
      <c r="AE16" s="52">
        <f>+SUMIF(Export!$I:$I,'LEX PARTS'!O16,Export!O:O)</f>
        <v>0</v>
      </c>
      <c r="AF16" s="52">
        <f>+SUM(AD16:AE16)</f>
        <v>0</v>
      </c>
    </row>
    <row r="17" spans="1:32" hidden="1" x14ac:dyDescent="0.25">
      <c r="A17" s="24" t="s">
        <v>1209</v>
      </c>
      <c r="B17" s="130">
        <f t="shared" ref="B17:B22" si="10">IFERROR(+T17/R17,0)</f>
        <v>0</v>
      </c>
      <c r="C17" s="131">
        <f t="shared" ref="C17:C22" si="11">+IFERROR(X17/V17,0)</f>
        <v>0</v>
      </c>
      <c r="D17" s="128">
        <f t="shared" si="8"/>
        <v>0</v>
      </c>
      <c r="E17" s="118">
        <f t="shared" si="4"/>
        <v>0</v>
      </c>
      <c r="F17" s="133"/>
      <c r="G17" s="133"/>
      <c r="H17" s="133"/>
      <c r="I17" s="131" t="e">
        <f t="shared" si="7"/>
        <v>#DIV/0!</v>
      </c>
      <c r="J17" s="126">
        <f t="shared" si="9"/>
        <v>0</v>
      </c>
      <c r="K17" s="122">
        <f t="shared" si="0"/>
        <v>0</v>
      </c>
      <c r="M17" s="162">
        <v>132</v>
      </c>
      <c r="N17" s="3" t="s">
        <v>1127</v>
      </c>
      <c r="O17" s="3" t="s">
        <v>1209</v>
      </c>
      <c r="R17" s="52">
        <f>+SUMIFS(Export!L:L,Export!I:I,N17,Export!E:E,M17)</f>
        <v>0</v>
      </c>
      <c r="S17" s="52">
        <f>+SUMIFS(Export!L:L,Export!I:I,O17,Export!E:E,M17)</f>
        <v>0</v>
      </c>
      <c r="T17" s="52">
        <f t="shared" ref="T17:T21" si="12">+SUM(R17:S17)</f>
        <v>0</v>
      </c>
      <c r="V17" s="52">
        <f>+SUMIFS(Export!N:N,Export!I:I,N17,Export!E:E,M17)</f>
        <v>0</v>
      </c>
      <c r="W17" s="52">
        <f>+SUMIFS(Export!N:N,Export!I:I,O17,Export!E:E,M17)</f>
        <v>0</v>
      </c>
      <c r="X17" s="52">
        <f t="shared" ref="X17:X21" si="13">+SUM(V17:W17)</f>
        <v>0</v>
      </c>
      <c r="Z17" s="52">
        <f>+SUMIF(Export!$I:$I,'LEX PARTS'!N17,Export!M:M)</f>
        <v>0</v>
      </c>
      <c r="AA17" s="52">
        <f>+SUMIF(Export!$I:$I,'LEX PARTS'!O17,Export!M:M)</f>
        <v>0</v>
      </c>
      <c r="AB17" s="52">
        <f t="shared" ref="AB17:AB21" si="14">+SUM(Z17:AA17)</f>
        <v>0</v>
      </c>
      <c r="AD17" s="52">
        <f>+SUMIF(Export!$I:$I,'LEX PARTS'!N17,Export!O:O)</f>
        <v>0</v>
      </c>
      <c r="AE17" s="52">
        <f>+SUMIF(Export!$I:$I,'LEX PARTS'!O17,Export!O:O)</f>
        <v>0</v>
      </c>
      <c r="AF17" s="52">
        <f t="shared" ref="AF17:AF21" si="15">+SUM(AD17:AE17)</f>
        <v>0</v>
      </c>
    </row>
    <row r="18" spans="1:32" x14ac:dyDescent="0.25">
      <c r="A18" s="24" t="s">
        <v>1216</v>
      </c>
      <c r="B18" s="130">
        <f t="shared" si="10"/>
        <v>0.29032996944654715</v>
      </c>
      <c r="C18" s="131">
        <f t="shared" si="11"/>
        <v>0.22</v>
      </c>
      <c r="D18" s="128">
        <f t="shared" si="8"/>
        <v>7.0329969446547153E-2</v>
      </c>
      <c r="E18" s="118">
        <f t="shared" si="4"/>
        <v>0.31968167930248703</v>
      </c>
      <c r="F18" s="133"/>
      <c r="G18" s="133"/>
      <c r="H18" s="133"/>
      <c r="I18" s="131" t="e">
        <f t="shared" si="7"/>
        <v>#DIV/0!</v>
      </c>
      <c r="J18" s="126">
        <f t="shared" si="9"/>
        <v>0</v>
      </c>
      <c r="K18" s="122">
        <f t="shared" si="0"/>
        <v>0</v>
      </c>
      <c r="M18" s="162">
        <v>132</v>
      </c>
      <c r="N18" s="3" t="s">
        <v>1132</v>
      </c>
      <c r="O18" s="3" t="s">
        <v>1216</v>
      </c>
      <c r="R18" s="52">
        <f>+SUMIFS(Export!L:L,Export!I:I,N18,Export!E:E,M18)</f>
        <v>-12748.15</v>
      </c>
      <c r="S18" s="52">
        <f>+SUMIFS(Export!L:L,Export!I:I,O18,Export!E:E,M18)</f>
        <v>9046.98</v>
      </c>
      <c r="T18" s="52">
        <f t="shared" si="12"/>
        <v>-3701.17</v>
      </c>
      <c r="V18" s="52">
        <f>+SUMIFS(Export!N:N,Export!I:I,N18,Export!E:E,M18)</f>
        <v>-6000</v>
      </c>
      <c r="W18" s="52">
        <f>+SUMIFS(Export!N:N,Export!I:I,O18,Export!E:E,M18)</f>
        <v>4680</v>
      </c>
      <c r="X18" s="52">
        <f t="shared" si="13"/>
        <v>-1320</v>
      </c>
      <c r="Z18" s="52">
        <f>+SUMIF(Export!$I:$I,'LEX PARTS'!N18,Export!M:M)</f>
        <v>0</v>
      </c>
      <c r="AA18" s="52">
        <f>+SUMIF(Export!$I:$I,'LEX PARTS'!O18,Export!M:M)</f>
        <v>0</v>
      </c>
      <c r="AB18" s="52">
        <f t="shared" si="14"/>
        <v>0</v>
      </c>
      <c r="AD18" s="52">
        <f>+SUMIF(Export!$I:$I,'LEX PARTS'!N18,Export!O:O)</f>
        <v>0</v>
      </c>
      <c r="AE18" s="52">
        <f>+SUMIF(Export!$I:$I,'LEX PARTS'!O18,Export!O:O)</f>
        <v>0</v>
      </c>
      <c r="AF18" s="52">
        <f t="shared" si="15"/>
        <v>0</v>
      </c>
    </row>
    <row r="19" spans="1:32" x14ac:dyDescent="0.25">
      <c r="A19" s="24" t="s">
        <v>1225</v>
      </c>
      <c r="B19" s="130">
        <f t="shared" si="10"/>
        <v>0.19852492328292551</v>
      </c>
      <c r="C19" s="131">
        <f t="shared" si="11"/>
        <v>0.22</v>
      </c>
      <c r="D19" s="128">
        <f t="shared" si="8"/>
        <v>-2.1475076717074493E-2</v>
      </c>
      <c r="E19" s="118">
        <f t="shared" si="4"/>
        <v>-9.7613985077611334E-2</v>
      </c>
      <c r="F19" s="133"/>
      <c r="G19" s="133"/>
      <c r="H19" s="133"/>
      <c r="I19" s="131" t="e">
        <f t="shared" si="7"/>
        <v>#DIV/0!</v>
      </c>
      <c r="J19" s="126">
        <f t="shared" si="9"/>
        <v>0</v>
      </c>
      <c r="K19" s="122">
        <f t="shared" si="0"/>
        <v>0</v>
      </c>
      <c r="M19" s="162">
        <v>132</v>
      </c>
      <c r="N19" s="3" t="s">
        <v>1140</v>
      </c>
      <c r="O19" s="3" t="s">
        <v>1225</v>
      </c>
      <c r="R19" s="52">
        <f>+SUMIFS(Export!L:L,Export!I:I,N19,Export!E:E,M19)</f>
        <v>-15742.91</v>
      </c>
      <c r="S19" s="52">
        <f>+SUMIFS(Export!L:L,Export!I:I,O19,Export!E:E,M19)</f>
        <v>12617.55</v>
      </c>
      <c r="T19" s="52">
        <f t="shared" si="12"/>
        <v>-3125.3600000000006</v>
      </c>
      <c r="V19" s="52">
        <f>+SUMIFS(Export!N:N,Export!I:I,N19,Export!E:E,M19)</f>
        <v>-10000</v>
      </c>
      <c r="W19" s="52">
        <f>+SUMIFS(Export!N:N,Export!I:I,O19,Export!E:E,M19)</f>
        <v>7800</v>
      </c>
      <c r="X19" s="52">
        <f t="shared" si="13"/>
        <v>-2200</v>
      </c>
      <c r="Z19" s="52">
        <f>+SUMIF(Export!$I:$I,'LEX PARTS'!N19,Export!M:M)</f>
        <v>0</v>
      </c>
      <c r="AA19" s="52">
        <f>+SUMIF(Export!$I:$I,'LEX PARTS'!O19,Export!M:M)</f>
        <v>0</v>
      </c>
      <c r="AB19" s="52">
        <f t="shared" si="14"/>
        <v>0</v>
      </c>
      <c r="AD19" s="52">
        <f>+SUMIF(Export!$I:$I,'LEX PARTS'!N19,Export!O:O)</f>
        <v>0</v>
      </c>
      <c r="AE19" s="52">
        <f>+SUMIF(Export!$I:$I,'LEX PARTS'!O19,Export!O:O)</f>
        <v>0</v>
      </c>
      <c r="AF19" s="52">
        <f t="shared" si="15"/>
        <v>0</v>
      </c>
    </row>
    <row r="20" spans="1:32" x14ac:dyDescent="0.25">
      <c r="A20" s="24" t="s">
        <v>1230</v>
      </c>
      <c r="B20" s="130">
        <f t="shared" si="10"/>
        <v>0.22487985429763235</v>
      </c>
      <c r="C20" s="131">
        <f t="shared" si="11"/>
        <v>0.22</v>
      </c>
      <c r="D20" s="128">
        <f t="shared" si="8"/>
        <v>4.8798542976323522E-3</v>
      </c>
      <c r="E20" s="118">
        <f t="shared" si="4"/>
        <v>2.2181155898328874E-2</v>
      </c>
      <c r="F20" s="133"/>
      <c r="G20" s="133"/>
      <c r="H20" s="133"/>
      <c r="I20" s="131" t="e">
        <f t="shared" si="7"/>
        <v>#DIV/0!</v>
      </c>
      <c r="J20" s="126">
        <f t="shared" si="9"/>
        <v>0</v>
      </c>
      <c r="K20" s="122">
        <f t="shared" si="0"/>
        <v>0</v>
      </c>
      <c r="M20" s="162">
        <v>132</v>
      </c>
      <c r="N20" s="3" t="s">
        <v>1145</v>
      </c>
      <c r="O20" s="3" t="s">
        <v>1230</v>
      </c>
      <c r="R20" s="52">
        <f>+SUMIFS(Export!L:L,Export!I:I,N20,Export!E:E,M20)</f>
        <v>-4255.25</v>
      </c>
      <c r="S20" s="52">
        <f>+SUMIFS(Export!L:L,Export!I:I,O20,Export!E:E,M20)</f>
        <v>3298.33</v>
      </c>
      <c r="T20" s="52">
        <f t="shared" si="12"/>
        <v>-956.92000000000007</v>
      </c>
      <c r="V20" s="52">
        <f>+SUMIFS(Export!N:N,Export!I:I,N20,Export!E:E,M20)</f>
        <v>-4000</v>
      </c>
      <c r="W20" s="52">
        <f>+SUMIFS(Export!N:N,Export!I:I,O20,Export!E:E,M20)</f>
        <v>3120</v>
      </c>
      <c r="X20" s="52">
        <f t="shared" si="13"/>
        <v>-880</v>
      </c>
      <c r="Z20" s="52">
        <f>+SUMIF(Export!$I:$I,'LEX PARTS'!N20,Export!M:M)</f>
        <v>0</v>
      </c>
      <c r="AA20" s="52">
        <f>+SUMIF(Export!$I:$I,'LEX PARTS'!O20,Export!M:M)</f>
        <v>0</v>
      </c>
      <c r="AB20" s="52">
        <f t="shared" si="14"/>
        <v>0</v>
      </c>
      <c r="AD20" s="52">
        <f>+SUMIF(Export!$I:$I,'LEX PARTS'!N20,Export!O:O)</f>
        <v>0</v>
      </c>
      <c r="AE20" s="52">
        <f>+SUMIF(Export!$I:$I,'LEX PARTS'!O20,Export!O:O)</f>
        <v>0</v>
      </c>
      <c r="AF20" s="52">
        <f t="shared" si="15"/>
        <v>0</v>
      </c>
    </row>
    <row r="21" spans="1:32" hidden="1" x14ac:dyDescent="0.25">
      <c r="A21" s="24" t="s">
        <v>1222</v>
      </c>
      <c r="B21" s="130">
        <f>IFERROR(+T21/R21,0)</f>
        <v>0</v>
      </c>
      <c r="C21" s="131">
        <f t="shared" si="11"/>
        <v>0</v>
      </c>
      <c r="D21" s="128">
        <f t="shared" si="8"/>
        <v>0</v>
      </c>
      <c r="E21" s="118">
        <f t="shared" si="4"/>
        <v>0</v>
      </c>
      <c r="F21" s="133"/>
      <c r="G21" s="133"/>
      <c r="H21" s="133"/>
      <c r="I21" s="131" t="e">
        <f t="shared" si="7"/>
        <v>#DIV/0!</v>
      </c>
      <c r="J21" s="126">
        <f t="shared" si="9"/>
        <v>0</v>
      </c>
      <c r="K21" s="122">
        <f t="shared" si="0"/>
        <v>0</v>
      </c>
      <c r="M21" s="162">
        <v>132</v>
      </c>
      <c r="N21" s="3" t="s">
        <v>1137</v>
      </c>
      <c r="O21" s="3" t="s">
        <v>1222</v>
      </c>
      <c r="R21" s="52">
        <f>+SUMIFS(Export!L:L,Export!I:I,N21,Export!E:E,M21)</f>
        <v>0</v>
      </c>
      <c r="S21" s="52">
        <f>+SUMIFS(Export!L:L,Export!I:I,O21,Export!E:E,M21)</f>
        <v>0</v>
      </c>
      <c r="T21" s="52">
        <f t="shared" si="12"/>
        <v>0</v>
      </c>
      <c r="V21" s="52">
        <f>+SUMIFS(Export!N:N,Export!I:I,N21,Export!E:E,M21)</f>
        <v>0</v>
      </c>
      <c r="W21" s="52">
        <f>+SUMIFS(Export!N:N,Export!I:I,O21,Export!E:E,M21)</f>
        <v>0</v>
      </c>
      <c r="X21" s="52">
        <f t="shared" si="13"/>
        <v>0</v>
      </c>
      <c r="Z21" s="52">
        <f>+SUMIF(Export!$I:$I,'LEX PARTS'!N21,Export!M:M)</f>
        <v>0</v>
      </c>
      <c r="AA21" s="52">
        <f>+SUMIF(Export!$I:$I,'LEX PARTS'!O21,Export!M:M)</f>
        <v>0</v>
      </c>
      <c r="AB21" s="52">
        <f t="shared" si="14"/>
        <v>0</v>
      </c>
      <c r="AD21" s="52">
        <f>+SUMIF(Export!$I:$I,'LEX PARTS'!N21,Export!O:O)</f>
        <v>0</v>
      </c>
      <c r="AE21" s="52">
        <f>+SUMIF(Export!$I:$I,'LEX PARTS'!O21,Export!O:O)</f>
        <v>0</v>
      </c>
      <c r="AF21" s="52">
        <f t="shared" si="15"/>
        <v>0</v>
      </c>
    </row>
    <row r="22" spans="1:32" x14ac:dyDescent="0.25">
      <c r="A22" s="24" t="s">
        <v>1670</v>
      </c>
      <c r="B22" s="130">
        <f t="shared" si="10"/>
        <v>0.23768937629919223</v>
      </c>
      <c r="C22" s="131">
        <f t="shared" si="11"/>
        <v>0.22</v>
      </c>
      <c r="D22" s="128">
        <f t="shared" si="8"/>
        <v>1.7689376299192233E-2</v>
      </c>
      <c r="E22" s="118">
        <f t="shared" si="4"/>
        <v>8.0406255905419236E-2</v>
      </c>
      <c r="F22" s="133"/>
      <c r="G22" s="133"/>
      <c r="H22" s="133"/>
      <c r="I22" s="131" t="e">
        <f t="shared" si="7"/>
        <v>#DIV/0!</v>
      </c>
      <c r="J22" s="126">
        <f t="shared" si="9"/>
        <v>0</v>
      </c>
      <c r="K22" s="122">
        <f t="shared" si="0"/>
        <v>0</v>
      </c>
      <c r="R22" s="52">
        <f>SUM(R16:R21)</f>
        <v>-32746.309999999998</v>
      </c>
      <c r="S22" s="52">
        <f t="shared" ref="S22" si="16">SUM(S16:S21)</f>
        <v>24962.86</v>
      </c>
      <c r="T22" s="52">
        <f>SUM(T16:T21)</f>
        <v>-7783.4500000000007</v>
      </c>
      <c r="V22" s="52">
        <f>SUM(V16:V21)</f>
        <v>-20000</v>
      </c>
      <c r="W22" s="52">
        <f t="shared" ref="W22:X22" si="17">SUM(W16:W21)</f>
        <v>15600</v>
      </c>
      <c r="X22" s="52">
        <f t="shared" si="17"/>
        <v>-4400</v>
      </c>
      <c r="Z22" s="52">
        <f>SUM(Z16:Z21)</f>
        <v>0</v>
      </c>
      <c r="AA22" s="52">
        <f t="shared" ref="AA22:AB22" si="18">SUM(AA16:AA21)</f>
        <v>0</v>
      </c>
      <c r="AB22" s="52">
        <f t="shared" si="18"/>
        <v>0</v>
      </c>
      <c r="AD22" s="52">
        <f>SUM(AD16:AD21)</f>
        <v>0</v>
      </c>
      <c r="AE22" s="52">
        <f t="shared" ref="AE22:AF22" si="19">SUM(AE16:AE21)</f>
        <v>0</v>
      </c>
      <c r="AF22" s="52">
        <f t="shared" si="19"/>
        <v>0</v>
      </c>
    </row>
    <row r="23" spans="1:32" x14ac:dyDescent="0.25">
      <c r="A23" s="24" t="s">
        <v>60</v>
      </c>
      <c r="B23" s="89">
        <f>-T23</f>
        <v>0</v>
      </c>
      <c r="C23" s="90">
        <f>-X23</f>
        <v>0</v>
      </c>
      <c r="D23" s="100">
        <f>+B23-C23</f>
        <v>0</v>
      </c>
      <c r="E23" s="118">
        <f t="shared" si="4"/>
        <v>0</v>
      </c>
      <c r="F23" s="89"/>
      <c r="G23" s="89"/>
      <c r="H23" s="89"/>
      <c r="I23" s="90">
        <f>SUM(F23:H23)</f>
        <v>0</v>
      </c>
      <c r="J23" s="100">
        <f>+F23-H23</f>
        <v>0</v>
      </c>
      <c r="K23" s="122">
        <f t="shared" si="0"/>
        <v>0</v>
      </c>
      <c r="L23" s="162">
        <v>142</v>
      </c>
      <c r="M23" s="162">
        <v>132</v>
      </c>
      <c r="N23" s="3" t="s">
        <v>60</v>
      </c>
      <c r="T23" s="52">
        <f>+SUMIFS(Export!L:L,Export!I:I,N23,Export!E:E,M23)+SUMIFS(Export!L:L,Export!I:I,N23,Export!E:E,L23)</f>
        <v>0</v>
      </c>
      <c r="V23" s="52"/>
      <c r="W23" s="52"/>
      <c r="X23" s="52">
        <f>+SUMIFS(Export!N:N,Export!I:I,N23,Export!E:E,L23)+SUMIFS(Export!N:N,Export!I:I,N23,Export!E:E,M23)</f>
        <v>0</v>
      </c>
      <c r="AB23" s="52">
        <f>+SUMIF(Export!$I:$I,'LEX PARTS'!N23,Export!M:M)</f>
        <v>0</v>
      </c>
      <c r="AD23" s="52"/>
      <c r="AE23" s="52"/>
      <c r="AF23" s="52">
        <f>+SUMIF(Export!$I:$I,'LEX PARTS'!N23,Export!O:O)</f>
        <v>0</v>
      </c>
    </row>
    <row r="24" spans="1:32" x14ac:dyDescent="0.25">
      <c r="A24" s="27" t="s">
        <v>1671</v>
      </c>
      <c r="B24" s="91">
        <f>-T22+B23</f>
        <v>7783.4500000000007</v>
      </c>
      <c r="C24" s="92">
        <f>-X22+C23</f>
        <v>4400</v>
      </c>
      <c r="D24" s="101">
        <f>+B24-C24</f>
        <v>3383.4500000000007</v>
      </c>
      <c r="E24" s="119">
        <f t="shared" si="4"/>
        <v>0.76896590909090923</v>
      </c>
      <c r="F24" s="91"/>
      <c r="G24" s="91"/>
      <c r="H24" s="91"/>
      <c r="I24" s="92">
        <f>SUM(F24:H24)</f>
        <v>0</v>
      </c>
      <c r="J24" s="101">
        <f>+F24-H24</f>
        <v>0</v>
      </c>
      <c r="K24" s="123">
        <f t="shared" si="0"/>
        <v>0</v>
      </c>
      <c r="V24" s="52"/>
      <c r="W24" s="52"/>
      <c r="X24" s="52"/>
      <c r="AD24" s="52"/>
      <c r="AE24" s="52"/>
      <c r="AF24" s="52"/>
    </row>
    <row r="25" spans="1:32" x14ac:dyDescent="0.25">
      <c r="A25" s="24" t="s">
        <v>1672</v>
      </c>
      <c r="B25" s="130">
        <f>+B24/B13</f>
        <v>0.23768937629919223</v>
      </c>
      <c r="C25" s="131">
        <f>+C24/C13</f>
        <v>0.22</v>
      </c>
      <c r="D25" s="128">
        <f t="shared" ref="D25" si="20">+B25-C25</f>
        <v>1.7689376299192233E-2</v>
      </c>
      <c r="E25" s="129">
        <f t="shared" si="4"/>
        <v>8.0406255905419236E-2</v>
      </c>
      <c r="F25" s="130"/>
      <c r="G25" s="130"/>
      <c r="H25" s="130"/>
      <c r="I25" s="131" t="e">
        <f t="shared" ref="I25:I29" si="21">AVERAGE(F25:H25)</f>
        <v>#DIV/0!</v>
      </c>
      <c r="J25" s="128">
        <f t="shared" ref="J25" si="22">+F25-H25</f>
        <v>0</v>
      </c>
      <c r="K25" s="125">
        <f t="shared" si="0"/>
        <v>0</v>
      </c>
      <c r="V25" s="52"/>
      <c r="W25" s="52"/>
      <c r="X25" s="52"/>
      <c r="AD25" s="52"/>
      <c r="AE25" s="52"/>
      <c r="AF25" s="52"/>
    </row>
    <row r="26" spans="1:32" x14ac:dyDescent="0.25">
      <c r="A26" s="24" t="s">
        <v>1255</v>
      </c>
      <c r="B26" s="130">
        <f>IFERROR(SUMIFS(Export!L:L,Export!I:I,N26,Export!E:E,M26),0)/$B$13</f>
        <v>0.19290723137965776</v>
      </c>
      <c r="C26" s="131">
        <f>IFERROR(SUMIFS(Export!N:N,Export!I:I,N26,Export!E:E,M26),0)/$C$13</f>
        <v>0</v>
      </c>
      <c r="D26" s="128">
        <f>+C26-B26</f>
        <v>-0.19290723137965776</v>
      </c>
      <c r="E26" s="129">
        <f t="shared" si="4"/>
        <v>0</v>
      </c>
      <c r="F26" s="130"/>
      <c r="G26" s="130"/>
      <c r="H26" s="130"/>
      <c r="I26" s="131" t="e">
        <f t="shared" si="21"/>
        <v>#DIV/0!</v>
      </c>
      <c r="J26" s="128">
        <f>+H26-F26</f>
        <v>0</v>
      </c>
      <c r="K26" s="125">
        <f t="shared" si="0"/>
        <v>0</v>
      </c>
      <c r="M26" s="162">
        <v>132</v>
      </c>
      <c r="N26" s="3" t="s">
        <v>1255</v>
      </c>
      <c r="T26" s="52">
        <f>+SUMIFS(Export!L:L,Export!I:I,N26,Export!E:E,M26)</f>
        <v>6317</v>
      </c>
      <c r="V26" s="52"/>
      <c r="W26" s="52"/>
      <c r="X26" s="52">
        <f>+SUMIFS(Export!N:N,Export!I:I,N26,Export!E:E,M26)</f>
        <v>0</v>
      </c>
      <c r="AB26" s="52">
        <f>+SUMIF(Export!$I:$I,'LEX PARTS'!N26,Export!M:M)</f>
        <v>0</v>
      </c>
      <c r="AD26" s="52"/>
      <c r="AE26" s="52"/>
      <c r="AF26" s="52">
        <f>+SUMIF(Export!$I:$I,'LEX PARTS'!N26,Export!O:O)</f>
        <v>0</v>
      </c>
    </row>
    <row r="27" spans="1:32" x14ac:dyDescent="0.25">
      <c r="A27" s="24" t="s">
        <v>1286</v>
      </c>
      <c r="B27" s="130">
        <f>IFERROR(SUMIFS(Export!L:L,Export!I:I,N27,Export!E:E,M27),0)/$B$13</f>
        <v>0</v>
      </c>
      <c r="C27" s="131">
        <f>IFERROR(SUMIFS(Export!N:N,Export!I:I,N27,Export!E:E,M27),0)/$C$13</f>
        <v>0</v>
      </c>
      <c r="D27" s="128">
        <f>+C27-B27</f>
        <v>0</v>
      </c>
      <c r="E27" s="129">
        <f t="shared" si="4"/>
        <v>0</v>
      </c>
      <c r="F27" s="130"/>
      <c r="G27" s="130"/>
      <c r="H27" s="130"/>
      <c r="I27" s="131" t="e">
        <f t="shared" si="21"/>
        <v>#DIV/0!</v>
      </c>
      <c r="J27" s="128">
        <f>+H27-F27</f>
        <v>0</v>
      </c>
      <c r="K27" s="125">
        <f t="shared" si="0"/>
        <v>0</v>
      </c>
      <c r="M27" s="162">
        <v>132</v>
      </c>
      <c r="N27" s="3" t="s">
        <v>1286</v>
      </c>
      <c r="T27" s="52">
        <f>+SUMIFS(Export!L:L,Export!I:I,N27,Export!E:E,M27)</f>
        <v>0</v>
      </c>
      <c r="V27" s="52"/>
      <c r="W27" s="52"/>
      <c r="X27" s="52">
        <f>+SUMIFS(Export!N:N,Export!I:I,N27,Export!E:E,M27)</f>
        <v>0</v>
      </c>
      <c r="AB27" s="52">
        <f>+SUMIF(Export!J:J,'LEX PARTS'!N27,Export!M:M)</f>
        <v>0</v>
      </c>
      <c r="AD27" s="52"/>
      <c r="AE27" s="52"/>
      <c r="AF27" s="52">
        <f>+SUMIF(Export!$J:$J,'LEX PARTS'!N27,Export!O:O)</f>
        <v>0</v>
      </c>
    </row>
    <row r="28" spans="1:32" x14ac:dyDescent="0.25">
      <c r="A28" s="24" t="s">
        <v>1674</v>
      </c>
      <c r="B28" s="132">
        <f>+SUM(B26:B27)</f>
        <v>0.19290723137965776</v>
      </c>
      <c r="C28" s="131">
        <f>+SUM(C26:C27)</f>
        <v>0</v>
      </c>
      <c r="D28" s="128">
        <f>+C28-B28</f>
        <v>-0.19290723137965776</v>
      </c>
      <c r="E28" s="129">
        <f t="shared" si="4"/>
        <v>0</v>
      </c>
      <c r="F28" s="130"/>
      <c r="G28" s="130"/>
      <c r="H28" s="130"/>
      <c r="I28" s="131" t="e">
        <f t="shared" si="21"/>
        <v>#DIV/0!</v>
      </c>
      <c r="J28" s="128">
        <f>+H28-F28</f>
        <v>0</v>
      </c>
      <c r="K28" s="125">
        <f t="shared" si="0"/>
        <v>0</v>
      </c>
      <c r="V28" s="52"/>
      <c r="W28" s="52"/>
      <c r="X28" s="52"/>
      <c r="AD28" s="52"/>
      <c r="AE28" s="52"/>
      <c r="AF28" s="52"/>
    </row>
    <row r="29" spans="1:32" x14ac:dyDescent="0.25">
      <c r="A29" s="24" t="s">
        <v>1675</v>
      </c>
      <c r="B29" s="132">
        <f>+B25-B28</f>
        <v>4.4782144919534472E-2</v>
      </c>
      <c r="C29" s="131">
        <f>+C25-C28</f>
        <v>0.22</v>
      </c>
      <c r="D29" s="128">
        <f>+B29-C29</f>
        <v>-0.17521785508046553</v>
      </c>
      <c r="E29" s="129">
        <f t="shared" si="4"/>
        <v>-0.79644479582029781</v>
      </c>
      <c r="F29" s="132"/>
      <c r="G29" s="132"/>
      <c r="H29" s="132"/>
      <c r="I29" s="131" t="e">
        <f t="shared" si="21"/>
        <v>#DIV/0!</v>
      </c>
      <c r="J29" s="128">
        <f>+F29-H29</f>
        <v>0</v>
      </c>
      <c r="K29" s="125">
        <f t="shared" si="0"/>
        <v>0</v>
      </c>
      <c r="V29" s="52"/>
      <c r="W29" s="52"/>
      <c r="X29" s="52"/>
      <c r="AD29" s="52"/>
      <c r="AE29" s="52"/>
      <c r="AF29" s="52"/>
    </row>
    <row r="30" spans="1:32" s="28" customFormat="1" ht="15.75" thickBot="1" x14ac:dyDescent="0.3">
      <c r="A30" s="29" t="s">
        <v>1676</v>
      </c>
      <c r="B30" s="94">
        <f>-T30</f>
        <v>1466.4500000000007</v>
      </c>
      <c r="C30" s="93">
        <f>-X30</f>
        <v>4400</v>
      </c>
      <c r="D30" s="108">
        <f>+B30-C30</f>
        <v>-2933.5499999999993</v>
      </c>
      <c r="E30" s="120">
        <f t="shared" si="4"/>
        <v>-0.66671590909090894</v>
      </c>
      <c r="F30" s="94"/>
      <c r="G30" s="94"/>
      <c r="H30" s="94"/>
      <c r="I30" s="93">
        <f>SUM(F30:H30)</f>
        <v>0</v>
      </c>
      <c r="J30" s="108">
        <f>+F30-H30</f>
        <v>0</v>
      </c>
      <c r="K30" s="124">
        <f t="shared" si="0"/>
        <v>0</v>
      </c>
      <c r="N30" s="3"/>
      <c r="O30" s="3"/>
      <c r="P30" s="3"/>
      <c r="Q30" s="3"/>
      <c r="R30" s="52"/>
      <c r="S30" s="52"/>
      <c r="T30" s="52">
        <f>+SUM(T22:T29)</f>
        <v>-1466.4500000000007</v>
      </c>
      <c r="V30" s="52"/>
      <c r="W30" s="52"/>
      <c r="X30" s="52">
        <f>+SUM(X22:X29)</f>
        <v>-4400</v>
      </c>
      <c r="Z30" s="52"/>
      <c r="AA30" s="52"/>
      <c r="AB30" s="52">
        <f>+SUM(AB22:AB29)</f>
        <v>0</v>
      </c>
      <c r="AD30" s="52"/>
      <c r="AE30" s="52"/>
      <c r="AF30" s="52">
        <f>+SUM(AF22:AF29)</f>
        <v>0</v>
      </c>
    </row>
    <row r="31" spans="1:32" ht="15.75" hidden="1" customHeight="1" thickTop="1" x14ac:dyDescent="0.25">
      <c r="E31" s="121"/>
      <c r="K31" s="121"/>
      <c r="V31" s="52"/>
      <c r="W31" s="52"/>
      <c r="X31" s="52"/>
      <c r="AD31" s="52"/>
      <c r="AE31" s="52"/>
      <c r="AF31" s="52"/>
    </row>
    <row r="32" spans="1:32" ht="15.75" thickTop="1" x14ac:dyDescent="0.25">
      <c r="E32" s="121"/>
      <c r="K32" s="121"/>
      <c r="V32" s="52"/>
      <c r="W32" s="52"/>
      <c r="X32" s="52"/>
      <c r="AD32" s="52"/>
      <c r="AE32" s="52"/>
      <c r="AF32" s="52"/>
    </row>
    <row r="33" spans="1:23" s="149" customFormat="1" x14ac:dyDescent="0.25">
      <c r="A33" s="10" t="s">
        <v>1677</v>
      </c>
      <c r="B33" s="12">
        <v>0.5</v>
      </c>
      <c r="C33" s="12">
        <v>0.5</v>
      </c>
      <c r="F33" s="12"/>
      <c r="G33" s="12"/>
      <c r="H33" s="12"/>
      <c r="I33" s="12" t="e">
        <f>AVERAGE(F33:H33)</f>
        <v>#DIV/0!</v>
      </c>
      <c r="N33" s="3"/>
      <c r="O33" s="3"/>
      <c r="P33" s="3"/>
      <c r="Q33" s="3"/>
      <c r="R33" s="3"/>
    </row>
    <row r="34" spans="1:23" x14ac:dyDescent="0.25">
      <c r="B34" s="197"/>
    </row>
    <row r="35" spans="1:23" x14ac:dyDescent="0.25">
      <c r="B35" s="193"/>
      <c r="C35" s="193"/>
    </row>
    <row r="36" spans="1:23" x14ac:dyDescent="0.25">
      <c r="B36" s="193"/>
      <c r="C36" s="193"/>
    </row>
    <row r="37" spans="1:23" x14ac:dyDescent="0.25">
      <c r="B37" s="193"/>
      <c r="C37" s="193"/>
    </row>
    <row r="38" spans="1:23" x14ac:dyDescent="0.25">
      <c r="B38" s="193"/>
      <c r="C38" s="193"/>
    </row>
    <row r="39" spans="1:23" x14ac:dyDescent="0.25">
      <c r="B39" s="193"/>
      <c r="C39" s="193"/>
    </row>
    <row r="40" spans="1:23" x14ac:dyDescent="0.25">
      <c r="B40" s="193"/>
      <c r="C40" s="193"/>
    </row>
    <row r="41" spans="1:23" x14ac:dyDescent="0.25">
      <c r="B41" s="193"/>
      <c r="C41" s="193"/>
    </row>
    <row r="42" spans="1:23" x14ac:dyDescent="0.25">
      <c r="C42" s="193"/>
      <c r="I42" s="290"/>
    </row>
    <row r="43" spans="1:23" x14ac:dyDescent="0.25">
      <c r="B43" s="193"/>
      <c r="C43" s="193"/>
    </row>
    <row r="44" spans="1:23" x14ac:dyDescent="0.25">
      <c r="B44" s="193"/>
      <c r="C44" s="193"/>
    </row>
    <row r="45" spans="1:23" x14ac:dyDescent="0.25">
      <c r="B45" s="193"/>
      <c r="C45" s="193"/>
      <c r="I45" s="290"/>
    </row>
    <row r="47" spans="1:23" x14ac:dyDescent="0.25">
      <c r="C47" s="291"/>
    </row>
    <row r="48" spans="1:23" x14ac:dyDescent="0.25">
      <c r="W48" s="268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13833-0B0D-4573-A7E9-ADD9AC834C2D}">
  <sheetPr>
    <tabColor theme="9" tint="0.79998168889431442"/>
  </sheetPr>
  <dimension ref="A1:AJ45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3" width="12.140625" style="16" bestFit="1" customWidth="1" outlineLevel="1"/>
    <col min="4" max="5" width="9.7109375" style="16" customWidth="1" outlineLevel="1"/>
    <col min="6" max="7" width="9.7109375" style="16" customWidth="1"/>
    <col min="8" max="8" width="9.7109375" style="16" customWidth="1" outlineLevel="1"/>
    <col min="9" max="9" width="9.7109375" style="16" customWidth="1"/>
    <col min="10" max="11" width="9.7109375" style="16" hidden="1" customWidth="1"/>
    <col min="12" max="12" width="9.140625" style="16" customWidth="1"/>
    <col min="13" max="13" width="9.140625" style="16"/>
    <col min="14" max="15" width="11.7109375" style="3" customWidth="1" outlineLevel="1"/>
    <col min="16" max="36" width="9.140625" style="16" customWidth="1" outlineLevel="1"/>
    <col min="37" max="16384" width="9.140625" style="16"/>
  </cols>
  <sheetData>
    <row r="1" spans="1:32" ht="15" customHeight="1" x14ac:dyDescent="0.25">
      <c r="A1" s="326" t="s">
        <v>1731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32" ht="9.4" customHeight="1" thickBot="1" x14ac:dyDescent="0.3"/>
    <row r="3" spans="1:32" ht="15.75" thickTop="1" x14ac:dyDescent="0.25">
      <c r="A3" s="38" t="s">
        <v>1591</v>
      </c>
      <c r="B3" s="350" t="s">
        <v>155</v>
      </c>
      <c r="C3" s="329"/>
      <c r="D3" s="329"/>
      <c r="E3" s="329"/>
      <c r="F3" s="350" t="s">
        <v>1629</v>
      </c>
      <c r="G3" s="350"/>
      <c r="H3" s="329"/>
      <c r="I3" s="329"/>
      <c r="J3" s="329"/>
      <c r="K3" s="345"/>
    </row>
    <row r="4" spans="1:32" x14ac:dyDescent="0.25">
      <c r="A4" s="39" t="s">
        <v>1591</v>
      </c>
      <c r="B4" s="40"/>
      <c r="C4" s="40"/>
      <c r="D4" s="351"/>
      <c r="E4" s="331"/>
      <c r="F4" s="40"/>
      <c r="G4" s="40"/>
      <c r="H4" s="40"/>
      <c r="I4" s="40"/>
      <c r="J4" s="351"/>
      <c r="K4" s="347"/>
    </row>
    <row r="5" spans="1:32" x14ac:dyDescent="0.25">
      <c r="A5" s="39" t="s">
        <v>111</v>
      </c>
      <c r="B5" s="41" t="s">
        <v>12</v>
      </c>
      <c r="C5" s="41" t="s">
        <v>1592</v>
      </c>
      <c r="D5" s="42" t="s">
        <v>1609</v>
      </c>
      <c r="E5" s="42" t="s">
        <v>1610</v>
      </c>
      <c r="F5" s="262" t="str">
        <f>OVERALL!F5</f>
        <v>0124</v>
      </c>
      <c r="G5" s="262" t="str">
        <f>OVERALL!G5</f>
        <v>0224</v>
      </c>
      <c r="H5" s="262" t="str">
        <f>OVERALL!H5</f>
        <v>0324</v>
      </c>
      <c r="I5" s="262" t="str">
        <f>OVERALL!I5</f>
        <v>Q124</v>
      </c>
      <c r="J5" s="42" t="s">
        <v>1609</v>
      </c>
      <c r="K5" s="43" t="s">
        <v>1610</v>
      </c>
    </row>
    <row r="6" spans="1:32" x14ac:dyDescent="0.25">
      <c r="A6" s="24" t="s">
        <v>1095</v>
      </c>
      <c r="B6" s="51">
        <f>+R13/SUM($R$13:$R$16)</f>
        <v>0.56657726296757693</v>
      </c>
      <c r="C6" s="96">
        <f>+V13/SUM($V$13:$V$16)</f>
        <v>0.34</v>
      </c>
      <c r="D6" s="118">
        <f>+B6-C6</f>
        <v>0.22657726296757691</v>
      </c>
      <c r="E6" s="118">
        <f>IFERROR(+D6/C6,0)</f>
        <v>0.66640371461052028</v>
      </c>
      <c r="F6" s="51"/>
      <c r="G6" s="51"/>
      <c r="H6" s="51"/>
      <c r="I6" s="96" t="e">
        <f>AVERAGE(F6:H6)</f>
        <v>#DIV/0!</v>
      </c>
      <c r="J6" s="118">
        <f>+F6-H6</f>
        <v>0</v>
      </c>
      <c r="K6" s="125">
        <f>IFERROR(+J6/H6,0)</f>
        <v>0</v>
      </c>
    </row>
    <row r="7" spans="1:32" x14ac:dyDescent="0.25">
      <c r="A7" s="24" t="s">
        <v>1104</v>
      </c>
      <c r="B7" s="51">
        <f>+R14/SUM($R$13:$R$16)</f>
        <v>7.2597532882350393E-2</v>
      </c>
      <c r="C7" s="96">
        <f>+V14/SUM($V$13:$V$16)</f>
        <v>0.39</v>
      </c>
      <c r="D7" s="118">
        <f t="shared" ref="D7:D21" si="0">+B7-C7</f>
        <v>-0.31740246711764963</v>
      </c>
      <c r="E7" s="118">
        <f t="shared" ref="E7:E30" si="1">IFERROR(+D7/C7,0)</f>
        <v>-0.81385247978884523</v>
      </c>
      <c r="F7" s="51"/>
      <c r="G7" s="51"/>
      <c r="H7" s="51"/>
      <c r="I7" s="96" t="e">
        <f t="shared" ref="I7:I27" si="2">AVERAGE(F7:H7)</f>
        <v>#DIV/0!</v>
      </c>
      <c r="J7" s="118">
        <f t="shared" ref="J7:J21" si="3">+F7-H7</f>
        <v>0</v>
      </c>
      <c r="K7" s="125">
        <f t="shared" ref="K7:K30" si="4">IFERROR(+J7/H7,0)</f>
        <v>0</v>
      </c>
    </row>
    <row r="8" spans="1:32" x14ac:dyDescent="0.25">
      <c r="A8" s="24" t="s">
        <v>1109</v>
      </c>
      <c r="B8" s="51">
        <f>+R15/SUM($R$13:$R$16)</f>
        <v>0.36082520415007258</v>
      </c>
      <c r="C8" s="96">
        <f>+V15/SUM($V$13:$V$16)</f>
        <v>0.27</v>
      </c>
      <c r="D8" s="118">
        <f t="shared" si="0"/>
        <v>9.0825204150072558E-2</v>
      </c>
      <c r="E8" s="118">
        <f t="shared" si="1"/>
        <v>0.33638964500026869</v>
      </c>
      <c r="F8" s="51"/>
      <c r="G8" s="51"/>
      <c r="H8" s="51"/>
      <c r="I8" s="96" t="e">
        <f t="shared" si="2"/>
        <v>#DIV/0!</v>
      </c>
      <c r="J8" s="118">
        <f t="shared" si="3"/>
        <v>0</v>
      </c>
      <c r="K8" s="125">
        <f t="shared" si="4"/>
        <v>0</v>
      </c>
    </row>
    <row r="9" spans="1:32" x14ac:dyDescent="0.25">
      <c r="A9" s="27" t="s">
        <v>181</v>
      </c>
      <c r="B9" s="91">
        <f>-SUM(R13:R16)</f>
        <v>67853.27</v>
      </c>
      <c r="C9" s="92">
        <f>-SUM(V13:V16)</f>
        <v>80000</v>
      </c>
      <c r="D9" s="106">
        <f t="shared" si="0"/>
        <v>-12146.729999999996</v>
      </c>
      <c r="E9" s="119">
        <f t="shared" si="1"/>
        <v>-0.15183412499999996</v>
      </c>
      <c r="F9" s="91"/>
      <c r="G9" s="91"/>
      <c r="H9" s="91"/>
      <c r="I9" s="92">
        <f>SUM(F9:H9)</f>
        <v>0</v>
      </c>
      <c r="J9" s="106">
        <f t="shared" si="3"/>
        <v>0</v>
      </c>
      <c r="K9" s="123">
        <f t="shared" si="4"/>
        <v>0</v>
      </c>
    </row>
    <row r="10" spans="1:32" x14ac:dyDescent="0.25">
      <c r="A10" s="24" t="s">
        <v>1117</v>
      </c>
      <c r="B10" s="51">
        <f>+R18/R21</f>
        <v>0.16020783725755491</v>
      </c>
      <c r="C10" s="96">
        <f>+V18/V21</f>
        <v>0.26308724832214764</v>
      </c>
      <c r="D10" s="118">
        <f t="shared" si="0"/>
        <v>-0.10287941106459272</v>
      </c>
      <c r="E10" s="118">
        <f t="shared" si="1"/>
        <v>-0.39104674103633463</v>
      </c>
      <c r="F10" s="53"/>
      <c r="G10" s="53"/>
      <c r="H10" s="53"/>
      <c r="I10" s="96" t="e">
        <f t="shared" si="2"/>
        <v>#DIV/0!</v>
      </c>
      <c r="J10" s="118">
        <f t="shared" si="3"/>
        <v>0</v>
      </c>
      <c r="K10" s="122">
        <f t="shared" si="4"/>
        <v>0</v>
      </c>
      <c r="R10" s="95" t="s">
        <v>1641</v>
      </c>
      <c r="S10" s="95" t="s">
        <v>1641</v>
      </c>
      <c r="T10" s="95" t="s">
        <v>1641</v>
      </c>
      <c r="V10" s="95" t="s">
        <v>1641</v>
      </c>
      <c r="W10" s="95" t="s">
        <v>1641</v>
      </c>
      <c r="X10" s="95" t="s">
        <v>1641</v>
      </c>
      <c r="Z10" s="95" t="s">
        <v>156</v>
      </c>
      <c r="AA10" s="95" t="s">
        <v>156</v>
      </c>
      <c r="AB10" s="95" t="s">
        <v>156</v>
      </c>
      <c r="AD10" s="95" t="s">
        <v>156</v>
      </c>
      <c r="AE10" s="95" t="s">
        <v>156</v>
      </c>
      <c r="AF10" s="95" t="s">
        <v>156</v>
      </c>
    </row>
    <row r="11" spans="1:32" x14ac:dyDescent="0.25">
      <c r="A11" s="24" t="s">
        <v>1019</v>
      </c>
      <c r="B11" s="51">
        <f>+R19/R21</f>
        <v>0.17789234330508646</v>
      </c>
      <c r="C11" s="96">
        <f>+V19/V21</f>
        <v>6.5771812080536909E-2</v>
      </c>
      <c r="D11" s="118">
        <f t="shared" si="0"/>
        <v>0.11212053122454956</v>
      </c>
      <c r="E11" s="118">
        <f t="shared" si="1"/>
        <v>1.704689709434478</v>
      </c>
      <c r="F11" s="53"/>
      <c r="G11" s="53"/>
      <c r="H11" s="53"/>
      <c r="I11" s="96" t="e">
        <f t="shared" si="2"/>
        <v>#DIV/0!</v>
      </c>
      <c r="J11" s="118">
        <f t="shared" si="3"/>
        <v>0</v>
      </c>
      <c r="K11" s="122">
        <f t="shared" si="4"/>
        <v>0</v>
      </c>
      <c r="R11" s="95" t="s">
        <v>12</v>
      </c>
      <c r="S11" s="95" t="s">
        <v>12</v>
      </c>
      <c r="T11" s="95" t="s">
        <v>12</v>
      </c>
      <c r="V11" s="95" t="s">
        <v>1592</v>
      </c>
      <c r="W11" s="95" t="s">
        <v>1592</v>
      </c>
      <c r="X11" s="95" t="s">
        <v>1592</v>
      </c>
      <c r="Z11" s="95" t="s">
        <v>12</v>
      </c>
      <c r="AA11" s="95" t="s">
        <v>12</v>
      </c>
      <c r="AB11" s="95" t="s">
        <v>12</v>
      </c>
      <c r="AD11" s="95" t="s">
        <v>1592</v>
      </c>
      <c r="AE11" s="95" t="s">
        <v>1592</v>
      </c>
      <c r="AF11" s="95" t="s">
        <v>1592</v>
      </c>
    </row>
    <row r="12" spans="1:32" x14ac:dyDescent="0.25">
      <c r="A12" s="27" t="s">
        <v>1690</v>
      </c>
      <c r="B12" s="91">
        <f>-SUM(R17:R19)</f>
        <v>102512.9</v>
      </c>
      <c r="C12" s="92">
        <f>-SUM(V17:V19)</f>
        <v>119200</v>
      </c>
      <c r="D12" s="106">
        <f t="shared" si="0"/>
        <v>-16687.100000000006</v>
      </c>
      <c r="E12" s="119">
        <f t="shared" si="1"/>
        <v>-0.13999244966442959</v>
      </c>
      <c r="F12" s="91"/>
      <c r="G12" s="91"/>
      <c r="H12" s="91"/>
      <c r="I12" s="92">
        <f>SUM(F12:H12)</f>
        <v>0</v>
      </c>
      <c r="J12" s="106">
        <f t="shared" si="3"/>
        <v>0</v>
      </c>
      <c r="K12" s="123">
        <f t="shared" si="4"/>
        <v>0</v>
      </c>
      <c r="R12" s="95" t="s">
        <v>1642</v>
      </c>
      <c r="S12" s="95" t="s">
        <v>180</v>
      </c>
      <c r="T12" s="95" t="s">
        <v>153</v>
      </c>
      <c r="V12" s="95" t="s">
        <v>1642</v>
      </c>
      <c r="W12" s="95" t="s">
        <v>180</v>
      </c>
      <c r="X12" s="95" t="s">
        <v>153</v>
      </c>
      <c r="Z12" s="95" t="s">
        <v>1642</v>
      </c>
      <c r="AA12" s="95" t="s">
        <v>180</v>
      </c>
      <c r="AB12" s="95" t="s">
        <v>153</v>
      </c>
      <c r="AD12" s="95" t="s">
        <v>1642</v>
      </c>
      <c r="AE12" s="95" t="s">
        <v>180</v>
      </c>
      <c r="AF12" s="95" t="s">
        <v>153</v>
      </c>
    </row>
    <row r="13" spans="1:32" x14ac:dyDescent="0.25">
      <c r="A13" s="24" t="s">
        <v>1172</v>
      </c>
      <c r="B13" s="51">
        <f>+T13/R13</f>
        <v>0.79451213865735515</v>
      </c>
      <c r="C13" s="96">
        <f>+X13/V13</f>
        <v>0.74600000000000011</v>
      </c>
      <c r="D13" s="126">
        <f t="shared" si="0"/>
        <v>4.8512138657355042E-2</v>
      </c>
      <c r="E13" s="118">
        <f t="shared" si="1"/>
        <v>6.5029676484390134E-2</v>
      </c>
      <c r="F13" s="51"/>
      <c r="G13" s="51"/>
      <c r="H13" s="51"/>
      <c r="I13" s="96" t="e">
        <f t="shared" si="2"/>
        <v>#DIV/0!</v>
      </c>
      <c r="J13" s="126">
        <f t="shared" si="3"/>
        <v>0</v>
      </c>
      <c r="K13" s="122">
        <f t="shared" si="4"/>
        <v>0</v>
      </c>
      <c r="L13" s="162">
        <v>172</v>
      </c>
      <c r="M13" s="162">
        <v>142</v>
      </c>
      <c r="N13" s="3" t="s">
        <v>1095</v>
      </c>
      <c r="O13" s="3" t="s">
        <v>1172</v>
      </c>
      <c r="R13" s="52">
        <f>+SUMIFS(Export!$L:$L,Export!$I:$I,N13,Export!$E:$E,M13)+SUMIFS(Export!$L:$L,Export!$I:$I,N13,Export!$E:$E,L13)</f>
        <v>-38444.120000000003</v>
      </c>
      <c r="S13" s="52">
        <f>+SUMIFS(Export!$L:$L,Export!$I:$I,O13,Export!$E:$E,M13)</f>
        <v>7899.7999999999993</v>
      </c>
      <c r="T13" s="52">
        <f>+SUM(R13:S13)</f>
        <v>-30544.320000000003</v>
      </c>
      <c r="V13" s="52">
        <f>+SUMIFS(Export!$N:$N,Export!$I:$I,N13,Export!$E:$E,M13)</f>
        <v>-27200.000000000004</v>
      </c>
      <c r="W13" s="52">
        <f>+SUMIFS(Export!$N:$N,Export!$I:$I,O13,Export!$E:$E,M13)</f>
        <v>6908.8000000000011</v>
      </c>
      <c r="X13" s="52">
        <f>+SUM(V13:W13)</f>
        <v>-20291.200000000004</v>
      </c>
      <c r="Y13" s="168"/>
      <c r="Z13" s="52">
        <f>+SUMIF(Export!$I:$I,'LEX SERVICE'!N13,Export!M:M)</f>
        <v>0</v>
      </c>
      <c r="AA13" s="52">
        <f>+SUMIF(Export!$I:$I,'LEX SERVICE'!O13,Export!M:M)</f>
        <v>0</v>
      </c>
      <c r="AB13" s="52">
        <f>+SUM(Z13:AA13)</f>
        <v>0</v>
      </c>
      <c r="AD13" s="52">
        <f>+SUMIF(Export!$I:$I,'LEX SERVICE'!N13,Export!$O:O)</f>
        <v>0</v>
      </c>
      <c r="AE13" s="52">
        <f>+SUMIF(Export!$I:$I,'LEX SERVICE'!O13,Export!O:O)</f>
        <v>0</v>
      </c>
      <c r="AF13" s="52">
        <f>+SUM(AD13:AE13)</f>
        <v>0</v>
      </c>
    </row>
    <row r="14" spans="1:32" x14ac:dyDescent="0.25">
      <c r="A14" s="24" t="s">
        <v>1179</v>
      </c>
      <c r="B14" s="51">
        <f>+T14/R14</f>
        <v>0.75873024251011989</v>
      </c>
      <c r="C14" s="96">
        <f>+X14/V14</f>
        <v>0.746</v>
      </c>
      <c r="D14" s="126">
        <f t="shared" si="0"/>
        <v>1.2730242510119893E-2</v>
      </c>
      <c r="E14" s="118">
        <f t="shared" si="1"/>
        <v>1.7064668244128545E-2</v>
      </c>
      <c r="F14" s="51"/>
      <c r="G14" s="51"/>
      <c r="H14" s="51"/>
      <c r="I14" s="96" t="e">
        <f t="shared" si="2"/>
        <v>#DIV/0!</v>
      </c>
      <c r="J14" s="126">
        <f t="shared" si="3"/>
        <v>0</v>
      </c>
      <c r="K14" s="122">
        <f t="shared" si="4"/>
        <v>0</v>
      </c>
      <c r="M14" s="162">
        <v>142</v>
      </c>
      <c r="N14" s="3" t="s">
        <v>1104</v>
      </c>
      <c r="O14" s="3" t="s">
        <v>1179</v>
      </c>
      <c r="R14" s="52">
        <f>+SUMIFS(Export!$L:$L,Export!$I:$I,N14,Export!$E:$E,M14)</f>
        <v>-4925.9799999999996</v>
      </c>
      <c r="S14" s="52">
        <f>+SUMIFS(Export!$L:$L,Export!$I:$I,O14,Export!$E:$E,M14)</f>
        <v>1188.49</v>
      </c>
      <c r="T14" s="52">
        <f>+SUM(R14:S14)</f>
        <v>-3737.49</v>
      </c>
      <c r="V14" s="52">
        <f>+SUMIFS(Export!$N:$N,Export!$I:$I,N14,Export!$E:$E,M14)</f>
        <v>-31200</v>
      </c>
      <c r="W14" s="52">
        <f>+SUMIFS(Export!$N:$N,Export!$I:$I,O14,Export!$E:$E,M14)</f>
        <v>7924.8</v>
      </c>
      <c r="X14" s="52">
        <f t="shared" ref="X14:X16" si="5">+SUM(V14:W14)</f>
        <v>-23275.200000000001</v>
      </c>
      <c r="Z14" s="52">
        <f>+SUMIF(Export!$I:$I,'LEX SERVICE'!N14,Export!M:M)</f>
        <v>0</v>
      </c>
      <c r="AA14" s="52">
        <f>+SUMIF(Export!$I:$I,'LEX SERVICE'!O14,Export!M:M)</f>
        <v>0</v>
      </c>
      <c r="AB14" s="52">
        <f t="shared" ref="AB14:AB16" si="6">+SUM(Z14:AA14)</f>
        <v>0</v>
      </c>
      <c r="AD14" s="52">
        <f>+SUMIF(Export!$I:$I,'LEX SERVICE'!N14,Export!$O:O)</f>
        <v>0</v>
      </c>
      <c r="AE14" s="52">
        <f>+SUMIF(Export!$I:$I,'LEX SERVICE'!O14,Export!O:O)</f>
        <v>0</v>
      </c>
      <c r="AF14" s="52">
        <f t="shared" ref="AF14:AF16" si="7">+SUM(AD14:AE14)</f>
        <v>0</v>
      </c>
    </row>
    <row r="15" spans="1:32" x14ac:dyDescent="0.25">
      <c r="A15" s="24" t="s">
        <v>1184</v>
      </c>
      <c r="B15" s="51">
        <f>+T15/R15</f>
        <v>0.62278659176895801</v>
      </c>
      <c r="C15" s="96">
        <f>+X15/V15</f>
        <v>0.746</v>
      </c>
      <c r="D15" s="126">
        <f t="shared" si="0"/>
        <v>-0.12321340823104199</v>
      </c>
      <c r="E15" s="118">
        <f t="shared" si="1"/>
        <v>-0.16516542658316621</v>
      </c>
      <c r="F15" s="51"/>
      <c r="G15" s="51"/>
      <c r="H15" s="51"/>
      <c r="I15" s="96" t="e">
        <f t="shared" si="2"/>
        <v>#DIV/0!</v>
      </c>
      <c r="J15" s="126">
        <f t="shared" si="3"/>
        <v>0</v>
      </c>
      <c r="K15" s="122">
        <f t="shared" si="4"/>
        <v>0</v>
      </c>
      <c r="M15" s="162">
        <v>142</v>
      </c>
      <c r="N15" s="3" t="s">
        <v>1109</v>
      </c>
      <c r="O15" s="3" t="s">
        <v>1184</v>
      </c>
      <c r="R15" s="52">
        <f>+SUMIFS(Export!$L:$L,Export!$I:$I,N15,Export!$E:$E,M15)</f>
        <v>-24483.17</v>
      </c>
      <c r="S15" s="52">
        <f>+SUMIFS(Export!$L:$L,Export!$I:$I,O15,Export!$E:$E,M15)</f>
        <v>9235.3799999999992</v>
      </c>
      <c r="T15" s="52">
        <f>+SUM(R15:S15)</f>
        <v>-15247.789999999999</v>
      </c>
      <c r="V15" s="52">
        <f>+SUMIFS(Export!$N:$N,Export!$I:$I,N15,Export!$E:$E,M15)</f>
        <v>-21600</v>
      </c>
      <c r="W15" s="52">
        <f>+SUMIFS(Export!$N:$N,Export!$I:$I,O15,Export!$E:$E,M15)</f>
        <v>5486.4</v>
      </c>
      <c r="X15" s="52">
        <f t="shared" si="5"/>
        <v>-16113.6</v>
      </c>
      <c r="Y15" s="169">
        <f>+SUM(X13:X15)-SUM(T13:T15)</f>
        <v>-10150.400000000001</v>
      </c>
      <c r="Z15" s="52">
        <f>+SUMIF(Export!$I:$I,'LEX SERVICE'!N15,Export!M:M)</f>
        <v>0</v>
      </c>
      <c r="AA15" s="52">
        <f>+SUMIF(Export!$I:$I,'LEX SERVICE'!O15,Export!M:M)</f>
        <v>0</v>
      </c>
      <c r="AB15" s="52">
        <f t="shared" si="6"/>
        <v>0</v>
      </c>
      <c r="AD15" s="52">
        <f>+SUMIF(Export!$I:$I,'LEX SERVICE'!N15,Export!$O:O)</f>
        <v>0</v>
      </c>
      <c r="AE15" s="52">
        <f>+SUMIF(Export!$I:$I,'LEX SERVICE'!O15,Export!O:O)</f>
        <v>0</v>
      </c>
      <c r="AF15" s="52">
        <f t="shared" si="7"/>
        <v>0</v>
      </c>
    </row>
    <row r="16" spans="1:32" x14ac:dyDescent="0.25">
      <c r="A16" s="24" t="s">
        <v>1114</v>
      </c>
      <c r="B16" s="51">
        <f>+T16/SUM(S13:S16)</f>
        <v>0.48814062139909081</v>
      </c>
      <c r="C16" s="96">
        <f>+W16/SUM(W13:W16)</f>
        <v>0</v>
      </c>
      <c r="D16" s="126">
        <f t="shared" si="0"/>
        <v>0.48814062139909081</v>
      </c>
      <c r="E16" s="118">
        <f t="shared" si="1"/>
        <v>0</v>
      </c>
      <c r="F16" s="51"/>
      <c r="G16" s="51"/>
      <c r="H16" s="51"/>
      <c r="I16" s="96" t="e">
        <f t="shared" si="2"/>
        <v>#DIV/0!</v>
      </c>
      <c r="J16" s="126">
        <f t="shared" si="3"/>
        <v>0</v>
      </c>
      <c r="K16" s="122">
        <f t="shared" si="4"/>
        <v>0</v>
      </c>
      <c r="M16" s="162">
        <v>142</v>
      </c>
      <c r="O16" s="3" t="s">
        <v>1114</v>
      </c>
      <c r="R16" s="52">
        <f>+SUMIFS(Export!$L:$L,Export!$I:$I,N16,Export!$E:$E,M16)</f>
        <v>0</v>
      </c>
      <c r="S16" s="52">
        <f>+SUMIFS(Export!$L:$L,Export!$I:$I,O16,Export!$E:$E,M16)</f>
        <v>17474.580000000002</v>
      </c>
      <c r="T16" s="52">
        <f>+SUM(R16:S16)</f>
        <v>17474.580000000002</v>
      </c>
      <c r="V16" s="52">
        <f>+SUMIFS(Export!$N:$N,Export!$I:$I,N16,Export!$E:$E,M16)</f>
        <v>0</v>
      </c>
      <c r="W16" s="52">
        <f>+SUMIFS(Export!$N:$N,Export!$I:$I,O16,Export!$E:$E,M16)</f>
        <v>0</v>
      </c>
      <c r="X16" s="52">
        <f t="shared" si="5"/>
        <v>0</v>
      </c>
      <c r="Z16" s="52">
        <f>+SUMIF(Export!$I:$I,'LEX SERVICE'!N16,Export!M:M)</f>
        <v>0</v>
      </c>
      <c r="AA16" s="52">
        <f>+SUMIF(Export!$I:$I,'LEX SERVICE'!O16,Export!M:M)</f>
        <v>0</v>
      </c>
      <c r="AB16" s="52">
        <f t="shared" si="6"/>
        <v>0</v>
      </c>
      <c r="AD16" s="52">
        <f>+SUMIF(Export!$I:$I,'LEX SERVICE'!N16,Export!$O:O)</f>
        <v>0</v>
      </c>
      <c r="AE16" s="52">
        <f>+SUMIF(Export!$I:$I,'LEX SERVICE'!O16,Export!O:O)</f>
        <v>0</v>
      </c>
      <c r="AF16" s="52">
        <f t="shared" si="7"/>
        <v>0</v>
      </c>
    </row>
    <row r="17" spans="1:32" x14ac:dyDescent="0.25">
      <c r="A17" s="24" t="s">
        <v>1691</v>
      </c>
      <c r="B17" s="51">
        <f>+T17/SUM(R13:R16)</f>
        <v>0.47241673098437265</v>
      </c>
      <c r="C17" s="96">
        <f>+X17/SUM(V13:V16)</f>
        <v>0.74600000000000011</v>
      </c>
      <c r="D17" s="126">
        <f t="shared" si="0"/>
        <v>-0.27358326901562746</v>
      </c>
      <c r="E17" s="118">
        <f t="shared" si="1"/>
        <v>-0.36673360457858906</v>
      </c>
      <c r="F17" s="51"/>
      <c r="G17" s="51"/>
      <c r="H17" s="51"/>
      <c r="I17" s="96" t="e">
        <f t="shared" si="2"/>
        <v>#DIV/0!</v>
      </c>
      <c r="J17" s="126">
        <f t="shared" si="3"/>
        <v>0</v>
      </c>
      <c r="K17" s="122">
        <f t="shared" si="4"/>
        <v>0</v>
      </c>
      <c r="M17" s="162"/>
      <c r="R17" s="52">
        <f>SUM(R13:R16)</f>
        <v>-67853.27</v>
      </c>
      <c r="T17" s="52">
        <f>SUM(T13:T16)</f>
        <v>-32055.020000000004</v>
      </c>
      <c r="V17" s="52">
        <f>SUM(V13:V16)</f>
        <v>-80000</v>
      </c>
      <c r="X17" s="52">
        <f>SUM(X13:X16)</f>
        <v>-59680.000000000007</v>
      </c>
      <c r="Z17" s="52">
        <f>SUM(Z13:Z16)</f>
        <v>0</v>
      </c>
      <c r="AB17" s="52">
        <f>SUM(AB13:AB16)</f>
        <v>0</v>
      </c>
      <c r="AD17" s="52">
        <f>SUM(AD13:AD16)</f>
        <v>0</v>
      </c>
      <c r="AF17" s="52">
        <f>SUM(AF13:AF16)</f>
        <v>0</v>
      </c>
    </row>
    <row r="18" spans="1:32" x14ac:dyDescent="0.25">
      <c r="A18" s="24" t="s">
        <v>1191</v>
      </c>
      <c r="B18" s="51">
        <f>+T18/R18</f>
        <v>0.11238375558731244</v>
      </c>
      <c r="C18" s="96">
        <f>+X18/V18</f>
        <v>0.31724489795918365</v>
      </c>
      <c r="D18" s="126">
        <f t="shared" si="0"/>
        <v>-0.2048611423718712</v>
      </c>
      <c r="E18" s="118">
        <f t="shared" si="1"/>
        <v>-0.64575078650509421</v>
      </c>
      <c r="F18" s="51"/>
      <c r="G18" s="51"/>
      <c r="H18" s="51"/>
      <c r="I18" s="96" t="e">
        <f t="shared" si="2"/>
        <v>#DIV/0!</v>
      </c>
      <c r="J18" s="126">
        <f t="shared" si="3"/>
        <v>0</v>
      </c>
      <c r="K18" s="122">
        <f t="shared" si="4"/>
        <v>0</v>
      </c>
      <c r="M18" s="162">
        <v>142</v>
      </c>
      <c r="N18" s="3" t="s">
        <v>1117</v>
      </c>
      <c r="O18" s="3" t="s">
        <v>1191</v>
      </c>
      <c r="R18" s="52">
        <f>+SUMIFS(Export!$L:$L,Export!$I:$I,N18,Export!$E:$E,M18)</f>
        <v>-16423.37</v>
      </c>
      <c r="S18" s="52">
        <f>+SUMIFS(Export!$L:$L,Export!$I:$I,O18,Export!$E:$E,M18)</f>
        <v>14577.65</v>
      </c>
      <c r="T18" s="52">
        <f t="shared" ref="T18:T19" si="8">+SUM(R18:S18)</f>
        <v>-1845.7199999999993</v>
      </c>
      <c r="V18" s="52">
        <f>+SUMIFS(Export!$N:$N,Export!$I:$I,N18,Export!$E:$E,M18)</f>
        <v>-31360</v>
      </c>
      <c r="W18" s="52">
        <f>+SUMIFS(Export!$N:$N,Export!$I:$I,O18,Export!$E:$E,M18)</f>
        <v>21411.200000000001</v>
      </c>
      <c r="X18" s="52">
        <f t="shared" ref="X18:X19" si="9">+SUM(V18:W18)</f>
        <v>-9948.7999999999993</v>
      </c>
      <c r="Z18" s="52">
        <f>+SUMIF(Export!$I:$I,'LEX SERVICE'!N18,Export!M:M)</f>
        <v>0</v>
      </c>
      <c r="AA18" s="52">
        <f>+SUMIF(Export!$I:$I,'LEX SERVICE'!O18,Export!M:M)</f>
        <v>0</v>
      </c>
      <c r="AB18" s="52">
        <f t="shared" ref="AB18:AB19" si="10">+SUM(Z18:AA18)</f>
        <v>0</v>
      </c>
      <c r="AD18" s="52">
        <f>+SUMIF(Export!$I:$I,'LEX SERVICE'!N18,Export!$O:O)</f>
        <v>0</v>
      </c>
      <c r="AE18" s="52">
        <f>+SUMIF(Export!$I:$I,'LEX SERVICE'!O18,Export!O:O)</f>
        <v>0</v>
      </c>
      <c r="AF18" s="52">
        <f t="shared" ref="AF18:AF19" si="11">+SUM(AD18:AE18)</f>
        <v>0</v>
      </c>
    </row>
    <row r="19" spans="1:32" x14ac:dyDescent="0.25">
      <c r="A19" s="24" t="s">
        <v>1196</v>
      </c>
      <c r="B19" s="51">
        <f>+T19/R19</f>
        <v>0.90706153564382175</v>
      </c>
      <c r="C19" s="96">
        <f>IFERROR(+X19/V19,0)</f>
        <v>0.31724489795918365</v>
      </c>
      <c r="D19" s="126">
        <f t="shared" si="0"/>
        <v>0.5898166376846381</v>
      </c>
      <c r="E19" s="118">
        <f t="shared" si="1"/>
        <v>1.8591839978480071</v>
      </c>
      <c r="F19" s="51"/>
      <c r="G19" s="51"/>
      <c r="H19" s="51"/>
      <c r="I19" s="96" t="e">
        <f t="shared" si="2"/>
        <v>#DIV/0!</v>
      </c>
      <c r="J19" s="126">
        <f t="shared" si="3"/>
        <v>0</v>
      </c>
      <c r="K19" s="122">
        <f t="shared" si="4"/>
        <v>0</v>
      </c>
      <c r="M19" s="162">
        <v>142</v>
      </c>
      <c r="N19" s="3" t="s">
        <v>1019</v>
      </c>
      <c r="O19" s="3" t="s">
        <v>1196</v>
      </c>
      <c r="R19" s="52">
        <f>+SUMIFS(Export!$L:$L,Export!$I:$I,N19,Export!$E:$E,M19)</f>
        <v>-18236.259999999998</v>
      </c>
      <c r="S19" s="52">
        <f>+SUMIFS(Export!$L:$L,Export!$I:$I,O19,Export!$E:$E,M19)</f>
        <v>1694.8500000000001</v>
      </c>
      <c r="T19" s="52">
        <f t="shared" si="8"/>
        <v>-16541.41</v>
      </c>
      <c r="V19" s="52">
        <f>+SUMIFS(Export!$N:$N,Export!$I:$I,N19,Export!$E:$E,M19)</f>
        <v>-7840</v>
      </c>
      <c r="W19" s="52">
        <f>+SUMIFS(Export!$N:$N,Export!$I:$I,O19,Export!$E:$E,M19)</f>
        <v>5352.8</v>
      </c>
      <c r="X19" s="52">
        <f t="shared" si="9"/>
        <v>-2487.1999999999998</v>
      </c>
      <c r="Z19" s="52">
        <f>+SUMIF(Export!$I:$I,'LEX SERVICE'!N19,Export!M:M)</f>
        <v>0</v>
      </c>
      <c r="AA19" s="52">
        <f>+SUMIF(Export!$I:$I,'LEX SERVICE'!O19,Export!M:M)</f>
        <v>0</v>
      </c>
      <c r="AB19" s="52">
        <f t="shared" si="10"/>
        <v>0</v>
      </c>
      <c r="AD19" s="52">
        <f>+SUMIF(Export!$I:$I,'LEX SERVICE'!N19,Export!$O:O)</f>
        <v>0</v>
      </c>
      <c r="AE19" s="52">
        <f>+SUMIF(Export!$I:$I,'LEX SERVICE'!O19,Export!O:O)</f>
        <v>0</v>
      </c>
      <c r="AF19" s="52">
        <f t="shared" si="11"/>
        <v>0</v>
      </c>
    </row>
    <row r="20" spans="1:32" x14ac:dyDescent="0.25">
      <c r="A20" s="24" t="s">
        <v>1692</v>
      </c>
      <c r="B20" s="51">
        <f>+T21/R21</f>
        <v>0.49205660946085822</v>
      </c>
      <c r="C20" s="96">
        <f>+X21/V21</f>
        <v>0.60499999999999998</v>
      </c>
      <c r="D20" s="126">
        <f t="shared" si="0"/>
        <v>-0.11294339053914176</v>
      </c>
      <c r="E20" s="118">
        <f t="shared" si="1"/>
        <v>-0.18668329014734175</v>
      </c>
      <c r="F20" s="51"/>
      <c r="G20" s="51"/>
      <c r="H20" s="51"/>
      <c r="I20" s="96" t="e">
        <f t="shared" si="2"/>
        <v>#DIV/0!</v>
      </c>
      <c r="J20" s="126">
        <f t="shared" si="3"/>
        <v>0</v>
      </c>
      <c r="K20" s="122">
        <f t="shared" si="4"/>
        <v>0</v>
      </c>
      <c r="M20" s="162"/>
    </row>
    <row r="21" spans="1:32" x14ac:dyDescent="0.25">
      <c r="A21" s="27" t="s">
        <v>1693</v>
      </c>
      <c r="B21" s="91">
        <f>-T21</f>
        <v>50442.150000000009</v>
      </c>
      <c r="C21" s="92">
        <f>-X21</f>
        <v>72116</v>
      </c>
      <c r="D21" s="106">
        <f t="shared" si="0"/>
        <v>-21673.849999999991</v>
      </c>
      <c r="E21" s="119">
        <f t="shared" si="1"/>
        <v>-0.30054148871262953</v>
      </c>
      <c r="F21" s="91"/>
      <c r="G21" s="91"/>
      <c r="H21" s="91"/>
      <c r="I21" s="92">
        <f>SUM(F21:H21)</f>
        <v>0</v>
      </c>
      <c r="J21" s="106">
        <f t="shared" si="3"/>
        <v>0</v>
      </c>
      <c r="K21" s="123">
        <f t="shared" si="4"/>
        <v>0</v>
      </c>
      <c r="M21" s="162"/>
      <c r="R21" s="52">
        <f>+SUM(R17:R19)</f>
        <v>-102512.9</v>
      </c>
      <c r="T21" s="52">
        <f>+SUM(T17:T19)</f>
        <v>-50442.150000000009</v>
      </c>
      <c r="V21" s="52">
        <f>+SUM(V17:V19)</f>
        <v>-119200</v>
      </c>
      <c r="X21" s="52">
        <f>+SUM(X17:X19)</f>
        <v>-72116</v>
      </c>
      <c r="Z21" s="52">
        <f>+SUM(Z17:Z19)</f>
        <v>0</v>
      </c>
      <c r="AB21" s="52">
        <f>+SUM(AB17:AB19)</f>
        <v>0</v>
      </c>
      <c r="AD21" s="52">
        <f>+SUM(AD17:AD19)</f>
        <v>0</v>
      </c>
      <c r="AF21" s="52">
        <f>+SUM(AF17:AF19)</f>
        <v>0</v>
      </c>
    </row>
    <row r="22" spans="1:32" ht="15.6" customHeight="1" x14ac:dyDescent="0.25">
      <c r="A22" s="24" t="s">
        <v>1252</v>
      </c>
      <c r="B22" s="51">
        <f>-T22/R21</f>
        <v>0.30575761684627012</v>
      </c>
      <c r="C22" s="96">
        <f>-X22/V21</f>
        <v>0.3528</v>
      </c>
      <c r="D22" s="118">
        <f>+C22-B22</f>
        <v>4.7042383153729883E-2</v>
      </c>
      <c r="E22" s="118">
        <f t="shared" si="1"/>
        <v>0.13334008830422303</v>
      </c>
      <c r="F22" s="51"/>
      <c r="G22" s="51"/>
      <c r="H22" s="51"/>
      <c r="I22" s="96" t="e">
        <f t="shared" si="2"/>
        <v>#DIV/0!</v>
      </c>
      <c r="J22" s="118">
        <f>+H22-F22</f>
        <v>0</v>
      </c>
      <c r="K22" s="122">
        <f t="shared" si="4"/>
        <v>0</v>
      </c>
      <c r="M22" s="162">
        <v>142</v>
      </c>
      <c r="N22" s="3" t="s">
        <v>1252</v>
      </c>
      <c r="T22" s="52">
        <f>+SUMIFS(Export!$L:$L,Export!$I:$I,N22,Export!$E:$E,M22)</f>
        <v>31344.100000000002</v>
      </c>
      <c r="X22" s="52">
        <f>+SUMIFS(Export!$N:$N,Export!$I:$I,N22,Export!$E:$E,M22)</f>
        <v>42053.760000000002</v>
      </c>
      <c r="AB22" s="52">
        <f>+SUMIF(Export!$I:$I,'LEX SERVICE'!N22,Export!M:M)</f>
        <v>0</v>
      </c>
      <c r="AF22" s="52">
        <f>+SUMIF(Export!$I:$I,'LEX SERVICE'!N22,Export!O:O)</f>
        <v>0</v>
      </c>
    </row>
    <row r="23" spans="1:32" x14ac:dyDescent="0.25">
      <c r="A23" s="24" t="s">
        <v>1286</v>
      </c>
      <c r="B23" s="51">
        <f>-T23/R21</f>
        <v>5.567494432408019E-2</v>
      </c>
      <c r="C23" s="96">
        <f>-X23/V21</f>
        <v>0.13499586129753915</v>
      </c>
      <c r="D23" s="118">
        <f t="shared" ref="D23:D24" si="12">+C23-B23</f>
        <v>7.9320916973458971E-2</v>
      </c>
      <c r="E23" s="118">
        <f t="shared" si="1"/>
        <v>0.58758036143516135</v>
      </c>
      <c r="F23" s="51"/>
      <c r="G23" s="51"/>
      <c r="H23" s="51"/>
      <c r="I23" s="96" t="e">
        <f t="shared" si="2"/>
        <v>#DIV/0!</v>
      </c>
      <c r="J23" s="118">
        <f t="shared" ref="J23:J24" si="13">+H23-F23</f>
        <v>0</v>
      </c>
      <c r="K23" s="122">
        <f t="shared" si="4"/>
        <v>0</v>
      </c>
      <c r="M23" s="162">
        <v>142</v>
      </c>
      <c r="N23" s="3" t="s">
        <v>1286</v>
      </c>
      <c r="T23" s="52">
        <f>+SUMIFS(Export!$L:$L,Export!$I:$I,N23,Export!$E:$E,M23)</f>
        <v>5707.4</v>
      </c>
      <c r="X23" s="52">
        <f>+SUMIFS(Export!$N:$N,Export!$I:$I,N23,Export!$E:$E,M23)</f>
        <v>16091.506666666666</v>
      </c>
      <c r="AB23" s="52">
        <f>+SUMIF(Export!J:J,'LEX SERVICE'!N23,Export!M:M)</f>
        <v>0</v>
      </c>
      <c r="AF23" s="52">
        <f>+SUMIF(Export!$J:$J,'LEX SERVICE'!N23,Export!O:O)</f>
        <v>0</v>
      </c>
    </row>
    <row r="24" spans="1:32" x14ac:dyDescent="0.25">
      <c r="A24" s="24" t="s">
        <v>1674</v>
      </c>
      <c r="B24" s="53">
        <f>+SUM(B22:B23)</f>
        <v>0.36143256117035033</v>
      </c>
      <c r="C24" s="96">
        <f>+SUM(C22:C23)</f>
        <v>0.48779586129753916</v>
      </c>
      <c r="D24" s="118">
        <f t="shared" si="12"/>
        <v>0.12636330012718883</v>
      </c>
      <c r="E24" s="118">
        <f t="shared" si="1"/>
        <v>0.25904955362077464</v>
      </c>
      <c r="F24" s="51"/>
      <c r="G24" s="51"/>
      <c r="H24" s="51"/>
      <c r="I24" s="96" t="e">
        <f t="shared" si="2"/>
        <v>#DIV/0!</v>
      </c>
      <c r="J24" s="118">
        <f t="shared" si="13"/>
        <v>0</v>
      </c>
      <c r="K24" s="122">
        <f t="shared" si="4"/>
        <v>0</v>
      </c>
    </row>
    <row r="25" spans="1:32" x14ac:dyDescent="0.25">
      <c r="A25" s="24" t="s">
        <v>1675</v>
      </c>
      <c r="B25" s="53">
        <f>+B20-B24</f>
        <v>0.13062404829050789</v>
      </c>
      <c r="C25" s="96">
        <f>+C20-C24</f>
        <v>0.11720413870246082</v>
      </c>
      <c r="D25" s="118">
        <f t="shared" ref="D25:D30" si="14">+B25-C25</f>
        <v>1.3419909588047063E-2</v>
      </c>
      <c r="E25" s="118">
        <f t="shared" si="1"/>
        <v>0.11450030465319479</v>
      </c>
      <c r="F25" s="51"/>
      <c r="G25" s="51"/>
      <c r="H25" s="51"/>
      <c r="I25" s="96" t="e">
        <f t="shared" si="2"/>
        <v>#DIV/0!</v>
      </c>
      <c r="J25" s="118">
        <f t="shared" ref="J25:J30" si="15">+F25-H25</f>
        <v>0</v>
      </c>
      <c r="K25" s="122">
        <f t="shared" si="4"/>
        <v>0</v>
      </c>
    </row>
    <row r="26" spans="1:32" s="28" customFormat="1" x14ac:dyDescent="0.25">
      <c r="A26" s="27" t="s">
        <v>1695</v>
      </c>
      <c r="B26" s="91">
        <f>-T26</f>
        <v>13390.650000000007</v>
      </c>
      <c r="C26" s="92">
        <f>-X26</f>
        <v>13970.733333333332</v>
      </c>
      <c r="D26" s="106">
        <f t="shared" si="14"/>
        <v>-580.08333333332484</v>
      </c>
      <c r="E26" s="119">
        <f t="shared" si="1"/>
        <v>-4.1521323146958992E-2</v>
      </c>
      <c r="F26" s="91"/>
      <c r="G26" s="91"/>
      <c r="H26" s="91"/>
      <c r="I26" s="92">
        <f>SUM(F26:H26)</f>
        <v>0</v>
      </c>
      <c r="J26" s="106">
        <f t="shared" si="15"/>
        <v>0</v>
      </c>
      <c r="K26" s="123">
        <f t="shared" si="4"/>
        <v>0</v>
      </c>
      <c r="N26" s="50"/>
      <c r="O26" s="50"/>
      <c r="T26" s="69">
        <f>+SUM(T21:T25)</f>
        <v>-13390.650000000007</v>
      </c>
      <c r="X26" s="69">
        <f>+SUM(X21:X25)</f>
        <v>-13970.733333333332</v>
      </c>
      <c r="AB26" s="69">
        <f>+SUM(AB21:AB25)</f>
        <v>0</v>
      </c>
      <c r="AF26" s="69">
        <f>+SUM(AF21:AF25)</f>
        <v>0</v>
      </c>
    </row>
    <row r="27" spans="1:32" x14ac:dyDescent="0.25">
      <c r="A27" s="24" t="s">
        <v>1696</v>
      </c>
      <c r="B27" s="155">
        <f>+'LEX PARTS'!R18/'LEX SERVICE'!R13</f>
        <v>0.33160207594815538</v>
      </c>
      <c r="C27" s="156">
        <f>+'LEX PARTS'!V18/'LEX SERVICE'!V13</f>
        <v>0.22058823529411761</v>
      </c>
      <c r="D27" s="157">
        <f t="shared" si="14"/>
        <v>0.11101384065403777</v>
      </c>
      <c r="E27" s="118">
        <f t="shared" si="1"/>
        <v>0.50326274429830464</v>
      </c>
      <c r="F27" s="158"/>
      <c r="G27" s="158"/>
      <c r="H27" s="158"/>
      <c r="I27" s="156" t="e">
        <f t="shared" si="2"/>
        <v>#DIV/0!</v>
      </c>
      <c r="J27" s="157">
        <f t="shared" si="15"/>
        <v>0</v>
      </c>
      <c r="K27" s="122">
        <f t="shared" si="4"/>
        <v>0</v>
      </c>
      <c r="P27" s="3"/>
      <c r="Q27" s="3"/>
      <c r="R27" s="3"/>
      <c r="S27" s="3"/>
      <c r="T27" s="3"/>
    </row>
    <row r="28" spans="1:32" s="28" customFormat="1" x14ac:dyDescent="0.25">
      <c r="A28" s="27" t="s">
        <v>1697</v>
      </c>
      <c r="B28" s="91">
        <f>-SUM(R13:R16)/B33</f>
        <v>22617.756666666668</v>
      </c>
      <c r="C28" s="92">
        <f>-SUM(V13:V16)/C33</f>
        <v>20000</v>
      </c>
      <c r="D28" s="106">
        <f t="shared" si="14"/>
        <v>2617.756666666668</v>
      </c>
      <c r="E28" s="119">
        <f t="shared" si="1"/>
        <v>0.1308878333333334</v>
      </c>
      <c r="F28" s="91"/>
      <c r="G28" s="91"/>
      <c r="H28" s="91"/>
      <c r="I28" s="92" t="e">
        <f>AVERAGE(F28:H28)</f>
        <v>#DIV/0!</v>
      </c>
      <c r="J28" s="106">
        <f t="shared" si="15"/>
        <v>0</v>
      </c>
      <c r="K28" s="123">
        <f t="shared" si="4"/>
        <v>0</v>
      </c>
      <c r="N28" s="50"/>
      <c r="O28" s="50"/>
    </row>
    <row r="29" spans="1:32" s="28" customFormat="1" x14ac:dyDescent="0.25">
      <c r="A29" s="27" t="s">
        <v>1698</v>
      </c>
      <c r="B29" s="91">
        <f>-SUM(T17/B33)</f>
        <v>10685.006666666668</v>
      </c>
      <c r="C29" s="92">
        <f>-SUM(X17/C33)</f>
        <v>14920.000000000002</v>
      </c>
      <c r="D29" s="106">
        <f t="shared" si="14"/>
        <v>-4234.9933333333338</v>
      </c>
      <c r="E29" s="119">
        <f t="shared" si="1"/>
        <v>-0.28384673815907058</v>
      </c>
      <c r="F29" s="91"/>
      <c r="G29" s="91"/>
      <c r="H29" s="91"/>
      <c r="I29" s="92" t="e">
        <f>AVERAGE(F29:H29)</f>
        <v>#DIV/0!</v>
      </c>
      <c r="J29" s="106">
        <f t="shared" si="15"/>
        <v>0</v>
      </c>
      <c r="K29" s="123">
        <f t="shared" si="4"/>
        <v>0</v>
      </c>
      <c r="N29" s="50"/>
      <c r="O29" s="50"/>
    </row>
    <row r="30" spans="1:32" s="28" customFormat="1" ht="15.75" thickBot="1" x14ac:dyDescent="0.3">
      <c r="A30" s="29" t="s">
        <v>1699</v>
      </c>
      <c r="B30" s="94">
        <f>+B26/B33</f>
        <v>4463.550000000002</v>
      </c>
      <c r="C30" s="93">
        <f>+C26/C33</f>
        <v>3492.6833333333329</v>
      </c>
      <c r="D30" s="107">
        <f t="shared" si="14"/>
        <v>970.86666666666906</v>
      </c>
      <c r="E30" s="120">
        <f t="shared" si="1"/>
        <v>0.27797156913738791</v>
      </c>
      <c r="F30" s="94"/>
      <c r="G30" s="94"/>
      <c r="H30" s="94"/>
      <c r="I30" s="93" t="e">
        <f>AVERAGE(F30:H30)</f>
        <v>#DIV/0!</v>
      </c>
      <c r="J30" s="107">
        <f t="shared" si="15"/>
        <v>0</v>
      </c>
      <c r="K30" s="124">
        <f t="shared" si="4"/>
        <v>0</v>
      </c>
      <c r="N30" s="50"/>
      <c r="O30" s="50"/>
    </row>
    <row r="31" spans="1:32" ht="0" hidden="1" customHeight="1" x14ac:dyDescent="0.25">
      <c r="E31" s="121"/>
      <c r="K31" s="121"/>
    </row>
    <row r="32" spans="1:32" ht="15.75" thickTop="1" x14ac:dyDescent="0.25">
      <c r="E32" s="121"/>
      <c r="K32" s="121"/>
    </row>
    <row r="33" spans="1:18" x14ac:dyDescent="0.25">
      <c r="A33" s="24" t="s">
        <v>1700</v>
      </c>
      <c r="B33" s="239">
        <f>+SUMIF('TUNZ Extracted TB'!M:M,'LEX SERVICE'!N33,'TUNZ Extracted TB'!H:H)+(+SUMIF('TUNZ Extracted TB'!M:M,'LEX SERVICE'!N34,'TUNZ Extracted TB'!H:H))/2</f>
        <v>3</v>
      </c>
      <c r="C33" s="12">
        <f>HLOOKUP(J1,'Input Sheet'!$I:$Z,201,FALSE)</f>
        <v>4</v>
      </c>
      <c r="D33" s="149"/>
      <c r="E33" s="149"/>
      <c r="F33" s="12"/>
      <c r="G33" s="12"/>
      <c r="H33" s="12"/>
      <c r="I33" s="12" t="e">
        <f>AVERAGE(F33:H33)</f>
        <v>#DIV/0!</v>
      </c>
      <c r="J33" s="149"/>
      <c r="K33" s="121"/>
      <c r="N33" s="3" t="s">
        <v>1751</v>
      </c>
      <c r="P33" s="3"/>
      <c r="Q33" s="3"/>
      <c r="R33" s="3"/>
    </row>
    <row r="34" spans="1:18" x14ac:dyDescent="0.25">
      <c r="K34" s="121"/>
      <c r="N34" s="3" t="s">
        <v>1752</v>
      </c>
      <c r="P34" s="3"/>
      <c r="Q34" s="3"/>
      <c r="R34" s="3"/>
    </row>
    <row r="35" spans="1:18" x14ac:dyDescent="0.25">
      <c r="C35" s="195"/>
      <c r="K35" s="121"/>
    </row>
    <row r="36" spans="1:18" x14ac:dyDescent="0.25">
      <c r="C36" s="195"/>
    </row>
    <row r="45" spans="1:18" x14ac:dyDescent="0.25">
      <c r="B45" s="193"/>
      <c r="C45" s="193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C901-DAB9-4C71-B5A4-C61ECE7A1B19}">
  <sheetPr>
    <tabColor theme="9" tint="0.79998168889431442"/>
  </sheetPr>
  <dimension ref="A1:AJ45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3" width="12.140625" style="16" bestFit="1" customWidth="1" outlineLevel="1"/>
    <col min="4" max="5" width="9.7109375" style="16" customWidth="1" outlineLevel="1"/>
    <col min="6" max="7" width="9.7109375" style="16" customWidth="1"/>
    <col min="8" max="8" width="9.7109375" style="16" customWidth="1" outlineLevel="1"/>
    <col min="9" max="9" width="9.7109375" style="16" customWidth="1"/>
    <col min="10" max="11" width="9.7109375" style="16" hidden="1" customWidth="1"/>
    <col min="12" max="12" width="9.140625" style="16" customWidth="1"/>
    <col min="13" max="13" width="9.140625" style="16"/>
    <col min="14" max="15" width="11.7109375" style="3" customWidth="1" outlineLevel="1"/>
    <col min="16" max="36" width="9.140625" style="16" customWidth="1" outlineLevel="1"/>
    <col min="37" max="16384" width="9.140625" style="16"/>
  </cols>
  <sheetData>
    <row r="1" spans="1:32" ht="15" customHeight="1" x14ac:dyDescent="0.25">
      <c r="A1" s="326" t="s">
        <v>1753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32" ht="9.4" customHeight="1" thickBot="1" x14ac:dyDescent="0.3"/>
    <row r="3" spans="1:32" ht="15.75" thickTop="1" x14ac:dyDescent="0.25">
      <c r="A3" s="38" t="s">
        <v>1591</v>
      </c>
      <c r="B3" s="350" t="s">
        <v>155</v>
      </c>
      <c r="C3" s="329"/>
      <c r="D3" s="329"/>
      <c r="E3" s="329"/>
      <c r="F3" s="350" t="s">
        <v>1629</v>
      </c>
      <c r="G3" s="350"/>
      <c r="H3" s="329"/>
      <c r="I3" s="329"/>
      <c r="J3" s="329"/>
      <c r="K3" s="345"/>
    </row>
    <row r="4" spans="1:32" x14ac:dyDescent="0.25">
      <c r="A4" s="39" t="s">
        <v>1591</v>
      </c>
      <c r="B4" s="40"/>
      <c r="C4" s="40"/>
      <c r="D4" s="351"/>
      <c r="E4" s="331"/>
      <c r="F4" s="40"/>
      <c r="G4" s="40"/>
      <c r="H4" s="40"/>
      <c r="I4" s="40"/>
      <c r="J4" s="351"/>
      <c r="K4" s="347"/>
    </row>
    <row r="5" spans="1:32" x14ac:dyDescent="0.25">
      <c r="A5" s="39" t="s">
        <v>111</v>
      </c>
      <c r="B5" s="41" t="s">
        <v>12</v>
      </c>
      <c r="C5" s="41" t="s">
        <v>1592</v>
      </c>
      <c r="D5" s="42" t="s">
        <v>1609</v>
      </c>
      <c r="E5" s="42" t="s">
        <v>1610</v>
      </c>
      <c r="F5" s="262" t="str">
        <f>OVERALL!F5</f>
        <v>0124</v>
      </c>
      <c r="G5" s="262" t="str">
        <f>OVERALL!G5</f>
        <v>0224</v>
      </c>
      <c r="H5" s="262" t="str">
        <f>OVERALL!H5</f>
        <v>0324</v>
      </c>
      <c r="I5" s="262" t="str">
        <f>OVERALL!I5</f>
        <v>Q124</v>
      </c>
      <c r="J5" s="42" t="s">
        <v>1609</v>
      </c>
      <c r="K5" s="43" t="s">
        <v>1610</v>
      </c>
    </row>
    <row r="6" spans="1:32" x14ac:dyDescent="0.25">
      <c r="A6" s="24" t="s">
        <v>1095</v>
      </c>
      <c r="B6" s="51">
        <f>+R13/SUM($R$13:$R$16)</f>
        <v>0.40391435702088535</v>
      </c>
      <c r="C6" s="96">
        <f>+V13/SUM($V$13:$V$16)</f>
        <v>0.54753110787849946</v>
      </c>
      <c r="D6" s="118">
        <f>+B6-C6</f>
        <v>-0.14361675085761411</v>
      </c>
      <c r="E6" s="118">
        <f>IFERROR(+D6/C6,0)</f>
        <v>-0.26229879689225538</v>
      </c>
      <c r="F6" s="51"/>
      <c r="G6" s="51"/>
      <c r="H6" s="51"/>
      <c r="I6" s="96" t="e">
        <f>AVERAGE(F6:H6)</f>
        <v>#DIV/0!</v>
      </c>
      <c r="J6" s="118">
        <f>+F6-H6</f>
        <v>0</v>
      </c>
      <c r="K6" s="125">
        <f>IFERROR(+J6/H6,0)</f>
        <v>0</v>
      </c>
    </row>
    <row r="7" spans="1:32" hidden="1" x14ac:dyDescent="0.25">
      <c r="A7" s="24" t="s">
        <v>1104</v>
      </c>
      <c r="B7" s="51">
        <f>+R14/SUM($R$13:$R$16)</f>
        <v>0</v>
      </c>
      <c r="C7" s="96">
        <f>+V14/SUM($V$13:$V$16)</f>
        <v>0</v>
      </c>
      <c r="D7" s="118">
        <f t="shared" ref="D7:D21" si="0">+B7-C7</f>
        <v>0</v>
      </c>
      <c r="E7" s="118">
        <f t="shared" ref="E7:E30" si="1">IFERROR(+D7/C7,0)</f>
        <v>0</v>
      </c>
      <c r="F7" s="51"/>
      <c r="G7" s="51"/>
      <c r="H7" s="51"/>
      <c r="I7" s="96" t="e">
        <f t="shared" ref="I7:I27" si="2">AVERAGE(F7:H7)</f>
        <v>#DIV/0!</v>
      </c>
      <c r="J7" s="118">
        <f t="shared" ref="J7:J21" si="3">+F7-H7</f>
        <v>0</v>
      </c>
      <c r="K7" s="125">
        <f t="shared" ref="K7:K30" si="4">IFERROR(+J7/H7,0)</f>
        <v>0</v>
      </c>
    </row>
    <row r="8" spans="1:32" x14ac:dyDescent="0.25">
      <c r="A8" s="24" t="s">
        <v>1109</v>
      </c>
      <c r="B8" s="51">
        <f>+R15/SUM($R$13:$R$16)</f>
        <v>0.5960856429791147</v>
      </c>
      <c r="C8" s="96">
        <f>+V15/SUM($V$13:$V$16)</f>
        <v>0.45246889212150054</v>
      </c>
      <c r="D8" s="118">
        <f t="shared" si="0"/>
        <v>0.14361675085761416</v>
      </c>
      <c r="E8" s="118">
        <f t="shared" si="1"/>
        <v>0.31740690544323441</v>
      </c>
      <c r="F8" s="51"/>
      <c r="G8" s="51"/>
      <c r="H8" s="51"/>
      <c r="I8" s="96" t="e">
        <f t="shared" si="2"/>
        <v>#DIV/0!</v>
      </c>
      <c r="J8" s="118">
        <f t="shared" si="3"/>
        <v>0</v>
      </c>
      <c r="K8" s="125">
        <f t="shared" si="4"/>
        <v>0</v>
      </c>
    </row>
    <row r="9" spans="1:32" x14ac:dyDescent="0.25">
      <c r="A9" s="27" t="s">
        <v>181</v>
      </c>
      <c r="B9" s="91">
        <f>-SUM(R13:R16)</f>
        <v>30452</v>
      </c>
      <c r="C9" s="92">
        <f>-SUM(V13:V16)</f>
        <v>49312.266666666663</v>
      </c>
      <c r="D9" s="106">
        <f t="shared" si="0"/>
        <v>-18860.266666666663</v>
      </c>
      <c r="E9" s="119">
        <f t="shared" si="1"/>
        <v>-0.38246602603273827</v>
      </c>
      <c r="F9" s="91"/>
      <c r="G9" s="91"/>
      <c r="H9" s="91"/>
      <c r="I9" s="92">
        <f>SUM(F9:H9)</f>
        <v>0</v>
      </c>
      <c r="J9" s="106">
        <f t="shared" si="3"/>
        <v>0</v>
      </c>
      <c r="K9" s="123">
        <f t="shared" si="4"/>
        <v>0</v>
      </c>
    </row>
    <row r="10" spans="1:32" hidden="1" x14ac:dyDescent="0.25">
      <c r="A10" s="24" t="s">
        <v>1117</v>
      </c>
      <c r="B10" s="51">
        <f>+R18/R21</f>
        <v>0</v>
      </c>
      <c r="C10" s="96">
        <f>+V18/V21</f>
        <v>0</v>
      </c>
      <c r="D10" s="118">
        <f t="shared" si="0"/>
        <v>0</v>
      </c>
      <c r="E10" s="118">
        <f t="shared" si="1"/>
        <v>0</v>
      </c>
      <c r="F10" s="53"/>
      <c r="G10" s="53"/>
      <c r="H10" s="53"/>
      <c r="I10" s="96" t="e">
        <f t="shared" si="2"/>
        <v>#DIV/0!</v>
      </c>
      <c r="J10" s="118">
        <f t="shared" si="3"/>
        <v>0</v>
      </c>
      <c r="K10" s="122">
        <f t="shared" si="4"/>
        <v>0</v>
      </c>
      <c r="R10" s="95" t="s">
        <v>1641</v>
      </c>
      <c r="S10" s="95" t="s">
        <v>1641</v>
      </c>
      <c r="T10" s="95" t="s">
        <v>1641</v>
      </c>
      <c r="V10" s="95" t="s">
        <v>1641</v>
      </c>
      <c r="W10" s="95" t="s">
        <v>1641</v>
      </c>
      <c r="X10" s="95" t="s">
        <v>1641</v>
      </c>
      <c r="Z10" s="95" t="s">
        <v>156</v>
      </c>
      <c r="AA10" s="95" t="s">
        <v>156</v>
      </c>
      <c r="AB10" s="95" t="s">
        <v>156</v>
      </c>
      <c r="AD10" s="95" t="s">
        <v>156</v>
      </c>
      <c r="AE10" s="95" t="s">
        <v>156</v>
      </c>
      <c r="AF10" s="95" t="s">
        <v>156</v>
      </c>
    </row>
    <row r="11" spans="1:32" hidden="1" x14ac:dyDescent="0.25">
      <c r="A11" s="24" t="s">
        <v>1019</v>
      </c>
      <c r="B11" s="51">
        <f>+R19/R21</f>
        <v>0</v>
      </c>
      <c r="C11" s="96">
        <f>+V19/V21</f>
        <v>0</v>
      </c>
      <c r="D11" s="118">
        <f t="shared" si="0"/>
        <v>0</v>
      </c>
      <c r="E11" s="118">
        <f t="shared" si="1"/>
        <v>0</v>
      </c>
      <c r="F11" s="53"/>
      <c r="G11" s="53"/>
      <c r="H11" s="53"/>
      <c r="I11" s="96" t="e">
        <f t="shared" si="2"/>
        <v>#DIV/0!</v>
      </c>
      <c r="J11" s="118">
        <f t="shared" si="3"/>
        <v>0</v>
      </c>
      <c r="K11" s="122">
        <f t="shared" si="4"/>
        <v>0</v>
      </c>
      <c r="R11" s="95" t="s">
        <v>12</v>
      </c>
      <c r="S11" s="95" t="s">
        <v>12</v>
      </c>
      <c r="T11" s="95" t="s">
        <v>12</v>
      </c>
      <c r="V11" s="95" t="s">
        <v>1592</v>
      </c>
      <c r="W11" s="95" t="s">
        <v>1592</v>
      </c>
      <c r="X11" s="95" t="s">
        <v>1592</v>
      </c>
      <c r="Z11" s="95" t="s">
        <v>12</v>
      </c>
      <c r="AA11" s="95" t="s">
        <v>12</v>
      </c>
      <c r="AB11" s="95" t="s">
        <v>12</v>
      </c>
      <c r="AD11" s="95" t="s">
        <v>1592</v>
      </c>
      <c r="AE11" s="95" t="s">
        <v>1592</v>
      </c>
      <c r="AF11" s="95" t="s">
        <v>1592</v>
      </c>
    </row>
    <row r="12" spans="1:32" x14ac:dyDescent="0.25">
      <c r="A12" s="27" t="s">
        <v>1690</v>
      </c>
      <c r="B12" s="91">
        <f>-SUM(R17:R19)</f>
        <v>30452</v>
      </c>
      <c r="C12" s="92">
        <f>-SUM(V17:V19)</f>
        <v>49312.266666666663</v>
      </c>
      <c r="D12" s="106">
        <f t="shared" si="0"/>
        <v>-18860.266666666663</v>
      </c>
      <c r="E12" s="119">
        <f t="shared" si="1"/>
        <v>-0.38246602603273827</v>
      </c>
      <c r="F12" s="91"/>
      <c r="G12" s="91"/>
      <c r="H12" s="91"/>
      <c r="I12" s="92">
        <f>SUM(F12:H12)</f>
        <v>0</v>
      </c>
      <c r="J12" s="106">
        <f t="shared" si="3"/>
        <v>0</v>
      </c>
      <c r="K12" s="123">
        <f t="shared" si="4"/>
        <v>0</v>
      </c>
      <c r="R12" s="95" t="s">
        <v>1642</v>
      </c>
      <c r="S12" s="95" t="s">
        <v>180</v>
      </c>
      <c r="T12" s="95" t="s">
        <v>153</v>
      </c>
      <c r="V12" s="95" t="s">
        <v>1642</v>
      </c>
      <c r="W12" s="95" t="s">
        <v>180</v>
      </c>
      <c r="X12" s="95" t="s">
        <v>153</v>
      </c>
      <c r="Z12" s="95" t="s">
        <v>1642</v>
      </c>
      <c r="AA12" s="95" t="s">
        <v>180</v>
      </c>
      <c r="AB12" s="95" t="s">
        <v>153</v>
      </c>
      <c r="AD12" s="95" t="s">
        <v>1642</v>
      </c>
      <c r="AE12" s="95" t="s">
        <v>180</v>
      </c>
      <c r="AF12" s="95" t="s">
        <v>153</v>
      </c>
    </row>
    <row r="13" spans="1:32" x14ac:dyDescent="0.25">
      <c r="A13" s="24" t="s">
        <v>1172</v>
      </c>
      <c r="B13" s="51">
        <f>+T13/R13</f>
        <v>0.98926829268292682</v>
      </c>
      <c r="C13" s="96">
        <f>+X13/V13</f>
        <v>1</v>
      </c>
      <c r="D13" s="126">
        <f t="shared" si="0"/>
        <v>-1.073170731707318E-2</v>
      </c>
      <c r="E13" s="118">
        <f t="shared" si="1"/>
        <v>-1.073170731707318E-2</v>
      </c>
      <c r="F13" s="51"/>
      <c r="G13" s="51"/>
      <c r="H13" s="51"/>
      <c r="I13" s="96" t="e">
        <f t="shared" si="2"/>
        <v>#DIV/0!</v>
      </c>
      <c r="J13" s="126">
        <f t="shared" si="3"/>
        <v>0</v>
      </c>
      <c r="K13" s="122">
        <f t="shared" si="4"/>
        <v>0</v>
      </c>
      <c r="L13" s="162"/>
      <c r="M13" s="162">
        <v>150</v>
      </c>
      <c r="N13" s="3" t="s">
        <v>1095</v>
      </c>
      <c r="O13" s="3" t="s">
        <v>1172</v>
      </c>
      <c r="R13" s="52">
        <f>+SUMIFS(Export!$L:$L,Export!$I:$I,N13,Export!$E:$E,M13)+SUMIFS(Export!$L:$L,Export!$I:$I,N13,Export!$E:$E,L13)</f>
        <v>-12300</v>
      </c>
      <c r="S13" s="52">
        <f>+SUMIFS(Export!$L:$L,Export!$I:$I,O13,Export!$E:$E,M13)</f>
        <v>132</v>
      </c>
      <c r="T13" s="52">
        <f>+SUM(R13:S13)</f>
        <v>-12168</v>
      </c>
      <c r="V13" s="52">
        <f>+SUMIFS(Export!$N:$N,Export!$I:$I,N13,Export!$E:$E,M13)</f>
        <v>-27000</v>
      </c>
      <c r="W13" s="52">
        <f>+SUMIFS(Export!$N:$N,Export!$I:$I,O13,Export!$E:$E,M13)</f>
        <v>0</v>
      </c>
      <c r="X13" s="52">
        <f>+SUM(V13:W13)</f>
        <v>-27000</v>
      </c>
      <c r="Y13" s="168"/>
      <c r="Z13" s="52">
        <f>+SUMIF(Export!$I:$I,'Retail Detailing'!N13,Export!M:M)</f>
        <v>0</v>
      </c>
      <c r="AA13" s="52">
        <f>+SUMIF(Export!$I:$I,'Retail Detailing'!O13,Export!M:M)</f>
        <v>0</v>
      </c>
      <c r="AB13" s="52">
        <f>+SUM(Z13:AA13)</f>
        <v>0</v>
      </c>
      <c r="AD13" s="52">
        <f>+SUMIF(Export!$I:$I,'Retail Detailing'!N13,Export!$O:O)</f>
        <v>0</v>
      </c>
      <c r="AE13" s="52">
        <f>+SUMIF(Export!$I:$I,'Retail Detailing'!O13,Export!O:O)</f>
        <v>0</v>
      </c>
      <c r="AF13" s="52">
        <f>+SUM(AD13:AE13)</f>
        <v>0</v>
      </c>
    </row>
    <row r="14" spans="1:32" hidden="1" x14ac:dyDescent="0.25">
      <c r="A14" s="24" t="s">
        <v>1179</v>
      </c>
      <c r="B14" s="51">
        <f>IFERROR(+T14/R14,0)</f>
        <v>0</v>
      </c>
      <c r="C14" s="96" t="e">
        <f>+X14/V14</f>
        <v>#DIV/0!</v>
      </c>
      <c r="D14" s="126" t="e">
        <f t="shared" si="0"/>
        <v>#DIV/0!</v>
      </c>
      <c r="E14" s="118">
        <f t="shared" si="1"/>
        <v>0</v>
      </c>
      <c r="F14" s="51"/>
      <c r="G14" s="51"/>
      <c r="H14" s="51"/>
      <c r="I14" s="96" t="e">
        <f t="shared" si="2"/>
        <v>#DIV/0!</v>
      </c>
      <c r="J14" s="126">
        <f t="shared" si="3"/>
        <v>0</v>
      </c>
      <c r="K14" s="122">
        <f t="shared" si="4"/>
        <v>0</v>
      </c>
      <c r="M14" s="162">
        <v>150</v>
      </c>
      <c r="N14" s="3" t="s">
        <v>1104</v>
      </c>
      <c r="O14" s="3" t="s">
        <v>1179</v>
      </c>
      <c r="R14" s="52">
        <f>+SUMIFS(Export!$L:$L,Export!$I:$I,N14,Export!$E:$E,M14)</f>
        <v>0</v>
      </c>
      <c r="S14" s="52">
        <f>+SUMIFS(Export!$L:$L,Export!$I:$I,O14,Export!$E:$E,M14)</f>
        <v>0</v>
      </c>
      <c r="T14" s="52">
        <f>+SUM(R14:S14)</f>
        <v>0</v>
      </c>
      <c r="V14" s="52">
        <f>+SUMIFS(Export!$N:$N,Export!$I:$I,N14,Export!$E:$E,M14)</f>
        <v>0</v>
      </c>
      <c r="W14" s="52">
        <f>+SUMIFS(Export!$N:$N,Export!$I:$I,O14,Export!$E:$E,M14)</f>
        <v>0</v>
      </c>
      <c r="X14" s="52">
        <f t="shared" ref="X14:X16" si="5">+SUM(V14:W14)</f>
        <v>0</v>
      </c>
      <c r="Z14" s="52">
        <f>+SUMIF(Export!$I:$I,'Retail Detailing'!N14,Export!M:M)</f>
        <v>0</v>
      </c>
      <c r="AA14" s="52">
        <f>+SUMIF(Export!$I:$I,'Retail Detailing'!O14,Export!M:M)</f>
        <v>0</v>
      </c>
      <c r="AB14" s="52">
        <f t="shared" ref="AB14:AB16" si="6">+SUM(Z14:AA14)</f>
        <v>0</v>
      </c>
      <c r="AD14" s="52">
        <f>+SUMIF(Export!$I:$I,'Retail Detailing'!N14,Export!$O:O)</f>
        <v>0</v>
      </c>
      <c r="AE14" s="52">
        <f>+SUMIF(Export!$I:$I,'Retail Detailing'!O14,Export!O:O)</f>
        <v>0</v>
      </c>
      <c r="AF14" s="52">
        <f t="shared" ref="AF14:AF16" si="7">+SUM(AD14:AE14)</f>
        <v>0</v>
      </c>
    </row>
    <row r="15" spans="1:32" x14ac:dyDescent="0.25">
      <c r="A15" s="24" t="s">
        <v>1184</v>
      </c>
      <c r="B15" s="51">
        <f>+T15/R15</f>
        <v>1</v>
      </c>
      <c r="C15" s="96">
        <f>+X15/V15</f>
        <v>1</v>
      </c>
      <c r="D15" s="126">
        <f t="shared" si="0"/>
        <v>0</v>
      </c>
      <c r="E15" s="118">
        <f t="shared" si="1"/>
        <v>0</v>
      </c>
      <c r="F15" s="51"/>
      <c r="G15" s="51"/>
      <c r="H15" s="51"/>
      <c r="I15" s="96" t="e">
        <f t="shared" si="2"/>
        <v>#DIV/0!</v>
      </c>
      <c r="J15" s="126">
        <f t="shared" si="3"/>
        <v>0</v>
      </c>
      <c r="K15" s="122">
        <f t="shared" si="4"/>
        <v>0</v>
      </c>
      <c r="M15" s="162">
        <v>150</v>
      </c>
      <c r="N15" s="3" t="s">
        <v>1109</v>
      </c>
      <c r="O15" s="3" t="s">
        <v>1184</v>
      </c>
      <c r="R15" s="52">
        <f>+SUMIFS(Export!$L:$L,Export!$I:$I,N15,Export!$E:$E,M15)</f>
        <v>-18152</v>
      </c>
      <c r="S15" s="52">
        <f>+SUMIFS(Export!$L:$L,Export!$I:$I,O15,Export!$E:$E,M15)</f>
        <v>0</v>
      </c>
      <c r="T15" s="52">
        <f>+SUM(R15:S15)</f>
        <v>-18152</v>
      </c>
      <c r="V15" s="52">
        <f>+SUMIFS(Export!$N:$N,Export!$I:$I,N15,Export!$E:$E,M15)</f>
        <v>-22312.266666666666</v>
      </c>
      <c r="W15" s="52">
        <f>+SUMIFS(Export!$N:$N,Export!$I:$I,O15,Export!$E:$E,M15)</f>
        <v>0</v>
      </c>
      <c r="X15" s="52">
        <f t="shared" si="5"/>
        <v>-22312.266666666666</v>
      </c>
      <c r="Y15" s="169">
        <f>+SUM(X13:X15)-SUM(T13:T15)</f>
        <v>-18992.266666666663</v>
      </c>
      <c r="Z15" s="52">
        <f>+SUMIF(Export!$I:$I,'Retail Detailing'!N15,Export!M:M)</f>
        <v>0</v>
      </c>
      <c r="AA15" s="52">
        <f>+SUMIF(Export!$I:$I,'Retail Detailing'!O15,Export!M:M)</f>
        <v>0</v>
      </c>
      <c r="AB15" s="52">
        <f t="shared" si="6"/>
        <v>0</v>
      </c>
      <c r="AD15" s="52">
        <f>+SUMIF(Export!$I:$I,'Retail Detailing'!N15,Export!$O:O)</f>
        <v>0</v>
      </c>
      <c r="AE15" s="52">
        <f>+SUMIF(Export!$I:$I,'Retail Detailing'!O15,Export!O:O)</f>
        <v>0</v>
      </c>
      <c r="AF15" s="52">
        <f t="shared" si="7"/>
        <v>0</v>
      </c>
    </row>
    <row r="16" spans="1:32" hidden="1" x14ac:dyDescent="0.25">
      <c r="A16" s="24" t="s">
        <v>1114</v>
      </c>
      <c r="B16" s="51">
        <f>+T16/SUM(S13:S16)</f>
        <v>0</v>
      </c>
      <c r="C16" s="96" t="e">
        <f>+W16/SUM(W13:W16)</f>
        <v>#DIV/0!</v>
      </c>
      <c r="D16" s="126" t="e">
        <f t="shared" si="0"/>
        <v>#DIV/0!</v>
      </c>
      <c r="E16" s="118">
        <f t="shared" si="1"/>
        <v>0</v>
      </c>
      <c r="F16" s="51"/>
      <c r="G16" s="51"/>
      <c r="H16" s="51"/>
      <c r="I16" s="96" t="e">
        <f t="shared" si="2"/>
        <v>#DIV/0!</v>
      </c>
      <c r="J16" s="126">
        <f t="shared" si="3"/>
        <v>0</v>
      </c>
      <c r="K16" s="122">
        <f t="shared" si="4"/>
        <v>0</v>
      </c>
      <c r="M16" s="162">
        <v>150</v>
      </c>
      <c r="O16" s="3" t="s">
        <v>1114</v>
      </c>
      <c r="R16" s="52">
        <f>+SUMIFS(Export!$L:$L,Export!$I:$I,N16,Export!$E:$E,M16)</f>
        <v>0</v>
      </c>
      <c r="S16" s="52">
        <f>+SUMIFS(Export!$L:$L,Export!$I:$I,O16,Export!$E:$E,M16)</f>
        <v>0</v>
      </c>
      <c r="T16" s="52">
        <f>+SUM(R16:S16)</f>
        <v>0</v>
      </c>
      <c r="V16" s="52">
        <f>+SUMIFS(Export!$N:$N,Export!$I:$I,N16,Export!$E:$E,M16)</f>
        <v>0</v>
      </c>
      <c r="W16" s="52">
        <f>+SUMIFS(Export!$N:$N,Export!$I:$I,O16,Export!$E:$E,M16)</f>
        <v>0</v>
      </c>
      <c r="X16" s="52">
        <f t="shared" si="5"/>
        <v>0</v>
      </c>
      <c r="Z16" s="52">
        <f>+SUMIF(Export!$I:$I,'Retail Detailing'!N16,Export!M:M)</f>
        <v>0</v>
      </c>
      <c r="AA16" s="52">
        <f>+SUMIF(Export!$I:$I,'Retail Detailing'!O16,Export!M:M)</f>
        <v>0</v>
      </c>
      <c r="AB16" s="52">
        <f t="shared" si="6"/>
        <v>0</v>
      </c>
      <c r="AD16" s="52">
        <f>+SUMIF(Export!$I:$I,'Retail Detailing'!N16,Export!$O:O)</f>
        <v>0</v>
      </c>
      <c r="AE16" s="52">
        <f>+SUMIF(Export!$I:$I,'Retail Detailing'!O16,Export!O:O)</f>
        <v>0</v>
      </c>
      <c r="AF16" s="52">
        <f t="shared" si="7"/>
        <v>0</v>
      </c>
    </row>
    <row r="17" spans="1:32" x14ac:dyDescent="0.25">
      <c r="A17" s="24" t="s">
        <v>1691</v>
      </c>
      <c r="B17" s="51">
        <f>+T17/SUM(R13:R16)</f>
        <v>0.9956653093392881</v>
      </c>
      <c r="C17" s="96">
        <f>+X17/SUM(V13:V16)</f>
        <v>1</v>
      </c>
      <c r="D17" s="126">
        <f t="shared" si="0"/>
        <v>-4.334690660711904E-3</v>
      </c>
      <c r="E17" s="118">
        <f t="shared" si="1"/>
        <v>-4.334690660711904E-3</v>
      </c>
      <c r="F17" s="51"/>
      <c r="G17" s="51"/>
      <c r="H17" s="51"/>
      <c r="I17" s="96" t="e">
        <f t="shared" si="2"/>
        <v>#DIV/0!</v>
      </c>
      <c r="J17" s="126">
        <f t="shared" si="3"/>
        <v>0</v>
      </c>
      <c r="K17" s="122">
        <f t="shared" si="4"/>
        <v>0</v>
      </c>
      <c r="M17" s="162"/>
      <c r="R17" s="52">
        <f>SUM(R13:R16)</f>
        <v>-30452</v>
      </c>
      <c r="T17" s="52">
        <f>SUM(T13:T16)</f>
        <v>-30320</v>
      </c>
      <c r="V17" s="52">
        <f>SUM(V13:V16)</f>
        <v>-49312.266666666663</v>
      </c>
      <c r="X17" s="52">
        <f>SUM(X13:X16)</f>
        <v>-49312.266666666663</v>
      </c>
      <c r="Z17" s="52">
        <f>SUM(Z13:Z16)</f>
        <v>0</v>
      </c>
      <c r="AB17" s="52">
        <f>SUM(AB13:AB16)</f>
        <v>0</v>
      </c>
      <c r="AD17" s="52">
        <f>SUM(AD13:AD16)</f>
        <v>0</v>
      </c>
      <c r="AF17" s="52">
        <f>SUM(AF13:AF16)</f>
        <v>0</v>
      </c>
    </row>
    <row r="18" spans="1:32" hidden="1" x14ac:dyDescent="0.25">
      <c r="A18" s="24" t="s">
        <v>1191</v>
      </c>
      <c r="B18" s="51">
        <f>IFERROR(+T18/R18,0)</f>
        <v>0</v>
      </c>
      <c r="C18" s="96" t="e">
        <f>+X18/V18</f>
        <v>#DIV/0!</v>
      </c>
      <c r="D18" s="126" t="e">
        <f t="shared" si="0"/>
        <v>#DIV/0!</v>
      </c>
      <c r="E18" s="118">
        <f t="shared" si="1"/>
        <v>0</v>
      </c>
      <c r="F18" s="51"/>
      <c r="G18" s="51"/>
      <c r="H18" s="51"/>
      <c r="I18" s="96" t="e">
        <f t="shared" si="2"/>
        <v>#DIV/0!</v>
      </c>
      <c r="J18" s="126">
        <f t="shared" si="3"/>
        <v>0</v>
      </c>
      <c r="K18" s="122">
        <f t="shared" si="4"/>
        <v>0</v>
      </c>
      <c r="M18" s="162">
        <v>150</v>
      </c>
      <c r="N18" s="3" t="s">
        <v>1117</v>
      </c>
      <c r="O18" s="3" t="s">
        <v>1191</v>
      </c>
      <c r="R18" s="52">
        <f>+SUMIFS(Export!$L:$L,Export!$I:$I,N18,Export!$E:$E,M18)</f>
        <v>0</v>
      </c>
      <c r="S18" s="52">
        <f>+SUMIFS(Export!$L:$L,Export!$I:$I,O18,Export!$E:$E,M18)</f>
        <v>0</v>
      </c>
      <c r="T18" s="52">
        <f t="shared" ref="T18:T19" si="8">+SUM(R18:S18)</f>
        <v>0</v>
      </c>
      <c r="V18" s="52">
        <f>+SUMIFS(Export!$N:$N,Export!$I:$I,N18,Export!$E:$E,M18)</f>
        <v>0</v>
      </c>
      <c r="W18" s="52">
        <f>+SUMIFS(Export!$N:$N,Export!$I:$I,O18,Export!$E:$E,M18)</f>
        <v>0</v>
      </c>
      <c r="X18" s="52">
        <f t="shared" ref="X18:X19" si="9">+SUM(V18:W18)</f>
        <v>0</v>
      </c>
      <c r="Z18" s="52">
        <f>+SUMIF(Export!$I:$I,'Retail Detailing'!N18,Export!M:M)</f>
        <v>0</v>
      </c>
      <c r="AA18" s="52">
        <f>+SUMIF(Export!$I:$I,'Retail Detailing'!O18,Export!M:M)</f>
        <v>0</v>
      </c>
      <c r="AB18" s="52">
        <f t="shared" ref="AB18:AB19" si="10">+SUM(Z18:AA18)</f>
        <v>0</v>
      </c>
      <c r="AD18" s="52">
        <f>+SUMIF(Export!$I:$I,'Retail Detailing'!N18,Export!$O:O)</f>
        <v>0</v>
      </c>
      <c r="AE18" s="52">
        <f>+SUMIF(Export!$I:$I,'Retail Detailing'!O18,Export!O:O)</f>
        <v>0</v>
      </c>
      <c r="AF18" s="52">
        <f t="shared" ref="AF18:AF19" si="11">+SUM(AD18:AE18)</f>
        <v>0</v>
      </c>
    </row>
    <row r="19" spans="1:32" hidden="1" x14ac:dyDescent="0.25">
      <c r="A19" s="24" t="s">
        <v>1196</v>
      </c>
      <c r="B19" s="51">
        <f>IFERROR(+T19/R19,0)</f>
        <v>0</v>
      </c>
      <c r="C19" s="96">
        <f>IFERROR(+X19/V19,0)</f>
        <v>0</v>
      </c>
      <c r="D19" s="126">
        <f t="shared" si="0"/>
        <v>0</v>
      </c>
      <c r="E19" s="118">
        <f t="shared" si="1"/>
        <v>0</v>
      </c>
      <c r="F19" s="51"/>
      <c r="G19" s="51"/>
      <c r="H19" s="51"/>
      <c r="I19" s="96" t="e">
        <f t="shared" si="2"/>
        <v>#DIV/0!</v>
      </c>
      <c r="J19" s="126">
        <f t="shared" si="3"/>
        <v>0</v>
      </c>
      <c r="K19" s="122">
        <f t="shared" si="4"/>
        <v>0</v>
      </c>
      <c r="M19" s="162">
        <v>150</v>
      </c>
      <c r="N19" s="3" t="s">
        <v>1019</v>
      </c>
      <c r="O19" s="3" t="s">
        <v>1196</v>
      </c>
      <c r="R19" s="52">
        <f>+SUMIFS(Export!$L:$L,Export!$I:$I,N19,Export!$E:$E,M19)</f>
        <v>0</v>
      </c>
      <c r="S19" s="52">
        <f>+SUMIFS(Export!$L:$L,Export!$I:$I,O19,Export!$E:$E,M19)</f>
        <v>2762.01</v>
      </c>
      <c r="T19" s="52">
        <f t="shared" si="8"/>
        <v>2762.01</v>
      </c>
      <c r="V19" s="52">
        <f>+SUMIFS(Export!$N:$N,Export!$I:$I,N19,Export!$E:$E,M19)</f>
        <v>0</v>
      </c>
      <c r="W19" s="52">
        <f>+SUMIFS(Export!$N:$N,Export!$I:$I,O19,Export!$E:$E,M19)</f>
        <v>0</v>
      </c>
      <c r="X19" s="52">
        <f t="shared" si="9"/>
        <v>0</v>
      </c>
      <c r="Z19" s="52">
        <f>+SUMIF(Export!$I:$I,'Retail Detailing'!N19,Export!M:M)</f>
        <v>0</v>
      </c>
      <c r="AA19" s="52">
        <f>+SUMIF(Export!$I:$I,'Retail Detailing'!O19,Export!M:M)</f>
        <v>0</v>
      </c>
      <c r="AB19" s="52">
        <f t="shared" si="10"/>
        <v>0</v>
      </c>
      <c r="AD19" s="52">
        <f>+SUMIF(Export!$I:$I,'Retail Detailing'!N19,Export!$O:O)</f>
        <v>0</v>
      </c>
      <c r="AE19" s="52">
        <f>+SUMIF(Export!$I:$I,'Retail Detailing'!O19,Export!O:O)</f>
        <v>0</v>
      </c>
      <c r="AF19" s="52">
        <f t="shared" si="11"/>
        <v>0</v>
      </c>
    </row>
    <row r="20" spans="1:32" x14ac:dyDescent="0.25">
      <c r="A20" s="24" t="s">
        <v>1692</v>
      </c>
      <c r="B20" s="51">
        <f>+T21/R21</f>
        <v>0.90496486273479571</v>
      </c>
      <c r="C20" s="96">
        <f>+X21/V21</f>
        <v>1</v>
      </c>
      <c r="D20" s="126">
        <f t="shared" si="0"/>
        <v>-9.5035137265204295E-2</v>
      </c>
      <c r="E20" s="118">
        <f t="shared" si="1"/>
        <v>-9.5035137265204295E-2</v>
      </c>
      <c r="F20" s="51"/>
      <c r="G20" s="51"/>
      <c r="H20" s="51"/>
      <c r="I20" s="96" t="e">
        <f t="shared" si="2"/>
        <v>#DIV/0!</v>
      </c>
      <c r="J20" s="126">
        <f t="shared" si="3"/>
        <v>0</v>
      </c>
      <c r="K20" s="122">
        <f t="shared" si="4"/>
        <v>0</v>
      </c>
      <c r="M20" s="162"/>
    </row>
    <row r="21" spans="1:32" x14ac:dyDescent="0.25">
      <c r="A21" s="27" t="s">
        <v>1693</v>
      </c>
      <c r="B21" s="91">
        <f>-T21</f>
        <v>27557.989999999998</v>
      </c>
      <c r="C21" s="92">
        <f>-X21</f>
        <v>49312.266666666663</v>
      </c>
      <c r="D21" s="106">
        <f t="shared" si="0"/>
        <v>-21754.276666666665</v>
      </c>
      <c r="E21" s="119">
        <f t="shared" si="1"/>
        <v>-0.44115345201464407</v>
      </c>
      <c r="F21" s="91"/>
      <c r="G21" s="91"/>
      <c r="H21" s="91"/>
      <c r="I21" s="92">
        <f>SUM(F21:H21)</f>
        <v>0</v>
      </c>
      <c r="J21" s="106">
        <f t="shared" si="3"/>
        <v>0</v>
      </c>
      <c r="K21" s="123">
        <f t="shared" si="4"/>
        <v>0</v>
      </c>
      <c r="M21" s="162"/>
      <c r="R21" s="52">
        <f>+SUM(R17:R19)</f>
        <v>-30452</v>
      </c>
      <c r="T21" s="52">
        <f>+SUM(T17:T19)</f>
        <v>-27557.989999999998</v>
      </c>
      <c r="V21" s="52">
        <f>+SUM(V17:V19)</f>
        <v>-49312.266666666663</v>
      </c>
      <c r="X21" s="52">
        <f>+SUM(X17:X19)</f>
        <v>-49312.266666666663</v>
      </c>
      <c r="Z21" s="52">
        <f>+SUM(Z17:Z19)</f>
        <v>0</v>
      </c>
      <c r="AB21" s="52">
        <f>+SUM(AB17:AB19)</f>
        <v>0</v>
      </c>
      <c r="AD21" s="52">
        <f>+SUM(AD17:AD19)</f>
        <v>0</v>
      </c>
      <c r="AF21" s="52">
        <f>+SUM(AF17:AF19)</f>
        <v>0</v>
      </c>
    </row>
    <row r="22" spans="1:32" ht="15.6" customHeight="1" x14ac:dyDescent="0.25">
      <c r="A22" s="24" t="s">
        <v>1252</v>
      </c>
      <c r="B22" s="51">
        <f>-T22/R21</f>
        <v>1.5822008406672796</v>
      </c>
      <c r="C22" s="96">
        <f>-X22/V21</f>
        <v>1.1452742089865402</v>
      </c>
      <c r="D22" s="118">
        <f>+C22-B22</f>
        <v>-0.43692663168073942</v>
      </c>
      <c r="E22" s="118">
        <f t="shared" si="1"/>
        <v>-0.38150394748466249</v>
      </c>
      <c r="F22" s="51"/>
      <c r="G22" s="51"/>
      <c r="H22" s="51"/>
      <c r="I22" s="96" t="e">
        <f t="shared" si="2"/>
        <v>#DIV/0!</v>
      </c>
      <c r="J22" s="118">
        <f>+H22-F22</f>
        <v>0</v>
      </c>
      <c r="K22" s="122">
        <f t="shared" si="4"/>
        <v>0</v>
      </c>
      <c r="M22" s="162">
        <v>150</v>
      </c>
      <c r="N22" s="3" t="s">
        <v>1252</v>
      </c>
      <c r="T22" s="52">
        <f>+SUMIFS(Export!$L:$L,Export!$I:$I,N22,Export!$E:$E,M22)</f>
        <v>48181.18</v>
      </c>
      <c r="X22" s="52">
        <f>+SUMIFS(Export!$N:$N,Export!$I:$I,N22,Export!$E:$E,M22)</f>
        <v>56476.067199999998</v>
      </c>
      <c r="AB22" s="52">
        <f>+SUMIF(Export!$I:$I,'Retail Detailing'!N22,Export!M:M)</f>
        <v>0</v>
      </c>
      <c r="AF22" s="52">
        <f>+SUMIF(Export!$I:$I,'Retail Detailing'!N22,Export!O:O)</f>
        <v>0</v>
      </c>
    </row>
    <row r="23" spans="1:32" x14ac:dyDescent="0.25">
      <c r="A23" s="24" t="s">
        <v>1286</v>
      </c>
      <c r="B23" s="51">
        <f>-T23/R21</f>
        <v>8.3656245895179296E-3</v>
      </c>
      <c r="C23" s="96">
        <f>-X23/V21</f>
        <v>2.3372943040541636E-2</v>
      </c>
      <c r="D23" s="118">
        <f t="shared" ref="D23:D24" si="12">+C23-B23</f>
        <v>1.5007318451023707E-2</v>
      </c>
      <c r="E23" s="118">
        <f t="shared" si="1"/>
        <v>0.64208082075897333</v>
      </c>
      <c r="F23" s="51"/>
      <c r="G23" s="51"/>
      <c r="H23" s="51"/>
      <c r="I23" s="96" t="e">
        <f t="shared" si="2"/>
        <v>#DIV/0!</v>
      </c>
      <c r="J23" s="118">
        <f t="shared" ref="J23:J24" si="13">+H23-F23</f>
        <v>0</v>
      </c>
      <c r="K23" s="122">
        <f t="shared" si="4"/>
        <v>0</v>
      </c>
      <c r="M23" s="162">
        <v>150</v>
      </c>
      <c r="N23" s="3" t="s">
        <v>1286</v>
      </c>
      <c r="T23" s="52">
        <f>+SUMIFS(Export!$L:$L,Export!$I:$I,N23,Export!$E:$E,M23)</f>
        <v>254.75</v>
      </c>
      <c r="X23" s="52">
        <f>+SUMIFS(Export!$N:$N,Export!$I:$I,N23,Export!$E:$E,M23)</f>
        <v>1152.5727999999999</v>
      </c>
      <c r="AB23" s="52">
        <f>+SUMIF(Export!J:J,'Retail Detailing'!N23,Export!M:M)</f>
        <v>0</v>
      </c>
      <c r="AF23" s="52">
        <f>+SUMIF(Export!$J:$J,'Retail Detailing'!N23,Export!O:O)</f>
        <v>0</v>
      </c>
    </row>
    <row r="24" spans="1:32" x14ac:dyDescent="0.25">
      <c r="A24" s="24" t="s">
        <v>1674</v>
      </c>
      <c r="B24" s="53">
        <f>+SUM(B22:B23)</f>
        <v>1.5905664652567975</v>
      </c>
      <c r="C24" s="96">
        <f>+SUM(C22:C23)</f>
        <v>1.1686471520270818</v>
      </c>
      <c r="D24" s="118">
        <f t="shared" si="12"/>
        <v>-0.42191931322971565</v>
      </c>
      <c r="E24" s="118">
        <f t="shared" si="1"/>
        <v>-0.36103225211978973</v>
      </c>
      <c r="F24" s="51"/>
      <c r="G24" s="51"/>
      <c r="H24" s="51"/>
      <c r="I24" s="96" t="e">
        <f t="shared" si="2"/>
        <v>#DIV/0!</v>
      </c>
      <c r="J24" s="118">
        <f t="shared" si="13"/>
        <v>0</v>
      </c>
      <c r="K24" s="122">
        <f t="shared" si="4"/>
        <v>0</v>
      </c>
    </row>
    <row r="25" spans="1:32" x14ac:dyDescent="0.25">
      <c r="A25" s="24" t="s">
        <v>1675</v>
      </c>
      <c r="B25" s="53">
        <f>+B20-B24</f>
        <v>-0.68560160252200175</v>
      </c>
      <c r="C25" s="96">
        <f>+C20-C24</f>
        <v>-0.1686471520270818</v>
      </c>
      <c r="D25" s="118">
        <f t="shared" ref="D25:D30" si="14">+B25-C25</f>
        <v>-0.51695445049491995</v>
      </c>
      <c r="E25" s="118">
        <f t="shared" si="1"/>
        <v>3.0653019886864503</v>
      </c>
      <c r="F25" s="51"/>
      <c r="G25" s="51"/>
      <c r="H25" s="51"/>
      <c r="I25" s="96" t="e">
        <f t="shared" si="2"/>
        <v>#DIV/0!</v>
      </c>
      <c r="J25" s="118">
        <f t="shared" ref="J25:J30" si="15">+F25-H25</f>
        <v>0</v>
      </c>
      <c r="K25" s="122">
        <f t="shared" si="4"/>
        <v>0</v>
      </c>
    </row>
    <row r="26" spans="1:32" s="28" customFormat="1" x14ac:dyDescent="0.25">
      <c r="A26" s="27" t="s">
        <v>1695</v>
      </c>
      <c r="B26" s="91">
        <f>-T26</f>
        <v>-20877.940000000002</v>
      </c>
      <c r="C26" s="92">
        <f>-X26</f>
        <v>-8316.3733333333348</v>
      </c>
      <c r="D26" s="106">
        <f t="shared" si="14"/>
        <v>-12561.566666666668</v>
      </c>
      <c r="E26" s="119">
        <f t="shared" si="1"/>
        <v>1.5104620924505552</v>
      </c>
      <c r="F26" s="91"/>
      <c r="G26" s="91"/>
      <c r="H26" s="91"/>
      <c r="I26" s="92">
        <f>SUM(F26:H26)</f>
        <v>0</v>
      </c>
      <c r="J26" s="106">
        <f t="shared" si="15"/>
        <v>0</v>
      </c>
      <c r="K26" s="123">
        <f t="shared" si="4"/>
        <v>0</v>
      </c>
      <c r="N26" s="50"/>
      <c r="O26" s="50"/>
      <c r="T26" s="69">
        <f>+SUM(T21:T25)</f>
        <v>20877.940000000002</v>
      </c>
      <c r="X26" s="69">
        <f>+SUM(X21:X25)</f>
        <v>8316.3733333333348</v>
      </c>
      <c r="AB26" s="69">
        <f>+SUM(AB21:AB25)</f>
        <v>0</v>
      </c>
      <c r="AF26" s="69">
        <f>+SUM(AF21:AF25)</f>
        <v>0</v>
      </c>
    </row>
    <row r="27" spans="1:32" x14ac:dyDescent="0.25">
      <c r="A27" s="24" t="s">
        <v>1696</v>
      </c>
      <c r="B27" s="155">
        <f>+'NS PARTS 130'!R18/'Retail Detailing'!R13</f>
        <v>9.5420040650406506</v>
      </c>
      <c r="C27" s="156">
        <f>+'NS PARTS 130'!V18/'Retail Detailing'!V13</f>
        <v>5.099191310436467</v>
      </c>
      <c r="D27" s="157">
        <f t="shared" si="14"/>
        <v>4.4428127546041836</v>
      </c>
      <c r="E27" s="118">
        <f t="shared" si="1"/>
        <v>0.87127791136432176</v>
      </c>
      <c r="F27" s="158"/>
      <c r="G27" s="158"/>
      <c r="H27" s="158"/>
      <c r="I27" s="156" t="e">
        <f t="shared" si="2"/>
        <v>#DIV/0!</v>
      </c>
      <c r="J27" s="157">
        <f t="shared" si="15"/>
        <v>0</v>
      </c>
      <c r="K27" s="122">
        <f t="shared" si="4"/>
        <v>0</v>
      </c>
      <c r="P27" s="3"/>
      <c r="Q27" s="3"/>
      <c r="R27" s="3"/>
      <c r="S27" s="3"/>
      <c r="T27" s="3"/>
      <c r="V27" s="168"/>
    </row>
    <row r="28" spans="1:32" s="28" customFormat="1" x14ac:dyDescent="0.25">
      <c r="A28" s="27" t="s">
        <v>1697</v>
      </c>
      <c r="B28" s="91">
        <f>-SUM(R13:R16)/B33</f>
        <v>4350.2857142857147</v>
      </c>
      <c r="C28" s="92">
        <f>-SUM(V13:V16)/C33</f>
        <v>7044.6095238095231</v>
      </c>
      <c r="D28" s="106">
        <f t="shared" si="14"/>
        <v>-2694.3238095238084</v>
      </c>
      <c r="E28" s="119">
        <f t="shared" si="1"/>
        <v>-0.38246602603273822</v>
      </c>
      <c r="F28" s="91"/>
      <c r="G28" s="91"/>
      <c r="H28" s="91"/>
      <c r="I28" s="92" t="e">
        <f>AVERAGE(F28:H28)</f>
        <v>#DIV/0!</v>
      </c>
      <c r="J28" s="106">
        <f t="shared" si="15"/>
        <v>0</v>
      </c>
      <c r="K28" s="123">
        <f t="shared" si="4"/>
        <v>0</v>
      </c>
      <c r="N28" s="50"/>
      <c r="O28" s="50"/>
    </row>
    <row r="29" spans="1:32" s="28" customFormat="1" x14ac:dyDescent="0.25">
      <c r="A29" s="27" t="s">
        <v>1698</v>
      </c>
      <c r="B29" s="91">
        <f>-SUM(T17/B33)</f>
        <v>4331.4285714285716</v>
      </c>
      <c r="C29" s="92">
        <f>-SUM(X17/C33)</f>
        <v>7044.6095238095231</v>
      </c>
      <c r="D29" s="106">
        <f t="shared" si="14"/>
        <v>-2713.1809523809516</v>
      </c>
      <c r="E29" s="119">
        <f t="shared" si="1"/>
        <v>-0.38514284478236643</v>
      </c>
      <c r="F29" s="91"/>
      <c r="G29" s="91"/>
      <c r="H29" s="91"/>
      <c r="I29" s="92" t="e">
        <f>AVERAGE(F29:H29)</f>
        <v>#DIV/0!</v>
      </c>
      <c r="J29" s="106">
        <f t="shared" si="15"/>
        <v>0</v>
      </c>
      <c r="K29" s="123">
        <f t="shared" si="4"/>
        <v>0</v>
      </c>
      <c r="N29" s="50"/>
      <c r="O29" s="50"/>
    </row>
    <row r="30" spans="1:32" s="28" customFormat="1" ht="15.75" thickBot="1" x14ac:dyDescent="0.3">
      <c r="A30" s="29" t="s">
        <v>1699</v>
      </c>
      <c r="B30" s="94">
        <f>+B26/B33</f>
        <v>-2982.5628571428574</v>
      </c>
      <c r="C30" s="93">
        <f>+C26/C33</f>
        <v>-1188.0533333333335</v>
      </c>
      <c r="D30" s="107">
        <f t="shared" si="14"/>
        <v>-1794.5095238095239</v>
      </c>
      <c r="E30" s="120">
        <f t="shared" si="1"/>
        <v>1.5104620924505552</v>
      </c>
      <c r="F30" s="94"/>
      <c r="G30" s="94"/>
      <c r="H30" s="94"/>
      <c r="I30" s="93" t="e">
        <f>AVERAGE(F30:H30)</f>
        <v>#DIV/0!</v>
      </c>
      <c r="J30" s="107">
        <f t="shared" si="15"/>
        <v>0</v>
      </c>
      <c r="K30" s="124">
        <f t="shared" si="4"/>
        <v>0</v>
      </c>
      <c r="N30" s="50"/>
      <c r="O30" s="50"/>
    </row>
    <row r="31" spans="1:32" ht="0" hidden="1" customHeight="1" x14ac:dyDescent="0.25">
      <c r="E31" s="121"/>
      <c r="K31" s="121"/>
    </row>
    <row r="32" spans="1:32" ht="15.75" thickTop="1" x14ac:dyDescent="0.25">
      <c r="E32" s="121"/>
      <c r="K32" s="121"/>
    </row>
    <row r="33" spans="1:18" x14ac:dyDescent="0.25">
      <c r="A33" s="24" t="s">
        <v>1700</v>
      </c>
      <c r="B33" s="239">
        <v>7</v>
      </c>
      <c r="C33" s="12">
        <f>HLOOKUP(J1,'Input Sheet'!$I:$Z,215,FALSE)</f>
        <v>7</v>
      </c>
      <c r="D33" s="149"/>
      <c r="E33" s="149"/>
      <c r="F33" s="12"/>
      <c r="G33" s="12"/>
      <c r="H33" s="12"/>
      <c r="I33" s="12"/>
      <c r="J33" s="149"/>
      <c r="K33" s="121"/>
      <c r="N33" s="3" t="s">
        <v>1754</v>
      </c>
      <c r="P33" s="3"/>
      <c r="Q33" s="3"/>
      <c r="R33" s="3"/>
    </row>
    <row r="34" spans="1:18" x14ac:dyDescent="0.25">
      <c r="K34" s="121"/>
      <c r="N34" s="3" t="s">
        <v>1755</v>
      </c>
      <c r="P34" s="3"/>
      <c r="Q34" s="3"/>
      <c r="R34" s="3"/>
    </row>
    <row r="35" spans="1:18" x14ac:dyDescent="0.25">
      <c r="B35" s="193"/>
      <c r="C35" s="193"/>
      <c r="K35" s="121"/>
    </row>
    <row r="36" spans="1:18" x14ac:dyDescent="0.25">
      <c r="B36" s="193"/>
      <c r="C36" s="193"/>
    </row>
    <row r="37" spans="1:18" x14ac:dyDescent="0.25">
      <c r="C37" s="195"/>
    </row>
    <row r="38" spans="1:18" x14ac:dyDescent="0.25">
      <c r="C38" s="195"/>
    </row>
    <row r="39" spans="1:18" x14ac:dyDescent="0.25">
      <c r="C39" s="195"/>
    </row>
    <row r="45" spans="1:18" x14ac:dyDescent="0.25">
      <c r="B45" s="193"/>
      <c r="C45" s="193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118D5-E873-4743-B42E-4A76C060BE30}">
  <sheetPr>
    <tabColor theme="9" tint="0.79998168889431442"/>
  </sheetPr>
  <dimension ref="A1:AL44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2" width="14.85546875" style="16" bestFit="1" customWidth="1"/>
    <col min="3" max="3" width="12.5703125" style="16" bestFit="1" customWidth="1"/>
    <col min="4" max="4" width="11.5703125" style="16" bestFit="1" customWidth="1"/>
    <col min="5" max="7" width="9.7109375" style="16" customWidth="1"/>
    <col min="8" max="8" width="9.7109375" style="16" customWidth="1" outlineLevel="1"/>
    <col min="9" max="9" width="9.7109375" style="16" customWidth="1"/>
    <col min="10" max="11" width="9.7109375" style="16" hidden="1" customWidth="1"/>
    <col min="12" max="12" width="9.140625" style="16" customWidth="1"/>
    <col min="13" max="13" width="11.42578125" style="16" customWidth="1"/>
    <col min="14" max="17" width="11.7109375" style="3" customWidth="1" outlineLevel="1"/>
    <col min="18" max="20" width="9.140625" style="52" customWidth="1" outlineLevel="1"/>
    <col min="21" max="25" width="9.140625" style="16" customWidth="1" outlineLevel="1"/>
    <col min="26" max="28" width="9.140625" style="52" customWidth="1" outlineLevel="1"/>
    <col min="29" max="36" width="9.140625" style="16" customWidth="1" outlineLevel="1"/>
    <col min="37" max="16384" width="9.140625" style="16"/>
  </cols>
  <sheetData>
    <row r="1" spans="1:38" ht="15" customHeight="1" x14ac:dyDescent="0.25">
      <c r="A1" s="326" t="s">
        <v>1756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  <c r="AK1" s="201" t="s">
        <v>1606</v>
      </c>
      <c r="AL1" s="201"/>
    </row>
    <row r="2" spans="1:38" ht="6.6" customHeight="1" thickBot="1" x14ac:dyDescent="0.3">
      <c r="AL2" s="201"/>
    </row>
    <row r="3" spans="1:38" ht="15.75" thickTop="1" x14ac:dyDescent="0.25">
      <c r="A3" s="38" t="s">
        <v>1591</v>
      </c>
      <c r="B3" s="350" t="s">
        <v>155</v>
      </c>
      <c r="C3" s="329"/>
      <c r="D3" s="329"/>
      <c r="E3" s="329"/>
      <c r="F3" s="350" t="s">
        <v>155</v>
      </c>
      <c r="G3" s="350"/>
      <c r="H3" s="329"/>
      <c r="I3" s="329"/>
      <c r="J3" s="329"/>
      <c r="K3" s="345"/>
      <c r="AL3" s="201"/>
    </row>
    <row r="4" spans="1:38" x14ac:dyDescent="0.25">
      <c r="A4" s="39" t="s">
        <v>1591</v>
      </c>
      <c r="B4" s="40"/>
      <c r="C4" s="40"/>
      <c r="D4" s="351"/>
      <c r="E4" s="331"/>
      <c r="F4" s="40"/>
      <c r="G4" s="40"/>
      <c r="H4" s="40"/>
      <c r="I4" s="40"/>
      <c r="J4" s="351" t="s">
        <v>1608</v>
      </c>
      <c r="K4" s="347"/>
      <c r="AL4" s="201"/>
    </row>
    <row r="5" spans="1:38" x14ac:dyDescent="0.25">
      <c r="A5" s="39" t="s">
        <v>98</v>
      </c>
      <c r="B5" s="41" t="s">
        <v>12</v>
      </c>
      <c r="C5" s="41" t="s">
        <v>1592</v>
      </c>
      <c r="D5" s="42" t="s">
        <v>1609</v>
      </c>
      <c r="E5" s="42" t="s">
        <v>1610</v>
      </c>
      <c r="F5" s="262" t="str">
        <f>OVERALL!F5</f>
        <v>0124</v>
      </c>
      <c r="G5" s="262" t="str">
        <f>OVERALL!G5</f>
        <v>0224</v>
      </c>
      <c r="H5" s="262" t="str">
        <f>OVERALL!H5</f>
        <v>0324</v>
      </c>
      <c r="I5" s="41" t="str">
        <f>OVERALL!I5</f>
        <v>Q124</v>
      </c>
      <c r="J5" s="42" t="s">
        <v>1609</v>
      </c>
      <c r="K5" s="43" t="s">
        <v>1610</v>
      </c>
      <c r="AK5" s="201" t="s">
        <v>12</v>
      </c>
      <c r="AL5" s="201" t="s">
        <v>1592</v>
      </c>
    </row>
    <row r="6" spans="1:38" x14ac:dyDescent="0.25">
      <c r="A6" s="24" t="s">
        <v>1122</v>
      </c>
      <c r="B6" s="51">
        <f>+R16/$R$22</f>
        <v>0.78900054052116775</v>
      </c>
      <c r="C6" s="96">
        <f>+V16/$V$22</f>
        <v>0.75</v>
      </c>
      <c r="D6" s="109">
        <f>+B6-C6</f>
        <v>3.9000540521167748E-2</v>
      </c>
      <c r="E6" s="118">
        <f>IFERROR(+D6/C6,0)</f>
        <v>5.2000720694890333E-2</v>
      </c>
      <c r="F6" s="51"/>
      <c r="G6" s="51"/>
      <c r="H6" s="51"/>
      <c r="I6" s="96" t="e">
        <f>AVERAGE(F6:H6)</f>
        <v>#DIV/0!</v>
      </c>
      <c r="J6" s="126">
        <f>+F6-H6</f>
        <v>0</v>
      </c>
      <c r="K6" s="122">
        <f t="shared" ref="K6:K30" si="0">IFERROR(+J6/H6,0)</f>
        <v>0</v>
      </c>
      <c r="N6" s="3" t="s">
        <v>1122</v>
      </c>
      <c r="O6" s="3" t="s">
        <v>1201</v>
      </c>
      <c r="AK6" s="202"/>
      <c r="AL6" s="202"/>
    </row>
    <row r="7" spans="1:38" x14ac:dyDescent="0.25">
      <c r="A7" s="24" t="s">
        <v>1127</v>
      </c>
      <c r="B7" s="51">
        <f t="shared" ref="B7:B11" si="1">+R17/$R$22</f>
        <v>0.11994193968837016</v>
      </c>
      <c r="C7" s="96">
        <f t="shared" ref="C7:C11" si="2">+V17/$V$22</f>
        <v>0.1</v>
      </c>
      <c r="D7" s="109">
        <f t="shared" ref="D7:D12" si="3">+B7-C7</f>
        <v>1.9941939688370158E-2</v>
      </c>
      <c r="E7" s="118">
        <f t="shared" ref="E7:E30" si="4">IFERROR(+D7/C7,0)</f>
        <v>0.19941939688370158</v>
      </c>
      <c r="F7" s="51"/>
      <c r="G7" s="51"/>
      <c r="H7" s="51"/>
      <c r="I7" s="96" t="e">
        <f t="shared" ref="I7:I12" si="5">AVERAGE(F7:H7)</f>
        <v>#DIV/0!</v>
      </c>
      <c r="J7" s="126">
        <f t="shared" ref="J7:J12" si="6">+F7-H7</f>
        <v>0</v>
      </c>
      <c r="K7" s="122">
        <f t="shared" si="0"/>
        <v>0</v>
      </c>
      <c r="AK7" s="202"/>
      <c r="AL7" s="202"/>
    </row>
    <row r="8" spans="1:38" x14ac:dyDescent="0.25">
      <c r="A8" s="24" t="s">
        <v>1132</v>
      </c>
      <c r="B8" s="51">
        <f t="shared" si="1"/>
        <v>0</v>
      </c>
      <c r="C8" s="96">
        <f t="shared" si="2"/>
        <v>0</v>
      </c>
      <c r="D8" s="109">
        <f t="shared" si="3"/>
        <v>0</v>
      </c>
      <c r="E8" s="118">
        <f t="shared" si="4"/>
        <v>0</v>
      </c>
      <c r="F8" s="51"/>
      <c r="G8" s="51"/>
      <c r="H8" s="51"/>
      <c r="I8" s="96" t="e">
        <f t="shared" si="5"/>
        <v>#DIV/0!</v>
      </c>
      <c r="J8" s="126">
        <f t="shared" si="6"/>
        <v>0</v>
      </c>
      <c r="K8" s="122">
        <f t="shared" si="0"/>
        <v>0</v>
      </c>
      <c r="AK8" s="202"/>
      <c r="AL8" s="202"/>
    </row>
    <row r="9" spans="1:38" x14ac:dyDescent="0.25">
      <c r="A9" s="24" t="s">
        <v>1140</v>
      </c>
      <c r="B9" s="51">
        <f t="shared" si="1"/>
        <v>0</v>
      </c>
      <c r="C9" s="96">
        <f t="shared" si="2"/>
        <v>0</v>
      </c>
      <c r="D9" s="109">
        <f t="shared" si="3"/>
        <v>0</v>
      </c>
      <c r="E9" s="118">
        <f t="shared" si="4"/>
        <v>0</v>
      </c>
      <c r="F9" s="51"/>
      <c r="G9" s="51"/>
      <c r="H9" s="51"/>
      <c r="I9" s="96" t="e">
        <f t="shared" si="5"/>
        <v>#DIV/0!</v>
      </c>
      <c r="J9" s="126">
        <f t="shared" si="6"/>
        <v>0</v>
      </c>
      <c r="K9" s="122">
        <f t="shared" si="0"/>
        <v>0</v>
      </c>
      <c r="AK9" s="202"/>
      <c r="AL9" s="202"/>
    </row>
    <row r="10" spans="1:38" x14ac:dyDescent="0.25">
      <c r="A10" s="24" t="s">
        <v>1145</v>
      </c>
      <c r="B10" s="51">
        <f t="shared" si="1"/>
        <v>9.1057519790462102E-2</v>
      </c>
      <c r="C10" s="96">
        <f t="shared" si="2"/>
        <v>0.15</v>
      </c>
      <c r="D10" s="109">
        <f t="shared" si="3"/>
        <v>-5.8942480209537892E-2</v>
      </c>
      <c r="E10" s="118">
        <f t="shared" si="4"/>
        <v>-0.39294986806358595</v>
      </c>
      <c r="F10" s="51"/>
      <c r="G10" s="51"/>
      <c r="H10" s="51"/>
      <c r="I10" s="96" t="e">
        <f t="shared" si="5"/>
        <v>#DIV/0!</v>
      </c>
      <c r="J10" s="126">
        <f t="shared" si="6"/>
        <v>0</v>
      </c>
      <c r="K10" s="122">
        <f t="shared" si="0"/>
        <v>0</v>
      </c>
      <c r="AK10" s="202"/>
      <c r="AL10" s="202"/>
    </row>
    <row r="11" spans="1:38" x14ac:dyDescent="0.25">
      <c r="A11" s="24" t="s">
        <v>1137</v>
      </c>
      <c r="B11" s="51">
        <f t="shared" si="1"/>
        <v>0</v>
      </c>
      <c r="C11" s="96">
        <f t="shared" si="2"/>
        <v>0</v>
      </c>
      <c r="D11" s="109">
        <f t="shared" si="3"/>
        <v>0</v>
      </c>
      <c r="E11" s="118">
        <f t="shared" si="4"/>
        <v>0</v>
      </c>
      <c r="F11" s="51"/>
      <c r="G11" s="51"/>
      <c r="H11" s="51"/>
      <c r="I11" s="96" t="e">
        <f t="shared" si="5"/>
        <v>#DIV/0!</v>
      </c>
      <c r="J11" s="126">
        <f t="shared" si="6"/>
        <v>0</v>
      </c>
      <c r="K11" s="122">
        <f t="shared" si="0"/>
        <v>0</v>
      </c>
      <c r="AK11" s="202"/>
      <c r="AL11" s="202"/>
    </row>
    <row r="12" spans="1:38" x14ac:dyDescent="0.25">
      <c r="A12" s="24" t="s">
        <v>1666</v>
      </c>
      <c r="B12" s="53">
        <f>SUM(B6:B11)</f>
        <v>1</v>
      </c>
      <c r="C12" s="96">
        <f>SUM(C6:C11)</f>
        <v>1</v>
      </c>
      <c r="D12" s="109">
        <f t="shared" si="3"/>
        <v>0</v>
      </c>
      <c r="E12" s="118">
        <f t="shared" si="4"/>
        <v>0</v>
      </c>
      <c r="F12" s="51"/>
      <c r="G12" s="51"/>
      <c r="H12" s="51"/>
      <c r="I12" s="96" t="e">
        <f t="shared" si="5"/>
        <v>#DIV/0!</v>
      </c>
      <c r="J12" s="126">
        <f t="shared" si="6"/>
        <v>0</v>
      </c>
      <c r="K12" s="122">
        <f t="shared" si="0"/>
        <v>0</v>
      </c>
      <c r="AK12" s="202"/>
      <c r="AL12" s="202"/>
    </row>
    <row r="13" spans="1:38" s="28" customFormat="1" x14ac:dyDescent="0.25">
      <c r="A13" s="27" t="s">
        <v>1667</v>
      </c>
      <c r="B13" s="91">
        <f>-R22</f>
        <v>218751.84</v>
      </c>
      <c r="C13" s="92">
        <f>-V22</f>
        <v>250000</v>
      </c>
      <c r="D13" s="101">
        <f>+B13-C13</f>
        <v>-31248.160000000003</v>
      </c>
      <c r="E13" s="119">
        <f t="shared" si="4"/>
        <v>-0.12499264000000002</v>
      </c>
      <c r="F13" s="91"/>
      <c r="G13" s="91"/>
      <c r="H13" s="91"/>
      <c r="I13" s="92">
        <f>SUM(F13:H13)</f>
        <v>0</v>
      </c>
      <c r="J13" s="101">
        <f>+F13-H13</f>
        <v>0</v>
      </c>
      <c r="K13" s="123">
        <f t="shared" si="0"/>
        <v>0</v>
      </c>
      <c r="M13" s="234"/>
      <c r="N13" s="50"/>
      <c r="O13" s="50"/>
      <c r="P13" s="50"/>
      <c r="Q13" s="50"/>
      <c r="R13" s="170" t="s">
        <v>1641</v>
      </c>
      <c r="S13" s="170" t="s">
        <v>1641</v>
      </c>
      <c r="T13" s="170" t="s">
        <v>1641</v>
      </c>
      <c r="V13" s="170" t="s">
        <v>1641</v>
      </c>
      <c r="W13" s="170" t="s">
        <v>1641</v>
      </c>
      <c r="X13" s="170" t="s">
        <v>1641</v>
      </c>
      <c r="Z13" s="170" t="s">
        <v>156</v>
      </c>
      <c r="AA13" s="170" t="s">
        <v>156</v>
      </c>
      <c r="AB13" s="170" t="s">
        <v>156</v>
      </c>
      <c r="AD13" s="170" t="s">
        <v>156</v>
      </c>
      <c r="AE13" s="170" t="s">
        <v>156</v>
      </c>
      <c r="AF13" s="170" t="s">
        <v>156</v>
      </c>
      <c r="AK13" s="202">
        <f>B13-'NS PARTS 130'!B13-'NW PARTS 230'!B13-'NW PARTS 330'!B13-'NW PARTS 430'!B13</f>
        <v>-937379.62999999989</v>
      </c>
      <c r="AL13" s="202">
        <f>C13-'NS PARTS 130'!C13-'NW PARTS 230'!C13-'NW PARTS 330'!C13-'NW PARTS 430'!C13</f>
        <v>-1114999.9999999998</v>
      </c>
    </row>
    <row r="14" spans="1:38" x14ac:dyDescent="0.25">
      <c r="A14" s="24" t="s">
        <v>1668</v>
      </c>
      <c r="B14" s="89">
        <f>+B13/B33</f>
        <v>31250.262857142858</v>
      </c>
      <c r="C14" s="90">
        <f>+C13/C33</f>
        <v>35714.285714285717</v>
      </c>
      <c r="D14" s="100">
        <f>+B14-C14</f>
        <v>-4464.0228571428597</v>
      </c>
      <c r="E14" s="118">
        <f t="shared" si="4"/>
        <v>-0.12499264000000006</v>
      </c>
      <c r="F14" s="89"/>
      <c r="G14" s="89"/>
      <c r="H14" s="89"/>
      <c r="I14" s="90" t="e">
        <f>AVERAGE(F14,G14,H14)</f>
        <v>#DIV/0!</v>
      </c>
      <c r="J14" s="100">
        <f>+F14-H14</f>
        <v>0</v>
      </c>
      <c r="K14" s="122">
        <f t="shared" si="0"/>
        <v>0</v>
      </c>
      <c r="M14" s="193"/>
      <c r="R14" s="95" t="s">
        <v>12</v>
      </c>
      <c r="S14" s="95" t="s">
        <v>12</v>
      </c>
      <c r="T14" s="95" t="s">
        <v>12</v>
      </c>
      <c r="V14" s="95" t="s">
        <v>1592</v>
      </c>
      <c r="W14" s="95" t="s">
        <v>1592</v>
      </c>
      <c r="X14" s="95" t="s">
        <v>1592</v>
      </c>
      <c r="Z14" s="95" t="s">
        <v>12</v>
      </c>
      <c r="AA14" s="95" t="s">
        <v>12</v>
      </c>
      <c r="AB14" s="95" t="s">
        <v>12</v>
      </c>
      <c r="AD14" s="95" t="s">
        <v>1592</v>
      </c>
      <c r="AE14" s="95" t="s">
        <v>1592</v>
      </c>
      <c r="AF14" s="95" t="s">
        <v>1592</v>
      </c>
      <c r="AK14" s="202"/>
      <c r="AL14" s="202"/>
    </row>
    <row r="15" spans="1:38" x14ac:dyDescent="0.25">
      <c r="A15" s="24" t="s">
        <v>1669</v>
      </c>
      <c r="B15" s="146">
        <f>+B35/S22*30</f>
        <v>27.272009130254624</v>
      </c>
      <c r="C15" s="147">
        <f>+B35/W22*30</f>
        <v>22.991755447541355</v>
      </c>
      <c r="D15" s="148">
        <f>+C15-B15</f>
        <v>-4.2802536827132691</v>
      </c>
      <c r="E15" s="118">
        <f t="shared" si="4"/>
        <v>-0.18616471858702646</v>
      </c>
      <c r="F15" s="146"/>
      <c r="G15" s="146"/>
      <c r="H15" s="146"/>
      <c r="I15" s="147" t="e">
        <f t="shared" ref="I15:I22" si="7">AVERAGE(F15:H15)</f>
        <v>#DIV/0!</v>
      </c>
      <c r="J15" s="148">
        <f>+H15-F15</f>
        <v>0</v>
      </c>
      <c r="K15" s="122">
        <f t="shared" si="0"/>
        <v>0</v>
      </c>
      <c r="R15" s="3" t="s">
        <v>1642</v>
      </c>
      <c r="S15" s="3" t="s">
        <v>180</v>
      </c>
      <c r="T15" s="3" t="s">
        <v>153</v>
      </c>
      <c r="U15" s="3"/>
      <c r="V15" s="3" t="s">
        <v>1642</v>
      </c>
      <c r="W15" s="3" t="s">
        <v>180</v>
      </c>
      <c r="X15" s="3" t="s">
        <v>153</v>
      </c>
      <c r="Y15" s="3"/>
      <c r="Z15" s="3" t="s">
        <v>1642</v>
      </c>
      <c r="AA15" s="3" t="s">
        <v>180</v>
      </c>
      <c r="AB15" s="3" t="s">
        <v>153</v>
      </c>
      <c r="AC15" s="3"/>
      <c r="AD15" s="3" t="s">
        <v>1642</v>
      </c>
      <c r="AE15" s="3" t="s">
        <v>180</v>
      </c>
      <c r="AF15" s="3" t="s">
        <v>153</v>
      </c>
      <c r="AG15" s="3"/>
      <c r="AH15" s="3"/>
      <c r="AI15" s="3"/>
      <c r="AJ15" s="3"/>
      <c r="AK15" s="202"/>
      <c r="AL15" s="202"/>
    </row>
    <row r="16" spans="1:38" x14ac:dyDescent="0.25">
      <c r="A16" s="24" t="s">
        <v>1201</v>
      </c>
      <c r="B16" s="130">
        <f>IFERROR(+T16/R16,0)</f>
        <v>0.41793340630557074</v>
      </c>
      <c r="C16" s="131">
        <f>+IFERROR(X16/V16,0)</f>
        <v>0.38970733957156406</v>
      </c>
      <c r="D16" s="128">
        <f t="shared" ref="D16:D22" si="8">+B16-C16</f>
        <v>2.8226066734006683E-2</v>
      </c>
      <c r="E16" s="118">
        <f t="shared" si="4"/>
        <v>7.2428881542333332E-2</v>
      </c>
      <c r="F16" s="133"/>
      <c r="G16" s="133"/>
      <c r="H16" s="133"/>
      <c r="I16" s="131" t="e">
        <f t="shared" si="7"/>
        <v>#DIV/0!</v>
      </c>
      <c r="J16" s="126">
        <f t="shared" ref="J16:J22" si="9">+F16-H16</f>
        <v>0</v>
      </c>
      <c r="K16" s="122">
        <f t="shared" si="0"/>
        <v>0</v>
      </c>
      <c r="M16" s="193"/>
      <c r="N16" s="3" t="s">
        <v>1122</v>
      </c>
      <c r="O16" s="3" t="s">
        <v>1201</v>
      </c>
      <c r="R16" s="52">
        <f>'Bridgestone 935'!R16+'Bridgestone 936'!R16</f>
        <v>-172595.32</v>
      </c>
      <c r="S16" s="52">
        <f>'Bridgestone 935'!S16+'Bridgestone 936'!S16</f>
        <v>100461.97</v>
      </c>
      <c r="T16" s="52">
        <f>+SUM(R16:S16)</f>
        <v>-72133.350000000006</v>
      </c>
      <c r="V16" s="52">
        <f>'Bridgestone 935'!V16+'Bridgestone 936'!V16</f>
        <v>-187500</v>
      </c>
      <c r="W16" s="52">
        <f>'Bridgestone 935'!W16+'Bridgestone 936'!W16</f>
        <v>114429.87383033174</v>
      </c>
      <c r="X16" s="52">
        <f>+SUM(V16:W16)</f>
        <v>-73070.126169668263</v>
      </c>
      <c r="Z16" s="52">
        <f>+SUMIF(Export!$I:$I,'Bridgestone GROUP'!N16,Export!M:M)</f>
        <v>0</v>
      </c>
      <c r="AA16" s="52">
        <f>+SUMIF(Export!$I:$I,'Bridgestone GROUP'!O16,Export!M:M)</f>
        <v>0</v>
      </c>
      <c r="AB16" s="52">
        <f>+SUM(Z16:AA16)</f>
        <v>0</v>
      </c>
      <c r="AD16" s="52">
        <f>+SUMIF(Export!$I:$I,'Bridgestone GROUP'!N16,Export!O:O)</f>
        <v>0</v>
      </c>
      <c r="AE16" s="52">
        <f>+SUMIF(Export!$I:$I,'Bridgestone GROUP'!O16,Export!O:O)</f>
        <v>0</v>
      </c>
      <c r="AF16" s="52">
        <f>+SUM(AD16:AE16)</f>
        <v>0</v>
      </c>
      <c r="AK16" s="202"/>
      <c r="AL16" s="202"/>
    </row>
    <row r="17" spans="1:38" x14ac:dyDescent="0.25">
      <c r="A17" s="24" t="s">
        <v>1209</v>
      </c>
      <c r="B17" s="130">
        <f t="shared" ref="B17:B22" si="10">IFERROR(+T17/R17,0)</f>
        <v>0.46593732944272176</v>
      </c>
      <c r="C17" s="131">
        <f t="shared" ref="C17:C22" si="11">+IFERROR(X17/V17,0)</f>
        <v>0.38970733957156395</v>
      </c>
      <c r="D17" s="128">
        <f t="shared" si="8"/>
        <v>7.6229989871157811E-2</v>
      </c>
      <c r="E17" s="118">
        <f t="shared" si="4"/>
        <v>0.19560829917897737</v>
      </c>
      <c r="F17" s="133"/>
      <c r="G17" s="133"/>
      <c r="H17" s="133"/>
      <c r="I17" s="131" t="e">
        <f t="shared" si="7"/>
        <v>#DIV/0!</v>
      </c>
      <c r="J17" s="126">
        <f t="shared" si="9"/>
        <v>0</v>
      </c>
      <c r="K17" s="122">
        <f t="shared" si="0"/>
        <v>0</v>
      </c>
      <c r="M17" s="193"/>
      <c r="N17" s="3" t="s">
        <v>1127</v>
      </c>
      <c r="O17" s="3" t="s">
        <v>1209</v>
      </c>
      <c r="R17" s="52">
        <f>'Bridgestone 935'!R17+'Bridgestone 936'!R17</f>
        <v>-26237.52</v>
      </c>
      <c r="S17" s="52">
        <f>'Bridgestone 935'!S17+'Bridgestone 936'!S17</f>
        <v>14012.48</v>
      </c>
      <c r="T17" s="52">
        <f t="shared" ref="T17:T21" si="12">+SUM(R17:S17)</f>
        <v>-12225.04</v>
      </c>
      <c r="V17" s="52">
        <f>'Bridgestone 935'!V17+'Bridgestone 936'!V17</f>
        <v>-25000</v>
      </c>
      <c r="W17" s="52">
        <f>'Bridgestone 935'!W17+'Bridgestone 936'!W17</f>
        <v>15257.316510710902</v>
      </c>
      <c r="X17" s="52">
        <f t="shared" ref="X17:X21" si="13">+SUM(V17:W17)</f>
        <v>-9742.6834892890984</v>
      </c>
      <c r="Z17" s="52">
        <f>+SUMIF(Export!$I:$I,'Bridgestone GROUP'!N17,Export!M:M)</f>
        <v>0</v>
      </c>
      <c r="AA17" s="52">
        <f>+SUMIF(Export!$I:$I,'Bridgestone GROUP'!O17,Export!M:M)</f>
        <v>0</v>
      </c>
      <c r="AB17" s="52">
        <f t="shared" ref="AB17:AB21" si="14">+SUM(Z17:AA17)</f>
        <v>0</v>
      </c>
      <c r="AD17" s="52">
        <f>+SUMIF(Export!$I:$I,'Bridgestone GROUP'!N17,Export!O:O)</f>
        <v>0</v>
      </c>
      <c r="AE17" s="52">
        <f>+SUMIF(Export!$I:$I,'Bridgestone GROUP'!O17,Export!O:O)</f>
        <v>0</v>
      </c>
      <c r="AF17" s="52">
        <f t="shared" ref="AF17:AF21" si="15">+SUM(AD17:AE17)</f>
        <v>0</v>
      </c>
      <c r="AK17" s="202"/>
      <c r="AL17" s="202"/>
    </row>
    <row r="18" spans="1:38" x14ac:dyDescent="0.25">
      <c r="A18" s="24" t="s">
        <v>1216</v>
      </c>
      <c r="B18" s="130">
        <f t="shared" si="10"/>
        <v>0</v>
      </c>
      <c r="C18" s="131">
        <f t="shared" si="11"/>
        <v>0</v>
      </c>
      <c r="D18" s="128">
        <f t="shared" si="8"/>
        <v>0</v>
      </c>
      <c r="E18" s="118">
        <f t="shared" si="4"/>
        <v>0</v>
      </c>
      <c r="F18" s="133"/>
      <c r="G18" s="133"/>
      <c r="H18" s="133"/>
      <c r="I18" s="131" t="e">
        <f t="shared" si="7"/>
        <v>#DIV/0!</v>
      </c>
      <c r="J18" s="126">
        <f t="shared" si="9"/>
        <v>0</v>
      </c>
      <c r="K18" s="122">
        <f t="shared" si="0"/>
        <v>0</v>
      </c>
      <c r="N18" s="3" t="s">
        <v>1132</v>
      </c>
      <c r="O18" s="3" t="s">
        <v>1216</v>
      </c>
      <c r="R18" s="52">
        <f>'Bridgestone 935'!R18+'Bridgestone 936'!R18</f>
        <v>0</v>
      </c>
      <c r="S18" s="52">
        <f>'Bridgestone 935'!S18+'Bridgestone 936'!S18</f>
        <v>1687.33</v>
      </c>
      <c r="T18" s="52">
        <f t="shared" si="12"/>
        <v>1687.33</v>
      </c>
      <c r="V18" s="52">
        <f>'Bridgestone 935'!V18+'Bridgestone 936'!V18</f>
        <v>0</v>
      </c>
      <c r="W18" s="52">
        <f>'Bridgestone 935'!W18+'Bridgestone 936'!W18</f>
        <v>0</v>
      </c>
      <c r="X18" s="52">
        <f t="shared" si="13"/>
        <v>0</v>
      </c>
      <c r="Z18" s="52">
        <f>+SUMIF(Export!$I:$I,'Bridgestone GROUP'!N18,Export!M:M)</f>
        <v>0</v>
      </c>
      <c r="AA18" s="52">
        <f>+SUMIF(Export!$I:$I,'Bridgestone GROUP'!O18,Export!M:M)</f>
        <v>0</v>
      </c>
      <c r="AB18" s="52">
        <f t="shared" si="14"/>
        <v>0</v>
      </c>
      <c r="AD18" s="52">
        <f>+SUMIF(Export!$I:$I,'Bridgestone GROUP'!N18,Export!O:O)</f>
        <v>0</v>
      </c>
      <c r="AE18" s="52">
        <f>+SUMIF(Export!$I:$I,'Bridgestone GROUP'!O18,Export!O:O)</f>
        <v>0</v>
      </c>
      <c r="AF18" s="52">
        <f t="shared" si="15"/>
        <v>0</v>
      </c>
      <c r="AK18" s="202"/>
      <c r="AL18" s="202"/>
    </row>
    <row r="19" spans="1:38" x14ac:dyDescent="0.25">
      <c r="A19" s="24" t="s">
        <v>1225</v>
      </c>
      <c r="B19" s="130">
        <f t="shared" si="10"/>
        <v>0</v>
      </c>
      <c r="C19" s="131">
        <f t="shared" si="11"/>
        <v>0</v>
      </c>
      <c r="D19" s="128">
        <f t="shared" si="8"/>
        <v>0</v>
      </c>
      <c r="E19" s="118">
        <f t="shared" si="4"/>
        <v>0</v>
      </c>
      <c r="F19" s="133"/>
      <c r="G19" s="133"/>
      <c r="H19" s="133"/>
      <c r="I19" s="131" t="e">
        <f t="shared" si="7"/>
        <v>#DIV/0!</v>
      </c>
      <c r="J19" s="126">
        <f t="shared" si="9"/>
        <v>0</v>
      </c>
      <c r="K19" s="122">
        <f t="shared" si="0"/>
        <v>0</v>
      </c>
      <c r="N19" s="3" t="s">
        <v>1140</v>
      </c>
      <c r="O19" s="3" t="s">
        <v>1225</v>
      </c>
      <c r="R19" s="52">
        <f>'Bridgestone 935'!R19+'Bridgestone 936'!R19</f>
        <v>0</v>
      </c>
      <c r="S19" s="52">
        <f>'Bridgestone 935'!S19+'Bridgestone 936'!S19</f>
        <v>0</v>
      </c>
      <c r="T19" s="52">
        <f t="shared" si="12"/>
        <v>0</v>
      </c>
      <c r="V19" s="52">
        <f>'Bridgestone 935'!V19+'Bridgestone 936'!V19</f>
        <v>0</v>
      </c>
      <c r="W19" s="52">
        <f>'Bridgestone 935'!W19+'Bridgestone 936'!W19</f>
        <v>0</v>
      </c>
      <c r="X19" s="52">
        <f t="shared" si="13"/>
        <v>0</v>
      </c>
      <c r="Z19" s="52">
        <f>+SUMIF(Export!$I:$I,'Bridgestone GROUP'!N19,Export!M:M)</f>
        <v>0</v>
      </c>
      <c r="AA19" s="52">
        <f>+SUMIF(Export!$I:$I,'Bridgestone GROUP'!O19,Export!M:M)</f>
        <v>0</v>
      </c>
      <c r="AB19" s="52">
        <f t="shared" si="14"/>
        <v>0</v>
      </c>
      <c r="AD19" s="52">
        <f>+SUMIF(Export!$I:$I,'Bridgestone GROUP'!N19,Export!O:O)</f>
        <v>0</v>
      </c>
      <c r="AE19" s="52">
        <f>+SUMIF(Export!$I:$I,'Bridgestone GROUP'!O19,Export!O:O)</f>
        <v>0</v>
      </c>
      <c r="AF19" s="52">
        <f t="shared" si="15"/>
        <v>0</v>
      </c>
      <c r="AK19" s="202"/>
      <c r="AL19" s="202"/>
    </row>
    <row r="20" spans="1:38" x14ac:dyDescent="0.25">
      <c r="A20" s="24" t="s">
        <v>1230</v>
      </c>
      <c r="B20" s="130">
        <f t="shared" si="10"/>
        <v>0.41328982378633466</v>
      </c>
      <c r="C20" s="131">
        <f t="shared" si="11"/>
        <v>0.389707339571564</v>
      </c>
      <c r="D20" s="128">
        <f t="shared" si="8"/>
        <v>2.358248421477066E-2</v>
      </c>
      <c r="E20" s="118">
        <f t="shared" si="4"/>
        <v>6.0513318124048532E-2</v>
      </c>
      <c r="F20" s="133"/>
      <c r="G20" s="133"/>
      <c r="H20" s="133"/>
      <c r="I20" s="131" t="e">
        <f t="shared" si="7"/>
        <v>#DIV/0!</v>
      </c>
      <c r="J20" s="126">
        <f t="shared" si="9"/>
        <v>0</v>
      </c>
      <c r="K20" s="122">
        <f t="shared" si="0"/>
        <v>0</v>
      </c>
      <c r="N20" s="3" t="s">
        <v>1145</v>
      </c>
      <c r="O20" s="3" t="s">
        <v>1230</v>
      </c>
      <c r="R20" s="52">
        <f>'Bridgestone 935'!R20+'Bridgestone 936'!R20</f>
        <v>-19919</v>
      </c>
      <c r="S20" s="52">
        <f>'Bridgestone 935'!S20+'Bridgestone 936'!S20</f>
        <v>11686.68</v>
      </c>
      <c r="T20" s="52">
        <f t="shared" si="12"/>
        <v>-8232.32</v>
      </c>
      <c r="V20" s="52">
        <f>'Bridgestone 935'!V20+'Bridgestone 936'!V20</f>
        <v>-37500</v>
      </c>
      <c r="W20" s="52">
        <f>'Bridgestone 935'!W20+'Bridgestone 936'!W20</f>
        <v>22885.974766066349</v>
      </c>
      <c r="X20" s="52">
        <f t="shared" si="13"/>
        <v>-14614.025233933651</v>
      </c>
      <c r="Z20" s="52">
        <f>+SUMIF(Export!$I:$I,'Bridgestone GROUP'!N20,Export!M:M)</f>
        <v>0</v>
      </c>
      <c r="AA20" s="52">
        <f>+SUMIF(Export!$I:$I,'Bridgestone GROUP'!O20,Export!M:M)</f>
        <v>0</v>
      </c>
      <c r="AB20" s="52">
        <f t="shared" si="14"/>
        <v>0</v>
      </c>
      <c r="AD20" s="52">
        <f>+SUMIF(Export!$I:$I,'Bridgestone GROUP'!N20,Export!O:O)</f>
        <v>0</v>
      </c>
      <c r="AE20" s="52">
        <f>+SUMIF(Export!$I:$I,'Bridgestone GROUP'!O20,Export!O:O)</f>
        <v>0</v>
      </c>
      <c r="AF20" s="52">
        <f t="shared" si="15"/>
        <v>0</v>
      </c>
      <c r="AK20" s="202"/>
      <c r="AL20" s="202"/>
    </row>
    <row r="21" spans="1:38" x14ac:dyDescent="0.25">
      <c r="A21" s="24" t="s">
        <v>1222</v>
      </c>
      <c r="B21" s="130">
        <f>IFERROR(+T21/R21,0)</f>
        <v>0</v>
      </c>
      <c r="C21" s="131">
        <f t="shared" si="11"/>
        <v>0</v>
      </c>
      <c r="D21" s="128">
        <f t="shared" si="8"/>
        <v>0</v>
      </c>
      <c r="E21" s="118">
        <f t="shared" si="4"/>
        <v>0</v>
      </c>
      <c r="F21" s="133"/>
      <c r="G21" s="133"/>
      <c r="H21" s="133"/>
      <c r="I21" s="131" t="e">
        <f t="shared" si="7"/>
        <v>#DIV/0!</v>
      </c>
      <c r="J21" s="126">
        <f t="shared" si="9"/>
        <v>0</v>
      </c>
      <c r="K21" s="122">
        <f t="shared" si="0"/>
        <v>0</v>
      </c>
      <c r="N21" s="3" t="s">
        <v>1137</v>
      </c>
      <c r="O21" s="3" t="s">
        <v>1222</v>
      </c>
      <c r="R21" s="52">
        <f>'Bridgestone 935'!R21+'Bridgestone 936'!R21</f>
        <v>0</v>
      </c>
      <c r="S21" s="52">
        <f>'Bridgestone 935'!S21+'Bridgestone 936'!S21</f>
        <v>778.83999999999992</v>
      </c>
      <c r="T21" s="52">
        <f t="shared" si="12"/>
        <v>778.83999999999992</v>
      </c>
      <c r="V21" s="52">
        <f>'Bridgestone 935'!V21+'Bridgestone 936'!V21</f>
        <v>0</v>
      </c>
      <c r="W21" s="52">
        <f>'Bridgestone 935'!W21+'Bridgestone 936'!W21</f>
        <v>0</v>
      </c>
      <c r="X21" s="52">
        <f t="shared" si="13"/>
        <v>0</v>
      </c>
      <c r="Z21" s="52">
        <f>+SUMIF(Export!$I:$I,'Bridgestone GROUP'!N21,Export!M:M)</f>
        <v>0</v>
      </c>
      <c r="AA21" s="52">
        <f>+SUMIF(Export!$I:$I,'Bridgestone GROUP'!O21,Export!M:M)</f>
        <v>0</v>
      </c>
      <c r="AB21" s="52">
        <f t="shared" si="14"/>
        <v>0</v>
      </c>
      <c r="AD21" s="52">
        <f>+SUMIF(Export!$I:$I,'Bridgestone GROUP'!N21,Export!O:O)</f>
        <v>0</v>
      </c>
      <c r="AE21" s="52">
        <f>+SUMIF(Export!$I:$I,'Bridgestone GROUP'!O21,Export!O:O)</f>
        <v>0</v>
      </c>
      <c r="AF21" s="52">
        <f t="shared" si="15"/>
        <v>0</v>
      </c>
      <c r="AK21" s="202"/>
      <c r="AL21" s="202"/>
    </row>
    <row r="22" spans="1:38" x14ac:dyDescent="0.25">
      <c r="A22" s="24" t="s">
        <v>1670</v>
      </c>
      <c r="B22" s="130">
        <f t="shared" si="10"/>
        <v>0.41199443168112326</v>
      </c>
      <c r="C22" s="131">
        <f t="shared" si="11"/>
        <v>0.389707339571564</v>
      </c>
      <c r="D22" s="128">
        <f t="shared" si="8"/>
        <v>2.2287092109559259E-2</v>
      </c>
      <c r="E22" s="118">
        <f t="shared" si="4"/>
        <v>5.7189305528762217E-2</v>
      </c>
      <c r="F22" s="133"/>
      <c r="G22" s="133"/>
      <c r="H22" s="133"/>
      <c r="I22" s="131" t="e">
        <f t="shared" si="7"/>
        <v>#DIV/0!</v>
      </c>
      <c r="J22" s="126">
        <f t="shared" si="9"/>
        <v>0</v>
      </c>
      <c r="K22" s="122">
        <f t="shared" si="0"/>
        <v>0</v>
      </c>
      <c r="R22" s="52">
        <f t="shared" ref="R22:W22" si="16">SUM(R16:R21)</f>
        <v>-218751.84</v>
      </c>
      <c r="S22" s="52">
        <f t="shared" si="16"/>
        <v>128627.29999999999</v>
      </c>
      <c r="T22" s="52">
        <f t="shared" si="16"/>
        <v>-90124.540000000008</v>
      </c>
      <c r="V22" s="52">
        <f t="shared" si="16"/>
        <v>-250000</v>
      </c>
      <c r="W22" s="52">
        <f t="shared" si="16"/>
        <v>152573.165107109</v>
      </c>
      <c r="X22" s="52">
        <f t="shared" ref="X22" si="17">SUM(X16:X21)</f>
        <v>-97426.834892890998</v>
      </c>
      <c r="Z22" s="52">
        <f>SUM(Z16:Z21)</f>
        <v>0</v>
      </c>
      <c r="AA22" s="52">
        <f t="shared" ref="AA22:AB22" si="18">SUM(AA16:AA21)</f>
        <v>0</v>
      </c>
      <c r="AB22" s="52">
        <f t="shared" si="18"/>
        <v>0</v>
      </c>
      <c r="AD22" s="52">
        <f>SUM(AD16:AD21)</f>
        <v>0</v>
      </c>
      <c r="AE22" s="52">
        <f t="shared" ref="AE22:AF22" si="19">SUM(AE16:AE21)</f>
        <v>0</v>
      </c>
      <c r="AF22" s="52">
        <f t="shared" si="19"/>
        <v>0</v>
      </c>
      <c r="AK22" s="202"/>
      <c r="AL22" s="202"/>
    </row>
    <row r="23" spans="1:38" x14ac:dyDescent="0.25">
      <c r="A23" s="24" t="s">
        <v>60</v>
      </c>
      <c r="B23" s="89">
        <f>-T23</f>
        <v>5081.5600000000004</v>
      </c>
      <c r="C23" s="90">
        <f>-X23</f>
        <v>0</v>
      </c>
      <c r="D23" s="100">
        <f>+B23-C23</f>
        <v>5081.5600000000004</v>
      </c>
      <c r="E23" s="118">
        <f t="shared" si="4"/>
        <v>0</v>
      </c>
      <c r="F23" s="89"/>
      <c r="G23" s="89"/>
      <c r="H23" s="89"/>
      <c r="I23" s="90">
        <f>SUM(F23:H23)</f>
        <v>0</v>
      </c>
      <c r="J23" s="100">
        <f>+F23-H23</f>
        <v>0</v>
      </c>
      <c r="K23" s="122">
        <f t="shared" si="0"/>
        <v>0</v>
      </c>
      <c r="N23" s="3" t="s">
        <v>60</v>
      </c>
      <c r="T23" s="52">
        <f>'Bridgestone 935'!T23+'Bridgestone 936'!T23</f>
        <v>-5081.5600000000004</v>
      </c>
      <c r="V23" s="52"/>
      <c r="W23" s="52"/>
      <c r="X23" s="52">
        <f>'Bridgestone 935'!X23+'Bridgestone 936'!X23</f>
        <v>0</v>
      </c>
      <c r="AB23" s="52">
        <f>+SUMIF(Export!$I:$I,'Bridgestone GROUP'!N23,Export!M:M)</f>
        <v>0</v>
      </c>
      <c r="AD23" s="52"/>
      <c r="AE23" s="52"/>
      <c r="AF23" s="52">
        <f>+SUMIF(Export!$I:$I,'Bridgestone GROUP'!N23,Export!O:O)</f>
        <v>0</v>
      </c>
      <c r="AK23" s="202"/>
      <c r="AL23" s="202"/>
    </row>
    <row r="24" spans="1:38" x14ac:dyDescent="0.25">
      <c r="A24" s="27" t="s">
        <v>1671</v>
      </c>
      <c r="B24" s="91">
        <f>-T22+B23</f>
        <v>95206.1</v>
      </c>
      <c r="C24" s="92">
        <f>-X22+C23</f>
        <v>97426.834892890998</v>
      </c>
      <c r="D24" s="101">
        <f>+B24-C24</f>
        <v>-2220.7348928909923</v>
      </c>
      <c r="E24" s="119">
        <f t="shared" si="4"/>
        <v>-2.2793872913273037E-2</v>
      </c>
      <c r="F24" s="91"/>
      <c r="G24" s="91"/>
      <c r="H24" s="91"/>
      <c r="I24" s="92">
        <f>SUM(F24:H24)</f>
        <v>0</v>
      </c>
      <c r="J24" s="101">
        <f>+F24-H24</f>
        <v>0</v>
      </c>
      <c r="K24" s="123">
        <f t="shared" si="0"/>
        <v>0</v>
      </c>
      <c r="V24" s="52"/>
      <c r="W24" s="52"/>
      <c r="X24" s="52"/>
      <c r="AD24" s="52"/>
      <c r="AE24" s="52"/>
      <c r="AF24" s="52"/>
      <c r="AK24" s="202">
        <f>B24-'NS PARTS 130'!B24-'NW PARTS 230'!B24-'NW PARTS 330'!B24-'NW PARTS 430'!B24</f>
        <v>-105287.85999999993</v>
      </c>
      <c r="AL24" s="202">
        <f>C24-'NS PARTS 130'!C24-'NW PARTS 230'!C24-'NW PARTS 330'!C24-'NW PARTS 430'!C24</f>
        <v>-148273.16510710894</v>
      </c>
    </row>
    <row r="25" spans="1:38" x14ac:dyDescent="0.25">
      <c r="A25" s="24" t="s">
        <v>1672</v>
      </c>
      <c r="B25" s="130">
        <f>+B24/-R22</f>
        <v>0.43522422485680579</v>
      </c>
      <c r="C25" s="131">
        <f>+C24/-V22</f>
        <v>0.389707339571564</v>
      </c>
      <c r="D25" s="128">
        <f t="shared" ref="D25" si="20">+B25-C25</f>
        <v>4.5516885285241782E-2</v>
      </c>
      <c r="E25" s="129">
        <f t="shared" si="4"/>
        <v>0.11679760852151792</v>
      </c>
      <c r="F25" s="130"/>
      <c r="G25" s="130"/>
      <c r="H25" s="130"/>
      <c r="I25" s="131" t="e">
        <f t="shared" ref="I25:I29" si="21">AVERAGE(F25:H25)</f>
        <v>#DIV/0!</v>
      </c>
      <c r="J25" s="128">
        <f t="shared" ref="J25" si="22">+F25-H25</f>
        <v>0</v>
      </c>
      <c r="K25" s="125">
        <f t="shared" si="0"/>
        <v>0</v>
      </c>
      <c r="V25" s="52"/>
      <c r="W25" s="52"/>
      <c r="X25" s="52"/>
      <c r="AD25" s="52"/>
      <c r="AE25" s="52"/>
      <c r="AF25" s="52"/>
      <c r="AK25" s="202"/>
      <c r="AL25" s="202"/>
    </row>
    <row r="26" spans="1:38" x14ac:dyDescent="0.25">
      <c r="A26" s="24" t="s">
        <v>1255</v>
      </c>
      <c r="B26" s="130">
        <f>IFERROR($T26,0)/-$R$22</f>
        <v>0.21996459549780242</v>
      </c>
      <c r="C26" s="131">
        <f>IFERROR($X26,0)/-$V$22</f>
        <v>0.3</v>
      </c>
      <c r="D26" s="128">
        <f>+C26-B26</f>
        <v>8.0035404502197566E-2</v>
      </c>
      <c r="E26" s="129">
        <f t="shared" si="4"/>
        <v>0.26678468167399189</v>
      </c>
      <c r="F26" s="130"/>
      <c r="G26" s="130"/>
      <c r="H26" s="130"/>
      <c r="I26" s="131" t="e">
        <f t="shared" si="21"/>
        <v>#DIV/0!</v>
      </c>
      <c r="J26" s="128">
        <f>+H26-F26</f>
        <v>0</v>
      </c>
      <c r="K26" s="125">
        <f t="shared" si="0"/>
        <v>0</v>
      </c>
      <c r="N26" s="3" t="s">
        <v>1252</v>
      </c>
      <c r="T26" s="52">
        <f>'Bridgestone 935'!T26+'Bridgestone 936'!T26</f>
        <v>48117.659999999996</v>
      </c>
      <c r="V26" s="52"/>
      <c r="W26" s="52"/>
      <c r="X26" s="52">
        <f>'Bridgestone 935'!X26+'Bridgestone 936'!X26</f>
        <v>75000</v>
      </c>
      <c r="AB26" s="52">
        <f>+SUMIF(Export!$I:$I,'Bridgestone GROUP'!N26,Export!M:M)</f>
        <v>0</v>
      </c>
      <c r="AD26" s="52"/>
      <c r="AE26" s="52"/>
      <c r="AF26" s="52">
        <f>+SUMIF(Export!$I:$I,'Bridgestone GROUP'!N26,Export!O:O)</f>
        <v>0</v>
      </c>
      <c r="AK26" s="202"/>
      <c r="AL26" s="202"/>
    </row>
    <row r="27" spans="1:38" x14ac:dyDescent="0.25">
      <c r="A27" s="24" t="s">
        <v>1286</v>
      </c>
      <c r="B27" s="130">
        <f>IFERROR($T27,0)/-$R$22</f>
        <v>3.0373321659831521E-2</v>
      </c>
      <c r="C27" s="131">
        <f>IFERROR($X27,0)/-$V$22</f>
        <v>0</v>
      </c>
      <c r="D27" s="128">
        <f>+C27-B27</f>
        <v>-3.0373321659831521E-2</v>
      </c>
      <c r="E27" s="129">
        <f t="shared" si="4"/>
        <v>0</v>
      </c>
      <c r="F27" s="130"/>
      <c r="G27" s="130"/>
      <c r="H27" s="130"/>
      <c r="I27" s="131" t="e">
        <f t="shared" si="21"/>
        <v>#DIV/0!</v>
      </c>
      <c r="J27" s="128">
        <f>+H27-F27</f>
        <v>0</v>
      </c>
      <c r="K27" s="125">
        <f t="shared" si="0"/>
        <v>0</v>
      </c>
      <c r="N27" s="3" t="s">
        <v>1286</v>
      </c>
      <c r="T27" s="52">
        <f>'Bridgestone 935'!T27+'Bridgestone 936'!T27</f>
        <v>6644.2199999999993</v>
      </c>
      <c r="V27" s="52"/>
      <c r="W27" s="52"/>
      <c r="X27" s="52">
        <f>'Bridgestone 935'!X27+'Bridgestone 936'!X27</f>
        <v>0</v>
      </c>
      <c r="AB27" s="52">
        <f>+SUMIF(Export!J:J,'Bridgestone GROUP'!N27,Export!M:M)</f>
        <v>0</v>
      </c>
      <c r="AD27" s="52"/>
      <c r="AE27" s="52"/>
      <c r="AF27" s="52">
        <f>+SUMIF(Export!$J:$J,'Bridgestone GROUP'!N27,Export!O:O)</f>
        <v>0</v>
      </c>
      <c r="AK27" s="202"/>
      <c r="AL27" s="202"/>
    </row>
    <row r="28" spans="1:38" x14ac:dyDescent="0.25">
      <c r="A28" s="24" t="s">
        <v>1674</v>
      </c>
      <c r="B28" s="132">
        <f>+SUM(B26:B27)</f>
        <v>0.25033791715763393</v>
      </c>
      <c r="C28" s="131">
        <f>+SUM(C26:C27)</f>
        <v>0.3</v>
      </c>
      <c r="D28" s="128">
        <f>+C28-B28</f>
        <v>4.9662082842366062E-2</v>
      </c>
      <c r="E28" s="129">
        <f t="shared" si="4"/>
        <v>0.16554027614122022</v>
      </c>
      <c r="F28" s="130"/>
      <c r="G28" s="130"/>
      <c r="H28" s="130"/>
      <c r="I28" s="131" t="e">
        <f t="shared" si="21"/>
        <v>#DIV/0!</v>
      </c>
      <c r="J28" s="128">
        <f>+H28-F28</f>
        <v>0</v>
      </c>
      <c r="K28" s="125">
        <f t="shared" si="0"/>
        <v>0</v>
      </c>
      <c r="V28" s="52"/>
      <c r="W28" s="52"/>
      <c r="X28" s="52"/>
      <c r="AD28" s="52"/>
      <c r="AE28" s="52"/>
      <c r="AF28" s="52"/>
      <c r="AK28" s="202"/>
      <c r="AL28" s="202"/>
    </row>
    <row r="29" spans="1:38" x14ac:dyDescent="0.25">
      <c r="A29" s="24" t="s">
        <v>1675</v>
      </c>
      <c r="B29" s="132">
        <f>+B25-B28</f>
        <v>0.18488630769917186</v>
      </c>
      <c r="C29" s="131">
        <f>+C25-C28</f>
        <v>8.9707339571564015E-2</v>
      </c>
      <c r="D29" s="128">
        <f>+B29-C29</f>
        <v>9.5178968127607844E-2</v>
      </c>
      <c r="E29" s="129">
        <f t="shared" si="4"/>
        <v>1.0609942127609173</v>
      </c>
      <c r="F29" s="132"/>
      <c r="G29" s="132"/>
      <c r="H29" s="132"/>
      <c r="I29" s="131" t="e">
        <f t="shared" si="21"/>
        <v>#DIV/0!</v>
      </c>
      <c r="J29" s="128">
        <f>+F29-H29</f>
        <v>0</v>
      </c>
      <c r="K29" s="125">
        <f t="shared" si="0"/>
        <v>0</v>
      </c>
      <c r="V29" s="52"/>
      <c r="W29" s="52"/>
      <c r="X29" s="52"/>
      <c r="AD29" s="52"/>
      <c r="AE29" s="52"/>
      <c r="AF29" s="52"/>
      <c r="AK29" s="202"/>
      <c r="AL29" s="202"/>
    </row>
    <row r="30" spans="1:38" s="28" customFormat="1" ht="15.75" thickBot="1" x14ac:dyDescent="0.3">
      <c r="A30" s="29" t="s">
        <v>1676</v>
      </c>
      <c r="B30" s="94">
        <f>-T30</f>
        <v>40444.220000000008</v>
      </c>
      <c r="C30" s="93">
        <f>-X30</f>
        <v>22426.834892891009</v>
      </c>
      <c r="D30" s="108">
        <f>+B30-C30</f>
        <v>18017.385107108999</v>
      </c>
      <c r="E30" s="120">
        <f t="shared" si="4"/>
        <v>0.80338510508320804</v>
      </c>
      <c r="F30" s="94"/>
      <c r="G30" s="94"/>
      <c r="H30" s="94"/>
      <c r="I30" s="93">
        <f>SUM(F30:H30)</f>
        <v>0</v>
      </c>
      <c r="J30" s="108">
        <f>+F30-H30</f>
        <v>0</v>
      </c>
      <c r="K30" s="124">
        <f t="shared" si="0"/>
        <v>0</v>
      </c>
      <c r="N30" s="3"/>
      <c r="O30" s="3"/>
      <c r="P30" s="3"/>
      <c r="Q30" s="3"/>
      <c r="R30" s="52"/>
      <c r="S30" s="52"/>
      <c r="T30" s="52">
        <f>+SUM(T22:T29)</f>
        <v>-40444.220000000008</v>
      </c>
      <c r="V30" s="52"/>
      <c r="W30" s="52"/>
      <c r="X30" s="52">
        <f>'Bridgestone 935'!X30+'Bridgestone 936'!X30</f>
        <v>-22426.834892891009</v>
      </c>
      <c r="Z30" s="52"/>
      <c r="AA30" s="52"/>
      <c r="AB30" s="52">
        <f>+SUM(AB22:AB29)</f>
        <v>0</v>
      </c>
      <c r="AD30" s="52"/>
      <c r="AE30" s="52"/>
      <c r="AF30" s="52">
        <f>+SUM(AF22:AF29)</f>
        <v>0</v>
      </c>
      <c r="AK30" s="202">
        <f>B30-'NS PARTS 130'!B30-'NW PARTS 230'!B30-'NW PARTS 330'!B30-'NW PARTS 430'!B30</f>
        <v>-16241.349999999911</v>
      </c>
      <c r="AL30" s="202">
        <f>C30-'NS PARTS 130'!C30-'NW PARTS 230'!C30-'NW PARTS 330'!C30-'NW PARTS 430'!C30</f>
        <v>-92559.499440442291</v>
      </c>
    </row>
    <row r="31" spans="1:38" ht="0" hidden="1" customHeight="1" x14ac:dyDescent="0.25">
      <c r="E31" s="121"/>
      <c r="K31" s="121"/>
      <c r="V31" s="52"/>
      <c r="W31" s="52"/>
      <c r="X31" s="52"/>
      <c r="AD31" s="52"/>
      <c r="AE31" s="52"/>
      <c r="AF31" s="52"/>
      <c r="AK31" s="202"/>
      <c r="AL31" s="202"/>
    </row>
    <row r="32" spans="1:38" ht="15.75" thickTop="1" x14ac:dyDescent="0.25">
      <c r="E32" s="121"/>
      <c r="K32" s="121"/>
      <c r="V32" s="52"/>
      <c r="W32" s="52"/>
      <c r="X32" s="52"/>
      <c r="AD32" s="52"/>
      <c r="AE32" s="52"/>
      <c r="AF32" s="52"/>
      <c r="AK32" s="202"/>
      <c r="AL32" s="202"/>
    </row>
    <row r="33" spans="1:38" s="149" customFormat="1" x14ac:dyDescent="0.25">
      <c r="A33" s="10" t="s">
        <v>1677</v>
      </c>
      <c r="B33" s="12">
        <f>'Bridgestone 935'!B33+'Bridgestone 936'!B33</f>
        <v>7</v>
      </c>
      <c r="C33" s="12">
        <f>'Bridgestone 935'!C33+'Bridgestone 936'!C33</f>
        <v>7</v>
      </c>
      <c r="D33" s="178"/>
      <c r="F33" s="12"/>
      <c r="G33" s="12"/>
      <c r="H33" s="12"/>
      <c r="I33" s="12"/>
      <c r="N33" s="3"/>
      <c r="O33" s="3"/>
      <c r="P33" s="3"/>
      <c r="Q33" s="3"/>
      <c r="R33" s="3"/>
      <c r="AK33" s="202">
        <f>B33-'NS PARTS 130'!B33-'NW PARTS 230'!B33-'NW PARTS 330'!B33-'NW PARTS 430'!B33</f>
        <v>-3</v>
      </c>
      <c r="AL33" s="202">
        <f>C33-'NS PARTS 130'!C33-'NW PARTS 230'!C33-'NW PARTS 330'!C33-'NW PARTS 430'!C33</f>
        <v>-6</v>
      </c>
    </row>
    <row r="34" spans="1:38" x14ac:dyDescent="0.25">
      <c r="A34" s="3" t="s">
        <v>1654</v>
      </c>
      <c r="D34" s="195"/>
      <c r="AK34" s="202"/>
      <c r="AL34" s="202"/>
    </row>
    <row r="35" spans="1:38" x14ac:dyDescent="0.25">
      <c r="A35" s="3"/>
      <c r="B35" s="89">
        <f>+SUMIF('TUNZ Extracted TB'!M:M,'Bridgestone GROUP'!N35,'TUNZ Extracted TB'!H:H)+SUMIF('TUNZ Extracted TB'!M:M,'Bridgestone GROUP'!O35,'TUNZ Extracted TB'!H:H)</f>
        <v>116930.83</v>
      </c>
      <c r="F35" s="89"/>
      <c r="G35" s="89"/>
      <c r="H35" s="89"/>
      <c r="N35" s="3" t="s">
        <v>1757</v>
      </c>
      <c r="AK35" s="202">
        <f>B35-'NS PARTS 130'!B36-'NW PARTS 230'!B36-'NW PARTS 330'!B36-'NW PARTS 430'!B36</f>
        <v>-1318208.9200000002</v>
      </c>
      <c r="AL35" s="202">
        <f>C35-'NS PARTS 130'!C36-'NW PARTS 230'!C36-'NW PARTS 330'!C36-'NW PARTS 430'!C36</f>
        <v>0</v>
      </c>
    </row>
    <row r="36" spans="1:38" x14ac:dyDescent="0.25">
      <c r="C36" s="197"/>
    </row>
    <row r="37" spans="1:38" x14ac:dyDescent="0.25">
      <c r="B37" s="195"/>
      <c r="C37" s="197"/>
    </row>
    <row r="38" spans="1:38" x14ac:dyDescent="0.25">
      <c r="C38" s="197"/>
    </row>
    <row r="39" spans="1:38" x14ac:dyDescent="0.25">
      <c r="C39" s="197"/>
      <c r="F39" s="197"/>
      <c r="G39" s="197"/>
    </row>
    <row r="40" spans="1:38" x14ac:dyDescent="0.25">
      <c r="C40" s="197"/>
    </row>
    <row r="41" spans="1:38" x14ac:dyDescent="0.25">
      <c r="C41" s="197"/>
      <c r="R41" s="308"/>
    </row>
    <row r="44" spans="1:38" x14ac:dyDescent="0.25">
      <c r="D44" s="269"/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11B1A-FC2B-441B-8903-99B1E73F5D04}">
  <sheetPr>
    <tabColor theme="9" tint="0.79998168889431442"/>
  </sheetPr>
  <dimension ref="A1:AL48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2" width="10.85546875" style="16" customWidth="1" outlineLevel="1"/>
    <col min="3" max="3" width="11.140625" style="16" customWidth="1" outlineLevel="1"/>
    <col min="4" max="5" width="9.7109375" style="16" customWidth="1" outlineLevel="1"/>
    <col min="6" max="7" width="9.7109375" style="16" customWidth="1"/>
    <col min="8" max="8" width="9.7109375" style="16" customWidth="1" outlineLevel="1"/>
    <col min="9" max="9" width="12" style="16" bestFit="1" customWidth="1"/>
    <col min="10" max="11" width="9.7109375" style="16" hidden="1" customWidth="1"/>
    <col min="12" max="12" width="9.140625" style="16" customWidth="1"/>
    <col min="13" max="13" width="12" style="16" bestFit="1" customWidth="1"/>
    <col min="14" max="14" width="23.42578125" style="3" customWidth="1" outlineLevel="1"/>
    <col min="15" max="17" width="11.7109375" style="3" customWidth="1" outlineLevel="1"/>
    <col min="18" max="20" width="9.140625" style="52" customWidth="1" outlineLevel="1"/>
    <col min="21" max="25" width="9.140625" style="16" customWidth="1" outlineLevel="1"/>
    <col min="26" max="28" width="9.140625" style="52" customWidth="1" outlineLevel="1"/>
    <col min="29" max="36" width="9.140625" style="16" customWidth="1" outlineLevel="1"/>
    <col min="37" max="38" width="12" style="16" bestFit="1" customWidth="1"/>
    <col min="39" max="16384" width="9.140625" style="16"/>
  </cols>
  <sheetData>
    <row r="1" spans="1:38" ht="15" customHeight="1" x14ac:dyDescent="0.25">
      <c r="A1" s="326" t="s">
        <v>1756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38" ht="6.6" customHeight="1" thickBot="1" x14ac:dyDescent="0.3"/>
    <row r="3" spans="1:38" ht="15.75" thickTop="1" x14ac:dyDescent="0.25">
      <c r="A3" s="38" t="s">
        <v>1591</v>
      </c>
      <c r="B3" s="350" t="s">
        <v>155</v>
      </c>
      <c r="C3" s="329"/>
      <c r="D3" s="329"/>
      <c r="E3" s="329"/>
      <c r="F3" s="350" t="s">
        <v>1629</v>
      </c>
      <c r="G3" s="350"/>
      <c r="H3" s="329"/>
      <c r="I3" s="329"/>
      <c r="J3" s="329"/>
      <c r="K3" s="345"/>
    </row>
    <row r="4" spans="1:38" x14ac:dyDescent="0.25">
      <c r="A4" s="39" t="s">
        <v>1591</v>
      </c>
      <c r="B4" s="40"/>
      <c r="C4" s="40"/>
      <c r="D4" s="351"/>
      <c r="E4" s="331"/>
      <c r="F4" s="40"/>
      <c r="G4" s="40"/>
      <c r="H4" s="40"/>
      <c r="I4" s="40"/>
      <c r="J4" s="351"/>
      <c r="K4" s="347"/>
    </row>
    <row r="5" spans="1:38" x14ac:dyDescent="0.25">
      <c r="A5" s="39" t="s">
        <v>98</v>
      </c>
      <c r="B5" s="41" t="s">
        <v>12</v>
      </c>
      <c r="C5" s="41" t="s">
        <v>1592</v>
      </c>
      <c r="D5" s="42" t="s">
        <v>1609</v>
      </c>
      <c r="E5" s="42" t="s">
        <v>1610</v>
      </c>
      <c r="F5" s="262" t="str">
        <f>OVERALL!F5</f>
        <v>0124</v>
      </c>
      <c r="G5" s="262" t="str">
        <f>OVERALL!G5</f>
        <v>0224</v>
      </c>
      <c r="H5" s="262" t="str">
        <f>OVERALL!H5</f>
        <v>0324</v>
      </c>
      <c r="I5" s="41" t="str">
        <f>OVERALL!I5</f>
        <v>Q124</v>
      </c>
      <c r="J5" s="42" t="s">
        <v>1609</v>
      </c>
      <c r="K5" s="43" t="s">
        <v>1610</v>
      </c>
    </row>
    <row r="6" spans="1:38" x14ac:dyDescent="0.25">
      <c r="A6" s="24" t="s">
        <v>1122</v>
      </c>
      <c r="B6" s="51">
        <f>+R16/$R$22</f>
        <v>0.75547307942855235</v>
      </c>
      <c r="C6" s="96">
        <f>+V16/$V$22</f>
        <v>0.74999999999999989</v>
      </c>
      <c r="D6" s="109">
        <f>+B6-C6</f>
        <v>5.4730794285524631E-3</v>
      </c>
      <c r="E6" s="118">
        <f>IFERROR(+D6/C6,0)</f>
        <v>7.297439238069952E-3</v>
      </c>
      <c r="F6" s="51"/>
      <c r="G6" s="51"/>
      <c r="H6" s="51"/>
      <c r="I6" s="96" t="e">
        <f>AVERAGE(F6:H6)</f>
        <v>#DIV/0!</v>
      </c>
      <c r="J6" s="126">
        <f>+F6-H6</f>
        <v>0</v>
      </c>
      <c r="K6" s="122">
        <f t="shared" ref="K6:K30" si="0">IFERROR(+J6/H6,0)</f>
        <v>0</v>
      </c>
      <c r="N6" s="3" t="s">
        <v>1122</v>
      </c>
      <c r="O6" s="3" t="s">
        <v>1201</v>
      </c>
    </row>
    <row r="7" spans="1:38" x14ac:dyDescent="0.25">
      <c r="A7" s="24" t="s">
        <v>1127</v>
      </c>
      <c r="B7" s="51">
        <f t="shared" ref="B7:B11" si="1">+R17/$R$22</f>
        <v>0.10666348475909647</v>
      </c>
      <c r="C7" s="96">
        <f t="shared" ref="C7:C11" si="2">+V17/$V$22</f>
        <v>0.1</v>
      </c>
      <c r="D7" s="109">
        <f t="shared" ref="D7:D12" si="3">+B7-C7</f>
        <v>6.6634847590964635E-3</v>
      </c>
      <c r="E7" s="118">
        <f t="shared" ref="E7:E30" si="4">IFERROR(+D7/C7,0)</f>
        <v>6.6634847590964635E-2</v>
      </c>
      <c r="F7" s="51"/>
      <c r="G7" s="51"/>
      <c r="H7" s="51"/>
      <c r="I7" s="96" t="e">
        <f t="shared" ref="I7:I12" si="5">AVERAGE(F7:H7)</f>
        <v>#DIV/0!</v>
      </c>
      <c r="J7" s="126">
        <f t="shared" ref="J7:J12" si="6">+F7-H7</f>
        <v>0</v>
      </c>
      <c r="K7" s="122">
        <f t="shared" si="0"/>
        <v>0</v>
      </c>
    </row>
    <row r="8" spans="1:38" x14ac:dyDescent="0.25">
      <c r="A8" s="24" t="s">
        <v>1132</v>
      </c>
      <c r="B8" s="51">
        <f t="shared" si="1"/>
        <v>0</v>
      </c>
      <c r="C8" s="96">
        <f t="shared" si="2"/>
        <v>0</v>
      </c>
      <c r="D8" s="109">
        <f t="shared" si="3"/>
        <v>0</v>
      </c>
      <c r="E8" s="118">
        <f t="shared" si="4"/>
        <v>0</v>
      </c>
      <c r="F8" s="51"/>
      <c r="G8" s="51"/>
      <c r="H8" s="51"/>
      <c r="I8" s="96" t="e">
        <f t="shared" si="5"/>
        <v>#DIV/0!</v>
      </c>
      <c r="J8" s="126">
        <f t="shared" si="6"/>
        <v>0</v>
      </c>
      <c r="K8" s="122">
        <f t="shared" si="0"/>
        <v>0</v>
      </c>
    </row>
    <row r="9" spans="1:38" x14ac:dyDescent="0.25">
      <c r="A9" s="24" t="s">
        <v>1140</v>
      </c>
      <c r="B9" s="51">
        <f t="shared" si="1"/>
        <v>0</v>
      </c>
      <c r="C9" s="96">
        <f t="shared" si="2"/>
        <v>0</v>
      </c>
      <c r="D9" s="109">
        <f t="shared" si="3"/>
        <v>0</v>
      </c>
      <c r="E9" s="118">
        <f t="shared" si="4"/>
        <v>0</v>
      </c>
      <c r="F9" s="51"/>
      <c r="G9" s="51"/>
      <c r="H9" s="51"/>
      <c r="I9" s="96" t="e">
        <f t="shared" si="5"/>
        <v>#DIV/0!</v>
      </c>
      <c r="J9" s="126">
        <f t="shared" si="6"/>
        <v>0</v>
      </c>
      <c r="K9" s="122">
        <f t="shared" si="0"/>
        <v>0</v>
      </c>
    </row>
    <row r="10" spans="1:38" x14ac:dyDescent="0.25">
      <c r="A10" s="24" t="s">
        <v>1145</v>
      </c>
      <c r="B10" s="51">
        <f t="shared" si="1"/>
        <v>0.13786343581235125</v>
      </c>
      <c r="C10" s="96">
        <f t="shared" si="2"/>
        <v>0.15</v>
      </c>
      <c r="D10" s="109">
        <f t="shared" si="3"/>
        <v>-1.2136564187648746E-2</v>
      </c>
      <c r="E10" s="118">
        <f t="shared" si="4"/>
        <v>-8.0910427917658317E-2</v>
      </c>
      <c r="F10" s="51"/>
      <c r="G10" s="51"/>
      <c r="H10" s="51"/>
      <c r="I10" s="96" t="e">
        <f t="shared" si="5"/>
        <v>#DIV/0!</v>
      </c>
      <c r="J10" s="126">
        <f t="shared" si="6"/>
        <v>0</v>
      </c>
      <c r="K10" s="122">
        <f t="shared" si="0"/>
        <v>0</v>
      </c>
    </row>
    <row r="11" spans="1:38" x14ac:dyDescent="0.25">
      <c r="A11" s="24" t="s">
        <v>1137</v>
      </c>
      <c r="B11" s="51">
        <f t="shared" si="1"/>
        <v>0</v>
      </c>
      <c r="C11" s="96">
        <f t="shared" si="2"/>
        <v>0</v>
      </c>
      <c r="D11" s="109">
        <f t="shared" si="3"/>
        <v>0</v>
      </c>
      <c r="E11" s="118">
        <f t="shared" si="4"/>
        <v>0</v>
      </c>
      <c r="F11" s="51"/>
      <c r="G11" s="51"/>
      <c r="H11" s="51"/>
      <c r="I11" s="96" t="e">
        <f t="shared" si="5"/>
        <v>#DIV/0!</v>
      </c>
      <c r="J11" s="126">
        <f t="shared" si="6"/>
        <v>0</v>
      </c>
      <c r="K11" s="122">
        <f t="shared" si="0"/>
        <v>0</v>
      </c>
    </row>
    <row r="12" spans="1:38" x14ac:dyDescent="0.25">
      <c r="A12" s="24" t="s">
        <v>1666</v>
      </c>
      <c r="B12" s="53">
        <f>SUM(B6:B11)</f>
        <v>1</v>
      </c>
      <c r="C12" s="96">
        <f>SUM(C6:C11)</f>
        <v>0.99999999999999989</v>
      </c>
      <c r="D12" s="109">
        <f t="shared" si="3"/>
        <v>0</v>
      </c>
      <c r="E12" s="118">
        <f t="shared" si="4"/>
        <v>0</v>
      </c>
      <c r="F12" s="51"/>
      <c r="G12" s="51"/>
      <c r="H12" s="51"/>
      <c r="I12" s="96" t="e">
        <f t="shared" si="5"/>
        <v>#DIV/0!</v>
      </c>
      <c r="J12" s="126">
        <f t="shared" si="6"/>
        <v>0</v>
      </c>
      <c r="K12" s="122">
        <f t="shared" si="0"/>
        <v>0</v>
      </c>
    </row>
    <row r="13" spans="1:38" s="28" customFormat="1" x14ac:dyDescent="0.25">
      <c r="A13" s="27" t="s">
        <v>1667</v>
      </c>
      <c r="B13" s="91">
        <f>-R22</f>
        <v>144483.56</v>
      </c>
      <c r="C13" s="92">
        <f>-V22</f>
        <v>178571.42857142858</v>
      </c>
      <c r="D13" s="101">
        <f>+B13-C13</f>
        <v>-34087.868571428582</v>
      </c>
      <c r="E13" s="119">
        <f t="shared" si="4"/>
        <v>-0.19089206400000006</v>
      </c>
      <c r="F13" s="91"/>
      <c r="G13" s="91"/>
      <c r="H13" s="91"/>
      <c r="I13" s="92">
        <f>SUM(F13:H13)</f>
        <v>0</v>
      </c>
      <c r="J13" s="101">
        <f>+F13-H13</f>
        <v>0</v>
      </c>
      <c r="K13" s="123">
        <f t="shared" si="0"/>
        <v>0</v>
      </c>
      <c r="M13" s="234"/>
      <c r="N13" s="50"/>
      <c r="O13" s="50"/>
      <c r="P13" s="50"/>
      <c r="Q13" s="50"/>
      <c r="R13" s="170" t="s">
        <v>1641</v>
      </c>
      <c r="S13" s="170" t="s">
        <v>1641</v>
      </c>
      <c r="T13" s="170" t="s">
        <v>1641</v>
      </c>
      <c r="V13" s="170" t="s">
        <v>1641</v>
      </c>
      <c r="W13" s="170" t="s">
        <v>1641</v>
      </c>
      <c r="X13" s="170" t="s">
        <v>1641</v>
      </c>
      <c r="Z13" s="170" t="s">
        <v>156</v>
      </c>
      <c r="AA13" s="170" t="s">
        <v>156</v>
      </c>
      <c r="AB13" s="170" t="s">
        <v>156</v>
      </c>
      <c r="AD13" s="170" t="s">
        <v>156</v>
      </c>
      <c r="AE13" s="170" t="s">
        <v>156</v>
      </c>
      <c r="AF13" s="170" t="s">
        <v>156</v>
      </c>
      <c r="AK13" s="234"/>
      <c r="AL13" s="234"/>
    </row>
    <row r="14" spans="1:38" x14ac:dyDescent="0.25">
      <c r="A14" s="24" t="s">
        <v>1668</v>
      </c>
      <c r="B14" s="89">
        <f>+B13/B33</f>
        <v>28896.712</v>
      </c>
      <c r="C14" s="90">
        <f>+C13/C33</f>
        <v>35714.285714285717</v>
      </c>
      <c r="D14" s="100">
        <f>+B14-C14</f>
        <v>-6817.5737142857179</v>
      </c>
      <c r="E14" s="118">
        <f t="shared" si="4"/>
        <v>-0.19089206400000008</v>
      </c>
      <c r="F14" s="89"/>
      <c r="G14" s="89"/>
      <c r="H14" s="89"/>
      <c r="I14" s="90" t="e">
        <f>AVERAGE(F14,G14,H14)</f>
        <v>#DIV/0!</v>
      </c>
      <c r="J14" s="100">
        <f>+F14-H14</f>
        <v>0</v>
      </c>
      <c r="K14" s="122">
        <f t="shared" si="0"/>
        <v>0</v>
      </c>
      <c r="R14" s="95" t="s">
        <v>12</v>
      </c>
      <c r="S14" s="95" t="s">
        <v>12</v>
      </c>
      <c r="T14" s="95" t="s">
        <v>12</v>
      </c>
      <c r="V14" s="95" t="s">
        <v>1592</v>
      </c>
      <c r="W14" s="95" t="s">
        <v>1592</v>
      </c>
      <c r="X14" s="95" t="s">
        <v>1592</v>
      </c>
      <c r="Z14" s="95" t="s">
        <v>12</v>
      </c>
      <c r="AA14" s="95" t="s">
        <v>12</v>
      </c>
      <c r="AB14" s="95" t="s">
        <v>12</v>
      </c>
      <c r="AD14" s="95" t="s">
        <v>1592</v>
      </c>
      <c r="AE14" s="95" t="s">
        <v>1592</v>
      </c>
      <c r="AF14" s="95" t="s">
        <v>1592</v>
      </c>
    </row>
    <row r="15" spans="1:38" x14ac:dyDescent="0.25">
      <c r="A15" s="24" t="s">
        <v>1669</v>
      </c>
      <c r="B15" s="146">
        <f>+B36/S22*30</f>
        <v>41.897596880114897</v>
      </c>
      <c r="C15" s="147">
        <f>+B36/W22*30</f>
        <v>32.188457626557899</v>
      </c>
      <c r="D15" s="148">
        <f>+C15-B15</f>
        <v>-9.709139253556998</v>
      </c>
      <c r="E15" s="118">
        <f t="shared" si="4"/>
        <v>-0.30163418720461549</v>
      </c>
      <c r="F15" s="146"/>
      <c r="G15" s="146"/>
      <c r="H15" s="146"/>
      <c r="I15" s="147" t="e">
        <f t="shared" ref="I15:I22" si="7">AVERAGE(F15:H15)</f>
        <v>#DIV/0!</v>
      </c>
      <c r="J15" s="148">
        <f>+H15-F15</f>
        <v>0</v>
      </c>
      <c r="K15" s="122">
        <f t="shared" si="0"/>
        <v>0</v>
      </c>
      <c r="R15" s="3" t="s">
        <v>1642</v>
      </c>
      <c r="S15" s="3" t="s">
        <v>180</v>
      </c>
      <c r="T15" s="3" t="s">
        <v>153</v>
      </c>
      <c r="U15" s="3"/>
      <c r="V15" s="3" t="s">
        <v>1642</v>
      </c>
      <c r="W15" s="3" t="s">
        <v>180</v>
      </c>
      <c r="X15" s="3" t="s">
        <v>153</v>
      </c>
      <c r="Y15" s="3"/>
      <c r="Z15" s="3" t="s">
        <v>1642</v>
      </c>
      <c r="AA15" s="3" t="s">
        <v>180</v>
      </c>
      <c r="AB15" s="3" t="s">
        <v>153</v>
      </c>
      <c r="AC15" s="3"/>
      <c r="AD15" s="3" t="s">
        <v>1642</v>
      </c>
      <c r="AE15" s="3" t="s">
        <v>180</v>
      </c>
      <c r="AF15" s="3" t="s">
        <v>153</v>
      </c>
      <c r="AG15" s="3"/>
      <c r="AH15" s="3"/>
      <c r="AI15" s="3"/>
      <c r="AJ15" s="3"/>
      <c r="AK15" s="3"/>
      <c r="AL15" s="3"/>
    </row>
    <row r="16" spans="1:38" x14ac:dyDescent="0.25">
      <c r="A16" s="24" t="s">
        <v>1201</v>
      </c>
      <c r="B16" s="130">
        <f>IFERROR(+T16/R16,0)</f>
        <v>0.42795041548850865</v>
      </c>
      <c r="C16" s="131">
        <f>+IFERROR(X16/V16,0)</f>
        <v>0.38970733957156406</v>
      </c>
      <c r="D16" s="128">
        <f t="shared" ref="D16:D22" si="8">+B16-C16</f>
        <v>3.8243075916944591E-2</v>
      </c>
      <c r="E16" s="118">
        <f t="shared" si="4"/>
        <v>9.8132808991968731E-2</v>
      </c>
      <c r="F16" s="133"/>
      <c r="G16" s="133"/>
      <c r="H16" s="133"/>
      <c r="I16" s="131" t="e">
        <f t="shared" si="7"/>
        <v>#DIV/0!</v>
      </c>
      <c r="J16" s="126">
        <f t="shared" ref="J16:J22" si="9">+F16-H16</f>
        <v>0</v>
      </c>
      <c r="K16" s="122">
        <f t="shared" si="0"/>
        <v>0</v>
      </c>
      <c r="M16" s="162">
        <v>935</v>
      </c>
      <c r="N16" s="3" t="s">
        <v>1122</v>
      </c>
      <c r="O16" s="3" t="s">
        <v>1201</v>
      </c>
      <c r="R16" s="52">
        <f>+SUMIFS(Export!L:L,Export!I:I,N16,Export!E:E,M16)</f>
        <v>-109153.44</v>
      </c>
      <c r="S16" s="52">
        <f>+SUMIFS(Export!L:L,Export!I:I,O16,Export!E:E,M16)</f>
        <v>62441.18</v>
      </c>
      <c r="T16" s="52">
        <f>+SUM(R16:S16)</f>
        <v>-46712.26</v>
      </c>
      <c r="V16" s="52">
        <f>+SUMIFS(Export!N:N,Export!I:I,N16,Export!E:E,M16)</f>
        <v>-133928.57142857142</v>
      </c>
      <c r="W16" s="52">
        <f>+SUMIFS(Export!N:N,Export!I:I,O16,Export!E:E,M16)</f>
        <v>81735.624164522669</v>
      </c>
      <c r="X16" s="52">
        <f>+SUM(V16:W16)</f>
        <v>-52192.947264048751</v>
      </c>
      <c r="Z16" s="52">
        <f>+SUMIF(Export!$I:$I,'Bridgestone 935'!N16,Export!M:M)</f>
        <v>0</v>
      </c>
      <c r="AA16" s="52">
        <f>+SUMIF(Export!$I:$I,'Bridgestone 935'!O16,Export!M:M)</f>
        <v>0</v>
      </c>
      <c r="AB16" s="52">
        <f>+SUM(Z16:AA16)</f>
        <v>0</v>
      </c>
      <c r="AD16" s="52">
        <f>+SUMIF(Export!$I:$I,'Bridgestone 935'!N16,Export!O:O)</f>
        <v>0</v>
      </c>
      <c r="AE16" s="52">
        <f>+SUMIF(Export!$I:$I,'Bridgestone 935'!O16,Export!O:O)</f>
        <v>0</v>
      </c>
      <c r="AF16" s="52">
        <f>+SUM(AD16:AE16)</f>
        <v>0</v>
      </c>
    </row>
    <row r="17" spans="1:32" x14ac:dyDescent="0.25">
      <c r="A17" s="24" t="s">
        <v>1209</v>
      </c>
      <c r="B17" s="130">
        <f t="shared" ref="B17:B22" si="10">IFERROR(+T17/R17,0)</f>
        <v>0.53423307326138536</v>
      </c>
      <c r="C17" s="131">
        <f t="shared" ref="C17:C22" si="11">+IFERROR(X17/V17,0)</f>
        <v>0.389707339571564</v>
      </c>
      <c r="D17" s="128">
        <f t="shared" si="8"/>
        <v>0.14452573368982136</v>
      </c>
      <c r="E17" s="118">
        <f t="shared" si="4"/>
        <v>0.37085709971156788</v>
      </c>
      <c r="F17" s="133"/>
      <c r="G17" s="133"/>
      <c r="H17" s="133"/>
      <c r="I17" s="131" t="e">
        <f t="shared" si="7"/>
        <v>#DIV/0!</v>
      </c>
      <c r="J17" s="126">
        <f t="shared" si="9"/>
        <v>0</v>
      </c>
      <c r="K17" s="122">
        <f t="shared" si="0"/>
        <v>0</v>
      </c>
      <c r="M17" s="162">
        <v>935</v>
      </c>
      <c r="N17" s="3" t="s">
        <v>1127</v>
      </c>
      <c r="O17" s="3" t="s">
        <v>1209</v>
      </c>
      <c r="R17" s="52">
        <f>+SUMIFS(Export!L:L,Export!I:I,N17,Export!E:E,M17)</f>
        <v>-15411.12</v>
      </c>
      <c r="S17" s="52">
        <f>+SUMIFS(Export!L:L,Export!I:I,O17,Export!E:E,M17)</f>
        <v>7177.99</v>
      </c>
      <c r="T17" s="52">
        <f t="shared" ref="T17:T21" si="12">+SUM(R17:S17)</f>
        <v>-8233.130000000001</v>
      </c>
      <c r="V17" s="52">
        <f>+SUMIFS(Export!N:N,Export!I:I,N17,Export!E:E,M17)</f>
        <v>-17857.142857142859</v>
      </c>
      <c r="W17" s="52">
        <f>+SUMIFS(Export!N:N,Export!I:I,O17,Export!E:E,M17)</f>
        <v>10898.083221936358</v>
      </c>
      <c r="X17" s="52">
        <f t="shared" ref="X17:X21" si="13">+SUM(V17:W17)</f>
        <v>-6959.0596352065004</v>
      </c>
      <c r="Z17" s="52">
        <f>+SUMIF(Export!$I:$I,'Bridgestone 935'!N17,Export!M:M)</f>
        <v>0</v>
      </c>
      <c r="AA17" s="52">
        <f>+SUMIF(Export!$I:$I,'Bridgestone 935'!O17,Export!M:M)</f>
        <v>0</v>
      </c>
      <c r="AB17" s="52">
        <f t="shared" ref="AB17:AB21" si="14">+SUM(Z17:AA17)</f>
        <v>0</v>
      </c>
      <c r="AD17" s="52">
        <f>+SUMIF(Export!$I:$I,'Bridgestone 935'!N17,Export!O:O)</f>
        <v>0</v>
      </c>
      <c r="AE17" s="52">
        <f>+SUMIF(Export!$I:$I,'Bridgestone 935'!O17,Export!O:O)</f>
        <v>0</v>
      </c>
      <c r="AF17" s="52">
        <f t="shared" ref="AF17:AF21" si="15">+SUM(AD17:AE17)</f>
        <v>0</v>
      </c>
    </row>
    <row r="18" spans="1:32" x14ac:dyDescent="0.25">
      <c r="A18" s="24" t="s">
        <v>1216</v>
      </c>
      <c r="B18" s="130">
        <f t="shared" si="10"/>
        <v>0</v>
      </c>
      <c r="C18" s="131">
        <f t="shared" si="11"/>
        <v>0</v>
      </c>
      <c r="D18" s="128">
        <f t="shared" si="8"/>
        <v>0</v>
      </c>
      <c r="E18" s="118">
        <f t="shared" si="4"/>
        <v>0</v>
      </c>
      <c r="F18" s="133"/>
      <c r="G18" s="133"/>
      <c r="H18" s="133"/>
      <c r="I18" s="131" t="e">
        <f t="shared" si="7"/>
        <v>#DIV/0!</v>
      </c>
      <c r="J18" s="126">
        <f t="shared" si="9"/>
        <v>0</v>
      </c>
      <c r="K18" s="122">
        <f t="shared" si="0"/>
        <v>0</v>
      </c>
      <c r="M18" s="162">
        <v>935</v>
      </c>
      <c r="N18" s="3" t="s">
        <v>1132</v>
      </c>
      <c r="O18" s="3" t="s">
        <v>1216</v>
      </c>
      <c r="R18" s="52">
        <f>+SUMIFS(Export!L:L,Export!I:I,N18,Export!E:E,M18)</f>
        <v>0</v>
      </c>
      <c r="S18" s="52">
        <f>+SUMIFS(Export!L:L,Export!I:I,O18,Export!E:E,M18)</f>
        <v>1593.76</v>
      </c>
      <c r="T18" s="52">
        <f t="shared" si="12"/>
        <v>1593.76</v>
      </c>
      <c r="V18" s="52">
        <f>+SUMIFS(Export!N:N,Export!I:I,N18,Export!E:E,M18)</f>
        <v>0</v>
      </c>
      <c r="W18" s="52">
        <f>+SUMIFS(Export!N:N,Export!I:I,O18,Export!E:E,M18)</f>
        <v>0</v>
      </c>
      <c r="X18" s="52">
        <f t="shared" si="13"/>
        <v>0</v>
      </c>
      <c r="Z18" s="52">
        <f>+SUMIF(Export!$I:$I,'Bridgestone 935'!N18,Export!M:M)</f>
        <v>0</v>
      </c>
      <c r="AA18" s="52">
        <f>+SUMIF(Export!$I:$I,'Bridgestone 935'!O18,Export!M:M)</f>
        <v>0</v>
      </c>
      <c r="AB18" s="52">
        <f t="shared" si="14"/>
        <v>0</v>
      </c>
      <c r="AD18" s="52">
        <f>+SUMIF(Export!$I:$I,'Bridgestone 935'!N18,Export!O:O)</f>
        <v>0</v>
      </c>
      <c r="AE18" s="52">
        <f>+SUMIF(Export!$I:$I,'Bridgestone 935'!O18,Export!O:O)</f>
        <v>0</v>
      </c>
      <c r="AF18" s="52">
        <f t="shared" si="15"/>
        <v>0</v>
      </c>
    </row>
    <row r="19" spans="1:32" x14ac:dyDescent="0.25">
      <c r="A19" s="24" t="s">
        <v>1225</v>
      </c>
      <c r="B19" s="130">
        <f t="shared" si="10"/>
        <v>0</v>
      </c>
      <c r="C19" s="131">
        <f t="shared" si="11"/>
        <v>0</v>
      </c>
      <c r="D19" s="128">
        <f t="shared" si="8"/>
        <v>0</v>
      </c>
      <c r="E19" s="118">
        <f t="shared" si="4"/>
        <v>0</v>
      </c>
      <c r="F19" s="133"/>
      <c r="G19" s="133"/>
      <c r="H19" s="133"/>
      <c r="I19" s="131" t="e">
        <f t="shared" si="7"/>
        <v>#DIV/0!</v>
      </c>
      <c r="J19" s="126">
        <f t="shared" si="9"/>
        <v>0</v>
      </c>
      <c r="K19" s="122">
        <f t="shared" si="0"/>
        <v>0</v>
      </c>
      <c r="M19" s="162">
        <v>935</v>
      </c>
      <c r="N19" s="3" t="s">
        <v>1140</v>
      </c>
      <c r="O19" s="3" t="s">
        <v>1225</v>
      </c>
      <c r="R19" s="52">
        <f>+SUMIFS(Export!L:L,Export!I:I,N19,Export!E:E,M19)</f>
        <v>0</v>
      </c>
      <c r="S19" s="52">
        <f>+SUMIFS(Export!L:L,Export!I:I,O19,Export!E:E,M19)</f>
        <v>0</v>
      </c>
      <c r="T19" s="52">
        <f t="shared" si="12"/>
        <v>0</v>
      </c>
      <c r="V19" s="52">
        <f>+SUMIFS(Export!N:N,Export!I:I,N19,Export!E:E,M19)</f>
        <v>0</v>
      </c>
      <c r="W19" s="52">
        <f>+SUMIFS(Export!N:N,Export!I:I,O19,Export!E:E,M19)</f>
        <v>0</v>
      </c>
      <c r="X19" s="52">
        <f t="shared" si="13"/>
        <v>0</v>
      </c>
      <c r="Z19" s="52">
        <f>+SUMIF(Export!$I:$I,'Bridgestone 935'!N19,Export!M:M)</f>
        <v>0</v>
      </c>
      <c r="AA19" s="52">
        <f>+SUMIF(Export!$I:$I,'Bridgestone 935'!O19,Export!M:M)</f>
        <v>0</v>
      </c>
      <c r="AB19" s="52">
        <f t="shared" si="14"/>
        <v>0</v>
      </c>
      <c r="AD19" s="52">
        <f>+SUMIF(Export!$I:$I,'Bridgestone 935'!N19,Export!O:O)</f>
        <v>0</v>
      </c>
      <c r="AE19" s="52">
        <f>+SUMIF(Export!$I:$I,'Bridgestone 935'!O19,Export!O:O)</f>
        <v>0</v>
      </c>
      <c r="AF19" s="52">
        <f t="shared" si="15"/>
        <v>0</v>
      </c>
    </row>
    <row r="20" spans="1:32" x14ac:dyDescent="0.25">
      <c r="A20" s="24" t="s">
        <v>1230</v>
      </c>
      <c r="B20" s="130">
        <f t="shared" si="10"/>
        <v>0.41328982378633466</v>
      </c>
      <c r="C20" s="131">
        <f t="shared" si="11"/>
        <v>0.389707339571564</v>
      </c>
      <c r="D20" s="128">
        <f t="shared" si="8"/>
        <v>2.358248421477066E-2</v>
      </c>
      <c r="E20" s="118">
        <f t="shared" si="4"/>
        <v>6.0513318124048532E-2</v>
      </c>
      <c r="F20" s="133"/>
      <c r="G20" s="133"/>
      <c r="H20" s="133"/>
      <c r="I20" s="131" t="e">
        <f t="shared" si="7"/>
        <v>#DIV/0!</v>
      </c>
      <c r="J20" s="126">
        <f t="shared" si="9"/>
        <v>0</v>
      </c>
      <c r="K20" s="122">
        <f t="shared" si="0"/>
        <v>0</v>
      </c>
      <c r="M20" s="162">
        <v>935</v>
      </c>
      <c r="N20" s="3" t="s">
        <v>1145</v>
      </c>
      <c r="O20" s="3" t="s">
        <v>1230</v>
      </c>
      <c r="R20" s="52">
        <f>+SUMIFS(Export!L:L,Export!I:I,N20,Export!E:E,M20)</f>
        <v>-19919</v>
      </c>
      <c r="S20" s="52">
        <f>+SUMIFS(Export!L:L,Export!I:I,O20,Export!E:E,M20)</f>
        <v>11686.68</v>
      </c>
      <c r="T20" s="52">
        <f t="shared" si="12"/>
        <v>-8232.32</v>
      </c>
      <c r="V20" s="52">
        <f>+SUMIFS(Export!N:N,Export!I:I,N20,Export!E:E,M20)</f>
        <v>-26785.714285714286</v>
      </c>
      <c r="W20" s="52">
        <f>+SUMIFS(Export!N:N,Export!I:I,O20,Export!E:E,M20)</f>
        <v>16347.124832904536</v>
      </c>
      <c r="X20" s="52">
        <f t="shared" si="13"/>
        <v>-10438.589452809751</v>
      </c>
      <c r="Z20" s="52">
        <f>+SUMIF(Export!$I:$I,'Bridgestone 935'!N20,Export!M:M)</f>
        <v>0</v>
      </c>
      <c r="AA20" s="52">
        <f>+SUMIF(Export!$I:$I,'Bridgestone 935'!O20,Export!M:M)</f>
        <v>0</v>
      </c>
      <c r="AB20" s="52">
        <f t="shared" si="14"/>
        <v>0</v>
      </c>
      <c r="AD20" s="52">
        <f>+SUMIF(Export!$I:$I,'Bridgestone 935'!N20,Export!O:O)</f>
        <v>0</v>
      </c>
      <c r="AE20" s="52">
        <f>+SUMIF(Export!$I:$I,'Bridgestone 935'!O20,Export!O:O)</f>
        <v>0</v>
      </c>
      <c r="AF20" s="52">
        <f t="shared" si="15"/>
        <v>0</v>
      </c>
    </row>
    <row r="21" spans="1:32" x14ac:dyDescent="0.25">
      <c r="A21" s="24" t="s">
        <v>1222</v>
      </c>
      <c r="B21" s="130">
        <f>IFERROR(+T21/R21,0)</f>
        <v>0</v>
      </c>
      <c r="C21" s="131">
        <f t="shared" si="11"/>
        <v>0</v>
      </c>
      <c r="D21" s="128">
        <f t="shared" si="8"/>
        <v>0</v>
      </c>
      <c r="E21" s="118">
        <f t="shared" si="4"/>
        <v>0</v>
      </c>
      <c r="F21" s="133"/>
      <c r="G21" s="133"/>
      <c r="H21" s="133"/>
      <c r="I21" s="131" t="e">
        <f t="shared" si="7"/>
        <v>#DIV/0!</v>
      </c>
      <c r="J21" s="126">
        <f t="shared" si="9"/>
        <v>0</v>
      </c>
      <c r="K21" s="122">
        <f t="shared" si="0"/>
        <v>0</v>
      </c>
      <c r="M21" s="162">
        <v>935</v>
      </c>
      <c r="N21" s="3" t="s">
        <v>1137</v>
      </c>
      <c r="O21" s="3" t="s">
        <v>1222</v>
      </c>
      <c r="R21" s="52">
        <f>+SUMIFS(Export!L:L,Export!I:I,N21,Export!E:E,M21)</f>
        <v>0</v>
      </c>
      <c r="S21" s="52">
        <f>+SUMIFS(Export!L:L,Export!I:I,O21,Export!E:E,M21)</f>
        <v>826.55</v>
      </c>
      <c r="T21" s="52">
        <f t="shared" si="12"/>
        <v>826.55</v>
      </c>
      <c r="V21" s="52">
        <f>+SUMIFS(Export!N:N,Export!I:I,N21,Export!E:E,M21)</f>
        <v>0</v>
      </c>
      <c r="W21" s="52">
        <f>+SUMIFS(Export!N:N,Export!I:I,O21,Export!E:E,M21)</f>
        <v>0</v>
      </c>
      <c r="X21" s="52">
        <f t="shared" si="13"/>
        <v>0</v>
      </c>
      <c r="Z21" s="52">
        <f>+SUMIF(Export!$I:$I,'Bridgestone 935'!N21,Export!M:M)</f>
        <v>0</v>
      </c>
      <c r="AA21" s="52">
        <f>+SUMIF(Export!$I:$I,'Bridgestone 935'!O21,Export!M:M)</f>
        <v>0</v>
      </c>
      <c r="AB21" s="52">
        <f t="shared" si="14"/>
        <v>0</v>
      </c>
      <c r="AD21" s="52">
        <f>+SUMIF(Export!$I:$I,'Bridgestone 935'!N21,Export!O:O)</f>
        <v>0</v>
      </c>
      <c r="AE21" s="52">
        <f>+SUMIF(Export!$I:$I,'Bridgestone 935'!O21,Export!O:O)</f>
        <v>0</v>
      </c>
      <c r="AF21" s="52">
        <f t="shared" si="15"/>
        <v>0</v>
      </c>
    </row>
    <row r="22" spans="1:32" x14ac:dyDescent="0.25">
      <c r="A22" s="24" t="s">
        <v>1670</v>
      </c>
      <c r="B22" s="130">
        <f t="shared" si="10"/>
        <v>0.42051427857951446</v>
      </c>
      <c r="C22" s="131">
        <f t="shared" si="11"/>
        <v>0.38970733957156406</v>
      </c>
      <c r="D22" s="128">
        <f t="shared" si="8"/>
        <v>3.0806939007950396E-2</v>
      </c>
      <c r="E22" s="118">
        <f t="shared" si="4"/>
        <v>7.9051472424971236E-2</v>
      </c>
      <c r="F22" s="133"/>
      <c r="G22" s="133"/>
      <c r="H22" s="133"/>
      <c r="I22" s="131" t="e">
        <f t="shared" si="7"/>
        <v>#DIV/0!</v>
      </c>
      <c r="J22" s="126">
        <f t="shared" si="9"/>
        <v>0</v>
      </c>
      <c r="K22" s="122">
        <f t="shared" si="0"/>
        <v>0</v>
      </c>
      <c r="R22" s="52">
        <f>SUM(R16:R21)</f>
        <v>-144483.56</v>
      </c>
      <c r="S22" s="52">
        <f t="shared" ref="S22" si="16">SUM(S16:S21)</f>
        <v>83726.159999999989</v>
      </c>
      <c r="T22" s="52">
        <f>SUM(T16:T21)</f>
        <v>-60757.399999999994</v>
      </c>
      <c r="V22" s="52">
        <f>SUM(V16:V21)</f>
        <v>-178571.42857142858</v>
      </c>
      <c r="W22" s="52">
        <f t="shared" ref="W22:X22" si="17">SUM(W16:W21)</f>
        <v>108980.83221936355</v>
      </c>
      <c r="X22" s="52">
        <f t="shared" si="17"/>
        <v>-69590.596352065011</v>
      </c>
      <c r="Z22" s="52">
        <f>SUM(Z16:Z21)</f>
        <v>0</v>
      </c>
      <c r="AA22" s="52">
        <f t="shared" ref="AA22:AB22" si="18">SUM(AA16:AA21)</f>
        <v>0</v>
      </c>
      <c r="AB22" s="52">
        <f t="shared" si="18"/>
        <v>0</v>
      </c>
      <c r="AD22" s="52">
        <f>SUM(AD16:AD21)</f>
        <v>0</v>
      </c>
      <c r="AE22" s="52">
        <f t="shared" ref="AE22:AF22" si="19">SUM(AE16:AE21)</f>
        <v>0</v>
      </c>
      <c r="AF22" s="52">
        <f t="shared" si="19"/>
        <v>0</v>
      </c>
    </row>
    <row r="23" spans="1:32" x14ac:dyDescent="0.25">
      <c r="A23" s="24" t="s">
        <v>60</v>
      </c>
      <c r="B23" s="89">
        <f>-T23</f>
        <v>3116.8</v>
      </c>
      <c r="C23" s="90">
        <f>-X23</f>
        <v>0</v>
      </c>
      <c r="D23" s="100">
        <f>+B23-C23</f>
        <v>3116.8</v>
      </c>
      <c r="E23" s="118">
        <f t="shared" si="4"/>
        <v>0</v>
      </c>
      <c r="F23" s="89"/>
      <c r="G23" s="89"/>
      <c r="H23" s="89"/>
      <c r="I23" s="90">
        <f>SUM(F23:H23)</f>
        <v>0</v>
      </c>
      <c r="J23" s="100">
        <f>+F23-H23</f>
        <v>0</v>
      </c>
      <c r="K23" s="122">
        <f t="shared" si="0"/>
        <v>0</v>
      </c>
      <c r="L23" s="162"/>
      <c r="M23" s="162">
        <v>935</v>
      </c>
      <c r="N23" s="3" t="s">
        <v>60</v>
      </c>
      <c r="T23" s="52">
        <f>+SUMIFS(Export!L:L,Export!I:I,N23,Export!E:E,M23)+SUMIFS(Export!L:L,Export!I:I,N23,Export!E:E,L23)</f>
        <v>-3116.8</v>
      </c>
      <c r="V23" s="52"/>
      <c r="W23" s="52"/>
      <c r="X23" s="52">
        <f>+SUMIFS(Export!N:N,Export!I:I,N23,Export!E:E,L23)+SUMIFS(Export!N:N,Export!I:I,N23,Export!E:E,M23)</f>
        <v>0</v>
      </c>
      <c r="AB23" s="52">
        <f>+SUMIF(Export!$I:$I,'Bridgestone 935'!N23,Export!M:M)</f>
        <v>0</v>
      </c>
      <c r="AD23" s="52"/>
      <c r="AE23" s="52"/>
      <c r="AF23" s="52">
        <f>+SUMIF(Export!$I:$I,'Bridgestone 935'!N23,Export!O:O)</f>
        <v>0</v>
      </c>
    </row>
    <row r="24" spans="1:32" x14ac:dyDescent="0.25">
      <c r="A24" s="27" t="s">
        <v>1671</v>
      </c>
      <c r="B24" s="91">
        <f>-T22+B23</f>
        <v>63874.2</v>
      </c>
      <c r="C24" s="92">
        <f>-X22+C23</f>
        <v>69590.596352065011</v>
      </c>
      <c r="D24" s="101">
        <f>+B24-C24</f>
        <v>-5716.3963520650141</v>
      </c>
      <c r="E24" s="119">
        <f t="shared" si="4"/>
        <v>-8.214322985745455E-2</v>
      </c>
      <c r="F24" s="91"/>
      <c r="G24" s="91"/>
      <c r="H24" s="91"/>
      <c r="I24" s="92">
        <f>SUM(F24:H24)</f>
        <v>0</v>
      </c>
      <c r="J24" s="101">
        <f>+F24-H24</f>
        <v>0</v>
      </c>
      <c r="K24" s="123">
        <f t="shared" si="0"/>
        <v>0</v>
      </c>
      <c r="V24" s="52"/>
      <c r="W24" s="52"/>
      <c r="X24" s="52"/>
      <c r="AD24" s="52"/>
      <c r="AE24" s="52"/>
      <c r="AF24" s="52"/>
    </row>
    <row r="25" spans="1:32" x14ac:dyDescent="0.25">
      <c r="A25" s="24" t="s">
        <v>1672</v>
      </c>
      <c r="B25" s="130">
        <f>+B24/B13</f>
        <v>0.44208628303455422</v>
      </c>
      <c r="C25" s="131">
        <f>+C24/C13</f>
        <v>0.38970733957156406</v>
      </c>
      <c r="D25" s="128">
        <f t="shared" ref="D25" si="20">+B25-C25</f>
        <v>5.2378943462990157E-2</v>
      </c>
      <c r="E25" s="129">
        <f t="shared" si="4"/>
        <v>0.13440584290912883</v>
      </c>
      <c r="F25" s="130"/>
      <c r="G25" s="130"/>
      <c r="H25" s="130"/>
      <c r="I25" s="131" t="e">
        <f t="shared" ref="I25:I29" si="21">AVERAGE(F25:H25)</f>
        <v>#DIV/0!</v>
      </c>
      <c r="J25" s="128">
        <f t="shared" ref="J25" si="22">+F25-H25</f>
        <v>0</v>
      </c>
      <c r="K25" s="125">
        <f t="shared" si="0"/>
        <v>0</v>
      </c>
      <c r="V25" s="52"/>
      <c r="W25" s="52"/>
      <c r="X25" s="52"/>
      <c r="AD25" s="52"/>
      <c r="AE25" s="52"/>
      <c r="AF25" s="52"/>
    </row>
    <row r="26" spans="1:32" x14ac:dyDescent="0.25">
      <c r="A26" s="24" t="s">
        <v>1255</v>
      </c>
      <c r="B26" s="130">
        <f>IFERROR(SUMIFS(Export!L:L,Export!I:I,N26,Export!E:E,M26),0)/$B$13</f>
        <v>0.24123222046854326</v>
      </c>
      <c r="C26" s="131">
        <f>IFERROR(SUMIFS(Export!N:N,Export!I:I,N26,Export!E:E,M26),0)/$C$13</f>
        <v>0.3</v>
      </c>
      <c r="D26" s="128">
        <f>+C26-B26</f>
        <v>5.8767779531456732E-2</v>
      </c>
      <c r="E26" s="129">
        <f t="shared" si="4"/>
        <v>0.19589259843818912</v>
      </c>
      <c r="F26" s="130"/>
      <c r="G26" s="130"/>
      <c r="H26" s="130"/>
      <c r="I26" s="131" t="e">
        <f t="shared" si="21"/>
        <v>#DIV/0!</v>
      </c>
      <c r="J26" s="128">
        <f>+H26-F26</f>
        <v>0</v>
      </c>
      <c r="K26" s="125">
        <f t="shared" si="0"/>
        <v>0</v>
      </c>
      <c r="M26" s="162">
        <v>935</v>
      </c>
      <c r="N26" s="3" t="s">
        <v>1252</v>
      </c>
      <c r="T26" s="52">
        <f>+SUMIFS(Export!L:L,Export!I:I,N26,Export!E:E,M26)</f>
        <v>34854.089999999997</v>
      </c>
      <c r="V26" s="52"/>
      <c r="W26" s="52"/>
      <c r="X26" s="52">
        <f>+SUMIFS(Export!N:N,Export!I:I,N26,Export!E:E,M26)</f>
        <v>53571.428571428572</v>
      </c>
      <c r="AB26" s="52">
        <f>+SUMIF(Export!$I:$I,'Bridgestone 935'!N26,Export!M:M)</f>
        <v>0</v>
      </c>
      <c r="AD26" s="52"/>
      <c r="AE26" s="52"/>
      <c r="AF26" s="52">
        <f>+SUMIF(Export!$I:$I,'Bridgestone 935'!N26,Export!O:O)</f>
        <v>0</v>
      </c>
    </row>
    <row r="27" spans="1:32" x14ac:dyDescent="0.25">
      <c r="A27" s="24" t="s">
        <v>1286</v>
      </c>
      <c r="B27" s="130">
        <f>IFERROR(SUMIFS(Export!L:L,Export!I:I,N27,Export!E:E,M27),0)/$B$13</f>
        <v>3.3233538819226215E-2</v>
      </c>
      <c r="C27" s="131">
        <f>IFERROR(SUMIFS(Export!N:N,Export!I:I,N27,Export!E:E,M27),0)/$C$13</f>
        <v>0</v>
      </c>
      <c r="D27" s="128">
        <f>+C27-B27</f>
        <v>-3.3233538819226215E-2</v>
      </c>
      <c r="E27" s="129">
        <f t="shared" si="4"/>
        <v>0</v>
      </c>
      <c r="F27" s="130"/>
      <c r="G27" s="130"/>
      <c r="H27" s="130"/>
      <c r="I27" s="131" t="e">
        <f t="shared" si="21"/>
        <v>#DIV/0!</v>
      </c>
      <c r="J27" s="128">
        <f>+H27-F27</f>
        <v>0</v>
      </c>
      <c r="K27" s="125">
        <f t="shared" si="0"/>
        <v>0</v>
      </c>
      <c r="M27" s="162">
        <v>935</v>
      </c>
      <c r="N27" s="3" t="s">
        <v>1286</v>
      </c>
      <c r="T27" s="52">
        <f>+SUMIFS(Export!L:L,Export!I:I,N27,Export!E:E,M27)</f>
        <v>4801.7</v>
      </c>
      <c r="V27" s="52"/>
      <c r="W27" s="52"/>
      <c r="X27" s="52">
        <f>+SUMIFS(Export!N:N,Export!I:I,N27,Export!E:E,M27)</f>
        <v>0</v>
      </c>
      <c r="AB27" s="52">
        <f>+SUMIF(Export!J:J,'Bridgestone 935'!N27,Export!M:M)</f>
        <v>0</v>
      </c>
      <c r="AD27" s="52"/>
      <c r="AE27" s="52"/>
      <c r="AF27" s="52">
        <f>+SUMIF(Export!$J:$J,'Bridgestone 935'!N27,Export!O:O)</f>
        <v>0</v>
      </c>
    </row>
    <row r="28" spans="1:32" x14ac:dyDescent="0.25">
      <c r="A28" s="24" t="s">
        <v>1674</v>
      </c>
      <c r="B28" s="132">
        <f>+SUM(B26:B27)</f>
        <v>0.27446575928776945</v>
      </c>
      <c r="C28" s="131">
        <f>+SUM(C26:C27)</f>
        <v>0.3</v>
      </c>
      <c r="D28" s="128">
        <f>+C28-B28</f>
        <v>2.5534240712230538E-2</v>
      </c>
      <c r="E28" s="129">
        <f t="shared" si="4"/>
        <v>8.5114135707435132E-2</v>
      </c>
      <c r="F28" s="130"/>
      <c r="G28" s="130"/>
      <c r="H28" s="130"/>
      <c r="I28" s="131" t="e">
        <f t="shared" si="21"/>
        <v>#DIV/0!</v>
      </c>
      <c r="J28" s="128">
        <f>+H28-F28</f>
        <v>0</v>
      </c>
      <c r="K28" s="125">
        <f t="shared" si="0"/>
        <v>0</v>
      </c>
      <c r="V28" s="52"/>
      <c r="W28" s="52"/>
      <c r="X28" s="52"/>
      <c r="AD28" s="52"/>
      <c r="AE28" s="52"/>
      <c r="AF28" s="52"/>
    </row>
    <row r="29" spans="1:32" x14ac:dyDescent="0.25">
      <c r="A29" s="24" t="s">
        <v>1675</v>
      </c>
      <c r="B29" s="132">
        <f>+B25-B28</f>
        <v>0.16762052374678477</v>
      </c>
      <c r="C29" s="131">
        <f>+C25-C28</f>
        <v>8.9707339571564071E-2</v>
      </c>
      <c r="D29" s="128">
        <f>+B29-C29</f>
        <v>7.7913184175220696E-2</v>
      </c>
      <c r="E29" s="129">
        <f t="shared" si="4"/>
        <v>0.86852630506409589</v>
      </c>
      <c r="F29" s="132"/>
      <c r="G29" s="132"/>
      <c r="H29" s="132"/>
      <c r="I29" s="131" t="e">
        <f t="shared" si="21"/>
        <v>#DIV/0!</v>
      </c>
      <c r="J29" s="128">
        <f>+F29-H29</f>
        <v>0</v>
      </c>
      <c r="K29" s="125">
        <f t="shared" si="0"/>
        <v>0</v>
      </c>
      <c r="V29" s="52"/>
      <c r="W29" s="52"/>
      <c r="X29" s="52"/>
      <c r="AD29" s="52"/>
      <c r="AE29" s="52"/>
      <c r="AF29" s="52"/>
    </row>
    <row r="30" spans="1:32" s="28" customFormat="1" ht="15.75" thickBot="1" x14ac:dyDescent="0.3">
      <c r="A30" s="29" t="s">
        <v>1676</v>
      </c>
      <c r="B30" s="94">
        <f>-T30</f>
        <v>24218.41</v>
      </c>
      <c r="C30" s="93">
        <f>-X30</f>
        <v>16019.167780636439</v>
      </c>
      <c r="D30" s="108">
        <f>+B30-C30</f>
        <v>8199.2422193635612</v>
      </c>
      <c r="E30" s="120">
        <f t="shared" si="4"/>
        <v>0.51183946205211706</v>
      </c>
      <c r="F30" s="94"/>
      <c r="G30" s="94"/>
      <c r="H30" s="94"/>
      <c r="I30" s="93">
        <f>SUM(F30:H30)</f>
        <v>0</v>
      </c>
      <c r="J30" s="108">
        <f>+F30-H30</f>
        <v>0</v>
      </c>
      <c r="K30" s="124">
        <f t="shared" si="0"/>
        <v>0</v>
      </c>
      <c r="N30" s="3"/>
      <c r="O30" s="3"/>
      <c r="P30" s="3"/>
      <c r="Q30" s="3"/>
      <c r="R30" s="52"/>
      <c r="S30" s="52"/>
      <c r="T30" s="52">
        <f>+SUM(T22:T29)</f>
        <v>-24218.41</v>
      </c>
      <c r="V30" s="52"/>
      <c r="W30" s="52"/>
      <c r="X30" s="52">
        <f>+SUM(X22:X29)</f>
        <v>-16019.167780636439</v>
      </c>
      <c r="Z30" s="52"/>
      <c r="AA30" s="52"/>
      <c r="AB30" s="52">
        <f>+SUM(AB22:AB29)</f>
        <v>0</v>
      </c>
      <c r="AD30" s="52"/>
      <c r="AE30" s="52"/>
      <c r="AF30" s="52">
        <f>+SUM(AF22:AF29)</f>
        <v>0</v>
      </c>
    </row>
    <row r="31" spans="1:32" ht="15.75" hidden="1" customHeight="1" thickTop="1" x14ac:dyDescent="0.25">
      <c r="E31" s="121"/>
      <c r="K31" s="121"/>
      <c r="V31" s="52"/>
      <c r="W31" s="52"/>
      <c r="X31" s="52"/>
      <c r="AD31" s="52"/>
      <c r="AE31" s="52"/>
      <c r="AF31" s="52"/>
    </row>
    <row r="32" spans="1:32" ht="15.75" thickTop="1" x14ac:dyDescent="0.25">
      <c r="E32" s="121"/>
      <c r="K32" s="121"/>
      <c r="V32" s="52"/>
      <c r="W32" s="52"/>
      <c r="X32" s="52"/>
      <c r="AD32" s="52"/>
      <c r="AE32" s="52"/>
      <c r="AF32" s="52"/>
    </row>
    <row r="33" spans="1:23" s="149" customFormat="1" x14ac:dyDescent="0.25">
      <c r="A33" s="10" t="s">
        <v>1677</v>
      </c>
      <c r="B33" s="12">
        <v>5</v>
      </c>
      <c r="C33" s="12">
        <v>5</v>
      </c>
      <c r="F33" s="12"/>
      <c r="G33" s="12"/>
      <c r="H33" s="12"/>
      <c r="I33" s="12" t="e">
        <f>AVERAGE(F33:H33)</f>
        <v>#DIV/0!</v>
      </c>
      <c r="N33" s="3"/>
      <c r="O33" s="3"/>
      <c r="P33" s="3"/>
      <c r="Q33" s="3"/>
      <c r="R33" s="3"/>
    </row>
    <row r="34" spans="1:23" hidden="1" x14ac:dyDescent="0.25">
      <c r="B34" s="197"/>
    </row>
    <row r="35" spans="1:23" x14ac:dyDescent="0.25">
      <c r="A35" s="3" t="s">
        <v>1654</v>
      </c>
    </row>
    <row r="36" spans="1:23" x14ac:dyDescent="0.25">
      <c r="A36" s="3"/>
      <c r="B36" s="89">
        <f>(+SUMIF('TUNZ Extracted TB'!M:M,'Bridgestone 935'!N36,'TUNZ Extracted TB'!H:H)+SUMIF('TUNZ Extracted TB'!M:M,'Bridgestone 935'!O36,'TUNZ Extracted TB'!H:H))*$B$33/'PARTS GROUP'!$B$33</f>
        <v>116930.83</v>
      </c>
      <c r="F36" s="89"/>
      <c r="G36" s="89"/>
      <c r="H36" s="89"/>
      <c r="I36" s="283"/>
      <c r="N36" s="3" t="s">
        <v>1757</v>
      </c>
      <c r="O36" s="3" t="s">
        <v>1757</v>
      </c>
    </row>
    <row r="37" spans="1:23" x14ac:dyDescent="0.25">
      <c r="C37" s="193"/>
    </row>
    <row r="38" spans="1:23" x14ac:dyDescent="0.25">
      <c r="C38" s="193"/>
    </row>
    <row r="39" spans="1:23" x14ac:dyDescent="0.25">
      <c r="C39" s="193"/>
    </row>
    <row r="40" spans="1:23" x14ac:dyDescent="0.25">
      <c r="C40" s="193"/>
    </row>
    <row r="41" spans="1:23" x14ac:dyDescent="0.25">
      <c r="C41" s="193"/>
    </row>
    <row r="42" spans="1:23" x14ac:dyDescent="0.25">
      <c r="C42" s="193"/>
      <c r="I42" s="290"/>
    </row>
    <row r="43" spans="1:23" x14ac:dyDescent="0.25">
      <c r="B43" s="193"/>
      <c r="C43" s="193"/>
    </row>
    <row r="44" spans="1:23" x14ac:dyDescent="0.25">
      <c r="B44" s="193"/>
      <c r="C44" s="193"/>
    </row>
    <row r="45" spans="1:23" x14ac:dyDescent="0.25">
      <c r="B45" s="193"/>
      <c r="C45" s="193"/>
      <c r="I45" s="290"/>
    </row>
    <row r="46" spans="1:23" x14ac:dyDescent="0.25">
      <c r="W46" s="16">
        <v>115474.31</v>
      </c>
    </row>
    <row r="47" spans="1:23" x14ac:dyDescent="0.25">
      <c r="C47" s="291"/>
      <c r="W47" s="16">
        <v>688999.94</v>
      </c>
    </row>
    <row r="48" spans="1:23" x14ac:dyDescent="0.25">
      <c r="W48" s="268">
        <f>W46/W47</f>
        <v>0.1675969812130898</v>
      </c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B1C62-6C42-4E21-B892-ABD682610851}">
  <sheetPr>
    <tabColor theme="9" tint="0.79998168889431442"/>
  </sheetPr>
  <dimension ref="A1:AL48"/>
  <sheetViews>
    <sheetView workbookViewId="0">
      <selection sqref="A1:D1"/>
    </sheetView>
  </sheetViews>
  <sheetFormatPr defaultColWidth="9.140625" defaultRowHeight="15" outlineLevelCol="1" x14ac:dyDescent="0.25"/>
  <cols>
    <col min="1" max="1" width="35.7109375" style="16" customWidth="1"/>
    <col min="2" max="2" width="10.85546875" style="16" customWidth="1" outlineLevel="1"/>
    <col min="3" max="3" width="11.140625" style="16" customWidth="1" outlineLevel="1"/>
    <col min="4" max="5" width="9.7109375" style="16" customWidth="1" outlineLevel="1"/>
    <col min="6" max="7" width="9.7109375" style="16" customWidth="1"/>
    <col min="8" max="8" width="9.7109375" style="16" customWidth="1" outlineLevel="1"/>
    <col min="9" max="9" width="12" style="16" bestFit="1" customWidth="1"/>
    <col min="10" max="11" width="9.7109375" style="16" hidden="1" customWidth="1"/>
    <col min="12" max="12" width="9.140625" style="16" customWidth="1"/>
    <col min="13" max="13" width="12" style="16" bestFit="1" customWidth="1"/>
    <col min="14" max="14" width="23.42578125" style="3" customWidth="1" outlineLevel="1"/>
    <col min="15" max="17" width="11.7109375" style="3" customWidth="1" outlineLevel="1"/>
    <col min="18" max="20" width="9.140625" style="52" customWidth="1" outlineLevel="1"/>
    <col min="21" max="25" width="9.140625" style="16" customWidth="1" outlineLevel="1"/>
    <col min="26" max="28" width="9.140625" style="52" customWidth="1" outlineLevel="1"/>
    <col min="29" max="36" width="9.140625" style="16" customWidth="1" outlineLevel="1"/>
    <col min="37" max="38" width="12" style="16" bestFit="1" customWidth="1"/>
    <col min="39" max="16384" width="9.140625" style="16"/>
  </cols>
  <sheetData>
    <row r="1" spans="1:38" ht="15" customHeight="1" x14ac:dyDescent="0.25">
      <c r="A1" s="326" t="s">
        <v>1756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37"/>
    </row>
    <row r="2" spans="1:38" ht="6.6" customHeight="1" thickBot="1" x14ac:dyDescent="0.3"/>
    <row r="3" spans="1:38" ht="15.75" thickTop="1" x14ac:dyDescent="0.25">
      <c r="A3" s="38" t="s">
        <v>1591</v>
      </c>
      <c r="B3" s="350" t="s">
        <v>155</v>
      </c>
      <c r="C3" s="329"/>
      <c r="D3" s="329"/>
      <c r="E3" s="329"/>
      <c r="F3" s="350" t="s">
        <v>1629</v>
      </c>
      <c r="G3" s="350"/>
      <c r="H3" s="329"/>
      <c r="I3" s="329"/>
      <c r="J3" s="329"/>
      <c r="K3" s="345"/>
    </row>
    <row r="4" spans="1:38" x14ac:dyDescent="0.25">
      <c r="A4" s="39" t="s">
        <v>1591</v>
      </c>
      <c r="B4" s="40"/>
      <c r="C4" s="40"/>
      <c r="D4" s="351"/>
      <c r="E4" s="331"/>
      <c r="F4" s="40"/>
      <c r="G4" s="40"/>
      <c r="H4" s="40"/>
      <c r="I4" s="40"/>
      <c r="J4" s="351"/>
      <c r="K4" s="347"/>
    </row>
    <row r="5" spans="1:38" x14ac:dyDescent="0.25">
      <c r="A5" s="39" t="s">
        <v>98</v>
      </c>
      <c r="B5" s="41" t="s">
        <v>12</v>
      </c>
      <c r="C5" s="41" t="s">
        <v>1592</v>
      </c>
      <c r="D5" s="42" t="s">
        <v>1609</v>
      </c>
      <c r="E5" s="42" t="s">
        <v>1610</v>
      </c>
      <c r="F5" s="262" t="str">
        <f>OVERALL!F5</f>
        <v>0124</v>
      </c>
      <c r="G5" s="262" t="str">
        <f>OVERALL!G5</f>
        <v>0224</v>
      </c>
      <c r="H5" s="262" t="str">
        <f>OVERALL!H5</f>
        <v>0324</v>
      </c>
      <c r="I5" s="41" t="str">
        <f>OVERALL!I5</f>
        <v>Q124</v>
      </c>
      <c r="J5" s="42" t="s">
        <v>1609</v>
      </c>
      <c r="K5" s="43" t="s">
        <v>1610</v>
      </c>
    </row>
    <row r="6" spans="1:38" x14ac:dyDescent="0.25">
      <c r="A6" s="24" t="s">
        <v>1122</v>
      </c>
      <c r="B6" s="51">
        <f>+R16/$R$22</f>
        <v>0.85422578791376347</v>
      </c>
      <c r="C6" s="96">
        <f>+V16/$V$22</f>
        <v>0.75</v>
      </c>
      <c r="D6" s="109">
        <f>+B6-C6</f>
        <v>0.10422578791376347</v>
      </c>
      <c r="E6" s="118">
        <f>IFERROR(+D6/C6,0)</f>
        <v>0.1389677172183513</v>
      </c>
      <c r="F6" s="51"/>
      <c r="G6" s="51"/>
      <c r="H6" s="51"/>
      <c r="I6" s="96" t="e">
        <f>AVERAGE(F6:H6)</f>
        <v>#DIV/0!</v>
      </c>
      <c r="J6" s="126">
        <f>+F6-H6</f>
        <v>0</v>
      </c>
      <c r="K6" s="122">
        <f t="shared" ref="K6:K30" si="0">IFERROR(+J6/H6,0)</f>
        <v>0</v>
      </c>
      <c r="N6" s="3" t="s">
        <v>1122</v>
      </c>
      <c r="O6" s="3" t="s">
        <v>1201</v>
      </c>
    </row>
    <row r="7" spans="1:38" x14ac:dyDescent="0.25">
      <c r="A7" s="24" t="s">
        <v>1127</v>
      </c>
      <c r="B7" s="51">
        <f t="shared" ref="B7:B11" si="1">+R17/$R$22</f>
        <v>0.14577421208623653</v>
      </c>
      <c r="C7" s="96">
        <f t="shared" ref="C7:C11" si="2">+V17/$V$22</f>
        <v>9.9999999999999992E-2</v>
      </c>
      <c r="D7" s="109">
        <f t="shared" ref="D7:D12" si="3">+B7-C7</f>
        <v>4.577421208623654E-2</v>
      </c>
      <c r="E7" s="118">
        <f t="shared" ref="E7:E30" si="4">IFERROR(+D7/C7,0)</f>
        <v>0.45774212086236543</v>
      </c>
      <c r="F7" s="51"/>
      <c r="G7" s="51"/>
      <c r="H7" s="51"/>
      <c r="I7" s="96" t="e">
        <f t="shared" ref="I7:I12" si="5">AVERAGE(F7:H7)</f>
        <v>#DIV/0!</v>
      </c>
      <c r="J7" s="126">
        <f t="shared" ref="J7:J12" si="6">+F7-H7</f>
        <v>0</v>
      </c>
      <c r="K7" s="122">
        <f t="shared" si="0"/>
        <v>0</v>
      </c>
    </row>
    <row r="8" spans="1:38" x14ac:dyDescent="0.25">
      <c r="A8" s="24" t="s">
        <v>1132</v>
      </c>
      <c r="B8" s="51">
        <f t="shared" si="1"/>
        <v>0</v>
      </c>
      <c r="C8" s="96">
        <f t="shared" si="2"/>
        <v>0</v>
      </c>
      <c r="D8" s="109">
        <f t="shared" si="3"/>
        <v>0</v>
      </c>
      <c r="E8" s="118">
        <f t="shared" si="4"/>
        <v>0</v>
      </c>
      <c r="F8" s="51"/>
      <c r="G8" s="51"/>
      <c r="H8" s="51"/>
      <c r="I8" s="96" t="e">
        <f t="shared" si="5"/>
        <v>#DIV/0!</v>
      </c>
      <c r="J8" s="126">
        <f t="shared" si="6"/>
        <v>0</v>
      </c>
      <c r="K8" s="122">
        <f t="shared" si="0"/>
        <v>0</v>
      </c>
    </row>
    <row r="9" spans="1:38" x14ac:dyDescent="0.25">
      <c r="A9" s="24" t="s">
        <v>1140</v>
      </c>
      <c r="B9" s="51">
        <f t="shared" si="1"/>
        <v>0</v>
      </c>
      <c r="C9" s="96">
        <f t="shared" si="2"/>
        <v>0</v>
      </c>
      <c r="D9" s="109">
        <f t="shared" si="3"/>
        <v>0</v>
      </c>
      <c r="E9" s="118">
        <f t="shared" si="4"/>
        <v>0</v>
      </c>
      <c r="F9" s="51"/>
      <c r="G9" s="51"/>
      <c r="H9" s="51"/>
      <c r="I9" s="96" t="e">
        <f t="shared" si="5"/>
        <v>#DIV/0!</v>
      </c>
      <c r="J9" s="126">
        <f t="shared" si="6"/>
        <v>0</v>
      </c>
      <c r="K9" s="122">
        <f t="shared" si="0"/>
        <v>0</v>
      </c>
    </row>
    <row r="10" spans="1:38" x14ac:dyDescent="0.25">
      <c r="A10" s="24" t="s">
        <v>1145</v>
      </c>
      <c r="B10" s="51">
        <f t="shared" si="1"/>
        <v>0</v>
      </c>
      <c r="C10" s="96">
        <f t="shared" si="2"/>
        <v>0.14999999999999997</v>
      </c>
      <c r="D10" s="109">
        <f t="shared" si="3"/>
        <v>-0.14999999999999997</v>
      </c>
      <c r="E10" s="118">
        <f t="shared" si="4"/>
        <v>-1</v>
      </c>
      <c r="F10" s="51"/>
      <c r="G10" s="51"/>
      <c r="H10" s="51"/>
      <c r="I10" s="96" t="e">
        <f t="shared" si="5"/>
        <v>#DIV/0!</v>
      </c>
      <c r="J10" s="126">
        <f t="shared" si="6"/>
        <v>0</v>
      </c>
      <c r="K10" s="122">
        <f t="shared" si="0"/>
        <v>0</v>
      </c>
    </row>
    <row r="11" spans="1:38" x14ac:dyDescent="0.25">
      <c r="A11" s="24" t="s">
        <v>1137</v>
      </c>
      <c r="B11" s="51">
        <f t="shared" si="1"/>
        <v>0</v>
      </c>
      <c r="C11" s="96">
        <f t="shared" si="2"/>
        <v>0</v>
      </c>
      <c r="D11" s="109">
        <f t="shared" si="3"/>
        <v>0</v>
      </c>
      <c r="E11" s="118">
        <f t="shared" si="4"/>
        <v>0</v>
      </c>
      <c r="F11" s="51"/>
      <c r="G11" s="51"/>
      <c r="H11" s="51"/>
      <c r="I11" s="96" t="e">
        <f t="shared" si="5"/>
        <v>#DIV/0!</v>
      </c>
      <c r="J11" s="126">
        <f t="shared" si="6"/>
        <v>0</v>
      </c>
      <c r="K11" s="122">
        <f t="shared" si="0"/>
        <v>0</v>
      </c>
    </row>
    <row r="12" spans="1:38" x14ac:dyDescent="0.25">
      <c r="A12" s="24" t="s">
        <v>1666</v>
      </c>
      <c r="B12" s="53">
        <f>SUM(B6:B11)</f>
        <v>1</v>
      </c>
      <c r="C12" s="96">
        <f>SUM(C6:C11)</f>
        <v>1</v>
      </c>
      <c r="D12" s="109">
        <f t="shared" si="3"/>
        <v>0</v>
      </c>
      <c r="E12" s="118">
        <f t="shared" si="4"/>
        <v>0</v>
      </c>
      <c r="F12" s="51"/>
      <c r="G12" s="51"/>
      <c r="H12" s="51"/>
      <c r="I12" s="96" t="e">
        <f t="shared" si="5"/>
        <v>#DIV/0!</v>
      </c>
      <c r="J12" s="126">
        <f t="shared" si="6"/>
        <v>0</v>
      </c>
      <c r="K12" s="122">
        <f t="shared" si="0"/>
        <v>0</v>
      </c>
    </row>
    <row r="13" spans="1:38" s="28" customFormat="1" x14ac:dyDescent="0.25">
      <c r="A13" s="27" t="s">
        <v>1667</v>
      </c>
      <c r="B13" s="91">
        <f>-R22</f>
        <v>74268.28</v>
      </c>
      <c r="C13" s="92">
        <f>-V22</f>
        <v>71428.571428571435</v>
      </c>
      <c r="D13" s="101">
        <f>+B13-C13</f>
        <v>2839.708571428564</v>
      </c>
      <c r="E13" s="119">
        <f t="shared" si="4"/>
        <v>3.9755919999999896E-2</v>
      </c>
      <c r="F13" s="91"/>
      <c r="G13" s="91"/>
      <c r="H13" s="91"/>
      <c r="I13" s="92">
        <f>SUM(F13:H13)</f>
        <v>0</v>
      </c>
      <c r="J13" s="101">
        <f>+F13-H13</f>
        <v>0</v>
      </c>
      <c r="K13" s="123">
        <f t="shared" si="0"/>
        <v>0</v>
      </c>
      <c r="M13" s="234"/>
      <c r="N13" s="50"/>
      <c r="O13" s="50"/>
      <c r="P13" s="50"/>
      <c r="Q13" s="50"/>
      <c r="R13" s="170" t="s">
        <v>1641</v>
      </c>
      <c r="S13" s="170" t="s">
        <v>1641</v>
      </c>
      <c r="T13" s="170" t="s">
        <v>1641</v>
      </c>
      <c r="V13" s="170" t="s">
        <v>1641</v>
      </c>
      <c r="W13" s="170" t="s">
        <v>1641</v>
      </c>
      <c r="X13" s="170" t="s">
        <v>1641</v>
      </c>
      <c r="Z13" s="170" t="s">
        <v>156</v>
      </c>
      <c r="AA13" s="170" t="s">
        <v>156</v>
      </c>
      <c r="AB13" s="170" t="s">
        <v>156</v>
      </c>
      <c r="AD13" s="170" t="s">
        <v>156</v>
      </c>
      <c r="AE13" s="170" t="s">
        <v>156</v>
      </c>
      <c r="AF13" s="170" t="s">
        <v>156</v>
      </c>
      <c r="AK13" s="234"/>
      <c r="AL13" s="234"/>
    </row>
    <row r="14" spans="1:38" x14ac:dyDescent="0.25">
      <c r="A14" s="24" t="s">
        <v>1668</v>
      </c>
      <c r="B14" s="89">
        <f>+B13/B33</f>
        <v>37134.14</v>
      </c>
      <c r="C14" s="90">
        <f>+C13/C33</f>
        <v>35714.285714285717</v>
      </c>
      <c r="D14" s="100">
        <f>+B14-C14</f>
        <v>1419.854285714282</v>
      </c>
      <c r="E14" s="118">
        <f t="shared" si="4"/>
        <v>3.9755919999999896E-2</v>
      </c>
      <c r="F14" s="89"/>
      <c r="G14" s="89"/>
      <c r="H14" s="89"/>
      <c r="I14" s="90" t="e">
        <f>AVERAGE(F14,G14,H14)</f>
        <v>#DIV/0!</v>
      </c>
      <c r="J14" s="100">
        <f>+F14-H14</f>
        <v>0</v>
      </c>
      <c r="K14" s="122">
        <f t="shared" si="0"/>
        <v>0</v>
      </c>
      <c r="R14" s="95" t="s">
        <v>12</v>
      </c>
      <c r="S14" s="95" t="s">
        <v>12</v>
      </c>
      <c r="T14" s="95" t="s">
        <v>12</v>
      </c>
      <c r="V14" s="95" t="s">
        <v>1592</v>
      </c>
      <c r="W14" s="95" t="s">
        <v>1592</v>
      </c>
      <c r="X14" s="95" t="s">
        <v>1592</v>
      </c>
      <c r="Z14" s="95" t="s">
        <v>12</v>
      </c>
      <c r="AA14" s="95" t="s">
        <v>12</v>
      </c>
      <c r="AB14" s="95" t="s">
        <v>12</v>
      </c>
      <c r="AD14" s="95" t="s">
        <v>1592</v>
      </c>
      <c r="AE14" s="95" t="s">
        <v>1592</v>
      </c>
      <c r="AF14" s="95" t="s">
        <v>1592</v>
      </c>
    </row>
    <row r="15" spans="1:38" x14ac:dyDescent="0.25">
      <c r="A15" s="24" t="s">
        <v>1669</v>
      </c>
      <c r="B15" s="146">
        <f>+B36/S22*30</f>
        <v>31.250207901180239</v>
      </c>
      <c r="C15" s="147">
        <f>+B36/W22*30</f>
        <v>32.188457626557899</v>
      </c>
      <c r="D15" s="148">
        <f>+C15-B15</f>
        <v>0.93824972537765916</v>
      </c>
      <c r="E15" s="118">
        <f t="shared" si="4"/>
        <v>2.9148638815285531E-2</v>
      </c>
      <c r="F15" s="146"/>
      <c r="G15" s="146"/>
      <c r="H15" s="146"/>
      <c r="I15" s="147" t="e">
        <f t="shared" ref="I15:I22" si="7">AVERAGE(F15:H15)</f>
        <v>#DIV/0!</v>
      </c>
      <c r="J15" s="148">
        <f>+H15-F15</f>
        <v>0</v>
      </c>
      <c r="K15" s="122">
        <f t="shared" si="0"/>
        <v>0</v>
      </c>
      <c r="R15" s="3" t="s">
        <v>1642</v>
      </c>
      <c r="S15" s="3" t="s">
        <v>180</v>
      </c>
      <c r="T15" s="3" t="s">
        <v>153</v>
      </c>
      <c r="U15" s="3"/>
      <c r="V15" s="3" t="s">
        <v>1642</v>
      </c>
      <c r="W15" s="3" t="s">
        <v>180</v>
      </c>
      <c r="X15" s="3" t="s">
        <v>153</v>
      </c>
      <c r="Y15" s="3"/>
      <c r="Z15" s="3" t="s">
        <v>1642</v>
      </c>
      <c r="AA15" s="3" t="s">
        <v>180</v>
      </c>
      <c r="AB15" s="3" t="s">
        <v>153</v>
      </c>
      <c r="AC15" s="3"/>
      <c r="AD15" s="3" t="s">
        <v>1642</v>
      </c>
      <c r="AE15" s="3" t="s">
        <v>180</v>
      </c>
      <c r="AF15" s="3" t="s">
        <v>153</v>
      </c>
      <c r="AG15" s="3"/>
      <c r="AH15" s="3"/>
      <c r="AI15" s="3"/>
      <c r="AJ15" s="3"/>
      <c r="AK15" s="3"/>
      <c r="AL15" s="3"/>
    </row>
    <row r="16" spans="1:38" x14ac:dyDescent="0.25">
      <c r="A16" s="24" t="s">
        <v>1201</v>
      </c>
      <c r="B16" s="130">
        <f>IFERROR(+T16/R16,0)</f>
        <v>0.40069887588451031</v>
      </c>
      <c r="C16" s="131">
        <f>+IFERROR(X16/V16,0)</f>
        <v>0.389707339571564</v>
      </c>
      <c r="D16" s="128">
        <f t="shared" ref="D16:D22" si="8">+B16-C16</f>
        <v>1.0991536312946304E-2</v>
      </c>
      <c r="E16" s="118">
        <f t="shared" si="4"/>
        <v>2.8204591489167655E-2</v>
      </c>
      <c r="F16" s="133"/>
      <c r="G16" s="133"/>
      <c r="H16" s="133"/>
      <c r="I16" s="131" t="e">
        <f t="shared" si="7"/>
        <v>#DIV/0!</v>
      </c>
      <c r="J16" s="126">
        <f t="shared" ref="J16:J22" si="9">+F16-H16</f>
        <v>0</v>
      </c>
      <c r="K16" s="122">
        <f t="shared" si="0"/>
        <v>0</v>
      </c>
      <c r="M16" s="162">
        <v>936</v>
      </c>
      <c r="N16" s="3" t="s">
        <v>1122</v>
      </c>
      <c r="O16" s="3" t="s">
        <v>1201</v>
      </c>
      <c r="R16" s="52">
        <f>+SUMIFS(Export!L:L,Export!I:I,N16,Export!E:E,M16)</f>
        <v>-63441.88</v>
      </c>
      <c r="S16" s="52">
        <f>+SUMIFS(Export!L:L,Export!I:I,O16,Export!E:E,M16)</f>
        <v>38020.79</v>
      </c>
      <c r="T16" s="52">
        <f>+SUM(R16:S16)</f>
        <v>-25421.089999999997</v>
      </c>
      <c r="V16" s="52">
        <f>+SUMIFS(Export!N:N,Export!I:I,N16,Export!E:E,M16)</f>
        <v>-53571.428571428572</v>
      </c>
      <c r="W16" s="52">
        <f>+SUMIFS(Export!N:N,Export!I:I,O16,Export!E:E,M16)</f>
        <v>32694.249665809071</v>
      </c>
      <c r="X16" s="52">
        <f>+SUM(V16:W16)</f>
        <v>-20877.178905619501</v>
      </c>
      <c r="Z16" s="52">
        <f>+SUMIF(Export!$I:$I,'Bridgestone 936'!N16,Export!M:M)</f>
        <v>0</v>
      </c>
      <c r="AA16" s="52">
        <f>+SUMIF(Export!$I:$I,'Bridgestone 936'!O16,Export!M:M)</f>
        <v>0</v>
      </c>
      <c r="AB16" s="52">
        <f>+SUM(Z16:AA16)</f>
        <v>0</v>
      </c>
      <c r="AD16" s="52">
        <f>+SUMIF(Export!$I:$I,'Bridgestone 936'!N16,Export!O:O)</f>
        <v>0</v>
      </c>
      <c r="AE16" s="52">
        <f>+SUMIF(Export!$I:$I,'Bridgestone 936'!O16,Export!O:O)</f>
        <v>0</v>
      </c>
      <c r="AF16" s="52">
        <f>+SUM(AD16:AE16)</f>
        <v>0</v>
      </c>
    </row>
    <row r="17" spans="1:32" x14ac:dyDescent="0.25">
      <c r="A17" s="24" t="s">
        <v>1209</v>
      </c>
      <c r="B17" s="130">
        <f t="shared" ref="B17:B22" si="10">IFERROR(+T17/R17,0)</f>
        <v>0.36871998078770413</v>
      </c>
      <c r="C17" s="131">
        <f t="shared" ref="C17:C22" si="11">+IFERROR(X17/V17,0)</f>
        <v>0.38970733957156395</v>
      </c>
      <c r="D17" s="128">
        <f t="shared" si="8"/>
        <v>-2.0987358783859822E-2</v>
      </c>
      <c r="E17" s="118">
        <f t="shared" si="4"/>
        <v>-5.3854153239538377E-2</v>
      </c>
      <c r="F17" s="133"/>
      <c r="G17" s="133"/>
      <c r="H17" s="133"/>
      <c r="I17" s="131" t="e">
        <f t="shared" si="7"/>
        <v>#DIV/0!</v>
      </c>
      <c r="J17" s="126">
        <f t="shared" si="9"/>
        <v>0</v>
      </c>
      <c r="K17" s="122">
        <f t="shared" si="0"/>
        <v>0</v>
      </c>
      <c r="M17" s="162">
        <v>936</v>
      </c>
      <c r="N17" s="3" t="s">
        <v>1127</v>
      </c>
      <c r="O17" s="3" t="s">
        <v>1209</v>
      </c>
      <c r="R17" s="52">
        <f>+SUMIFS(Export!L:L,Export!I:I,N17,Export!E:E,M17)</f>
        <v>-10826.4</v>
      </c>
      <c r="S17" s="52">
        <f>+SUMIFS(Export!L:L,Export!I:I,O17,Export!E:E,M17)</f>
        <v>6834.49</v>
      </c>
      <c r="T17" s="52">
        <f t="shared" ref="T17:T21" si="12">+SUM(R17:S17)</f>
        <v>-3991.91</v>
      </c>
      <c r="V17" s="52">
        <f>+SUMIFS(Export!N:N,Export!I:I,N17,Export!E:E,M17)</f>
        <v>-7142.8571428571431</v>
      </c>
      <c r="W17" s="52">
        <f>+SUMIFS(Export!N:N,Export!I:I,O17,Export!E:E,M17)</f>
        <v>4359.2332887745433</v>
      </c>
      <c r="X17" s="52">
        <f t="shared" ref="X17:X21" si="13">+SUM(V17:W17)</f>
        <v>-2783.6238540825998</v>
      </c>
      <c r="Z17" s="52">
        <f>+SUMIF(Export!$I:$I,'Bridgestone 936'!N17,Export!M:M)</f>
        <v>0</v>
      </c>
      <c r="AA17" s="52">
        <f>+SUMIF(Export!$I:$I,'Bridgestone 936'!O17,Export!M:M)</f>
        <v>0</v>
      </c>
      <c r="AB17" s="52">
        <f t="shared" ref="AB17:AB21" si="14">+SUM(Z17:AA17)</f>
        <v>0</v>
      </c>
      <c r="AD17" s="52">
        <f>+SUMIF(Export!$I:$I,'Bridgestone 936'!N17,Export!O:O)</f>
        <v>0</v>
      </c>
      <c r="AE17" s="52">
        <f>+SUMIF(Export!$I:$I,'Bridgestone 936'!O17,Export!O:O)</f>
        <v>0</v>
      </c>
      <c r="AF17" s="52">
        <f t="shared" ref="AF17:AF21" si="15">+SUM(AD17:AE17)</f>
        <v>0</v>
      </c>
    </row>
    <row r="18" spans="1:32" x14ac:dyDescent="0.25">
      <c r="A18" s="24" t="s">
        <v>1216</v>
      </c>
      <c r="B18" s="130">
        <f t="shared" si="10"/>
        <v>0</v>
      </c>
      <c r="C18" s="131">
        <f t="shared" si="11"/>
        <v>0</v>
      </c>
      <c r="D18" s="128">
        <f t="shared" si="8"/>
        <v>0</v>
      </c>
      <c r="E18" s="118">
        <f t="shared" si="4"/>
        <v>0</v>
      </c>
      <c r="F18" s="133"/>
      <c r="G18" s="133"/>
      <c r="H18" s="133"/>
      <c r="I18" s="131" t="e">
        <f t="shared" si="7"/>
        <v>#DIV/0!</v>
      </c>
      <c r="J18" s="126">
        <f t="shared" si="9"/>
        <v>0</v>
      </c>
      <c r="K18" s="122">
        <f t="shared" si="0"/>
        <v>0</v>
      </c>
      <c r="M18" s="162">
        <v>936</v>
      </c>
      <c r="N18" s="3" t="s">
        <v>1132</v>
      </c>
      <c r="O18" s="3" t="s">
        <v>1216</v>
      </c>
      <c r="R18" s="52">
        <f>+SUMIFS(Export!L:L,Export!I:I,N18,Export!E:E,M18)</f>
        <v>0</v>
      </c>
      <c r="S18" s="52">
        <f>+SUMIFS(Export!L:L,Export!I:I,O18,Export!E:E,M18)</f>
        <v>93.57</v>
      </c>
      <c r="T18" s="52">
        <f t="shared" si="12"/>
        <v>93.57</v>
      </c>
      <c r="V18" s="52">
        <f>+SUMIFS(Export!N:N,Export!I:I,N18,Export!E:E,M18)</f>
        <v>0</v>
      </c>
      <c r="W18" s="52">
        <f>+SUMIFS(Export!N:N,Export!I:I,O18,Export!E:E,M18)</f>
        <v>0</v>
      </c>
      <c r="X18" s="52">
        <f t="shared" si="13"/>
        <v>0</v>
      </c>
      <c r="Z18" s="52">
        <f>+SUMIF(Export!$I:$I,'Bridgestone 936'!N18,Export!M:M)</f>
        <v>0</v>
      </c>
      <c r="AA18" s="52">
        <f>+SUMIF(Export!$I:$I,'Bridgestone 936'!O18,Export!M:M)</f>
        <v>0</v>
      </c>
      <c r="AB18" s="52">
        <f t="shared" si="14"/>
        <v>0</v>
      </c>
      <c r="AD18" s="52">
        <f>+SUMIF(Export!$I:$I,'Bridgestone 936'!N18,Export!O:O)</f>
        <v>0</v>
      </c>
      <c r="AE18" s="52">
        <f>+SUMIF(Export!$I:$I,'Bridgestone 936'!O18,Export!O:O)</f>
        <v>0</v>
      </c>
      <c r="AF18" s="52">
        <f t="shared" si="15"/>
        <v>0</v>
      </c>
    </row>
    <row r="19" spans="1:32" x14ac:dyDescent="0.25">
      <c r="A19" s="24" t="s">
        <v>1225</v>
      </c>
      <c r="B19" s="130">
        <f t="shared" si="10"/>
        <v>0</v>
      </c>
      <c r="C19" s="131">
        <f t="shared" si="11"/>
        <v>0</v>
      </c>
      <c r="D19" s="128">
        <f t="shared" si="8"/>
        <v>0</v>
      </c>
      <c r="E19" s="118">
        <f t="shared" si="4"/>
        <v>0</v>
      </c>
      <c r="F19" s="133"/>
      <c r="G19" s="133"/>
      <c r="H19" s="133"/>
      <c r="I19" s="131" t="e">
        <f t="shared" si="7"/>
        <v>#DIV/0!</v>
      </c>
      <c r="J19" s="126">
        <f t="shared" si="9"/>
        <v>0</v>
      </c>
      <c r="K19" s="122">
        <f t="shared" si="0"/>
        <v>0</v>
      </c>
      <c r="M19" s="162">
        <v>936</v>
      </c>
      <c r="N19" s="3" t="s">
        <v>1140</v>
      </c>
      <c r="O19" s="3" t="s">
        <v>1225</v>
      </c>
      <c r="R19" s="52">
        <f>+SUMIFS(Export!L:L,Export!I:I,N19,Export!E:E,M19)</f>
        <v>0</v>
      </c>
      <c r="S19" s="52">
        <f>+SUMIFS(Export!L:L,Export!I:I,O19,Export!E:E,M19)</f>
        <v>0</v>
      </c>
      <c r="T19" s="52">
        <f t="shared" si="12"/>
        <v>0</v>
      </c>
      <c r="V19" s="52">
        <f>+SUMIFS(Export!N:N,Export!I:I,N19,Export!E:E,M19)</f>
        <v>0</v>
      </c>
      <c r="W19" s="52">
        <f>+SUMIFS(Export!N:N,Export!I:I,O19,Export!E:E,M19)</f>
        <v>0</v>
      </c>
      <c r="X19" s="52">
        <f t="shared" si="13"/>
        <v>0</v>
      </c>
      <c r="Z19" s="52">
        <f>+SUMIF(Export!$I:$I,'Bridgestone 936'!N19,Export!M:M)</f>
        <v>0</v>
      </c>
      <c r="AA19" s="52">
        <f>+SUMIF(Export!$I:$I,'Bridgestone 936'!O19,Export!M:M)</f>
        <v>0</v>
      </c>
      <c r="AB19" s="52">
        <f t="shared" si="14"/>
        <v>0</v>
      </c>
      <c r="AD19" s="52">
        <f>+SUMIF(Export!$I:$I,'Bridgestone 936'!N19,Export!O:O)</f>
        <v>0</v>
      </c>
      <c r="AE19" s="52">
        <f>+SUMIF(Export!$I:$I,'Bridgestone 936'!O19,Export!O:O)</f>
        <v>0</v>
      </c>
      <c r="AF19" s="52">
        <f t="shared" si="15"/>
        <v>0</v>
      </c>
    </row>
    <row r="20" spans="1:32" x14ac:dyDescent="0.25">
      <c r="A20" s="24" t="s">
        <v>1230</v>
      </c>
      <c r="B20" s="130">
        <f t="shared" si="10"/>
        <v>0</v>
      </c>
      <c r="C20" s="131">
        <f t="shared" si="11"/>
        <v>0.389707339571564</v>
      </c>
      <c r="D20" s="128">
        <f t="shared" si="8"/>
        <v>-0.389707339571564</v>
      </c>
      <c r="E20" s="118">
        <f t="shared" si="4"/>
        <v>-1</v>
      </c>
      <c r="F20" s="133"/>
      <c r="G20" s="133"/>
      <c r="H20" s="133"/>
      <c r="I20" s="131" t="e">
        <f t="shared" si="7"/>
        <v>#DIV/0!</v>
      </c>
      <c r="J20" s="126">
        <f t="shared" si="9"/>
        <v>0</v>
      </c>
      <c r="K20" s="122">
        <f t="shared" si="0"/>
        <v>0</v>
      </c>
      <c r="M20" s="162">
        <v>936</v>
      </c>
      <c r="N20" s="3" t="s">
        <v>1145</v>
      </c>
      <c r="O20" s="3" t="s">
        <v>1230</v>
      </c>
      <c r="R20" s="52">
        <f>+SUMIFS(Export!L:L,Export!I:I,N20,Export!E:E,M20)</f>
        <v>0</v>
      </c>
      <c r="S20" s="52">
        <f>+SUMIFS(Export!L:L,Export!I:I,O20,Export!E:E,M20)</f>
        <v>0</v>
      </c>
      <c r="T20" s="52">
        <f t="shared" si="12"/>
        <v>0</v>
      </c>
      <c r="V20" s="52">
        <f>+SUMIFS(Export!N:N,Export!I:I,N20,Export!E:E,M20)</f>
        <v>-10714.285714285714</v>
      </c>
      <c r="W20" s="52">
        <f>+SUMIFS(Export!N:N,Export!I:I,O20,Export!E:E,M20)</f>
        <v>6538.8499331618141</v>
      </c>
      <c r="X20" s="52">
        <f t="shared" si="13"/>
        <v>-4175.4357811238997</v>
      </c>
      <c r="Z20" s="52">
        <f>+SUMIF(Export!$I:$I,'Bridgestone 936'!N20,Export!M:M)</f>
        <v>0</v>
      </c>
      <c r="AA20" s="52">
        <f>+SUMIF(Export!$I:$I,'Bridgestone 936'!O20,Export!M:M)</f>
        <v>0</v>
      </c>
      <c r="AB20" s="52">
        <f t="shared" si="14"/>
        <v>0</v>
      </c>
      <c r="AD20" s="52">
        <f>+SUMIF(Export!$I:$I,'Bridgestone 936'!N20,Export!O:O)</f>
        <v>0</v>
      </c>
      <c r="AE20" s="52">
        <f>+SUMIF(Export!$I:$I,'Bridgestone 936'!O20,Export!O:O)</f>
        <v>0</v>
      </c>
      <c r="AF20" s="52">
        <f t="shared" si="15"/>
        <v>0</v>
      </c>
    </row>
    <row r="21" spans="1:32" x14ac:dyDescent="0.25">
      <c r="A21" s="24" t="s">
        <v>1222</v>
      </c>
      <c r="B21" s="130">
        <f>IFERROR(+T21/R21,0)</f>
        <v>0</v>
      </c>
      <c r="C21" s="131">
        <f t="shared" si="11"/>
        <v>0</v>
      </c>
      <c r="D21" s="128">
        <f t="shared" si="8"/>
        <v>0</v>
      </c>
      <c r="E21" s="118">
        <f t="shared" si="4"/>
        <v>0</v>
      </c>
      <c r="F21" s="133"/>
      <c r="G21" s="133"/>
      <c r="H21" s="133"/>
      <c r="I21" s="131" t="e">
        <f t="shared" si="7"/>
        <v>#DIV/0!</v>
      </c>
      <c r="J21" s="126">
        <f t="shared" si="9"/>
        <v>0</v>
      </c>
      <c r="K21" s="122">
        <f t="shared" si="0"/>
        <v>0</v>
      </c>
      <c r="M21" s="162">
        <v>936</v>
      </c>
      <c r="N21" s="3" t="s">
        <v>1137</v>
      </c>
      <c r="O21" s="3" t="s">
        <v>1222</v>
      </c>
      <c r="R21" s="52">
        <f>+SUMIFS(Export!L:L,Export!I:I,N21,Export!E:E,M21)</f>
        <v>0</v>
      </c>
      <c r="S21" s="52">
        <f>+SUMIFS(Export!L:L,Export!I:I,O21,Export!E:E,M21)</f>
        <v>-47.71</v>
      </c>
      <c r="T21" s="52">
        <f t="shared" si="12"/>
        <v>-47.71</v>
      </c>
      <c r="V21" s="52">
        <f>+SUMIFS(Export!N:N,Export!I:I,N21,Export!E:E,M21)</f>
        <v>0</v>
      </c>
      <c r="W21" s="52">
        <f>+SUMIFS(Export!N:N,Export!I:I,O21,Export!E:E,M21)</f>
        <v>0</v>
      </c>
      <c r="X21" s="52">
        <f t="shared" si="13"/>
        <v>0</v>
      </c>
      <c r="Z21" s="52">
        <f>+SUMIF(Export!$I:$I,'Bridgestone 936'!N21,Export!M:M)</f>
        <v>0</v>
      </c>
      <c r="AA21" s="52">
        <f>+SUMIF(Export!$I:$I,'Bridgestone 936'!O21,Export!M:M)</f>
        <v>0</v>
      </c>
      <c r="AB21" s="52">
        <f t="shared" si="14"/>
        <v>0</v>
      </c>
      <c r="AD21" s="52">
        <f>+SUMIF(Export!$I:$I,'Bridgestone 936'!N21,Export!O:O)</f>
        <v>0</v>
      </c>
      <c r="AE21" s="52">
        <f>+SUMIF(Export!$I:$I,'Bridgestone 936'!O21,Export!O:O)</f>
        <v>0</v>
      </c>
      <c r="AF21" s="52">
        <f t="shared" si="15"/>
        <v>0</v>
      </c>
    </row>
    <row r="22" spans="1:32" x14ac:dyDescent="0.25">
      <c r="A22" s="24" t="s">
        <v>1670</v>
      </c>
      <c r="B22" s="130">
        <f t="shared" si="10"/>
        <v>0.39541968657413362</v>
      </c>
      <c r="C22" s="131">
        <f t="shared" si="11"/>
        <v>0.38970733957156395</v>
      </c>
      <c r="D22" s="128">
        <f t="shared" si="8"/>
        <v>5.7123470025696732E-3</v>
      </c>
      <c r="E22" s="118">
        <f t="shared" si="4"/>
        <v>1.4658043158360085E-2</v>
      </c>
      <c r="F22" s="133"/>
      <c r="G22" s="133"/>
      <c r="H22" s="133"/>
      <c r="I22" s="131" t="e">
        <f t="shared" si="7"/>
        <v>#DIV/0!</v>
      </c>
      <c r="J22" s="126">
        <f t="shared" si="9"/>
        <v>0</v>
      </c>
      <c r="K22" s="122">
        <f t="shared" si="0"/>
        <v>0</v>
      </c>
      <c r="R22" s="52">
        <f>SUM(R16:R21)</f>
        <v>-74268.28</v>
      </c>
      <c r="S22" s="52">
        <f t="shared" ref="S22" si="16">SUM(S16:S21)</f>
        <v>44901.14</v>
      </c>
      <c r="T22" s="52">
        <f>SUM(T16:T21)</f>
        <v>-29367.139999999996</v>
      </c>
      <c r="V22" s="52">
        <f>SUM(V16:V21)</f>
        <v>-71428.571428571435</v>
      </c>
      <c r="W22" s="52">
        <f t="shared" ref="W22:X22" si="17">SUM(W16:W21)</f>
        <v>43592.332887745426</v>
      </c>
      <c r="X22" s="52">
        <f t="shared" si="17"/>
        <v>-27836.238540825998</v>
      </c>
      <c r="Z22" s="52">
        <f>SUM(Z16:Z21)</f>
        <v>0</v>
      </c>
      <c r="AA22" s="52">
        <f t="shared" ref="AA22:AB22" si="18">SUM(AA16:AA21)</f>
        <v>0</v>
      </c>
      <c r="AB22" s="52">
        <f t="shared" si="18"/>
        <v>0</v>
      </c>
      <c r="AD22" s="52">
        <f>SUM(AD16:AD21)</f>
        <v>0</v>
      </c>
      <c r="AE22" s="52">
        <f t="shared" ref="AE22:AF22" si="19">SUM(AE16:AE21)</f>
        <v>0</v>
      </c>
      <c r="AF22" s="52">
        <f t="shared" si="19"/>
        <v>0</v>
      </c>
    </row>
    <row r="23" spans="1:32" x14ac:dyDescent="0.25">
      <c r="A23" s="24" t="s">
        <v>60</v>
      </c>
      <c r="B23" s="89">
        <f>-T23</f>
        <v>1964.76</v>
      </c>
      <c r="C23" s="90">
        <f>-X23</f>
        <v>0</v>
      </c>
      <c r="D23" s="100">
        <f>+B23-C23</f>
        <v>1964.76</v>
      </c>
      <c r="E23" s="118">
        <f t="shared" si="4"/>
        <v>0</v>
      </c>
      <c r="F23" s="89"/>
      <c r="G23" s="89"/>
      <c r="H23" s="89"/>
      <c r="I23" s="90">
        <f>SUM(F23:H23)</f>
        <v>0</v>
      </c>
      <c r="J23" s="100">
        <f>+F23-H23</f>
        <v>0</v>
      </c>
      <c r="K23" s="122">
        <f t="shared" si="0"/>
        <v>0</v>
      </c>
      <c r="L23" s="162"/>
      <c r="M23" s="162">
        <v>936</v>
      </c>
      <c r="N23" s="3" t="s">
        <v>60</v>
      </c>
      <c r="T23" s="52">
        <f>+SUMIFS(Export!L:L,Export!I:I,N23,Export!E:E,M23)+SUMIFS(Export!L:L,Export!I:I,N23,Export!E:E,L23)</f>
        <v>-1964.76</v>
      </c>
      <c r="V23" s="52"/>
      <c r="W23" s="52"/>
      <c r="X23" s="52">
        <f>+SUMIFS(Export!N:N,Export!I:I,N23,Export!E:E,L23)+SUMIFS(Export!N:N,Export!I:I,N23,Export!E:E,M23)</f>
        <v>0</v>
      </c>
      <c r="AB23" s="52">
        <f>+SUMIF(Export!$I:$I,'Bridgestone 936'!N23,Export!M:M)</f>
        <v>0</v>
      </c>
      <c r="AD23" s="52"/>
      <c r="AE23" s="52"/>
      <c r="AF23" s="52">
        <f>+SUMIF(Export!$I:$I,'Bridgestone 936'!N23,Export!O:O)</f>
        <v>0</v>
      </c>
    </row>
    <row r="24" spans="1:32" x14ac:dyDescent="0.25">
      <c r="A24" s="27" t="s">
        <v>1671</v>
      </c>
      <c r="B24" s="91">
        <f>-T22+B23</f>
        <v>31331.899999999994</v>
      </c>
      <c r="C24" s="92">
        <f>-X22+C23</f>
        <v>27836.238540825998</v>
      </c>
      <c r="D24" s="101">
        <f>+B24-C24</f>
        <v>3495.6614591739963</v>
      </c>
      <c r="E24" s="119">
        <f t="shared" si="4"/>
        <v>0.12557951944717988</v>
      </c>
      <c r="F24" s="91"/>
      <c r="G24" s="91"/>
      <c r="H24" s="91"/>
      <c r="I24" s="92">
        <f>SUM(F24:H24)</f>
        <v>0</v>
      </c>
      <c r="J24" s="101">
        <f>+F24-H24</f>
        <v>0</v>
      </c>
      <c r="K24" s="123">
        <f t="shared" si="0"/>
        <v>0</v>
      </c>
      <c r="V24" s="52"/>
      <c r="W24" s="52"/>
      <c r="X24" s="52"/>
      <c r="AD24" s="52"/>
      <c r="AE24" s="52"/>
      <c r="AF24" s="52"/>
    </row>
    <row r="25" spans="1:32" x14ac:dyDescent="0.25">
      <c r="A25" s="24" t="s">
        <v>1672</v>
      </c>
      <c r="B25" s="130">
        <f>+B24/B13</f>
        <v>0.42187458764360769</v>
      </c>
      <c r="C25" s="131">
        <f>+C24/C13</f>
        <v>0.38970733957156395</v>
      </c>
      <c r="D25" s="128">
        <f t="shared" ref="D25" si="20">+B25-C25</f>
        <v>3.2167248072043741E-2</v>
      </c>
      <c r="E25" s="129">
        <f t="shared" si="4"/>
        <v>8.2542063763560977E-2</v>
      </c>
      <c r="F25" s="130"/>
      <c r="G25" s="130"/>
      <c r="H25" s="130"/>
      <c r="I25" s="131" t="e">
        <f t="shared" ref="I25:I29" si="21">AVERAGE(F25:H25)</f>
        <v>#DIV/0!</v>
      </c>
      <c r="J25" s="128">
        <f t="shared" ref="J25" si="22">+F25-H25</f>
        <v>0</v>
      </c>
      <c r="K25" s="125">
        <f t="shared" si="0"/>
        <v>0</v>
      </c>
      <c r="V25" s="52"/>
      <c r="W25" s="52"/>
      <c r="X25" s="52"/>
      <c r="AD25" s="52"/>
      <c r="AE25" s="52"/>
      <c r="AF25" s="52"/>
    </row>
    <row r="26" spans="1:32" x14ac:dyDescent="0.25">
      <c r="A26" s="24" t="s">
        <v>1255</v>
      </c>
      <c r="B26" s="130">
        <f>IFERROR(SUMIFS(Export!L:L,Export!I:I,N26,Export!E:E,M26),0)/$B$13</f>
        <v>0.17858997138482269</v>
      </c>
      <c r="C26" s="131">
        <f>IFERROR(SUMIFS(Export!N:N,Export!I:I,N26,Export!E:E,M26),0)/$C$13</f>
        <v>0.29999999999999993</v>
      </c>
      <c r="D26" s="128">
        <f>+C26-B26</f>
        <v>0.12141002861517725</v>
      </c>
      <c r="E26" s="129">
        <f t="shared" si="4"/>
        <v>0.40470009538392426</v>
      </c>
      <c r="F26" s="130"/>
      <c r="G26" s="130"/>
      <c r="H26" s="130"/>
      <c r="I26" s="131" t="e">
        <f t="shared" si="21"/>
        <v>#DIV/0!</v>
      </c>
      <c r="J26" s="128">
        <f>+H26-F26</f>
        <v>0</v>
      </c>
      <c r="K26" s="125">
        <f t="shared" si="0"/>
        <v>0</v>
      </c>
      <c r="M26" s="162">
        <v>936</v>
      </c>
      <c r="N26" s="3" t="s">
        <v>1252</v>
      </c>
      <c r="T26" s="52">
        <f>+SUMIFS(Export!L:L,Export!I:I,N26,Export!E:E,M26)</f>
        <v>13263.57</v>
      </c>
      <c r="V26" s="52"/>
      <c r="W26" s="52"/>
      <c r="X26" s="52">
        <f>+SUMIFS(Export!N:N,Export!I:I,N26,Export!E:E,M26)</f>
        <v>21428.571428571428</v>
      </c>
      <c r="AB26" s="52">
        <f>+SUMIF(Export!$I:$I,'Bridgestone 936'!N26,Export!M:M)</f>
        <v>0</v>
      </c>
      <c r="AD26" s="52"/>
      <c r="AE26" s="52"/>
      <c r="AF26" s="52">
        <f>+SUMIF(Export!$I:$I,'Bridgestone 936'!N26,Export!O:O)</f>
        <v>0</v>
      </c>
    </row>
    <row r="27" spans="1:32" x14ac:dyDescent="0.25">
      <c r="A27" s="24" t="s">
        <v>1286</v>
      </c>
      <c r="B27" s="130">
        <f>IFERROR(SUMIFS(Export!L:L,Export!I:I,N27,Export!E:E,M27),0)/$B$13</f>
        <v>2.4808976322058356E-2</v>
      </c>
      <c r="C27" s="131">
        <f>IFERROR(SUMIFS(Export!N:N,Export!I:I,N27,Export!E:E,M27),0)/$C$13</f>
        <v>0</v>
      </c>
      <c r="D27" s="128">
        <f>+C27-B27</f>
        <v>-2.4808976322058356E-2</v>
      </c>
      <c r="E27" s="129">
        <f t="shared" si="4"/>
        <v>0</v>
      </c>
      <c r="F27" s="130"/>
      <c r="G27" s="130"/>
      <c r="H27" s="130"/>
      <c r="I27" s="131" t="e">
        <f t="shared" si="21"/>
        <v>#DIV/0!</v>
      </c>
      <c r="J27" s="128">
        <f>+H27-F27</f>
        <v>0</v>
      </c>
      <c r="K27" s="125">
        <f t="shared" si="0"/>
        <v>0</v>
      </c>
      <c r="M27" s="162">
        <v>936</v>
      </c>
      <c r="N27" s="3" t="s">
        <v>1286</v>
      </c>
      <c r="T27" s="52">
        <f>+SUMIFS(Export!L:L,Export!I:I,N27,Export!E:E,M27)</f>
        <v>1842.52</v>
      </c>
      <c r="V27" s="52"/>
      <c r="W27" s="52"/>
      <c r="X27" s="52">
        <f>+SUMIFS(Export!N:N,Export!I:I,N27,Export!E:E,M27)</f>
        <v>0</v>
      </c>
      <c r="AB27" s="52">
        <f>+SUMIF(Export!J:J,'Bridgestone 936'!N27,Export!M:M)</f>
        <v>0</v>
      </c>
      <c r="AD27" s="52"/>
      <c r="AE27" s="52"/>
      <c r="AF27" s="52">
        <f>+SUMIF(Export!$J:$J,'Bridgestone 936'!N27,Export!O:O)</f>
        <v>0</v>
      </c>
    </row>
    <row r="28" spans="1:32" x14ac:dyDescent="0.25">
      <c r="A28" s="24" t="s">
        <v>1674</v>
      </c>
      <c r="B28" s="132">
        <f>+SUM(B26:B27)</f>
        <v>0.20339894770688105</v>
      </c>
      <c r="C28" s="131">
        <f>+SUM(C26:C27)</f>
        <v>0.29999999999999993</v>
      </c>
      <c r="D28" s="128">
        <f>+C28-B28</f>
        <v>9.6601052293118883E-2</v>
      </c>
      <c r="E28" s="129">
        <f t="shared" si="4"/>
        <v>0.3220035076437297</v>
      </c>
      <c r="F28" s="130"/>
      <c r="G28" s="130"/>
      <c r="H28" s="130"/>
      <c r="I28" s="131" t="e">
        <f t="shared" si="21"/>
        <v>#DIV/0!</v>
      </c>
      <c r="J28" s="128">
        <f>+H28-F28</f>
        <v>0</v>
      </c>
      <c r="K28" s="125">
        <f t="shared" si="0"/>
        <v>0</v>
      </c>
      <c r="V28" s="52"/>
      <c r="W28" s="52"/>
      <c r="X28" s="52"/>
      <c r="AD28" s="52"/>
      <c r="AE28" s="52"/>
      <c r="AF28" s="52"/>
    </row>
    <row r="29" spans="1:32" x14ac:dyDescent="0.25">
      <c r="A29" s="24" t="s">
        <v>1675</v>
      </c>
      <c r="B29" s="132">
        <f>+B25-B28</f>
        <v>0.21847563993672664</v>
      </c>
      <c r="C29" s="131">
        <f>+C25-C28</f>
        <v>8.9707339571564015E-2</v>
      </c>
      <c r="D29" s="128">
        <f>+B29-C29</f>
        <v>0.12876830036516262</v>
      </c>
      <c r="E29" s="129">
        <f t="shared" si="4"/>
        <v>1.4354265880601411</v>
      </c>
      <c r="F29" s="132"/>
      <c r="G29" s="132"/>
      <c r="H29" s="132"/>
      <c r="I29" s="131" t="e">
        <f t="shared" si="21"/>
        <v>#DIV/0!</v>
      </c>
      <c r="J29" s="128">
        <f>+F29-H29</f>
        <v>0</v>
      </c>
      <c r="K29" s="125">
        <f t="shared" si="0"/>
        <v>0</v>
      </c>
      <c r="V29" s="52"/>
      <c r="W29" s="52"/>
      <c r="X29" s="52"/>
      <c r="AD29" s="52"/>
      <c r="AE29" s="52"/>
      <c r="AF29" s="52"/>
    </row>
    <row r="30" spans="1:32" s="28" customFormat="1" ht="15.75" thickBot="1" x14ac:dyDescent="0.3">
      <c r="A30" s="29" t="s">
        <v>1676</v>
      </c>
      <c r="B30" s="94">
        <f>-T30</f>
        <v>16225.809999999994</v>
      </c>
      <c r="C30" s="93">
        <f>-X30</f>
        <v>6407.6671122545704</v>
      </c>
      <c r="D30" s="108">
        <f>+B30-C30</f>
        <v>9818.1428877454236</v>
      </c>
      <c r="E30" s="120">
        <f t="shared" si="4"/>
        <v>1.5322492126609337</v>
      </c>
      <c r="F30" s="94"/>
      <c r="G30" s="94"/>
      <c r="H30" s="94"/>
      <c r="I30" s="93">
        <f>SUM(F30:H30)</f>
        <v>0</v>
      </c>
      <c r="J30" s="108">
        <f>+F30-H30</f>
        <v>0</v>
      </c>
      <c r="K30" s="124">
        <f t="shared" si="0"/>
        <v>0</v>
      </c>
      <c r="N30" s="3"/>
      <c r="O30" s="3"/>
      <c r="P30" s="3"/>
      <c r="Q30" s="3"/>
      <c r="R30" s="52"/>
      <c r="S30" s="52"/>
      <c r="T30" s="52">
        <f>+SUM(T22:T29)</f>
        <v>-16225.809999999994</v>
      </c>
      <c r="V30" s="52"/>
      <c r="W30" s="52"/>
      <c r="X30" s="52">
        <f>+SUM(X22:X29)</f>
        <v>-6407.6671122545704</v>
      </c>
      <c r="Z30" s="52"/>
      <c r="AA30" s="52"/>
      <c r="AB30" s="52">
        <f>+SUM(AB22:AB29)</f>
        <v>0</v>
      </c>
      <c r="AD30" s="52"/>
      <c r="AE30" s="52"/>
      <c r="AF30" s="52">
        <f>+SUM(AF22:AF29)</f>
        <v>0</v>
      </c>
    </row>
    <row r="31" spans="1:32" ht="15.75" hidden="1" customHeight="1" thickTop="1" x14ac:dyDescent="0.25">
      <c r="E31" s="121"/>
      <c r="K31" s="121"/>
      <c r="V31" s="52"/>
      <c r="W31" s="52"/>
      <c r="X31" s="52"/>
      <c r="AD31" s="52"/>
      <c r="AE31" s="52"/>
      <c r="AF31" s="52"/>
    </row>
    <row r="32" spans="1:32" ht="15.75" thickTop="1" x14ac:dyDescent="0.25">
      <c r="E32" s="121"/>
      <c r="K32" s="121"/>
      <c r="V32" s="52"/>
      <c r="W32" s="52"/>
      <c r="X32" s="52"/>
      <c r="AD32" s="52"/>
      <c r="AE32" s="52"/>
      <c r="AF32" s="52"/>
    </row>
    <row r="33" spans="1:23" s="149" customFormat="1" x14ac:dyDescent="0.25">
      <c r="A33" s="10" t="s">
        <v>1677</v>
      </c>
      <c r="B33" s="12">
        <v>2</v>
      </c>
      <c r="C33" s="12">
        <v>2</v>
      </c>
      <c r="F33" s="12"/>
      <c r="G33" s="12"/>
      <c r="H33" s="12"/>
      <c r="I33" s="12" t="e">
        <f>AVERAGE(F33:H33)</f>
        <v>#DIV/0!</v>
      </c>
      <c r="N33" s="3"/>
      <c r="O33" s="3"/>
      <c r="P33" s="3"/>
      <c r="Q33" s="3"/>
      <c r="R33" s="3"/>
    </row>
    <row r="34" spans="1:23" hidden="1" x14ac:dyDescent="0.25">
      <c r="B34" s="197"/>
    </row>
    <row r="35" spans="1:23" x14ac:dyDescent="0.25">
      <c r="A35" s="3" t="s">
        <v>1654</v>
      </c>
    </row>
    <row r="36" spans="1:23" x14ac:dyDescent="0.25">
      <c r="A36" s="3"/>
      <c r="B36" s="89">
        <f>(+SUMIF('TUNZ Extracted TB'!M:M,'Bridgestone 936'!N36,'TUNZ Extracted TB'!H:H)+SUMIF('TUNZ Extracted TB'!M:M,'Bridgestone 936'!O36,'TUNZ Extracted TB'!H:H))*$B$33/'PARTS GROUP'!$B$33</f>
        <v>46772.332000000002</v>
      </c>
      <c r="F36" s="89"/>
      <c r="G36" s="89"/>
      <c r="H36" s="89"/>
      <c r="I36" s="283"/>
      <c r="N36" s="3" t="s">
        <v>1757</v>
      </c>
      <c r="O36" s="3" t="s">
        <v>1757</v>
      </c>
    </row>
    <row r="37" spans="1:23" x14ac:dyDescent="0.25">
      <c r="C37" s="193"/>
    </row>
    <row r="38" spans="1:23" x14ac:dyDescent="0.25">
      <c r="C38" s="193"/>
    </row>
    <row r="39" spans="1:23" x14ac:dyDescent="0.25">
      <c r="C39" s="193"/>
    </row>
    <row r="40" spans="1:23" x14ac:dyDescent="0.25">
      <c r="C40" s="193"/>
    </row>
    <row r="41" spans="1:23" x14ac:dyDescent="0.25">
      <c r="C41" s="193"/>
    </row>
    <row r="42" spans="1:23" x14ac:dyDescent="0.25">
      <c r="C42" s="193"/>
      <c r="I42" s="290"/>
    </row>
    <row r="43" spans="1:23" x14ac:dyDescent="0.25">
      <c r="B43" s="193"/>
      <c r="C43" s="193"/>
    </row>
    <row r="44" spans="1:23" x14ac:dyDescent="0.25">
      <c r="B44" s="193"/>
      <c r="C44" s="193"/>
    </row>
    <row r="45" spans="1:23" x14ac:dyDescent="0.25">
      <c r="B45" s="193"/>
      <c r="C45" s="193"/>
      <c r="I45" s="290"/>
    </row>
    <row r="46" spans="1:23" x14ac:dyDescent="0.25">
      <c r="W46" s="16">
        <v>115474.31</v>
      </c>
    </row>
    <row r="47" spans="1:23" x14ac:dyDescent="0.25">
      <c r="C47" s="291"/>
      <c r="W47" s="16">
        <v>688999.94</v>
      </c>
    </row>
    <row r="48" spans="1:23" x14ac:dyDescent="0.25">
      <c r="W48" s="268">
        <f>W46/W47</f>
        <v>0.1675969812130898</v>
      </c>
    </row>
  </sheetData>
  <mergeCells count="6">
    <mergeCell ref="A1:D1"/>
    <mergeCell ref="J1:K1"/>
    <mergeCell ref="B3:E3"/>
    <mergeCell ref="F3:K3"/>
    <mergeCell ref="D4:E4"/>
    <mergeCell ref="J4:K4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0B3C4-6AEB-4469-9DF2-4A59C11AA557}">
  <sheetPr>
    <tabColor theme="9" tint="0.79998168889431442"/>
  </sheetPr>
  <dimension ref="A1:AJ35"/>
  <sheetViews>
    <sheetView workbookViewId="0">
      <selection activeCell="P14" sqref="P14"/>
    </sheetView>
  </sheetViews>
  <sheetFormatPr defaultColWidth="9.140625" defaultRowHeight="15" outlineLevelCol="1" x14ac:dyDescent="0.25"/>
  <cols>
    <col min="1" max="1" width="62.7109375" style="16" customWidth="1"/>
    <col min="2" max="2" width="10.5703125" style="16" bestFit="1" customWidth="1"/>
    <col min="3" max="6" width="9.7109375" style="16" customWidth="1"/>
    <col min="7" max="7" width="14.7109375" style="16" bestFit="1" customWidth="1"/>
    <col min="8" max="8" width="9.7109375" style="16" customWidth="1" outlineLevel="1"/>
    <col min="9" max="9" width="9.7109375" style="16" customWidth="1"/>
    <col min="10" max="11" width="9.7109375" style="16" hidden="1" customWidth="1"/>
    <col min="12" max="12" width="9.140625" style="16" customWidth="1"/>
    <col min="13" max="13" width="9.140625" style="16"/>
    <col min="14" max="14" width="11.7109375" style="3" customWidth="1" outlineLevel="1"/>
    <col min="15" max="18" width="9.140625" style="16" customWidth="1" outlineLevel="1"/>
    <col min="19" max="20" width="11.7109375" style="3" customWidth="1" outlineLevel="1"/>
    <col min="21" max="21" width="11.7109375" style="59" customWidth="1" outlineLevel="1"/>
    <col min="22" max="25" width="9.140625" style="17" customWidth="1" outlineLevel="1"/>
    <col min="26" max="36" width="9.140625" style="16" customWidth="1" outlineLevel="1"/>
    <col min="37" max="16384" width="9.140625" style="16"/>
  </cols>
  <sheetData>
    <row r="1" spans="1:25" ht="15" customHeight="1" x14ac:dyDescent="0.25">
      <c r="A1" s="326" t="s">
        <v>1758</v>
      </c>
      <c r="B1" s="327"/>
      <c r="C1" s="327"/>
      <c r="D1" s="327"/>
      <c r="E1" s="14"/>
      <c r="F1" s="15" t="s">
        <v>1605</v>
      </c>
      <c r="G1" s="15"/>
      <c r="H1" s="31"/>
      <c r="I1" s="286">
        <f>OVERALL!I1</f>
        <v>45292</v>
      </c>
      <c r="J1" s="336">
        <f>OVERALL!I1</f>
        <v>45292</v>
      </c>
      <c r="K1" s="353"/>
    </row>
    <row r="2" spans="1:25" ht="12.2" customHeight="1" thickBot="1" x14ac:dyDescent="0.3"/>
    <row r="3" spans="1:25" ht="15.75" thickTop="1" x14ac:dyDescent="0.25">
      <c r="A3" s="44" t="s">
        <v>1591</v>
      </c>
      <c r="B3" s="354" t="s">
        <v>155</v>
      </c>
      <c r="C3" s="329"/>
      <c r="D3" s="329"/>
      <c r="E3" s="329"/>
      <c r="F3" s="354" t="s">
        <v>155</v>
      </c>
      <c r="G3" s="354"/>
      <c r="H3" s="329"/>
      <c r="I3" s="329"/>
      <c r="J3" s="329"/>
      <c r="K3" s="345"/>
    </row>
    <row r="4" spans="1:25" ht="15" customHeight="1" x14ac:dyDescent="0.25">
      <c r="A4" s="45" t="s">
        <v>1591</v>
      </c>
      <c r="B4" s="46"/>
      <c r="C4" s="46"/>
      <c r="D4" s="352"/>
      <c r="E4" s="331"/>
      <c r="F4" s="46"/>
      <c r="G4" s="46"/>
      <c r="H4" s="46"/>
      <c r="I4" s="46"/>
      <c r="J4" s="352" t="s">
        <v>1608</v>
      </c>
      <c r="K4" s="347"/>
      <c r="U4" s="97" t="s">
        <v>1641</v>
      </c>
      <c r="V4" s="97" t="s">
        <v>1641</v>
      </c>
    </row>
    <row r="5" spans="1:25" x14ac:dyDescent="0.25">
      <c r="A5" s="45" t="s">
        <v>1717</v>
      </c>
      <c r="B5" s="47" t="s">
        <v>12</v>
      </c>
      <c r="C5" s="47" t="s">
        <v>1592</v>
      </c>
      <c r="D5" s="48" t="s">
        <v>1609</v>
      </c>
      <c r="E5" s="48" t="s">
        <v>1610</v>
      </c>
      <c r="F5" s="263" t="str">
        <f>OVERALL!F5</f>
        <v>0124</v>
      </c>
      <c r="G5" s="263" t="str">
        <f>OVERALL!G5</f>
        <v>0224</v>
      </c>
      <c r="H5" s="263" t="str">
        <f>OVERALL!H5</f>
        <v>0324</v>
      </c>
      <c r="I5" s="47" t="str">
        <f>OVERALL!I5</f>
        <v>Q124</v>
      </c>
      <c r="J5" s="48" t="s">
        <v>1609</v>
      </c>
      <c r="K5" s="49" t="s">
        <v>1610</v>
      </c>
      <c r="U5" s="97" t="s">
        <v>12</v>
      </c>
      <c r="V5" s="98" t="s">
        <v>1592</v>
      </c>
      <c r="X5" s="97"/>
      <c r="Y5" s="98"/>
    </row>
    <row r="6" spans="1:25" s="28" customFormat="1" x14ac:dyDescent="0.25">
      <c r="A6" s="27" t="s">
        <v>1718</v>
      </c>
      <c r="B6" s="54">
        <f>+SUMIF(Export!H:H,"LEX Admin &amp; Other",Export!L:L)</f>
        <v>214047.11000000007</v>
      </c>
      <c r="C6" s="82">
        <f>+SUMIF(Export!H:H,"LEX Admin &amp; Other",Export!N:N)</f>
        <v>72561</v>
      </c>
      <c r="D6" s="106">
        <f>+C6-B6</f>
        <v>-141486.11000000007</v>
      </c>
      <c r="E6" s="119">
        <f>IFERROR(+D6/C6,0)</f>
        <v>-1.9498919529774958</v>
      </c>
      <c r="F6" s="54"/>
      <c r="G6" s="54"/>
      <c r="H6" s="54"/>
      <c r="I6" s="82">
        <f>SUM(F6:H6)</f>
        <v>0</v>
      </c>
      <c r="J6" s="110">
        <f>+H6-F6</f>
        <v>0</v>
      </c>
      <c r="K6" s="123">
        <f>IFERROR(+J6/H6,0)</f>
        <v>0</v>
      </c>
      <c r="M6" s="236"/>
      <c r="N6" s="3"/>
      <c r="S6" s="3" t="s">
        <v>1719</v>
      </c>
      <c r="T6" s="3"/>
      <c r="U6" s="59">
        <f>'LEX NEW VEHICLE'!B12</f>
        <v>254553.79999999981</v>
      </c>
      <c r="V6" s="59">
        <f>'LEX NEW VEHICLE'!C12</f>
        <v>290000</v>
      </c>
      <c r="W6" s="17"/>
      <c r="X6" s="59"/>
      <c r="Y6" s="59"/>
    </row>
    <row r="7" spans="1:25" ht="13.5" customHeight="1" x14ac:dyDescent="0.25">
      <c r="A7" s="24" t="s">
        <v>1276</v>
      </c>
      <c r="B7" s="51">
        <f>SUMIFS(Export!L:L,Export!H:H,"LEX Admin &amp; Other",Export!I:I,N7)/$U$13</f>
        <v>0.12343018631135062</v>
      </c>
      <c r="C7" s="96">
        <f>SUMIFS(Export!N:N,Export!H:H,"LEX Admin &amp; Other",Export!I:I,N7)/$U$13</f>
        <v>4.8181115916119975E-2</v>
      </c>
      <c r="D7" s="118">
        <f>+C7-B7</f>
        <v>-7.5249070395230655E-2</v>
      </c>
      <c r="E7" s="118">
        <f t="shared" ref="E7:E16" si="0">IFERROR(+D7/C7,0)</f>
        <v>-1.5617959228307234</v>
      </c>
      <c r="F7" s="51"/>
      <c r="G7" s="51"/>
      <c r="H7" s="51"/>
      <c r="I7" s="96" t="e">
        <f>AVERAGE(F7:H7)</f>
        <v>#DIV/0!</v>
      </c>
      <c r="J7" s="118">
        <f>+H7-F7</f>
        <v>0</v>
      </c>
      <c r="K7" s="122">
        <f t="shared" ref="K7:K16" si="1">IFERROR(+J7/H7,0)</f>
        <v>0</v>
      </c>
      <c r="N7" s="3" t="s">
        <v>1276</v>
      </c>
      <c r="S7" s="3" t="s">
        <v>1720</v>
      </c>
      <c r="U7" s="59">
        <f>'LEX USED VEHICLE'!B16</f>
        <v>26353.47</v>
      </c>
      <c r="V7" s="59">
        <f>'LEX USED VEHICLE'!C16</f>
        <v>27500</v>
      </c>
      <c r="X7" s="59"/>
      <c r="Y7" s="59"/>
    </row>
    <row r="8" spans="1:25" x14ac:dyDescent="0.25">
      <c r="A8" s="24" t="s">
        <v>1434</v>
      </c>
      <c r="B8" s="51">
        <f>SUMIFS(Export!L:L,Export!H:H,"LEX Admin &amp; Other",Export!I:I,N8)/$U$13</f>
        <v>0.13596829455921672</v>
      </c>
      <c r="C8" s="96">
        <f>SUMIFS(Export!N:N,Export!H:H,"LEX Admin &amp; Other",Export!I:I,N8)/$U$13</f>
        <v>3.6591687972075022E-2</v>
      </c>
      <c r="D8" s="126">
        <f t="shared" ref="D8:D16" si="2">+C8-B8</f>
        <v>-9.9376606587141703E-2</v>
      </c>
      <c r="E8" s="118">
        <f t="shared" si="0"/>
        <v>-2.7158246064784177</v>
      </c>
      <c r="F8" s="51"/>
      <c r="G8" s="51"/>
      <c r="H8" s="51"/>
      <c r="I8" s="96" t="e">
        <f t="shared" ref="I8:I16" si="3">AVERAGE(F8:H8)</f>
        <v>#DIV/0!</v>
      </c>
      <c r="J8" s="126">
        <f t="shared" ref="J8:J16" si="4">+H8-F8</f>
        <v>0</v>
      </c>
      <c r="K8" s="122">
        <f t="shared" si="1"/>
        <v>0</v>
      </c>
      <c r="N8" s="3" t="s">
        <v>1434</v>
      </c>
      <c r="S8" s="3" t="s">
        <v>25</v>
      </c>
      <c r="U8" s="59">
        <f>'LEX F&amp;I'!B14</f>
        <v>27288.48</v>
      </c>
      <c r="V8" s="59">
        <f>'LEX F&amp;I'!C14</f>
        <v>17000</v>
      </c>
      <c r="X8" s="59"/>
      <c r="Y8" s="59"/>
    </row>
    <row r="9" spans="1:25" x14ac:dyDescent="0.25">
      <c r="A9" s="24" t="s">
        <v>1448</v>
      </c>
      <c r="B9" s="51">
        <f>SUMIFS(Export!L:L,Export!H:H,"LEX Admin &amp; Other",Export!I:I,N9)/$U$13</f>
        <v>5.4846276700304099E-2</v>
      </c>
      <c r="C9" s="96">
        <f>SUMIFS(Export!N:N,Export!H:H,"LEX Admin &amp; Other",Export!I:I,N9)/$U$13</f>
        <v>1.713121450527097E-2</v>
      </c>
      <c r="D9" s="126">
        <f t="shared" si="2"/>
        <v>-3.7715062195033129E-2</v>
      </c>
      <c r="E9" s="118">
        <f t="shared" si="0"/>
        <v>-2.2015404794230364</v>
      </c>
      <c r="F9" s="51"/>
      <c r="G9" s="51"/>
      <c r="H9" s="51"/>
      <c r="I9" s="96" t="e">
        <f t="shared" si="3"/>
        <v>#DIV/0!</v>
      </c>
      <c r="J9" s="126">
        <f t="shared" si="4"/>
        <v>0</v>
      </c>
      <c r="K9" s="122">
        <f t="shared" si="1"/>
        <v>0</v>
      </c>
      <c r="N9" s="3" t="s">
        <v>1448</v>
      </c>
      <c r="S9" s="3" t="s">
        <v>26</v>
      </c>
      <c r="U9" s="59">
        <f>'LEX PARTS'!B24</f>
        <v>7783.4500000000007</v>
      </c>
      <c r="V9" s="59">
        <f>'LEX PARTS'!C24</f>
        <v>4400</v>
      </c>
      <c r="X9" s="59"/>
      <c r="Y9" s="59"/>
    </row>
    <row r="10" spans="1:25" ht="16.5" customHeight="1" x14ac:dyDescent="0.25">
      <c r="A10" s="24" t="s">
        <v>1336</v>
      </c>
      <c r="B10" s="51">
        <f>SUMIFS(Export!L:L,Export!H:H,"LEX Admin &amp; Other",Export!I:I,N10)/$U$13</f>
        <v>4.2231081121302402E-2</v>
      </c>
      <c r="C10" s="96">
        <f>SUMIFS(Export!N:N,Export!H:H,"LEX Admin &amp; Other",Export!I:I,N10)/$U$13</f>
        <v>1.1135959931414098E-3</v>
      </c>
      <c r="D10" s="126">
        <f t="shared" si="2"/>
        <v>-4.1117485128160991E-2</v>
      </c>
      <c r="E10" s="118">
        <f t="shared" si="0"/>
        <v>-36.923161884024211</v>
      </c>
      <c r="F10" s="51"/>
      <c r="G10" s="51"/>
      <c r="H10" s="51"/>
      <c r="I10" s="96" t="e">
        <f t="shared" si="3"/>
        <v>#DIV/0!</v>
      </c>
      <c r="J10" s="126">
        <f t="shared" si="4"/>
        <v>0</v>
      </c>
      <c r="K10" s="122">
        <f t="shared" si="1"/>
        <v>0</v>
      </c>
      <c r="N10" s="3" t="s">
        <v>1336</v>
      </c>
      <c r="S10" s="3" t="s">
        <v>27</v>
      </c>
      <c r="U10" s="59">
        <f>'LEX SERVICE'!B21</f>
        <v>50442.150000000009</v>
      </c>
      <c r="V10" s="59">
        <f>'LEX SERVICE'!C21</f>
        <v>72116</v>
      </c>
      <c r="X10" s="59"/>
      <c r="Y10" s="59"/>
    </row>
    <row r="11" spans="1:25" x14ac:dyDescent="0.25">
      <c r="A11" s="24" t="s">
        <v>1443</v>
      </c>
      <c r="B11" s="51">
        <f>SUMIFS(Export!L:L,Export!H:H,"LEX Admin &amp; Other",Export!I:I,N11)/$U$13</f>
        <v>1.1243629818581685E-2</v>
      </c>
      <c r="C11" s="96">
        <f>SUMIFS(Export!N:N,Export!H:H,"LEX Admin &amp; Other",Export!I:I,N11)/$U$13</f>
        <v>2.7983072742068372E-3</v>
      </c>
      <c r="D11" s="126">
        <f t="shared" si="2"/>
        <v>-8.4453225443748472E-3</v>
      </c>
      <c r="E11" s="118">
        <f t="shared" si="0"/>
        <v>-3.0180111463165251</v>
      </c>
      <c r="F11" s="51"/>
      <c r="G11" s="51"/>
      <c r="H11" s="51"/>
      <c r="I11" s="96" t="e">
        <f t="shared" si="3"/>
        <v>#DIV/0!</v>
      </c>
      <c r="J11" s="126">
        <f t="shared" si="4"/>
        <v>0</v>
      </c>
      <c r="K11" s="122">
        <f t="shared" si="1"/>
        <v>0</v>
      </c>
      <c r="N11" s="3" t="s">
        <v>1443</v>
      </c>
      <c r="S11" s="3" t="s">
        <v>1759</v>
      </c>
      <c r="U11" s="59">
        <f>'Retail Detailing'!B21</f>
        <v>27557.989999999998</v>
      </c>
      <c r="V11" s="310">
        <f>'Retail Detailing'!C21</f>
        <v>49312.266666666663</v>
      </c>
      <c r="X11" s="59"/>
      <c r="Y11" s="59"/>
    </row>
    <row r="12" spans="1:25" x14ac:dyDescent="0.25">
      <c r="A12" s="24" t="s">
        <v>1385</v>
      </c>
      <c r="B12" s="51">
        <f>SUMIFS(Export!L:L,Export!H:H,"LEX Admin &amp; Other",Export!I:I,N12)/$U$13</f>
        <v>1.9059622870214624E-2</v>
      </c>
      <c r="C12" s="96">
        <f>SUMIFS(Export!N:N,Export!H:H,"LEX Admin &amp; Other",Export!I:I,N12)/$U$13</f>
        <v>1.1711826211938574E-3</v>
      </c>
      <c r="D12" s="126">
        <f t="shared" si="2"/>
        <v>-1.7888440249020768E-2</v>
      </c>
      <c r="E12" s="118">
        <f t="shared" si="0"/>
        <v>-15.273826579484245</v>
      </c>
      <c r="F12" s="51"/>
      <c r="G12" s="51"/>
      <c r="H12" s="51"/>
      <c r="I12" s="96" t="e">
        <f t="shared" si="3"/>
        <v>#DIV/0!</v>
      </c>
      <c r="J12" s="126">
        <f t="shared" si="4"/>
        <v>0</v>
      </c>
      <c r="K12" s="122">
        <f t="shared" si="1"/>
        <v>0</v>
      </c>
      <c r="N12" s="3" t="s">
        <v>1385</v>
      </c>
      <c r="S12" s="3" t="s">
        <v>1760</v>
      </c>
      <c r="U12" s="60">
        <f>'Bridgestone GROUP'!B24</f>
        <v>95206.1</v>
      </c>
      <c r="V12" s="310">
        <f>'Bridgestone GROUP'!C24</f>
        <v>97426.834892890998</v>
      </c>
    </row>
    <row r="13" spans="1:25" ht="15.6" customHeight="1" x14ac:dyDescent="0.25">
      <c r="A13" s="24" t="s">
        <v>1370</v>
      </c>
      <c r="B13" s="51">
        <f>SUMIFS(Export!L:L,Export!H:H,"LEX Admin &amp; Other",Export!I:I,N13)/$U$13</f>
        <v>1.6471442813179402E-2</v>
      </c>
      <c r="C13" s="96">
        <f>SUMIFS(Export!N:N,Export!H:H,"LEX Admin &amp; Other",Export!I:I,N13)/$U$13</f>
        <v>6.8132326414698414E-3</v>
      </c>
      <c r="D13" s="126">
        <f t="shared" si="2"/>
        <v>-9.6582101717095602E-3</v>
      </c>
      <c r="E13" s="118">
        <f t="shared" si="0"/>
        <v>-1.4175664739412102</v>
      </c>
      <c r="F13" s="51"/>
      <c r="G13" s="51"/>
      <c r="H13" s="51"/>
      <c r="I13" s="96" t="e">
        <f t="shared" si="3"/>
        <v>#DIV/0!</v>
      </c>
      <c r="J13" s="126">
        <f t="shared" si="4"/>
        <v>0</v>
      </c>
      <c r="K13" s="122">
        <f t="shared" si="1"/>
        <v>0</v>
      </c>
      <c r="N13" s="3" t="s">
        <v>1370</v>
      </c>
      <c r="U13" s="59">
        <f>SUM(U6:U12)</f>
        <v>489185.43999999983</v>
      </c>
      <c r="V13" s="59">
        <f>SUM(V6:V12)</f>
        <v>557755.10155955772</v>
      </c>
      <c r="W13" s="52"/>
      <c r="X13" s="52"/>
      <c r="Y13" s="52"/>
    </row>
    <row r="14" spans="1:25" ht="15.95" customHeight="1" x14ac:dyDescent="0.25">
      <c r="A14" s="24" t="s">
        <v>1390</v>
      </c>
      <c r="B14" s="51">
        <f>SUMIFS(Export!L:L,Export!H:H,"LEX Admin &amp; Other",Export!I:I,N14)/$U$13</f>
        <v>2.2988828122112552E-3</v>
      </c>
      <c r="C14" s="96">
        <f>SUMIFS(Export!N:N,Export!H:H,"LEX Admin &amp; Other",Export!I:I,N14)/$U$13</f>
        <v>2.6184326691604129E-2</v>
      </c>
      <c r="D14" s="126">
        <f t="shared" si="2"/>
        <v>2.3885443879392874E-2</v>
      </c>
      <c r="E14" s="118">
        <f t="shared" si="0"/>
        <v>0.9122038599927651</v>
      </c>
      <c r="F14" s="51"/>
      <c r="G14" s="51"/>
      <c r="H14" s="51"/>
      <c r="I14" s="96" t="e">
        <f t="shared" si="3"/>
        <v>#DIV/0!</v>
      </c>
      <c r="J14" s="126">
        <f t="shared" si="4"/>
        <v>0</v>
      </c>
      <c r="K14" s="122">
        <f t="shared" si="1"/>
        <v>0</v>
      </c>
      <c r="N14" s="3" t="s">
        <v>1390</v>
      </c>
      <c r="W14" s="52"/>
      <c r="X14" s="52"/>
      <c r="Y14" s="52"/>
    </row>
    <row r="15" spans="1:25" ht="15.6" customHeight="1" x14ac:dyDescent="0.25">
      <c r="A15" s="24" t="s">
        <v>1001</v>
      </c>
      <c r="B15" s="51">
        <f>SUMIFS(Export!L:L,Export!H:H,"LEX Admin &amp; Other",Export!I:I,N15)/$U$13</f>
        <v>3.2008802224367111E-2</v>
      </c>
      <c r="C15" s="96">
        <f>SUMIFS(Export!N:N,Export!H:H,"LEX Admin &amp; Other",Export!I:I,N15)/$U$13</f>
        <v>8.3455892231873077E-3</v>
      </c>
      <c r="D15" s="126">
        <f t="shared" si="2"/>
        <v>-2.3663213001179802E-2</v>
      </c>
      <c r="E15" s="118">
        <f t="shared" si="0"/>
        <v>-2.8354154953414374</v>
      </c>
      <c r="F15" s="51"/>
      <c r="G15" s="51"/>
      <c r="H15" s="51"/>
      <c r="I15" s="96" t="e">
        <f t="shared" si="3"/>
        <v>#DIV/0!</v>
      </c>
      <c r="J15" s="126">
        <f t="shared" si="4"/>
        <v>0</v>
      </c>
      <c r="K15" s="122">
        <f t="shared" si="1"/>
        <v>0</v>
      </c>
      <c r="N15" s="3" t="s">
        <v>1001</v>
      </c>
      <c r="V15" s="59"/>
      <c r="W15" s="52"/>
      <c r="X15" s="52"/>
      <c r="Y15" s="52"/>
    </row>
    <row r="16" spans="1:25" s="28" customFormat="1" ht="14.45" customHeight="1" thickBot="1" x14ac:dyDescent="0.3">
      <c r="A16" s="29" t="s">
        <v>1721</v>
      </c>
      <c r="B16" s="57">
        <f>+SUM(B7:B15)</f>
        <v>0.43755821923072791</v>
      </c>
      <c r="C16" s="99">
        <f>+SUM(C7:C15)</f>
        <v>0.14833025283826937</v>
      </c>
      <c r="D16" s="127">
        <f t="shared" si="2"/>
        <v>-0.28922796639245851</v>
      </c>
      <c r="E16" s="120">
        <f t="shared" si="0"/>
        <v>-1.9498919529774938</v>
      </c>
      <c r="F16" s="57"/>
      <c r="G16" s="57"/>
      <c r="H16" s="57"/>
      <c r="I16" s="99" t="e">
        <f t="shared" si="3"/>
        <v>#DIV/0!</v>
      </c>
      <c r="J16" s="127">
        <f t="shared" si="4"/>
        <v>0</v>
      </c>
      <c r="K16" s="124">
        <f t="shared" si="1"/>
        <v>0</v>
      </c>
      <c r="N16" s="3"/>
      <c r="S16" s="3"/>
      <c r="T16" s="3"/>
      <c r="U16" s="59"/>
      <c r="V16" s="17"/>
      <c r="W16" s="52"/>
      <c r="X16" s="52"/>
      <c r="Y16" s="52"/>
    </row>
    <row r="17" spans="1:25" ht="14.45" hidden="1" customHeight="1" thickBot="1" x14ac:dyDescent="0.3">
      <c r="D17" s="121"/>
      <c r="E17" s="121"/>
      <c r="H17" s="51">
        <f t="shared" ref="H17" si="5">B17</f>
        <v>0</v>
      </c>
      <c r="J17" s="121"/>
      <c r="K17" s="121"/>
      <c r="W17" s="52"/>
      <c r="Y17" s="52"/>
    </row>
    <row r="18" spans="1:25" ht="14.45" customHeight="1" thickTop="1" x14ac:dyDescent="0.25">
      <c r="D18" s="121"/>
      <c r="E18" s="121"/>
      <c r="J18" s="121"/>
      <c r="K18" s="121"/>
      <c r="W18" s="52"/>
      <c r="X18" s="52"/>
      <c r="Y18" s="52"/>
    </row>
    <row r="19" spans="1:25" x14ac:dyDescent="0.25">
      <c r="B19" s="355" t="s">
        <v>1761</v>
      </c>
      <c r="C19" s="355"/>
      <c r="D19" s="355"/>
      <c r="E19" s="355"/>
      <c r="F19" s="355"/>
      <c r="G19" s="16" t="s">
        <v>145</v>
      </c>
      <c r="H19" s="356" t="s">
        <v>58</v>
      </c>
      <c r="I19" s="356"/>
      <c r="J19" s="121"/>
      <c r="K19" s="121"/>
      <c r="W19" s="52"/>
      <c r="X19" s="52"/>
      <c r="Y19" s="52"/>
    </row>
    <row r="20" spans="1:25" x14ac:dyDescent="0.25">
      <c r="A20" s="16" t="s">
        <v>1023</v>
      </c>
      <c r="B20" s="16">
        <v>112</v>
      </c>
      <c r="C20" s="16">
        <v>122</v>
      </c>
      <c r="D20" s="16">
        <v>132</v>
      </c>
      <c r="E20" s="16">
        <v>142</v>
      </c>
      <c r="F20" s="16">
        <v>162</v>
      </c>
      <c r="G20" s="16">
        <v>150</v>
      </c>
      <c r="H20" s="16">
        <v>935</v>
      </c>
      <c r="I20" s="16">
        <v>936</v>
      </c>
      <c r="J20" s="121"/>
      <c r="K20" s="121"/>
    </row>
    <row r="21" spans="1:25" x14ac:dyDescent="0.25">
      <c r="A21" s="16" t="s">
        <v>1762</v>
      </c>
      <c r="B21" s="304">
        <f>SUMIFS('TUNZ Extracted TB'!$G:$G,'TUNZ Extracted TB'!$Q:$Q,$A21,'TUNZ Extracted TB'!$C:$C,B$20)</f>
        <v>16762.53</v>
      </c>
      <c r="C21" s="304">
        <f>SUMIFS('TUNZ Extracted TB'!$G:$G,'TUNZ Extracted TB'!$Q:$Q,$A21,'TUNZ Extracted TB'!$C:$C,C$20)</f>
        <v>5353.78</v>
      </c>
      <c r="D21" s="304">
        <f>SUMIFS('TUNZ Extracted TB'!$G:$G,'TUNZ Extracted TB'!$Q:$Q,$A21,'TUNZ Extracted TB'!$C:$C,D$20)</f>
        <v>0</v>
      </c>
      <c r="E21" s="304">
        <f>SUMIFS('TUNZ Extracted TB'!$G:$G,'TUNZ Extracted TB'!$Q:$Q,$A21,'TUNZ Extracted TB'!$C:$C,E$20)</f>
        <v>27149.35</v>
      </c>
      <c r="F21" s="304">
        <f>SUMIFS('TUNZ Extracted TB'!$G:$G,'TUNZ Extracted TB'!$Q:$Q,$A21,'TUNZ Extracted TB'!$C:$C,F$20)</f>
        <v>0</v>
      </c>
      <c r="G21" s="304">
        <f>SUMIFS('TUNZ Extracted TB'!$G:$G,'TUNZ Extracted TB'!$Q:$Q,$A21,'TUNZ Extracted TB'!$C:$C,G$20)</f>
        <v>3545.35</v>
      </c>
      <c r="H21" s="304">
        <f>SUMIFS('TUNZ Extracted TB'!$G:$G,'TUNZ Extracted TB'!$Q:$Q,$A21,'TUNZ Extracted TB'!$C:$C,H$20)</f>
        <v>5964.2999999999993</v>
      </c>
      <c r="I21" s="304">
        <f>SUMIFS('TUNZ Extracted TB'!$G:$G,'TUNZ Extracted TB'!$Q:$Q,$A21,'TUNZ Extracted TB'!$C:$C,I$20)</f>
        <v>1604.94</v>
      </c>
      <c r="J21" s="121"/>
      <c r="K21" s="121"/>
      <c r="W21" s="52"/>
      <c r="Y21" s="52"/>
    </row>
    <row r="22" spans="1:25" x14ac:dyDescent="0.25">
      <c r="A22" s="16" t="s">
        <v>1763</v>
      </c>
      <c r="B22" s="304">
        <f>SUMIFS('TUNZ Extracted TB'!$G:$G,'TUNZ Extracted TB'!$Q:$Q,$A22,'TUNZ Extracted TB'!$C:$C,B$20)</f>
        <v>23683.59</v>
      </c>
      <c r="C22" s="304">
        <f>SUMIFS('TUNZ Extracted TB'!$G:$G,'TUNZ Extracted TB'!$Q:$Q,$A22,'TUNZ Extracted TB'!$C:$C,C$20)</f>
        <v>8350</v>
      </c>
      <c r="D22" s="304">
        <f>SUMIFS('TUNZ Extracted TB'!$G:$G,'TUNZ Extracted TB'!$Q:$Q,$A22,'TUNZ Extracted TB'!$C:$C,D$20)</f>
        <v>0</v>
      </c>
      <c r="E22" s="304">
        <f>SUMIFS('TUNZ Extracted TB'!$G:$G,'TUNZ Extracted TB'!$Q:$Q,$A22,'TUNZ Extracted TB'!$C:$C,E$20)</f>
        <v>17866.13</v>
      </c>
      <c r="F22" s="304">
        <f>SUMIFS('TUNZ Extracted TB'!$G:$G,'TUNZ Extracted TB'!$Q:$Q,$A22,'TUNZ Extracted TB'!$C:$C,F$20)</f>
        <v>0</v>
      </c>
      <c r="G22" s="304">
        <f>SUMIFS('TUNZ Extracted TB'!$G:$G,'TUNZ Extracted TB'!$Q:$Q,$A22,'TUNZ Extracted TB'!$C:$C,G$20)</f>
        <v>5907.83</v>
      </c>
      <c r="H22" s="304">
        <f>SUMIFS('TUNZ Extracted TB'!$G:$G,'TUNZ Extracted TB'!$Q:$Q,$A22,'TUNZ Extracted TB'!$C:$C,H$20)</f>
        <v>5497.43</v>
      </c>
      <c r="I22" s="304">
        <f>SUMIFS('TUNZ Extracted TB'!$G:$G,'TUNZ Extracted TB'!$Q:$Q,$A22,'TUNZ Extracted TB'!$C:$C,I$20)</f>
        <v>5208.7299999999996</v>
      </c>
      <c r="Y22" s="52"/>
    </row>
    <row r="23" spans="1:25" x14ac:dyDescent="0.25">
      <c r="A23" s="16" t="s">
        <v>1764</v>
      </c>
      <c r="B23" s="304">
        <f>SUMIFS('TUNZ Extracted TB'!$G:$G,'TUNZ Extracted TB'!$Q:$Q,$A23,'TUNZ Extracted TB'!$C:$C,B$20)</f>
        <v>16183</v>
      </c>
      <c r="C23" s="304">
        <f>SUMIFS('TUNZ Extracted TB'!$G:$G,'TUNZ Extracted TB'!$Q:$Q,$A23,'TUNZ Extracted TB'!$C:$C,C$20)</f>
        <v>0</v>
      </c>
      <c r="D23" s="304">
        <f>SUMIFS('TUNZ Extracted TB'!$G:$G,'TUNZ Extracted TB'!$Q:$Q,$A23,'TUNZ Extracted TB'!$C:$C,D$20)</f>
        <v>0</v>
      </c>
      <c r="E23" s="304">
        <f>SUMIFS('TUNZ Extracted TB'!$G:$G,'TUNZ Extracted TB'!$Q:$Q,$A23,'TUNZ Extracted TB'!$C:$C,E$20)</f>
        <v>6302</v>
      </c>
      <c r="F23" s="304">
        <f>SUMIFS('TUNZ Extracted TB'!$G:$G,'TUNZ Extracted TB'!$Q:$Q,$A23,'TUNZ Extracted TB'!$C:$C,F$20)</f>
        <v>0</v>
      </c>
      <c r="G23" s="304">
        <f>SUMIFS('TUNZ Extracted TB'!$G:$G,'TUNZ Extracted TB'!$Q:$Q,$A23,'TUNZ Extracted TB'!$C:$C,G$20)</f>
        <v>0</v>
      </c>
      <c r="H23" s="304">
        <f>SUMIFS('TUNZ Extracted TB'!$G:$G,'TUNZ Extracted TB'!$Q:$Q,$A23,'TUNZ Extracted TB'!$C:$C,H$20)</f>
        <v>3357</v>
      </c>
      <c r="I23" s="304">
        <f>SUMIFS('TUNZ Extracted TB'!$G:$G,'TUNZ Extracted TB'!$Q:$Q,$A23,'TUNZ Extracted TB'!$C:$C,I$20)</f>
        <v>988</v>
      </c>
      <c r="Y23" s="52"/>
    </row>
    <row r="24" spans="1:25" x14ac:dyDescent="0.25">
      <c r="A24" s="16" t="s">
        <v>1765</v>
      </c>
      <c r="B24" s="304">
        <f>SUMIFS('TUNZ Extracted TB'!$G:$G,'TUNZ Extracted TB'!$Q:$Q,$A24,'TUNZ Extracted TB'!$C:$C,B$20)</f>
        <v>14261.779999999999</v>
      </c>
      <c r="C24" s="304">
        <f>SUMIFS('TUNZ Extracted TB'!$G:$G,'TUNZ Extracted TB'!$Q:$Q,$A24,'TUNZ Extracted TB'!$C:$C,C$20)</f>
        <v>6063.96</v>
      </c>
      <c r="D24" s="304">
        <f>SUMIFS('TUNZ Extracted TB'!$G:$G,'TUNZ Extracted TB'!$Q:$Q,$A24,'TUNZ Extracted TB'!$C:$C,D$20)</f>
        <v>0</v>
      </c>
      <c r="E24" s="304">
        <f>SUMIFS('TUNZ Extracted TB'!$G:$G,'TUNZ Extracted TB'!$Q:$Q,$A24,'TUNZ Extracted TB'!$C:$C,E$20)</f>
        <v>-262.07</v>
      </c>
      <c r="F24" s="304">
        <f>SUMIFS('TUNZ Extracted TB'!$G:$G,'TUNZ Extracted TB'!$Q:$Q,$A24,'TUNZ Extracted TB'!$C:$C,F$20)</f>
        <v>0</v>
      </c>
      <c r="G24" s="304">
        <f>SUMIFS('TUNZ Extracted TB'!$G:$G,'TUNZ Extracted TB'!$Q:$Q,$A24,'TUNZ Extracted TB'!$C:$C,G$20)</f>
        <v>0</v>
      </c>
      <c r="H24" s="304">
        <f>SUMIFS('TUNZ Extracted TB'!$G:$G,'TUNZ Extracted TB'!$Q:$Q,$A24,'TUNZ Extracted TB'!$C:$C,H$20)</f>
        <v>752.05</v>
      </c>
      <c r="I24" s="304">
        <f>SUMIFS('TUNZ Extracted TB'!$G:$G,'TUNZ Extracted TB'!$Q:$Q,$A24,'TUNZ Extracted TB'!$C:$C,I$20)</f>
        <v>-156.88999999999999</v>
      </c>
    </row>
    <row r="25" spans="1:25" x14ac:dyDescent="0.25">
      <c r="A25" s="16" t="s">
        <v>1766</v>
      </c>
      <c r="B25" s="304">
        <f>SUMIFS('TUNZ Extracted TB'!$G:$G,'TUNZ Extracted TB'!$Q:$Q,$A25,'TUNZ Extracted TB'!$C:$C,B$20)</f>
        <v>2289.35</v>
      </c>
      <c r="C25" s="304">
        <f>SUMIFS('TUNZ Extracted TB'!$G:$G,'TUNZ Extracted TB'!$Q:$Q,$A25,'TUNZ Extracted TB'!$C:$C,C$20)</f>
        <v>0</v>
      </c>
      <c r="D25" s="304">
        <f>SUMIFS('TUNZ Extracted TB'!$G:$G,'TUNZ Extracted TB'!$Q:$Q,$A25,'TUNZ Extracted TB'!$C:$C,D$20)</f>
        <v>0</v>
      </c>
      <c r="E25" s="304">
        <f>SUMIFS('TUNZ Extracted TB'!$G:$G,'TUNZ Extracted TB'!$Q:$Q,$A25,'TUNZ Extracted TB'!$C:$C,E$20)</f>
        <v>1088.33</v>
      </c>
      <c r="F25" s="304">
        <f>SUMIFS('TUNZ Extracted TB'!$G:$G,'TUNZ Extracted TB'!$Q:$Q,$A25,'TUNZ Extracted TB'!$C:$C,F$20)</f>
        <v>0</v>
      </c>
      <c r="G25" s="304">
        <f>SUMIFS('TUNZ Extracted TB'!$G:$G,'TUNZ Extracted TB'!$Q:$Q,$A25,'TUNZ Extracted TB'!$C:$C,G$20)</f>
        <v>82.11</v>
      </c>
      <c r="H25" s="304">
        <f>SUMIFS('TUNZ Extracted TB'!$G:$G,'TUNZ Extracted TB'!$Q:$Q,$A25,'TUNZ Extracted TB'!$C:$C,H$20)</f>
        <v>311.13</v>
      </c>
      <c r="I25" s="304">
        <f>SUMIFS('TUNZ Extracted TB'!$G:$G,'TUNZ Extracted TB'!$Q:$Q,$A25,'TUNZ Extracted TB'!$C:$C,I$20)</f>
        <v>1729.3</v>
      </c>
    </row>
    <row r="26" spans="1:25" x14ac:dyDescent="0.25">
      <c r="A26" s="16" t="s">
        <v>1767</v>
      </c>
      <c r="B26" s="304">
        <f>SUMIFS('TUNZ Extracted TB'!$G:$G,'TUNZ Extracted TB'!$Q:$Q,$A26,'TUNZ Extracted TB'!$C:$C,B$20)</f>
        <v>5762.62</v>
      </c>
      <c r="C26" s="304">
        <f>SUMIFS('TUNZ Extracted TB'!$G:$G,'TUNZ Extracted TB'!$Q:$Q,$A26,'TUNZ Extracted TB'!$C:$C,C$20)</f>
        <v>0</v>
      </c>
      <c r="D26" s="304">
        <f>SUMIFS('TUNZ Extracted TB'!$G:$G,'TUNZ Extracted TB'!$Q:$Q,$A26,'TUNZ Extracted TB'!$C:$C,D$20)</f>
        <v>0</v>
      </c>
      <c r="E26" s="304">
        <f>SUMIFS('TUNZ Extracted TB'!$G:$G,'TUNZ Extracted TB'!$Q:$Q,$A26,'TUNZ Extracted TB'!$C:$C,E$20)</f>
        <v>133.68</v>
      </c>
      <c r="F26" s="304">
        <f>SUMIFS('TUNZ Extracted TB'!$G:$G,'TUNZ Extracted TB'!$Q:$Q,$A26,'TUNZ Extracted TB'!$C:$C,F$20)</f>
        <v>1304.55</v>
      </c>
      <c r="G26" s="304">
        <f>SUMIFS('TUNZ Extracted TB'!$G:$G,'TUNZ Extracted TB'!$Q:$Q,$A26,'TUNZ Extracted TB'!$C:$C,G$20)</f>
        <v>71.3</v>
      </c>
      <c r="H26" s="304">
        <f>SUMIFS('TUNZ Extracted TB'!$G:$G,'TUNZ Extracted TB'!$Q:$Q,$A26,'TUNZ Extracted TB'!$C:$C,H$20)</f>
        <v>1576.42</v>
      </c>
      <c r="I26" s="304">
        <f>SUMIFS('TUNZ Extracted TB'!$G:$G,'TUNZ Extracted TB'!$Q:$Q,$A26,'TUNZ Extracted TB'!$C:$C,I$20)</f>
        <v>475.12</v>
      </c>
      <c r="Y26" s="52"/>
    </row>
    <row r="27" spans="1:25" x14ac:dyDescent="0.25">
      <c r="A27" s="16" t="s">
        <v>1768</v>
      </c>
      <c r="B27" s="304">
        <f>SUMIFS('TUNZ Extracted TB'!$G:$G,'TUNZ Extracted TB'!$Q:$Q,$A27,'TUNZ Extracted TB'!$C:$C,B$20)</f>
        <v>3882.19</v>
      </c>
      <c r="C27" s="304">
        <f>SUMIFS('TUNZ Extracted TB'!$G:$G,'TUNZ Extracted TB'!$Q:$Q,$A27,'TUNZ Extracted TB'!$C:$C,C$20)</f>
        <v>0</v>
      </c>
      <c r="D27" s="304">
        <f>SUMIFS('TUNZ Extracted TB'!$G:$G,'TUNZ Extracted TB'!$Q:$Q,$A27,'TUNZ Extracted TB'!$C:$C,D$20)</f>
        <v>0</v>
      </c>
      <c r="E27" s="304">
        <f>SUMIFS('TUNZ Extracted TB'!$G:$G,'TUNZ Extracted TB'!$Q:$Q,$A27,'TUNZ Extracted TB'!$C:$C,E$20)</f>
        <v>852.25</v>
      </c>
      <c r="F27" s="304">
        <f>SUMIFS('TUNZ Extracted TB'!$G:$G,'TUNZ Extracted TB'!$Q:$Q,$A27,'TUNZ Extracted TB'!$C:$C,F$20)</f>
        <v>0</v>
      </c>
      <c r="G27" s="304">
        <f>SUMIFS('TUNZ Extracted TB'!$G:$G,'TUNZ Extracted TB'!$Q:$Q,$A27,'TUNZ Extracted TB'!$C:$C,G$20)</f>
        <v>215.66</v>
      </c>
      <c r="H27" s="304">
        <f>SUMIFS('TUNZ Extracted TB'!$G:$G,'TUNZ Extracted TB'!$Q:$Q,$A27,'TUNZ Extracted TB'!$C:$C,H$20)</f>
        <v>1775.89</v>
      </c>
      <c r="I27" s="304">
        <f>SUMIFS('TUNZ Extracted TB'!$G:$G,'TUNZ Extracted TB'!$Q:$Q,$A27,'TUNZ Extracted TB'!$C:$C,I$20)</f>
        <v>1331.6</v>
      </c>
    </row>
    <row r="28" spans="1:25" x14ac:dyDescent="0.25">
      <c r="A28" s="16" t="s">
        <v>1769</v>
      </c>
      <c r="B28" s="304">
        <f>SUMIFS('TUNZ Extracted TB'!$G:$G,'TUNZ Extracted TB'!$Q:$Q,$A28,'TUNZ Extracted TB'!$C:$C,B$20)</f>
        <v>585.02</v>
      </c>
      <c r="C28" s="304">
        <f>SUMIFS('TUNZ Extracted TB'!$G:$G,'TUNZ Extracted TB'!$Q:$Q,$A28,'TUNZ Extracted TB'!$C:$C,C$20)</f>
        <v>0</v>
      </c>
      <c r="D28" s="304">
        <f>SUMIFS('TUNZ Extracted TB'!$G:$G,'TUNZ Extracted TB'!$Q:$Q,$A28,'TUNZ Extracted TB'!$C:$C,D$20)</f>
        <v>0</v>
      </c>
      <c r="E28" s="304">
        <f>SUMIFS('TUNZ Extracted TB'!$G:$G,'TUNZ Extracted TB'!$Q:$Q,$A28,'TUNZ Extracted TB'!$C:$C,E$20)</f>
        <v>122.17</v>
      </c>
      <c r="F28" s="304">
        <f>SUMIFS('TUNZ Extracted TB'!$G:$G,'TUNZ Extracted TB'!$Q:$Q,$A28,'TUNZ Extracted TB'!$C:$C,F$20)</f>
        <v>0</v>
      </c>
      <c r="G28" s="304">
        <f>SUMIFS('TUNZ Extracted TB'!$G:$G,'TUNZ Extracted TB'!$Q:$Q,$A28,'TUNZ Extracted TB'!$C:$C,G$20)</f>
        <v>73.56</v>
      </c>
      <c r="H28" s="304">
        <f>SUMIFS('TUNZ Extracted TB'!$G:$G,'TUNZ Extracted TB'!$Q:$Q,$A28,'TUNZ Extracted TB'!$C:$C,H$20)</f>
        <v>185.8</v>
      </c>
      <c r="I28" s="304">
        <f>SUMIFS('TUNZ Extracted TB'!$G:$G,'TUNZ Extracted TB'!$Q:$Q,$A28,'TUNZ Extracted TB'!$C:$C,I$20)</f>
        <v>158.03</v>
      </c>
    </row>
    <row r="29" spans="1:25" x14ac:dyDescent="0.25">
      <c r="A29" s="16" t="s">
        <v>1770</v>
      </c>
      <c r="B29" s="304">
        <f>SUMIFS('TUNZ Extracted TB'!$G:$G,'TUNZ Extracted TB'!$Q:$Q,$A29,'TUNZ Extracted TB'!$C:$C,B$20)</f>
        <v>10192.75</v>
      </c>
      <c r="C29" s="304">
        <f>SUMIFS('TUNZ Extracted TB'!$G:$G,'TUNZ Extracted TB'!$Q:$Q,$A29,'TUNZ Extracted TB'!$C:$C,C$20)</f>
        <v>126.92</v>
      </c>
      <c r="D29" s="304">
        <f>SUMIFS('TUNZ Extracted TB'!$G:$G,'TUNZ Extracted TB'!$Q:$Q,$A29,'TUNZ Extracted TB'!$C:$C,D$20)</f>
        <v>126.92</v>
      </c>
      <c r="E29" s="304">
        <f>SUMIFS('TUNZ Extracted TB'!$G:$G,'TUNZ Extracted TB'!$Q:$Q,$A29,'TUNZ Extracted TB'!$C:$C,E$20)</f>
        <v>535.44000000000005</v>
      </c>
      <c r="F29" s="304">
        <f>SUMIFS('TUNZ Extracted TB'!$G:$G,'TUNZ Extracted TB'!$Q:$Q,$A29,'TUNZ Extracted TB'!$C:$C,F$20)</f>
        <v>126.92</v>
      </c>
      <c r="G29" s="304">
        <f>SUMIFS('TUNZ Extracted TB'!$G:$G,'TUNZ Extracted TB'!$Q:$Q,$A29,'TUNZ Extracted TB'!$C:$C,G$20)</f>
        <v>835.8599999999999</v>
      </c>
      <c r="H29" s="304">
        <f>SUMIFS('TUNZ Extracted TB'!$G:$G,'TUNZ Extracted TB'!$Q:$Q,$A29,'TUNZ Extracted TB'!$C:$C,H$20)</f>
        <v>1800.27</v>
      </c>
      <c r="I29" s="304">
        <f>SUMIFS('TUNZ Extracted TB'!$G:$G,'TUNZ Extracted TB'!$Q:$Q,$A29,'TUNZ Extracted TB'!$C:$C,I$20)</f>
        <v>1913.1599999999999</v>
      </c>
    </row>
    <row r="30" spans="1:25" x14ac:dyDescent="0.25">
      <c r="A30" s="16" t="s">
        <v>1771</v>
      </c>
      <c r="B30" s="322">
        <f>SUM(B21:B29)</f>
        <v>93602.83</v>
      </c>
      <c r="C30" s="322">
        <f t="shared" ref="C30:I30" si="6">SUM(C21:C29)</f>
        <v>19894.659999999996</v>
      </c>
      <c r="D30" s="322">
        <f t="shared" si="6"/>
        <v>126.92</v>
      </c>
      <c r="E30" s="322">
        <f t="shared" si="6"/>
        <v>53787.28</v>
      </c>
      <c r="F30" s="322">
        <f t="shared" si="6"/>
        <v>1431.47</v>
      </c>
      <c r="H30" s="322">
        <f t="shared" si="6"/>
        <v>21220.289999999997</v>
      </c>
      <c r="I30" s="322">
        <f t="shared" si="6"/>
        <v>13251.990000000002</v>
      </c>
      <c r="U30" s="61"/>
      <c r="V30" s="58"/>
      <c r="W30" s="58"/>
      <c r="X30" s="58"/>
      <c r="Y30" s="58"/>
    </row>
    <row r="31" spans="1:25" x14ac:dyDescent="0.25">
      <c r="C31" s="321"/>
      <c r="D31" s="321"/>
      <c r="E31" s="321"/>
      <c r="F31" s="320">
        <f>SUM(B30:F30)</f>
        <v>168843.16</v>
      </c>
      <c r="G31" s="304">
        <f>SUM(G21:G29)</f>
        <v>10731.67</v>
      </c>
      <c r="I31" s="197">
        <f>SUM(H30:I30)</f>
        <v>34472.28</v>
      </c>
    </row>
    <row r="32" spans="1:25" x14ac:dyDescent="0.25">
      <c r="B32" s="357">
        <f>F31/SUM(U6:U10)</f>
        <v>0.46078963466512007</v>
      </c>
      <c r="C32" s="357"/>
      <c r="D32" s="357"/>
      <c r="E32" s="357"/>
      <c r="F32" s="357"/>
      <c r="G32" s="268">
        <f>G31/U11</f>
        <v>0.38942136200789684</v>
      </c>
      <c r="H32" s="358">
        <f>I31/V12</f>
        <v>0.35382736222415617</v>
      </c>
      <c r="I32" s="358"/>
    </row>
    <row r="33" spans="1:9" x14ac:dyDescent="0.25">
      <c r="A33" s="16" t="s">
        <v>1772</v>
      </c>
      <c r="F33" s="195">
        <f>'Other Income'!B12-'LEX ADMIN &amp; OTHER'!F31</f>
        <v>35956.10999999987</v>
      </c>
      <c r="G33" s="195">
        <f>'Other Income'!B13-'LEX ADMIN &amp; OTHER'!G31</f>
        <v>-31609.61</v>
      </c>
      <c r="I33" s="195">
        <f>'Other Income'!B14-'LEX ADMIN &amp; OTHER'!I31</f>
        <v>5971.9400000000096</v>
      </c>
    </row>
    <row r="34" spans="1:9" x14ac:dyDescent="0.25">
      <c r="I34" s="195">
        <f>F33+G33+I33</f>
        <v>10318.439999999879</v>
      </c>
    </row>
    <row r="35" spans="1:9" x14ac:dyDescent="0.25">
      <c r="F35" s="195"/>
    </row>
  </sheetData>
  <mergeCells count="10">
    <mergeCell ref="J1:K1"/>
    <mergeCell ref="B3:E3"/>
    <mergeCell ref="F3:K3"/>
    <mergeCell ref="D4:E4"/>
    <mergeCell ref="J4:K4"/>
    <mergeCell ref="B19:F19"/>
    <mergeCell ref="H19:I19"/>
    <mergeCell ref="B32:F32"/>
    <mergeCell ref="H32:I32"/>
    <mergeCell ref="A1:D1"/>
  </mergeCells>
  <pageMargins left="0.118110236220472" right="0.118110236220472" top="0.31496062992126" bottom="0.31496062992126" header="0.31496062992126" footer="0.31496062992126"/>
  <pageSetup paperSize="9" orientation="landscape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08555261-89a9-4972-b816-b52b4d248888">
      <UserInfo>
        <DisplayName>Anish Puri</DisplayName>
        <AccountId>35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DFC4C9A1543C4387DCD1B1B1140F58" ma:contentTypeVersion="13" ma:contentTypeDescription="Create a new document." ma:contentTypeScope="" ma:versionID="af30ee93757eb95713b2755d3ece8c6d">
  <xsd:schema xmlns:xsd="http://www.w3.org/2001/XMLSchema" xmlns:xs="http://www.w3.org/2001/XMLSchema" xmlns:p="http://schemas.microsoft.com/office/2006/metadata/properties" xmlns:ns2="b23855be-dcb9-4ae9-8aaf-eb4540158cf9" xmlns:ns3="08555261-89a9-4972-b816-b52b4d248888" targetNamespace="http://schemas.microsoft.com/office/2006/metadata/properties" ma:root="true" ma:fieldsID="50b4c8ae9d3eacb7c947f5e32cb6f81f" ns2:_="" ns3:_="">
    <xsd:import namespace="b23855be-dcb9-4ae9-8aaf-eb4540158cf9"/>
    <xsd:import namespace="08555261-89a9-4972-b816-b52b4d24888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3855be-dcb9-4ae9-8aaf-eb4540158c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555261-89a9-4972-b816-b52b4d24888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C93EB20-0DC8-4950-9BC8-BCCEB945AF32}">
  <ds:schemaRefs>
    <ds:schemaRef ds:uri="http://schemas.microsoft.com/office/2006/metadata/properties"/>
    <ds:schemaRef ds:uri="http://schemas.microsoft.com/office/infopath/2007/PartnerControls"/>
    <ds:schemaRef ds:uri="08555261-89a9-4972-b816-b52b4d248888"/>
  </ds:schemaRefs>
</ds:datastoreItem>
</file>

<file path=customXml/itemProps2.xml><?xml version="1.0" encoding="utf-8"?>
<ds:datastoreItem xmlns:ds="http://schemas.openxmlformats.org/officeDocument/2006/customXml" ds:itemID="{A5FE3D37-CE1A-4775-8709-AAFF02342AA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3855be-dcb9-4ae9-8aaf-eb4540158cf9"/>
    <ds:schemaRef ds:uri="08555261-89a9-4972-b816-b52b4d24888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0297CDE-83E1-4D8C-9F37-DD1FB197CAB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43</vt:i4>
      </vt:variant>
      <vt:variant>
        <vt:lpstr>Named Ranges</vt:lpstr>
      </vt:variant>
      <vt:variant>
        <vt:i4>64</vt:i4>
      </vt:variant>
    </vt:vector>
  </HeadingPairs>
  <TitlesOfParts>
    <vt:vector size="107" baseType="lpstr">
      <vt:lpstr>Manual Page</vt:lpstr>
      <vt:lpstr>TNZ Submitted Budget</vt:lpstr>
      <vt:lpstr>Variance Analysis vs Budget</vt:lpstr>
      <vt:lpstr>Input Sheet</vt:lpstr>
      <vt:lpstr>GP &amp; SE % Contribution</vt:lpstr>
      <vt:lpstr>Parts GP Calc</vt:lpstr>
      <vt:lpstr>Service GP Calc</vt:lpstr>
      <vt:lpstr>TUNZ Extracted TB</vt:lpstr>
      <vt:lpstr>Export</vt:lpstr>
      <vt:lpstr>OVERALL - QTD</vt:lpstr>
      <vt:lpstr>OVERALL</vt:lpstr>
      <vt:lpstr>NEW VEHICLE GROUP</vt:lpstr>
      <vt:lpstr>NS NEW VEHICLE</vt:lpstr>
      <vt:lpstr>NW NEW VEHICLE</vt:lpstr>
      <vt:lpstr>USED VEHICLE GROUP</vt:lpstr>
      <vt:lpstr>NS USED VEHICLE</vt:lpstr>
      <vt:lpstr>NW USED VEHICLE</vt:lpstr>
      <vt:lpstr>F&amp;I GROUP</vt:lpstr>
      <vt:lpstr>NS F&amp;I</vt:lpstr>
      <vt:lpstr>NW F&amp;I</vt:lpstr>
      <vt:lpstr>PARTS GROUP</vt:lpstr>
      <vt:lpstr>NS PARTS 130</vt:lpstr>
      <vt:lpstr>NW PARTS 230</vt:lpstr>
      <vt:lpstr>NW PARTS 330</vt:lpstr>
      <vt:lpstr>NW PARTS 430</vt:lpstr>
      <vt:lpstr>SERVICE GROUP</vt:lpstr>
      <vt:lpstr>NS SERVICE 140</vt:lpstr>
      <vt:lpstr>NS SERVICE 147</vt:lpstr>
      <vt:lpstr>NW SERVICE 240</vt:lpstr>
      <vt:lpstr>NW SERVICE 340</vt:lpstr>
      <vt:lpstr>NW SERVICE 440</vt:lpstr>
      <vt:lpstr>ADMIN &amp; OTHER</vt:lpstr>
      <vt:lpstr>Other Income</vt:lpstr>
      <vt:lpstr>LEX NEW VEHICLE</vt:lpstr>
      <vt:lpstr>LEX USED VEHICLE</vt:lpstr>
      <vt:lpstr>LEX F&amp;I</vt:lpstr>
      <vt:lpstr>LEX PARTS</vt:lpstr>
      <vt:lpstr>LEX SERVICE</vt:lpstr>
      <vt:lpstr>Retail Detailing</vt:lpstr>
      <vt:lpstr>Bridgestone GROUP</vt:lpstr>
      <vt:lpstr>Bridgestone 935</vt:lpstr>
      <vt:lpstr>Bridgestone 936</vt:lpstr>
      <vt:lpstr>LEX ADMIN &amp; OTHER</vt:lpstr>
      <vt:lpstr>'ADMIN &amp; OTHER'!Print_Area</vt:lpstr>
      <vt:lpstr>'Bridgestone 935'!Print_Area</vt:lpstr>
      <vt:lpstr>'Bridgestone 936'!Print_Area</vt:lpstr>
      <vt:lpstr>'Bridgestone GROUP'!Print_Area</vt:lpstr>
      <vt:lpstr>'F&amp;I GROUP'!Print_Area</vt:lpstr>
      <vt:lpstr>'LEX ADMIN &amp; OTHER'!Print_Area</vt:lpstr>
      <vt:lpstr>'LEX F&amp;I'!Print_Area</vt:lpstr>
      <vt:lpstr>'LEX NEW VEHICLE'!Print_Area</vt:lpstr>
      <vt:lpstr>'LEX PARTS'!Print_Area</vt:lpstr>
      <vt:lpstr>'LEX SERVICE'!Print_Area</vt:lpstr>
      <vt:lpstr>'LEX USED VEHICLE'!Print_Area</vt:lpstr>
      <vt:lpstr>'NEW VEHICLE GROUP'!Print_Area</vt:lpstr>
      <vt:lpstr>'NS F&amp;I'!Print_Area</vt:lpstr>
      <vt:lpstr>'NS NEW VEHICLE'!Print_Area</vt:lpstr>
      <vt:lpstr>'NS PARTS 130'!Print_Area</vt:lpstr>
      <vt:lpstr>'NS SERVICE 140'!Print_Area</vt:lpstr>
      <vt:lpstr>'NS SERVICE 147'!Print_Area</vt:lpstr>
      <vt:lpstr>'NS USED VEHICLE'!Print_Area</vt:lpstr>
      <vt:lpstr>'NW F&amp;I'!Print_Area</vt:lpstr>
      <vt:lpstr>'NW NEW VEHICLE'!Print_Area</vt:lpstr>
      <vt:lpstr>'NW PARTS 230'!Print_Area</vt:lpstr>
      <vt:lpstr>'NW PARTS 330'!Print_Area</vt:lpstr>
      <vt:lpstr>'NW PARTS 430'!Print_Area</vt:lpstr>
      <vt:lpstr>'NW SERVICE 240'!Print_Area</vt:lpstr>
      <vt:lpstr>'NW SERVICE 340'!Print_Area</vt:lpstr>
      <vt:lpstr>'NW SERVICE 440'!Print_Area</vt:lpstr>
      <vt:lpstr>'NW USED VEHICLE'!Print_Area</vt:lpstr>
      <vt:lpstr>'Other Income'!Print_Area</vt:lpstr>
      <vt:lpstr>OVERALL!Print_Area</vt:lpstr>
      <vt:lpstr>'OVERALL - QTD'!Print_Area</vt:lpstr>
      <vt:lpstr>'PARTS GROUP'!Print_Area</vt:lpstr>
      <vt:lpstr>'Retail Detailing'!Print_Area</vt:lpstr>
      <vt:lpstr>'SERVICE GROUP'!Print_Area</vt:lpstr>
      <vt:lpstr>'USED VEHICLE GROUP'!Print_Area</vt:lpstr>
      <vt:lpstr>'ADMIN &amp; OTHER'!Print_Titles</vt:lpstr>
      <vt:lpstr>'Bridgestone 935'!Print_Titles</vt:lpstr>
      <vt:lpstr>'Bridgestone 936'!Print_Titles</vt:lpstr>
      <vt:lpstr>'Bridgestone GROUP'!Print_Titles</vt:lpstr>
      <vt:lpstr>'F&amp;I GROUP'!Print_Titles</vt:lpstr>
      <vt:lpstr>'LEX ADMIN &amp; OTHER'!Print_Titles</vt:lpstr>
      <vt:lpstr>'LEX F&amp;I'!Print_Titles</vt:lpstr>
      <vt:lpstr>'LEX PARTS'!Print_Titles</vt:lpstr>
      <vt:lpstr>'LEX SERVICE'!Print_Titles</vt:lpstr>
      <vt:lpstr>'LEX USED VEHICLE'!Print_Titles</vt:lpstr>
      <vt:lpstr>'NS F&amp;I'!Print_Titles</vt:lpstr>
      <vt:lpstr>'NS PARTS 130'!Print_Titles</vt:lpstr>
      <vt:lpstr>'NS SERVICE 140'!Print_Titles</vt:lpstr>
      <vt:lpstr>'NS SERVICE 147'!Print_Titles</vt:lpstr>
      <vt:lpstr>'NS USED VEHICLE'!Print_Titles</vt:lpstr>
      <vt:lpstr>'NW F&amp;I'!Print_Titles</vt:lpstr>
      <vt:lpstr>'NW PARTS 230'!Print_Titles</vt:lpstr>
      <vt:lpstr>'NW PARTS 330'!Print_Titles</vt:lpstr>
      <vt:lpstr>'NW PARTS 430'!Print_Titles</vt:lpstr>
      <vt:lpstr>'NW SERVICE 240'!Print_Titles</vt:lpstr>
      <vt:lpstr>'NW SERVICE 340'!Print_Titles</vt:lpstr>
      <vt:lpstr>'NW SERVICE 440'!Print_Titles</vt:lpstr>
      <vt:lpstr>'NW USED VEHICLE'!Print_Titles</vt:lpstr>
      <vt:lpstr>'Other Income'!Print_Titles</vt:lpstr>
      <vt:lpstr>OVERALL!Print_Titles</vt:lpstr>
      <vt:lpstr>'OVERALL - QTD'!Print_Titles</vt:lpstr>
      <vt:lpstr>'PARTS GROUP'!Print_Titles</vt:lpstr>
      <vt:lpstr>'Retail Detailing'!Print_Titles</vt:lpstr>
      <vt:lpstr>'SERVICE GROUP'!Print_Titles</vt:lpstr>
      <vt:lpstr>'USED VEHICLE GROUP'!Print_Titles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Mark Jago</dc:creator>
  <cp:keywords/>
  <dc:description/>
  <cp:lastModifiedBy>Peter Sun</cp:lastModifiedBy>
  <cp:revision/>
  <dcterms:created xsi:type="dcterms:W3CDTF">2022-09-30T00:33:39Z</dcterms:created>
  <dcterms:modified xsi:type="dcterms:W3CDTF">2024-04-15T03:44:55Z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0x01010097DFC4C9A1543C4387DCD1B1B1140F58</vt:lpwstr>
  </property>
</Properties>
</file>